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rinterSettings/printerSettings1.bin" ContentType="application/vnd.openxmlformats-officedocument.spreadsheetml.printerSettings"/>
  <Override PartName="/xl/pivotTables/pivotTable3.xml" ContentType="application/vnd.openxmlformats-officedocument.spreadsheetml.pivotTable+xml"/>
  <Override PartName="/xl/printerSettings/printerSettings2.bin" ContentType="application/vnd.openxmlformats-officedocument.spreadsheetml.printerSettings"/>
  <Override PartName="/xl/printerSettings/printerSettings3.bin" ContentType="application/vnd.openxmlformats-officedocument.spreadsheetml.printerSettings"/>
  <Override PartName="/xl/comments1.xml" ContentType="application/vnd.openxmlformats-officedocument.spreadsheetml.comments+xml"/>
  <Override PartName="/xl/printerSettings/printerSettings4.bin" ContentType="application/vnd.openxmlformats-officedocument.spreadsheetml.printerSettings"/>
  <Override PartName="/xl/comments2.xml" ContentType="application/vnd.openxmlformats-officedocument.spreadsheetml.comments+xml"/>
  <Override PartName="/xl/pivotTables/pivotTable4.xml" ContentType="application/vnd.openxmlformats-officedocument.spreadsheetml.pivotTable+xml"/>
  <Override PartName="/xl/printerSettings/printerSettings5.bin" ContentType="application/vnd.openxmlformats-officedocument.spreadsheetml.printerSettings"/>
  <Override PartName="/xl/printerSettings/printerSettings6.bin" ContentType="application/vnd.openxmlformats-officedocument.spreadsheetml.printerSettings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printerSettings/printerSettings7.bin" ContentType="application/vnd.openxmlformats-officedocument.spreadsheetml.printerSettings"/>
  <Override PartName="/xl/printerSettings/printerSettings8.bin" ContentType="application/vnd.openxmlformats-officedocument.spreadsheetml.printerSettings"/>
  <Override PartName="/xl/printerSettings/printerSettings9.bin" ContentType="application/vnd.openxmlformats-officedocument.spreadsheetml.printerSettings"/>
  <Override PartName="/xl/comments5.xml" ContentType="application/vnd.openxmlformats-officedocument.spreadsheetml.comments+xml"/>
  <Override PartName="/xl/pivotTables/pivotTable5.xml" ContentType="application/vnd.openxmlformats-officedocument.spreadsheetml.pivotTable+xml"/>
  <Override PartName="/xl/printerSettings/printerSettings10.bin" ContentType="application/vnd.openxmlformats-officedocument.spreadsheetml.printerSettings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hermann.ngayap\Desktop\data\"/>
    </mc:Choice>
  </mc:AlternateContent>
  <xr:revisionPtr revIDLastSave="0" documentId="13_ncr:1_{315ED173-D353-49DC-83B2-31E63FAD5731}" xr6:coauthVersionLast="47" xr6:coauthVersionMax="47" xr10:uidLastSave="{00000000-0000-0000-0000-000000000000}"/>
  <bookViews>
    <workbookView xWindow="1455" yWindow="405" windowWidth="18105" windowHeight="10275" tabRatio="672" firstSheet="9" activeTab="12" xr2:uid="{00000000-000D-0000-FFFF-FFFF00000000}"/>
  </bookViews>
  <sheets>
    <sheet name="TCD Moyenn histo" sheetId="47" r:id="rId1"/>
    <sheet name="Tarif PRICE_FEEDIN_REV" sheetId="49" r:id="rId2"/>
    <sheet name="Tarif PRICE_ELECT_SOLD" sheetId="65" r:id="rId3"/>
    <sheet name="NB tarifs futurs" sheetId="66" r:id="rId4"/>
    <sheet name="Nb Machine" sheetId="59" r:id="rId5"/>
    <sheet name="Capacité" sheetId="48" r:id="rId6"/>
    <sheet name="Dispo" sheetId="46" r:id="rId7"/>
    <sheet name="3-Saisie LV7 PROD elec gaz vape" sheetId="44" r:id="rId8"/>
    <sheet name="2-Préparation saisie LV PROD" sheetId="43" r:id="rId9"/>
    <sheet name="1-EO_Calcul Reporting" sheetId="45" r:id="rId10"/>
    <sheet name="CA explain" sheetId="63" state="hidden" r:id="rId11"/>
    <sheet name="Prod B22" sheetId="61" r:id="rId12"/>
    <sheet name="distribution mensuelle Prod B22" sheetId="60" r:id="rId13"/>
    <sheet name="TOTEURECOC" sheetId="50" state="hidden" r:id="rId14"/>
    <sheet name="Synthèse B22 vs B21" sheetId="56" r:id="rId15"/>
    <sheet name="check modifs" sheetId="57" state="hidden" r:id="rId16"/>
    <sheet name="PROD parcs global" sheetId="58" state="hidden" r:id="rId17"/>
    <sheet name="TCD Moyenn histo Eliott" sheetId="54" state="hidden" r:id="rId18"/>
    <sheet name="Synth B19 vs B18 valeur Elliot" sheetId="53" state="hidden" r:id="rId19"/>
    <sheet name="Synthèse F18 vs B19" sheetId="52" state="hidden" r:id="rId20"/>
  </sheets>
  <externalReferences>
    <externalReference r:id="rId21"/>
    <externalReference r:id="rId22"/>
    <externalReference r:id="rId23"/>
  </externalReferences>
  <definedNames>
    <definedName name="_xlnm._FilterDatabase" localSheetId="9" hidden="1">'1-EO_Calcul Reporting'!$A$11:$GC$119</definedName>
    <definedName name="_xlnm._FilterDatabase" localSheetId="7" hidden="1">'3-Saisie LV7 PROD elec gaz vape'!$A$1:$Y$973</definedName>
    <definedName name="_xlnm._FilterDatabase" localSheetId="5" hidden="1">Capacité!$A$1:$Y$960</definedName>
    <definedName name="_xlnm._FilterDatabase" localSheetId="6" hidden="1">Dispo!$A$1:$AB$960</definedName>
    <definedName name="_xlnm._FilterDatabase" localSheetId="4" hidden="1">'Nb Machine'!$A$1:$AD$960</definedName>
    <definedName name="_xlnm._FilterDatabase" localSheetId="11" hidden="1">'Prod B22'!$A$2:$AJ$109</definedName>
    <definedName name="_xlnm._FilterDatabase" localSheetId="16" hidden="1">'PROD parcs global'!$A$17:$HA$17</definedName>
    <definedName name="_xlnm._FilterDatabase" localSheetId="18" hidden="1">'Synth B19 vs B18 valeur Elliot'!$A$10:$CC$81</definedName>
    <definedName name="_xlnm._FilterDatabase" localSheetId="14" hidden="1">'Synthèse B22 vs B21'!$A$11:$AD$26</definedName>
    <definedName name="_xlnm._FilterDatabase" localSheetId="19" hidden="1">'Synthèse F18 vs B19'!$A$10:$BZ$83</definedName>
    <definedName name="_xlnm._FilterDatabase" localSheetId="2" hidden="1">'Tarif PRICE_ELECT_SOLD'!$A$1:$AG$101</definedName>
    <definedName name="_xlnm._FilterDatabase" localSheetId="1" hidden="1">'Tarif PRICE_FEEDIN_REV'!$A$1:$AG$101</definedName>
    <definedName name="_xlnm._FilterDatabase" localSheetId="13" hidden="1">TOTEURECOC!$A$1:$T$379</definedName>
    <definedName name="KlxToolbarACCOUNTS">"TRIALBAL"</definedName>
    <definedName name="KlxToolbarENTITIES">"TSGF"</definedName>
    <definedName name="KlxToolbarPARTICIP">"PARTICSGF"</definedName>
    <definedName name="KlxToolbarTIMEPER">"ACTUAL"</definedName>
    <definedName name="LVFixedSymACCOUNTS.TRIALBAL">"TRIALBAL"</definedName>
    <definedName name="LVFixedSymCATEGORIES.CATEGORIES.DEFAULT">"CATEGORIES.DEFAULT"</definedName>
    <definedName name="LVFixedSymCURRENCIES.CAD">"CAD"</definedName>
    <definedName name="LVFixedSymCURRENCIES.EUR">"EUR"</definedName>
    <definedName name="LVFixedSymCURRENCIES.USD">"USD"</definedName>
    <definedName name="LVFixedSymDATAVIEWS.TOTAL.BASEDATA">"TOTAL.BASEDATA"</definedName>
    <definedName name="LVFixedSymDEPARTMENTS.TOTAL.DEPARTMENTS">"TOTAL.DEPARTMENTS"</definedName>
    <definedName name="LVFixedSymDETAILS.DETAILS.DEFAULT">"DETAILS.DEFAULT"</definedName>
    <definedName name="LVFixedSymENTITIES.BORCAN">"BORCAN"</definedName>
    <definedName name="LVFixedSymENTITIES.BOREUR">"BOREUR"</definedName>
    <definedName name="LVFixedSymENTITIES.BORUS">"BORUS"</definedName>
    <definedName name="LVFixedSymOBJECTS.OBJECTS.DEFAULT">"OBJECTS.DEFAULT"</definedName>
    <definedName name="LVFixedSymTIMEPERIODS.ACT.2015_YTD">"ACT.2015_YTD"</definedName>
    <definedName name="LVFixedSymVERSIONS.VERSIONS.DEFAULT">"VERSIONS.DEFAULT"</definedName>
    <definedName name="_xlnm.Print_Area" localSheetId="2">'Tarif PRICE_ELECT_SOLD'!$W$2:$AG$865</definedName>
    <definedName name="_xlnm.Print_Area" localSheetId="1">'Tarif PRICE_FEEDIN_REV'!$W$2:$AG$865</definedName>
  </definedNames>
  <calcPr calcId="191029"/>
  <pivotCaches>
    <pivotCache cacheId="18" r:id="rId24"/>
    <pivotCache cacheId="19" r:id="rId25"/>
    <pivotCache cacheId="20" r:id="rId26"/>
    <pivotCache cacheId="21" r:id="rId2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05" i="61" l="1"/>
  <c r="F104" i="61"/>
  <c r="F106" i="61"/>
  <c r="T59" i="61"/>
  <c r="T60" i="61"/>
  <c r="T7" i="61"/>
  <c r="U17" i="61" l="1"/>
  <c r="BM82" i="52" l="1"/>
  <c r="BM96" i="52"/>
  <c r="BN100" i="52"/>
  <c r="BO100" i="52"/>
  <c r="AH12" i="53"/>
  <c r="AI12" i="53" s="1"/>
  <c r="AI81" i="53" s="1"/>
  <c r="AH13" i="53"/>
  <c r="AI13" i="53" s="1"/>
  <c r="AH14" i="53"/>
  <c r="AI14" i="53" s="1"/>
  <c r="AH15" i="53"/>
  <c r="AI15" i="53" s="1"/>
  <c r="AH16" i="53"/>
  <c r="AI16" i="53" s="1"/>
  <c r="AH17" i="53"/>
  <c r="AI17" i="53" s="1"/>
  <c r="AH18" i="53"/>
  <c r="AI18" i="53" s="1"/>
  <c r="AH19" i="53"/>
  <c r="AI19" i="53" s="1"/>
  <c r="AH20" i="53"/>
  <c r="AI20" i="53" s="1"/>
  <c r="AH21" i="53"/>
  <c r="AI21" i="53" s="1"/>
  <c r="AH22" i="53"/>
  <c r="AI22" i="53" s="1"/>
  <c r="AH23" i="53"/>
  <c r="AI23" i="53" s="1"/>
  <c r="AD24" i="53"/>
  <c r="AH25" i="53"/>
  <c r="AI25" i="53" s="1"/>
  <c r="AH26" i="53"/>
  <c r="AI26" i="53" s="1"/>
  <c r="AD27" i="53"/>
  <c r="AD28" i="53"/>
  <c r="AH29" i="53"/>
  <c r="AI29" i="53"/>
  <c r="AH30" i="53"/>
  <c r="AI30" i="53" s="1"/>
  <c r="AH31" i="53"/>
  <c r="AI31" i="53"/>
  <c r="AH32" i="53"/>
  <c r="AI32" i="53" s="1"/>
  <c r="AH33" i="53"/>
  <c r="AI33" i="53"/>
  <c r="AH34" i="53"/>
  <c r="AI34" i="53" s="1"/>
  <c r="AH35" i="53"/>
  <c r="AI35" i="53"/>
  <c r="AH36" i="53"/>
  <c r="AI36" i="53" s="1"/>
  <c r="AD37" i="53"/>
  <c r="AH38" i="53"/>
  <c r="AI38" i="53"/>
  <c r="AD39" i="53"/>
  <c r="AH40" i="53"/>
  <c r="AI40" i="53" s="1"/>
  <c r="AH41" i="53"/>
  <c r="AI41" i="53"/>
  <c r="AH42" i="53"/>
  <c r="AI42" i="53" s="1"/>
  <c r="AD43" i="53"/>
  <c r="AD44" i="53"/>
  <c r="AH45" i="53"/>
  <c r="AI45" i="53"/>
  <c r="AH46" i="53"/>
  <c r="AI46" i="53" s="1"/>
  <c r="AH47" i="53"/>
  <c r="AI47" i="53"/>
  <c r="AH48" i="53"/>
  <c r="AI48" i="53" s="1"/>
  <c r="AH49" i="53"/>
  <c r="AI49" i="53"/>
  <c r="AH50" i="53"/>
  <c r="AI50" i="53" s="1"/>
  <c r="AH51" i="53"/>
  <c r="AI51" i="53"/>
  <c r="AH52" i="53"/>
  <c r="AI52" i="53" s="1"/>
  <c r="AH53" i="53"/>
  <c r="AI53" i="53"/>
  <c r="AH54" i="53"/>
  <c r="AI54" i="53" s="1"/>
  <c r="AH55" i="53"/>
  <c r="AI55" i="53"/>
  <c r="AH56" i="53"/>
  <c r="AI56" i="53" s="1"/>
  <c r="AH57" i="53"/>
  <c r="AI57" i="53"/>
  <c r="AH58" i="53"/>
  <c r="AI58" i="53" s="1"/>
  <c r="AH59" i="53"/>
  <c r="AI59" i="53"/>
  <c r="AH60" i="53"/>
  <c r="AI60" i="53" s="1"/>
  <c r="AH61" i="53"/>
  <c r="AI61" i="53"/>
  <c r="AH62" i="53"/>
  <c r="AI62" i="53" s="1"/>
  <c r="AH63" i="53"/>
  <c r="AI63" i="53"/>
  <c r="AH64" i="53"/>
  <c r="AI64" i="53" s="1"/>
  <c r="AH65" i="53"/>
  <c r="AI65" i="53"/>
  <c r="AH66" i="53"/>
  <c r="AI66" i="53" s="1"/>
  <c r="AH67" i="53"/>
  <c r="AI67" i="53"/>
  <c r="AH68" i="53"/>
  <c r="AI68" i="53" s="1"/>
  <c r="AH69" i="53"/>
  <c r="AI69" i="53"/>
  <c r="AH70" i="53"/>
  <c r="AI70" i="53" s="1"/>
  <c r="AH71" i="53"/>
  <c r="AI71" i="53"/>
  <c r="AH72" i="53"/>
  <c r="AI72" i="53" s="1"/>
  <c r="AH73" i="53"/>
  <c r="AI73" i="53"/>
  <c r="AH74" i="53"/>
  <c r="AI74" i="53" s="1"/>
  <c r="AH75" i="53"/>
  <c r="AI75" i="53"/>
  <c r="AH76" i="53"/>
  <c r="AI76" i="53" s="1"/>
  <c r="AH77" i="53"/>
  <c r="AI77" i="53"/>
  <c r="AH78" i="53"/>
  <c r="AI78" i="53" s="1"/>
  <c r="AH79" i="53"/>
  <c r="AI79" i="53"/>
  <c r="AH80" i="53"/>
  <c r="AI80" i="53" s="1"/>
  <c r="AH81" i="53"/>
  <c r="GL24" i="54"/>
  <c r="GM24" i="54"/>
  <c r="GN24" i="54"/>
  <c r="GO24" i="54"/>
  <c r="GP24" i="54"/>
  <c r="GQ24" i="54"/>
  <c r="GR24" i="54"/>
  <c r="GS24" i="54"/>
  <c r="GT24" i="54"/>
  <c r="GU24" i="54"/>
  <c r="GV24" i="54"/>
  <c r="GW24" i="54"/>
  <c r="GL26" i="54"/>
  <c r="GM26" i="54"/>
  <c r="GN26" i="54"/>
  <c r="GO26" i="54"/>
  <c r="GP26" i="54"/>
  <c r="GQ26" i="54"/>
  <c r="GR26" i="54"/>
  <c r="GS26" i="54"/>
  <c r="GT26" i="54"/>
  <c r="GU26" i="54"/>
  <c r="GV26" i="54"/>
  <c r="GW26" i="54"/>
  <c r="GL28" i="54"/>
  <c r="GM28" i="54"/>
  <c r="GN28" i="54"/>
  <c r="GO28" i="54"/>
  <c r="GP28" i="54"/>
  <c r="GQ28" i="54"/>
  <c r="GR28" i="54"/>
  <c r="GS28" i="54"/>
  <c r="GT28" i="54"/>
  <c r="GU28" i="54"/>
  <c r="GV28" i="54"/>
  <c r="GW28" i="54"/>
  <c r="GL30" i="54"/>
  <c r="GM30" i="54"/>
  <c r="GN30" i="54"/>
  <c r="GO30" i="54"/>
  <c r="GP30" i="54"/>
  <c r="GQ30" i="54"/>
  <c r="GR30" i="54"/>
  <c r="GS30" i="54"/>
  <c r="GT30" i="54"/>
  <c r="GU30" i="54"/>
  <c r="GV30" i="54"/>
  <c r="GW30" i="54"/>
  <c r="GL32" i="54"/>
  <c r="GM32" i="54"/>
  <c r="GN32" i="54"/>
  <c r="GO32" i="54"/>
  <c r="GP32" i="54"/>
  <c r="GQ32" i="54"/>
  <c r="GR32" i="54"/>
  <c r="GS32" i="54"/>
  <c r="GT32" i="54"/>
  <c r="GU32" i="54"/>
  <c r="GV32" i="54"/>
  <c r="GW32" i="54"/>
  <c r="GL33" i="54"/>
  <c r="GM33" i="54"/>
  <c r="GN33" i="54"/>
  <c r="GO33" i="54"/>
  <c r="GP33" i="54"/>
  <c r="GQ33" i="54"/>
  <c r="GR33" i="54"/>
  <c r="GS33" i="54"/>
  <c r="GT33" i="54"/>
  <c r="GU33" i="54"/>
  <c r="GV33" i="54"/>
  <c r="GW33" i="54"/>
  <c r="GL34" i="54"/>
  <c r="GM34" i="54"/>
  <c r="GN34" i="54"/>
  <c r="GO34" i="54"/>
  <c r="GP34" i="54"/>
  <c r="GQ34" i="54"/>
  <c r="GR34" i="54"/>
  <c r="GS34" i="54"/>
  <c r="GT34" i="54"/>
  <c r="GU34" i="54"/>
  <c r="GV34" i="54"/>
  <c r="GW34" i="54"/>
  <c r="GL35" i="54"/>
  <c r="GM35" i="54"/>
  <c r="GN35" i="54"/>
  <c r="GO35" i="54"/>
  <c r="GP35" i="54"/>
  <c r="GQ35" i="54"/>
  <c r="GR35" i="54"/>
  <c r="GS35" i="54"/>
  <c r="GT35" i="54"/>
  <c r="GU35" i="54"/>
  <c r="GV35" i="54"/>
  <c r="GW35" i="54"/>
  <c r="GL36" i="54"/>
  <c r="GM36" i="54"/>
  <c r="GN36" i="54"/>
  <c r="GO36" i="54"/>
  <c r="GP36" i="54"/>
  <c r="GQ36" i="54"/>
  <c r="GR36" i="54"/>
  <c r="GS36" i="54"/>
  <c r="GT36" i="54"/>
  <c r="GU36" i="54"/>
  <c r="GV36" i="54"/>
  <c r="GW36" i="54"/>
  <c r="GL37" i="54"/>
  <c r="GM37" i="54"/>
  <c r="GN37" i="54"/>
  <c r="GO37" i="54"/>
  <c r="GP37" i="54"/>
  <c r="GQ37" i="54"/>
  <c r="GR37" i="54"/>
  <c r="GS37" i="54"/>
  <c r="GT37" i="54"/>
  <c r="GU37" i="54"/>
  <c r="GV37" i="54"/>
  <c r="GW37" i="54"/>
  <c r="GL39" i="54"/>
  <c r="GM39" i="54"/>
  <c r="GN39" i="54"/>
  <c r="GO39" i="54"/>
  <c r="GP39" i="54"/>
  <c r="GQ39" i="54"/>
  <c r="GR39" i="54"/>
  <c r="GS39" i="54"/>
  <c r="GT39" i="54"/>
  <c r="GU39" i="54"/>
  <c r="GV39" i="54"/>
  <c r="GW39" i="54"/>
  <c r="GL41" i="54"/>
  <c r="GM41" i="54"/>
  <c r="GN41" i="54"/>
  <c r="GO41" i="54"/>
  <c r="GP41" i="54"/>
  <c r="GQ41" i="54"/>
  <c r="GR41" i="54"/>
  <c r="GS41" i="54"/>
  <c r="GT41" i="54"/>
  <c r="GU41" i="54"/>
  <c r="GV41" i="54"/>
  <c r="GW41" i="54"/>
  <c r="GL43" i="54"/>
  <c r="GM43" i="54"/>
  <c r="GN43" i="54"/>
  <c r="GO43" i="54"/>
  <c r="GP43" i="54"/>
  <c r="GQ43" i="54"/>
  <c r="GR43" i="54"/>
  <c r="GS43" i="54"/>
  <c r="GT43" i="54"/>
  <c r="GU43" i="54"/>
  <c r="GV43" i="54"/>
  <c r="GW43" i="54"/>
  <c r="GL44" i="54"/>
  <c r="GM44" i="54"/>
  <c r="GN44" i="54"/>
  <c r="GO44" i="54"/>
  <c r="GP44" i="54"/>
  <c r="GQ44" i="54"/>
  <c r="GR44" i="54"/>
  <c r="GS44" i="54"/>
  <c r="GT44" i="54"/>
  <c r="GU44" i="54"/>
  <c r="GV44" i="54"/>
  <c r="GW44" i="54"/>
  <c r="GL45" i="54"/>
  <c r="GM45" i="54"/>
  <c r="GN45" i="54"/>
  <c r="GO45" i="54"/>
  <c r="GP45" i="54"/>
  <c r="GQ45" i="54"/>
  <c r="GR45" i="54"/>
  <c r="GS45" i="54"/>
  <c r="GT45" i="54"/>
  <c r="GU45" i="54"/>
  <c r="GV45" i="54"/>
  <c r="GW45" i="54"/>
  <c r="GL46" i="54"/>
  <c r="GM46" i="54"/>
  <c r="GN46" i="54"/>
  <c r="GO46" i="54"/>
  <c r="GP46" i="54"/>
  <c r="GQ46" i="54"/>
  <c r="GR46" i="54"/>
  <c r="GS46" i="54"/>
  <c r="GT46" i="54"/>
  <c r="GU46" i="54"/>
  <c r="GV46" i="54"/>
  <c r="GW46" i="54"/>
  <c r="GL48" i="54"/>
  <c r="GM48" i="54"/>
  <c r="GN48" i="54"/>
  <c r="GO48" i="54"/>
  <c r="GP48" i="54"/>
  <c r="GQ48" i="54"/>
  <c r="GR48" i="54"/>
  <c r="GS48" i="54"/>
  <c r="GT48" i="54"/>
  <c r="GU48" i="54"/>
  <c r="GV48" i="54"/>
  <c r="GW48" i="54"/>
  <c r="GL49" i="54"/>
  <c r="GM49" i="54"/>
  <c r="GN49" i="54"/>
  <c r="GO49" i="54"/>
  <c r="GP49" i="54"/>
  <c r="GQ49" i="54"/>
  <c r="GR49" i="54"/>
  <c r="GS49" i="54"/>
  <c r="GT49" i="54"/>
  <c r="GU49" i="54"/>
  <c r="GV49" i="54"/>
  <c r="GW49" i="54"/>
  <c r="GL50" i="54"/>
  <c r="GM50" i="54"/>
  <c r="GN50" i="54"/>
  <c r="GO50" i="54"/>
  <c r="GP50" i="54"/>
  <c r="GQ50" i="54"/>
  <c r="GR50" i="54"/>
  <c r="GS50" i="54"/>
  <c r="GT50" i="54"/>
  <c r="GU50" i="54"/>
  <c r="GV50" i="54"/>
  <c r="GW50" i="54"/>
  <c r="GL51" i="54"/>
  <c r="GM51" i="54"/>
  <c r="GN51" i="54"/>
  <c r="GO51" i="54"/>
  <c r="GP51" i="54"/>
  <c r="GQ51" i="54"/>
  <c r="GR51" i="54"/>
  <c r="GS51" i="54"/>
  <c r="GT51" i="54"/>
  <c r="GU51" i="54"/>
  <c r="GV51" i="54"/>
  <c r="GW51" i="54"/>
  <c r="GL52" i="54"/>
  <c r="GM52" i="54"/>
  <c r="GN52" i="54"/>
  <c r="GO52" i="54"/>
  <c r="GP52" i="54"/>
  <c r="GQ52" i="54"/>
  <c r="GR52" i="54"/>
  <c r="GS52" i="54"/>
  <c r="GT52" i="54"/>
  <c r="GU52" i="54"/>
  <c r="GV52" i="54"/>
  <c r="GW52" i="54"/>
  <c r="GL53" i="54"/>
  <c r="GM53" i="54"/>
  <c r="GN53" i="54"/>
  <c r="GO53" i="54"/>
  <c r="GP53" i="54"/>
  <c r="GQ53" i="54"/>
  <c r="GR53" i="54"/>
  <c r="GS53" i="54"/>
  <c r="GT53" i="54"/>
  <c r="GU53" i="54"/>
  <c r="GV53" i="54"/>
  <c r="GW53" i="54"/>
  <c r="GL54" i="54"/>
  <c r="GM54" i="54"/>
  <c r="GN54" i="54"/>
  <c r="GO54" i="54"/>
  <c r="GP54" i="54"/>
  <c r="GQ54" i="54"/>
  <c r="GR54" i="54"/>
  <c r="GS54" i="54"/>
  <c r="GT54" i="54"/>
  <c r="GU54" i="54"/>
  <c r="GV54" i="54"/>
  <c r="GW54" i="54"/>
  <c r="GL56" i="54"/>
  <c r="GM56" i="54"/>
  <c r="GN56" i="54"/>
  <c r="GO56" i="54"/>
  <c r="GP56" i="54"/>
  <c r="GQ56" i="54"/>
  <c r="GR56" i="54"/>
  <c r="GS56" i="54"/>
  <c r="GT56" i="54"/>
  <c r="GU56" i="54"/>
  <c r="GV56" i="54"/>
  <c r="GW56" i="54"/>
  <c r="GL57" i="54"/>
  <c r="GM57" i="54"/>
  <c r="GN57" i="54"/>
  <c r="GO57" i="54"/>
  <c r="GP57" i="54"/>
  <c r="GQ57" i="54"/>
  <c r="GR57" i="54"/>
  <c r="GS57" i="54"/>
  <c r="GT57" i="54"/>
  <c r="GU57" i="54"/>
  <c r="GV57" i="54"/>
  <c r="GW57" i="54"/>
  <c r="GL58" i="54"/>
  <c r="GM58" i="54"/>
  <c r="GN58" i="54"/>
  <c r="GO58" i="54"/>
  <c r="GP58" i="54"/>
  <c r="GQ58" i="54"/>
  <c r="GR58" i="54"/>
  <c r="GS58" i="54"/>
  <c r="GT58" i="54"/>
  <c r="GU58" i="54"/>
  <c r="GV58" i="54"/>
  <c r="GW58" i="54"/>
  <c r="GL59" i="54"/>
  <c r="GM59" i="54"/>
  <c r="GN59" i="54"/>
  <c r="GO59" i="54"/>
  <c r="GP59" i="54"/>
  <c r="GQ59" i="54"/>
  <c r="GR59" i="54"/>
  <c r="GS59" i="54"/>
  <c r="GT59" i="54"/>
  <c r="GU59" i="54"/>
  <c r="GV59" i="54"/>
  <c r="GW59" i="54"/>
  <c r="GL60" i="54"/>
  <c r="GM60" i="54"/>
  <c r="GN60" i="54"/>
  <c r="GO60" i="54"/>
  <c r="GP60" i="54"/>
  <c r="GQ60" i="54"/>
  <c r="GR60" i="54"/>
  <c r="GS60" i="54"/>
  <c r="GT60" i="54"/>
  <c r="GU60" i="54"/>
  <c r="GV60" i="54"/>
  <c r="GW60" i="54"/>
  <c r="GL61" i="54"/>
  <c r="GM61" i="54"/>
  <c r="GN61" i="54"/>
  <c r="GO61" i="54"/>
  <c r="GP61" i="54"/>
  <c r="GQ61" i="54"/>
  <c r="GR61" i="54"/>
  <c r="GS61" i="54"/>
  <c r="GT61" i="54"/>
  <c r="GU61" i="54"/>
  <c r="GV61" i="54"/>
  <c r="GW61" i="54"/>
  <c r="GL62" i="54"/>
  <c r="GM62" i="54"/>
  <c r="GN62" i="54"/>
  <c r="GO62" i="54"/>
  <c r="GP62" i="54"/>
  <c r="GQ62" i="54"/>
  <c r="GR62" i="54"/>
  <c r="GS62" i="54"/>
  <c r="GT62" i="54"/>
  <c r="GU62" i="54"/>
  <c r="GV62" i="54"/>
  <c r="GW62" i="54"/>
  <c r="GL63" i="54"/>
  <c r="GM63" i="54"/>
  <c r="GN63" i="54"/>
  <c r="GO63" i="54"/>
  <c r="GP63" i="54"/>
  <c r="GQ63" i="54"/>
  <c r="GR63" i="54"/>
  <c r="GS63" i="54"/>
  <c r="GT63" i="54"/>
  <c r="GU63" i="54"/>
  <c r="GV63" i="54"/>
  <c r="GW63" i="54"/>
  <c r="GL65" i="54"/>
  <c r="GM65" i="54"/>
  <c r="GN65" i="54"/>
  <c r="GO65" i="54"/>
  <c r="GP65" i="54"/>
  <c r="GQ65" i="54"/>
  <c r="GR65" i="54"/>
  <c r="GS65" i="54"/>
  <c r="GT65" i="54"/>
  <c r="GU65" i="54"/>
  <c r="GV65" i="54"/>
  <c r="GW65" i="54"/>
  <c r="GL66" i="54"/>
  <c r="GM66" i="54"/>
  <c r="GN66" i="54"/>
  <c r="GO66" i="54"/>
  <c r="GP66" i="54"/>
  <c r="GQ66" i="54"/>
  <c r="GR66" i="54"/>
  <c r="GS66" i="54"/>
  <c r="GT66" i="54"/>
  <c r="GU66" i="54"/>
  <c r="GV66" i="54"/>
  <c r="GW66" i="54"/>
  <c r="GL68" i="54"/>
  <c r="GM68" i="54"/>
  <c r="GN68" i="54"/>
  <c r="GO68" i="54"/>
  <c r="GP68" i="54"/>
  <c r="GQ68" i="54"/>
  <c r="GR68" i="54"/>
  <c r="GS68" i="54"/>
  <c r="GT68" i="54"/>
  <c r="GU68" i="54"/>
  <c r="GV68" i="54"/>
  <c r="GW68" i="54"/>
  <c r="GL69" i="54"/>
  <c r="GM69" i="54"/>
  <c r="GN69" i="54"/>
  <c r="GO69" i="54"/>
  <c r="GP69" i="54"/>
  <c r="GQ69" i="54"/>
  <c r="GR69" i="54"/>
  <c r="GS69" i="54"/>
  <c r="GT69" i="54"/>
  <c r="GU69" i="54"/>
  <c r="GV69" i="54"/>
  <c r="GW69" i="54"/>
  <c r="GL70" i="54"/>
  <c r="GM70" i="54"/>
  <c r="GN70" i="54"/>
  <c r="GO70" i="54"/>
  <c r="GP70" i="54"/>
  <c r="GQ70" i="54"/>
  <c r="GR70" i="54"/>
  <c r="GS70" i="54"/>
  <c r="GT70" i="54"/>
  <c r="GU70" i="54"/>
  <c r="GV70" i="54"/>
  <c r="GW70" i="54"/>
  <c r="GL71" i="54"/>
  <c r="GM71" i="54"/>
  <c r="GN71" i="54"/>
  <c r="GO71" i="54"/>
  <c r="GP71" i="54"/>
  <c r="GQ71" i="54"/>
  <c r="GR71" i="54"/>
  <c r="GS71" i="54"/>
  <c r="GT71" i="54"/>
  <c r="GU71" i="54"/>
  <c r="GV71" i="54"/>
  <c r="GW71" i="54"/>
  <c r="GL72" i="54"/>
  <c r="GM72" i="54"/>
  <c r="GN72" i="54"/>
  <c r="GO72" i="54"/>
  <c r="GP72" i="54"/>
  <c r="GQ72" i="54"/>
  <c r="GR72" i="54"/>
  <c r="GS72" i="54"/>
  <c r="GT72" i="54"/>
  <c r="GU72" i="54"/>
  <c r="GV72" i="54"/>
  <c r="GW72" i="54"/>
  <c r="GL73" i="54"/>
  <c r="GM73" i="54"/>
  <c r="GN73" i="54"/>
  <c r="GO73" i="54"/>
  <c r="GP73" i="54"/>
  <c r="GQ73" i="54"/>
  <c r="GR73" i="54"/>
  <c r="GS73" i="54"/>
  <c r="GT73" i="54"/>
  <c r="GU73" i="54"/>
  <c r="GV73" i="54"/>
  <c r="GW73" i="54"/>
  <c r="GL75" i="54"/>
  <c r="GM75" i="54"/>
  <c r="GN75" i="54"/>
  <c r="GO75" i="54"/>
  <c r="GP75" i="54"/>
  <c r="GQ75" i="54"/>
  <c r="GR75" i="54"/>
  <c r="GS75" i="54"/>
  <c r="GT75" i="54"/>
  <c r="GU75" i="54"/>
  <c r="GV75" i="54"/>
  <c r="GW75" i="54"/>
  <c r="FR16" i="58"/>
  <c r="GS34" i="58"/>
  <c r="GT34" i="58"/>
  <c r="GU34" i="58"/>
  <c r="HE34" i="58"/>
  <c r="HF34" i="58"/>
  <c r="HF37" i="58" s="1"/>
  <c r="HG34" i="58"/>
  <c r="GS35" i="58"/>
  <c r="GT35" i="58"/>
  <c r="GT37" i="58" s="1"/>
  <c r="GU35" i="58"/>
  <c r="GU37" i="58" s="1"/>
  <c r="HE35" i="58"/>
  <c r="HF35" i="58"/>
  <c r="HG35" i="58"/>
  <c r="GS36" i="58"/>
  <c r="GT36" i="58"/>
  <c r="GU36" i="58"/>
  <c r="HE36" i="58"/>
  <c r="HE37" i="58" s="1"/>
  <c r="HF36" i="58"/>
  <c r="HG36" i="58"/>
  <c r="CQ37" i="58"/>
  <c r="CR37" i="58"/>
  <c r="CS37" i="58"/>
  <c r="CT37" i="58"/>
  <c r="CU37" i="58"/>
  <c r="CV37" i="58"/>
  <c r="CW37" i="58"/>
  <c r="CX37" i="58"/>
  <c r="CY37" i="58"/>
  <c r="CZ37" i="58"/>
  <c r="DA37" i="58"/>
  <c r="DB37" i="58"/>
  <c r="DC37" i="58"/>
  <c r="DD37" i="58"/>
  <c r="DE37" i="58"/>
  <c r="DF37" i="58"/>
  <c r="DG37" i="58"/>
  <c r="DH37" i="58"/>
  <c r="DI37" i="58"/>
  <c r="DJ37" i="58"/>
  <c r="DK37" i="58"/>
  <c r="DL37" i="58"/>
  <c r="DM37" i="58"/>
  <c r="DN37" i="58"/>
  <c r="DO37" i="58"/>
  <c r="DP37" i="58"/>
  <c r="DQ37" i="58"/>
  <c r="DR37" i="58"/>
  <c r="DS37" i="58"/>
  <c r="DT37" i="58"/>
  <c r="DU37" i="58"/>
  <c r="DV37" i="58"/>
  <c r="DW37" i="58"/>
  <c r="DX37" i="58"/>
  <c r="DY37" i="58"/>
  <c r="DZ37" i="58"/>
  <c r="EA37" i="58"/>
  <c r="EB37" i="58"/>
  <c r="EC37" i="58"/>
  <c r="ED37" i="58"/>
  <c r="EE37" i="58"/>
  <c r="EF37" i="58"/>
  <c r="EG37" i="58"/>
  <c r="EH37" i="58"/>
  <c r="EI37" i="58"/>
  <c r="EJ37" i="58"/>
  <c r="EK37" i="58"/>
  <c r="EL37" i="58"/>
  <c r="EM37" i="58"/>
  <c r="EN37" i="58"/>
  <c r="EO37" i="58"/>
  <c r="EP37" i="58"/>
  <c r="EQ37" i="58"/>
  <c r="ER37" i="58"/>
  <c r="ES37" i="58"/>
  <c r="ET37" i="58"/>
  <c r="EU37" i="58"/>
  <c r="EV37" i="58"/>
  <c r="EW37" i="58"/>
  <c r="EX37" i="58"/>
  <c r="EY37" i="58"/>
  <c r="EZ37" i="58"/>
  <c r="FA37" i="58"/>
  <c r="FB37" i="58"/>
  <c r="FC37" i="58"/>
  <c r="FD37" i="58"/>
  <c r="FE37" i="58"/>
  <c r="FF37" i="58"/>
  <c r="FG37" i="58"/>
  <c r="FH37" i="58"/>
  <c r="FI37" i="58"/>
  <c r="FJ37" i="58"/>
  <c r="FK37" i="58"/>
  <c r="FL37" i="58"/>
  <c r="FM37" i="58"/>
  <c r="FN37" i="58"/>
  <c r="FO37" i="58"/>
  <c r="FP37" i="58"/>
  <c r="FQ37" i="58"/>
  <c r="FR37" i="58"/>
  <c r="FS37" i="58"/>
  <c r="FT37" i="58"/>
  <c r="GS37" i="58"/>
  <c r="GV37" i="58"/>
  <c r="GW37" i="58"/>
  <c r="GX37" i="58"/>
  <c r="GY37" i="58"/>
  <c r="GZ37" i="58"/>
  <c r="HA37" i="58"/>
  <c r="HG37" i="58"/>
  <c r="HH37" i="58"/>
  <c r="HI37" i="58"/>
  <c r="HJ37" i="58"/>
  <c r="HK37" i="58"/>
  <c r="HL37" i="58"/>
  <c r="HM37" i="58"/>
  <c r="GS39" i="58"/>
  <c r="GT39" i="58"/>
  <c r="GU39" i="58"/>
  <c r="HE39" i="58"/>
  <c r="HF39" i="58"/>
  <c r="HG39" i="58"/>
  <c r="GS40" i="58"/>
  <c r="GT40" i="58"/>
  <c r="GU40" i="58"/>
  <c r="HE40" i="58"/>
  <c r="HF40" i="58"/>
  <c r="HG40" i="58"/>
  <c r="EH41" i="58"/>
  <c r="EI41" i="58"/>
  <c r="EJ41" i="58"/>
  <c r="EK41" i="58"/>
  <c r="EL41" i="58"/>
  <c r="EM41" i="58"/>
  <c r="EN41" i="58"/>
  <c r="EO41" i="58"/>
  <c r="EP41" i="58"/>
  <c r="EQ41" i="58"/>
  <c r="ER41" i="58"/>
  <c r="ES41" i="58"/>
  <c r="GS41" i="58"/>
  <c r="GT41" i="58"/>
  <c r="GU41" i="58"/>
  <c r="HE41" i="58"/>
  <c r="HF41" i="58"/>
  <c r="HG41" i="58"/>
  <c r="A42" i="58"/>
  <c r="EH42" i="58"/>
  <c r="EI42" i="58"/>
  <c r="EJ42" i="58"/>
  <c r="EK42" i="58"/>
  <c r="EL42" i="58"/>
  <c r="EM42" i="58"/>
  <c r="EN42" i="58"/>
  <c r="EO42" i="58"/>
  <c r="EP42" i="58"/>
  <c r="EQ42" i="58"/>
  <c r="ER42" i="58"/>
  <c r="ES42" i="58"/>
  <c r="GS42" i="58"/>
  <c r="GT42" i="58"/>
  <c r="GU42" i="58"/>
  <c r="HE42" i="58"/>
  <c r="HF42" i="58"/>
  <c r="HG42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R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E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DZ43" i="58"/>
  <c r="EA43" i="58"/>
  <c r="EB43" i="58"/>
  <c r="EC43" i="58"/>
  <c r="ED43" i="58"/>
  <c r="EE43" i="58"/>
  <c r="EF43" i="58"/>
  <c r="EG43" i="58"/>
  <c r="GP46" i="58"/>
  <c r="GQ46" i="58"/>
  <c r="GR46" i="58"/>
  <c r="GS46" i="58"/>
  <c r="GT46" i="58"/>
  <c r="GU46" i="58"/>
  <c r="HB46" i="58"/>
  <c r="HC46" i="58"/>
  <c r="HD46" i="58"/>
  <c r="HE46" i="58"/>
  <c r="HF46" i="58"/>
  <c r="HG46" i="58"/>
  <c r="GP47" i="58"/>
  <c r="GQ47" i="58"/>
  <c r="GR47" i="58"/>
  <c r="GS47" i="58"/>
  <c r="GT47" i="58"/>
  <c r="GU47" i="58"/>
  <c r="HB47" i="58"/>
  <c r="HC47" i="58"/>
  <c r="HD47" i="58"/>
  <c r="HE47" i="58"/>
  <c r="HF47" i="58"/>
  <c r="HG47" i="58"/>
  <c r="GP48" i="58"/>
  <c r="GQ48" i="58"/>
  <c r="GR48" i="58"/>
  <c r="GS48" i="58"/>
  <c r="GT48" i="58"/>
  <c r="GU48" i="58"/>
  <c r="HB48" i="58"/>
  <c r="HC48" i="58"/>
  <c r="HD48" i="58"/>
  <c r="HE48" i="58"/>
  <c r="HF48" i="58"/>
  <c r="HG48" i="58"/>
  <c r="GS58" i="58"/>
  <c r="GT58" i="58"/>
  <c r="GU58" i="58"/>
  <c r="HE58" i="58"/>
  <c r="HF58" i="58"/>
  <c r="HG58" i="58"/>
  <c r="GS59" i="58"/>
  <c r="GT59" i="58"/>
  <c r="GU59" i="58"/>
  <c r="HE59" i="58"/>
  <c r="HF59" i="58"/>
  <c r="HG59" i="58"/>
  <c r="GS60" i="58"/>
  <c r="GT60" i="58"/>
  <c r="GU60" i="58"/>
  <c r="HE60" i="58"/>
  <c r="HF60" i="58"/>
  <c r="HG60" i="58"/>
  <c r="GS61" i="58"/>
  <c r="GT61" i="58"/>
  <c r="GU61" i="58"/>
  <c r="HE61" i="58"/>
  <c r="HF61" i="58"/>
  <c r="HG61" i="58"/>
  <c r="GS62" i="58"/>
  <c r="GT62" i="58"/>
  <c r="GU62" i="58"/>
  <c r="HE62" i="58"/>
  <c r="HF62" i="58"/>
  <c r="HG62" i="58"/>
  <c r="GS64" i="58"/>
  <c r="GT64" i="58"/>
  <c r="GU64" i="58"/>
  <c r="HE64" i="58"/>
  <c r="HF64" i="58"/>
  <c r="HG64" i="58"/>
  <c r="GS65" i="58"/>
  <c r="GT65" i="58"/>
  <c r="GU65" i="58"/>
  <c r="HE65" i="58"/>
  <c r="HF65" i="58"/>
  <c r="HG65" i="58"/>
  <c r="GS66" i="58"/>
  <c r="GT66" i="58"/>
  <c r="GU66" i="58"/>
  <c r="HE66" i="58"/>
  <c r="HF66" i="58"/>
  <c r="HG66" i="58"/>
  <c r="GS68" i="58"/>
  <c r="GT68" i="58"/>
  <c r="GU68" i="58"/>
  <c r="HE68" i="58"/>
  <c r="HF68" i="58"/>
  <c r="HG68" i="58"/>
  <c r="GS69" i="58"/>
  <c r="GT69" i="58"/>
  <c r="GU69" i="58"/>
  <c r="HE69" i="58"/>
  <c r="HF69" i="58"/>
  <c r="HG69" i="58"/>
  <c r="GS70" i="58"/>
  <c r="GT70" i="58"/>
  <c r="GU70" i="58"/>
  <c r="HE70" i="58"/>
  <c r="HF70" i="58"/>
  <c r="HG70" i="58"/>
  <c r="GS71" i="58"/>
  <c r="GT71" i="58"/>
  <c r="GU71" i="58"/>
  <c r="HE71" i="58"/>
  <c r="HF71" i="58"/>
  <c r="HG71" i="58"/>
  <c r="GS72" i="58"/>
  <c r="GT72" i="58"/>
  <c r="GU72" i="58"/>
  <c r="HE72" i="58"/>
  <c r="HF72" i="58"/>
  <c r="HG72" i="58"/>
  <c r="GS96" i="58"/>
  <c r="GT96" i="58"/>
  <c r="GU96" i="58"/>
  <c r="HE96" i="58"/>
  <c r="HF96" i="58"/>
  <c r="HG96" i="58"/>
  <c r="GS97" i="58"/>
  <c r="GT97" i="58"/>
  <c r="GU97" i="58"/>
  <c r="HE97" i="58"/>
  <c r="HF97" i="58"/>
  <c r="HG97" i="58"/>
  <c r="GS99" i="58"/>
  <c r="GT99" i="58"/>
  <c r="GU99" i="58"/>
  <c r="HE99" i="58"/>
  <c r="HF99" i="58"/>
  <c r="HG99" i="58"/>
  <c r="GS100" i="58"/>
  <c r="GT100" i="58"/>
  <c r="GU100" i="58"/>
  <c r="HE100" i="58"/>
  <c r="HF100" i="58"/>
  <c r="HG100" i="58"/>
  <c r="BV12" i="57"/>
  <c r="E10" i="52"/>
  <c r="M10" i="52"/>
  <c r="U10" i="52"/>
  <c r="AC10" i="52"/>
  <c r="AS10" i="52"/>
  <c r="BA10" i="52"/>
  <c r="BI10" i="52"/>
  <c r="I11" i="52"/>
  <c r="Q11" i="52"/>
  <c r="Y11" i="52"/>
  <c r="AO11" i="52"/>
  <c r="AW11" i="52"/>
  <c r="BE11" i="52"/>
  <c r="E12" i="52"/>
  <c r="M12" i="52"/>
  <c r="U12" i="52"/>
  <c r="AC12" i="52"/>
  <c r="AY12" i="52"/>
  <c r="AN12" i="52"/>
  <c r="AV12" i="52"/>
  <c r="BE12" i="52"/>
  <c r="K13" i="52"/>
  <c r="S13" i="52"/>
  <c r="AA13" i="52"/>
  <c r="AT13" i="52"/>
  <c r="BC13" i="52"/>
  <c r="BK13" i="52"/>
  <c r="I14" i="52"/>
  <c r="Q14" i="52"/>
  <c r="Y14" i="52"/>
  <c r="BL14" i="52"/>
  <c r="AR14" i="52"/>
  <c r="BA14" i="52"/>
  <c r="BI14" i="52"/>
  <c r="G15" i="52"/>
  <c r="O15" i="52"/>
  <c r="W15" i="52"/>
  <c r="AP15" i="52"/>
  <c r="AX15" i="52"/>
  <c r="BG15" i="52"/>
  <c r="E16" i="52"/>
  <c r="M16" i="52"/>
  <c r="U16" i="52"/>
  <c r="AC16" i="52"/>
  <c r="AY16" i="52"/>
  <c r="AN16" i="52"/>
  <c r="AV16" i="52"/>
  <c r="BE16" i="52"/>
  <c r="K17" i="52"/>
  <c r="S17" i="52"/>
  <c r="AA17" i="52"/>
  <c r="AT17" i="52"/>
  <c r="BC17" i="52"/>
  <c r="BK17" i="52"/>
  <c r="I18" i="52"/>
  <c r="Q18" i="52"/>
  <c r="Y18" i="52"/>
  <c r="BL18" i="52"/>
  <c r="AR18" i="52"/>
  <c r="BA18" i="52"/>
  <c r="BI18" i="52"/>
  <c r="G19" i="52"/>
  <c r="O19" i="52"/>
  <c r="W19" i="52"/>
  <c r="AP19" i="52"/>
  <c r="AX19" i="52"/>
  <c r="BG19" i="52"/>
  <c r="E20" i="52"/>
  <c r="M20" i="52"/>
  <c r="U20" i="52"/>
  <c r="AC20" i="52"/>
  <c r="AY20" i="52"/>
  <c r="AN20" i="52"/>
  <c r="AV20" i="52"/>
  <c r="F10" i="52"/>
  <c r="N10" i="52"/>
  <c r="V10" i="52"/>
  <c r="AD10" i="52"/>
  <c r="AT10" i="52"/>
  <c r="BB10" i="52"/>
  <c r="BJ10" i="52"/>
  <c r="J11" i="52"/>
  <c r="R11" i="52"/>
  <c r="Z11" i="52"/>
  <c r="AP11" i="52"/>
  <c r="AX11" i="52"/>
  <c r="BF11" i="52"/>
  <c r="F12" i="52"/>
  <c r="N12" i="52"/>
  <c r="V12" i="52"/>
  <c r="AD12" i="52"/>
  <c r="AO12" i="52"/>
  <c r="AW12" i="52"/>
  <c r="BF12" i="52"/>
  <c r="L13" i="52"/>
  <c r="T13" i="52"/>
  <c r="AB13" i="52"/>
  <c r="AM13" i="52"/>
  <c r="AU13" i="52"/>
  <c r="BD13" i="52"/>
  <c r="J14" i="52"/>
  <c r="R14" i="52"/>
  <c r="Z14" i="52"/>
  <c r="AS14" i="52"/>
  <c r="BB14" i="52"/>
  <c r="BJ14" i="52"/>
  <c r="H15" i="52"/>
  <c r="P15" i="52"/>
  <c r="X15" i="52"/>
  <c r="AQ15" i="52"/>
  <c r="AZ15" i="52"/>
  <c r="BH15" i="52"/>
  <c r="F16" i="52"/>
  <c r="N16" i="52"/>
  <c r="V16" i="52"/>
  <c r="AD16" i="52"/>
  <c r="AO16" i="52"/>
  <c r="AW16" i="52"/>
  <c r="BF16" i="52"/>
  <c r="L17" i="52"/>
  <c r="T17" i="52"/>
  <c r="AB17" i="52"/>
  <c r="AM17" i="52"/>
  <c r="AU17" i="52"/>
  <c r="BD17" i="52"/>
  <c r="J18" i="52"/>
  <c r="R18" i="52"/>
  <c r="Z18" i="52"/>
  <c r="AS18" i="52"/>
  <c r="BB18" i="52"/>
  <c r="BJ18" i="52"/>
  <c r="H19" i="52"/>
  <c r="P19" i="52"/>
  <c r="X19" i="52"/>
  <c r="AQ19" i="52"/>
  <c r="AZ19" i="52"/>
  <c r="BH19" i="52"/>
  <c r="F20" i="52"/>
  <c r="N20" i="52"/>
  <c r="V20" i="52"/>
  <c r="AD20" i="52"/>
  <c r="AO20" i="52"/>
  <c r="AW20" i="52"/>
  <c r="BF20" i="52"/>
  <c r="L21" i="52"/>
  <c r="T21" i="52"/>
  <c r="AB21" i="52"/>
  <c r="AM21" i="52"/>
  <c r="AU21" i="52"/>
  <c r="BD21" i="52"/>
  <c r="J22" i="52"/>
  <c r="R22" i="52"/>
  <c r="Z22" i="52"/>
  <c r="AS22" i="52"/>
  <c r="BB22" i="52"/>
  <c r="BJ22" i="52"/>
  <c r="H23" i="52"/>
  <c r="P23" i="52"/>
  <c r="X23" i="52"/>
  <c r="AQ23" i="52"/>
  <c r="AZ23" i="52"/>
  <c r="BH23" i="52"/>
  <c r="F24" i="52"/>
  <c r="N24" i="52"/>
  <c r="V24" i="52"/>
  <c r="G10" i="52"/>
  <c r="O10" i="52"/>
  <c r="W10" i="52"/>
  <c r="AM10" i="52"/>
  <c r="AU10" i="52"/>
  <c r="BC10" i="52"/>
  <c r="BK10" i="52"/>
  <c r="K11" i="52"/>
  <c r="S11" i="52"/>
  <c r="AA11" i="52"/>
  <c r="AQ11" i="52"/>
  <c r="AY11" i="52"/>
  <c r="BG11" i="52"/>
  <c r="G12" i="52"/>
  <c r="O12" i="52"/>
  <c r="W12" i="52"/>
  <c r="AP12" i="52"/>
  <c r="AX12" i="52"/>
  <c r="BG12" i="52"/>
  <c r="E13" i="52"/>
  <c r="M13" i="52"/>
  <c r="U13" i="52"/>
  <c r="AC13" i="52"/>
  <c r="AY13" i="52"/>
  <c r="AN13" i="52"/>
  <c r="AV13" i="52"/>
  <c r="BE13" i="52"/>
  <c r="K14" i="52"/>
  <c r="S14" i="52"/>
  <c r="AA14" i="52"/>
  <c r="AT14" i="52"/>
  <c r="BC14" i="52"/>
  <c r="BK14" i="52"/>
  <c r="I15" i="52"/>
  <c r="Q15" i="52"/>
  <c r="Y15" i="52"/>
  <c r="BL15" i="52"/>
  <c r="AR15" i="52"/>
  <c r="BA15" i="52"/>
  <c r="BI15" i="52"/>
  <c r="G16" i="52"/>
  <c r="O16" i="52"/>
  <c r="W16" i="52"/>
  <c r="AP16" i="52"/>
  <c r="AX16" i="52"/>
  <c r="BG16" i="52"/>
  <c r="E17" i="52"/>
  <c r="M17" i="52"/>
  <c r="U17" i="52"/>
  <c r="AC17" i="52"/>
  <c r="AY17" i="52"/>
  <c r="AN17" i="52"/>
  <c r="AV17" i="52"/>
  <c r="BE17" i="52"/>
  <c r="K18" i="52"/>
  <c r="S18" i="52"/>
  <c r="AA18" i="52"/>
  <c r="AT18" i="52"/>
  <c r="BC18" i="52"/>
  <c r="BK18" i="52"/>
  <c r="I19" i="52"/>
  <c r="Q19" i="52"/>
  <c r="Y19" i="52"/>
  <c r="BL19" i="52"/>
  <c r="AR19" i="52"/>
  <c r="BA19" i="52"/>
  <c r="BI19" i="52"/>
  <c r="G20" i="52"/>
  <c r="O20" i="52"/>
  <c r="W20" i="52"/>
  <c r="AP20" i="52"/>
  <c r="AX20" i="52"/>
  <c r="BG20" i="52"/>
  <c r="E21" i="52"/>
  <c r="M21" i="52"/>
  <c r="U21" i="52"/>
  <c r="AC21" i="52"/>
  <c r="AY21" i="52"/>
  <c r="AN21" i="52"/>
  <c r="AV21" i="52"/>
  <c r="BE21" i="52"/>
  <c r="K22" i="52"/>
  <c r="S22" i="52"/>
  <c r="AA22" i="52"/>
  <c r="AT22" i="52"/>
  <c r="BC22" i="52"/>
  <c r="BK22" i="52"/>
  <c r="I23" i="52"/>
  <c r="Q23" i="52"/>
  <c r="Y23" i="52"/>
  <c r="BL23" i="52"/>
  <c r="AR23" i="52"/>
  <c r="BA23" i="52"/>
  <c r="BI23" i="52"/>
  <c r="H10" i="52"/>
  <c r="P10" i="52"/>
  <c r="X10" i="52"/>
  <c r="AN10" i="52"/>
  <c r="AV10" i="52"/>
  <c r="BD10" i="52"/>
  <c r="BL10" i="52"/>
  <c r="L11" i="52"/>
  <c r="T11" i="52"/>
  <c r="AB11" i="52"/>
  <c r="AR11" i="52"/>
  <c r="AZ11" i="52"/>
  <c r="BH11" i="52"/>
  <c r="H12" i="52"/>
  <c r="P12" i="52"/>
  <c r="X12" i="52"/>
  <c r="AQ12" i="52"/>
  <c r="AZ12" i="52"/>
  <c r="BH12" i="52"/>
  <c r="F13" i="52"/>
  <c r="N13" i="52"/>
  <c r="V13" i="52"/>
  <c r="AD13" i="52"/>
  <c r="AO13" i="52"/>
  <c r="AW13" i="52"/>
  <c r="BF13" i="52"/>
  <c r="L14" i="52"/>
  <c r="T14" i="52"/>
  <c r="AB14" i="52"/>
  <c r="AM14" i="52"/>
  <c r="AU14" i="52"/>
  <c r="BD14" i="52"/>
  <c r="J15" i="52"/>
  <c r="R15" i="52"/>
  <c r="Z15" i="52"/>
  <c r="AS15" i="52"/>
  <c r="BB15" i="52"/>
  <c r="BJ15" i="52"/>
  <c r="H16" i="52"/>
  <c r="P16" i="52"/>
  <c r="X16" i="52"/>
  <c r="AQ16" i="52"/>
  <c r="AZ16" i="52"/>
  <c r="BH16" i="52"/>
  <c r="F17" i="52"/>
  <c r="N17" i="52"/>
  <c r="V17" i="52"/>
  <c r="AD17" i="52"/>
  <c r="AO17" i="52"/>
  <c r="AW17" i="52"/>
  <c r="BF17" i="52"/>
  <c r="L18" i="52"/>
  <c r="T18" i="52"/>
  <c r="AB18" i="52"/>
  <c r="AM18" i="52"/>
  <c r="AU18" i="52"/>
  <c r="BD18" i="52"/>
  <c r="J19" i="52"/>
  <c r="R19" i="52"/>
  <c r="Z19" i="52"/>
  <c r="AS19" i="52"/>
  <c r="BB19" i="52"/>
  <c r="BJ19" i="52"/>
  <c r="H20" i="52"/>
  <c r="P20" i="52"/>
  <c r="X20" i="52"/>
  <c r="AQ20" i="52"/>
  <c r="AZ20" i="52"/>
  <c r="BH20" i="52"/>
  <c r="F21" i="52"/>
  <c r="N21" i="52"/>
  <c r="V21" i="52"/>
  <c r="I10" i="52"/>
  <c r="Q10" i="52"/>
  <c r="Y10" i="52"/>
  <c r="AO10" i="52"/>
  <c r="AW10" i="52"/>
  <c r="BE10" i="52"/>
  <c r="E11" i="52"/>
  <c r="M11" i="52"/>
  <c r="U11" i="52"/>
  <c r="AC11" i="52"/>
  <c r="AS11" i="52"/>
  <c r="BA11" i="52"/>
  <c r="BI11" i="52"/>
  <c r="I12" i="52"/>
  <c r="Q12" i="52"/>
  <c r="Y12" i="52"/>
  <c r="BL12" i="52"/>
  <c r="AR12" i="52"/>
  <c r="BA12" i="52"/>
  <c r="BI12" i="52"/>
  <c r="G13" i="52"/>
  <c r="O13" i="52"/>
  <c r="W13" i="52"/>
  <c r="AP13" i="52"/>
  <c r="AX13" i="52"/>
  <c r="BG13" i="52"/>
  <c r="E14" i="52"/>
  <c r="M14" i="52"/>
  <c r="U14" i="52"/>
  <c r="AC14" i="52"/>
  <c r="AY14" i="52"/>
  <c r="AN14" i="52"/>
  <c r="AV14" i="52"/>
  <c r="BE14" i="52"/>
  <c r="K15" i="52"/>
  <c r="S15" i="52"/>
  <c r="AA15" i="52"/>
  <c r="AT15" i="52"/>
  <c r="BC15" i="52"/>
  <c r="BK15" i="52"/>
  <c r="I16" i="52"/>
  <c r="Q16" i="52"/>
  <c r="Y16" i="52"/>
  <c r="BL16" i="52"/>
  <c r="AR16" i="52"/>
  <c r="BA16" i="52"/>
  <c r="BI16" i="52"/>
  <c r="G17" i="52"/>
  <c r="O17" i="52"/>
  <c r="W17" i="52"/>
  <c r="AP17" i="52"/>
  <c r="AX17" i="52"/>
  <c r="BG17" i="52"/>
  <c r="E18" i="52"/>
  <c r="M18" i="52"/>
  <c r="U18" i="52"/>
  <c r="AC18" i="52"/>
  <c r="AY18" i="52"/>
  <c r="AN18" i="52"/>
  <c r="AV18" i="52"/>
  <c r="BE18" i="52"/>
  <c r="K19" i="52"/>
  <c r="S19" i="52"/>
  <c r="AA19" i="52"/>
  <c r="AT19" i="52"/>
  <c r="BC19" i="52"/>
  <c r="BK19" i="52"/>
  <c r="I20" i="52"/>
  <c r="Q20" i="52"/>
  <c r="Y20" i="52"/>
  <c r="BL20" i="52"/>
  <c r="AR20" i="52"/>
  <c r="BA20" i="52"/>
  <c r="BI20" i="52"/>
  <c r="G21" i="52"/>
  <c r="O21" i="52"/>
  <c r="W21" i="52"/>
  <c r="AP21" i="52"/>
  <c r="AX21" i="52"/>
  <c r="BG21" i="52"/>
  <c r="E22" i="52"/>
  <c r="M22" i="52"/>
  <c r="U22" i="52"/>
  <c r="AC22" i="52"/>
  <c r="AY22" i="52"/>
  <c r="AN22" i="52"/>
  <c r="AV22" i="52"/>
  <c r="BE22" i="52"/>
  <c r="K23" i="52"/>
  <c r="S23" i="52"/>
  <c r="AA23" i="52"/>
  <c r="AT23" i="52"/>
  <c r="BC23" i="52"/>
  <c r="BK23" i="52"/>
  <c r="I24" i="52"/>
  <c r="J10" i="52"/>
  <c r="R10" i="52"/>
  <c r="Z10" i="52"/>
  <c r="AP10" i="52"/>
  <c r="AX10" i="52"/>
  <c r="BF10" i="52"/>
  <c r="F11" i="52"/>
  <c r="N11" i="52"/>
  <c r="V11" i="52"/>
  <c r="AD11" i="52"/>
  <c r="AT11" i="52"/>
  <c r="BB11" i="52"/>
  <c r="BJ11" i="52"/>
  <c r="J12" i="52"/>
  <c r="R12" i="52"/>
  <c r="Z12" i="52"/>
  <c r="AS12" i="52"/>
  <c r="BB12" i="52"/>
  <c r="BJ12" i="52"/>
  <c r="H13" i="52"/>
  <c r="P13" i="52"/>
  <c r="X13" i="52"/>
  <c r="AQ13" i="52"/>
  <c r="AZ13" i="52"/>
  <c r="BH13" i="52"/>
  <c r="F14" i="52"/>
  <c r="N14" i="52"/>
  <c r="V14" i="52"/>
  <c r="AD14" i="52"/>
  <c r="AO14" i="52"/>
  <c r="AW14" i="52"/>
  <c r="BF14" i="52"/>
  <c r="L15" i="52"/>
  <c r="T15" i="52"/>
  <c r="AB15" i="52"/>
  <c r="AM15" i="52"/>
  <c r="AU15" i="52"/>
  <c r="BD15" i="52"/>
  <c r="J16" i="52"/>
  <c r="R16" i="52"/>
  <c r="Z16" i="52"/>
  <c r="AS16" i="52"/>
  <c r="BB16" i="52"/>
  <c r="BJ16" i="52"/>
  <c r="H17" i="52"/>
  <c r="P17" i="52"/>
  <c r="X17" i="52"/>
  <c r="AQ17" i="52"/>
  <c r="AZ17" i="52"/>
  <c r="BH17" i="52"/>
  <c r="F18" i="52"/>
  <c r="N18" i="52"/>
  <c r="V18" i="52"/>
  <c r="AD18" i="52"/>
  <c r="AO18" i="52"/>
  <c r="AW18" i="52"/>
  <c r="BF18" i="52"/>
  <c r="L19" i="52"/>
  <c r="T19" i="52"/>
  <c r="AB19" i="52"/>
  <c r="AM19" i="52"/>
  <c r="AU19" i="52"/>
  <c r="BD19" i="52"/>
  <c r="J20" i="52"/>
  <c r="R20" i="52"/>
  <c r="Z20" i="52"/>
  <c r="AS20" i="52"/>
  <c r="BB20" i="52"/>
  <c r="BJ20" i="52"/>
  <c r="H21" i="52"/>
  <c r="P21" i="52"/>
  <c r="X21" i="52"/>
  <c r="AQ21" i="52"/>
  <c r="AZ21" i="52"/>
  <c r="BH21" i="52"/>
  <c r="F22" i="52"/>
  <c r="N22" i="52"/>
  <c r="V22" i="52"/>
  <c r="AD22" i="52"/>
  <c r="AO22" i="52"/>
  <c r="AW22" i="52"/>
  <c r="BF22" i="52"/>
  <c r="L23" i="52"/>
  <c r="T23" i="52"/>
  <c r="AB23" i="52"/>
  <c r="AM23" i="52"/>
  <c r="AU23" i="52"/>
  <c r="BD23" i="52"/>
  <c r="J24" i="52"/>
  <c r="R24" i="52"/>
  <c r="L10" i="52"/>
  <c r="T10" i="52"/>
  <c r="AB10" i="52"/>
  <c r="AR10" i="52"/>
  <c r="AZ10" i="52"/>
  <c r="BH10" i="52"/>
  <c r="H11" i="52"/>
  <c r="P11" i="52"/>
  <c r="X11" i="52"/>
  <c r="AN11" i="52"/>
  <c r="AV11" i="52"/>
  <c r="BD11" i="52"/>
  <c r="BL11" i="52"/>
  <c r="L12" i="52"/>
  <c r="T12" i="52"/>
  <c r="AB12" i="52"/>
  <c r="AM12" i="52"/>
  <c r="AU12" i="52"/>
  <c r="BD12" i="52"/>
  <c r="J13" i="52"/>
  <c r="R13" i="52"/>
  <c r="Z13" i="52"/>
  <c r="AS13" i="52"/>
  <c r="BB13" i="52"/>
  <c r="BJ13" i="52"/>
  <c r="H14" i="52"/>
  <c r="P14" i="52"/>
  <c r="X14" i="52"/>
  <c r="AQ14" i="52"/>
  <c r="AZ14" i="52"/>
  <c r="BH14" i="52"/>
  <c r="F15" i="52"/>
  <c r="N15" i="52"/>
  <c r="V15" i="52"/>
  <c r="AD15" i="52"/>
  <c r="AO15" i="52"/>
  <c r="AW15" i="52"/>
  <c r="BF15" i="52"/>
  <c r="L16" i="52"/>
  <c r="T16" i="52"/>
  <c r="AB16" i="52"/>
  <c r="AM16" i="52"/>
  <c r="AU16" i="52"/>
  <c r="BD16" i="52"/>
  <c r="J17" i="52"/>
  <c r="R17" i="52"/>
  <c r="Z17" i="52"/>
  <c r="AS17" i="52"/>
  <c r="BB17" i="52"/>
  <c r="BJ17" i="52"/>
  <c r="H18" i="52"/>
  <c r="P18" i="52"/>
  <c r="X18" i="52"/>
  <c r="AQ18" i="52"/>
  <c r="AZ18" i="52"/>
  <c r="BH18" i="52"/>
  <c r="F19" i="52"/>
  <c r="N19" i="52"/>
  <c r="V19" i="52"/>
  <c r="AD19" i="52"/>
  <c r="AO19" i="52"/>
  <c r="AW19" i="52"/>
  <c r="BF19" i="52"/>
  <c r="L20" i="52"/>
  <c r="T20" i="52"/>
  <c r="AB20" i="52"/>
  <c r="AM20" i="52"/>
  <c r="AU20" i="52"/>
  <c r="BD20" i="52"/>
  <c r="J21" i="52"/>
  <c r="R21" i="52"/>
  <c r="Z21" i="52"/>
  <c r="AS21" i="52"/>
  <c r="BB21" i="52"/>
  <c r="BJ21" i="52"/>
  <c r="H22" i="52"/>
  <c r="P22" i="52"/>
  <c r="X22" i="52"/>
  <c r="AQ22" i="52"/>
  <c r="AZ22" i="52"/>
  <c r="BH22" i="52"/>
  <c r="F23" i="52"/>
  <c r="N23" i="52"/>
  <c r="V23" i="52"/>
  <c r="AD23" i="52"/>
  <c r="AO23" i="52"/>
  <c r="AW23" i="52"/>
  <c r="BF23" i="52"/>
  <c r="K10" i="52"/>
  <c r="W11" i="52"/>
  <c r="BL13" i="52"/>
  <c r="AC15" i="52"/>
  <c r="AA16" i="52"/>
  <c r="Y17" i="52"/>
  <c r="W18" i="52"/>
  <c r="U19" i="52"/>
  <c r="S20" i="52"/>
  <c r="BL21" i="52"/>
  <c r="AW21" i="52"/>
  <c r="I22" i="52"/>
  <c r="AU22" i="52"/>
  <c r="G23" i="52"/>
  <c r="AC23" i="52"/>
  <c r="AS23" i="52"/>
  <c r="P24" i="52"/>
  <c r="Z24" i="52"/>
  <c r="AS24" i="52"/>
  <c r="BB24" i="52"/>
  <c r="BJ24" i="52"/>
  <c r="H25" i="52"/>
  <c r="P25" i="52"/>
  <c r="X25" i="52"/>
  <c r="AQ25" i="52"/>
  <c r="AZ25" i="52"/>
  <c r="BH25" i="52"/>
  <c r="F26" i="52"/>
  <c r="N26" i="52"/>
  <c r="V26" i="52"/>
  <c r="AD26" i="52"/>
  <c r="AO26" i="52"/>
  <c r="AW26" i="52"/>
  <c r="BF26" i="52"/>
  <c r="L27" i="52"/>
  <c r="T27" i="52"/>
  <c r="AB27" i="52"/>
  <c r="AM27" i="52"/>
  <c r="AU27" i="52"/>
  <c r="BD27" i="52"/>
  <c r="J28" i="52"/>
  <c r="R28" i="52"/>
  <c r="Z28" i="52"/>
  <c r="AS28" i="52"/>
  <c r="BB28" i="52"/>
  <c r="BJ28" i="52"/>
  <c r="H29" i="52"/>
  <c r="P29" i="52"/>
  <c r="X29" i="52"/>
  <c r="AQ29" i="52"/>
  <c r="AZ29" i="52"/>
  <c r="BH29" i="52"/>
  <c r="F30" i="52"/>
  <c r="N30" i="52"/>
  <c r="V30" i="52"/>
  <c r="AD30" i="52"/>
  <c r="AO30" i="52"/>
  <c r="AW30" i="52"/>
  <c r="BF30" i="52"/>
  <c r="L31" i="52"/>
  <c r="T31" i="52"/>
  <c r="AB31" i="52"/>
  <c r="AM31" i="52"/>
  <c r="AU31" i="52"/>
  <c r="BD31" i="52"/>
  <c r="J32" i="52"/>
  <c r="R32" i="52"/>
  <c r="Z32" i="52"/>
  <c r="AS32" i="52"/>
  <c r="BB32" i="52"/>
  <c r="BJ32" i="52"/>
  <c r="H33" i="52"/>
  <c r="P33" i="52"/>
  <c r="X33" i="52"/>
  <c r="AQ33" i="52"/>
  <c r="AZ33" i="52"/>
  <c r="BH33" i="52"/>
  <c r="F34" i="52"/>
  <c r="N34" i="52"/>
  <c r="V34" i="52"/>
  <c r="AD34" i="52"/>
  <c r="AO34" i="52"/>
  <c r="AW34" i="52"/>
  <c r="BF34" i="52"/>
  <c r="L35" i="52"/>
  <c r="T35" i="52"/>
  <c r="S10" i="52"/>
  <c r="AM11" i="52"/>
  <c r="AY15" i="52"/>
  <c r="BL17" i="52"/>
  <c r="AC19" i="52"/>
  <c r="AA20" i="52"/>
  <c r="I21" i="52"/>
  <c r="BA21" i="52"/>
  <c r="L22" i="52"/>
  <c r="BL22" i="52"/>
  <c r="AX22" i="52"/>
  <c r="J23" i="52"/>
  <c r="AV23" i="52"/>
  <c r="E24" i="52"/>
  <c r="Q24" i="52"/>
  <c r="AA24" i="52"/>
  <c r="AT24" i="52"/>
  <c r="BC24" i="52"/>
  <c r="BK24" i="52"/>
  <c r="I25" i="52"/>
  <c r="Q25" i="52"/>
  <c r="Y25" i="52"/>
  <c r="BL25" i="52"/>
  <c r="AR25" i="52"/>
  <c r="BA25" i="52"/>
  <c r="BI25" i="52"/>
  <c r="G26" i="52"/>
  <c r="O26" i="52"/>
  <c r="W26" i="52"/>
  <c r="AP26" i="52"/>
  <c r="AX26" i="52"/>
  <c r="BG26" i="52"/>
  <c r="E27" i="52"/>
  <c r="M27" i="52"/>
  <c r="U27" i="52"/>
  <c r="AC27" i="52"/>
  <c r="AY27" i="52"/>
  <c r="AN27" i="52"/>
  <c r="AV27" i="52"/>
  <c r="BE27" i="52"/>
  <c r="K28" i="52"/>
  <c r="S28" i="52"/>
  <c r="AA28" i="52"/>
  <c r="AT28" i="52"/>
  <c r="BC28" i="52"/>
  <c r="BK28" i="52"/>
  <c r="I29" i="52"/>
  <c r="Q29" i="52"/>
  <c r="Y29" i="52"/>
  <c r="BL29" i="52"/>
  <c r="AR29" i="52"/>
  <c r="BA29" i="52"/>
  <c r="BI29" i="52"/>
  <c r="G30" i="52"/>
  <c r="O30" i="52"/>
  <c r="W30" i="52"/>
  <c r="AP30" i="52"/>
  <c r="AX30" i="52"/>
  <c r="BG30" i="52"/>
  <c r="E31" i="52"/>
  <c r="M31" i="52"/>
  <c r="U31" i="52"/>
  <c r="AC31" i="52"/>
  <c r="AY31" i="52"/>
  <c r="AN31" i="52"/>
  <c r="AV31" i="52"/>
  <c r="BE31" i="52"/>
  <c r="K32" i="52"/>
  <c r="S32" i="52"/>
  <c r="AA32" i="52"/>
  <c r="AT32" i="52"/>
  <c r="BC32" i="52"/>
  <c r="BK32" i="52"/>
  <c r="I33" i="52"/>
  <c r="Q33" i="52"/>
  <c r="Y33" i="52"/>
  <c r="BL33" i="52"/>
  <c r="AR33" i="52"/>
  <c r="BA33" i="52"/>
  <c r="BI33" i="52"/>
  <c r="G34" i="52"/>
  <c r="O34" i="52"/>
  <c r="W34" i="52"/>
  <c r="AP34" i="52"/>
  <c r="AX34" i="52"/>
  <c r="BG34" i="52"/>
  <c r="E35" i="52"/>
  <c r="M35" i="52"/>
  <c r="AA10" i="52"/>
  <c r="AU11" i="52"/>
  <c r="AT12" i="52"/>
  <c r="AR13" i="52"/>
  <c r="AP14" i="52"/>
  <c r="AN15" i="52"/>
  <c r="AY19" i="52"/>
  <c r="K21" i="52"/>
  <c r="BC21" i="52"/>
  <c r="O22" i="52"/>
  <c r="BA22" i="52"/>
  <c r="M23" i="52"/>
  <c r="AX23" i="52"/>
  <c r="G24" i="52"/>
  <c r="S24" i="52"/>
  <c r="AB24" i="52"/>
  <c r="AM24" i="52"/>
  <c r="AU24" i="52"/>
  <c r="BD24" i="52"/>
  <c r="J25" i="52"/>
  <c r="R25" i="52"/>
  <c r="Z25" i="52"/>
  <c r="AS25" i="52"/>
  <c r="BB25" i="52"/>
  <c r="BJ25" i="52"/>
  <c r="H26" i="52"/>
  <c r="P26" i="52"/>
  <c r="X26" i="52"/>
  <c r="AQ26" i="52"/>
  <c r="AZ26" i="52"/>
  <c r="BH26" i="52"/>
  <c r="F27" i="52"/>
  <c r="N27" i="52"/>
  <c r="V27" i="52"/>
  <c r="AD27" i="52"/>
  <c r="AO27" i="52"/>
  <c r="AW27" i="52"/>
  <c r="BF27" i="52"/>
  <c r="L28" i="52"/>
  <c r="T28" i="52"/>
  <c r="AB28" i="52"/>
  <c r="AM28" i="52"/>
  <c r="AU28" i="52"/>
  <c r="BD28" i="52"/>
  <c r="J29" i="52"/>
  <c r="R29" i="52"/>
  <c r="Z29" i="52"/>
  <c r="AS29" i="52"/>
  <c r="BB29" i="52"/>
  <c r="BJ29" i="52"/>
  <c r="H30" i="52"/>
  <c r="P30" i="52"/>
  <c r="X30" i="52"/>
  <c r="AQ30" i="52"/>
  <c r="AZ30" i="52"/>
  <c r="BH30" i="52"/>
  <c r="F31" i="52"/>
  <c r="N31" i="52"/>
  <c r="V31" i="52"/>
  <c r="AD31" i="52"/>
  <c r="AO31" i="52"/>
  <c r="AW31" i="52"/>
  <c r="BF31" i="52"/>
  <c r="L32" i="52"/>
  <c r="T32" i="52"/>
  <c r="AB32" i="52"/>
  <c r="AM32" i="52"/>
  <c r="AU32" i="52"/>
  <c r="BD32" i="52"/>
  <c r="J33" i="52"/>
  <c r="R33" i="52"/>
  <c r="Z33" i="52"/>
  <c r="AS33" i="52"/>
  <c r="BB33" i="52"/>
  <c r="BJ33" i="52"/>
  <c r="H34" i="52"/>
  <c r="P34" i="52"/>
  <c r="X34" i="52"/>
  <c r="AQ34" i="52"/>
  <c r="AZ34" i="52"/>
  <c r="BH34" i="52"/>
  <c r="F35" i="52"/>
  <c r="N35" i="52"/>
  <c r="AQ10" i="52"/>
  <c r="BC11" i="52"/>
  <c r="BC12" i="52"/>
  <c r="BA13" i="52"/>
  <c r="AX14" i="52"/>
  <c r="AV15" i="52"/>
  <c r="AT16" i="52"/>
  <c r="AR17" i="52"/>
  <c r="AP18" i="52"/>
  <c r="AN19" i="52"/>
  <c r="Q21" i="52"/>
  <c r="BF21" i="52"/>
  <c r="Q22" i="52"/>
  <c r="BD22" i="52"/>
  <c r="O23" i="52"/>
  <c r="AY23" i="52"/>
  <c r="BB23" i="52"/>
  <c r="H24" i="52"/>
  <c r="T24" i="52"/>
  <c r="AC24" i="52"/>
  <c r="AY24" i="52"/>
  <c r="AN24" i="52"/>
  <c r="AV24" i="52"/>
  <c r="BE24" i="52"/>
  <c r="K25" i="52"/>
  <c r="S25" i="52"/>
  <c r="AA25" i="52"/>
  <c r="AT25" i="52"/>
  <c r="BC25" i="52"/>
  <c r="BK25" i="52"/>
  <c r="I26" i="52"/>
  <c r="Q26" i="52"/>
  <c r="Y26" i="52"/>
  <c r="BL26" i="52"/>
  <c r="AR26" i="52"/>
  <c r="BA26" i="52"/>
  <c r="BI26" i="52"/>
  <c r="G27" i="52"/>
  <c r="O27" i="52"/>
  <c r="W27" i="52"/>
  <c r="AP27" i="52"/>
  <c r="AX27" i="52"/>
  <c r="BG27" i="52"/>
  <c r="E28" i="52"/>
  <c r="M28" i="52"/>
  <c r="U28" i="52"/>
  <c r="AC28" i="52"/>
  <c r="AY28" i="52"/>
  <c r="AN28" i="52"/>
  <c r="AV28" i="52"/>
  <c r="BE28" i="52"/>
  <c r="K29" i="52"/>
  <c r="S29" i="52"/>
  <c r="AA29" i="52"/>
  <c r="AT29" i="52"/>
  <c r="BC29" i="52"/>
  <c r="BK29" i="52"/>
  <c r="I30" i="52"/>
  <c r="Q30" i="52"/>
  <c r="Y30" i="52"/>
  <c r="BL30" i="52"/>
  <c r="AR30" i="52"/>
  <c r="BA30" i="52"/>
  <c r="BI30" i="52"/>
  <c r="G31" i="52"/>
  <c r="O31" i="52"/>
  <c r="W31" i="52"/>
  <c r="AP31" i="52"/>
  <c r="AX31" i="52"/>
  <c r="BG31" i="52"/>
  <c r="E32" i="52"/>
  <c r="M32" i="52"/>
  <c r="U32" i="52"/>
  <c r="AC32" i="52"/>
  <c r="AY32" i="52"/>
  <c r="AN32" i="52"/>
  <c r="AV32" i="52"/>
  <c r="BE32" i="52"/>
  <c r="K33" i="52"/>
  <c r="S33" i="52"/>
  <c r="AA33" i="52"/>
  <c r="AT33" i="52"/>
  <c r="BC33" i="52"/>
  <c r="BK33" i="52"/>
  <c r="I34" i="52"/>
  <c r="Q34" i="52"/>
  <c r="Y34" i="52"/>
  <c r="BL34" i="52"/>
  <c r="AR34" i="52"/>
  <c r="BA34" i="52"/>
  <c r="BI34" i="52"/>
  <c r="G35" i="52"/>
  <c r="AY10" i="52"/>
  <c r="BK11" i="52"/>
  <c r="BK12" i="52"/>
  <c r="BI13" i="52"/>
  <c r="BG14" i="52"/>
  <c r="BE15" i="52"/>
  <c r="BC16" i="52"/>
  <c r="BA17" i="52"/>
  <c r="AX18" i="52"/>
  <c r="AV19" i="52"/>
  <c r="AT20" i="52"/>
  <c r="S21" i="52"/>
  <c r="BI21" i="52"/>
  <c r="T22" i="52"/>
  <c r="BG22" i="52"/>
  <c r="R23" i="52"/>
  <c r="BE23" i="52"/>
  <c r="K24" i="52"/>
  <c r="U24" i="52"/>
  <c r="AD24" i="52"/>
  <c r="AO24" i="52"/>
  <c r="AW24" i="52"/>
  <c r="BF24" i="52"/>
  <c r="L25" i="52"/>
  <c r="T25" i="52"/>
  <c r="AB25" i="52"/>
  <c r="AM25" i="52"/>
  <c r="AU25" i="52"/>
  <c r="BD25" i="52"/>
  <c r="J26" i="52"/>
  <c r="R26" i="52"/>
  <c r="Z26" i="52"/>
  <c r="AS26" i="52"/>
  <c r="BB26" i="52"/>
  <c r="BJ26" i="52"/>
  <c r="H27" i="52"/>
  <c r="P27" i="52"/>
  <c r="X27" i="52"/>
  <c r="AQ27" i="52"/>
  <c r="AZ27" i="52"/>
  <c r="BH27" i="52"/>
  <c r="F28" i="52"/>
  <c r="N28" i="52"/>
  <c r="V28" i="52"/>
  <c r="AD28" i="52"/>
  <c r="AO28" i="52"/>
  <c r="AW28" i="52"/>
  <c r="BF28" i="52"/>
  <c r="L29" i="52"/>
  <c r="T29" i="52"/>
  <c r="AB29" i="52"/>
  <c r="AM29" i="52"/>
  <c r="AU29" i="52"/>
  <c r="BD29" i="52"/>
  <c r="J30" i="52"/>
  <c r="R30" i="52"/>
  <c r="Z30" i="52"/>
  <c r="AS30" i="52"/>
  <c r="BB30" i="52"/>
  <c r="BJ30" i="52"/>
  <c r="H31" i="52"/>
  <c r="P31" i="52"/>
  <c r="X31" i="52"/>
  <c r="AQ31" i="52"/>
  <c r="AZ31" i="52"/>
  <c r="BH31" i="52"/>
  <c r="F32" i="52"/>
  <c r="N32" i="52"/>
  <c r="V32" i="52"/>
  <c r="AD32" i="52"/>
  <c r="AO32" i="52"/>
  <c r="AW32" i="52"/>
  <c r="BF32" i="52"/>
  <c r="L33" i="52"/>
  <c r="T33" i="52"/>
  <c r="AB33" i="52"/>
  <c r="AM33" i="52"/>
  <c r="AU33" i="52"/>
  <c r="BD33" i="52"/>
  <c r="J34" i="52"/>
  <c r="R34" i="52"/>
  <c r="Z34" i="52"/>
  <c r="AS34" i="52"/>
  <c r="BB34" i="52"/>
  <c r="BJ34" i="52"/>
  <c r="H35" i="52"/>
  <c r="P35" i="52"/>
  <c r="X35" i="52"/>
  <c r="BG10" i="52"/>
  <c r="K12" i="52"/>
  <c r="I13" i="52"/>
  <c r="G14" i="52"/>
  <c r="E15" i="52"/>
  <c r="BK16" i="52"/>
  <c r="BI17" i="52"/>
  <c r="BG18" i="52"/>
  <c r="BE19" i="52"/>
  <c r="BC20" i="52"/>
  <c r="Y21" i="52"/>
  <c r="AO21" i="52"/>
  <c r="BK21" i="52"/>
  <c r="W22" i="52"/>
  <c r="AM22" i="52"/>
  <c r="BI22" i="52"/>
  <c r="U23" i="52"/>
  <c r="BG23" i="52"/>
  <c r="L24" i="52"/>
  <c r="W24" i="52"/>
  <c r="AP24" i="52"/>
  <c r="AX24" i="52"/>
  <c r="BG24" i="52"/>
  <c r="E25" i="52"/>
  <c r="M25" i="52"/>
  <c r="U25" i="52"/>
  <c r="AC25" i="52"/>
  <c r="AY25" i="52"/>
  <c r="AN25" i="52"/>
  <c r="AV25" i="52"/>
  <c r="BE25" i="52"/>
  <c r="K26" i="52"/>
  <c r="S26" i="52"/>
  <c r="AA26" i="52"/>
  <c r="AT26" i="52"/>
  <c r="BC26" i="52"/>
  <c r="BK26" i="52"/>
  <c r="I27" i="52"/>
  <c r="Q27" i="52"/>
  <c r="Y27" i="52"/>
  <c r="BL27" i="52"/>
  <c r="AR27" i="52"/>
  <c r="BA27" i="52"/>
  <c r="BI27" i="52"/>
  <c r="G28" i="52"/>
  <c r="O28" i="52"/>
  <c r="W28" i="52"/>
  <c r="AP28" i="52"/>
  <c r="AX28" i="52"/>
  <c r="BG28" i="52"/>
  <c r="E29" i="52"/>
  <c r="M29" i="52"/>
  <c r="U29" i="52"/>
  <c r="AC29" i="52"/>
  <c r="AY29" i="52"/>
  <c r="AN29" i="52"/>
  <c r="AV29" i="52"/>
  <c r="BE29" i="52"/>
  <c r="K30" i="52"/>
  <c r="S30" i="52"/>
  <c r="AA30" i="52"/>
  <c r="AT30" i="52"/>
  <c r="BC30" i="52"/>
  <c r="BK30" i="52"/>
  <c r="I31" i="52"/>
  <c r="Q31" i="52"/>
  <c r="Y31" i="52"/>
  <c r="BL31" i="52"/>
  <c r="AR31" i="52"/>
  <c r="BA31" i="52"/>
  <c r="BI31" i="52"/>
  <c r="G32" i="52"/>
  <c r="O32" i="52"/>
  <c r="W32" i="52"/>
  <c r="AP32" i="52"/>
  <c r="AX32" i="52"/>
  <c r="BG32" i="52"/>
  <c r="E33" i="52"/>
  <c r="M33" i="52"/>
  <c r="U33" i="52"/>
  <c r="AC33" i="52"/>
  <c r="AY33" i="52"/>
  <c r="AN33" i="52"/>
  <c r="AV33" i="52"/>
  <c r="BE33" i="52"/>
  <c r="K34" i="52"/>
  <c r="S34" i="52"/>
  <c r="AA34" i="52"/>
  <c r="AT34" i="52"/>
  <c r="BC34" i="52"/>
  <c r="BK34" i="52"/>
  <c r="O11" i="52"/>
  <c r="AA12" i="52"/>
  <c r="Y13" i="52"/>
  <c r="W14" i="52"/>
  <c r="U15" i="52"/>
  <c r="S16" i="52"/>
  <c r="Q17" i="52"/>
  <c r="O18" i="52"/>
  <c r="M19" i="52"/>
  <c r="K20" i="52"/>
  <c r="BK20" i="52"/>
  <c r="AD21" i="52"/>
  <c r="AT21" i="52"/>
  <c r="G22" i="52"/>
  <c r="AB22" i="52"/>
  <c r="AR22" i="52"/>
  <c r="E23" i="52"/>
  <c r="Z23" i="52"/>
  <c r="AP23" i="52"/>
  <c r="O24" i="52"/>
  <c r="Y24" i="52"/>
  <c r="BL24" i="52"/>
  <c r="AR24" i="52"/>
  <c r="BA24" i="52"/>
  <c r="BI24" i="52"/>
  <c r="G25" i="52"/>
  <c r="O25" i="52"/>
  <c r="W25" i="52"/>
  <c r="AP25" i="52"/>
  <c r="AX25" i="52"/>
  <c r="BG25" i="52"/>
  <c r="E26" i="52"/>
  <c r="M26" i="52"/>
  <c r="U26" i="52"/>
  <c r="AC26" i="52"/>
  <c r="AY26" i="52"/>
  <c r="AN26" i="52"/>
  <c r="AV26" i="52"/>
  <c r="BE26" i="52"/>
  <c r="K27" i="52"/>
  <c r="S27" i="52"/>
  <c r="AA27" i="52"/>
  <c r="AT27" i="52"/>
  <c r="BC27" i="52"/>
  <c r="BK27" i="52"/>
  <c r="I28" i="52"/>
  <c r="Q28" i="52"/>
  <c r="Y28" i="52"/>
  <c r="BL28" i="52"/>
  <c r="AR28" i="52"/>
  <c r="BA28" i="52"/>
  <c r="BI28" i="52"/>
  <c r="G29" i="52"/>
  <c r="O29" i="52"/>
  <c r="W29" i="52"/>
  <c r="AP29" i="52"/>
  <c r="AX29" i="52"/>
  <c r="BG29" i="52"/>
  <c r="E30" i="52"/>
  <c r="M30" i="52"/>
  <c r="U30" i="52"/>
  <c r="AC30" i="52"/>
  <c r="AY30" i="52"/>
  <c r="AN30" i="52"/>
  <c r="AV30" i="52"/>
  <c r="BE30" i="52"/>
  <c r="K31" i="52"/>
  <c r="S31" i="52"/>
  <c r="AA31" i="52"/>
  <c r="AT31" i="52"/>
  <c r="BC31" i="52"/>
  <c r="BK31" i="52"/>
  <c r="I32" i="52"/>
  <c r="Q32" i="52"/>
  <c r="Y32" i="52"/>
  <c r="BL32" i="52"/>
  <c r="AR32" i="52"/>
  <c r="BA32" i="52"/>
  <c r="BI32" i="52"/>
  <c r="G33" i="52"/>
  <c r="O33" i="52"/>
  <c r="W33" i="52"/>
  <c r="AP33" i="52"/>
  <c r="AX33" i="52"/>
  <c r="BG33" i="52"/>
  <c r="E34" i="52"/>
  <c r="M34" i="52"/>
  <c r="U34" i="52"/>
  <c r="AC34" i="52"/>
  <c r="AY34" i="52"/>
  <c r="AN34" i="52"/>
  <c r="AV34" i="52"/>
  <c r="BE34" i="52"/>
  <c r="K35" i="52"/>
  <c r="S35" i="52"/>
  <c r="AA35" i="52"/>
  <c r="G11" i="52"/>
  <c r="E19" i="52"/>
  <c r="AQ24" i="52"/>
  <c r="AO25" i="52"/>
  <c r="AM26" i="52"/>
  <c r="AD33" i="52"/>
  <c r="AB34" i="52"/>
  <c r="O35" i="52"/>
  <c r="AB35" i="52"/>
  <c r="AY35" i="52"/>
  <c r="AN35" i="52"/>
  <c r="AV35" i="52"/>
  <c r="BE35" i="52"/>
  <c r="K36" i="52"/>
  <c r="S36" i="52"/>
  <c r="AA36" i="52"/>
  <c r="AT36" i="52"/>
  <c r="BC36" i="52"/>
  <c r="BK36" i="52"/>
  <c r="I37" i="52"/>
  <c r="Q37" i="52"/>
  <c r="Y37" i="52"/>
  <c r="BL37" i="52"/>
  <c r="AR37" i="52"/>
  <c r="BA37" i="52"/>
  <c r="BI37" i="52"/>
  <c r="G38" i="52"/>
  <c r="O38" i="52"/>
  <c r="W38" i="52"/>
  <c r="AP38" i="52"/>
  <c r="AX38" i="52"/>
  <c r="BG38" i="52"/>
  <c r="E39" i="52"/>
  <c r="M39" i="52"/>
  <c r="U39" i="52"/>
  <c r="AC39" i="52"/>
  <c r="AY39" i="52"/>
  <c r="AN39" i="52"/>
  <c r="AV39" i="52"/>
  <c r="BE39" i="52"/>
  <c r="K40" i="52"/>
  <c r="S40" i="52"/>
  <c r="AA40" i="52"/>
  <c r="AT40" i="52"/>
  <c r="BC40" i="52"/>
  <c r="BK40" i="52"/>
  <c r="I41" i="52"/>
  <c r="Q41" i="52"/>
  <c r="Y41" i="52"/>
  <c r="BL41" i="52"/>
  <c r="AR41" i="52"/>
  <c r="BA41" i="52"/>
  <c r="BI41" i="52"/>
  <c r="G42" i="52"/>
  <c r="O42" i="52"/>
  <c r="W42" i="52"/>
  <c r="AP42" i="52"/>
  <c r="AX42" i="52"/>
  <c r="BG42" i="52"/>
  <c r="E43" i="52"/>
  <c r="M43" i="52"/>
  <c r="U43" i="52"/>
  <c r="AC43" i="52"/>
  <c r="AY43" i="52"/>
  <c r="AN43" i="52"/>
  <c r="AV43" i="52"/>
  <c r="BE43" i="52"/>
  <c r="K44" i="52"/>
  <c r="S44" i="52"/>
  <c r="AA44" i="52"/>
  <c r="AT44" i="52"/>
  <c r="BC44" i="52"/>
  <c r="BK44" i="52"/>
  <c r="I45" i="52"/>
  <c r="Q45" i="52"/>
  <c r="Y45" i="52"/>
  <c r="BL45" i="52"/>
  <c r="AR45" i="52"/>
  <c r="BA45" i="52"/>
  <c r="BI45" i="52"/>
  <c r="G46" i="52"/>
  <c r="O46" i="52"/>
  <c r="W46" i="52"/>
  <c r="AP46" i="52"/>
  <c r="AX46" i="52"/>
  <c r="BG46" i="52"/>
  <c r="E47" i="52"/>
  <c r="S12" i="52"/>
  <c r="W23" i="52"/>
  <c r="AZ24" i="52"/>
  <c r="AW25" i="52"/>
  <c r="AU26" i="52"/>
  <c r="AS27" i="52"/>
  <c r="AQ28" i="52"/>
  <c r="AO29" i="52"/>
  <c r="AM30" i="52"/>
  <c r="Q35" i="52"/>
  <c r="AC35" i="52"/>
  <c r="AO35" i="52"/>
  <c r="AW35" i="52"/>
  <c r="BF35" i="52"/>
  <c r="L36" i="52"/>
  <c r="T36" i="52"/>
  <c r="AB36" i="52"/>
  <c r="AM36" i="52"/>
  <c r="AU36" i="52"/>
  <c r="BD36" i="52"/>
  <c r="J37" i="52"/>
  <c r="R37" i="52"/>
  <c r="Z37" i="52"/>
  <c r="AS37" i="52"/>
  <c r="BB37" i="52"/>
  <c r="BJ37" i="52"/>
  <c r="H38" i="52"/>
  <c r="P38" i="52"/>
  <c r="X38" i="52"/>
  <c r="AQ38" i="52"/>
  <c r="AZ38" i="52"/>
  <c r="BH38" i="52"/>
  <c r="F39" i="52"/>
  <c r="N39" i="52"/>
  <c r="V39" i="52"/>
  <c r="AD39" i="52"/>
  <c r="AO39" i="52"/>
  <c r="AW39" i="52"/>
  <c r="BF39" i="52"/>
  <c r="L40" i="52"/>
  <c r="T40" i="52"/>
  <c r="AB40" i="52"/>
  <c r="AM40" i="52"/>
  <c r="AU40" i="52"/>
  <c r="BD40" i="52"/>
  <c r="J41" i="52"/>
  <c r="R41" i="52"/>
  <c r="Z41" i="52"/>
  <c r="AS41" i="52"/>
  <c r="BB41" i="52"/>
  <c r="BJ41" i="52"/>
  <c r="H42" i="52"/>
  <c r="P42" i="52"/>
  <c r="X42" i="52"/>
  <c r="AQ42" i="52"/>
  <c r="AZ42" i="52"/>
  <c r="BH42" i="52"/>
  <c r="F43" i="52"/>
  <c r="N43" i="52"/>
  <c r="V43" i="52"/>
  <c r="AD43" i="52"/>
  <c r="AO43" i="52"/>
  <c r="AW43" i="52"/>
  <c r="BF43" i="52"/>
  <c r="L44" i="52"/>
  <c r="T44" i="52"/>
  <c r="AB44" i="52"/>
  <c r="AM44" i="52"/>
  <c r="AU44" i="52"/>
  <c r="BD44" i="52"/>
  <c r="J45" i="52"/>
  <c r="R45" i="52"/>
  <c r="Z45" i="52"/>
  <c r="AS45" i="52"/>
  <c r="BB45" i="52"/>
  <c r="BJ45" i="52"/>
  <c r="H46" i="52"/>
  <c r="P46" i="52"/>
  <c r="X46" i="52"/>
  <c r="AQ46" i="52"/>
  <c r="AZ46" i="52"/>
  <c r="BH46" i="52"/>
  <c r="F47" i="52"/>
  <c r="N47" i="52"/>
  <c r="Q13" i="52"/>
  <c r="BE20" i="52"/>
  <c r="AN23" i="52"/>
  <c r="BH24" i="52"/>
  <c r="BF25" i="52"/>
  <c r="BD26" i="52"/>
  <c r="BB27" i="52"/>
  <c r="AZ28" i="52"/>
  <c r="AW29" i="52"/>
  <c r="AU30" i="52"/>
  <c r="AS31" i="52"/>
  <c r="AQ32" i="52"/>
  <c r="AO33" i="52"/>
  <c r="AM34" i="52"/>
  <c r="R35" i="52"/>
  <c r="AD35" i="52"/>
  <c r="AP35" i="52"/>
  <c r="AX35" i="52"/>
  <c r="BG35" i="52"/>
  <c r="E36" i="52"/>
  <c r="M36" i="52"/>
  <c r="U36" i="52"/>
  <c r="AC36" i="52"/>
  <c r="AY36" i="52"/>
  <c r="AN36" i="52"/>
  <c r="AV36" i="52"/>
  <c r="BE36" i="52"/>
  <c r="K37" i="52"/>
  <c r="S37" i="52"/>
  <c r="AA37" i="52"/>
  <c r="AT37" i="52"/>
  <c r="BC37" i="52"/>
  <c r="BK37" i="52"/>
  <c r="I38" i="52"/>
  <c r="Q38" i="52"/>
  <c r="Y38" i="52"/>
  <c r="BL38" i="52"/>
  <c r="AR38" i="52"/>
  <c r="BA38" i="52"/>
  <c r="BI38" i="52"/>
  <c r="G39" i="52"/>
  <c r="O39" i="52"/>
  <c r="W39" i="52"/>
  <c r="AP39" i="52"/>
  <c r="AX39" i="52"/>
  <c r="BG39" i="52"/>
  <c r="E40" i="52"/>
  <c r="M40" i="52"/>
  <c r="U40" i="52"/>
  <c r="AC40" i="52"/>
  <c r="AY40" i="52"/>
  <c r="AN40" i="52"/>
  <c r="AV40" i="52"/>
  <c r="BE40" i="52"/>
  <c r="K41" i="52"/>
  <c r="S41" i="52"/>
  <c r="AA41" i="52"/>
  <c r="AT41" i="52"/>
  <c r="BC41" i="52"/>
  <c r="BK41" i="52"/>
  <c r="I42" i="52"/>
  <c r="Q42" i="52"/>
  <c r="Y42" i="52"/>
  <c r="BL42" i="52"/>
  <c r="AR42" i="52"/>
  <c r="BA42" i="52"/>
  <c r="BI42" i="52"/>
  <c r="G43" i="52"/>
  <c r="O43" i="52"/>
  <c r="W43" i="52"/>
  <c r="AP43" i="52"/>
  <c r="AX43" i="52"/>
  <c r="BG43" i="52"/>
  <c r="E44" i="52"/>
  <c r="M44" i="52"/>
  <c r="U44" i="52"/>
  <c r="AC44" i="52"/>
  <c r="AY44" i="52"/>
  <c r="AN44" i="52"/>
  <c r="AV44" i="52"/>
  <c r="BE44" i="52"/>
  <c r="K45" i="52"/>
  <c r="S45" i="52"/>
  <c r="AA45" i="52"/>
  <c r="AT45" i="52"/>
  <c r="BC45" i="52"/>
  <c r="BK45" i="52"/>
  <c r="I46" i="52"/>
  <c r="Q46" i="52"/>
  <c r="O14" i="52"/>
  <c r="AA21" i="52"/>
  <c r="BJ23" i="52"/>
  <c r="F25" i="52"/>
  <c r="BJ27" i="52"/>
  <c r="BH28" i="52"/>
  <c r="BF29" i="52"/>
  <c r="BD30" i="52"/>
  <c r="BB31" i="52"/>
  <c r="AZ32" i="52"/>
  <c r="AW33" i="52"/>
  <c r="AU34" i="52"/>
  <c r="U35" i="52"/>
  <c r="AQ35" i="52"/>
  <c r="AZ35" i="52"/>
  <c r="BH35" i="52"/>
  <c r="F36" i="52"/>
  <c r="N36" i="52"/>
  <c r="V36" i="52"/>
  <c r="AD36" i="52"/>
  <c r="AO36" i="52"/>
  <c r="AW36" i="52"/>
  <c r="BF36" i="52"/>
  <c r="L37" i="52"/>
  <c r="T37" i="52"/>
  <c r="AB37" i="52"/>
  <c r="AM37" i="52"/>
  <c r="AU37" i="52"/>
  <c r="BD37" i="52"/>
  <c r="J38" i="52"/>
  <c r="R38" i="52"/>
  <c r="Z38" i="52"/>
  <c r="AS38" i="52"/>
  <c r="BB38" i="52"/>
  <c r="BJ38" i="52"/>
  <c r="H39" i="52"/>
  <c r="P39" i="52"/>
  <c r="X39" i="52"/>
  <c r="AQ39" i="52"/>
  <c r="AZ39" i="52"/>
  <c r="BH39" i="52"/>
  <c r="F40" i="52"/>
  <c r="N40" i="52"/>
  <c r="V40" i="52"/>
  <c r="AD40" i="52"/>
  <c r="AO40" i="52"/>
  <c r="AW40" i="52"/>
  <c r="BF40" i="52"/>
  <c r="L41" i="52"/>
  <c r="T41" i="52"/>
  <c r="AB41" i="52"/>
  <c r="AM41" i="52"/>
  <c r="AU41" i="52"/>
  <c r="BD41" i="52"/>
  <c r="J42" i="52"/>
  <c r="R42" i="52"/>
  <c r="Z42" i="52"/>
  <c r="AS42" i="52"/>
  <c r="BB42" i="52"/>
  <c r="BJ42" i="52"/>
  <c r="H43" i="52"/>
  <c r="P43" i="52"/>
  <c r="X43" i="52"/>
  <c r="AQ43" i="52"/>
  <c r="AZ43" i="52"/>
  <c r="BH43" i="52"/>
  <c r="F44" i="52"/>
  <c r="N44" i="52"/>
  <c r="V44" i="52"/>
  <c r="AD44" i="52"/>
  <c r="AO44" i="52"/>
  <c r="AW44" i="52"/>
  <c r="BF44" i="52"/>
  <c r="L45" i="52"/>
  <c r="T45" i="52"/>
  <c r="AB45" i="52"/>
  <c r="AM45" i="52"/>
  <c r="AU45" i="52"/>
  <c r="BD45" i="52"/>
  <c r="J46" i="52"/>
  <c r="R46" i="52"/>
  <c r="Z46" i="52"/>
  <c r="AS46" i="52"/>
  <c r="BB46" i="52"/>
  <c r="BJ46" i="52"/>
  <c r="H47" i="52"/>
  <c r="P47" i="52"/>
  <c r="X47" i="52"/>
  <c r="M15" i="52"/>
  <c r="AR21" i="52"/>
  <c r="M24" i="52"/>
  <c r="N25" i="52"/>
  <c r="L26" i="52"/>
  <c r="J27" i="52"/>
  <c r="H28" i="52"/>
  <c r="F29" i="52"/>
  <c r="BJ31" i="52"/>
  <c r="BH32" i="52"/>
  <c r="BF33" i="52"/>
  <c r="BD34" i="52"/>
  <c r="V35" i="52"/>
  <c r="BL35" i="52"/>
  <c r="AR35" i="52"/>
  <c r="BA35" i="52"/>
  <c r="BI35" i="52"/>
  <c r="G36" i="52"/>
  <c r="O36" i="52"/>
  <c r="W36" i="52"/>
  <c r="AP36" i="52"/>
  <c r="AX36" i="52"/>
  <c r="BG36" i="52"/>
  <c r="E37" i="52"/>
  <c r="M37" i="52"/>
  <c r="U37" i="52"/>
  <c r="AC37" i="52"/>
  <c r="AY37" i="52"/>
  <c r="AN37" i="52"/>
  <c r="AV37" i="52"/>
  <c r="BE37" i="52"/>
  <c r="K38" i="52"/>
  <c r="S38" i="52"/>
  <c r="AA38" i="52"/>
  <c r="AT38" i="52"/>
  <c r="BC38" i="52"/>
  <c r="BK38" i="52"/>
  <c r="I39" i="52"/>
  <c r="Q39" i="52"/>
  <c r="Y39" i="52"/>
  <c r="BL39" i="52"/>
  <c r="AR39" i="52"/>
  <c r="BA39" i="52"/>
  <c r="BI39" i="52"/>
  <c r="G40" i="52"/>
  <c r="O40" i="52"/>
  <c r="W40" i="52"/>
  <c r="AP40" i="52"/>
  <c r="AX40" i="52"/>
  <c r="BG40" i="52"/>
  <c r="E41" i="52"/>
  <c r="M41" i="52"/>
  <c r="U41" i="52"/>
  <c r="AC41" i="52"/>
  <c r="AY41" i="52"/>
  <c r="AN41" i="52"/>
  <c r="AV41" i="52"/>
  <c r="BE41" i="52"/>
  <c r="K42" i="52"/>
  <c r="S42" i="52"/>
  <c r="AA42" i="52"/>
  <c r="AT42" i="52"/>
  <c r="BC42" i="52"/>
  <c r="BK42" i="52"/>
  <c r="I43" i="52"/>
  <c r="Q43" i="52"/>
  <c r="Y43" i="52"/>
  <c r="BL43" i="52"/>
  <c r="AR43" i="52"/>
  <c r="BA43" i="52"/>
  <c r="BI43" i="52"/>
  <c r="G44" i="52"/>
  <c r="O44" i="52"/>
  <c r="W44" i="52"/>
  <c r="AP44" i="52"/>
  <c r="AX44" i="52"/>
  <c r="BG44" i="52"/>
  <c r="E45" i="52"/>
  <c r="M45" i="52"/>
  <c r="U45" i="52"/>
  <c r="K16" i="52"/>
  <c r="X24" i="52"/>
  <c r="V25" i="52"/>
  <c r="T26" i="52"/>
  <c r="R27" i="52"/>
  <c r="P28" i="52"/>
  <c r="N29" i="52"/>
  <c r="L30" i="52"/>
  <c r="J31" i="52"/>
  <c r="H32" i="52"/>
  <c r="F33" i="52"/>
  <c r="W35" i="52"/>
  <c r="AS35" i="52"/>
  <c r="BB35" i="52"/>
  <c r="BJ35" i="52"/>
  <c r="H36" i="52"/>
  <c r="P36" i="52"/>
  <c r="X36" i="52"/>
  <c r="AQ36" i="52"/>
  <c r="AZ36" i="52"/>
  <c r="BH36" i="52"/>
  <c r="F37" i="52"/>
  <c r="N37" i="52"/>
  <c r="V37" i="52"/>
  <c r="AD37" i="52"/>
  <c r="AO37" i="52"/>
  <c r="AW37" i="52"/>
  <c r="BF37" i="52"/>
  <c r="L38" i="52"/>
  <c r="T38" i="52"/>
  <c r="AB38" i="52"/>
  <c r="AM38" i="52"/>
  <c r="AU38" i="52"/>
  <c r="BD38" i="52"/>
  <c r="J39" i="52"/>
  <c r="R39" i="52"/>
  <c r="Z39" i="52"/>
  <c r="AS39" i="52"/>
  <c r="BB39" i="52"/>
  <c r="BJ39" i="52"/>
  <c r="H40" i="52"/>
  <c r="P40" i="52"/>
  <c r="X40" i="52"/>
  <c r="AQ40" i="52"/>
  <c r="AZ40" i="52"/>
  <c r="BH40" i="52"/>
  <c r="F41" i="52"/>
  <c r="N41" i="52"/>
  <c r="V41" i="52"/>
  <c r="AD41" i="52"/>
  <c r="AO41" i="52"/>
  <c r="AW41" i="52"/>
  <c r="BF41" i="52"/>
  <c r="L42" i="52"/>
  <c r="T42" i="52"/>
  <c r="AB42" i="52"/>
  <c r="AM42" i="52"/>
  <c r="AU42" i="52"/>
  <c r="BD42" i="52"/>
  <c r="J43" i="52"/>
  <c r="R43" i="52"/>
  <c r="Z43" i="52"/>
  <c r="AS43" i="52"/>
  <c r="BB43" i="52"/>
  <c r="BJ43" i="52"/>
  <c r="H44" i="52"/>
  <c r="P44" i="52"/>
  <c r="X44" i="52"/>
  <c r="AQ44" i="52"/>
  <c r="AZ44" i="52"/>
  <c r="BH44" i="52"/>
  <c r="F45" i="52"/>
  <c r="N45" i="52"/>
  <c r="V45" i="52"/>
  <c r="AD45" i="52"/>
  <c r="AO45" i="52"/>
  <c r="AW45" i="52"/>
  <c r="BF45" i="52"/>
  <c r="L46" i="52"/>
  <c r="T46" i="52"/>
  <c r="AB46" i="52"/>
  <c r="AM46" i="52"/>
  <c r="AU46" i="52"/>
  <c r="G18" i="52"/>
  <c r="AP22" i="52"/>
  <c r="AD29" i="52"/>
  <c r="AB30" i="52"/>
  <c r="Z31" i="52"/>
  <c r="X32" i="52"/>
  <c r="V33" i="52"/>
  <c r="T34" i="52"/>
  <c r="J35" i="52"/>
  <c r="Z35" i="52"/>
  <c r="AM35" i="52"/>
  <c r="AU35" i="52"/>
  <c r="BD35" i="52"/>
  <c r="J36" i="52"/>
  <c r="R36" i="52"/>
  <c r="Z36" i="52"/>
  <c r="AS36" i="52"/>
  <c r="BB36" i="52"/>
  <c r="BJ36" i="52"/>
  <c r="H37" i="52"/>
  <c r="P37" i="52"/>
  <c r="X37" i="52"/>
  <c r="AQ37" i="52"/>
  <c r="AZ37" i="52"/>
  <c r="BH37" i="52"/>
  <c r="F38" i="52"/>
  <c r="N38" i="52"/>
  <c r="V38" i="52"/>
  <c r="AD38" i="52"/>
  <c r="AO38" i="52"/>
  <c r="AW38" i="52"/>
  <c r="BF38" i="52"/>
  <c r="L39" i="52"/>
  <c r="T39" i="52"/>
  <c r="AB39" i="52"/>
  <c r="AM39" i="52"/>
  <c r="AU39" i="52"/>
  <c r="BD39" i="52"/>
  <c r="J40" i="52"/>
  <c r="R40" i="52"/>
  <c r="Z40" i="52"/>
  <c r="AS40" i="52"/>
  <c r="BB40" i="52"/>
  <c r="BJ40" i="52"/>
  <c r="H41" i="52"/>
  <c r="P41" i="52"/>
  <c r="X41" i="52"/>
  <c r="AQ41" i="52"/>
  <c r="AZ41" i="52"/>
  <c r="BH41" i="52"/>
  <c r="F42" i="52"/>
  <c r="N42" i="52"/>
  <c r="V42" i="52"/>
  <c r="AD42" i="52"/>
  <c r="AO42" i="52"/>
  <c r="AW42" i="52"/>
  <c r="BF42" i="52"/>
  <c r="L43" i="52"/>
  <c r="T43" i="52"/>
  <c r="AB43" i="52"/>
  <c r="AM43" i="52"/>
  <c r="AU43" i="52"/>
  <c r="BD43" i="52"/>
  <c r="J44" i="52"/>
  <c r="R44" i="52"/>
  <c r="Z44" i="52"/>
  <c r="AS44" i="52"/>
  <c r="BB44" i="52"/>
  <c r="BJ44" i="52"/>
  <c r="H45" i="52"/>
  <c r="P45" i="52"/>
  <c r="X45" i="52"/>
  <c r="AQ45" i="52"/>
  <c r="AZ45" i="52"/>
  <c r="BH45" i="52"/>
  <c r="F46" i="52"/>
  <c r="N46" i="52"/>
  <c r="I17" i="52"/>
  <c r="T30" i="52"/>
  <c r="AY38" i="52"/>
  <c r="BL40" i="52"/>
  <c r="AC42" i="52"/>
  <c r="AA43" i="52"/>
  <c r="Y44" i="52"/>
  <c r="W45" i="52"/>
  <c r="AX45" i="52"/>
  <c r="U46" i="52"/>
  <c r="AY46" i="52"/>
  <c r="AV46" i="52"/>
  <c r="BK46" i="52"/>
  <c r="L47" i="52"/>
  <c r="V47" i="52"/>
  <c r="AP47" i="52"/>
  <c r="AX47" i="52"/>
  <c r="BG47" i="52"/>
  <c r="E48" i="52"/>
  <c r="M48" i="52"/>
  <c r="U48" i="52"/>
  <c r="AC48" i="52"/>
  <c r="AY48" i="52"/>
  <c r="AN48" i="52"/>
  <c r="AV48" i="52"/>
  <c r="BE48" i="52"/>
  <c r="K49" i="52"/>
  <c r="S49" i="52"/>
  <c r="AA49" i="52"/>
  <c r="AT49" i="52"/>
  <c r="BC49" i="52"/>
  <c r="BK49" i="52"/>
  <c r="I50" i="52"/>
  <c r="Q50" i="52"/>
  <c r="Y50" i="52"/>
  <c r="BL50" i="52"/>
  <c r="AR50" i="52"/>
  <c r="BA50" i="52"/>
  <c r="BI50" i="52"/>
  <c r="G51" i="52"/>
  <c r="O51" i="52"/>
  <c r="W51" i="52"/>
  <c r="AP51" i="52"/>
  <c r="AX51" i="52"/>
  <c r="BG51" i="52"/>
  <c r="E52" i="52"/>
  <c r="M52" i="52"/>
  <c r="U52" i="52"/>
  <c r="AC52" i="52"/>
  <c r="AY52" i="52"/>
  <c r="AN52" i="52"/>
  <c r="AV52" i="52"/>
  <c r="BE52" i="52"/>
  <c r="K53" i="52"/>
  <c r="S53" i="52"/>
  <c r="AA53" i="52"/>
  <c r="AT53" i="52"/>
  <c r="BC53" i="52"/>
  <c r="BK53" i="52"/>
  <c r="I54" i="52"/>
  <c r="Q54" i="52"/>
  <c r="Y54" i="52"/>
  <c r="BL54" i="52"/>
  <c r="AR54" i="52"/>
  <c r="BA54" i="52"/>
  <c r="BI54" i="52"/>
  <c r="G55" i="52"/>
  <c r="O55" i="52"/>
  <c r="W55" i="52"/>
  <c r="AP55" i="52"/>
  <c r="AX55" i="52"/>
  <c r="BG55" i="52"/>
  <c r="E56" i="52"/>
  <c r="M56" i="52"/>
  <c r="U56" i="52"/>
  <c r="AC56" i="52"/>
  <c r="AY56" i="52"/>
  <c r="AN56" i="52"/>
  <c r="AV56" i="52"/>
  <c r="BE56" i="52"/>
  <c r="K57" i="52"/>
  <c r="S57" i="52"/>
  <c r="AA57" i="52"/>
  <c r="AM57" i="52"/>
  <c r="AU57" i="52"/>
  <c r="BD57" i="52"/>
  <c r="J58" i="52"/>
  <c r="R58" i="52"/>
  <c r="Z58" i="52"/>
  <c r="Y22" i="52"/>
  <c r="R31" i="52"/>
  <c r="AT35" i="52"/>
  <c r="AR36" i="52"/>
  <c r="AP37" i="52"/>
  <c r="AN38" i="52"/>
  <c r="AY42" i="52"/>
  <c r="BL44" i="52"/>
  <c r="AC45" i="52"/>
  <c r="BE45" i="52"/>
  <c r="V46" i="52"/>
  <c r="AW46" i="52"/>
  <c r="M47" i="52"/>
  <c r="W47" i="52"/>
  <c r="AQ47" i="52"/>
  <c r="AZ47" i="52"/>
  <c r="BH47" i="52"/>
  <c r="F48" i="52"/>
  <c r="N48" i="52"/>
  <c r="V48" i="52"/>
  <c r="AD48" i="52"/>
  <c r="AO48" i="52"/>
  <c r="AW48" i="52"/>
  <c r="BF48" i="52"/>
  <c r="L49" i="52"/>
  <c r="T49" i="52"/>
  <c r="AB49" i="52"/>
  <c r="AM49" i="52"/>
  <c r="AU49" i="52"/>
  <c r="BD49" i="52"/>
  <c r="J50" i="52"/>
  <c r="R50" i="52"/>
  <c r="Z50" i="52"/>
  <c r="AS50" i="52"/>
  <c r="BB50" i="52"/>
  <c r="BJ50" i="52"/>
  <c r="H51" i="52"/>
  <c r="P51" i="52"/>
  <c r="X51" i="52"/>
  <c r="AQ51" i="52"/>
  <c r="AZ51" i="52"/>
  <c r="BH51" i="52"/>
  <c r="F52" i="52"/>
  <c r="N52" i="52"/>
  <c r="V52" i="52"/>
  <c r="AD52" i="52"/>
  <c r="AO52" i="52"/>
  <c r="AW52" i="52"/>
  <c r="BF52" i="52"/>
  <c r="L53" i="52"/>
  <c r="T53" i="52"/>
  <c r="AB53" i="52"/>
  <c r="AM53" i="52"/>
  <c r="AU53" i="52"/>
  <c r="BD53" i="52"/>
  <c r="J54" i="52"/>
  <c r="R54" i="52"/>
  <c r="Z54" i="52"/>
  <c r="AS54" i="52"/>
  <c r="BB54" i="52"/>
  <c r="BJ54" i="52"/>
  <c r="H55" i="52"/>
  <c r="P55" i="52"/>
  <c r="X55" i="52"/>
  <c r="AQ55" i="52"/>
  <c r="AZ55" i="52"/>
  <c r="BH55" i="52"/>
  <c r="F56" i="52"/>
  <c r="N56" i="52"/>
  <c r="V56" i="52"/>
  <c r="AD56" i="52"/>
  <c r="AO56" i="52"/>
  <c r="AW56" i="52"/>
  <c r="BF56" i="52"/>
  <c r="L57" i="52"/>
  <c r="T57" i="52"/>
  <c r="AB57" i="52"/>
  <c r="AY57" i="52"/>
  <c r="AN57" i="52"/>
  <c r="AV57" i="52"/>
  <c r="BE57" i="52"/>
  <c r="K58" i="52"/>
  <c r="S58" i="52"/>
  <c r="AA58" i="52"/>
  <c r="AM58" i="52"/>
  <c r="AU58" i="52"/>
  <c r="P32" i="52"/>
  <c r="BC35" i="52"/>
  <c r="BA36" i="52"/>
  <c r="AX37" i="52"/>
  <c r="AV38" i="52"/>
  <c r="AT39" i="52"/>
  <c r="AR40" i="52"/>
  <c r="AP41" i="52"/>
  <c r="AN42" i="52"/>
  <c r="BG45" i="52"/>
  <c r="Y46" i="52"/>
  <c r="BA46" i="52"/>
  <c r="O47" i="52"/>
  <c r="Y47" i="52"/>
  <c r="BL47" i="52"/>
  <c r="AR47" i="52"/>
  <c r="BA47" i="52"/>
  <c r="BI47" i="52"/>
  <c r="G48" i="52"/>
  <c r="O48" i="52"/>
  <c r="W48" i="52"/>
  <c r="AP48" i="52"/>
  <c r="AX48" i="52"/>
  <c r="BG48" i="52"/>
  <c r="E49" i="52"/>
  <c r="M49" i="52"/>
  <c r="U49" i="52"/>
  <c r="AC49" i="52"/>
  <c r="AY49" i="52"/>
  <c r="AN49" i="52"/>
  <c r="AV49" i="52"/>
  <c r="BE49" i="52"/>
  <c r="K50" i="52"/>
  <c r="S50" i="52"/>
  <c r="AA50" i="52"/>
  <c r="AT50" i="52"/>
  <c r="BC50" i="52"/>
  <c r="BK50" i="52"/>
  <c r="I51" i="52"/>
  <c r="Q51" i="52"/>
  <c r="Y51" i="52"/>
  <c r="BL51" i="52"/>
  <c r="AR51" i="52"/>
  <c r="BA51" i="52"/>
  <c r="BI51" i="52"/>
  <c r="G52" i="52"/>
  <c r="O52" i="52"/>
  <c r="W52" i="52"/>
  <c r="AP52" i="52"/>
  <c r="AX52" i="52"/>
  <c r="BG52" i="52"/>
  <c r="E53" i="52"/>
  <c r="M53" i="52"/>
  <c r="U53" i="52"/>
  <c r="AC53" i="52"/>
  <c r="AY53" i="52"/>
  <c r="AN53" i="52"/>
  <c r="AV53" i="52"/>
  <c r="BE53" i="52"/>
  <c r="K54" i="52"/>
  <c r="S54" i="52"/>
  <c r="AA54" i="52"/>
  <c r="AT54" i="52"/>
  <c r="BC54" i="52"/>
  <c r="BK54" i="52"/>
  <c r="I55" i="52"/>
  <c r="Q55" i="52"/>
  <c r="Y55" i="52"/>
  <c r="BL55" i="52"/>
  <c r="AR55" i="52"/>
  <c r="BA55" i="52"/>
  <c r="BI55" i="52"/>
  <c r="G56" i="52"/>
  <c r="O56" i="52"/>
  <c r="W56" i="52"/>
  <c r="AP56" i="52"/>
  <c r="AX56" i="52"/>
  <c r="BG56" i="52"/>
  <c r="E57" i="52"/>
  <c r="M57" i="52"/>
  <c r="U57" i="52"/>
  <c r="AC57" i="52"/>
  <c r="AO57" i="52"/>
  <c r="AD25" i="52"/>
  <c r="N33" i="52"/>
  <c r="BK35" i="52"/>
  <c r="BI36" i="52"/>
  <c r="BG37" i="52"/>
  <c r="BE38" i="52"/>
  <c r="BC39" i="52"/>
  <c r="BA40" i="52"/>
  <c r="AX41" i="52"/>
  <c r="AV42" i="52"/>
  <c r="AT43" i="52"/>
  <c r="AR44" i="52"/>
  <c r="AY45" i="52"/>
  <c r="AA46" i="52"/>
  <c r="BC46" i="52"/>
  <c r="Q47" i="52"/>
  <c r="Z47" i="52"/>
  <c r="AS47" i="52"/>
  <c r="BB47" i="52"/>
  <c r="BJ47" i="52"/>
  <c r="H48" i="52"/>
  <c r="P48" i="52"/>
  <c r="X48" i="52"/>
  <c r="AQ48" i="52"/>
  <c r="AZ48" i="52"/>
  <c r="BH48" i="52"/>
  <c r="F49" i="52"/>
  <c r="N49" i="52"/>
  <c r="V49" i="52"/>
  <c r="AD49" i="52"/>
  <c r="AO49" i="52"/>
  <c r="AW49" i="52"/>
  <c r="BF49" i="52"/>
  <c r="L50" i="52"/>
  <c r="T50" i="52"/>
  <c r="AB50" i="52"/>
  <c r="AM50" i="52"/>
  <c r="AU50" i="52"/>
  <c r="BD50" i="52"/>
  <c r="J51" i="52"/>
  <c r="R51" i="52"/>
  <c r="Z51" i="52"/>
  <c r="AS51" i="52"/>
  <c r="BB51" i="52"/>
  <c r="BJ51" i="52"/>
  <c r="H52" i="52"/>
  <c r="P52" i="52"/>
  <c r="X52" i="52"/>
  <c r="AQ52" i="52"/>
  <c r="AZ52" i="52"/>
  <c r="BH52" i="52"/>
  <c r="F53" i="52"/>
  <c r="N53" i="52"/>
  <c r="V53" i="52"/>
  <c r="AD53" i="52"/>
  <c r="AO53" i="52"/>
  <c r="AW53" i="52"/>
  <c r="BF53" i="52"/>
  <c r="L54" i="52"/>
  <c r="T54" i="52"/>
  <c r="AB54" i="52"/>
  <c r="AM54" i="52"/>
  <c r="AU54" i="52"/>
  <c r="BD54" i="52"/>
  <c r="J55" i="52"/>
  <c r="R55" i="52"/>
  <c r="Z55" i="52"/>
  <c r="AS55" i="52"/>
  <c r="BB55" i="52"/>
  <c r="BJ55" i="52"/>
  <c r="H56" i="52"/>
  <c r="P56" i="52"/>
  <c r="X56" i="52"/>
  <c r="AQ56" i="52"/>
  <c r="AZ56" i="52"/>
  <c r="BH56" i="52"/>
  <c r="F57" i="52"/>
  <c r="N57" i="52"/>
  <c r="V57" i="52"/>
  <c r="AD57" i="52"/>
  <c r="AP57" i="52"/>
  <c r="AX57" i="52"/>
  <c r="BG57" i="52"/>
  <c r="E58" i="52"/>
  <c r="AB26" i="52"/>
  <c r="L34" i="52"/>
  <c r="I36" i="52"/>
  <c r="G37" i="52"/>
  <c r="E38" i="52"/>
  <c r="BK39" i="52"/>
  <c r="BI40" i="52"/>
  <c r="BG41" i="52"/>
  <c r="BE42" i="52"/>
  <c r="BC43" i="52"/>
  <c r="BA44" i="52"/>
  <c r="E46" i="52"/>
  <c r="AC46" i="52"/>
  <c r="AN46" i="52"/>
  <c r="BD46" i="52"/>
  <c r="G47" i="52"/>
  <c r="R47" i="52"/>
  <c r="AA47" i="52"/>
  <c r="AT47" i="52"/>
  <c r="BC47" i="52"/>
  <c r="BK47" i="52"/>
  <c r="I48" i="52"/>
  <c r="Q48" i="52"/>
  <c r="Y48" i="52"/>
  <c r="BL48" i="52"/>
  <c r="AR48" i="52"/>
  <c r="BA48" i="52"/>
  <c r="BI48" i="52"/>
  <c r="G49" i="52"/>
  <c r="O49" i="52"/>
  <c r="W49" i="52"/>
  <c r="AP49" i="52"/>
  <c r="AX49" i="52"/>
  <c r="BG49" i="52"/>
  <c r="E50" i="52"/>
  <c r="M50" i="52"/>
  <c r="U50" i="52"/>
  <c r="AC50" i="52"/>
  <c r="AY50" i="52"/>
  <c r="AN50" i="52"/>
  <c r="AV50" i="52"/>
  <c r="BE50" i="52"/>
  <c r="K51" i="52"/>
  <c r="S51" i="52"/>
  <c r="AA51" i="52"/>
  <c r="AT51" i="52"/>
  <c r="BC51" i="52"/>
  <c r="BK51" i="52"/>
  <c r="I52" i="52"/>
  <c r="Q52" i="52"/>
  <c r="Y52" i="52"/>
  <c r="BL52" i="52"/>
  <c r="AR52" i="52"/>
  <c r="BA52" i="52"/>
  <c r="BI52" i="52"/>
  <c r="G53" i="52"/>
  <c r="O53" i="52"/>
  <c r="W53" i="52"/>
  <c r="AP53" i="52"/>
  <c r="AX53" i="52"/>
  <c r="BG53" i="52"/>
  <c r="E54" i="52"/>
  <c r="M54" i="52"/>
  <c r="U54" i="52"/>
  <c r="AC54" i="52"/>
  <c r="AY54" i="52"/>
  <c r="AN54" i="52"/>
  <c r="AV54" i="52"/>
  <c r="BE54" i="52"/>
  <c r="K55" i="52"/>
  <c r="S55" i="52"/>
  <c r="AA55" i="52"/>
  <c r="AT55" i="52"/>
  <c r="BC55" i="52"/>
  <c r="BK55" i="52"/>
  <c r="I56" i="52"/>
  <c r="Q56" i="52"/>
  <c r="Y56" i="52"/>
  <c r="BL56" i="52"/>
  <c r="AR56" i="52"/>
  <c r="BA56" i="52"/>
  <c r="BI56" i="52"/>
  <c r="G57" i="52"/>
  <c r="O57" i="52"/>
  <c r="W57" i="52"/>
  <c r="AQ57" i="52"/>
  <c r="AZ57" i="52"/>
  <c r="BH57" i="52"/>
  <c r="F58" i="52"/>
  <c r="N58" i="52"/>
  <c r="V58" i="52"/>
  <c r="Z27" i="52"/>
  <c r="I35" i="52"/>
  <c r="Q36" i="52"/>
  <c r="O37" i="52"/>
  <c r="M38" i="52"/>
  <c r="K39" i="52"/>
  <c r="I40" i="52"/>
  <c r="G41" i="52"/>
  <c r="E42" i="52"/>
  <c r="BK43" i="52"/>
  <c r="BI44" i="52"/>
  <c r="AN45" i="52"/>
  <c r="K46" i="52"/>
  <c r="AD46" i="52"/>
  <c r="AO46" i="52"/>
  <c r="BE46" i="52"/>
  <c r="I47" i="52"/>
  <c r="S47" i="52"/>
  <c r="AB47" i="52"/>
  <c r="AM47" i="52"/>
  <c r="AU47" i="52"/>
  <c r="BD47" i="52"/>
  <c r="J48" i="52"/>
  <c r="R48" i="52"/>
  <c r="Z48" i="52"/>
  <c r="AS48" i="52"/>
  <c r="BB48" i="52"/>
  <c r="BJ48" i="52"/>
  <c r="H49" i="52"/>
  <c r="P49" i="52"/>
  <c r="X49" i="52"/>
  <c r="AQ49" i="52"/>
  <c r="AZ49" i="52"/>
  <c r="BH49" i="52"/>
  <c r="F50" i="52"/>
  <c r="N50" i="52"/>
  <c r="V50" i="52"/>
  <c r="AD50" i="52"/>
  <c r="AO50" i="52"/>
  <c r="AW50" i="52"/>
  <c r="BF50" i="52"/>
  <c r="L51" i="52"/>
  <c r="T51" i="52"/>
  <c r="AB51" i="52"/>
  <c r="AM51" i="52"/>
  <c r="AU51" i="52"/>
  <c r="BD51" i="52"/>
  <c r="J52" i="52"/>
  <c r="R52" i="52"/>
  <c r="Z52" i="52"/>
  <c r="AS52" i="52"/>
  <c r="BB52" i="52"/>
  <c r="BJ52" i="52"/>
  <c r="H53" i="52"/>
  <c r="P53" i="52"/>
  <c r="X53" i="52"/>
  <c r="AQ53" i="52"/>
  <c r="AZ53" i="52"/>
  <c r="BH53" i="52"/>
  <c r="F54" i="52"/>
  <c r="N54" i="52"/>
  <c r="V54" i="52"/>
  <c r="AD54" i="52"/>
  <c r="AO54" i="52"/>
  <c r="AW54" i="52"/>
  <c r="BF54" i="52"/>
  <c r="L55" i="52"/>
  <c r="T55" i="52"/>
  <c r="AB55" i="52"/>
  <c r="AM55" i="52"/>
  <c r="AU55" i="52"/>
  <c r="BD55" i="52"/>
  <c r="J56" i="52"/>
  <c r="R56" i="52"/>
  <c r="Z56" i="52"/>
  <c r="AS56" i="52"/>
  <c r="BB56" i="52"/>
  <c r="BJ56" i="52"/>
  <c r="H57" i="52"/>
  <c r="P57" i="52"/>
  <c r="X57" i="52"/>
  <c r="BL57" i="52"/>
  <c r="AR57" i="52"/>
  <c r="BA57" i="52"/>
  <c r="V29" i="52"/>
  <c r="BL36" i="52"/>
  <c r="AC38" i="52"/>
  <c r="AA39" i="52"/>
  <c r="Y40" i="52"/>
  <c r="W41" i="52"/>
  <c r="U42" i="52"/>
  <c r="S43" i="52"/>
  <c r="Q44" i="52"/>
  <c r="O45" i="52"/>
  <c r="AV45" i="52"/>
  <c r="S46" i="52"/>
  <c r="AT46" i="52"/>
  <c r="BI46" i="52"/>
  <c r="K47" i="52"/>
  <c r="U47" i="52"/>
  <c r="AD47" i="52"/>
  <c r="AO47" i="52"/>
  <c r="AW47" i="52"/>
  <c r="BF47" i="52"/>
  <c r="L48" i="52"/>
  <c r="T48" i="52"/>
  <c r="AB48" i="52"/>
  <c r="AM48" i="52"/>
  <c r="AU48" i="52"/>
  <c r="BD48" i="52"/>
  <c r="J49" i="52"/>
  <c r="R49" i="52"/>
  <c r="Z49" i="52"/>
  <c r="AS49" i="52"/>
  <c r="BB49" i="52"/>
  <c r="BJ49" i="52"/>
  <c r="H50" i="52"/>
  <c r="P50" i="52"/>
  <c r="X50" i="52"/>
  <c r="AQ50" i="52"/>
  <c r="AZ50" i="52"/>
  <c r="BH50" i="52"/>
  <c r="F51" i="52"/>
  <c r="N51" i="52"/>
  <c r="V51" i="52"/>
  <c r="AD51" i="52"/>
  <c r="AO51" i="52"/>
  <c r="AW51" i="52"/>
  <c r="BF51" i="52"/>
  <c r="L52" i="52"/>
  <c r="T52" i="52"/>
  <c r="AB52" i="52"/>
  <c r="AM52" i="52"/>
  <c r="AU52" i="52"/>
  <c r="BD52" i="52"/>
  <c r="J53" i="52"/>
  <c r="R53" i="52"/>
  <c r="Z53" i="52"/>
  <c r="AS53" i="52"/>
  <c r="BB53" i="52"/>
  <c r="BJ53" i="52"/>
  <c r="H54" i="52"/>
  <c r="P54" i="52"/>
  <c r="X54" i="52"/>
  <c r="AQ54" i="52"/>
  <c r="AZ54" i="52"/>
  <c r="BH54" i="52"/>
  <c r="F55" i="52"/>
  <c r="N55" i="52"/>
  <c r="V55" i="52"/>
  <c r="AD55" i="52"/>
  <c r="AO55" i="52"/>
  <c r="AW55" i="52"/>
  <c r="BF55" i="52"/>
  <c r="L56" i="52"/>
  <c r="T56" i="52"/>
  <c r="AB56" i="52"/>
  <c r="AM56" i="52"/>
  <c r="AU56" i="52"/>
  <c r="BD56" i="52"/>
  <c r="J57" i="52"/>
  <c r="R57" i="52"/>
  <c r="Z57" i="52"/>
  <c r="AT57" i="52"/>
  <c r="BC57" i="52"/>
  <c r="BK57" i="52"/>
  <c r="I58" i="52"/>
  <c r="Q58" i="52"/>
  <c r="Y58" i="52"/>
  <c r="AS58" i="52"/>
  <c r="BB58" i="52"/>
  <c r="X28" i="52"/>
  <c r="M42" i="52"/>
  <c r="BF46" i="52"/>
  <c r="BK48" i="52"/>
  <c r="BI49" i="52"/>
  <c r="BG50" i="52"/>
  <c r="BE51" i="52"/>
  <c r="BC52" i="52"/>
  <c r="BA53" i="52"/>
  <c r="AX54" i="52"/>
  <c r="AV55" i="52"/>
  <c r="AT56" i="52"/>
  <c r="AS57" i="52"/>
  <c r="H58" i="52"/>
  <c r="X58" i="52"/>
  <c r="AT58" i="52"/>
  <c r="BE58" i="52"/>
  <c r="K59" i="52"/>
  <c r="S59" i="52"/>
  <c r="AA59" i="52"/>
  <c r="AM59" i="52"/>
  <c r="AU59" i="52"/>
  <c r="BD59" i="52"/>
  <c r="J60" i="52"/>
  <c r="R60" i="52"/>
  <c r="Z60" i="52"/>
  <c r="AT60" i="52"/>
  <c r="BC60" i="52"/>
  <c r="BK60" i="52"/>
  <c r="I61" i="52"/>
  <c r="Q61" i="52"/>
  <c r="Y61" i="52"/>
  <c r="AS61" i="52"/>
  <c r="BB61" i="52"/>
  <c r="BJ61" i="52"/>
  <c r="H62" i="52"/>
  <c r="P62" i="52"/>
  <c r="X62" i="52"/>
  <c r="BL62" i="52"/>
  <c r="AR62" i="52"/>
  <c r="BA62" i="52"/>
  <c r="BI62" i="52"/>
  <c r="G63" i="52"/>
  <c r="O63" i="52"/>
  <c r="W63" i="52"/>
  <c r="AQ63" i="52"/>
  <c r="AZ63" i="52"/>
  <c r="BH63" i="52"/>
  <c r="F64" i="52"/>
  <c r="N64" i="52"/>
  <c r="V64" i="52"/>
  <c r="AD64" i="52"/>
  <c r="Y35" i="52"/>
  <c r="K43" i="52"/>
  <c r="J47" i="52"/>
  <c r="K48" i="52"/>
  <c r="I49" i="52"/>
  <c r="G50" i="52"/>
  <c r="E51" i="52"/>
  <c r="BK52" i="52"/>
  <c r="BI53" i="52"/>
  <c r="BG54" i="52"/>
  <c r="BE55" i="52"/>
  <c r="BC56" i="52"/>
  <c r="AW57" i="52"/>
  <c r="L58" i="52"/>
  <c r="AB58" i="52"/>
  <c r="AV58" i="52"/>
  <c r="BF58" i="52"/>
  <c r="L59" i="52"/>
  <c r="T59" i="52"/>
  <c r="AB59" i="52"/>
  <c r="AY59" i="52"/>
  <c r="AN59" i="52"/>
  <c r="AV59" i="52"/>
  <c r="BE59" i="52"/>
  <c r="K60" i="52"/>
  <c r="S60" i="52"/>
  <c r="AA60" i="52"/>
  <c r="AM60" i="52"/>
  <c r="AU60" i="52"/>
  <c r="BD60" i="52"/>
  <c r="J61" i="52"/>
  <c r="R61" i="52"/>
  <c r="Z61" i="52"/>
  <c r="AT61" i="52"/>
  <c r="BC61" i="52"/>
  <c r="BK61" i="52"/>
  <c r="I62" i="52"/>
  <c r="Q62" i="52"/>
  <c r="Y62" i="52"/>
  <c r="AS62" i="52"/>
  <c r="BB62" i="52"/>
  <c r="BJ62" i="52"/>
  <c r="H63" i="52"/>
  <c r="P63" i="52"/>
  <c r="X63" i="52"/>
  <c r="BL63" i="52"/>
  <c r="AR63" i="52"/>
  <c r="BA63" i="52"/>
  <c r="BI63" i="52"/>
  <c r="G64" i="52"/>
  <c r="O64" i="52"/>
  <c r="W64" i="52"/>
  <c r="AQ64" i="52"/>
  <c r="AZ64" i="52"/>
  <c r="BH64" i="52"/>
  <c r="F65" i="52"/>
  <c r="N65" i="52"/>
  <c r="V65" i="52"/>
  <c r="AD65" i="52"/>
  <c r="AP65" i="52"/>
  <c r="AX65" i="52"/>
  <c r="BG65" i="52"/>
  <c r="E66" i="52"/>
  <c r="M66" i="52"/>
  <c r="U66" i="52"/>
  <c r="AC66" i="52"/>
  <c r="AO66" i="52"/>
  <c r="AW66" i="52"/>
  <c r="BF66" i="52"/>
  <c r="L67" i="52"/>
  <c r="T67" i="52"/>
  <c r="AB67" i="52"/>
  <c r="AY67" i="52"/>
  <c r="AN67" i="52"/>
  <c r="AV67" i="52"/>
  <c r="BE67" i="52"/>
  <c r="K68" i="52"/>
  <c r="S68" i="52"/>
  <c r="AA68" i="52"/>
  <c r="AM68" i="52"/>
  <c r="AU68" i="52"/>
  <c r="BD68" i="52"/>
  <c r="J69" i="52"/>
  <c r="R69" i="52"/>
  <c r="Z69" i="52"/>
  <c r="AT69" i="52"/>
  <c r="BC69" i="52"/>
  <c r="BK69" i="52"/>
  <c r="I70" i="52"/>
  <c r="Q70" i="52"/>
  <c r="Y70" i="52"/>
  <c r="Y36" i="52"/>
  <c r="I44" i="52"/>
  <c r="T47" i="52"/>
  <c r="S48" i="52"/>
  <c r="Q49" i="52"/>
  <c r="O50" i="52"/>
  <c r="M51" i="52"/>
  <c r="K52" i="52"/>
  <c r="I53" i="52"/>
  <c r="G54" i="52"/>
  <c r="E55" i="52"/>
  <c r="BK56" i="52"/>
  <c r="BB57" i="52"/>
  <c r="M58" i="52"/>
  <c r="AC58" i="52"/>
  <c r="AW58" i="52"/>
  <c r="BG58" i="52"/>
  <c r="E59" i="52"/>
  <c r="M59" i="52"/>
  <c r="U59" i="52"/>
  <c r="AC59" i="52"/>
  <c r="AO59" i="52"/>
  <c r="AW59" i="52"/>
  <c r="BF59" i="52"/>
  <c r="L60" i="52"/>
  <c r="T60" i="52"/>
  <c r="AB60" i="52"/>
  <c r="AY60" i="52"/>
  <c r="AN60" i="52"/>
  <c r="AV60" i="52"/>
  <c r="BE60" i="52"/>
  <c r="K61" i="52"/>
  <c r="S61" i="52"/>
  <c r="AA61" i="52"/>
  <c r="AM61" i="52"/>
  <c r="AU61" i="52"/>
  <c r="BD61" i="52"/>
  <c r="J62" i="52"/>
  <c r="R62" i="52"/>
  <c r="Z62" i="52"/>
  <c r="AT62" i="52"/>
  <c r="BC62" i="52"/>
  <c r="BK62" i="52"/>
  <c r="I63" i="52"/>
  <c r="Q63" i="52"/>
  <c r="Y63" i="52"/>
  <c r="AS63" i="52"/>
  <c r="BB63" i="52"/>
  <c r="BJ63" i="52"/>
  <c r="H64" i="52"/>
  <c r="P64" i="52"/>
  <c r="X64" i="52"/>
  <c r="BL64" i="52"/>
  <c r="AR64" i="52"/>
  <c r="BA64" i="52"/>
  <c r="BI64" i="52"/>
  <c r="G65" i="52"/>
  <c r="O65" i="52"/>
  <c r="W65" i="52"/>
  <c r="AQ65" i="52"/>
  <c r="AZ65" i="52"/>
  <c r="BH65" i="52"/>
  <c r="F66" i="52"/>
  <c r="N66" i="52"/>
  <c r="V66" i="52"/>
  <c r="AD66" i="52"/>
  <c r="AP66" i="52"/>
  <c r="AX66" i="52"/>
  <c r="BG66" i="52"/>
  <c r="E67" i="52"/>
  <c r="M67" i="52"/>
  <c r="U67" i="52"/>
  <c r="AC67" i="52"/>
  <c r="AO67" i="52"/>
  <c r="AW67" i="52"/>
  <c r="BF67" i="52"/>
  <c r="L68" i="52"/>
  <c r="T68" i="52"/>
  <c r="AB68" i="52"/>
  <c r="AY68" i="52"/>
  <c r="AN68" i="52"/>
  <c r="AV68" i="52"/>
  <c r="BE68" i="52"/>
  <c r="K69" i="52"/>
  <c r="S69" i="52"/>
  <c r="AA69" i="52"/>
  <c r="AM69" i="52"/>
  <c r="AU69" i="52"/>
  <c r="BD69" i="52"/>
  <c r="J70" i="52"/>
  <c r="R70" i="52"/>
  <c r="Z70" i="52"/>
  <c r="AT70" i="52"/>
  <c r="BC70" i="52"/>
  <c r="W37" i="52"/>
  <c r="G45" i="52"/>
  <c r="AC47" i="52"/>
  <c r="AA48" i="52"/>
  <c r="Y49" i="52"/>
  <c r="W50" i="52"/>
  <c r="U51" i="52"/>
  <c r="S52" i="52"/>
  <c r="Q53" i="52"/>
  <c r="O54" i="52"/>
  <c r="M55" i="52"/>
  <c r="K56" i="52"/>
  <c r="I57" i="52"/>
  <c r="BF57" i="52"/>
  <c r="O58" i="52"/>
  <c r="AD58" i="52"/>
  <c r="AN58" i="52"/>
  <c r="AX58" i="52"/>
  <c r="BH58" i="52"/>
  <c r="F59" i="52"/>
  <c r="N59" i="52"/>
  <c r="V59" i="52"/>
  <c r="AD59" i="52"/>
  <c r="AP59" i="52"/>
  <c r="AX59" i="52"/>
  <c r="BG59" i="52"/>
  <c r="E60" i="52"/>
  <c r="M60" i="52"/>
  <c r="U60" i="52"/>
  <c r="AC60" i="52"/>
  <c r="AO60" i="52"/>
  <c r="AW60" i="52"/>
  <c r="BF60" i="52"/>
  <c r="L61" i="52"/>
  <c r="T61" i="52"/>
  <c r="AB61" i="52"/>
  <c r="AY61" i="52"/>
  <c r="AN61" i="52"/>
  <c r="AV61" i="52"/>
  <c r="BE61" i="52"/>
  <c r="K62" i="52"/>
  <c r="S62" i="52"/>
  <c r="AA62" i="52"/>
  <c r="AM62" i="52"/>
  <c r="AU62" i="52"/>
  <c r="BD62" i="52"/>
  <c r="J63" i="52"/>
  <c r="R63" i="52"/>
  <c r="Z63" i="52"/>
  <c r="AT63" i="52"/>
  <c r="BC63" i="52"/>
  <c r="BK63" i="52"/>
  <c r="I64" i="52"/>
  <c r="Q64" i="52"/>
  <c r="Y64" i="52"/>
  <c r="AS64" i="52"/>
  <c r="BB64" i="52"/>
  <c r="BJ64" i="52"/>
  <c r="H65" i="52"/>
  <c r="P65" i="52"/>
  <c r="X65" i="52"/>
  <c r="BL65" i="52"/>
  <c r="AR65" i="52"/>
  <c r="BA65" i="52"/>
  <c r="BI65" i="52"/>
  <c r="G66" i="52"/>
  <c r="O66" i="52"/>
  <c r="W66" i="52"/>
  <c r="AQ66" i="52"/>
  <c r="AZ66" i="52"/>
  <c r="BH66" i="52"/>
  <c r="F67" i="52"/>
  <c r="N67" i="52"/>
  <c r="V67" i="52"/>
  <c r="AD67" i="52"/>
  <c r="AP67" i="52"/>
  <c r="AX67" i="52"/>
  <c r="BG67" i="52"/>
  <c r="E68" i="52"/>
  <c r="M68" i="52"/>
  <c r="U68" i="52"/>
  <c r="AC68" i="52"/>
  <c r="AO68" i="52"/>
  <c r="AW68" i="52"/>
  <c r="BF68" i="52"/>
  <c r="L69" i="52"/>
  <c r="T69" i="52"/>
  <c r="AB69" i="52"/>
  <c r="AY69" i="52"/>
  <c r="AN69" i="52"/>
  <c r="AV69" i="52"/>
  <c r="BE69" i="52"/>
  <c r="K70" i="52"/>
  <c r="U38" i="52"/>
  <c r="AP45" i="52"/>
  <c r="AY47" i="52"/>
  <c r="BL49" i="52"/>
  <c r="AC51" i="52"/>
  <c r="AA52" i="52"/>
  <c r="Y53" i="52"/>
  <c r="W54" i="52"/>
  <c r="U55" i="52"/>
  <c r="S56" i="52"/>
  <c r="Q57" i="52"/>
  <c r="BI57" i="52"/>
  <c r="P58" i="52"/>
  <c r="AO58" i="52"/>
  <c r="AZ58" i="52"/>
  <c r="BI58" i="52"/>
  <c r="G59" i="52"/>
  <c r="O59" i="52"/>
  <c r="W59" i="52"/>
  <c r="AQ59" i="52"/>
  <c r="AZ59" i="52"/>
  <c r="BH59" i="52"/>
  <c r="F60" i="52"/>
  <c r="N60" i="52"/>
  <c r="V60" i="52"/>
  <c r="AD60" i="52"/>
  <c r="AP60" i="52"/>
  <c r="AX60" i="52"/>
  <c r="BG60" i="52"/>
  <c r="E61" i="52"/>
  <c r="M61" i="52"/>
  <c r="U61" i="52"/>
  <c r="AC61" i="52"/>
  <c r="AO61" i="52"/>
  <c r="AW61" i="52"/>
  <c r="BF61" i="52"/>
  <c r="L62" i="52"/>
  <c r="T62" i="52"/>
  <c r="AB62" i="52"/>
  <c r="AY62" i="52"/>
  <c r="AN62" i="52"/>
  <c r="AV62" i="52"/>
  <c r="BE62" i="52"/>
  <c r="K63" i="52"/>
  <c r="S63" i="52"/>
  <c r="AA63" i="52"/>
  <c r="AM63" i="52"/>
  <c r="AU63" i="52"/>
  <c r="BD63" i="52"/>
  <c r="J64" i="52"/>
  <c r="S39" i="52"/>
  <c r="M46" i="52"/>
  <c r="AN47" i="52"/>
  <c r="AY51" i="52"/>
  <c r="BL53" i="52"/>
  <c r="AC55" i="52"/>
  <c r="AA56" i="52"/>
  <c r="Y57" i="52"/>
  <c r="BJ57" i="52"/>
  <c r="T58" i="52"/>
  <c r="BL58" i="52"/>
  <c r="AP58" i="52"/>
  <c r="BA58" i="52"/>
  <c r="BJ58" i="52"/>
  <c r="H59" i="52"/>
  <c r="P59" i="52"/>
  <c r="X59" i="52"/>
  <c r="BL59" i="52"/>
  <c r="AR59" i="52"/>
  <c r="BA59" i="52"/>
  <c r="BI59" i="52"/>
  <c r="G60" i="52"/>
  <c r="O60" i="52"/>
  <c r="W60" i="52"/>
  <c r="AQ60" i="52"/>
  <c r="AZ60" i="52"/>
  <c r="BH60" i="52"/>
  <c r="F61" i="52"/>
  <c r="N61" i="52"/>
  <c r="V61" i="52"/>
  <c r="AD61" i="52"/>
  <c r="AP61" i="52"/>
  <c r="AX61" i="52"/>
  <c r="BG61" i="52"/>
  <c r="E62" i="52"/>
  <c r="M62" i="52"/>
  <c r="U62" i="52"/>
  <c r="AC62" i="52"/>
  <c r="AO62" i="52"/>
  <c r="AW62" i="52"/>
  <c r="BF62" i="52"/>
  <c r="L63" i="52"/>
  <c r="T63" i="52"/>
  <c r="AB63" i="52"/>
  <c r="AY63" i="52"/>
  <c r="AN63" i="52"/>
  <c r="AV63" i="52"/>
  <c r="BE63" i="52"/>
  <c r="K64" i="52"/>
  <c r="S64" i="52"/>
  <c r="AA64" i="52"/>
  <c r="AM64" i="52"/>
  <c r="AU64" i="52"/>
  <c r="BD64" i="52"/>
  <c r="J65" i="52"/>
  <c r="R65" i="52"/>
  <c r="Z65" i="52"/>
  <c r="AT65" i="52"/>
  <c r="BC65" i="52"/>
  <c r="BK65" i="52"/>
  <c r="I66" i="52"/>
  <c r="Q66" i="52"/>
  <c r="Y66" i="52"/>
  <c r="AS66" i="52"/>
  <c r="BB66" i="52"/>
  <c r="BJ66" i="52"/>
  <c r="H67" i="52"/>
  <c r="P67" i="52"/>
  <c r="X67" i="52"/>
  <c r="BL67" i="52"/>
  <c r="AR67" i="52"/>
  <c r="BA67" i="52"/>
  <c r="BI67" i="52"/>
  <c r="G68" i="52"/>
  <c r="O68" i="52"/>
  <c r="W68" i="52"/>
  <c r="AQ68" i="52"/>
  <c r="AZ68" i="52"/>
  <c r="BH68" i="52"/>
  <c r="F69" i="52"/>
  <c r="N69" i="52"/>
  <c r="V69" i="52"/>
  <c r="AD69" i="52"/>
  <c r="AP69" i="52"/>
  <c r="AX69" i="52"/>
  <c r="BG69" i="52"/>
  <c r="E70" i="52"/>
  <c r="M70" i="52"/>
  <c r="U70" i="52"/>
  <c r="AC70" i="52"/>
  <c r="Q40" i="52"/>
  <c r="BL46" i="52"/>
  <c r="AV47" i="52"/>
  <c r="AT48" i="52"/>
  <c r="AR49" i="52"/>
  <c r="AP50" i="52"/>
  <c r="AN51" i="52"/>
  <c r="AY55" i="52"/>
  <c r="U58" i="52"/>
  <c r="AY58" i="52"/>
  <c r="AQ58" i="52"/>
  <c r="BC58" i="52"/>
  <c r="BK58" i="52"/>
  <c r="I59" i="52"/>
  <c r="Q59" i="52"/>
  <c r="Y59" i="52"/>
  <c r="AS59" i="52"/>
  <c r="BB59" i="52"/>
  <c r="BJ59" i="52"/>
  <c r="H60" i="52"/>
  <c r="P60" i="52"/>
  <c r="X60" i="52"/>
  <c r="BL60" i="52"/>
  <c r="AR60" i="52"/>
  <c r="BA60" i="52"/>
  <c r="BI60" i="52"/>
  <c r="G61" i="52"/>
  <c r="O61" i="52"/>
  <c r="W61" i="52"/>
  <c r="AQ61" i="52"/>
  <c r="AZ61" i="52"/>
  <c r="BH61" i="52"/>
  <c r="F62" i="52"/>
  <c r="N62" i="52"/>
  <c r="V62" i="52"/>
  <c r="AD62" i="52"/>
  <c r="AP62" i="52"/>
  <c r="AX62" i="52"/>
  <c r="BG62" i="52"/>
  <c r="E63" i="52"/>
  <c r="M63" i="52"/>
  <c r="U63" i="52"/>
  <c r="AC63" i="52"/>
  <c r="AO63" i="52"/>
  <c r="AW63" i="52"/>
  <c r="BF63" i="52"/>
  <c r="L64" i="52"/>
  <c r="T64" i="52"/>
  <c r="AB64" i="52"/>
  <c r="AY64" i="52"/>
  <c r="AN64" i="52"/>
  <c r="AV64" i="52"/>
  <c r="BE64" i="52"/>
  <c r="K65" i="52"/>
  <c r="S65" i="52"/>
  <c r="AA65" i="52"/>
  <c r="AM65" i="52"/>
  <c r="AU65" i="52"/>
  <c r="BD65" i="52"/>
  <c r="J66" i="52"/>
  <c r="R66" i="52"/>
  <c r="Z66" i="52"/>
  <c r="AT66" i="52"/>
  <c r="BC66" i="52"/>
  <c r="BK66" i="52"/>
  <c r="I67" i="52"/>
  <c r="Q67" i="52"/>
  <c r="Y67" i="52"/>
  <c r="AS67" i="52"/>
  <c r="BB67" i="52"/>
  <c r="BJ67" i="52"/>
  <c r="H68" i="52"/>
  <c r="P68" i="52"/>
  <c r="X68" i="52"/>
  <c r="BL68" i="52"/>
  <c r="AR68" i="52"/>
  <c r="BA68" i="52"/>
  <c r="BI68" i="52"/>
  <c r="G69" i="52"/>
  <c r="O69" i="52"/>
  <c r="W69" i="52"/>
  <c r="AQ69" i="52"/>
  <c r="AZ69" i="52"/>
  <c r="BH69" i="52"/>
  <c r="F70" i="52"/>
  <c r="N70" i="52"/>
  <c r="V70" i="52"/>
  <c r="AD70" i="52"/>
  <c r="AP70" i="52"/>
  <c r="AX70" i="52"/>
  <c r="O41" i="52"/>
  <c r="AR53" i="52"/>
  <c r="AR58" i="52"/>
  <c r="AT59" i="52"/>
  <c r="AS60" i="52"/>
  <c r="AR61" i="52"/>
  <c r="AQ62" i="52"/>
  <c r="AP63" i="52"/>
  <c r="AC64" i="52"/>
  <c r="AW64" i="52"/>
  <c r="I65" i="52"/>
  <c r="AC65" i="52"/>
  <c r="AV65" i="52"/>
  <c r="H66" i="52"/>
  <c r="AB66" i="52"/>
  <c r="AU66" i="52"/>
  <c r="G67" i="52"/>
  <c r="AA67" i="52"/>
  <c r="AT67" i="52"/>
  <c r="F68" i="52"/>
  <c r="Z68" i="52"/>
  <c r="AS68" i="52"/>
  <c r="E69" i="52"/>
  <c r="Y69" i="52"/>
  <c r="AR69" i="52"/>
  <c r="W70" i="52"/>
  <c r="AS70" i="52"/>
  <c r="BE70" i="52"/>
  <c r="K71" i="52"/>
  <c r="S71" i="52"/>
  <c r="AA71" i="52"/>
  <c r="AM71" i="52"/>
  <c r="AU71" i="52"/>
  <c r="BD71" i="52"/>
  <c r="J72" i="52"/>
  <c r="R72" i="52"/>
  <c r="Z72" i="52"/>
  <c r="AT72" i="52"/>
  <c r="BC72" i="52"/>
  <c r="BK72" i="52"/>
  <c r="I73" i="52"/>
  <c r="Q73" i="52"/>
  <c r="Y73" i="52"/>
  <c r="AS73" i="52"/>
  <c r="BB73" i="52"/>
  <c r="BJ73" i="52"/>
  <c r="H74" i="52"/>
  <c r="P74" i="52"/>
  <c r="X74" i="52"/>
  <c r="BL74" i="52"/>
  <c r="AR74" i="52"/>
  <c r="BA74" i="52"/>
  <c r="BI74" i="52"/>
  <c r="G75" i="52"/>
  <c r="O75" i="52"/>
  <c r="W75" i="52"/>
  <c r="AQ75" i="52"/>
  <c r="AZ75" i="52"/>
  <c r="BH75" i="52"/>
  <c r="F76" i="52"/>
  <c r="N76" i="52"/>
  <c r="V76" i="52"/>
  <c r="AD76" i="52"/>
  <c r="AP76" i="52"/>
  <c r="AX76" i="52"/>
  <c r="BG76" i="52"/>
  <c r="E77" i="52"/>
  <c r="M77" i="52"/>
  <c r="U77" i="52"/>
  <c r="AC77" i="52"/>
  <c r="AO77" i="52"/>
  <c r="AW77" i="52"/>
  <c r="BF77" i="52"/>
  <c r="L78" i="52"/>
  <c r="T78" i="52"/>
  <c r="AB78" i="52"/>
  <c r="AM78" i="52"/>
  <c r="AU78" i="52"/>
  <c r="BD78" i="52"/>
  <c r="J79" i="52"/>
  <c r="R79" i="52"/>
  <c r="Z79" i="52"/>
  <c r="AS79" i="52"/>
  <c r="BB79" i="52"/>
  <c r="BJ79" i="52"/>
  <c r="H80" i="52"/>
  <c r="P80" i="52"/>
  <c r="X80" i="52"/>
  <c r="AQ80" i="52"/>
  <c r="AZ80" i="52"/>
  <c r="BH80" i="52"/>
  <c r="AY81" i="52"/>
  <c r="AR46" i="52"/>
  <c r="AP54" i="52"/>
  <c r="BD58" i="52"/>
  <c r="BC59" i="52"/>
  <c r="BB60" i="52"/>
  <c r="BA61" i="52"/>
  <c r="AZ62" i="52"/>
  <c r="AX63" i="52"/>
  <c r="AX64" i="52"/>
  <c r="L65" i="52"/>
  <c r="AW65" i="52"/>
  <c r="K66" i="52"/>
  <c r="BL66" i="52"/>
  <c r="AV66" i="52"/>
  <c r="J67" i="52"/>
  <c r="AU67" i="52"/>
  <c r="I68" i="52"/>
  <c r="AD68" i="52"/>
  <c r="AT68" i="52"/>
  <c r="H69" i="52"/>
  <c r="AC69" i="52"/>
  <c r="AS69" i="52"/>
  <c r="G70" i="52"/>
  <c r="X70" i="52"/>
  <c r="AU70" i="52"/>
  <c r="BF70" i="52"/>
  <c r="L71" i="52"/>
  <c r="T71" i="52"/>
  <c r="AB71" i="52"/>
  <c r="AY71" i="52"/>
  <c r="AN71" i="52"/>
  <c r="AV71" i="52"/>
  <c r="BE71" i="52"/>
  <c r="K72" i="52"/>
  <c r="S72" i="52"/>
  <c r="AA72" i="52"/>
  <c r="AM72" i="52"/>
  <c r="AU72" i="52"/>
  <c r="BD72" i="52"/>
  <c r="J73" i="52"/>
  <c r="R73" i="52"/>
  <c r="Z73" i="52"/>
  <c r="AT73" i="52"/>
  <c r="BC73" i="52"/>
  <c r="BK73" i="52"/>
  <c r="I74" i="52"/>
  <c r="Q74" i="52"/>
  <c r="Y74" i="52"/>
  <c r="AS74" i="52"/>
  <c r="BB74" i="52"/>
  <c r="BJ74" i="52"/>
  <c r="H75" i="52"/>
  <c r="P75" i="52"/>
  <c r="X75" i="52"/>
  <c r="BL75" i="52"/>
  <c r="AR75" i="52"/>
  <c r="BA75" i="52"/>
  <c r="BI75" i="52"/>
  <c r="G76" i="52"/>
  <c r="O76" i="52"/>
  <c r="W76" i="52"/>
  <c r="AQ76" i="52"/>
  <c r="AZ76" i="52"/>
  <c r="BH76" i="52"/>
  <c r="F77" i="52"/>
  <c r="N77" i="52"/>
  <c r="V77" i="52"/>
  <c r="AD77" i="52"/>
  <c r="AP77" i="52"/>
  <c r="AX77" i="52"/>
  <c r="BG77" i="52"/>
  <c r="E78" i="52"/>
  <c r="M78" i="52"/>
  <c r="U78" i="52"/>
  <c r="AC78" i="52"/>
  <c r="AY78" i="52"/>
  <c r="AN78" i="52"/>
  <c r="AV78" i="52"/>
  <c r="BE78" i="52"/>
  <c r="K79" i="52"/>
  <c r="S79" i="52"/>
  <c r="AA79" i="52"/>
  <c r="AT79" i="52"/>
  <c r="BC79" i="52"/>
  <c r="BK79" i="52"/>
  <c r="I80" i="52"/>
  <c r="Q80" i="52"/>
  <c r="Y80" i="52"/>
  <c r="BL80" i="52"/>
  <c r="AR80" i="52"/>
  <c r="BA80" i="52"/>
  <c r="BI80" i="52"/>
  <c r="BE47" i="52"/>
  <c r="AN55" i="52"/>
  <c r="BK59" i="52"/>
  <c r="BJ60" i="52"/>
  <c r="BI61" i="52"/>
  <c r="BH62" i="52"/>
  <c r="BG63" i="52"/>
  <c r="BC64" i="52"/>
  <c r="M65" i="52"/>
  <c r="AY65" i="52"/>
  <c r="BB65" i="52"/>
  <c r="L66" i="52"/>
  <c r="BA66" i="52"/>
  <c r="K67" i="52"/>
  <c r="AZ67" i="52"/>
  <c r="J68" i="52"/>
  <c r="AX68" i="52"/>
  <c r="I69" i="52"/>
  <c r="BL69" i="52"/>
  <c r="AW69" i="52"/>
  <c r="H70" i="52"/>
  <c r="AA70" i="52"/>
  <c r="AV70" i="52"/>
  <c r="BG70" i="52"/>
  <c r="E71" i="52"/>
  <c r="M71" i="52"/>
  <c r="U71" i="52"/>
  <c r="AC71" i="52"/>
  <c r="AO71" i="52"/>
  <c r="AW71" i="52"/>
  <c r="BF71" i="52"/>
  <c r="L72" i="52"/>
  <c r="T72" i="52"/>
  <c r="AB72" i="52"/>
  <c r="AY72" i="52"/>
  <c r="AN72" i="52"/>
  <c r="AV72" i="52"/>
  <c r="BE72" i="52"/>
  <c r="K73" i="52"/>
  <c r="S73" i="52"/>
  <c r="AA73" i="52"/>
  <c r="AM73" i="52"/>
  <c r="AU73" i="52"/>
  <c r="BD73" i="52"/>
  <c r="J74" i="52"/>
  <c r="R74" i="52"/>
  <c r="Z74" i="52"/>
  <c r="AT74" i="52"/>
  <c r="BC74" i="52"/>
  <c r="BK74" i="52"/>
  <c r="I75" i="52"/>
  <c r="Q75" i="52"/>
  <c r="Y75" i="52"/>
  <c r="AS75" i="52"/>
  <c r="BB75" i="52"/>
  <c r="BJ75" i="52"/>
  <c r="H76" i="52"/>
  <c r="P76" i="52"/>
  <c r="X76" i="52"/>
  <c r="BL76" i="52"/>
  <c r="AR76" i="52"/>
  <c r="BA76" i="52"/>
  <c r="BI76" i="52"/>
  <c r="G77" i="52"/>
  <c r="O77" i="52"/>
  <c r="W77" i="52"/>
  <c r="AQ77" i="52"/>
  <c r="AZ77" i="52"/>
  <c r="BH77" i="52"/>
  <c r="F78" i="52"/>
  <c r="N78" i="52"/>
  <c r="V78" i="52"/>
  <c r="AD78" i="52"/>
  <c r="AO78" i="52"/>
  <c r="AW78" i="52"/>
  <c r="BF78" i="52"/>
  <c r="L79" i="52"/>
  <c r="T79" i="52"/>
  <c r="AB79" i="52"/>
  <c r="AM79" i="52"/>
  <c r="AU79" i="52"/>
  <c r="BD79" i="52"/>
  <c r="J80" i="52"/>
  <c r="R80" i="52"/>
  <c r="Z80" i="52"/>
  <c r="AS80" i="52"/>
  <c r="BB80" i="52"/>
  <c r="BC48" i="52"/>
  <c r="J59" i="52"/>
  <c r="I60" i="52"/>
  <c r="H61" i="52"/>
  <c r="G62" i="52"/>
  <c r="F63" i="52"/>
  <c r="E64" i="52"/>
  <c r="BF64" i="52"/>
  <c r="Q65" i="52"/>
  <c r="BE65" i="52"/>
  <c r="P66" i="52"/>
  <c r="AY66" i="52"/>
  <c r="BD66" i="52"/>
  <c r="O67" i="52"/>
  <c r="BC67" i="52"/>
  <c r="N68" i="52"/>
  <c r="BB68" i="52"/>
  <c r="M69" i="52"/>
  <c r="BA69" i="52"/>
  <c r="L70" i="52"/>
  <c r="AB70" i="52"/>
  <c r="AM70" i="52"/>
  <c r="AW70" i="52"/>
  <c r="BH70" i="52"/>
  <c r="F71" i="52"/>
  <c r="N71" i="52"/>
  <c r="V71" i="52"/>
  <c r="AD71" i="52"/>
  <c r="AP71" i="52"/>
  <c r="AX71" i="52"/>
  <c r="BG71" i="52"/>
  <c r="E72" i="52"/>
  <c r="M72" i="52"/>
  <c r="U72" i="52"/>
  <c r="AC72" i="52"/>
  <c r="AO72" i="52"/>
  <c r="AW72" i="52"/>
  <c r="BF72" i="52"/>
  <c r="L73" i="52"/>
  <c r="T73" i="52"/>
  <c r="AB73" i="52"/>
  <c r="AY73" i="52"/>
  <c r="AN73" i="52"/>
  <c r="AV73" i="52"/>
  <c r="BE73" i="52"/>
  <c r="K74" i="52"/>
  <c r="S74" i="52"/>
  <c r="AA74" i="52"/>
  <c r="AM74" i="52"/>
  <c r="AU74" i="52"/>
  <c r="BD74" i="52"/>
  <c r="J75" i="52"/>
  <c r="R75" i="52"/>
  <c r="Z75" i="52"/>
  <c r="AT75" i="52"/>
  <c r="BC75" i="52"/>
  <c r="BK75" i="52"/>
  <c r="I76" i="52"/>
  <c r="Q76" i="52"/>
  <c r="Y76" i="52"/>
  <c r="AS76" i="52"/>
  <c r="BB76" i="52"/>
  <c r="BJ76" i="52"/>
  <c r="H77" i="52"/>
  <c r="P77" i="52"/>
  <c r="X77" i="52"/>
  <c r="BL77" i="52"/>
  <c r="AR77" i="52"/>
  <c r="BA77" i="52"/>
  <c r="BI77" i="52"/>
  <c r="G78" i="52"/>
  <c r="O78" i="52"/>
  <c r="W78" i="52"/>
  <c r="AP78" i="52"/>
  <c r="AX78" i="52"/>
  <c r="BG78" i="52"/>
  <c r="E79" i="52"/>
  <c r="M79" i="52"/>
  <c r="U79" i="52"/>
  <c r="AC79" i="52"/>
  <c r="AY79" i="52"/>
  <c r="AN79" i="52"/>
  <c r="AV79" i="52"/>
  <c r="BE79" i="52"/>
  <c r="K80" i="52"/>
  <c r="S80" i="52"/>
  <c r="AA80" i="52"/>
  <c r="BA49" i="52"/>
  <c r="R59" i="52"/>
  <c r="Q60" i="52"/>
  <c r="P61" i="52"/>
  <c r="O62" i="52"/>
  <c r="N63" i="52"/>
  <c r="M64" i="52"/>
  <c r="BG64" i="52"/>
  <c r="T65" i="52"/>
  <c r="BF65" i="52"/>
  <c r="S66" i="52"/>
  <c r="BE66" i="52"/>
  <c r="R67" i="52"/>
  <c r="BD67" i="52"/>
  <c r="Q68" i="52"/>
  <c r="BC68" i="52"/>
  <c r="P69" i="52"/>
  <c r="BB69" i="52"/>
  <c r="O70" i="52"/>
  <c r="AN70" i="52"/>
  <c r="AZ70" i="52"/>
  <c r="BI70" i="52"/>
  <c r="G71" i="52"/>
  <c r="O71" i="52"/>
  <c r="W71" i="52"/>
  <c r="AQ71" i="52"/>
  <c r="AZ71" i="52"/>
  <c r="BH71" i="52"/>
  <c r="F72" i="52"/>
  <c r="N72" i="52"/>
  <c r="V72" i="52"/>
  <c r="AD72" i="52"/>
  <c r="AP72" i="52"/>
  <c r="AX72" i="52"/>
  <c r="BG72" i="52"/>
  <c r="E73" i="52"/>
  <c r="M73" i="52"/>
  <c r="U73" i="52"/>
  <c r="AC73" i="52"/>
  <c r="AO73" i="52"/>
  <c r="AW73" i="52"/>
  <c r="BF73" i="52"/>
  <c r="L74" i="52"/>
  <c r="T74" i="52"/>
  <c r="AB74" i="52"/>
  <c r="AY74" i="52"/>
  <c r="AN74" i="52"/>
  <c r="AV74" i="52"/>
  <c r="BE74" i="52"/>
  <c r="K75" i="52"/>
  <c r="S75" i="52"/>
  <c r="AA75" i="52"/>
  <c r="AM75" i="52"/>
  <c r="AU75" i="52"/>
  <c r="BD75" i="52"/>
  <c r="J76" i="52"/>
  <c r="R76" i="52"/>
  <c r="Z76" i="52"/>
  <c r="AT76" i="52"/>
  <c r="BC76" i="52"/>
  <c r="BK76" i="52"/>
  <c r="I77" i="52"/>
  <c r="Q77" i="52"/>
  <c r="Y77" i="52"/>
  <c r="AS77" i="52"/>
  <c r="BB77" i="52"/>
  <c r="BJ77" i="52"/>
  <c r="H78" i="52"/>
  <c r="P78" i="52"/>
  <c r="X78" i="52"/>
  <c r="AQ78" i="52"/>
  <c r="AZ78" i="52"/>
  <c r="BH78" i="52"/>
  <c r="F79" i="52"/>
  <c r="N79" i="52"/>
  <c r="V79" i="52"/>
  <c r="AD79" i="52"/>
  <c r="AO79" i="52"/>
  <c r="AW79" i="52"/>
  <c r="BF79" i="52"/>
  <c r="L80" i="52"/>
  <c r="T80" i="52"/>
  <c r="AB80" i="52"/>
  <c r="AM80" i="52"/>
  <c r="AU80" i="52"/>
  <c r="BD80" i="52"/>
  <c r="AX50" i="52"/>
  <c r="G58" i="52"/>
  <c r="Z59" i="52"/>
  <c r="Y60" i="52"/>
  <c r="X61" i="52"/>
  <c r="W62" i="52"/>
  <c r="V63" i="52"/>
  <c r="R64" i="52"/>
  <c r="AO64" i="52"/>
  <c r="BK64" i="52"/>
  <c r="U65" i="52"/>
  <c r="AN65" i="52"/>
  <c r="BJ65" i="52"/>
  <c r="T66" i="52"/>
  <c r="AM66" i="52"/>
  <c r="BI66" i="52"/>
  <c r="S67" i="52"/>
  <c r="BH67" i="52"/>
  <c r="R68" i="52"/>
  <c r="BG68" i="52"/>
  <c r="Q69" i="52"/>
  <c r="BF69" i="52"/>
  <c r="P70" i="52"/>
  <c r="BL70" i="52"/>
  <c r="AO70" i="52"/>
  <c r="BA70" i="52"/>
  <c r="BJ70" i="52"/>
  <c r="H71" i="52"/>
  <c r="P71" i="52"/>
  <c r="X71" i="52"/>
  <c r="BL71" i="52"/>
  <c r="AR71" i="52"/>
  <c r="BA71" i="52"/>
  <c r="BI71" i="52"/>
  <c r="G72" i="52"/>
  <c r="O72" i="52"/>
  <c r="W72" i="52"/>
  <c r="AQ72" i="52"/>
  <c r="AZ72" i="52"/>
  <c r="BH72" i="52"/>
  <c r="F73" i="52"/>
  <c r="N73" i="52"/>
  <c r="V73" i="52"/>
  <c r="AD73" i="52"/>
  <c r="AP73" i="52"/>
  <c r="AX73" i="52"/>
  <c r="BG73" i="52"/>
  <c r="E74" i="52"/>
  <c r="M74" i="52"/>
  <c r="U74" i="52"/>
  <c r="AC74" i="52"/>
  <c r="AO74" i="52"/>
  <c r="AW74" i="52"/>
  <c r="BF74" i="52"/>
  <c r="L75" i="52"/>
  <c r="T75" i="52"/>
  <c r="AB75" i="52"/>
  <c r="AY75" i="52"/>
  <c r="AN75" i="52"/>
  <c r="AV75" i="52"/>
  <c r="BE75" i="52"/>
  <c r="K76" i="52"/>
  <c r="S76" i="52"/>
  <c r="AA76" i="52"/>
  <c r="AM76" i="52"/>
  <c r="AU76" i="52"/>
  <c r="BD76" i="52"/>
  <c r="J77" i="52"/>
  <c r="R77" i="52"/>
  <c r="Z77" i="52"/>
  <c r="AT77" i="52"/>
  <c r="BC77" i="52"/>
  <c r="BK77" i="52"/>
  <c r="I78" i="52"/>
  <c r="Q78" i="52"/>
  <c r="Y78" i="52"/>
  <c r="BL78" i="52"/>
  <c r="AR78" i="52"/>
  <c r="BA78" i="52"/>
  <c r="BI78" i="52"/>
  <c r="G79" i="52"/>
  <c r="O79" i="52"/>
  <c r="W79" i="52"/>
  <c r="AP79" i="52"/>
  <c r="AX79" i="52"/>
  <c r="BG79" i="52"/>
  <c r="E80" i="52"/>
  <c r="M80" i="52"/>
  <c r="U80" i="52"/>
  <c r="AC80" i="52"/>
  <c r="AY80" i="52"/>
  <c r="AN80" i="52"/>
  <c r="AT52" i="52"/>
  <c r="Z64" i="52"/>
  <c r="AT64" i="52"/>
  <c r="E65" i="52"/>
  <c r="AB65" i="52"/>
  <c r="AS65" i="52"/>
  <c r="AA66" i="52"/>
  <c r="AR66" i="52"/>
  <c r="Z67" i="52"/>
  <c r="AQ67" i="52"/>
  <c r="Y68" i="52"/>
  <c r="AP68" i="52"/>
  <c r="BK68" i="52"/>
  <c r="X69" i="52"/>
  <c r="AO69" i="52"/>
  <c r="BJ69" i="52"/>
  <c r="T70" i="52"/>
  <c r="AY70" i="52"/>
  <c r="AR70" i="52"/>
  <c r="BD70" i="52"/>
  <c r="J71" i="52"/>
  <c r="R71" i="52"/>
  <c r="Z71" i="52"/>
  <c r="AT71" i="52"/>
  <c r="BC71" i="52"/>
  <c r="BK71" i="52"/>
  <c r="I72" i="52"/>
  <c r="Q72" i="52"/>
  <c r="Y72" i="52"/>
  <c r="AS72" i="52"/>
  <c r="BB72" i="52"/>
  <c r="BJ72" i="52"/>
  <c r="H73" i="52"/>
  <c r="P73" i="52"/>
  <c r="X73" i="52"/>
  <c r="BL73" i="52"/>
  <c r="AR73" i="52"/>
  <c r="BA73" i="52"/>
  <c r="BI73" i="52"/>
  <c r="G74" i="52"/>
  <c r="O74" i="52"/>
  <c r="W74" i="52"/>
  <c r="AQ74" i="52"/>
  <c r="AZ74" i="52"/>
  <c r="BH74" i="52"/>
  <c r="F75" i="52"/>
  <c r="N75" i="52"/>
  <c r="V75" i="52"/>
  <c r="AD75" i="52"/>
  <c r="AP75" i="52"/>
  <c r="AX75" i="52"/>
  <c r="BG75" i="52"/>
  <c r="E76" i="52"/>
  <c r="M76" i="52"/>
  <c r="U76" i="52"/>
  <c r="AC76" i="52"/>
  <c r="AO76" i="52"/>
  <c r="AW76" i="52"/>
  <c r="BF76" i="52"/>
  <c r="L77" i="52"/>
  <c r="T77" i="52"/>
  <c r="AB77" i="52"/>
  <c r="AY77" i="52"/>
  <c r="AN77" i="52"/>
  <c r="AV77" i="52"/>
  <c r="BE77" i="52"/>
  <c r="K78" i="52"/>
  <c r="S78" i="52"/>
  <c r="AA78" i="52"/>
  <c r="AT78" i="52"/>
  <c r="BC78" i="52"/>
  <c r="BK78" i="52"/>
  <c r="I79" i="52"/>
  <c r="Q79" i="52"/>
  <c r="Y79" i="52"/>
  <c r="BL79" i="52"/>
  <c r="AR79" i="52"/>
  <c r="BA79" i="52"/>
  <c r="BI79" i="52"/>
  <c r="G80" i="52"/>
  <c r="O80" i="52"/>
  <c r="W80" i="52"/>
  <c r="AP80" i="52"/>
  <c r="AX80" i="52"/>
  <c r="BG80" i="52"/>
  <c r="BL81" i="52"/>
  <c r="AV51" i="52"/>
  <c r="AP64" i="52"/>
  <c r="W67" i="52"/>
  <c r="BI69" i="52"/>
  <c r="Y71" i="52"/>
  <c r="X72" i="52"/>
  <c r="W73" i="52"/>
  <c r="V74" i="52"/>
  <c r="U75" i="52"/>
  <c r="T76" i="52"/>
  <c r="S77" i="52"/>
  <c r="R78" i="52"/>
  <c r="P79" i="52"/>
  <c r="N80" i="52"/>
  <c r="AW80" i="52"/>
  <c r="AQ85" i="52"/>
  <c r="AY85" i="52"/>
  <c r="BG85" i="52"/>
  <c r="J100" i="52"/>
  <c r="R100" i="52"/>
  <c r="Z100" i="52"/>
  <c r="AP100" i="52"/>
  <c r="AX100" i="52"/>
  <c r="BF100" i="52"/>
  <c r="J101" i="52"/>
  <c r="R101" i="52"/>
  <c r="Z101" i="52"/>
  <c r="AP101" i="52"/>
  <c r="AX101" i="52"/>
  <c r="BF101" i="52"/>
  <c r="AT102" i="52"/>
  <c r="BB102" i="52"/>
  <c r="BJ102" i="52"/>
  <c r="AP104" i="52"/>
  <c r="AX104" i="52"/>
  <c r="BF104" i="52"/>
  <c r="FU18" i="58"/>
  <c r="GC18" i="58"/>
  <c r="GK18" i="58"/>
  <c r="GS18" i="58"/>
  <c r="HA18" i="58"/>
  <c r="HI18" i="58"/>
  <c r="FU19" i="58"/>
  <c r="GC19" i="58"/>
  <c r="GK19" i="58"/>
  <c r="GS19" i="58"/>
  <c r="HA19" i="58"/>
  <c r="HI19" i="58"/>
  <c r="FU20" i="58"/>
  <c r="GC20" i="58"/>
  <c r="GK20" i="58"/>
  <c r="GS20" i="58"/>
  <c r="W58" i="52"/>
  <c r="AM67" i="52"/>
  <c r="S70" i="52"/>
  <c r="BL72" i="52"/>
  <c r="AD74" i="52"/>
  <c r="AC75" i="52"/>
  <c r="AB76" i="52"/>
  <c r="AA77" i="52"/>
  <c r="Z78" i="52"/>
  <c r="X79" i="52"/>
  <c r="V80" i="52"/>
  <c r="BC80" i="52"/>
  <c r="AR85" i="52"/>
  <c r="AZ85" i="52"/>
  <c r="BH85" i="52"/>
  <c r="K100" i="52"/>
  <c r="S100" i="52"/>
  <c r="AA100" i="52"/>
  <c r="AQ100" i="52"/>
  <c r="AY100" i="52"/>
  <c r="BG100" i="52"/>
  <c r="K101" i="52"/>
  <c r="S101" i="52"/>
  <c r="AA101" i="52"/>
  <c r="AQ101" i="52"/>
  <c r="AY101" i="52"/>
  <c r="BG101" i="52"/>
  <c r="AM102" i="52"/>
  <c r="AU102" i="52"/>
  <c r="BC102" i="52"/>
  <c r="BK102" i="52"/>
  <c r="AQ104" i="52"/>
  <c r="AY104" i="52"/>
  <c r="BG104" i="52"/>
  <c r="FV18" i="58"/>
  <c r="GD18" i="58"/>
  <c r="GL18" i="58"/>
  <c r="GT18" i="58"/>
  <c r="HB18" i="58"/>
  <c r="HJ18" i="58"/>
  <c r="FV19" i="58"/>
  <c r="GD19" i="58"/>
  <c r="GL19" i="58"/>
  <c r="GT19" i="58"/>
  <c r="HB19" i="58"/>
  <c r="HJ19" i="58"/>
  <c r="FV20" i="58"/>
  <c r="GD20" i="58"/>
  <c r="GL20" i="58"/>
  <c r="GT20" i="58"/>
  <c r="HB20" i="58"/>
  <c r="Y65" i="52"/>
  <c r="BK67" i="52"/>
  <c r="AY76" i="52"/>
  <c r="AD80" i="52"/>
  <c r="BE80" i="52"/>
  <c r="AS85" i="52"/>
  <c r="BA85" i="52"/>
  <c r="BI85" i="52"/>
  <c r="L100" i="52"/>
  <c r="T100" i="52"/>
  <c r="AB100" i="52"/>
  <c r="AR100" i="52"/>
  <c r="AZ100" i="52"/>
  <c r="BH100" i="52"/>
  <c r="L101" i="52"/>
  <c r="T101" i="52"/>
  <c r="AB101" i="52"/>
  <c r="AR101" i="52"/>
  <c r="AZ101" i="52"/>
  <c r="BH101" i="52"/>
  <c r="AN102" i="52"/>
  <c r="AV102" i="52"/>
  <c r="BD102" i="52"/>
  <c r="BL102" i="52"/>
  <c r="AR104" i="52"/>
  <c r="AZ104" i="52"/>
  <c r="BH104" i="52"/>
  <c r="FW18" i="58"/>
  <c r="GE18" i="58"/>
  <c r="GM18" i="58"/>
  <c r="GU18" i="58"/>
  <c r="HC18" i="58"/>
  <c r="HK18" i="58"/>
  <c r="FW19" i="58"/>
  <c r="GE19" i="58"/>
  <c r="GM19" i="58"/>
  <c r="GU19" i="58"/>
  <c r="HC19" i="58"/>
  <c r="HK19" i="58"/>
  <c r="FW20" i="58"/>
  <c r="GE20" i="58"/>
  <c r="GM20" i="58"/>
  <c r="AO65" i="52"/>
  <c r="V68" i="52"/>
  <c r="AQ70" i="52"/>
  <c r="AS71" i="52"/>
  <c r="AR72" i="52"/>
  <c r="AQ73" i="52"/>
  <c r="AP74" i="52"/>
  <c r="AO75" i="52"/>
  <c r="AN76" i="52"/>
  <c r="AM77" i="52"/>
  <c r="BF80" i="52"/>
  <c r="AT85" i="52"/>
  <c r="BB85" i="52"/>
  <c r="BJ85" i="52"/>
  <c r="E100" i="52"/>
  <c r="M100" i="52"/>
  <c r="U100" i="52"/>
  <c r="AC100" i="52"/>
  <c r="AS100" i="52"/>
  <c r="BA100" i="52"/>
  <c r="BI100" i="52"/>
  <c r="E101" i="52"/>
  <c r="M101" i="52"/>
  <c r="U101" i="52"/>
  <c r="AC101" i="52"/>
  <c r="AS101" i="52"/>
  <c r="BA101" i="52"/>
  <c r="BI101" i="52"/>
  <c r="AO102" i="52"/>
  <c r="AW102" i="52"/>
  <c r="BE102" i="52"/>
  <c r="AS104" i="52"/>
  <c r="BA104" i="52"/>
  <c r="BI104" i="52"/>
  <c r="FX18" i="58"/>
  <c r="GF18" i="58"/>
  <c r="GN18" i="58"/>
  <c r="GV18" i="58"/>
  <c r="HD18" i="58"/>
  <c r="HL18" i="58"/>
  <c r="FX19" i="58"/>
  <c r="GF19" i="58"/>
  <c r="GN19" i="58"/>
  <c r="GV19" i="58"/>
  <c r="HD19" i="58"/>
  <c r="HL19" i="58"/>
  <c r="FX20" i="58"/>
  <c r="GF20" i="58"/>
  <c r="GN20" i="58"/>
  <c r="BL61" i="52"/>
  <c r="BB70" i="52"/>
  <c r="BB71" i="52"/>
  <c r="BA72" i="52"/>
  <c r="AZ73" i="52"/>
  <c r="AX74" i="52"/>
  <c r="AW75" i="52"/>
  <c r="AV76" i="52"/>
  <c r="AU77" i="52"/>
  <c r="AS78" i="52"/>
  <c r="AQ79" i="52"/>
  <c r="BJ80" i="52"/>
  <c r="AM85" i="52"/>
  <c r="AU85" i="52"/>
  <c r="BC85" i="52"/>
  <c r="BK85" i="52"/>
  <c r="F100" i="52"/>
  <c r="N100" i="52"/>
  <c r="V100" i="52"/>
  <c r="AD100" i="52"/>
  <c r="AT100" i="52"/>
  <c r="BB100" i="52"/>
  <c r="BJ100" i="52"/>
  <c r="F101" i="52"/>
  <c r="N101" i="52"/>
  <c r="V101" i="52"/>
  <c r="AD101" i="52"/>
  <c r="AT101" i="52"/>
  <c r="BB101" i="52"/>
  <c r="BJ101" i="52"/>
  <c r="AP102" i="52"/>
  <c r="AX102" i="52"/>
  <c r="BF102" i="52"/>
  <c r="AT104" i="52"/>
  <c r="BB104" i="52"/>
  <c r="BJ104" i="52"/>
  <c r="FY18" i="58"/>
  <c r="GG18" i="58"/>
  <c r="GO18" i="58"/>
  <c r="GW18" i="58"/>
  <c r="HE18" i="58"/>
  <c r="HM18" i="58"/>
  <c r="FY19" i="58"/>
  <c r="GG19" i="58"/>
  <c r="GO19" i="58"/>
  <c r="X66" i="52"/>
  <c r="BJ68" i="52"/>
  <c r="BK70" i="52"/>
  <c r="BJ71" i="52"/>
  <c r="BI72" i="52"/>
  <c r="BH73" i="52"/>
  <c r="BG74" i="52"/>
  <c r="BF75" i="52"/>
  <c r="BE76" i="52"/>
  <c r="BD77" i="52"/>
  <c r="BB78" i="52"/>
  <c r="AZ79" i="52"/>
  <c r="AO80" i="52"/>
  <c r="BK80" i="52"/>
  <c r="AN85" i="52"/>
  <c r="AV85" i="52"/>
  <c r="BD85" i="52"/>
  <c r="BL85" i="52"/>
  <c r="G100" i="52"/>
  <c r="O100" i="52"/>
  <c r="W100" i="52"/>
  <c r="AM100" i="52"/>
  <c r="AU100" i="52"/>
  <c r="BC100" i="52"/>
  <c r="BK100" i="52"/>
  <c r="G101" i="52"/>
  <c r="O101" i="52"/>
  <c r="W101" i="52"/>
  <c r="AM101" i="52"/>
  <c r="AU101" i="52"/>
  <c r="BC101" i="52"/>
  <c r="BK101" i="52"/>
  <c r="AQ102" i="52"/>
  <c r="AY102" i="52"/>
  <c r="BG102" i="52"/>
  <c r="AM104" i="52"/>
  <c r="AU104" i="52"/>
  <c r="BC104" i="52"/>
  <c r="BK104" i="52"/>
  <c r="FR18" i="58"/>
  <c r="FZ18" i="58"/>
  <c r="GH18" i="58"/>
  <c r="GP18" i="58"/>
  <c r="GX18" i="58"/>
  <c r="HF18" i="58"/>
  <c r="FR19" i="58"/>
  <c r="FZ19" i="58"/>
  <c r="GH19" i="58"/>
  <c r="GP19" i="58"/>
  <c r="GX19" i="58"/>
  <c r="HF19" i="58"/>
  <c r="FR20" i="58"/>
  <c r="FZ20" i="58"/>
  <c r="GH20" i="58"/>
  <c r="GP20" i="58"/>
  <c r="GX20" i="58"/>
  <c r="AD63" i="52"/>
  <c r="AN66" i="52"/>
  <c r="U69" i="52"/>
  <c r="I71" i="52"/>
  <c r="H72" i="52"/>
  <c r="G73" i="52"/>
  <c r="F74" i="52"/>
  <c r="E75" i="52"/>
  <c r="BJ78" i="52"/>
  <c r="BH79" i="52"/>
  <c r="AT80" i="52"/>
  <c r="AO85" i="52"/>
  <c r="AW85" i="52"/>
  <c r="BE85" i="52"/>
  <c r="H100" i="52"/>
  <c r="P100" i="52"/>
  <c r="X100" i="52"/>
  <c r="AN100" i="52"/>
  <c r="AV100" i="52"/>
  <c r="BD100" i="52"/>
  <c r="BL100" i="52"/>
  <c r="H101" i="52"/>
  <c r="P101" i="52"/>
  <c r="X101" i="52"/>
  <c r="AN101" i="52"/>
  <c r="AV101" i="52"/>
  <c r="BD101" i="52"/>
  <c r="BL101" i="52"/>
  <c r="AR102" i="52"/>
  <c r="AZ102" i="52"/>
  <c r="BH102" i="52"/>
  <c r="AN104" i="52"/>
  <c r="AV104" i="52"/>
  <c r="BD104" i="52"/>
  <c r="BL104" i="52"/>
  <c r="FS18" i="58"/>
  <c r="GA18" i="58"/>
  <c r="GI18" i="58"/>
  <c r="GQ18" i="58"/>
  <c r="GY18" i="58"/>
  <c r="HG18" i="58"/>
  <c r="FS19" i="58"/>
  <c r="GA19" i="58"/>
  <c r="GI19" i="58"/>
  <c r="GQ19" i="58"/>
  <c r="GY19" i="58"/>
  <c r="HG19" i="58"/>
  <c r="FS20" i="58"/>
  <c r="GA20" i="58"/>
  <c r="GI20" i="58"/>
  <c r="GQ20" i="58"/>
  <c r="GY20" i="58"/>
  <c r="U64" i="52"/>
  <c r="L76" i="52"/>
  <c r="AP85" i="52"/>
  <c r="FT19" i="58"/>
  <c r="HM19" i="58"/>
  <c r="GU20" i="58"/>
  <c r="HF20" i="58"/>
  <c r="FR21" i="58"/>
  <c r="FZ21" i="58"/>
  <c r="GH21" i="58"/>
  <c r="GP21" i="58"/>
  <c r="GX21" i="58"/>
  <c r="HF21" i="58"/>
  <c r="FR22" i="58"/>
  <c r="FZ22" i="58"/>
  <c r="GH22" i="58"/>
  <c r="GP22" i="58"/>
  <c r="GX22" i="58"/>
  <c r="HF22" i="58"/>
  <c r="FR23" i="58"/>
  <c r="FZ23" i="58"/>
  <c r="GH23" i="58"/>
  <c r="GP23" i="58"/>
  <c r="GX23" i="58"/>
  <c r="HF23" i="58"/>
  <c r="FR24" i="58"/>
  <c r="FZ24" i="58"/>
  <c r="GH24" i="58"/>
  <c r="GP24" i="58"/>
  <c r="GX24" i="58"/>
  <c r="HF24" i="58"/>
  <c r="FR25" i="58"/>
  <c r="FZ25" i="58"/>
  <c r="GH25" i="58"/>
  <c r="GP25" i="58"/>
  <c r="GX25" i="58"/>
  <c r="HF25" i="58"/>
  <c r="FR26" i="58"/>
  <c r="FZ26" i="58"/>
  <c r="GH26" i="58"/>
  <c r="GP26" i="58"/>
  <c r="GX26" i="58"/>
  <c r="HF26" i="58"/>
  <c r="FR27" i="58"/>
  <c r="FZ27" i="58"/>
  <c r="GH27" i="58"/>
  <c r="GP27" i="58"/>
  <c r="GX27" i="58"/>
  <c r="HF27" i="58"/>
  <c r="FR28" i="58"/>
  <c r="FZ28" i="58"/>
  <c r="GH28" i="58"/>
  <c r="GP28" i="58"/>
  <c r="GX28" i="58"/>
  <c r="HF28" i="58"/>
  <c r="FR29" i="58"/>
  <c r="FZ29" i="58"/>
  <c r="GH29" i="58"/>
  <c r="GP29" i="58"/>
  <c r="GX29" i="58"/>
  <c r="HF29" i="58"/>
  <c r="FR30" i="58"/>
  <c r="FZ30" i="58"/>
  <c r="GH30" i="58"/>
  <c r="GP30" i="58"/>
  <c r="GX30" i="58"/>
  <c r="HF30" i="58"/>
  <c r="FR31" i="58"/>
  <c r="FZ31" i="58"/>
  <c r="GH31" i="58"/>
  <c r="GP31" i="58"/>
  <c r="GX31" i="58"/>
  <c r="HF31" i="58"/>
  <c r="FR32" i="58"/>
  <c r="FZ32" i="58"/>
  <c r="GH32" i="58"/>
  <c r="GP32" i="58"/>
  <c r="GX32" i="58"/>
  <c r="HF32" i="58"/>
  <c r="FR33" i="58"/>
  <c r="FZ33" i="58"/>
  <c r="GH33" i="58"/>
  <c r="GP33" i="58"/>
  <c r="GX33" i="58"/>
  <c r="HF33" i="58"/>
  <c r="FY37" i="58"/>
  <c r="GG37" i="58"/>
  <c r="GO37" i="58"/>
  <c r="FY38" i="58"/>
  <c r="GG38" i="58"/>
  <c r="K77" i="52"/>
  <c r="AX85" i="52"/>
  <c r="I100" i="52"/>
  <c r="AS102" i="52"/>
  <c r="GB19" i="58"/>
  <c r="FT20" i="58"/>
  <c r="GV20" i="58"/>
  <c r="HG20" i="58"/>
  <c r="FS21" i="58"/>
  <c r="GA21" i="58"/>
  <c r="GI21" i="58"/>
  <c r="GQ21" i="58"/>
  <c r="GY21" i="58"/>
  <c r="HG21" i="58"/>
  <c r="FS22" i="58"/>
  <c r="GA22" i="58"/>
  <c r="GI22" i="58"/>
  <c r="GQ22" i="58"/>
  <c r="GY22" i="58"/>
  <c r="HG22" i="58"/>
  <c r="FS23" i="58"/>
  <c r="GA23" i="58"/>
  <c r="GI23" i="58"/>
  <c r="GQ23" i="58"/>
  <c r="GY23" i="58"/>
  <c r="HG23" i="58"/>
  <c r="FS24" i="58"/>
  <c r="GA24" i="58"/>
  <c r="GI24" i="58"/>
  <c r="GQ24" i="58"/>
  <c r="GY24" i="58"/>
  <c r="HG24" i="58"/>
  <c r="FS25" i="58"/>
  <c r="GA25" i="58"/>
  <c r="GI25" i="58"/>
  <c r="GQ25" i="58"/>
  <c r="GY25" i="58"/>
  <c r="HG25" i="58"/>
  <c r="FS26" i="58"/>
  <c r="GA26" i="58"/>
  <c r="GI26" i="58"/>
  <c r="GQ26" i="58"/>
  <c r="GY26" i="58"/>
  <c r="HG26" i="58"/>
  <c r="FS27" i="58"/>
  <c r="GA27" i="58"/>
  <c r="GI27" i="58"/>
  <c r="GQ27" i="58"/>
  <c r="GY27" i="58"/>
  <c r="HG27" i="58"/>
  <c r="FS28" i="58"/>
  <c r="GA28" i="58"/>
  <c r="GI28" i="58"/>
  <c r="GQ28" i="58"/>
  <c r="GY28" i="58"/>
  <c r="HG28" i="58"/>
  <c r="FS29" i="58"/>
  <c r="GA29" i="58"/>
  <c r="GI29" i="58"/>
  <c r="GQ29" i="58"/>
  <c r="GY29" i="58"/>
  <c r="HG29" i="58"/>
  <c r="FS30" i="58"/>
  <c r="GA30" i="58"/>
  <c r="GI30" i="58"/>
  <c r="GQ30" i="58"/>
  <c r="GY30" i="58"/>
  <c r="HG30" i="58"/>
  <c r="FS31" i="58"/>
  <c r="GA31" i="58"/>
  <c r="GI31" i="58"/>
  <c r="GQ31" i="58"/>
  <c r="GY31" i="58"/>
  <c r="HG31" i="58"/>
  <c r="FS32" i="58"/>
  <c r="GA32" i="58"/>
  <c r="GI32" i="58"/>
  <c r="GQ32" i="58"/>
  <c r="GY32" i="58"/>
  <c r="HG32" i="58"/>
  <c r="FS33" i="58"/>
  <c r="GA33" i="58"/>
  <c r="GI33" i="58"/>
  <c r="GQ33" i="58"/>
  <c r="GY33" i="58"/>
  <c r="HG33" i="58"/>
  <c r="FZ37" i="58"/>
  <c r="GH37" i="58"/>
  <c r="GP37" i="58"/>
  <c r="FR38" i="58"/>
  <c r="FZ38" i="58"/>
  <c r="GH38" i="58"/>
  <c r="GP38" i="58"/>
  <c r="GX38" i="58"/>
  <c r="HF38" i="58"/>
  <c r="FS43" i="58"/>
  <c r="GA43" i="58"/>
  <c r="GI43" i="58"/>
  <c r="GQ43" i="58"/>
  <c r="GY43" i="58"/>
  <c r="HG43" i="58"/>
  <c r="FS44" i="58"/>
  <c r="GA44" i="58"/>
  <c r="GI44" i="58"/>
  <c r="GQ44" i="58"/>
  <c r="GY44" i="58"/>
  <c r="HG44" i="58"/>
  <c r="FS45" i="58"/>
  <c r="GA45" i="58"/>
  <c r="GI45" i="58"/>
  <c r="GQ45" i="58"/>
  <c r="GY45" i="58"/>
  <c r="HG45" i="58"/>
  <c r="GY48" i="58"/>
  <c r="FS49" i="58"/>
  <c r="GA49" i="58"/>
  <c r="GI49" i="58"/>
  <c r="GQ49" i="58"/>
  <c r="GY49" i="58"/>
  <c r="HG49" i="58"/>
  <c r="J78" i="52"/>
  <c r="BF85" i="52"/>
  <c r="Q100" i="52"/>
  <c r="I101" i="52"/>
  <c r="BA102" i="52"/>
  <c r="FT18" i="58"/>
  <c r="GJ19" i="58"/>
  <c r="FY20" i="58"/>
  <c r="GW20" i="58"/>
  <c r="HH20" i="58"/>
  <c r="FT21" i="58"/>
  <c r="GB21" i="58"/>
  <c r="GJ21" i="58"/>
  <c r="GR21" i="58"/>
  <c r="GZ21" i="58"/>
  <c r="HH21" i="58"/>
  <c r="FT22" i="58"/>
  <c r="GB22" i="58"/>
  <c r="GJ22" i="58"/>
  <c r="GR22" i="58"/>
  <c r="GZ22" i="58"/>
  <c r="HH22" i="58"/>
  <c r="FT23" i="58"/>
  <c r="GB23" i="58"/>
  <c r="GJ23" i="58"/>
  <c r="GR23" i="58"/>
  <c r="GZ23" i="58"/>
  <c r="HH23" i="58"/>
  <c r="FT24" i="58"/>
  <c r="GB24" i="58"/>
  <c r="GJ24" i="58"/>
  <c r="GR24" i="58"/>
  <c r="GZ24" i="58"/>
  <c r="HH24" i="58"/>
  <c r="FT25" i="58"/>
  <c r="GB25" i="58"/>
  <c r="GJ25" i="58"/>
  <c r="GR25" i="58"/>
  <c r="GZ25" i="58"/>
  <c r="HH25" i="58"/>
  <c r="FT26" i="58"/>
  <c r="GB26" i="58"/>
  <c r="GJ26" i="58"/>
  <c r="GR26" i="58"/>
  <c r="GZ26" i="58"/>
  <c r="HH26" i="58"/>
  <c r="FT27" i="58"/>
  <c r="GB27" i="58"/>
  <c r="GJ27" i="58"/>
  <c r="GR27" i="58"/>
  <c r="GZ27" i="58"/>
  <c r="HH27" i="58"/>
  <c r="FT28" i="58"/>
  <c r="GB28" i="58"/>
  <c r="GJ28" i="58"/>
  <c r="GR28" i="58"/>
  <c r="GZ28" i="58"/>
  <c r="HH28" i="58"/>
  <c r="FT29" i="58"/>
  <c r="GB29" i="58"/>
  <c r="GJ29" i="58"/>
  <c r="GR29" i="58"/>
  <c r="GZ29" i="58"/>
  <c r="HH29" i="58"/>
  <c r="FT30" i="58"/>
  <c r="GB30" i="58"/>
  <c r="GJ30" i="58"/>
  <c r="GR30" i="58"/>
  <c r="GZ30" i="58"/>
  <c r="HH30" i="58"/>
  <c r="FT31" i="58"/>
  <c r="GB31" i="58"/>
  <c r="GJ31" i="58"/>
  <c r="GR31" i="58"/>
  <c r="GZ31" i="58"/>
  <c r="HH31" i="58"/>
  <c r="FT32" i="58"/>
  <c r="GB32" i="58"/>
  <c r="GJ32" i="58"/>
  <c r="GR32" i="58"/>
  <c r="GZ32" i="58"/>
  <c r="HH32" i="58"/>
  <c r="FT33" i="58"/>
  <c r="GB33" i="58"/>
  <c r="GJ33" i="58"/>
  <c r="GR33" i="58"/>
  <c r="GZ33" i="58"/>
  <c r="HH33" i="58"/>
  <c r="GA37" i="58"/>
  <c r="GI37" i="58"/>
  <c r="GQ37" i="58"/>
  <c r="FS38" i="58"/>
  <c r="GA38" i="58"/>
  <c r="GI38" i="58"/>
  <c r="GQ38" i="58"/>
  <c r="GY38" i="58"/>
  <c r="HG38" i="58"/>
  <c r="FT43" i="58"/>
  <c r="GB43" i="58"/>
  <c r="GJ43" i="58"/>
  <c r="GR43" i="58"/>
  <c r="GZ43" i="58"/>
  <c r="HH43" i="58"/>
  <c r="FT44" i="58"/>
  <c r="GB44" i="58"/>
  <c r="GJ44" i="58"/>
  <c r="GR44" i="58"/>
  <c r="GZ44" i="58"/>
  <c r="HH44" i="58"/>
  <c r="FT45" i="58"/>
  <c r="GB45" i="58"/>
  <c r="GJ45" i="58"/>
  <c r="Q71" i="52"/>
  <c r="H79" i="52"/>
  <c r="Y100" i="52"/>
  <c r="Q101" i="52"/>
  <c r="BI102" i="52"/>
  <c r="GB18" i="58"/>
  <c r="GR19" i="58"/>
  <c r="GB20" i="58"/>
  <c r="GZ20" i="58"/>
  <c r="HI20" i="58"/>
  <c r="FU21" i="58"/>
  <c r="GC21" i="58"/>
  <c r="GK21" i="58"/>
  <c r="GS21" i="58"/>
  <c r="HA21" i="58"/>
  <c r="HI21" i="58"/>
  <c r="FU22" i="58"/>
  <c r="GC22" i="58"/>
  <c r="GK22" i="58"/>
  <c r="GS22" i="58"/>
  <c r="HA22" i="58"/>
  <c r="HI22" i="58"/>
  <c r="FU23" i="58"/>
  <c r="GC23" i="58"/>
  <c r="GK23" i="58"/>
  <c r="GS23" i="58"/>
  <c r="HA23" i="58"/>
  <c r="HI23" i="58"/>
  <c r="FU24" i="58"/>
  <c r="GC24" i="58"/>
  <c r="GK24" i="58"/>
  <c r="GS24" i="58"/>
  <c r="HA24" i="58"/>
  <c r="HI24" i="58"/>
  <c r="FU25" i="58"/>
  <c r="GC25" i="58"/>
  <c r="GK25" i="58"/>
  <c r="GS25" i="58"/>
  <c r="HA25" i="58"/>
  <c r="HI25" i="58"/>
  <c r="FU26" i="58"/>
  <c r="GC26" i="58"/>
  <c r="GK26" i="58"/>
  <c r="GS26" i="58"/>
  <c r="HA26" i="58"/>
  <c r="HI26" i="58"/>
  <c r="FU27" i="58"/>
  <c r="GC27" i="58"/>
  <c r="GK27" i="58"/>
  <c r="GS27" i="58"/>
  <c r="HA27" i="58"/>
  <c r="HI27" i="58"/>
  <c r="FU28" i="58"/>
  <c r="GC28" i="58"/>
  <c r="GK28" i="58"/>
  <c r="GS28" i="58"/>
  <c r="HA28" i="58"/>
  <c r="HI28" i="58"/>
  <c r="FU29" i="58"/>
  <c r="GC29" i="58"/>
  <c r="GK29" i="58"/>
  <c r="GS29" i="58"/>
  <c r="HA29" i="58"/>
  <c r="HI29" i="58"/>
  <c r="FU30" i="58"/>
  <c r="GC30" i="58"/>
  <c r="GK30" i="58"/>
  <c r="GS30" i="58"/>
  <c r="HA30" i="58"/>
  <c r="HI30" i="58"/>
  <c r="FU31" i="58"/>
  <c r="GC31" i="58"/>
  <c r="GK31" i="58"/>
  <c r="GS31" i="58"/>
  <c r="HA31" i="58"/>
  <c r="HI31" i="58"/>
  <c r="FU32" i="58"/>
  <c r="GC32" i="58"/>
  <c r="GK32" i="58"/>
  <c r="GS32" i="58"/>
  <c r="HA32" i="58"/>
  <c r="HI32" i="58"/>
  <c r="FU33" i="58"/>
  <c r="GC33" i="58"/>
  <c r="GK33" i="58"/>
  <c r="GS33" i="58"/>
  <c r="HA33" i="58"/>
  <c r="HI33" i="58"/>
  <c r="GB37" i="58"/>
  <c r="GJ37" i="58"/>
  <c r="GR37" i="58"/>
  <c r="FT38" i="58"/>
  <c r="GB38" i="58"/>
  <c r="GJ38" i="58"/>
  <c r="GR38" i="58"/>
  <c r="GZ38" i="58"/>
  <c r="HH38" i="58"/>
  <c r="FU43" i="58"/>
  <c r="GC43" i="58"/>
  <c r="GK43" i="58"/>
  <c r="GS43" i="58"/>
  <c r="HA43" i="58"/>
  <c r="HI43" i="58"/>
  <c r="FU44" i="58"/>
  <c r="GC44" i="58"/>
  <c r="GK44" i="58"/>
  <c r="GS44" i="58"/>
  <c r="HA44" i="58"/>
  <c r="HI44" i="58"/>
  <c r="FU45" i="58"/>
  <c r="GC45" i="58"/>
  <c r="GK45" i="58"/>
  <c r="GS45" i="58"/>
  <c r="HA45" i="58"/>
  <c r="P72" i="52"/>
  <c r="F80" i="52"/>
  <c r="AO100" i="52"/>
  <c r="Y101" i="52"/>
  <c r="AO104" i="52"/>
  <c r="GJ18" i="58"/>
  <c r="GW19" i="58"/>
  <c r="GG20" i="58"/>
  <c r="HA20" i="58"/>
  <c r="HJ20" i="58"/>
  <c r="FV21" i="58"/>
  <c r="GD21" i="58"/>
  <c r="GL21" i="58"/>
  <c r="GT21" i="58"/>
  <c r="HB21" i="58"/>
  <c r="HJ21" i="58"/>
  <c r="FV22" i="58"/>
  <c r="GD22" i="58"/>
  <c r="GL22" i="58"/>
  <c r="GT22" i="58"/>
  <c r="HB22" i="58"/>
  <c r="HJ22" i="58"/>
  <c r="FV23" i="58"/>
  <c r="GD23" i="58"/>
  <c r="GL23" i="58"/>
  <c r="GT23" i="58"/>
  <c r="HB23" i="58"/>
  <c r="HJ23" i="58"/>
  <c r="FV24" i="58"/>
  <c r="GD24" i="58"/>
  <c r="GL24" i="58"/>
  <c r="GT24" i="58"/>
  <c r="HB24" i="58"/>
  <c r="HJ24" i="58"/>
  <c r="FV25" i="58"/>
  <c r="GD25" i="58"/>
  <c r="GL25" i="58"/>
  <c r="GT25" i="58"/>
  <c r="HB25" i="58"/>
  <c r="HJ25" i="58"/>
  <c r="FV26" i="58"/>
  <c r="GD26" i="58"/>
  <c r="GL26" i="58"/>
  <c r="GT26" i="58"/>
  <c r="HB26" i="58"/>
  <c r="HJ26" i="58"/>
  <c r="FV27" i="58"/>
  <c r="GD27" i="58"/>
  <c r="GL27" i="58"/>
  <c r="GT27" i="58"/>
  <c r="HB27" i="58"/>
  <c r="HJ27" i="58"/>
  <c r="FV28" i="58"/>
  <c r="GD28" i="58"/>
  <c r="GL28" i="58"/>
  <c r="GT28" i="58"/>
  <c r="HB28" i="58"/>
  <c r="HJ28" i="58"/>
  <c r="O73" i="52"/>
  <c r="AV80" i="52"/>
  <c r="AW100" i="52"/>
  <c r="AO101" i="52"/>
  <c r="AW104" i="52"/>
  <c r="GR18" i="58"/>
  <c r="GZ19" i="58"/>
  <c r="GJ20" i="58"/>
  <c r="HC20" i="58"/>
  <c r="HK20" i="58"/>
  <c r="FW21" i="58"/>
  <c r="GE21" i="58"/>
  <c r="GM21" i="58"/>
  <c r="GU21" i="58"/>
  <c r="HC21" i="58"/>
  <c r="HK21" i="58"/>
  <c r="FW22" i="58"/>
  <c r="GE22" i="58"/>
  <c r="GM22" i="58"/>
  <c r="GU22" i="58"/>
  <c r="HC22" i="58"/>
  <c r="HK22" i="58"/>
  <c r="FW23" i="58"/>
  <c r="GE23" i="58"/>
  <c r="GM23" i="58"/>
  <c r="GU23" i="58"/>
  <c r="HC23" i="58"/>
  <c r="HK23" i="58"/>
  <c r="FW24" i="58"/>
  <c r="GE24" i="58"/>
  <c r="GM24" i="58"/>
  <c r="GU24" i="58"/>
  <c r="HC24" i="58"/>
  <c r="HK24" i="58"/>
  <c r="FW25" i="58"/>
  <c r="GE25" i="58"/>
  <c r="GM25" i="58"/>
  <c r="GU25" i="58"/>
  <c r="HC25" i="58"/>
  <c r="HK25" i="58"/>
  <c r="FW26" i="58"/>
  <c r="GE26" i="58"/>
  <c r="GM26" i="58"/>
  <c r="GU26" i="58"/>
  <c r="HC26" i="58"/>
  <c r="HK26" i="58"/>
  <c r="FW27" i="58"/>
  <c r="GE27" i="58"/>
  <c r="GM27" i="58"/>
  <c r="GU27" i="58"/>
  <c r="HC27" i="58"/>
  <c r="HK27" i="58"/>
  <c r="FW28" i="58"/>
  <c r="GE28" i="58"/>
  <c r="GM28" i="58"/>
  <c r="GU28" i="58"/>
  <c r="HC28" i="58"/>
  <c r="HK28" i="58"/>
  <c r="FW29" i="58"/>
  <c r="GE29" i="58"/>
  <c r="GM29" i="58"/>
  <c r="GU29" i="58"/>
  <c r="HC29" i="58"/>
  <c r="HK29" i="58"/>
  <c r="FW30" i="58"/>
  <c r="GE30" i="58"/>
  <c r="GM30" i="58"/>
  <c r="GU30" i="58"/>
  <c r="HC30" i="58"/>
  <c r="HK30" i="58"/>
  <c r="FW31" i="58"/>
  <c r="GE31" i="58"/>
  <c r="GM31" i="58"/>
  <c r="GU31" i="58"/>
  <c r="HC31" i="58"/>
  <c r="HK31" i="58"/>
  <c r="FW32" i="58"/>
  <c r="GE32" i="58"/>
  <c r="GM32" i="58"/>
  <c r="GU32" i="58"/>
  <c r="HC32" i="58"/>
  <c r="HK32" i="58"/>
  <c r="FW33" i="58"/>
  <c r="GE33" i="58"/>
  <c r="GM33" i="58"/>
  <c r="GU33" i="58"/>
  <c r="HC33" i="58"/>
  <c r="HK33" i="58"/>
  <c r="FV37" i="58"/>
  <c r="GD37" i="58"/>
  <c r="GL37" i="58"/>
  <c r="HB37" i="58"/>
  <c r="FV38" i="58"/>
  <c r="GD38" i="58"/>
  <c r="GL38" i="58"/>
  <c r="GT38" i="58"/>
  <c r="HB38" i="58"/>
  <c r="HJ38" i="58"/>
  <c r="FW43" i="58"/>
  <c r="GE43" i="58"/>
  <c r="GM43" i="58"/>
  <c r="GU43" i="58"/>
  <c r="HC43" i="58"/>
  <c r="HK43" i="58"/>
  <c r="FW44" i="58"/>
  <c r="GE44" i="58"/>
  <c r="GM44" i="58"/>
  <c r="GU44" i="58"/>
  <c r="HC44" i="58"/>
  <c r="HK44" i="58"/>
  <c r="FW45" i="58"/>
  <c r="GE45" i="58"/>
  <c r="GM45" i="58"/>
  <c r="N74" i="52"/>
  <c r="BE100" i="52"/>
  <c r="AW101" i="52"/>
  <c r="BE104" i="52"/>
  <c r="GZ18" i="58"/>
  <c r="HE19" i="58"/>
  <c r="GO20" i="58"/>
  <c r="HD20" i="58"/>
  <c r="HL20" i="58"/>
  <c r="FX21" i="58"/>
  <c r="GF21" i="58"/>
  <c r="GN21" i="58"/>
  <c r="GV21" i="58"/>
  <c r="HD21" i="58"/>
  <c r="HL21" i="58"/>
  <c r="FX22" i="58"/>
  <c r="GF22" i="58"/>
  <c r="GN22" i="58"/>
  <c r="GV22" i="58"/>
  <c r="HD22" i="58"/>
  <c r="HL22" i="58"/>
  <c r="FX23" i="58"/>
  <c r="GF23" i="58"/>
  <c r="GN23" i="58"/>
  <c r="GV23" i="58"/>
  <c r="HD23" i="58"/>
  <c r="HL23" i="58"/>
  <c r="FX24" i="58"/>
  <c r="GF24" i="58"/>
  <c r="GN24" i="58"/>
  <c r="GV24" i="58"/>
  <c r="HD24" i="58"/>
  <c r="HL24" i="58"/>
  <c r="FX25" i="58"/>
  <c r="GF25" i="58"/>
  <c r="GN25" i="58"/>
  <c r="GV25" i="58"/>
  <c r="HD25" i="58"/>
  <c r="HL25" i="58"/>
  <c r="FX26" i="58"/>
  <c r="GF26" i="58"/>
  <c r="GN26" i="58"/>
  <c r="GV26" i="58"/>
  <c r="HD26" i="58"/>
  <c r="HL26" i="58"/>
  <c r="FX27" i="58"/>
  <c r="GF27" i="58"/>
  <c r="GN27" i="58"/>
  <c r="GV27" i="58"/>
  <c r="HD27" i="58"/>
  <c r="HL27" i="58"/>
  <c r="FX28" i="58"/>
  <c r="GF28" i="58"/>
  <c r="GN28" i="58"/>
  <c r="GV28" i="58"/>
  <c r="HD28" i="58"/>
  <c r="HL28" i="58"/>
  <c r="FX29" i="58"/>
  <c r="GF29" i="58"/>
  <c r="GN29" i="58"/>
  <c r="GV29" i="58"/>
  <c r="HD29" i="58"/>
  <c r="HL29" i="58"/>
  <c r="FX30" i="58"/>
  <c r="GF30" i="58"/>
  <c r="GN30" i="58"/>
  <c r="GV30" i="58"/>
  <c r="HD30" i="58"/>
  <c r="HL30" i="58"/>
  <c r="FX31" i="58"/>
  <c r="GF31" i="58"/>
  <c r="GN31" i="58"/>
  <c r="GV31" i="58"/>
  <c r="HD31" i="58"/>
  <c r="HL31" i="58"/>
  <c r="FX32" i="58"/>
  <c r="GF32" i="58"/>
  <c r="GN32" i="58"/>
  <c r="GV32" i="58"/>
  <c r="HD32" i="58"/>
  <c r="HL32" i="58"/>
  <c r="FX33" i="58"/>
  <c r="GF33" i="58"/>
  <c r="GN33" i="58"/>
  <c r="GV33" i="58"/>
  <c r="HD33" i="58"/>
  <c r="HL33" i="58"/>
  <c r="FW37" i="58"/>
  <c r="GE37" i="58"/>
  <c r="GM37" i="58"/>
  <c r="HC37" i="58"/>
  <c r="FW38" i="58"/>
  <c r="GE38" i="58"/>
  <c r="GM38" i="58"/>
  <c r="GU38" i="58"/>
  <c r="HC38" i="58"/>
  <c r="HK38" i="58"/>
  <c r="FX43" i="58"/>
  <c r="GF43" i="58"/>
  <c r="GN43" i="58"/>
  <c r="GV43" i="58"/>
  <c r="HD43" i="58"/>
  <c r="HL43" i="58"/>
  <c r="FX44" i="58"/>
  <c r="GF44" i="58"/>
  <c r="GN44" i="58"/>
  <c r="GV44" i="58"/>
  <c r="HD44" i="58"/>
  <c r="HL44" i="58"/>
  <c r="FX45" i="58"/>
  <c r="GF45" i="58"/>
  <c r="GN45" i="58"/>
  <c r="GV45" i="58"/>
  <c r="HD45" i="58"/>
  <c r="HL45" i="58"/>
  <c r="GV48" i="58"/>
  <c r="HL48" i="58"/>
  <c r="FX49" i="58"/>
  <c r="GF49" i="58"/>
  <c r="GN49" i="58"/>
  <c r="GV49" i="58"/>
  <c r="M75" i="52"/>
  <c r="HM20" i="58"/>
  <c r="GG22" i="58"/>
  <c r="GW23" i="58"/>
  <c r="HM24" i="58"/>
  <c r="GG26" i="58"/>
  <c r="GW27" i="58"/>
  <c r="HM28" i="58"/>
  <c r="GW29" i="58"/>
  <c r="GG30" i="58"/>
  <c r="HM30" i="58"/>
  <c r="GW31" i="58"/>
  <c r="GG32" i="58"/>
  <c r="HM32" i="58"/>
  <c r="GW33" i="58"/>
  <c r="GC38" i="58"/>
  <c r="HA38" i="58"/>
  <c r="FZ43" i="58"/>
  <c r="GW43" i="58"/>
  <c r="FV44" i="58"/>
  <c r="GP44" i="58"/>
  <c r="HM44" i="58"/>
  <c r="GL45" i="58"/>
  <c r="GZ45" i="58"/>
  <c r="HK45" i="58"/>
  <c r="GW48" i="58"/>
  <c r="FT49" i="58"/>
  <c r="GD49" i="58"/>
  <c r="GO49" i="58"/>
  <c r="GZ49" i="58"/>
  <c r="HI49" i="58"/>
  <c r="GY50" i="58"/>
  <c r="HM50" i="58"/>
  <c r="HI52" i="58"/>
  <c r="FU54" i="58"/>
  <c r="GC54" i="58"/>
  <c r="GK54" i="58"/>
  <c r="GS54" i="58"/>
  <c r="HA54" i="58"/>
  <c r="HI54" i="58"/>
  <c r="FU55" i="58"/>
  <c r="GC55" i="58"/>
  <c r="GK55" i="58"/>
  <c r="GS55" i="58"/>
  <c r="HA55" i="58"/>
  <c r="HI55" i="58"/>
  <c r="FU56" i="58"/>
  <c r="GC56" i="58"/>
  <c r="GK56" i="58"/>
  <c r="GS56" i="58"/>
  <c r="HA56" i="58"/>
  <c r="HI56" i="58"/>
  <c r="FU57" i="58"/>
  <c r="GC57" i="58"/>
  <c r="GK57" i="58"/>
  <c r="GS57" i="58"/>
  <c r="HA57" i="58"/>
  <c r="HI57" i="58"/>
  <c r="FW63" i="58"/>
  <c r="GE63" i="58"/>
  <c r="GM63" i="58"/>
  <c r="GU63" i="58"/>
  <c r="HC63" i="58"/>
  <c r="HK63" i="58"/>
  <c r="FU67" i="58"/>
  <c r="GC67" i="58"/>
  <c r="GK67" i="58"/>
  <c r="GS67" i="58"/>
  <c r="HA67" i="58"/>
  <c r="HI67" i="58"/>
  <c r="FW73" i="58"/>
  <c r="GE73" i="58"/>
  <c r="GM73" i="58"/>
  <c r="GU73" i="58"/>
  <c r="HC73" i="58"/>
  <c r="HK73" i="58"/>
  <c r="FW74" i="58"/>
  <c r="GE74" i="58"/>
  <c r="GM74" i="58"/>
  <c r="GU74" i="58"/>
  <c r="HC74" i="58"/>
  <c r="HK74" i="58"/>
  <c r="FW75" i="58"/>
  <c r="GE75" i="58"/>
  <c r="GM75" i="58"/>
  <c r="GU75" i="58"/>
  <c r="HC75" i="58"/>
  <c r="HK75" i="58"/>
  <c r="HA76" i="58"/>
  <c r="GJ78" i="58"/>
  <c r="GR78" i="58"/>
  <c r="GZ78" i="58"/>
  <c r="HH78" i="58"/>
  <c r="GK79" i="58"/>
  <c r="GS79" i="58"/>
  <c r="HA79" i="58"/>
  <c r="HI79" i="58"/>
  <c r="GL80" i="58"/>
  <c r="GT80" i="58"/>
  <c r="HB80" i="58"/>
  <c r="HJ80" i="58"/>
  <c r="GM81" i="58"/>
  <c r="GU81" i="58"/>
  <c r="HC81" i="58"/>
  <c r="HK81" i="58"/>
  <c r="GN82" i="58"/>
  <c r="GV82" i="58"/>
  <c r="HD82" i="58"/>
  <c r="HL82" i="58"/>
  <c r="GO83" i="58"/>
  <c r="GW83" i="58"/>
  <c r="HE83" i="58"/>
  <c r="HM83" i="58"/>
  <c r="GP84" i="58"/>
  <c r="GX84" i="58"/>
  <c r="HF84" i="58"/>
  <c r="GI85" i="58"/>
  <c r="GQ85" i="58"/>
  <c r="GY85" i="58"/>
  <c r="HG85" i="58"/>
  <c r="GJ86" i="58"/>
  <c r="GR86" i="58"/>
  <c r="GZ86" i="58"/>
  <c r="HH86" i="58"/>
  <c r="GK87" i="58"/>
  <c r="GS87" i="58"/>
  <c r="HA87" i="58"/>
  <c r="HI87" i="58"/>
  <c r="GL88" i="58"/>
  <c r="GT88" i="58"/>
  <c r="HB88" i="58"/>
  <c r="HJ88" i="58"/>
  <c r="GM89" i="58"/>
  <c r="GU89" i="58"/>
  <c r="HC89" i="58"/>
  <c r="HK89" i="58"/>
  <c r="GN90" i="58"/>
  <c r="GV90" i="58"/>
  <c r="HD90" i="58"/>
  <c r="HL90" i="58"/>
  <c r="HH91" i="58"/>
  <c r="GK93" i="58"/>
  <c r="GS93" i="58"/>
  <c r="HA93" i="58"/>
  <c r="HI93" i="58"/>
  <c r="FU94" i="58"/>
  <c r="GC94" i="58"/>
  <c r="GK94" i="58"/>
  <c r="GS94" i="58"/>
  <c r="HA94" i="58"/>
  <c r="HI94" i="58"/>
  <c r="FU95" i="58"/>
  <c r="GC95" i="58"/>
  <c r="GK95" i="58"/>
  <c r="GS95" i="58"/>
  <c r="HA95" i="58"/>
  <c r="HI95" i="58"/>
  <c r="FY98" i="58"/>
  <c r="GG98" i="58"/>
  <c r="GO98" i="58"/>
  <c r="GW98" i="58"/>
  <c r="HE98" i="58"/>
  <c r="HM98" i="58"/>
  <c r="FU101" i="58"/>
  <c r="GC101" i="58"/>
  <c r="GK101" i="58"/>
  <c r="GS101" i="58"/>
  <c r="HA101" i="58"/>
  <c r="HI101" i="58"/>
  <c r="FU102" i="58"/>
  <c r="GC102" i="58"/>
  <c r="GK102" i="58"/>
  <c r="GS102" i="58"/>
  <c r="HA102" i="58"/>
  <c r="HI102" i="58"/>
  <c r="GQ109" i="58"/>
  <c r="GY109" i="58"/>
  <c r="HG109" i="58"/>
  <c r="GO110" i="58"/>
  <c r="GW110" i="58"/>
  <c r="HE110" i="58"/>
  <c r="HM110" i="58"/>
  <c r="BO14" i="57"/>
  <c r="BO16" i="57"/>
  <c r="BO18" i="57"/>
  <c r="BO20" i="57"/>
  <c r="BO22" i="57"/>
  <c r="BO24" i="57"/>
  <c r="BO26" i="57"/>
  <c r="BO28" i="57"/>
  <c r="BO30" i="57"/>
  <c r="BO32" i="57"/>
  <c r="BO34" i="57"/>
  <c r="BO36" i="57"/>
  <c r="BO38" i="57"/>
  <c r="BO40" i="57"/>
  <c r="BO42" i="57"/>
  <c r="BO44" i="57"/>
  <c r="BO46" i="57"/>
  <c r="BO48" i="57"/>
  <c r="BO50" i="57"/>
  <c r="BO52" i="57"/>
  <c r="BO54" i="57"/>
  <c r="BO56" i="57"/>
  <c r="BO58" i="57"/>
  <c r="BO60" i="57"/>
  <c r="BO62" i="57"/>
  <c r="BO64" i="57"/>
  <c r="BO66" i="57"/>
  <c r="BO68" i="57"/>
  <c r="BO70" i="57"/>
  <c r="BO72" i="57"/>
  <c r="BO74" i="57"/>
  <c r="BO76" i="57"/>
  <c r="BO78" i="57"/>
  <c r="BO80" i="57"/>
  <c r="FY21" i="58"/>
  <c r="GO22" i="58"/>
  <c r="HE23" i="58"/>
  <c r="FY25" i="58"/>
  <c r="GO26" i="58"/>
  <c r="HE27" i="58"/>
  <c r="FV29" i="58"/>
  <c r="HB29" i="58"/>
  <c r="GL30" i="58"/>
  <c r="FV31" i="58"/>
  <c r="HB31" i="58"/>
  <c r="GL32" i="58"/>
  <c r="FV33" i="58"/>
  <c r="HB33" i="58"/>
  <c r="FU37" i="58"/>
  <c r="GF38" i="58"/>
  <c r="HD38" i="58"/>
  <c r="GD43" i="58"/>
  <c r="GX43" i="58"/>
  <c r="FY44" i="58"/>
  <c r="GT44" i="58"/>
  <c r="FR45" i="58"/>
  <c r="GO45" i="58"/>
  <c r="HB45" i="58"/>
  <c r="HM45" i="58"/>
  <c r="GX48" i="58"/>
  <c r="FU49" i="58"/>
  <c r="GE49" i="58"/>
  <c r="GP49" i="58"/>
  <c r="HA49" i="58"/>
  <c r="HJ49" i="58"/>
  <c r="GZ50" i="58"/>
  <c r="GV52" i="58"/>
  <c r="HJ52" i="58"/>
  <c r="FV54" i="58"/>
  <c r="GD54" i="58"/>
  <c r="GL54" i="58"/>
  <c r="GT54" i="58"/>
  <c r="HB54" i="58"/>
  <c r="HJ54" i="58"/>
  <c r="FV55" i="58"/>
  <c r="GD55" i="58"/>
  <c r="GL55" i="58"/>
  <c r="GT55" i="58"/>
  <c r="HB55" i="58"/>
  <c r="HJ55" i="58"/>
  <c r="FV56" i="58"/>
  <c r="GD56" i="58"/>
  <c r="GL56" i="58"/>
  <c r="GT56" i="58"/>
  <c r="HB56" i="58"/>
  <c r="HJ56" i="58"/>
  <c r="FV57" i="58"/>
  <c r="GD57" i="58"/>
  <c r="GL57" i="58"/>
  <c r="GT57" i="58"/>
  <c r="HB57" i="58"/>
  <c r="HJ57" i="58"/>
  <c r="FX63" i="58"/>
  <c r="GF63" i="58"/>
  <c r="GN63" i="58"/>
  <c r="GV63" i="58"/>
  <c r="HD63" i="58"/>
  <c r="HL63" i="58"/>
  <c r="FV67" i="58"/>
  <c r="GD67" i="58"/>
  <c r="GL67" i="58"/>
  <c r="GT67" i="58"/>
  <c r="HB67" i="58"/>
  <c r="HJ67" i="58"/>
  <c r="FX73" i="58"/>
  <c r="GF73" i="58"/>
  <c r="GN73" i="58"/>
  <c r="GV73" i="58"/>
  <c r="HD73" i="58"/>
  <c r="HL73" i="58"/>
  <c r="FX74" i="58"/>
  <c r="GF74" i="58"/>
  <c r="GN74" i="58"/>
  <c r="GV74" i="58"/>
  <c r="HD74" i="58"/>
  <c r="HL74" i="58"/>
  <c r="FX75" i="58"/>
  <c r="GF75" i="58"/>
  <c r="GN75" i="58"/>
  <c r="GV75" i="58"/>
  <c r="HD75" i="58"/>
  <c r="HL75" i="58"/>
  <c r="HH76" i="58"/>
  <c r="GK78" i="58"/>
  <c r="GS78" i="58"/>
  <c r="HA78" i="58"/>
  <c r="HI78" i="58"/>
  <c r="GL79" i="58"/>
  <c r="GT79" i="58"/>
  <c r="HB79" i="58"/>
  <c r="HJ79" i="58"/>
  <c r="GM80" i="58"/>
  <c r="GU80" i="58"/>
  <c r="HC80" i="58"/>
  <c r="HK80" i="58"/>
  <c r="GN81" i="58"/>
  <c r="GV81" i="58"/>
  <c r="HD81" i="58"/>
  <c r="HL81" i="58"/>
  <c r="GO82" i="58"/>
  <c r="GW82" i="58"/>
  <c r="HE82" i="58"/>
  <c r="HM82" i="58"/>
  <c r="GP83" i="58"/>
  <c r="GX83" i="58"/>
  <c r="HF83" i="58"/>
  <c r="GI84" i="58"/>
  <c r="GQ84" i="58"/>
  <c r="GY84" i="58"/>
  <c r="HG84" i="58"/>
  <c r="GJ85" i="58"/>
  <c r="GR85" i="58"/>
  <c r="GZ85" i="58"/>
  <c r="HH85" i="58"/>
  <c r="GK86" i="58"/>
  <c r="GS86" i="58"/>
  <c r="HA86" i="58"/>
  <c r="HI86" i="58"/>
  <c r="GL87" i="58"/>
  <c r="GT87" i="58"/>
  <c r="HB87" i="58"/>
  <c r="HJ87" i="58"/>
  <c r="GM88" i="58"/>
  <c r="GU88" i="58"/>
  <c r="HC88" i="58"/>
  <c r="HK88" i="58"/>
  <c r="GN89" i="58"/>
  <c r="GV89" i="58"/>
  <c r="HD89" i="58"/>
  <c r="HL89" i="58"/>
  <c r="GO90" i="58"/>
  <c r="GW90" i="58"/>
  <c r="HE90" i="58"/>
  <c r="HM90" i="58"/>
  <c r="HI91" i="58"/>
  <c r="GL93" i="58"/>
  <c r="GT93" i="58"/>
  <c r="HB93" i="58"/>
  <c r="HJ93" i="58"/>
  <c r="FV94" i="58"/>
  <c r="GD94" i="58"/>
  <c r="GL94" i="58"/>
  <c r="GT94" i="58"/>
  <c r="HB94" i="58"/>
  <c r="HJ94" i="58"/>
  <c r="FV95" i="58"/>
  <c r="GD95" i="58"/>
  <c r="GL95" i="58"/>
  <c r="GT95" i="58"/>
  <c r="HB95" i="58"/>
  <c r="HJ95" i="58"/>
  <c r="FR98" i="58"/>
  <c r="FZ98" i="58"/>
  <c r="GH98" i="58"/>
  <c r="GP98" i="58"/>
  <c r="GX98" i="58"/>
  <c r="HF98" i="58"/>
  <c r="FV101" i="58"/>
  <c r="GD101" i="58"/>
  <c r="GL101" i="58"/>
  <c r="GT101" i="58"/>
  <c r="HB101" i="58"/>
  <c r="HJ101" i="58"/>
  <c r="FV102" i="58"/>
  <c r="GD102" i="58"/>
  <c r="GL102" i="58"/>
  <c r="GT102" i="58"/>
  <c r="HB102" i="58"/>
  <c r="HJ102" i="58"/>
  <c r="GR109" i="58"/>
  <c r="GZ109" i="58"/>
  <c r="HH109" i="58"/>
  <c r="GP110" i="58"/>
  <c r="GX110" i="58"/>
  <c r="HF110" i="58"/>
  <c r="AE10" i="57"/>
  <c r="BO99" i="57"/>
  <c r="AE55" i="57"/>
  <c r="AE59" i="57"/>
  <c r="AE63" i="57"/>
  <c r="AE67" i="57"/>
  <c r="AE71" i="57"/>
  <c r="AE75" i="57"/>
  <c r="AE79" i="57"/>
  <c r="BO13" i="57"/>
  <c r="BO25" i="57"/>
  <c r="BO33" i="57"/>
  <c r="BO41" i="57"/>
  <c r="BO51" i="57"/>
  <c r="BO61" i="57"/>
  <c r="BO69" i="57"/>
  <c r="BO77" i="57"/>
  <c r="GO27" i="58"/>
  <c r="GT43" i="58"/>
  <c r="GX45" i="58"/>
  <c r="GG21" i="58"/>
  <c r="GW22" i="58"/>
  <c r="HM23" i="58"/>
  <c r="GG25" i="58"/>
  <c r="GW26" i="58"/>
  <c r="HM27" i="58"/>
  <c r="FY29" i="58"/>
  <c r="HE29" i="58"/>
  <c r="GO30" i="58"/>
  <c r="FY31" i="58"/>
  <c r="HE31" i="58"/>
  <c r="GO32" i="58"/>
  <c r="FY33" i="58"/>
  <c r="HE33" i="58"/>
  <c r="FX37" i="58"/>
  <c r="GK38" i="58"/>
  <c r="HE38" i="58"/>
  <c r="GG43" i="58"/>
  <c r="HB43" i="58"/>
  <c r="FZ44" i="58"/>
  <c r="GW44" i="58"/>
  <c r="FV45" i="58"/>
  <c r="GP45" i="58"/>
  <c r="HC45" i="58"/>
  <c r="GZ48" i="58"/>
  <c r="HH48" i="58"/>
  <c r="FV49" i="58"/>
  <c r="GG49" i="58"/>
  <c r="GR49" i="58"/>
  <c r="HB49" i="58"/>
  <c r="HK49" i="58"/>
  <c r="HA50" i="58"/>
  <c r="GW52" i="58"/>
  <c r="HK52" i="58"/>
  <c r="FW54" i="58"/>
  <c r="GE54" i="58"/>
  <c r="GM54" i="58"/>
  <c r="GU54" i="58"/>
  <c r="HC54" i="58"/>
  <c r="HK54" i="58"/>
  <c r="FW55" i="58"/>
  <c r="GE55" i="58"/>
  <c r="GM55" i="58"/>
  <c r="GU55" i="58"/>
  <c r="HC55" i="58"/>
  <c r="HK55" i="58"/>
  <c r="FW56" i="58"/>
  <c r="GE56" i="58"/>
  <c r="GM56" i="58"/>
  <c r="GU56" i="58"/>
  <c r="HC56" i="58"/>
  <c r="HK56" i="58"/>
  <c r="FW57" i="58"/>
  <c r="GE57" i="58"/>
  <c r="GM57" i="58"/>
  <c r="GU57" i="58"/>
  <c r="HC57" i="58"/>
  <c r="HK57" i="58"/>
  <c r="FY63" i="58"/>
  <c r="GG63" i="58"/>
  <c r="GO63" i="58"/>
  <c r="GW63" i="58"/>
  <c r="HE63" i="58"/>
  <c r="HM63" i="58"/>
  <c r="FW67" i="58"/>
  <c r="GE67" i="58"/>
  <c r="GM67" i="58"/>
  <c r="GU67" i="58"/>
  <c r="HC67" i="58"/>
  <c r="HK67" i="58"/>
  <c r="FY73" i="58"/>
  <c r="GG73" i="58"/>
  <c r="GO73" i="58"/>
  <c r="GW73" i="58"/>
  <c r="HE73" i="58"/>
  <c r="HM73" i="58"/>
  <c r="FY74" i="58"/>
  <c r="GG74" i="58"/>
  <c r="GO74" i="58"/>
  <c r="GW74" i="58"/>
  <c r="HE74" i="58"/>
  <c r="HM74" i="58"/>
  <c r="FY75" i="58"/>
  <c r="GG75" i="58"/>
  <c r="GO75" i="58"/>
  <c r="GW75" i="58"/>
  <c r="HE75" i="58"/>
  <c r="HM75" i="58"/>
  <c r="HI76" i="58"/>
  <c r="GL78" i="58"/>
  <c r="GT78" i="58"/>
  <c r="HB78" i="58"/>
  <c r="HJ78" i="58"/>
  <c r="GM79" i="58"/>
  <c r="GU79" i="58"/>
  <c r="HC79" i="58"/>
  <c r="HK79" i="58"/>
  <c r="GN80" i="58"/>
  <c r="GV80" i="58"/>
  <c r="HD80" i="58"/>
  <c r="HL80" i="58"/>
  <c r="GO81" i="58"/>
  <c r="GW81" i="58"/>
  <c r="HE81" i="58"/>
  <c r="HM81" i="58"/>
  <c r="GP82" i="58"/>
  <c r="GX82" i="58"/>
  <c r="HF82" i="58"/>
  <c r="GI83" i="58"/>
  <c r="GQ83" i="58"/>
  <c r="GY83" i="58"/>
  <c r="HG83" i="58"/>
  <c r="GJ84" i="58"/>
  <c r="GR84" i="58"/>
  <c r="GZ84" i="58"/>
  <c r="HH84" i="58"/>
  <c r="GK85" i="58"/>
  <c r="GS85" i="58"/>
  <c r="HA85" i="58"/>
  <c r="HI85" i="58"/>
  <c r="GL86" i="58"/>
  <c r="GT86" i="58"/>
  <c r="HB86" i="58"/>
  <c r="HJ86" i="58"/>
  <c r="GM87" i="58"/>
  <c r="GU87" i="58"/>
  <c r="HC87" i="58"/>
  <c r="HK87" i="58"/>
  <c r="GN88" i="58"/>
  <c r="GV88" i="58"/>
  <c r="HD88" i="58"/>
  <c r="HL88" i="58"/>
  <c r="GO89" i="58"/>
  <c r="GW89" i="58"/>
  <c r="HE89" i="58"/>
  <c r="HM89" i="58"/>
  <c r="GP90" i="58"/>
  <c r="GX90" i="58"/>
  <c r="HF90" i="58"/>
  <c r="GV91" i="58"/>
  <c r="HJ91" i="58"/>
  <c r="GM93" i="58"/>
  <c r="GU93" i="58"/>
  <c r="HC93" i="58"/>
  <c r="HK93" i="58"/>
  <c r="FW94" i="58"/>
  <c r="GE94" i="58"/>
  <c r="GM94" i="58"/>
  <c r="GU94" i="58"/>
  <c r="HC94" i="58"/>
  <c r="HK94" i="58"/>
  <c r="FW95" i="58"/>
  <c r="GE95" i="58"/>
  <c r="GM95" i="58"/>
  <c r="GU95" i="58"/>
  <c r="HC95" i="58"/>
  <c r="HK95" i="58"/>
  <c r="FS98" i="58"/>
  <c r="GA98" i="58"/>
  <c r="GI98" i="58"/>
  <c r="GQ98" i="58"/>
  <c r="GY98" i="58"/>
  <c r="HG98" i="58"/>
  <c r="FW101" i="58"/>
  <c r="GE101" i="58"/>
  <c r="GM101" i="58"/>
  <c r="GU101" i="58"/>
  <c r="HC101" i="58"/>
  <c r="HK101" i="58"/>
  <c r="FW102" i="58"/>
  <c r="GE102" i="58"/>
  <c r="GM102" i="58"/>
  <c r="GU102" i="58"/>
  <c r="HC102" i="58"/>
  <c r="HK102" i="58"/>
  <c r="GS109" i="58"/>
  <c r="HA109" i="58"/>
  <c r="HI109" i="58"/>
  <c r="GQ110" i="58"/>
  <c r="GY110" i="58"/>
  <c r="HG110" i="58"/>
  <c r="BO10" i="57"/>
  <c r="AE13" i="57"/>
  <c r="AE15" i="57"/>
  <c r="AE17" i="57"/>
  <c r="AE19" i="57"/>
  <c r="AE21" i="57"/>
  <c r="AE23" i="57"/>
  <c r="AE25" i="57"/>
  <c r="AE27" i="57"/>
  <c r="AE29" i="57"/>
  <c r="AE31" i="57"/>
  <c r="AE33" i="57"/>
  <c r="AE35" i="57"/>
  <c r="AE37" i="57"/>
  <c r="AE39" i="57"/>
  <c r="AE41" i="57"/>
  <c r="AE43" i="57"/>
  <c r="AE45" i="57"/>
  <c r="AE47" i="57"/>
  <c r="AE49" i="57"/>
  <c r="AE51" i="57"/>
  <c r="AE53" i="57"/>
  <c r="AE57" i="57"/>
  <c r="AE61" i="57"/>
  <c r="AE65" i="57"/>
  <c r="AE69" i="57"/>
  <c r="AE73" i="57"/>
  <c r="AE77" i="57"/>
  <c r="BO11" i="57"/>
  <c r="BO21" i="57"/>
  <c r="BO31" i="57"/>
  <c r="BO39" i="57"/>
  <c r="BO47" i="57"/>
  <c r="BO57" i="57"/>
  <c r="BO65" i="57"/>
  <c r="BO73" i="57"/>
  <c r="FY26" i="58"/>
  <c r="GD32" i="58"/>
  <c r="GW38" i="58"/>
  <c r="GO44" i="58"/>
  <c r="BE101" i="52"/>
  <c r="GO21" i="58"/>
  <c r="HE22" i="58"/>
  <c r="FY24" i="58"/>
  <c r="GO25" i="58"/>
  <c r="HE26" i="58"/>
  <c r="FY28" i="58"/>
  <c r="GD29" i="58"/>
  <c r="HJ29" i="58"/>
  <c r="GT30" i="58"/>
  <c r="GD31" i="58"/>
  <c r="HJ31" i="58"/>
  <c r="GT32" i="58"/>
  <c r="GD33" i="58"/>
  <c r="HJ33" i="58"/>
  <c r="GC37" i="58"/>
  <c r="GN38" i="58"/>
  <c r="HI38" i="58"/>
  <c r="GH43" i="58"/>
  <c r="HE43" i="58"/>
  <c r="GD44" i="58"/>
  <c r="GX44" i="58"/>
  <c r="FY45" i="58"/>
  <c r="GR45" i="58"/>
  <c r="HE45" i="58"/>
  <c r="HA48" i="58"/>
  <c r="HI48" i="58"/>
  <c r="FW49" i="58"/>
  <c r="GH49" i="58"/>
  <c r="GS49" i="58"/>
  <c r="HC49" i="58"/>
  <c r="HL49" i="58"/>
  <c r="HH50" i="58"/>
  <c r="GX52" i="58"/>
  <c r="HL52" i="58"/>
  <c r="FX54" i="58"/>
  <c r="GF54" i="58"/>
  <c r="GN54" i="58"/>
  <c r="GV54" i="58"/>
  <c r="HD54" i="58"/>
  <c r="HL54" i="58"/>
  <c r="FX55" i="58"/>
  <c r="GF55" i="58"/>
  <c r="GN55" i="58"/>
  <c r="GV55" i="58"/>
  <c r="HD55" i="58"/>
  <c r="HL55" i="58"/>
  <c r="FX56" i="58"/>
  <c r="GF56" i="58"/>
  <c r="GN56" i="58"/>
  <c r="GV56" i="58"/>
  <c r="HD56" i="58"/>
  <c r="HL56" i="58"/>
  <c r="FX57" i="58"/>
  <c r="GF57" i="58"/>
  <c r="GN57" i="58"/>
  <c r="GV57" i="58"/>
  <c r="HD57" i="58"/>
  <c r="HL57" i="58"/>
  <c r="FR63" i="58"/>
  <c r="FZ63" i="58"/>
  <c r="GH63" i="58"/>
  <c r="GP63" i="58"/>
  <c r="GX63" i="58"/>
  <c r="HF63" i="58"/>
  <c r="FX67" i="58"/>
  <c r="GF67" i="58"/>
  <c r="GN67" i="58"/>
  <c r="GV67" i="58"/>
  <c r="HD67" i="58"/>
  <c r="HL67" i="58"/>
  <c r="FR73" i="58"/>
  <c r="FZ73" i="58"/>
  <c r="GH73" i="58"/>
  <c r="GP73" i="58"/>
  <c r="GX73" i="58"/>
  <c r="HF73" i="58"/>
  <c r="FR74" i="58"/>
  <c r="FZ74" i="58"/>
  <c r="GH74" i="58"/>
  <c r="GP74" i="58"/>
  <c r="GX74" i="58"/>
  <c r="HF74" i="58"/>
  <c r="FR75" i="58"/>
  <c r="FZ75" i="58"/>
  <c r="GH75" i="58"/>
  <c r="GP75" i="58"/>
  <c r="GX75" i="58"/>
  <c r="HF75" i="58"/>
  <c r="GV76" i="58"/>
  <c r="HJ76" i="58"/>
  <c r="GM78" i="58"/>
  <c r="GU78" i="58"/>
  <c r="HC78" i="58"/>
  <c r="HK78" i="58"/>
  <c r="GN79" i="58"/>
  <c r="GV79" i="58"/>
  <c r="HD79" i="58"/>
  <c r="HL79" i="58"/>
  <c r="GO80" i="58"/>
  <c r="GW80" i="58"/>
  <c r="HE80" i="58"/>
  <c r="HM80" i="58"/>
  <c r="GP81" i="58"/>
  <c r="GX81" i="58"/>
  <c r="HF81" i="58"/>
  <c r="GI82" i="58"/>
  <c r="GQ82" i="58"/>
  <c r="GY82" i="58"/>
  <c r="HG82" i="58"/>
  <c r="GJ83" i="58"/>
  <c r="GR83" i="58"/>
  <c r="GZ83" i="58"/>
  <c r="HH83" i="58"/>
  <c r="GK84" i="58"/>
  <c r="GS84" i="58"/>
  <c r="HA84" i="58"/>
  <c r="HI84" i="58"/>
  <c r="GL85" i="58"/>
  <c r="GT85" i="58"/>
  <c r="HB85" i="58"/>
  <c r="HJ85" i="58"/>
  <c r="GM86" i="58"/>
  <c r="GU86" i="58"/>
  <c r="HC86" i="58"/>
  <c r="HK86" i="58"/>
  <c r="GN87" i="58"/>
  <c r="GV87" i="58"/>
  <c r="HD87" i="58"/>
  <c r="HL87" i="58"/>
  <c r="GO88" i="58"/>
  <c r="GW88" i="58"/>
  <c r="HE88" i="58"/>
  <c r="HM88" i="58"/>
  <c r="GP89" i="58"/>
  <c r="GX89" i="58"/>
  <c r="HF89" i="58"/>
  <c r="GI90" i="58"/>
  <c r="GQ90" i="58"/>
  <c r="GY90" i="58"/>
  <c r="HG90" i="58"/>
  <c r="GW91" i="58"/>
  <c r="HK91" i="58"/>
  <c r="GN93" i="58"/>
  <c r="GV93" i="58"/>
  <c r="HD93" i="58"/>
  <c r="HL93" i="58"/>
  <c r="FX94" i="58"/>
  <c r="GF94" i="58"/>
  <c r="GN94" i="58"/>
  <c r="GV94" i="58"/>
  <c r="HD94" i="58"/>
  <c r="HL94" i="58"/>
  <c r="FX95" i="58"/>
  <c r="GF95" i="58"/>
  <c r="GN95" i="58"/>
  <c r="GV95" i="58"/>
  <c r="HD95" i="58"/>
  <c r="HL95" i="58"/>
  <c r="FT98" i="58"/>
  <c r="GB98" i="58"/>
  <c r="GJ98" i="58"/>
  <c r="GR98" i="58"/>
  <c r="GZ98" i="58"/>
  <c r="HH98" i="58"/>
  <c r="FX101" i="58"/>
  <c r="GF101" i="58"/>
  <c r="GN101" i="58"/>
  <c r="GV101" i="58"/>
  <c r="HD101" i="58"/>
  <c r="HL101" i="58"/>
  <c r="FX102" i="58"/>
  <c r="GF102" i="58"/>
  <c r="GN102" i="58"/>
  <c r="GV102" i="58"/>
  <c r="HD102" i="58"/>
  <c r="HL102" i="58"/>
  <c r="GT109" i="58"/>
  <c r="HB109" i="58"/>
  <c r="HJ109" i="58"/>
  <c r="GR110" i="58"/>
  <c r="GZ110" i="58"/>
  <c r="HH110" i="58"/>
  <c r="AE11" i="57"/>
  <c r="HE102" i="58"/>
  <c r="HK109" i="58"/>
  <c r="HA110" i="58"/>
  <c r="BO15" i="57"/>
  <c r="BO19" i="57"/>
  <c r="BO27" i="57"/>
  <c r="BO35" i="57"/>
  <c r="BO45" i="57"/>
  <c r="BO53" i="57"/>
  <c r="BO59" i="57"/>
  <c r="BO67" i="57"/>
  <c r="BO75" i="57"/>
  <c r="HH18" i="58"/>
  <c r="GW21" i="58"/>
  <c r="HM22" i="58"/>
  <c r="GG24" i="58"/>
  <c r="GW25" i="58"/>
  <c r="HM26" i="58"/>
  <c r="GG28" i="58"/>
  <c r="GG29" i="58"/>
  <c r="HM29" i="58"/>
  <c r="GW30" i="58"/>
  <c r="GG31" i="58"/>
  <c r="HM31" i="58"/>
  <c r="GW32" i="58"/>
  <c r="GG33" i="58"/>
  <c r="HM33" i="58"/>
  <c r="GF37" i="58"/>
  <c r="GO38" i="58"/>
  <c r="HL38" i="58"/>
  <c r="GL43" i="58"/>
  <c r="HF43" i="58"/>
  <c r="GG44" i="58"/>
  <c r="HB44" i="58"/>
  <c r="FZ45" i="58"/>
  <c r="GT45" i="58"/>
  <c r="HF45" i="58"/>
  <c r="HJ48" i="58"/>
  <c r="FY49" i="58"/>
  <c r="GJ49" i="58"/>
  <c r="GT49" i="58"/>
  <c r="HD49" i="58"/>
  <c r="HM49" i="58"/>
  <c r="HI50" i="58"/>
  <c r="GY52" i="58"/>
  <c r="HM52" i="58"/>
  <c r="FY54" i="58"/>
  <c r="GG54" i="58"/>
  <c r="GO54" i="58"/>
  <c r="GW54" i="58"/>
  <c r="HE54" i="58"/>
  <c r="HM54" i="58"/>
  <c r="FY55" i="58"/>
  <c r="GG55" i="58"/>
  <c r="GO55" i="58"/>
  <c r="GW55" i="58"/>
  <c r="HE55" i="58"/>
  <c r="HM55" i="58"/>
  <c r="FY56" i="58"/>
  <c r="GG56" i="58"/>
  <c r="GO56" i="58"/>
  <c r="GW56" i="58"/>
  <c r="HE56" i="58"/>
  <c r="HM56" i="58"/>
  <c r="FY57" i="58"/>
  <c r="GG57" i="58"/>
  <c r="GO57" i="58"/>
  <c r="GW57" i="58"/>
  <c r="HE57" i="58"/>
  <c r="HM57" i="58"/>
  <c r="FS63" i="58"/>
  <c r="GA63" i="58"/>
  <c r="GI63" i="58"/>
  <c r="GQ63" i="58"/>
  <c r="GY63" i="58"/>
  <c r="HG63" i="58"/>
  <c r="FY67" i="58"/>
  <c r="GG67" i="58"/>
  <c r="GO67" i="58"/>
  <c r="GW67" i="58"/>
  <c r="HE67" i="58"/>
  <c r="HM67" i="58"/>
  <c r="FS73" i="58"/>
  <c r="GA73" i="58"/>
  <c r="GI73" i="58"/>
  <c r="GQ73" i="58"/>
  <c r="GY73" i="58"/>
  <c r="HG73" i="58"/>
  <c r="FS74" i="58"/>
  <c r="GA74" i="58"/>
  <c r="GI74" i="58"/>
  <c r="GQ74" i="58"/>
  <c r="GY74" i="58"/>
  <c r="HG74" i="58"/>
  <c r="FS75" i="58"/>
  <c r="GA75" i="58"/>
  <c r="GI75" i="58"/>
  <c r="GQ75" i="58"/>
  <c r="GY75" i="58"/>
  <c r="HG75" i="58"/>
  <c r="GW76" i="58"/>
  <c r="HK76" i="58"/>
  <c r="GN78" i="58"/>
  <c r="GV78" i="58"/>
  <c r="HD78" i="58"/>
  <c r="HL78" i="58"/>
  <c r="GO79" i="58"/>
  <c r="GW79" i="58"/>
  <c r="HE79" i="58"/>
  <c r="HM79" i="58"/>
  <c r="GP80" i="58"/>
  <c r="GX80" i="58"/>
  <c r="HF80" i="58"/>
  <c r="GI81" i="58"/>
  <c r="GQ81" i="58"/>
  <c r="GY81" i="58"/>
  <c r="HG81" i="58"/>
  <c r="GJ82" i="58"/>
  <c r="GR82" i="58"/>
  <c r="GZ82" i="58"/>
  <c r="HH82" i="58"/>
  <c r="GK83" i="58"/>
  <c r="GS83" i="58"/>
  <c r="HA83" i="58"/>
  <c r="HI83" i="58"/>
  <c r="GL84" i="58"/>
  <c r="GT84" i="58"/>
  <c r="HB84" i="58"/>
  <c r="HJ84" i="58"/>
  <c r="GM85" i="58"/>
  <c r="GU85" i="58"/>
  <c r="HC85" i="58"/>
  <c r="HK85" i="58"/>
  <c r="GN86" i="58"/>
  <c r="GV86" i="58"/>
  <c r="HD86" i="58"/>
  <c r="HL86" i="58"/>
  <c r="GO87" i="58"/>
  <c r="GW87" i="58"/>
  <c r="HE87" i="58"/>
  <c r="HM87" i="58"/>
  <c r="GP88" i="58"/>
  <c r="GX88" i="58"/>
  <c r="HF88" i="58"/>
  <c r="GI89" i="58"/>
  <c r="GQ89" i="58"/>
  <c r="GY89" i="58"/>
  <c r="HG89" i="58"/>
  <c r="GJ90" i="58"/>
  <c r="GR90" i="58"/>
  <c r="GZ90" i="58"/>
  <c r="HH90" i="58"/>
  <c r="GX91" i="58"/>
  <c r="HL91" i="58"/>
  <c r="GO93" i="58"/>
  <c r="GW93" i="58"/>
  <c r="HE93" i="58"/>
  <c r="HM93" i="58"/>
  <c r="FY94" i="58"/>
  <c r="GG94" i="58"/>
  <c r="GO94" i="58"/>
  <c r="GW94" i="58"/>
  <c r="HE94" i="58"/>
  <c r="HM94" i="58"/>
  <c r="FY95" i="58"/>
  <c r="GG95" i="58"/>
  <c r="GO95" i="58"/>
  <c r="GW95" i="58"/>
  <c r="HE95" i="58"/>
  <c r="HM95" i="58"/>
  <c r="FU98" i="58"/>
  <c r="GC98" i="58"/>
  <c r="GK98" i="58"/>
  <c r="GS98" i="58"/>
  <c r="HA98" i="58"/>
  <c r="HI98" i="58"/>
  <c r="FY101" i="58"/>
  <c r="GG101" i="58"/>
  <c r="GO101" i="58"/>
  <c r="GW101" i="58"/>
  <c r="HE101" i="58"/>
  <c r="HM101" i="58"/>
  <c r="FY102" i="58"/>
  <c r="GG102" i="58"/>
  <c r="GO102" i="58"/>
  <c r="GW102" i="58"/>
  <c r="HM102" i="58"/>
  <c r="GU109" i="58"/>
  <c r="HC109" i="58"/>
  <c r="GS110" i="58"/>
  <c r="HI110" i="58"/>
  <c r="BO17" i="57"/>
  <c r="BO23" i="57"/>
  <c r="BO29" i="57"/>
  <c r="BO37" i="57"/>
  <c r="BO43" i="57"/>
  <c r="BO49" i="57"/>
  <c r="BO55" i="57"/>
  <c r="BO63" i="57"/>
  <c r="BO71" i="57"/>
  <c r="BO79" i="57"/>
  <c r="GD30" i="58"/>
  <c r="HJ44" i="58"/>
  <c r="HH19" i="58"/>
  <c r="HE21" i="58"/>
  <c r="FY23" i="58"/>
  <c r="GO24" i="58"/>
  <c r="HE25" i="58"/>
  <c r="FY27" i="58"/>
  <c r="GO28" i="58"/>
  <c r="GL29" i="58"/>
  <c r="FV30" i="58"/>
  <c r="HB30" i="58"/>
  <c r="GL31" i="58"/>
  <c r="FV32" i="58"/>
  <c r="HB32" i="58"/>
  <c r="GL33" i="58"/>
  <c r="GK37" i="58"/>
  <c r="GS38" i="58"/>
  <c r="HM38" i="58"/>
  <c r="FR43" i="58"/>
  <c r="GO43" i="58"/>
  <c r="HJ43" i="58"/>
  <c r="GH44" i="58"/>
  <c r="HE44" i="58"/>
  <c r="GD45" i="58"/>
  <c r="GU45" i="58"/>
  <c r="HH45" i="58"/>
  <c r="HK48" i="58"/>
  <c r="FZ49" i="58"/>
  <c r="GK49" i="58"/>
  <c r="GU49" i="58"/>
  <c r="HE49" i="58"/>
  <c r="GV50" i="58"/>
  <c r="HJ50" i="58"/>
  <c r="GZ52" i="58"/>
  <c r="FR54" i="58"/>
  <c r="FZ54" i="58"/>
  <c r="GH54" i="58"/>
  <c r="GP54" i="58"/>
  <c r="GX54" i="58"/>
  <c r="HF54" i="58"/>
  <c r="FR55" i="58"/>
  <c r="FZ55" i="58"/>
  <c r="GH55" i="58"/>
  <c r="GP55" i="58"/>
  <c r="GX55" i="58"/>
  <c r="HF55" i="58"/>
  <c r="FR56" i="58"/>
  <c r="FZ56" i="58"/>
  <c r="GH56" i="58"/>
  <c r="GP56" i="58"/>
  <c r="GX56" i="58"/>
  <c r="HF56" i="58"/>
  <c r="FR57" i="58"/>
  <c r="FZ57" i="58"/>
  <c r="GH57" i="58"/>
  <c r="GP57" i="58"/>
  <c r="GX57" i="58"/>
  <c r="HF57" i="58"/>
  <c r="FT63" i="58"/>
  <c r="GB63" i="58"/>
  <c r="GJ63" i="58"/>
  <c r="GR63" i="58"/>
  <c r="GZ63" i="58"/>
  <c r="HH63" i="58"/>
  <c r="FR67" i="58"/>
  <c r="FZ67" i="58"/>
  <c r="GH67" i="58"/>
  <c r="GP67" i="58"/>
  <c r="GX67" i="58"/>
  <c r="HF67" i="58"/>
  <c r="FT73" i="58"/>
  <c r="GB73" i="58"/>
  <c r="GJ73" i="58"/>
  <c r="GR73" i="58"/>
  <c r="GZ73" i="58"/>
  <c r="HH73" i="58"/>
  <c r="FT74" i="58"/>
  <c r="GB74" i="58"/>
  <c r="GJ74" i="58"/>
  <c r="GR74" i="58"/>
  <c r="GZ74" i="58"/>
  <c r="HH74" i="58"/>
  <c r="FT75" i="58"/>
  <c r="GB75" i="58"/>
  <c r="GJ75" i="58"/>
  <c r="GR75" i="58"/>
  <c r="GZ75" i="58"/>
  <c r="HH75" i="58"/>
  <c r="GX76" i="58"/>
  <c r="HL76" i="58"/>
  <c r="GO78" i="58"/>
  <c r="GW78" i="58"/>
  <c r="HE78" i="58"/>
  <c r="HM78" i="58"/>
  <c r="GP79" i="58"/>
  <c r="GX79" i="58"/>
  <c r="HF79" i="58"/>
  <c r="GI80" i="58"/>
  <c r="GQ80" i="58"/>
  <c r="GY80" i="58"/>
  <c r="HG80" i="58"/>
  <c r="GJ81" i="58"/>
  <c r="GR81" i="58"/>
  <c r="GZ81" i="58"/>
  <c r="HH81" i="58"/>
  <c r="GK82" i="58"/>
  <c r="GS82" i="58"/>
  <c r="HA82" i="58"/>
  <c r="HI82" i="58"/>
  <c r="GL83" i="58"/>
  <c r="GT83" i="58"/>
  <c r="HB83" i="58"/>
  <c r="HJ83" i="58"/>
  <c r="GM84" i="58"/>
  <c r="GU84" i="58"/>
  <c r="HC84" i="58"/>
  <c r="HK84" i="58"/>
  <c r="GN85" i="58"/>
  <c r="GV85" i="58"/>
  <c r="HD85" i="58"/>
  <c r="HL85" i="58"/>
  <c r="GO86" i="58"/>
  <c r="GW86" i="58"/>
  <c r="HE86" i="58"/>
  <c r="HM86" i="58"/>
  <c r="GP87" i="58"/>
  <c r="GX87" i="58"/>
  <c r="HF87" i="58"/>
  <c r="GI88" i="58"/>
  <c r="GQ88" i="58"/>
  <c r="GY88" i="58"/>
  <c r="HG88" i="58"/>
  <c r="GJ89" i="58"/>
  <c r="GR89" i="58"/>
  <c r="GZ89" i="58"/>
  <c r="HH89" i="58"/>
  <c r="GK90" i="58"/>
  <c r="GS90" i="58"/>
  <c r="HA90" i="58"/>
  <c r="HI90" i="58"/>
  <c r="GY91" i="58"/>
  <c r="HM91" i="58"/>
  <c r="GP93" i="58"/>
  <c r="GX93" i="58"/>
  <c r="HF93" i="58"/>
  <c r="FR94" i="58"/>
  <c r="FZ94" i="58"/>
  <c r="GH94" i="58"/>
  <c r="GP94" i="58"/>
  <c r="GX94" i="58"/>
  <c r="HF94" i="58"/>
  <c r="FR95" i="58"/>
  <c r="FZ95" i="58"/>
  <c r="GH95" i="58"/>
  <c r="GP95" i="58"/>
  <c r="GX95" i="58"/>
  <c r="HF95" i="58"/>
  <c r="FV98" i="58"/>
  <c r="GD98" i="58"/>
  <c r="GL98" i="58"/>
  <c r="GT98" i="58"/>
  <c r="HB98" i="58"/>
  <c r="HJ98" i="58"/>
  <c r="FR101" i="58"/>
  <c r="FZ101" i="58"/>
  <c r="GH101" i="58"/>
  <c r="GP101" i="58"/>
  <c r="GX101" i="58"/>
  <c r="HF101" i="58"/>
  <c r="FR102" i="58"/>
  <c r="FZ102" i="58"/>
  <c r="GH102" i="58"/>
  <c r="GP102" i="58"/>
  <c r="GX102" i="58"/>
  <c r="HF102" i="58"/>
  <c r="GN109" i="58"/>
  <c r="GV109" i="58"/>
  <c r="HD109" i="58"/>
  <c r="HL109" i="58"/>
  <c r="GT110" i="58"/>
  <c r="HB110" i="58"/>
  <c r="HJ110" i="58"/>
  <c r="AE12" i="57"/>
  <c r="BO83" i="57"/>
  <c r="AE54" i="57"/>
  <c r="AE60" i="57"/>
  <c r="AE64" i="57"/>
  <c r="AE68" i="57"/>
  <c r="AE72" i="57"/>
  <c r="AE76" i="57"/>
  <c r="AE80" i="57"/>
  <c r="FY22" i="58"/>
  <c r="GO23" i="58"/>
  <c r="HE28" i="58"/>
  <c r="HJ30" i="58"/>
  <c r="HJ32" i="58"/>
  <c r="FY43" i="58"/>
  <c r="GH45" i="58"/>
  <c r="GR20" i="58"/>
  <c r="HM21" i="58"/>
  <c r="GG23" i="58"/>
  <c r="GW24" i="58"/>
  <c r="HM25" i="58"/>
  <c r="GG27" i="58"/>
  <c r="GW28" i="58"/>
  <c r="GO29" i="58"/>
  <c r="FY30" i="58"/>
  <c r="HE30" i="58"/>
  <c r="GO31" i="58"/>
  <c r="FY32" i="58"/>
  <c r="HE32" i="58"/>
  <c r="GO33" i="58"/>
  <c r="GN37" i="58"/>
  <c r="HD37" i="58"/>
  <c r="FU38" i="58"/>
  <c r="GV38" i="58"/>
  <c r="FV43" i="58"/>
  <c r="GP43" i="58"/>
  <c r="HM43" i="58"/>
  <c r="GL44" i="58"/>
  <c r="HF44" i="58"/>
  <c r="GG45" i="58"/>
  <c r="GW45" i="58"/>
  <c r="HI45" i="58"/>
  <c r="HM48" i="58"/>
  <c r="GB49" i="58"/>
  <c r="GL49" i="58"/>
  <c r="GW49" i="58"/>
  <c r="HF49" i="58"/>
  <c r="GW50" i="58"/>
  <c r="HK50" i="58"/>
  <c r="HA52" i="58"/>
  <c r="FS54" i="58"/>
  <c r="GA54" i="58"/>
  <c r="GI54" i="58"/>
  <c r="GQ54" i="58"/>
  <c r="GY54" i="58"/>
  <c r="HG54" i="58"/>
  <c r="FS55" i="58"/>
  <c r="GA55" i="58"/>
  <c r="GI55" i="58"/>
  <c r="GQ55" i="58"/>
  <c r="GY55" i="58"/>
  <c r="HG55" i="58"/>
  <c r="FS56" i="58"/>
  <c r="GA56" i="58"/>
  <c r="GI56" i="58"/>
  <c r="GQ56" i="58"/>
  <c r="GY56" i="58"/>
  <c r="HG56" i="58"/>
  <c r="FS57" i="58"/>
  <c r="GA57" i="58"/>
  <c r="GI57" i="58"/>
  <c r="GQ57" i="58"/>
  <c r="GY57" i="58"/>
  <c r="HG57" i="58"/>
  <c r="FU63" i="58"/>
  <c r="GC63" i="58"/>
  <c r="GK63" i="58"/>
  <c r="GS63" i="58"/>
  <c r="HA63" i="58"/>
  <c r="HI63" i="58"/>
  <c r="FS67" i="58"/>
  <c r="GA67" i="58"/>
  <c r="GI67" i="58"/>
  <c r="GQ67" i="58"/>
  <c r="GY67" i="58"/>
  <c r="HG67" i="58"/>
  <c r="FU73" i="58"/>
  <c r="GC73" i="58"/>
  <c r="GK73" i="58"/>
  <c r="GS73" i="58"/>
  <c r="HA73" i="58"/>
  <c r="HI73" i="58"/>
  <c r="FU74" i="58"/>
  <c r="GC74" i="58"/>
  <c r="GK74" i="58"/>
  <c r="GS74" i="58"/>
  <c r="HA74" i="58"/>
  <c r="HI74" i="58"/>
  <c r="FU75" i="58"/>
  <c r="GC75" i="58"/>
  <c r="GK75" i="58"/>
  <c r="GS75" i="58"/>
  <c r="HA75" i="58"/>
  <c r="HI75" i="58"/>
  <c r="GY76" i="58"/>
  <c r="HM76" i="58"/>
  <c r="GP78" i="58"/>
  <c r="GX78" i="58"/>
  <c r="HF78" i="58"/>
  <c r="GI79" i="58"/>
  <c r="GQ79" i="58"/>
  <c r="GY79" i="58"/>
  <c r="HG79" i="58"/>
  <c r="GJ80" i="58"/>
  <c r="GR80" i="58"/>
  <c r="GZ80" i="58"/>
  <c r="HH80" i="58"/>
  <c r="GK81" i="58"/>
  <c r="GS81" i="58"/>
  <c r="HA81" i="58"/>
  <c r="HI81" i="58"/>
  <c r="GL82" i="58"/>
  <c r="GT82" i="58"/>
  <c r="HB82" i="58"/>
  <c r="HJ82" i="58"/>
  <c r="GM83" i="58"/>
  <c r="GU83" i="58"/>
  <c r="HC83" i="58"/>
  <c r="HK83" i="58"/>
  <c r="GN84" i="58"/>
  <c r="GV84" i="58"/>
  <c r="HD84" i="58"/>
  <c r="HL84" i="58"/>
  <c r="GO85" i="58"/>
  <c r="GW85" i="58"/>
  <c r="HE85" i="58"/>
  <c r="HM85" i="58"/>
  <c r="GP86" i="58"/>
  <c r="GX86" i="58"/>
  <c r="HF86" i="58"/>
  <c r="GI87" i="58"/>
  <c r="GQ87" i="58"/>
  <c r="GY87" i="58"/>
  <c r="HG87" i="58"/>
  <c r="GJ88" i="58"/>
  <c r="GR88" i="58"/>
  <c r="GZ88" i="58"/>
  <c r="HH88" i="58"/>
  <c r="GK89" i="58"/>
  <c r="GS89" i="58"/>
  <c r="HA89" i="58"/>
  <c r="HI89" i="58"/>
  <c r="GL90" i="58"/>
  <c r="GT90" i="58"/>
  <c r="HB90" i="58"/>
  <c r="HJ90" i="58"/>
  <c r="GZ91" i="58"/>
  <c r="GI93" i="58"/>
  <c r="GQ93" i="58"/>
  <c r="GY93" i="58"/>
  <c r="HG93" i="58"/>
  <c r="FS94" i="58"/>
  <c r="GA94" i="58"/>
  <c r="GI94" i="58"/>
  <c r="GQ94" i="58"/>
  <c r="GY94" i="58"/>
  <c r="HG94" i="58"/>
  <c r="FS95" i="58"/>
  <c r="GA95" i="58"/>
  <c r="GI95" i="58"/>
  <c r="GQ95" i="58"/>
  <c r="GY95" i="58"/>
  <c r="HG95" i="58"/>
  <c r="FW98" i="58"/>
  <c r="GE98" i="58"/>
  <c r="GM98" i="58"/>
  <c r="GU98" i="58"/>
  <c r="HC98" i="58"/>
  <c r="HK98" i="58"/>
  <c r="FS101" i="58"/>
  <c r="GA101" i="58"/>
  <c r="GI101" i="58"/>
  <c r="GQ101" i="58"/>
  <c r="GY101" i="58"/>
  <c r="HG101" i="58"/>
  <c r="FS102" i="58"/>
  <c r="GA102" i="58"/>
  <c r="GI102" i="58"/>
  <c r="GQ102" i="58"/>
  <c r="GY102" i="58"/>
  <c r="HG102" i="58"/>
  <c r="GO109" i="58"/>
  <c r="GW109" i="58"/>
  <c r="HE109" i="58"/>
  <c r="HM109" i="58"/>
  <c r="GU110" i="58"/>
  <c r="HC110" i="58"/>
  <c r="HK110" i="58"/>
  <c r="AE14" i="57"/>
  <c r="AE16" i="57"/>
  <c r="AE18" i="57"/>
  <c r="AE20" i="57"/>
  <c r="AE22" i="57"/>
  <c r="AE24" i="57"/>
  <c r="AE26" i="57"/>
  <c r="AE28" i="57"/>
  <c r="AE30" i="57"/>
  <c r="AE32" i="57"/>
  <c r="AE34" i="57"/>
  <c r="AE36" i="57"/>
  <c r="AE38" i="57"/>
  <c r="AE40" i="57"/>
  <c r="AE42" i="57"/>
  <c r="AE44" i="57"/>
  <c r="AE46" i="57"/>
  <c r="AE48" i="57"/>
  <c r="AE50" i="57"/>
  <c r="AE52" i="57"/>
  <c r="AE56" i="57"/>
  <c r="AE58" i="57"/>
  <c r="AE62" i="57"/>
  <c r="AE66" i="57"/>
  <c r="AE70" i="57"/>
  <c r="AE74" i="57"/>
  <c r="AE78" i="57"/>
  <c r="BO95" i="57"/>
  <c r="HE20" i="58"/>
  <c r="HE24" i="58"/>
  <c r="GT29" i="58"/>
  <c r="GT31" i="58"/>
  <c r="GT33" i="58"/>
  <c r="FX38" i="58"/>
  <c r="FR44" i="58"/>
  <c r="HJ45" i="58"/>
  <c r="FR49" i="58"/>
  <c r="FT54" i="58"/>
  <c r="GJ55" i="58"/>
  <c r="GZ56" i="58"/>
  <c r="GL63" i="58"/>
  <c r="GJ67" i="58"/>
  <c r="FV74" i="58"/>
  <c r="GL75" i="58"/>
  <c r="HG78" i="58"/>
  <c r="HI80" i="58"/>
  <c r="HK82" i="58"/>
  <c r="HM84" i="58"/>
  <c r="GJ87" i="58"/>
  <c r="GL89" i="58"/>
  <c r="HA91" i="58"/>
  <c r="GR94" i="58"/>
  <c r="HH95" i="58"/>
  <c r="GV98" i="58"/>
  <c r="GB101" i="58"/>
  <c r="GR102" i="58"/>
  <c r="HD110" i="58"/>
  <c r="BO96" i="57"/>
  <c r="FV63" i="58"/>
  <c r="HB73" i="58"/>
  <c r="HA88" i="58"/>
  <c r="GC49" i="58"/>
  <c r="GB54" i="58"/>
  <c r="GR55" i="58"/>
  <c r="HH56" i="58"/>
  <c r="GT63" i="58"/>
  <c r="GR67" i="58"/>
  <c r="GD74" i="58"/>
  <c r="GT75" i="58"/>
  <c r="GJ79" i="58"/>
  <c r="GL81" i="58"/>
  <c r="GN83" i="58"/>
  <c r="GP85" i="58"/>
  <c r="GR87" i="58"/>
  <c r="GT89" i="58"/>
  <c r="GJ93" i="58"/>
  <c r="GZ94" i="58"/>
  <c r="HD98" i="58"/>
  <c r="GJ101" i="58"/>
  <c r="GZ102" i="58"/>
  <c r="HL110" i="58"/>
  <c r="BO97" i="57"/>
  <c r="BO12" i="57"/>
  <c r="FT55" i="58"/>
  <c r="GU82" i="58"/>
  <c r="GB102" i="58"/>
  <c r="GM49" i="58"/>
  <c r="GJ54" i="58"/>
  <c r="GZ55" i="58"/>
  <c r="FT57" i="58"/>
  <c r="HB63" i="58"/>
  <c r="GZ67" i="58"/>
  <c r="FV73" i="58"/>
  <c r="GL74" i="58"/>
  <c r="HB75" i="58"/>
  <c r="GR79" i="58"/>
  <c r="GT81" i="58"/>
  <c r="GV83" i="58"/>
  <c r="GX85" i="58"/>
  <c r="GZ87" i="58"/>
  <c r="HB89" i="58"/>
  <c r="GR93" i="58"/>
  <c r="HH94" i="58"/>
  <c r="HL98" i="58"/>
  <c r="GR101" i="58"/>
  <c r="HH102" i="58"/>
  <c r="GJ56" i="58"/>
  <c r="GW84" i="58"/>
  <c r="GN110" i="58"/>
  <c r="GX49" i="58"/>
  <c r="GR54" i="58"/>
  <c r="HH55" i="58"/>
  <c r="GB57" i="58"/>
  <c r="HJ63" i="58"/>
  <c r="HH67" i="58"/>
  <c r="GD73" i="58"/>
  <c r="GT74" i="58"/>
  <c r="HJ75" i="58"/>
  <c r="GZ79" i="58"/>
  <c r="HB81" i="58"/>
  <c r="HD83" i="58"/>
  <c r="HF85" i="58"/>
  <c r="HH87" i="58"/>
  <c r="HJ89" i="58"/>
  <c r="GZ93" i="58"/>
  <c r="FT95" i="58"/>
  <c r="GZ101" i="58"/>
  <c r="GP109" i="58"/>
  <c r="GS80" i="58"/>
  <c r="GR95" i="58"/>
  <c r="HH49" i="58"/>
  <c r="GZ54" i="58"/>
  <c r="FT56" i="58"/>
  <c r="GJ57" i="58"/>
  <c r="GL73" i="58"/>
  <c r="HB74" i="58"/>
  <c r="GZ76" i="58"/>
  <c r="HH79" i="58"/>
  <c r="HJ81" i="58"/>
  <c r="HL83" i="58"/>
  <c r="GI86" i="58"/>
  <c r="GK88" i="58"/>
  <c r="GM90" i="58"/>
  <c r="HH93" i="58"/>
  <c r="GB95" i="58"/>
  <c r="HH101" i="58"/>
  <c r="GX109" i="58"/>
  <c r="FT67" i="58"/>
  <c r="GQ78" i="58"/>
  <c r="HC90" i="58"/>
  <c r="GX50" i="58"/>
  <c r="HH54" i="58"/>
  <c r="GB56" i="58"/>
  <c r="GR57" i="58"/>
  <c r="GT73" i="58"/>
  <c r="HJ74" i="58"/>
  <c r="GI78" i="58"/>
  <c r="GK80" i="58"/>
  <c r="GM82" i="58"/>
  <c r="GO84" i="58"/>
  <c r="GQ86" i="58"/>
  <c r="GS88" i="58"/>
  <c r="GU90" i="58"/>
  <c r="FT94" i="58"/>
  <c r="GJ95" i="58"/>
  <c r="FX98" i="58"/>
  <c r="FT102" i="58"/>
  <c r="HF109" i="58"/>
  <c r="GZ57" i="58"/>
  <c r="GY86" i="58"/>
  <c r="GF98" i="58"/>
  <c r="HH52" i="58"/>
  <c r="GB55" i="58"/>
  <c r="GR56" i="58"/>
  <c r="HH57" i="58"/>
  <c r="GD63" i="58"/>
  <c r="GB67" i="58"/>
  <c r="HJ73" i="58"/>
  <c r="GD75" i="58"/>
  <c r="GY78" i="58"/>
  <c r="HA80" i="58"/>
  <c r="HC82" i="58"/>
  <c r="HE84" i="58"/>
  <c r="HG86" i="58"/>
  <c r="HI88" i="58"/>
  <c r="HK90" i="58"/>
  <c r="GJ94" i="58"/>
  <c r="GZ95" i="58"/>
  <c r="GN98" i="58"/>
  <c r="FT101" i="58"/>
  <c r="GJ102" i="58"/>
  <c r="GV110" i="58"/>
  <c r="HL50" i="58"/>
  <c r="FV75" i="58"/>
  <c r="GB94" i="58"/>
  <c r="E10" i="56"/>
  <c r="F10" i="56"/>
  <c r="G10" i="56"/>
  <c r="H10" i="56"/>
  <c r="I10" i="56"/>
  <c r="J10" i="56"/>
  <c r="K10" i="56"/>
  <c r="L10" i="56"/>
  <c r="M10" i="56"/>
  <c r="N10" i="56"/>
  <c r="O10" i="56"/>
  <c r="P10" i="56"/>
  <c r="Q10" i="56"/>
  <c r="R10" i="56"/>
  <c r="S10" i="56"/>
  <c r="T10" i="56"/>
  <c r="U10" i="56"/>
  <c r="V10" i="56"/>
  <c r="W10" i="56"/>
  <c r="X10" i="56"/>
  <c r="Y10" i="56"/>
  <c r="Z10" i="56"/>
  <c r="AA10" i="56"/>
  <c r="AB10" i="56"/>
  <c r="AC10" i="56"/>
  <c r="AD10" i="56"/>
  <c r="AM10" i="56"/>
  <c r="AN10" i="56"/>
  <c r="AO10" i="56"/>
  <c r="AP10" i="56"/>
  <c r="AQ10" i="56"/>
  <c r="AR10" i="56"/>
  <c r="AS10" i="56"/>
  <c r="AT10" i="56"/>
  <c r="AU10" i="56"/>
  <c r="AV10" i="56"/>
  <c r="AW10" i="56"/>
  <c r="AX10" i="56"/>
  <c r="AY10" i="56"/>
  <c r="AZ10" i="56"/>
  <c r="BA10" i="56"/>
  <c r="BB10" i="56"/>
  <c r="BC10" i="56"/>
  <c r="BD10" i="56"/>
  <c r="BE10" i="56"/>
  <c r="BF10" i="56"/>
  <c r="BG10" i="56"/>
  <c r="BH10" i="56"/>
  <c r="BI10" i="56"/>
  <c r="BJ10" i="56"/>
  <c r="BK10" i="56"/>
  <c r="BL10" i="56"/>
  <c r="E11" i="56"/>
  <c r="F11" i="56"/>
  <c r="G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X11" i="56"/>
  <c r="Y11" i="56"/>
  <c r="Z11" i="56"/>
  <c r="AA11" i="56"/>
  <c r="AB11" i="56"/>
  <c r="AC11" i="56"/>
  <c r="AD11" i="56"/>
  <c r="AM11" i="56"/>
  <c r="AN11" i="56"/>
  <c r="AO11" i="56"/>
  <c r="AP11" i="56"/>
  <c r="AQ11" i="56"/>
  <c r="AR11" i="56"/>
  <c r="AS11" i="56"/>
  <c r="AT11" i="56"/>
  <c r="AU11" i="56"/>
  <c r="AV11" i="56"/>
  <c r="AW11" i="56"/>
  <c r="AX11" i="56"/>
  <c r="AY11" i="56"/>
  <c r="AZ11" i="56"/>
  <c r="BA11" i="56"/>
  <c r="BB11" i="56"/>
  <c r="BC11" i="56"/>
  <c r="BD11" i="56"/>
  <c r="BE11" i="56"/>
  <c r="BF11" i="56"/>
  <c r="BG11" i="56"/>
  <c r="BH11" i="56"/>
  <c r="BI11" i="56"/>
  <c r="BJ11" i="56"/>
  <c r="BK11" i="56"/>
  <c r="BL11" i="56"/>
  <c r="BP12" i="57" l="1"/>
  <c r="BO112" i="57"/>
  <c r="AE84" i="57"/>
  <c r="AF78" i="57"/>
  <c r="AF74" i="57"/>
  <c r="AF70" i="57"/>
  <c r="AF66" i="57"/>
  <c r="AF62" i="57"/>
  <c r="AF58" i="57"/>
  <c r="AF56" i="57"/>
  <c r="AF52" i="57"/>
  <c r="AF50" i="57"/>
  <c r="AF48" i="57"/>
  <c r="AF46" i="57"/>
  <c r="AF44" i="57"/>
  <c r="AF42" i="57"/>
  <c r="AF40" i="57"/>
  <c r="AF38" i="57"/>
  <c r="AF36" i="57"/>
  <c r="AF34" i="57"/>
  <c r="AF32" i="57"/>
  <c r="AF30" i="57"/>
  <c r="AF28" i="57"/>
  <c r="AF26" i="57"/>
  <c r="AF24" i="57"/>
  <c r="AF22" i="57"/>
  <c r="AF20" i="57"/>
  <c r="AF18" i="57"/>
  <c r="AF16" i="57"/>
  <c r="AF14" i="57"/>
  <c r="AF80" i="57"/>
  <c r="AE85" i="57"/>
  <c r="AF76" i="57"/>
  <c r="AF72" i="57"/>
  <c r="AF68" i="57"/>
  <c r="AF64" i="57"/>
  <c r="AF60" i="57"/>
  <c r="AF54" i="57"/>
  <c r="AE81" i="57"/>
  <c r="AF12" i="57"/>
  <c r="BP79" i="57"/>
  <c r="BP71" i="57"/>
  <c r="BP63" i="57"/>
  <c r="BP55" i="57"/>
  <c r="BP49" i="57"/>
  <c r="BP43" i="57"/>
  <c r="BP37" i="57"/>
  <c r="BP29" i="57"/>
  <c r="BP23" i="57"/>
  <c r="BP17" i="57"/>
  <c r="BP75" i="57"/>
  <c r="BP67" i="57"/>
  <c r="BP59" i="57"/>
  <c r="BO90" i="57"/>
  <c r="BO89" i="57" s="1"/>
  <c r="BP53" i="57"/>
  <c r="BP45" i="57"/>
  <c r="BP35" i="57"/>
  <c r="BP27" i="57"/>
  <c r="BP19" i="57"/>
  <c r="BP15" i="57"/>
  <c r="BP73" i="57"/>
  <c r="BO92" i="57"/>
  <c r="BP65" i="57"/>
  <c r="BO91" i="57"/>
  <c r="BP57" i="57"/>
  <c r="BP47" i="57"/>
  <c r="BP39" i="57"/>
  <c r="BP31" i="57"/>
  <c r="BP21" i="57"/>
  <c r="AF77" i="57"/>
  <c r="AF73" i="57"/>
  <c r="AF69" i="57"/>
  <c r="AF65" i="57"/>
  <c r="AF61" i="57"/>
  <c r="AF57" i="57"/>
  <c r="AF53" i="57"/>
  <c r="AF51" i="57"/>
  <c r="AF49" i="57"/>
  <c r="AF47" i="57"/>
  <c r="AF45" i="57"/>
  <c r="AF43" i="57"/>
  <c r="AF41" i="57"/>
  <c r="AF39" i="57"/>
  <c r="AF37" i="57"/>
  <c r="AF35" i="57"/>
  <c r="AF33" i="57"/>
  <c r="AF31" i="57"/>
  <c r="AF29" i="57"/>
  <c r="AF27" i="57"/>
  <c r="AF25" i="57"/>
  <c r="AF23" i="57"/>
  <c r="AF21" i="57"/>
  <c r="AF19" i="57"/>
  <c r="AF17" i="57"/>
  <c r="AF15" i="57"/>
  <c r="AF13" i="57"/>
  <c r="BP77" i="57"/>
  <c r="BP69" i="57"/>
  <c r="BP61" i="57"/>
  <c r="BP51" i="57"/>
  <c r="BP41" i="57"/>
  <c r="BP33" i="57"/>
  <c r="BP25" i="57"/>
  <c r="BP13" i="57"/>
  <c r="AF79" i="57"/>
  <c r="AF75" i="57"/>
  <c r="AF71" i="57"/>
  <c r="AF67" i="57"/>
  <c r="AF63" i="57"/>
  <c r="AF59" i="57"/>
  <c r="AF55" i="57"/>
  <c r="BO100" i="57"/>
  <c r="BP80" i="57"/>
  <c r="BO85" i="57"/>
  <c r="BO111" i="57"/>
  <c r="BP78" i="57"/>
  <c r="BO84" i="57"/>
  <c r="BP76" i="57"/>
  <c r="BP74" i="57"/>
  <c r="BP72" i="57"/>
  <c r="BP70" i="57"/>
  <c r="BP68" i="57"/>
  <c r="BP66" i="57"/>
  <c r="BP64" i="57"/>
  <c r="BP62" i="57"/>
  <c r="BP60" i="57"/>
  <c r="BP58" i="57"/>
  <c r="BP56" i="57"/>
  <c r="BP54" i="57"/>
  <c r="BP52" i="57"/>
  <c r="BP50" i="57"/>
  <c r="BP48" i="57"/>
  <c r="BP46" i="57"/>
  <c r="BP44" i="57"/>
  <c r="BP42" i="57"/>
  <c r="BP40" i="57"/>
  <c r="BP38" i="57"/>
  <c r="BP36" i="57"/>
  <c r="BP34" i="57"/>
  <c r="BP32" i="57"/>
  <c r="BP30" i="57"/>
  <c r="BP28" i="57"/>
  <c r="BP26" i="57"/>
  <c r="BP24" i="57"/>
  <c r="BP22" i="57"/>
  <c r="BP20" i="57"/>
  <c r="BP18" i="57"/>
  <c r="BP16" i="57"/>
  <c r="BP14" i="57"/>
  <c r="AV87" i="52"/>
  <c r="F87" i="52"/>
  <c r="J86" i="52"/>
  <c r="BP104" i="52"/>
  <c r="BM104" i="52"/>
  <c r="BP101" i="52"/>
  <c r="BM101" i="52"/>
  <c r="BP100" i="52"/>
  <c r="BL117" i="52"/>
  <c r="BM100" i="52"/>
  <c r="BM117" i="52" s="1"/>
  <c r="AT87" i="52"/>
  <c r="BJ86" i="52"/>
  <c r="AE63" i="52"/>
  <c r="BM85" i="52"/>
  <c r="BK87" i="52"/>
  <c r="AO87" i="52"/>
  <c r="BB86" i="52"/>
  <c r="BJ87" i="52"/>
  <c r="AS86" i="52"/>
  <c r="BT61" i="52"/>
  <c r="BU61" i="52" s="1"/>
  <c r="BM61" i="52"/>
  <c r="BP61" i="52"/>
  <c r="BF87" i="52"/>
  <c r="BM102" i="52"/>
  <c r="BP102" i="52"/>
  <c r="BE87" i="52"/>
  <c r="AF80" i="52"/>
  <c r="AE80" i="52"/>
  <c r="AD87" i="52"/>
  <c r="BS76" i="52"/>
  <c r="AY117" i="52"/>
  <c r="BC87" i="52"/>
  <c r="V87" i="52"/>
  <c r="Z86" i="52"/>
  <c r="AE74" i="52"/>
  <c r="BX74" i="52" s="1"/>
  <c r="BP72" i="52"/>
  <c r="BT72" i="52"/>
  <c r="BM72" i="52"/>
  <c r="AW87" i="52"/>
  <c r="N87" i="52"/>
  <c r="R86" i="52"/>
  <c r="BM81" i="52"/>
  <c r="AH81" i="52" s="1"/>
  <c r="BL95" i="52"/>
  <c r="BM95" i="52" s="1"/>
  <c r="BG87" i="52"/>
  <c r="AX87" i="52"/>
  <c r="AP87" i="52"/>
  <c r="W87" i="52"/>
  <c r="O87" i="52"/>
  <c r="G87" i="52"/>
  <c r="BT79" i="52"/>
  <c r="BM79" i="52"/>
  <c r="BP79" i="52"/>
  <c r="BK86" i="52"/>
  <c r="BC86" i="52"/>
  <c r="AT86" i="52"/>
  <c r="AA86" i="52"/>
  <c r="S86" i="52"/>
  <c r="K86" i="52"/>
  <c r="BS77" i="52"/>
  <c r="AE75" i="52"/>
  <c r="BT73" i="52"/>
  <c r="BM73" i="52"/>
  <c r="BP73" i="52"/>
  <c r="BL94" i="52"/>
  <c r="BS70" i="52"/>
  <c r="AN87" i="52"/>
  <c r="BS80" i="52"/>
  <c r="AY116" i="52"/>
  <c r="AY87" i="52"/>
  <c r="AC87" i="52"/>
  <c r="U87" i="52"/>
  <c r="M87" i="52"/>
  <c r="E87" i="52"/>
  <c r="BI86" i="52"/>
  <c r="BA86" i="52"/>
  <c r="AR86" i="52"/>
  <c r="BP78" i="52"/>
  <c r="BT78" i="52"/>
  <c r="BM78" i="52"/>
  <c r="BL86" i="52"/>
  <c r="Y86" i="52"/>
  <c r="Q86" i="52"/>
  <c r="I86" i="52"/>
  <c r="BS75" i="52"/>
  <c r="AE73" i="52"/>
  <c r="BX73" i="52" s="1"/>
  <c r="AD94" i="52"/>
  <c r="AE94" i="52" s="1"/>
  <c r="BP71" i="52"/>
  <c r="BT71" i="52"/>
  <c r="BM71" i="52"/>
  <c r="BT70" i="52"/>
  <c r="BM70" i="52"/>
  <c r="BP70" i="52"/>
  <c r="BD87" i="52"/>
  <c r="AU87" i="52"/>
  <c r="AM87" i="52"/>
  <c r="AB87" i="52"/>
  <c r="T87" i="52"/>
  <c r="L87" i="52"/>
  <c r="AE79" i="52"/>
  <c r="BX79" i="52" s="1"/>
  <c r="AF79" i="52"/>
  <c r="BH86" i="52"/>
  <c r="AZ86" i="52"/>
  <c r="AQ86" i="52"/>
  <c r="X86" i="52"/>
  <c r="P86" i="52"/>
  <c r="H86" i="52"/>
  <c r="BS74" i="52"/>
  <c r="AE72" i="52"/>
  <c r="BX72" i="52" s="1"/>
  <c r="AA87" i="52"/>
  <c r="S87" i="52"/>
  <c r="K87" i="52"/>
  <c r="BS79" i="52"/>
  <c r="BG86" i="52"/>
  <c r="AX86" i="52"/>
  <c r="AP86" i="52"/>
  <c r="W86" i="52"/>
  <c r="O86" i="52"/>
  <c r="G86" i="52"/>
  <c r="BT77" i="52"/>
  <c r="BU77" i="52" s="1"/>
  <c r="BM77" i="52"/>
  <c r="BP77" i="52"/>
  <c r="BS73" i="52"/>
  <c r="AY94" i="52"/>
  <c r="AE71" i="52"/>
  <c r="BX71" i="52" s="1"/>
  <c r="BS66" i="52"/>
  <c r="BB87" i="52"/>
  <c r="AS87" i="52"/>
  <c r="Z87" i="52"/>
  <c r="R87" i="52"/>
  <c r="J87" i="52"/>
  <c r="BF86" i="52"/>
  <c r="AW86" i="52"/>
  <c r="AO86" i="52"/>
  <c r="AE78" i="52"/>
  <c r="BX78" i="52" s="1"/>
  <c r="AF78" i="52"/>
  <c r="AD86" i="52"/>
  <c r="AE86" i="52" s="1"/>
  <c r="V86" i="52"/>
  <c r="N86" i="52"/>
  <c r="F86" i="52"/>
  <c r="BT76" i="52"/>
  <c r="BU76" i="52" s="1"/>
  <c r="BM76" i="52"/>
  <c r="BP76" i="52"/>
  <c r="BS72" i="52"/>
  <c r="BP69" i="52"/>
  <c r="BT69" i="52"/>
  <c r="BU69" i="52" s="1"/>
  <c r="BM69" i="52"/>
  <c r="BS65" i="52"/>
  <c r="BI87" i="52"/>
  <c r="BA87" i="52"/>
  <c r="AR87" i="52"/>
  <c r="BT80" i="52"/>
  <c r="BU80" i="52" s="1"/>
  <c r="BM80" i="52"/>
  <c r="BM116" i="52" s="1"/>
  <c r="BP80" i="52"/>
  <c r="BL87" i="52"/>
  <c r="BM87" i="52" s="1"/>
  <c r="BL116" i="52"/>
  <c r="Y87" i="52"/>
  <c r="Q87" i="52"/>
  <c r="I87" i="52"/>
  <c r="BE86" i="52"/>
  <c r="AV86" i="52"/>
  <c r="AN86" i="52"/>
  <c r="BS78" i="52"/>
  <c r="AY86" i="52"/>
  <c r="AC86" i="52"/>
  <c r="U86" i="52"/>
  <c r="M86" i="52"/>
  <c r="E86" i="52"/>
  <c r="AE77" i="52"/>
  <c r="BT75" i="52"/>
  <c r="BU75" i="52" s="1"/>
  <c r="BM75" i="52"/>
  <c r="BP75" i="52"/>
  <c r="BS71" i="52"/>
  <c r="AE68" i="52"/>
  <c r="BT66" i="52"/>
  <c r="BU66" i="52" s="1"/>
  <c r="BM66" i="52"/>
  <c r="BP66" i="52"/>
  <c r="BH87" i="52"/>
  <c r="AZ87" i="52"/>
  <c r="AQ87" i="52"/>
  <c r="X87" i="52"/>
  <c r="P87" i="52"/>
  <c r="H87" i="52"/>
  <c r="BD86" i="52"/>
  <c r="AU86" i="52"/>
  <c r="AM86" i="52"/>
  <c r="AB86" i="52"/>
  <c r="T86" i="52"/>
  <c r="L86" i="52"/>
  <c r="AE76" i="52"/>
  <c r="BX76" i="52" s="1"/>
  <c r="BT74" i="52"/>
  <c r="BM74" i="52"/>
  <c r="BP74" i="52"/>
  <c r="AE70" i="52"/>
  <c r="BX70" i="52" s="1"/>
  <c r="BP68" i="52"/>
  <c r="BT68" i="52"/>
  <c r="BU68" i="52" s="1"/>
  <c r="BM68" i="52"/>
  <c r="BS64" i="52"/>
  <c r="AE62" i="52"/>
  <c r="BP60" i="52"/>
  <c r="BM60" i="52"/>
  <c r="BT60" i="52"/>
  <c r="BU60" i="52" s="1"/>
  <c r="BS58" i="52"/>
  <c r="BS55" i="52"/>
  <c r="BT46" i="52"/>
  <c r="BM46" i="52"/>
  <c r="BP46" i="52"/>
  <c r="AE69" i="52"/>
  <c r="BT67" i="52"/>
  <c r="BM67" i="52"/>
  <c r="BP67" i="52"/>
  <c r="BS63" i="52"/>
  <c r="AE61" i="52"/>
  <c r="BP59" i="52"/>
  <c r="BT59" i="52"/>
  <c r="BM59" i="52"/>
  <c r="BT58" i="52"/>
  <c r="BU58" i="52" s="1"/>
  <c r="BM58" i="52"/>
  <c r="BP58" i="52"/>
  <c r="BJ93" i="52"/>
  <c r="Y93" i="52"/>
  <c r="BP53" i="52"/>
  <c r="BT53" i="52"/>
  <c r="BM53" i="52"/>
  <c r="BL92" i="52"/>
  <c r="BS51" i="52"/>
  <c r="BS62" i="52"/>
  <c r="AE60" i="52"/>
  <c r="BI93" i="52"/>
  <c r="Q93" i="52"/>
  <c r="Y92" i="52"/>
  <c r="BP49" i="52"/>
  <c r="BT49" i="52"/>
  <c r="BM49" i="52"/>
  <c r="BS47" i="52"/>
  <c r="BS69" i="52"/>
  <c r="AE67" i="52"/>
  <c r="BX67" i="52" s="1"/>
  <c r="BP65" i="52"/>
  <c r="BT65" i="52"/>
  <c r="BM65" i="52"/>
  <c r="BS61" i="52"/>
  <c r="AE59" i="52"/>
  <c r="BX59" i="52" s="1"/>
  <c r="AE58" i="52"/>
  <c r="BX58" i="52" s="1"/>
  <c r="BF93" i="52"/>
  <c r="Q92" i="52"/>
  <c r="BS68" i="52"/>
  <c r="AE66" i="52"/>
  <c r="BX66" i="52" s="1"/>
  <c r="BT64" i="52"/>
  <c r="BU64" i="52" s="1"/>
  <c r="BM64" i="52"/>
  <c r="BP64" i="52"/>
  <c r="BS60" i="52"/>
  <c r="BB93" i="52"/>
  <c r="BS67" i="52"/>
  <c r="AE65" i="52"/>
  <c r="BX65" i="52" s="1"/>
  <c r="BT63" i="52"/>
  <c r="BM63" i="52"/>
  <c r="BP63" i="52"/>
  <c r="BS59" i="52"/>
  <c r="BI92" i="52"/>
  <c r="BI97" i="52" s="1"/>
  <c r="AE64" i="52"/>
  <c r="BX64" i="52" s="1"/>
  <c r="BT62" i="52"/>
  <c r="BU62" i="52" s="1"/>
  <c r="BM62" i="52"/>
  <c r="BP62" i="52"/>
  <c r="BA92" i="52"/>
  <c r="BA97" i="52" s="1"/>
  <c r="BK93" i="52"/>
  <c r="BC93" i="52"/>
  <c r="Z93" i="52"/>
  <c r="R93" i="52"/>
  <c r="AE55" i="52"/>
  <c r="AF55" i="52"/>
  <c r="BJ92" i="52"/>
  <c r="BJ97" i="52" s="1"/>
  <c r="BB92" i="52"/>
  <c r="BB97" i="52" s="1"/>
  <c r="Z92" i="52"/>
  <c r="R92" i="52"/>
  <c r="AE51" i="52"/>
  <c r="AF51" i="52"/>
  <c r="AE47" i="52"/>
  <c r="AF47" i="52"/>
  <c r="BP36" i="52"/>
  <c r="BT36" i="52"/>
  <c r="BM36" i="52"/>
  <c r="BA93" i="52"/>
  <c r="BP57" i="52"/>
  <c r="BT57" i="52"/>
  <c r="BU57" i="52" s="1"/>
  <c r="BM57" i="52"/>
  <c r="BL93" i="52"/>
  <c r="X93" i="52"/>
  <c r="AF54" i="52"/>
  <c r="AE54" i="52"/>
  <c r="BH92" i="52"/>
  <c r="BH97" i="52" s="1"/>
  <c r="AZ92" i="52"/>
  <c r="AZ97" i="52" s="1"/>
  <c r="X92" i="52"/>
  <c r="AF50" i="52"/>
  <c r="AE50" i="52"/>
  <c r="AE46" i="52"/>
  <c r="BX46" i="52" s="1"/>
  <c r="AF46" i="52"/>
  <c r="BH93" i="52"/>
  <c r="AZ93" i="52"/>
  <c r="W93" i="52"/>
  <c r="BT56" i="52"/>
  <c r="BU56" i="52" s="1"/>
  <c r="BM56" i="52"/>
  <c r="BP56" i="52"/>
  <c r="BS54" i="52"/>
  <c r="BG92" i="52"/>
  <c r="BG97" i="52" s="1"/>
  <c r="W92" i="52"/>
  <c r="BT52" i="52"/>
  <c r="BU52" i="52" s="1"/>
  <c r="BM52" i="52"/>
  <c r="BP52" i="52"/>
  <c r="BS50" i="52"/>
  <c r="BT48" i="52"/>
  <c r="BM48" i="52"/>
  <c r="BP48" i="52"/>
  <c r="BG93" i="52"/>
  <c r="AE57" i="52"/>
  <c r="BX57" i="52" s="1"/>
  <c r="AD93" i="52"/>
  <c r="AE93" i="52" s="1"/>
  <c r="V93" i="52"/>
  <c r="BF92" i="52"/>
  <c r="BF97" i="52" s="1"/>
  <c r="AE53" i="52"/>
  <c r="BX53" i="52" s="1"/>
  <c r="AF53" i="52"/>
  <c r="AD92" i="52"/>
  <c r="AE92" i="52" s="1"/>
  <c r="AF92" i="52" s="1"/>
  <c r="V92" i="52"/>
  <c r="AE49" i="52"/>
  <c r="BX49" i="52" s="1"/>
  <c r="AF49" i="52"/>
  <c r="BS45" i="52"/>
  <c r="AF25" i="52"/>
  <c r="AE25" i="52"/>
  <c r="AC93" i="52"/>
  <c r="U93" i="52"/>
  <c r="BT55" i="52"/>
  <c r="BM55" i="52"/>
  <c r="BP55" i="52"/>
  <c r="BE92" i="52"/>
  <c r="BE97" i="52" s="1"/>
  <c r="BS53" i="52"/>
  <c r="AY92" i="52"/>
  <c r="AC92" i="52"/>
  <c r="U92" i="52"/>
  <c r="BT51" i="52"/>
  <c r="BM51" i="52"/>
  <c r="BP51" i="52"/>
  <c r="BS49" i="52"/>
  <c r="BT47" i="52"/>
  <c r="BU47" i="52" s="1"/>
  <c r="BM47" i="52"/>
  <c r="BP47" i="52"/>
  <c r="BE93" i="52"/>
  <c r="BS57" i="52"/>
  <c r="AY93" i="52"/>
  <c r="AB93" i="52"/>
  <c r="T93" i="52"/>
  <c r="AE56" i="52"/>
  <c r="AF56" i="52"/>
  <c r="BD92" i="52"/>
  <c r="BD97" i="52" s="1"/>
  <c r="AB92" i="52"/>
  <c r="T92" i="52"/>
  <c r="AE52" i="52"/>
  <c r="BX52" i="52" s="1"/>
  <c r="AF52" i="52"/>
  <c r="AE48" i="52"/>
  <c r="BX48" i="52" s="1"/>
  <c r="AF48" i="52"/>
  <c r="BP44" i="52"/>
  <c r="BT44" i="52"/>
  <c r="BM44" i="52"/>
  <c r="BS42" i="52"/>
  <c r="BD93" i="52"/>
  <c r="AA93" i="52"/>
  <c r="S93" i="52"/>
  <c r="BS56" i="52"/>
  <c r="BT54" i="52"/>
  <c r="BU54" i="52" s="1"/>
  <c r="BM54" i="52"/>
  <c r="BP54" i="52"/>
  <c r="BK92" i="52"/>
  <c r="BK97" i="52" s="1"/>
  <c r="BC92" i="52"/>
  <c r="BC97" i="52" s="1"/>
  <c r="AA92" i="52"/>
  <c r="S92" i="52"/>
  <c r="BS52" i="52"/>
  <c r="BT50" i="52"/>
  <c r="BU50" i="52" s="1"/>
  <c r="BM50" i="52"/>
  <c r="BP50" i="52"/>
  <c r="BS48" i="52"/>
  <c r="BS46" i="52"/>
  <c r="BP40" i="52"/>
  <c r="BT40" i="52"/>
  <c r="BM40" i="52"/>
  <c r="BS38" i="52"/>
  <c r="AE42" i="52"/>
  <c r="AF42" i="52"/>
  <c r="AE38" i="52"/>
  <c r="AF38" i="52"/>
  <c r="AF29" i="52"/>
  <c r="AE29" i="52"/>
  <c r="AF45" i="52"/>
  <c r="AE45" i="52"/>
  <c r="AF41" i="52"/>
  <c r="AE41" i="52"/>
  <c r="AF37" i="52"/>
  <c r="AE37" i="52"/>
  <c r="BX37" i="52" s="1"/>
  <c r="BT43" i="52"/>
  <c r="BM43" i="52"/>
  <c r="BP43" i="52"/>
  <c r="BS41" i="52"/>
  <c r="BT39" i="52"/>
  <c r="BM39" i="52"/>
  <c r="BP39" i="52"/>
  <c r="BS37" i="52"/>
  <c r="BT35" i="52"/>
  <c r="BM35" i="52"/>
  <c r="BP35" i="52"/>
  <c r="AE44" i="52"/>
  <c r="BX44" i="52" s="1"/>
  <c r="AF44" i="52"/>
  <c r="AE40" i="52"/>
  <c r="BX40" i="52" s="1"/>
  <c r="AF40" i="52"/>
  <c r="AE36" i="52"/>
  <c r="BX36" i="52" s="1"/>
  <c r="AF36" i="52"/>
  <c r="BS44" i="52"/>
  <c r="BT42" i="52"/>
  <c r="BU42" i="52" s="1"/>
  <c r="BM42" i="52"/>
  <c r="BP42" i="52"/>
  <c r="BS40" i="52"/>
  <c r="BT38" i="52"/>
  <c r="BM38" i="52"/>
  <c r="BP38" i="52"/>
  <c r="BS36" i="52"/>
  <c r="AF35" i="52"/>
  <c r="AE35" i="52"/>
  <c r="BX35" i="52" s="1"/>
  <c r="AE43" i="52"/>
  <c r="BX43" i="52" s="1"/>
  <c r="AF43" i="52"/>
  <c r="AE39" i="52"/>
  <c r="BX39" i="52" s="1"/>
  <c r="AF39" i="52"/>
  <c r="S83" i="52"/>
  <c r="BT45" i="52"/>
  <c r="BU45" i="52" s="1"/>
  <c r="BM45" i="52"/>
  <c r="BP45" i="52"/>
  <c r="BS43" i="52"/>
  <c r="BT41" i="52"/>
  <c r="BU41" i="52" s="1"/>
  <c r="BM41" i="52"/>
  <c r="BP41" i="52"/>
  <c r="BS39" i="52"/>
  <c r="BT37" i="52"/>
  <c r="BM37" i="52"/>
  <c r="BP37" i="52"/>
  <c r="BS35" i="52"/>
  <c r="AF33" i="52"/>
  <c r="AE33" i="52"/>
  <c r="BS34" i="52"/>
  <c r="BT32" i="52"/>
  <c r="BM32" i="52"/>
  <c r="BP32" i="52"/>
  <c r="BS30" i="52"/>
  <c r="BT28" i="52"/>
  <c r="BM28" i="52"/>
  <c r="BP28" i="52"/>
  <c r="BS26" i="52"/>
  <c r="BT24" i="52"/>
  <c r="BM24" i="52"/>
  <c r="BP24" i="52"/>
  <c r="AE21" i="52"/>
  <c r="AF21" i="52"/>
  <c r="AA83" i="52"/>
  <c r="BS33" i="52"/>
  <c r="BP31" i="52"/>
  <c r="BT31" i="52"/>
  <c r="BM31" i="52"/>
  <c r="BS29" i="52"/>
  <c r="BP27" i="52"/>
  <c r="BM27" i="52"/>
  <c r="BT27" i="52"/>
  <c r="BU27" i="52" s="1"/>
  <c r="BS25" i="52"/>
  <c r="K83" i="52"/>
  <c r="AE32" i="52"/>
  <c r="BX32" i="52" s="1"/>
  <c r="AF32" i="52"/>
  <c r="AE28" i="52"/>
  <c r="BX28" i="52" s="1"/>
  <c r="AF28" i="52"/>
  <c r="AE24" i="52"/>
  <c r="BX24" i="52" s="1"/>
  <c r="AF24" i="52"/>
  <c r="BK83" i="52"/>
  <c r="BT34" i="52"/>
  <c r="BU34" i="52" s="1"/>
  <c r="BM34" i="52"/>
  <c r="BP34" i="52"/>
  <c r="BS32" i="52"/>
  <c r="BT30" i="52"/>
  <c r="BU30" i="52" s="1"/>
  <c r="BM30" i="52"/>
  <c r="BP30" i="52"/>
  <c r="BS28" i="52"/>
  <c r="BT26" i="52"/>
  <c r="BU26" i="52" s="1"/>
  <c r="BM26" i="52"/>
  <c r="BP26" i="52"/>
  <c r="BS24" i="52"/>
  <c r="BS23" i="52"/>
  <c r="BC83" i="52"/>
  <c r="AE31" i="52"/>
  <c r="BX31" i="52" s="1"/>
  <c r="AF31" i="52"/>
  <c r="AE27" i="52"/>
  <c r="BX27" i="52" s="1"/>
  <c r="AF27" i="52"/>
  <c r="BS19" i="52"/>
  <c r="AT83" i="52"/>
  <c r="BT33" i="52"/>
  <c r="BU33" i="52" s="1"/>
  <c r="BM33" i="52"/>
  <c r="BP33" i="52"/>
  <c r="BS31" i="52"/>
  <c r="BT29" i="52"/>
  <c r="BU29" i="52" s="1"/>
  <c r="BM29" i="52"/>
  <c r="BP29" i="52"/>
  <c r="BS27" i="52"/>
  <c r="BT25" i="52"/>
  <c r="BU25" i="52" s="1"/>
  <c r="BM25" i="52"/>
  <c r="BP25" i="52"/>
  <c r="BT22" i="52"/>
  <c r="BM22" i="52"/>
  <c r="BP22" i="52"/>
  <c r="BP17" i="52"/>
  <c r="BT17" i="52"/>
  <c r="BM17" i="52"/>
  <c r="BS15" i="52"/>
  <c r="AE34" i="52"/>
  <c r="AF34" i="52"/>
  <c r="AE30" i="52"/>
  <c r="BX30" i="52" s="1"/>
  <c r="AF30" i="52"/>
  <c r="AE26" i="52"/>
  <c r="AF26" i="52"/>
  <c r="BP21" i="52"/>
  <c r="BT21" i="52"/>
  <c r="BM21" i="52"/>
  <c r="BP13" i="52"/>
  <c r="BT13" i="52"/>
  <c r="BU13" i="52" s="1"/>
  <c r="BM13" i="52"/>
  <c r="AF23" i="52"/>
  <c r="AE23" i="52"/>
  <c r="AE19" i="52"/>
  <c r="AF19" i="52"/>
  <c r="AE15" i="52"/>
  <c r="BX15" i="52" s="1"/>
  <c r="AF15" i="52"/>
  <c r="BD83" i="52"/>
  <c r="AU83" i="52"/>
  <c r="AM83" i="52"/>
  <c r="AB83" i="52"/>
  <c r="T83" i="52"/>
  <c r="L83" i="52"/>
  <c r="AF22" i="52"/>
  <c r="AE22" i="52"/>
  <c r="BX22" i="52" s="1"/>
  <c r="AF18" i="52"/>
  <c r="AE18" i="52"/>
  <c r="AF14" i="52"/>
  <c r="AE14" i="52"/>
  <c r="BJ83" i="52"/>
  <c r="BB83" i="52"/>
  <c r="AS83" i="52"/>
  <c r="Z83" i="52"/>
  <c r="R83" i="52"/>
  <c r="J83" i="52"/>
  <c r="BS22" i="52"/>
  <c r="BT20" i="52"/>
  <c r="BM20" i="52"/>
  <c r="BP20" i="52"/>
  <c r="BS18" i="52"/>
  <c r="BT16" i="52"/>
  <c r="BM16" i="52"/>
  <c r="BP16" i="52"/>
  <c r="BS14" i="52"/>
  <c r="BI83" i="52"/>
  <c r="BA83" i="52"/>
  <c r="AR83" i="52"/>
  <c r="BT12" i="52"/>
  <c r="BU12" i="52" s="1"/>
  <c r="BM12" i="52"/>
  <c r="BP12" i="52"/>
  <c r="BL83" i="52"/>
  <c r="BL105" i="52" s="1"/>
  <c r="Y83" i="52"/>
  <c r="Q83" i="52"/>
  <c r="I83" i="52"/>
  <c r="AE17" i="52"/>
  <c r="BX17" i="52" s="1"/>
  <c r="AF17" i="52"/>
  <c r="AE13" i="52"/>
  <c r="AF13" i="52"/>
  <c r="BH83" i="52"/>
  <c r="AZ83" i="52"/>
  <c r="AQ83" i="52"/>
  <c r="X83" i="52"/>
  <c r="P83" i="52"/>
  <c r="H83" i="52"/>
  <c r="BP23" i="52"/>
  <c r="BT23" i="52"/>
  <c r="BU23" i="52" s="1"/>
  <c r="BM23" i="52"/>
  <c r="BS21" i="52"/>
  <c r="BT19" i="52"/>
  <c r="BM19" i="52"/>
  <c r="BP19" i="52"/>
  <c r="BS17" i="52"/>
  <c r="BT15" i="52"/>
  <c r="BU15" i="52" s="1"/>
  <c r="BM15" i="52"/>
  <c r="BP15" i="52"/>
  <c r="BS13" i="52"/>
  <c r="BG83" i="52"/>
  <c r="AX83" i="52"/>
  <c r="AP83" i="52"/>
  <c r="W83" i="52"/>
  <c r="O83" i="52"/>
  <c r="G83" i="52"/>
  <c r="AE20" i="52"/>
  <c r="BX20" i="52" s="1"/>
  <c r="AF20" i="52"/>
  <c r="AE16" i="52"/>
  <c r="BX16" i="52" s="1"/>
  <c r="AF16" i="52"/>
  <c r="BF83" i="52"/>
  <c r="AW83" i="52"/>
  <c r="AO83" i="52"/>
  <c r="AE12" i="52"/>
  <c r="BX12" i="52" s="1"/>
  <c r="AF12" i="52"/>
  <c r="AD83" i="52"/>
  <c r="V83" i="52"/>
  <c r="N83" i="52"/>
  <c r="F83" i="52"/>
  <c r="BS20" i="52"/>
  <c r="BT18" i="52"/>
  <c r="BM18" i="52"/>
  <c r="BP18" i="52"/>
  <c r="BS16" i="52"/>
  <c r="BT14" i="52"/>
  <c r="BM14" i="52"/>
  <c r="BP14" i="52"/>
  <c r="BE83" i="52"/>
  <c r="AV83" i="52"/>
  <c r="AN83" i="52"/>
  <c r="BS12" i="52"/>
  <c r="AY83" i="52"/>
  <c r="AY91" i="52" s="1"/>
  <c r="AY97" i="52" s="1"/>
  <c r="AC83" i="52"/>
  <c r="U83" i="52"/>
  <c r="M83" i="52"/>
  <c r="E83" i="52"/>
  <c r="AE44" i="53"/>
  <c r="AH44" i="53" s="1"/>
  <c r="AI44" i="53" s="1"/>
  <c r="AE27" i="53"/>
  <c r="AH27" i="53" s="1"/>
  <c r="AI27" i="53" s="1"/>
  <c r="AE37" i="53"/>
  <c r="AH37" i="53" s="1"/>
  <c r="AI37" i="53" s="1"/>
  <c r="AE24" i="53"/>
  <c r="AE43" i="53"/>
  <c r="AH43" i="53" s="1"/>
  <c r="AI43" i="53" s="1"/>
  <c r="AE39" i="53"/>
  <c r="AH39" i="53" s="1"/>
  <c r="AI39" i="53" s="1"/>
  <c r="AE28" i="53"/>
  <c r="AH28" i="53" s="1"/>
  <c r="AI28" i="53" s="1"/>
  <c r="B12" i="56"/>
  <c r="C12" i="56"/>
  <c r="D12" i="56"/>
  <c r="S85" i="52"/>
  <c r="J85" i="52"/>
  <c r="AD85" i="52"/>
  <c r="K85" i="52"/>
  <c r="Y85" i="52"/>
  <c r="E85" i="52"/>
  <c r="AB85" i="52"/>
  <c r="Q85" i="52"/>
  <c r="V85" i="52"/>
  <c r="AC85" i="52"/>
  <c r="AA85" i="52"/>
  <c r="H85" i="52"/>
  <c r="T85" i="52"/>
  <c r="I85" i="52"/>
  <c r="X85" i="52"/>
  <c r="N85" i="52"/>
  <c r="U85" i="52"/>
  <c r="G85" i="52"/>
  <c r="L85" i="52"/>
  <c r="P85" i="52"/>
  <c r="F85" i="52"/>
  <c r="M85" i="52"/>
  <c r="W85" i="52"/>
  <c r="AE83" i="57"/>
  <c r="Z85" i="52"/>
  <c r="O85" i="52"/>
  <c r="R85" i="52"/>
  <c r="E12" i="56"/>
  <c r="F12" i="56"/>
  <c r="G12" i="56"/>
  <c r="H12" i="56"/>
  <c r="I12" i="56"/>
  <c r="J12" i="56"/>
  <c r="K12" i="56"/>
  <c r="L12" i="56"/>
  <c r="M12" i="56"/>
  <c r="N12" i="56"/>
  <c r="O12" i="56"/>
  <c r="P12" i="56"/>
  <c r="Q12" i="56"/>
  <c r="R12" i="56"/>
  <c r="S12" i="56"/>
  <c r="T12" i="56"/>
  <c r="U12" i="56"/>
  <c r="V12" i="56"/>
  <c r="W12" i="56"/>
  <c r="X12" i="56"/>
  <c r="Y12" i="56"/>
  <c r="Z12" i="56"/>
  <c r="AA12" i="56"/>
  <c r="AB12" i="56"/>
  <c r="AC12" i="56"/>
  <c r="AD12" i="56"/>
  <c r="AE85" i="52" l="1"/>
  <c r="BN27" i="52"/>
  <c r="AH27" i="52" s="1"/>
  <c r="BZ27" i="52"/>
  <c r="BN36" i="52"/>
  <c r="BZ36" i="52"/>
  <c r="BN57" i="52"/>
  <c r="BZ57" i="52"/>
  <c r="BZ93" i="52" s="1"/>
  <c r="BX93" i="52"/>
  <c r="BN93" i="52" s="1"/>
  <c r="BY75" i="52"/>
  <c r="BO75" i="52" s="1"/>
  <c r="BV75" i="52"/>
  <c r="BZ12" i="52"/>
  <c r="BZ83" i="52" s="1"/>
  <c r="BN12" i="52"/>
  <c r="BX83" i="52"/>
  <c r="BY29" i="52"/>
  <c r="BO29" i="52" s="1"/>
  <c r="BV29" i="52"/>
  <c r="BN59" i="52"/>
  <c r="BZ59" i="52"/>
  <c r="BU18" i="52"/>
  <c r="BY15" i="52"/>
  <c r="BO15" i="52" s="1"/>
  <c r="BV15" i="52"/>
  <c r="BX13" i="52"/>
  <c r="BU16" i="52"/>
  <c r="BZ22" i="52"/>
  <c r="BN22" i="52"/>
  <c r="BU22" i="52"/>
  <c r="BX33" i="52"/>
  <c r="BZ39" i="52"/>
  <c r="BN39" i="52"/>
  <c r="BU38" i="52"/>
  <c r="BX38" i="52"/>
  <c r="BU51" i="52"/>
  <c r="BU55" i="52"/>
  <c r="BX54" i="52"/>
  <c r="BU49" i="52"/>
  <c r="BM92" i="52"/>
  <c r="BP92" i="52" s="1"/>
  <c r="BV58" i="52"/>
  <c r="BY58" i="52"/>
  <c r="BO58" i="52" s="1"/>
  <c r="BU67" i="52"/>
  <c r="BX77" i="52"/>
  <c r="BU71" i="52"/>
  <c r="BM86" i="52"/>
  <c r="BM94" i="52"/>
  <c r="BP94" i="52" s="1"/>
  <c r="AF81" i="57"/>
  <c r="BU36" i="52"/>
  <c r="BY64" i="52"/>
  <c r="BO64" i="52" s="1"/>
  <c r="BV64" i="52"/>
  <c r="BX69" i="52"/>
  <c r="BY80" i="52"/>
  <c r="BO80" i="52" s="1"/>
  <c r="BV80" i="52"/>
  <c r="BY77" i="52"/>
  <c r="BO77" i="52" s="1"/>
  <c r="BV77" i="52"/>
  <c r="BY34" i="52"/>
  <c r="BO34" i="52" s="1"/>
  <c r="BV34" i="52"/>
  <c r="BN49" i="52"/>
  <c r="BZ49" i="52"/>
  <c r="BV60" i="52"/>
  <c r="BY60" i="52"/>
  <c r="BO60" i="52" s="1"/>
  <c r="BV12" i="52"/>
  <c r="BY12" i="52"/>
  <c r="BN31" i="52"/>
  <c r="BZ31" i="52"/>
  <c r="BV41" i="52"/>
  <c r="BY41" i="52"/>
  <c r="BO41" i="52" s="1"/>
  <c r="BN40" i="52"/>
  <c r="BZ40" i="52"/>
  <c r="BX41" i="52"/>
  <c r="BN17" i="52"/>
  <c r="BZ17" i="52"/>
  <c r="BU21" i="52"/>
  <c r="BN24" i="52"/>
  <c r="BZ24" i="52"/>
  <c r="BU28" i="52"/>
  <c r="BZ43" i="52"/>
  <c r="BN43" i="52"/>
  <c r="BU39" i="52"/>
  <c r="BX42" i="52"/>
  <c r="BU44" i="52"/>
  <c r="BN46" i="52"/>
  <c r="BZ46" i="52"/>
  <c r="BU63" i="52"/>
  <c r="BZ66" i="52"/>
  <c r="BN66" i="52"/>
  <c r="AH66" i="52" s="1"/>
  <c r="BU65" i="52"/>
  <c r="BU53" i="52"/>
  <c r="BU59" i="52"/>
  <c r="BX62" i="52"/>
  <c r="BU74" i="52"/>
  <c r="BY66" i="52"/>
  <c r="BO66" i="52" s="1"/>
  <c r="BV66" i="52"/>
  <c r="BN78" i="52"/>
  <c r="BZ78" i="52"/>
  <c r="AF94" i="52"/>
  <c r="BU78" i="52"/>
  <c r="AY105" i="52"/>
  <c r="BV27" i="52"/>
  <c r="BY27" i="52"/>
  <c r="BO27" i="52" s="1"/>
  <c r="BX19" i="52"/>
  <c r="BY25" i="52"/>
  <c r="BO25" i="52" s="1"/>
  <c r="BV25" i="52"/>
  <c r="BY33" i="52"/>
  <c r="BO33" i="52" s="1"/>
  <c r="BV33" i="52"/>
  <c r="BY30" i="52"/>
  <c r="BO30" i="52" s="1"/>
  <c r="BV30" i="52"/>
  <c r="BX21" i="52"/>
  <c r="BZ35" i="52"/>
  <c r="BN35" i="52"/>
  <c r="BN44" i="52"/>
  <c r="BZ44" i="52"/>
  <c r="BX45" i="52"/>
  <c r="BV50" i="52"/>
  <c r="BY50" i="52"/>
  <c r="BO50" i="52" s="1"/>
  <c r="BV54" i="52"/>
  <c r="BY54" i="52"/>
  <c r="BO54" i="52" s="1"/>
  <c r="BX25" i="52"/>
  <c r="BN53" i="52"/>
  <c r="BZ53" i="52"/>
  <c r="BZ92" i="52" s="1"/>
  <c r="BX92" i="52"/>
  <c r="BN92" i="52" s="1"/>
  <c r="BU48" i="52"/>
  <c r="BX50" i="52"/>
  <c r="BM93" i="52"/>
  <c r="BP93" i="52" s="1"/>
  <c r="BN65" i="52"/>
  <c r="BZ65" i="52"/>
  <c r="BN76" i="52"/>
  <c r="AH76" i="52" s="1"/>
  <c r="BZ76" i="52"/>
  <c r="BX68" i="52"/>
  <c r="BN73" i="52"/>
  <c r="BZ73" i="52"/>
  <c r="BZ94" i="52" s="1"/>
  <c r="BX94" i="52"/>
  <c r="BN94" i="52" s="1"/>
  <c r="BU73" i="52"/>
  <c r="BU72" i="52"/>
  <c r="BZ30" i="52"/>
  <c r="BN30" i="52"/>
  <c r="AH30" i="52" s="1"/>
  <c r="BN37" i="52"/>
  <c r="BZ37" i="52"/>
  <c r="BV69" i="52"/>
  <c r="BY69" i="52"/>
  <c r="BO69" i="52" s="1"/>
  <c r="BX34" i="52"/>
  <c r="BU14" i="52"/>
  <c r="BZ16" i="52"/>
  <c r="BN16" i="52"/>
  <c r="BU19" i="52"/>
  <c r="Q91" i="52"/>
  <c r="BU20" i="52"/>
  <c r="BX14" i="52"/>
  <c r="BX23" i="52"/>
  <c r="BU17" i="52"/>
  <c r="BN28" i="52"/>
  <c r="BZ28" i="52"/>
  <c r="BY42" i="52"/>
  <c r="BO42" i="52" s="1"/>
  <c r="BV42" i="52"/>
  <c r="BX56" i="52"/>
  <c r="BY47" i="52"/>
  <c r="BO47" i="52" s="1"/>
  <c r="BV47" i="52"/>
  <c r="BX47" i="52"/>
  <c r="BX55" i="52"/>
  <c r="BV62" i="52"/>
  <c r="BY62" i="52"/>
  <c r="BO62" i="52" s="1"/>
  <c r="BZ67" i="52"/>
  <c r="BN67" i="52"/>
  <c r="BX61" i="52"/>
  <c r="BU46" i="52"/>
  <c r="BY76" i="52"/>
  <c r="BO76" i="52" s="1"/>
  <c r="BV76" i="52"/>
  <c r="BN71" i="52"/>
  <c r="BZ71" i="52"/>
  <c r="BN72" i="52"/>
  <c r="BZ72" i="52"/>
  <c r="BX75" i="52"/>
  <c r="AE87" i="52"/>
  <c r="BX63" i="52"/>
  <c r="BY23" i="52"/>
  <c r="BO23" i="52" s="1"/>
  <c r="BV23" i="52"/>
  <c r="BY26" i="52"/>
  <c r="BO26" i="52" s="1"/>
  <c r="BV26" i="52"/>
  <c r="BV52" i="52"/>
  <c r="BY52" i="52"/>
  <c r="BO52" i="52" s="1"/>
  <c r="AH24" i="53"/>
  <c r="AI24" i="53" s="1"/>
  <c r="AI95" i="53"/>
  <c r="BX26" i="52"/>
  <c r="BU37" i="52"/>
  <c r="BY45" i="52"/>
  <c r="BO45" i="52" s="1"/>
  <c r="BV45" i="52"/>
  <c r="BX29" i="52"/>
  <c r="BU40" i="52"/>
  <c r="BZ48" i="52"/>
  <c r="BN48" i="52"/>
  <c r="BV56" i="52"/>
  <c r="BY56" i="52"/>
  <c r="BO56" i="52" s="1"/>
  <c r="BV57" i="52"/>
  <c r="BY57" i="52"/>
  <c r="BN64" i="52"/>
  <c r="AH64" i="52" s="1"/>
  <c r="BZ64" i="52"/>
  <c r="BX60" i="52"/>
  <c r="BV68" i="52"/>
  <c r="BY68" i="52"/>
  <c r="BO68" i="52" s="1"/>
  <c r="BN79" i="52"/>
  <c r="BZ79" i="52"/>
  <c r="BN74" i="52"/>
  <c r="BZ74" i="52"/>
  <c r="BX80" i="52"/>
  <c r="BV61" i="52"/>
  <c r="BY61" i="52"/>
  <c r="BO61" i="52" s="1"/>
  <c r="BV13" i="52"/>
  <c r="BY13" i="52"/>
  <c r="BO13" i="52" s="1"/>
  <c r="BZ52" i="52"/>
  <c r="BN52" i="52"/>
  <c r="AH52" i="52" s="1"/>
  <c r="BZ70" i="52"/>
  <c r="BN70" i="52"/>
  <c r="BN15" i="52"/>
  <c r="BZ15" i="52"/>
  <c r="AF83" i="52"/>
  <c r="AE83" i="52"/>
  <c r="AE91" i="52" s="1"/>
  <c r="AF91" i="52" s="1"/>
  <c r="AD91" i="52"/>
  <c r="BZ20" i="52"/>
  <c r="BN20" i="52"/>
  <c r="BM83" i="52"/>
  <c r="BP83" i="52"/>
  <c r="BL91" i="52"/>
  <c r="BX18" i="52"/>
  <c r="BN32" i="52"/>
  <c r="BZ32" i="52"/>
  <c r="BU31" i="52"/>
  <c r="BU24" i="52"/>
  <c r="BU32" i="52"/>
  <c r="BU35" i="52"/>
  <c r="BU43" i="52"/>
  <c r="AF93" i="52"/>
  <c r="BX51" i="52"/>
  <c r="BN58" i="52"/>
  <c r="AH58" i="52" s="1"/>
  <c r="BZ58" i="52"/>
  <c r="BU70" i="52"/>
  <c r="BU79" i="52"/>
  <c r="AE12" i="56"/>
  <c r="AF12" i="56"/>
  <c r="AJ12" i="56"/>
  <c r="AK12" i="56"/>
  <c r="AL12" i="56"/>
  <c r="AM12" i="56"/>
  <c r="AN12" i="56"/>
  <c r="AO12" i="56"/>
  <c r="AP12" i="56"/>
  <c r="AQ12" i="56"/>
  <c r="AR12" i="56"/>
  <c r="AS12" i="56"/>
  <c r="AT12" i="56"/>
  <c r="AU12" i="56"/>
  <c r="AV12" i="56"/>
  <c r="AW12" i="56"/>
  <c r="AX12" i="56"/>
  <c r="AY12" i="56"/>
  <c r="AZ12" i="56"/>
  <c r="BA12" i="56"/>
  <c r="BB12" i="56"/>
  <c r="BC12" i="56"/>
  <c r="BD12" i="56"/>
  <c r="BE12" i="56"/>
  <c r="BF12" i="56"/>
  <c r="BG12" i="56"/>
  <c r="BH12" i="56"/>
  <c r="BI12" i="56"/>
  <c r="BJ12" i="56"/>
  <c r="BK12" i="56"/>
  <c r="BL12" i="56"/>
  <c r="BN42" i="52" l="1"/>
  <c r="AH42" i="52" s="1"/>
  <c r="BZ42" i="52"/>
  <c r="BV36" i="52"/>
  <c r="BY36" i="52"/>
  <c r="BO36" i="52" s="1"/>
  <c r="AH36" i="52" s="1"/>
  <c r="BN63" i="52"/>
  <c r="BZ63" i="52"/>
  <c r="BV14" i="52"/>
  <c r="BY14" i="52"/>
  <c r="BO14" i="52" s="1"/>
  <c r="AH35" i="52"/>
  <c r="AH15" i="52"/>
  <c r="BN60" i="52"/>
  <c r="AH60" i="52" s="1"/>
  <c r="BZ60" i="52"/>
  <c r="BY46" i="52"/>
  <c r="BO46" i="52" s="1"/>
  <c r="AH46" i="52" s="1"/>
  <c r="BV46" i="52"/>
  <c r="BN23" i="52"/>
  <c r="AH23" i="52" s="1"/>
  <c r="BZ23" i="52"/>
  <c r="BZ34" i="52"/>
  <c r="BN34" i="52"/>
  <c r="AH34" i="52" s="1"/>
  <c r="BN19" i="52"/>
  <c r="BZ19" i="52"/>
  <c r="BN54" i="52"/>
  <c r="AH54" i="52" s="1"/>
  <c r="BZ54" i="52"/>
  <c r="BV22" i="52"/>
  <c r="BY22" i="52"/>
  <c r="BO22" i="52" s="1"/>
  <c r="AH22" i="52" s="1"/>
  <c r="BV79" i="52"/>
  <c r="BY79" i="52"/>
  <c r="BO79" i="52" s="1"/>
  <c r="BV32" i="52"/>
  <c r="BY32" i="52"/>
  <c r="BO32" i="52" s="1"/>
  <c r="AH32" i="52" s="1"/>
  <c r="BN80" i="52"/>
  <c r="AH80" i="52" s="1"/>
  <c r="BZ80" i="52"/>
  <c r="BV40" i="52"/>
  <c r="BY40" i="52"/>
  <c r="BO40" i="52" s="1"/>
  <c r="AH40" i="52" s="1"/>
  <c r="BN75" i="52"/>
  <c r="AH75" i="52" s="1"/>
  <c r="BZ75" i="52"/>
  <c r="BN61" i="52"/>
  <c r="AH61" i="52" s="1"/>
  <c r="BZ61" i="52"/>
  <c r="BN14" i="52"/>
  <c r="BZ14" i="52"/>
  <c r="BN21" i="52"/>
  <c r="BZ21" i="52"/>
  <c r="BY63" i="52"/>
  <c r="BO63" i="52" s="1"/>
  <c r="BV63" i="52"/>
  <c r="BV28" i="52"/>
  <c r="BY28" i="52"/>
  <c r="BO28" i="52" s="1"/>
  <c r="BV71" i="52"/>
  <c r="BY71" i="52"/>
  <c r="BO71" i="52" s="1"/>
  <c r="AH71" i="52" s="1"/>
  <c r="BY55" i="52"/>
  <c r="BO55" i="52" s="1"/>
  <c r="BV55" i="52"/>
  <c r="BV37" i="52"/>
  <c r="BY37" i="52"/>
  <c r="BO37" i="52" s="1"/>
  <c r="AH37" i="52" s="1"/>
  <c r="BZ26" i="52"/>
  <c r="BN26" i="52"/>
  <c r="AH26" i="52" s="1"/>
  <c r="AH28" i="52"/>
  <c r="BV39" i="52"/>
  <c r="BY39" i="52"/>
  <c r="BO39" i="52" s="1"/>
  <c r="BM91" i="52"/>
  <c r="BL97" i="52"/>
  <c r="BV72" i="52"/>
  <c r="BY72" i="52"/>
  <c r="BO72" i="52" s="1"/>
  <c r="AH72" i="52" s="1"/>
  <c r="AH43" i="52"/>
  <c r="BV49" i="52"/>
  <c r="BY49" i="52"/>
  <c r="BO49" i="52" s="1"/>
  <c r="BV70" i="52"/>
  <c r="BY70" i="52"/>
  <c r="BO70" i="52" s="1"/>
  <c r="AH70" i="52" s="1"/>
  <c r="BV24" i="52"/>
  <c r="BY24" i="52"/>
  <c r="BO24" i="52" s="1"/>
  <c r="AH24" i="52" s="1"/>
  <c r="AH20" i="52"/>
  <c r="BN29" i="52"/>
  <c r="AH29" i="52" s="1"/>
  <c r="BZ29" i="52"/>
  <c r="BZ56" i="52"/>
  <c r="BN56" i="52"/>
  <c r="AH56" i="52" s="1"/>
  <c r="BY20" i="52"/>
  <c r="BO20" i="52" s="1"/>
  <c r="BV20" i="52"/>
  <c r="BN50" i="52"/>
  <c r="AH50" i="52" s="1"/>
  <c r="BZ50" i="52"/>
  <c r="BV74" i="52"/>
  <c r="BY74" i="52"/>
  <c r="BO74" i="52" s="1"/>
  <c r="BN69" i="52"/>
  <c r="AH69" i="52" s="1"/>
  <c r="BZ69" i="52"/>
  <c r="BZ77" i="52"/>
  <c r="BN77" i="52"/>
  <c r="AH77" i="52" s="1"/>
  <c r="BY51" i="52"/>
  <c r="BO51" i="52" s="1"/>
  <c r="BV51" i="52"/>
  <c r="BV31" i="52"/>
  <c r="BY31" i="52"/>
  <c r="BO31" i="52" s="1"/>
  <c r="AH74" i="52"/>
  <c r="BO57" i="52"/>
  <c r="BY93" i="52"/>
  <c r="BO93" i="52" s="1"/>
  <c r="BV48" i="52"/>
  <c r="BY48" i="52"/>
  <c r="BO48" i="52" s="1"/>
  <c r="AH48" i="52" s="1"/>
  <c r="BN62" i="52"/>
  <c r="AH62" i="52" s="1"/>
  <c r="BZ62" i="52"/>
  <c r="AH49" i="52"/>
  <c r="BV67" i="52"/>
  <c r="BY67" i="52"/>
  <c r="BO67" i="52" s="1"/>
  <c r="AH67" i="52" s="1"/>
  <c r="BN38" i="52"/>
  <c r="BZ38" i="52"/>
  <c r="BV16" i="52"/>
  <c r="BY16" i="52"/>
  <c r="BO16" i="52" s="1"/>
  <c r="AH57" i="52"/>
  <c r="BN55" i="52"/>
  <c r="BZ55" i="52"/>
  <c r="AH44" i="52"/>
  <c r="BY19" i="52"/>
  <c r="BO19" i="52" s="1"/>
  <c r="BV19" i="52"/>
  <c r="BN68" i="52"/>
  <c r="AH68" i="52" s="1"/>
  <c r="BZ68" i="52"/>
  <c r="BN45" i="52"/>
  <c r="AH45" i="52" s="1"/>
  <c r="BZ45" i="52"/>
  <c r="BV78" i="52"/>
  <c r="BY78" i="52"/>
  <c r="BO78" i="52" s="1"/>
  <c r="BV59" i="52"/>
  <c r="BY59" i="52"/>
  <c r="BO59" i="52" s="1"/>
  <c r="AH59" i="52" s="1"/>
  <c r="BV44" i="52"/>
  <c r="BY44" i="52"/>
  <c r="BO44" i="52" s="1"/>
  <c r="BV21" i="52"/>
  <c r="BY21" i="52"/>
  <c r="BO21" i="52" s="1"/>
  <c r="BY38" i="52"/>
  <c r="BO38" i="52" s="1"/>
  <c r="BV38" i="52"/>
  <c r="BN13" i="52"/>
  <c r="AH13" i="52" s="1"/>
  <c r="BZ13" i="52"/>
  <c r="BX91" i="52"/>
  <c r="BN91" i="52" s="1"/>
  <c r="BN97" i="52" s="1"/>
  <c r="AH79" i="52"/>
  <c r="AH31" i="52"/>
  <c r="AH39" i="52"/>
  <c r="AH12" i="52"/>
  <c r="BN83" i="52"/>
  <c r="BO12" i="52"/>
  <c r="BO83" i="52" s="1"/>
  <c r="BY83" i="52"/>
  <c r="BZ91" i="52"/>
  <c r="BN51" i="52"/>
  <c r="BZ51" i="52"/>
  <c r="AH16" i="52"/>
  <c r="BV53" i="52"/>
  <c r="BY53" i="52"/>
  <c r="BN18" i="52"/>
  <c r="BZ18" i="52"/>
  <c r="BY65" i="52"/>
  <c r="BO65" i="52" s="1"/>
  <c r="AH65" i="52" s="1"/>
  <c r="BV65" i="52"/>
  <c r="BV17" i="52"/>
  <c r="BY17" i="52"/>
  <c r="BO17" i="52" s="1"/>
  <c r="AH17" i="52" s="1"/>
  <c r="BV43" i="52"/>
  <c r="BY43" i="52"/>
  <c r="BO43" i="52" s="1"/>
  <c r="BN47" i="52"/>
  <c r="AH47" i="52" s="1"/>
  <c r="BZ47" i="52"/>
  <c r="BN25" i="52"/>
  <c r="AH25" i="52" s="1"/>
  <c r="BZ25" i="52"/>
  <c r="AH78" i="52"/>
  <c r="BN41" i="52"/>
  <c r="AH41" i="52" s="1"/>
  <c r="BZ41" i="52"/>
  <c r="BN33" i="52"/>
  <c r="AH33" i="52" s="1"/>
  <c r="BZ33" i="52"/>
  <c r="BV18" i="52"/>
  <c r="BY18" i="52"/>
  <c r="BO18" i="52" s="1"/>
  <c r="BV35" i="52"/>
  <c r="BY35" i="52"/>
  <c r="BO35" i="52" s="1"/>
  <c r="BV73" i="52"/>
  <c r="BY73" i="52"/>
  <c r="BM12" i="56"/>
  <c r="BS12" i="56"/>
  <c r="BX12" i="56"/>
  <c r="BN12" i="56"/>
  <c r="BT12" i="56"/>
  <c r="BU12" i="56" s="1"/>
  <c r="BP12" i="56"/>
  <c r="B13" i="56"/>
  <c r="C13" i="56"/>
  <c r="D13" i="56"/>
  <c r="E13" i="56"/>
  <c r="F13" i="56"/>
  <c r="G13" i="56"/>
  <c r="H13" i="56"/>
  <c r="I13" i="56"/>
  <c r="J13" i="56"/>
  <c r="K13" i="56"/>
  <c r="L13" i="56"/>
  <c r="M13" i="56"/>
  <c r="N13" i="56"/>
  <c r="O13" i="56"/>
  <c r="P13" i="56"/>
  <c r="Q13" i="56"/>
  <c r="R13" i="56"/>
  <c r="S13" i="56"/>
  <c r="T13" i="56"/>
  <c r="U13" i="56"/>
  <c r="V13" i="56"/>
  <c r="W13" i="56"/>
  <c r="X13" i="56"/>
  <c r="Y13" i="56"/>
  <c r="Z13" i="56"/>
  <c r="AA13" i="56"/>
  <c r="AB13" i="56"/>
  <c r="AC13" i="56"/>
  <c r="AD13" i="56"/>
  <c r="BV12" i="56" l="1"/>
  <c r="BY12" i="56"/>
  <c r="BO12" i="56" s="1"/>
  <c r="AH51" i="52"/>
  <c r="AH14" i="52"/>
  <c r="BP91" i="52"/>
  <c r="BM97" i="52"/>
  <c r="BP97" i="52" s="1"/>
  <c r="BO73" i="52"/>
  <c r="AH73" i="52" s="1"/>
  <c r="BY94" i="52"/>
  <c r="BO94" i="52" s="1"/>
  <c r="AH18" i="52"/>
  <c r="AH63" i="52"/>
  <c r="BO53" i="52"/>
  <c r="AH53" i="52" s="1"/>
  <c r="BY92" i="52"/>
  <c r="BO92" i="52" s="1"/>
  <c r="AH19" i="52"/>
  <c r="AH21" i="52"/>
  <c r="AH38" i="52"/>
  <c r="AH55" i="52"/>
  <c r="AE13" i="56"/>
  <c r="AF13" i="56"/>
  <c r="AJ13" i="56"/>
  <c r="AK13" i="56"/>
  <c r="AL13" i="56"/>
  <c r="AM13" i="56"/>
  <c r="AN13" i="56"/>
  <c r="AO13" i="56"/>
  <c r="AP13" i="56"/>
  <c r="AQ13" i="56"/>
  <c r="AR13" i="56"/>
  <c r="AS13" i="56"/>
  <c r="AT13" i="56"/>
  <c r="AU13" i="56"/>
  <c r="AV13" i="56"/>
  <c r="AW13" i="56"/>
  <c r="AX13" i="56"/>
  <c r="AY13" i="56"/>
  <c r="AZ13" i="56"/>
  <c r="BA13" i="56"/>
  <c r="BB13" i="56"/>
  <c r="BC13" i="56"/>
  <c r="BD13" i="56"/>
  <c r="BE13" i="56"/>
  <c r="BF13" i="56"/>
  <c r="BG13" i="56"/>
  <c r="BH13" i="56"/>
  <c r="BI13" i="56"/>
  <c r="BJ13" i="56"/>
  <c r="BK13" i="56"/>
  <c r="BL13" i="56"/>
  <c r="BZ12" i="56" l="1"/>
  <c r="CA12" i="56" s="1"/>
  <c r="BY91" i="52"/>
  <c r="BO91" i="52" s="1"/>
  <c r="BO97" i="52" s="1"/>
  <c r="BM13" i="56"/>
  <c r="BS13" i="56"/>
  <c r="BX13" i="56"/>
  <c r="BN13" i="56"/>
  <c r="BT13" i="56"/>
  <c r="BU13" i="56" s="1"/>
  <c r="BP13" i="56"/>
  <c r="B14" i="56"/>
  <c r="C14" i="56"/>
  <c r="D14" i="56"/>
  <c r="E14" i="56"/>
  <c r="F14" i="56"/>
  <c r="G14" i="56"/>
  <c r="H14" i="56"/>
  <c r="I14" i="56"/>
  <c r="J14" i="56"/>
  <c r="K14" i="56"/>
  <c r="L14" i="56"/>
  <c r="M14" i="56"/>
  <c r="N14" i="56"/>
  <c r="O14" i="56"/>
  <c r="P14" i="56"/>
  <c r="Q14" i="56"/>
  <c r="R14" i="56"/>
  <c r="S14" i="56"/>
  <c r="T14" i="56"/>
  <c r="U14" i="56"/>
  <c r="V14" i="56"/>
  <c r="W14" i="56"/>
  <c r="X14" i="56"/>
  <c r="Y14" i="56"/>
  <c r="Z14" i="56"/>
  <c r="AA14" i="56"/>
  <c r="AB14" i="56"/>
  <c r="AC14" i="56"/>
  <c r="AD14" i="56"/>
  <c r="BY13" i="56" l="1"/>
  <c r="BV13" i="56"/>
  <c r="AE14" i="56"/>
  <c r="AF14" i="56"/>
  <c r="AJ14" i="56"/>
  <c r="AK14" i="56"/>
  <c r="AL14" i="56"/>
  <c r="AM14" i="56"/>
  <c r="AN14" i="56"/>
  <c r="AO14" i="56"/>
  <c r="AP14" i="56"/>
  <c r="AQ14" i="56"/>
  <c r="AR14" i="56"/>
  <c r="AS14" i="56"/>
  <c r="AT14" i="56"/>
  <c r="AU14" i="56"/>
  <c r="AV14" i="56"/>
  <c r="AW14" i="56"/>
  <c r="AX14" i="56"/>
  <c r="AY14" i="56"/>
  <c r="AZ14" i="56"/>
  <c r="BA14" i="56"/>
  <c r="BB14" i="56"/>
  <c r="BC14" i="56"/>
  <c r="BD14" i="56"/>
  <c r="BE14" i="56"/>
  <c r="BF14" i="56"/>
  <c r="BG14" i="56"/>
  <c r="BH14" i="56"/>
  <c r="BI14" i="56"/>
  <c r="BJ14" i="56"/>
  <c r="BK14" i="56"/>
  <c r="BL14" i="56"/>
  <c r="BO13" i="56" l="1"/>
  <c r="BZ13" i="56"/>
  <c r="CA13" i="56" s="1"/>
  <c r="BM14" i="56"/>
  <c r="BS14" i="56"/>
  <c r="BX14" i="56"/>
  <c r="BN14" i="56"/>
  <c r="BT14" i="56"/>
  <c r="BU14" i="56" s="1"/>
  <c r="BP14" i="56"/>
  <c r="B15" i="56"/>
  <c r="C15" i="56"/>
  <c r="D15" i="56"/>
  <c r="E15" i="56"/>
  <c r="F15" i="56"/>
  <c r="G15" i="56"/>
  <c r="H15" i="56"/>
  <c r="I15" i="56"/>
  <c r="J15" i="56"/>
  <c r="K15" i="56"/>
  <c r="L15" i="56"/>
  <c r="M15" i="56"/>
  <c r="N15" i="56"/>
  <c r="O15" i="56"/>
  <c r="P15" i="56"/>
  <c r="Q15" i="56"/>
  <c r="R15" i="56"/>
  <c r="S15" i="56"/>
  <c r="T15" i="56"/>
  <c r="U15" i="56"/>
  <c r="V15" i="56"/>
  <c r="W15" i="56"/>
  <c r="X15" i="56"/>
  <c r="Y15" i="56"/>
  <c r="Z15" i="56"/>
  <c r="AA15" i="56"/>
  <c r="AB15" i="56"/>
  <c r="AC15" i="56"/>
  <c r="AD15" i="56"/>
  <c r="BY14" i="56" l="1"/>
  <c r="BV14" i="56"/>
  <c r="AE15" i="56"/>
  <c r="AF15" i="56"/>
  <c r="AJ15" i="56"/>
  <c r="AK15" i="56"/>
  <c r="AL15" i="56"/>
  <c r="AM15" i="56"/>
  <c r="AN15" i="56"/>
  <c r="AO15" i="56"/>
  <c r="AP15" i="56"/>
  <c r="AQ15" i="56"/>
  <c r="AR15" i="56"/>
  <c r="AS15" i="56"/>
  <c r="AT15" i="56"/>
  <c r="AU15" i="56"/>
  <c r="AV15" i="56"/>
  <c r="AW15" i="56"/>
  <c r="AX15" i="56"/>
  <c r="AY15" i="56"/>
  <c r="AZ15" i="56"/>
  <c r="BA15" i="56"/>
  <c r="BB15" i="56"/>
  <c r="BC15" i="56"/>
  <c r="BD15" i="56"/>
  <c r="BE15" i="56"/>
  <c r="BF15" i="56"/>
  <c r="BG15" i="56"/>
  <c r="BH15" i="56"/>
  <c r="BI15" i="56"/>
  <c r="BJ15" i="56"/>
  <c r="BK15" i="56"/>
  <c r="BL15" i="56"/>
  <c r="BZ14" i="56" l="1"/>
  <c r="CA14" i="56" s="1"/>
  <c r="BO14" i="56"/>
  <c r="BM15" i="56"/>
  <c r="BS15" i="56"/>
  <c r="BX15" i="56"/>
  <c r="BN15" i="56"/>
  <c r="BT15" i="56"/>
  <c r="BU15" i="56" s="1"/>
  <c r="BP15" i="56"/>
  <c r="B16" i="56"/>
  <c r="C16" i="56"/>
  <c r="D16" i="56"/>
  <c r="E16" i="56"/>
  <c r="F16" i="56"/>
  <c r="G16" i="56"/>
  <c r="H16" i="56"/>
  <c r="I16" i="56"/>
  <c r="J16" i="56"/>
  <c r="K16" i="56"/>
  <c r="L16" i="56"/>
  <c r="M16" i="56"/>
  <c r="N16" i="56"/>
  <c r="O16" i="56"/>
  <c r="P16" i="56"/>
  <c r="Q16" i="56"/>
  <c r="R16" i="56"/>
  <c r="S16" i="56"/>
  <c r="T16" i="56"/>
  <c r="U16" i="56"/>
  <c r="V16" i="56"/>
  <c r="W16" i="56"/>
  <c r="X16" i="56"/>
  <c r="Y16" i="56"/>
  <c r="Z16" i="56"/>
  <c r="AA16" i="56"/>
  <c r="AB16" i="56"/>
  <c r="AC16" i="56"/>
  <c r="AD16" i="56"/>
  <c r="BY15" i="56" l="1"/>
  <c r="BV15" i="56"/>
  <c r="AE16" i="56"/>
  <c r="AF16" i="56"/>
  <c r="AJ16" i="56"/>
  <c r="AK16" i="56"/>
  <c r="AL16" i="56"/>
  <c r="AM16" i="56"/>
  <c r="AN16" i="56"/>
  <c r="AO16" i="56"/>
  <c r="AP16" i="56"/>
  <c r="AQ16" i="56"/>
  <c r="AR16" i="56"/>
  <c r="AS16" i="56"/>
  <c r="AT16" i="56"/>
  <c r="AU16" i="56"/>
  <c r="AV16" i="56"/>
  <c r="AW16" i="56"/>
  <c r="AX16" i="56"/>
  <c r="AY16" i="56"/>
  <c r="AZ16" i="56"/>
  <c r="BA16" i="56"/>
  <c r="BB16" i="56"/>
  <c r="BC16" i="56"/>
  <c r="BD16" i="56"/>
  <c r="BE16" i="56"/>
  <c r="BF16" i="56"/>
  <c r="BG16" i="56"/>
  <c r="BH16" i="56"/>
  <c r="BI16" i="56"/>
  <c r="BJ16" i="56"/>
  <c r="BK16" i="56"/>
  <c r="BL16" i="56"/>
  <c r="BO15" i="56" l="1"/>
  <c r="BZ15" i="56"/>
  <c r="CA15" i="56" s="1"/>
  <c r="BM16" i="56"/>
  <c r="BS16" i="56"/>
  <c r="BX16" i="56"/>
  <c r="BN16" i="56"/>
  <c r="BT16" i="56"/>
  <c r="BU16" i="56" s="1"/>
  <c r="BP16" i="56"/>
  <c r="B17" i="56"/>
  <c r="C17" i="56"/>
  <c r="D17" i="56"/>
  <c r="E17" i="56"/>
  <c r="F17" i="56"/>
  <c r="G17" i="56"/>
  <c r="H17" i="56"/>
  <c r="I17" i="56"/>
  <c r="J17" i="56"/>
  <c r="K17" i="56"/>
  <c r="L17" i="56"/>
  <c r="M17" i="56"/>
  <c r="N17" i="56"/>
  <c r="O17" i="56"/>
  <c r="P17" i="56"/>
  <c r="Q17" i="56"/>
  <c r="R17" i="56"/>
  <c r="S17" i="56"/>
  <c r="T17" i="56"/>
  <c r="U17" i="56"/>
  <c r="V17" i="56"/>
  <c r="W17" i="56"/>
  <c r="X17" i="56"/>
  <c r="Y17" i="56"/>
  <c r="Z17" i="56"/>
  <c r="AA17" i="56"/>
  <c r="AB17" i="56"/>
  <c r="AC17" i="56"/>
  <c r="AD17" i="56"/>
  <c r="BZ16" i="56" l="1"/>
  <c r="CA16" i="56" s="1"/>
  <c r="BY16" i="56"/>
  <c r="BO16" i="56" s="1"/>
  <c r="BV16" i="56"/>
  <c r="AE17" i="56"/>
  <c r="AF17" i="56"/>
  <c r="AJ17" i="56"/>
  <c r="AK17" i="56"/>
  <c r="AL17" i="56"/>
  <c r="AM17" i="56"/>
  <c r="AN17" i="56"/>
  <c r="AO17" i="56"/>
  <c r="AP17" i="56"/>
  <c r="AQ17" i="56"/>
  <c r="AR17" i="56"/>
  <c r="AS17" i="56"/>
  <c r="AT17" i="56"/>
  <c r="AU17" i="56"/>
  <c r="AV17" i="56"/>
  <c r="AW17" i="56"/>
  <c r="AX17" i="56"/>
  <c r="AY17" i="56"/>
  <c r="AZ17" i="56"/>
  <c r="BA17" i="56"/>
  <c r="BB17" i="56"/>
  <c r="BC17" i="56"/>
  <c r="BD17" i="56"/>
  <c r="BE17" i="56"/>
  <c r="BF17" i="56"/>
  <c r="BG17" i="56"/>
  <c r="BH17" i="56"/>
  <c r="BI17" i="56"/>
  <c r="BJ17" i="56"/>
  <c r="BK17" i="56"/>
  <c r="BL17" i="56"/>
  <c r="BM17" i="56"/>
  <c r="BS17" i="56"/>
  <c r="BX17" i="56"/>
  <c r="BN17" i="56"/>
  <c r="BT17" i="56"/>
  <c r="BU17" i="56"/>
  <c r="BY17" i="56" s="1"/>
  <c r="BP17" i="56"/>
  <c r="B18" i="56"/>
  <c r="C18" i="56"/>
  <c r="D18" i="56"/>
  <c r="E18" i="56"/>
  <c r="F18" i="56"/>
  <c r="G18" i="56"/>
  <c r="H18" i="56"/>
  <c r="I18" i="56"/>
  <c r="J18" i="56"/>
  <c r="K18" i="56"/>
  <c r="L18" i="56"/>
  <c r="M18" i="56"/>
  <c r="N18" i="56"/>
  <c r="O18" i="56"/>
  <c r="P18" i="56"/>
  <c r="Q18" i="56"/>
  <c r="R18" i="56"/>
  <c r="S18" i="56"/>
  <c r="T18" i="56"/>
  <c r="U18" i="56"/>
  <c r="V18" i="56"/>
  <c r="W18" i="56"/>
  <c r="X18" i="56"/>
  <c r="Y18" i="56"/>
  <c r="Z18" i="56"/>
  <c r="AA18" i="56"/>
  <c r="AB18" i="56"/>
  <c r="AC18" i="56"/>
  <c r="AD18" i="56"/>
  <c r="BO17" i="56" l="1"/>
  <c r="BZ17" i="56"/>
  <c r="CA17" i="56" s="1"/>
  <c r="BV17" i="56"/>
  <c r="AE18" i="56"/>
  <c r="AF18" i="56"/>
  <c r="AJ18" i="56"/>
  <c r="AK18" i="56"/>
  <c r="AL18" i="56"/>
  <c r="AM18" i="56"/>
  <c r="AN18" i="56"/>
  <c r="AO18" i="56"/>
  <c r="AP18" i="56"/>
  <c r="AQ18" i="56"/>
  <c r="AR18" i="56"/>
  <c r="AS18" i="56"/>
  <c r="AT18" i="56"/>
  <c r="AU18" i="56"/>
  <c r="AV18" i="56"/>
  <c r="AW18" i="56"/>
  <c r="AX18" i="56"/>
  <c r="AY18" i="56"/>
  <c r="AZ18" i="56"/>
  <c r="BA18" i="56"/>
  <c r="BB18" i="56"/>
  <c r="BC18" i="56"/>
  <c r="BD18" i="56"/>
  <c r="BE18" i="56"/>
  <c r="BF18" i="56"/>
  <c r="BG18" i="56"/>
  <c r="BH18" i="56"/>
  <c r="BI18" i="56"/>
  <c r="BJ18" i="56"/>
  <c r="BK18" i="56"/>
  <c r="BL18" i="56"/>
  <c r="BM18" i="56"/>
  <c r="BS18" i="56"/>
  <c r="BX18" i="56" s="1"/>
  <c r="BT18" i="56"/>
  <c r="BP18" i="56"/>
  <c r="B19" i="56"/>
  <c r="C19" i="56"/>
  <c r="D19" i="56"/>
  <c r="E19" i="56"/>
  <c r="F19" i="56"/>
  <c r="G19" i="56"/>
  <c r="H19" i="56"/>
  <c r="I19" i="56"/>
  <c r="J19" i="56"/>
  <c r="K19" i="56"/>
  <c r="L19" i="56"/>
  <c r="M19" i="56"/>
  <c r="N19" i="56"/>
  <c r="O19" i="56"/>
  <c r="P19" i="56"/>
  <c r="Q19" i="56"/>
  <c r="R19" i="56"/>
  <c r="S19" i="56"/>
  <c r="T19" i="56"/>
  <c r="U19" i="56"/>
  <c r="V19" i="56"/>
  <c r="W19" i="56"/>
  <c r="X19" i="56"/>
  <c r="Y19" i="56"/>
  <c r="Z19" i="56"/>
  <c r="AA19" i="56"/>
  <c r="AB19" i="56"/>
  <c r="AC19" i="56"/>
  <c r="AD19" i="56"/>
  <c r="BN18" i="56" l="1"/>
  <c r="BU18" i="56"/>
  <c r="AE19" i="56"/>
  <c r="AF19" i="56"/>
  <c r="AJ19" i="56"/>
  <c r="AK19" i="56"/>
  <c r="AL19" i="56"/>
  <c r="AM19" i="56"/>
  <c r="AN19" i="56"/>
  <c r="AO19" i="56"/>
  <c r="AP19" i="56"/>
  <c r="AQ19" i="56"/>
  <c r="AR19" i="56"/>
  <c r="AS19" i="56"/>
  <c r="AT19" i="56"/>
  <c r="AU19" i="56"/>
  <c r="AV19" i="56"/>
  <c r="AW19" i="56"/>
  <c r="AX19" i="56"/>
  <c r="AY19" i="56"/>
  <c r="AZ19" i="56"/>
  <c r="BA19" i="56"/>
  <c r="BB19" i="56"/>
  <c r="BC19" i="56"/>
  <c r="BD19" i="56"/>
  <c r="BE19" i="56"/>
  <c r="BF19" i="56"/>
  <c r="BG19" i="56"/>
  <c r="BH19" i="56"/>
  <c r="BI19" i="56"/>
  <c r="BJ19" i="56"/>
  <c r="BK19" i="56"/>
  <c r="BL19" i="56"/>
  <c r="BY18" i="56" l="1"/>
  <c r="BV18" i="56"/>
  <c r="BM19" i="56"/>
  <c r="BS19" i="56"/>
  <c r="BX19" i="56"/>
  <c r="BN19" i="56"/>
  <c r="BT19" i="56"/>
  <c r="BU19" i="56" s="1"/>
  <c r="BP19" i="56"/>
  <c r="B20" i="56"/>
  <c r="C20" i="56"/>
  <c r="D20" i="56"/>
  <c r="E20" i="56"/>
  <c r="F20" i="56"/>
  <c r="G20" i="56"/>
  <c r="H20" i="56"/>
  <c r="I20" i="56"/>
  <c r="J20" i="56"/>
  <c r="K20" i="56"/>
  <c r="L20" i="56"/>
  <c r="M20" i="56"/>
  <c r="N20" i="56"/>
  <c r="O20" i="56"/>
  <c r="P20" i="56"/>
  <c r="Q20" i="56"/>
  <c r="R20" i="56"/>
  <c r="S20" i="56"/>
  <c r="T20" i="56"/>
  <c r="U20" i="56"/>
  <c r="V20" i="56"/>
  <c r="W20" i="56"/>
  <c r="X20" i="56"/>
  <c r="Y20" i="56"/>
  <c r="Z20" i="56"/>
  <c r="AA20" i="56"/>
  <c r="AB20" i="56"/>
  <c r="AC20" i="56"/>
  <c r="AD20" i="56"/>
  <c r="BY19" i="56" l="1"/>
  <c r="BV19" i="56"/>
  <c r="BO18" i="56"/>
  <c r="BZ18" i="56"/>
  <c r="CA18" i="56" s="1"/>
  <c r="AE20" i="56"/>
  <c r="AF20" i="56"/>
  <c r="AJ20" i="56"/>
  <c r="AK20" i="56"/>
  <c r="AL20" i="56"/>
  <c r="AM20" i="56"/>
  <c r="AN20" i="56"/>
  <c r="AO20" i="56"/>
  <c r="AP20" i="56"/>
  <c r="AQ20" i="56"/>
  <c r="AR20" i="56"/>
  <c r="AS20" i="56"/>
  <c r="AT20" i="56"/>
  <c r="AU20" i="56"/>
  <c r="AV20" i="56"/>
  <c r="AW20" i="56"/>
  <c r="AX20" i="56"/>
  <c r="AY20" i="56"/>
  <c r="AZ20" i="56"/>
  <c r="BA20" i="56"/>
  <c r="BB20" i="56"/>
  <c r="BC20" i="56"/>
  <c r="BD20" i="56"/>
  <c r="BE20" i="56"/>
  <c r="BF20" i="56"/>
  <c r="BG20" i="56"/>
  <c r="BH20" i="56"/>
  <c r="BI20" i="56"/>
  <c r="BJ20" i="56"/>
  <c r="BK20" i="56"/>
  <c r="BL20" i="56"/>
  <c r="BO19" i="56" l="1"/>
  <c r="BZ19" i="56"/>
  <c r="CA19" i="56" s="1"/>
  <c r="BM20" i="56"/>
  <c r="BS20" i="56"/>
  <c r="BX20" i="56"/>
  <c r="BN20" i="56"/>
  <c r="BT20" i="56"/>
  <c r="BU20" i="56" s="1"/>
  <c r="BP20" i="56"/>
  <c r="B21" i="56"/>
  <c r="C21" i="56"/>
  <c r="D21" i="56"/>
  <c r="E21" i="56"/>
  <c r="F21" i="56"/>
  <c r="G21" i="56"/>
  <c r="H21" i="56"/>
  <c r="I21" i="56"/>
  <c r="J21" i="56"/>
  <c r="K21" i="56"/>
  <c r="L21" i="56"/>
  <c r="M21" i="56"/>
  <c r="N21" i="56"/>
  <c r="O21" i="56"/>
  <c r="P21" i="56"/>
  <c r="Q21" i="56"/>
  <c r="R21" i="56"/>
  <c r="S21" i="56"/>
  <c r="T21" i="56"/>
  <c r="U21" i="56"/>
  <c r="V21" i="56"/>
  <c r="W21" i="56"/>
  <c r="X21" i="56"/>
  <c r="Y21" i="56"/>
  <c r="Z21" i="56"/>
  <c r="AA21" i="56"/>
  <c r="AB21" i="56"/>
  <c r="AC21" i="56"/>
  <c r="AD21" i="56"/>
  <c r="BY20" i="56" l="1"/>
  <c r="BO20" i="56" s="1"/>
  <c r="BV20" i="56"/>
  <c r="AE21" i="56"/>
  <c r="AF21" i="56"/>
  <c r="AJ21" i="56"/>
  <c r="AK21" i="56"/>
  <c r="AL21" i="56"/>
  <c r="AM21" i="56"/>
  <c r="AN21" i="56"/>
  <c r="AO21" i="56"/>
  <c r="AP21" i="56"/>
  <c r="AQ21" i="56"/>
  <c r="AR21" i="56"/>
  <c r="AS21" i="56"/>
  <c r="AT21" i="56"/>
  <c r="AU21" i="56"/>
  <c r="AV21" i="56"/>
  <c r="AW21" i="56"/>
  <c r="AX21" i="56"/>
  <c r="AY21" i="56"/>
  <c r="AZ21" i="56"/>
  <c r="BA21" i="56"/>
  <c r="BB21" i="56"/>
  <c r="BC21" i="56"/>
  <c r="BD21" i="56"/>
  <c r="BE21" i="56"/>
  <c r="BF21" i="56"/>
  <c r="BG21" i="56"/>
  <c r="BH21" i="56"/>
  <c r="BI21" i="56"/>
  <c r="BJ21" i="56"/>
  <c r="BK21" i="56"/>
  <c r="BL21" i="56"/>
  <c r="BZ20" i="56" l="1"/>
  <c r="CA20" i="56" s="1"/>
  <c r="BM21" i="56"/>
  <c r="BS21" i="56"/>
  <c r="BX21" i="56"/>
  <c r="BN21" i="56" s="1"/>
  <c r="BT21" i="56"/>
  <c r="BU21" i="56" s="1"/>
  <c r="BP21" i="56"/>
  <c r="B22" i="56"/>
  <c r="C22" i="56"/>
  <c r="D22" i="56"/>
  <c r="E22" i="56"/>
  <c r="F22" i="56"/>
  <c r="G22" i="56"/>
  <c r="H22" i="56"/>
  <c r="I22" i="56"/>
  <c r="J22" i="56"/>
  <c r="K22" i="56"/>
  <c r="L22" i="56"/>
  <c r="M22" i="56"/>
  <c r="N22" i="56"/>
  <c r="O22" i="56"/>
  <c r="P22" i="56"/>
  <c r="Q22" i="56"/>
  <c r="R22" i="56"/>
  <c r="S22" i="56"/>
  <c r="T22" i="56"/>
  <c r="U22" i="56"/>
  <c r="V22" i="56"/>
  <c r="W22" i="56"/>
  <c r="X22" i="56"/>
  <c r="Y22" i="56"/>
  <c r="Z22" i="56"/>
  <c r="AA22" i="56"/>
  <c r="AB22" i="56"/>
  <c r="AC22" i="56"/>
  <c r="AD22" i="56"/>
  <c r="BV21" i="56" l="1"/>
  <c r="BY21" i="56"/>
  <c r="AE22" i="56"/>
  <c r="AF22" i="56"/>
  <c r="AJ22" i="56"/>
  <c r="AK22" i="56"/>
  <c r="AL22" i="56"/>
  <c r="AM22" i="56"/>
  <c r="AN22" i="56"/>
  <c r="AO22" i="56"/>
  <c r="AP22" i="56"/>
  <c r="AQ22" i="56"/>
  <c r="AR22" i="56"/>
  <c r="AS22" i="56"/>
  <c r="AT22" i="56"/>
  <c r="AU22" i="56"/>
  <c r="AV22" i="56"/>
  <c r="AW22" i="56"/>
  <c r="AX22" i="56"/>
  <c r="AY22" i="56"/>
  <c r="AZ22" i="56"/>
  <c r="BA22" i="56"/>
  <c r="BB22" i="56"/>
  <c r="BC22" i="56"/>
  <c r="BD22" i="56"/>
  <c r="BE22" i="56"/>
  <c r="BF22" i="56"/>
  <c r="BG22" i="56"/>
  <c r="BH22" i="56"/>
  <c r="BI22" i="56"/>
  <c r="BJ22" i="56"/>
  <c r="BK22" i="56"/>
  <c r="BL22" i="56"/>
  <c r="BZ21" i="56" l="1"/>
  <c r="CA21" i="56" s="1"/>
  <c r="BO21" i="56"/>
  <c r="BM22" i="56"/>
  <c r="BS22" i="56"/>
  <c r="BX22" i="56"/>
  <c r="BN22" i="56"/>
  <c r="BT22" i="56"/>
  <c r="BU22" i="56" s="1"/>
  <c r="BP22" i="56"/>
  <c r="B23" i="56"/>
  <c r="C23" i="56"/>
  <c r="D23" i="56"/>
  <c r="E23" i="56"/>
  <c r="F23" i="56"/>
  <c r="G23" i="56"/>
  <c r="H23" i="56"/>
  <c r="I23" i="56"/>
  <c r="J23" i="56"/>
  <c r="K23" i="56"/>
  <c r="L23" i="56"/>
  <c r="M23" i="56"/>
  <c r="N23" i="56"/>
  <c r="O23" i="56"/>
  <c r="P23" i="56"/>
  <c r="Q23" i="56"/>
  <c r="R23" i="56"/>
  <c r="S23" i="56"/>
  <c r="T23" i="56"/>
  <c r="U23" i="56"/>
  <c r="V23" i="56"/>
  <c r="W23" i="56"/>
  <c r="X23" i="56"/>
  <c r="Y23" i="56"/>
  <c r="Z23" i="56"/>
  <c r="AA23" i="56"/>
  <c r="AB23" i="56"/>
  <c r="AC23" i="56"/>
  <c r="AD23" i="56"/>
  <c r="BZ22" i="56" l="1"/>
  <c r="CA22" i="56" s="1"/>
  <c r="BY22" i="56"/>
  <c r="BO22" i="56" s="1"/>
  <c r="BV22" i="56"/>
  <c r="AE23" i="56"/>
  <c r="AF23" i="56"/>
  <c r="AJ23" i="56"/>
  <c r="AK23" i="56"/>
  <c r="AL23" i="56"/>
  <c r="AM23" i="56"/>
  <c r="AN23" i="56"/>
  <c r="AO23" i="56"/>
  <c r="AP23" i="56"/>
  <c r="AQ23" i="56"/>
  <c r="AR23" i="56"/>
  <c r="AS23" i="56"/>
  <c r="AT23" i="56"/>
  <c r="AU23" i="56"/>
  <c r="AV23" i="56"/>
  <c r="AW23" i="56"/>
  <c r="AX23" i="56"/>
  <c r="AY23" i="56"/>
  <c r="AZ23" i="56"/>
  <c r="BA23" i="56"/>
  <c r="BB23" i="56"/>
  <c r="BC23" i="56"/>
  <c r="BD23" i="56"/>
  <c r="BE23" i="56"/>
  <c r="BF23" i="56"/>
  <c r="BG23" i="56"/>
  <c r="BH23" i="56"/>
  <c r="BI23" i="56"/>
  <c r="BJ23" i="56"/>
  <c r="BK23" i="56"/>
  <c r="BL23" i="56"/>
  <c r="BM23" i="56"/>
  <c r="BS23" i="56"/>
  <c r="BX23" i="56"/>
  <c r="BN23" i="56"/>
  <c r="BT23" i="56"/>
  <c r="BU23" i="56"/>
  <c r="BV23" i="56" s="1"/>
  <c r="BP23" i="56"/>
  <c r="B24" i="56"/>
  <c r="C24" i="56"/>
  <c r="D24" i="56"/>
  <c r="E24" i="56"/>
  <c r="F24" i="56"/>
  <c r="G24" i="56"/>
  <c r="H24" i="56"/>
  <c r="I24" i="56"/>
  <c r="J24" i="56"/>
  <c r="K24" i="56"/>
  <c r="L24" i="56"/>
  <c r="M24" i="56"/>
  <c r="N24" i="56"/>
  <c r="O24" i="56"/>
  <c r="P24" i="56"/>
  <c r="Q24" i="56"/>
  <c r="R24" i="56"/>
  <c r="S24" i="56"/>
  <c r="T24" i="56"/>
  <c r="U24" i="56"/>
  <c r="V24" i="56"/>
  <c r="W24" i="56"/>
  <c r="X24" i="56"/>
  <c r="Y24" i="56"/>
  <c r="Z24" i="56"/>
  <c r="AA24" i="56"/>
  <c r="AB24" i="56"/>
  <c r="AC24" i="56"/>
  <c r="AD24" i="56"/>
  <c r="BY23" i="56" l="1"/>
  <c r="AE24" i="56"/>
  <c r="AF24" i="56"/>
  <c r="AJ24" i="56"/>
  <c r="AK24" i="56"/>
  <c r="AL24" i="56"/>
  <c r="AM24" i="56"/>
  <c r="AN24" i="56"/>
  <c r="AO24" i="56"/>
  <c r="AP24" i="56"/>
  <c r="AQ24" i="56"/>
  <c r="AR24" i="56"/>
  <c r="AS24" i="56"/>
  <c r="AT24" i="56"/>
  <c r="AU24" i="56"/>
  <c r="AV24" i="56"/>
  <c r="AW24" i="56"/>
  <c r="AX24" i="56"/>
  <c r="AY24" i="56"/>
  <c r="AZ24" i="56"/>
  <c r="BA24" i="56"/>
  <c r="BB24" i="56"/>
  <c r="BC24" i="56"/>
  <c r="BD24" i="56"/>
  <c r="BE24" i="56"/>
  <c r="BF24" i="56"/>
  <c r="BG24" i="56"/>
  <c r="BH24" i="56"/>
  <c r="BI24" i="56"/>
  <c r="BJ24" i="56"/>
  <c r="BK24" i="56"/>
  <c r="BL24" i="56"/>
  <c r="BZ23" i="56" l="1"/>
  <c r="CA23" i="56" s="1"/>
  <c r="BO23" i="56"/>
  <c r="BM24" i="56"/>
  <c r="BS24" i="56"/>
  <c r="BX24" i="56"/>
  <c r="BN24" i="56"/>
  <c r="BT24" i="56"/>
  <c r="BU24" i="56" s="1"/>
  <c r="BP24" i="56"/>
  <c r="B25" i="56"/>
  <c r="C25" i="56"/>
  <c r="D25" i="56"/>
  <c r="E25" i="56"/>
  <c r="F25" i="56"/>
  <c r="G25" i="56"/>
  <c r="H25" i="56"/>
  <c r="I25" i="56"/>
  <c r="J25" i="56"/>
  <c r="K25" i="56"/>
  <c r="L25" i="56"/>
  <c r="M25" i="56"/>
  <c r="N25" i="56"/>
  <c r="O25" i="56"/>
  <c r="P25" i="56"/>
  <c r="Q25" i="56"/>
  <c r="R25" i="56"/>
  <c r="S25" i="56"/>
  <c r="T25" i="56"/>
  <c r="U25" i="56"/>
  <c r="V25" i="56"/>
  <c r="W25" i="56"/>
  <c r="X25" i="56"/>
  <c r="Y25" i="56"/>
  <c r="Z25" i="56"/>
  <c r="AA25" i="56"/>
  <c r="AB25" i="56"/>
  <c r="AC25" i="56"/>
  <c r="AD25" i="56"/>
  <c r="BY24" i="56" l="1"/>
  <c r="BV24" i="56"/>
  <c r="AE25" i="56"/>
  <c r="AF25" i="56"/>
  <c r="AJ25" i="56"/>
  <c r="AK25" i="56"/>
  <c r="AL25" i="56"/>
  <c r="AM25" i="56"/>
  <c r="AN25" i="56"/>
  <c r="AO25" i="56"/>
  <c r="AP25" i="56"/>
  <c r="AQ25" i="56"/>
  <c r="AR25" i="56"/>
  <c r="AS25" i="56"/>
  <c r="AT25" i="56"/>
  <c r="AU25" i="56"/>
  <c r="AV25" i="56"/>
  <c r="AW25" i="56"/>
  <c r="AX25" i="56"/>
  <c r="AY25" i="56"/>
  <c r="AZ25" i="56"/>
  <c r="BA25" i="56"/>
  <c r="BB25" i="56"/>
  <c r="BC25" i="56"/>
  <c r="BD25" i="56"/>
  <c r="BE25" i="56"/>
  <c r="BF25" i="56"/>
  <c r="BG25" i="56"/>
  <c r="BH25" i="56"/>
  <c r="BI25" i="56"/>
  <c r="BJ25" i="56"/>
  <c r="BK25" i="56"/>
  <c r="BL25" i="56"/>
  <c r="BO24" i="56" l="1"/>
  <c r="BZ24" i="56"/>
  <c r="CA24" i="56" s="1"/>
  <c r="BM25" i="56"/>
  <c r="BS25" i="56"/>
  <c r="BX25" i="56"/>
  <c r="BN25" i="56"/>
  <c r="BT25" i="56"/>
  <c r="BU25" i="56" s="1"/>
  <c r="BP25" i="56"/>
  <c r="E26" i="56"/>
  <c r="F26" i="56"/>
  <c r="G26" i="56"/>
  <c r="H26" i="56"/>
  <c r="I26" i="56"/>
  <c r="J26" i="56"/>
  <c r="K26" i="56"/>
  <c r="L26" i="56"/>
  <c r="M26" i="56"/>
  <c r="N26" i="56"/>
  <c r="O26" i="56"/>
  <c r="P26" i="56"/>
  <c r="Q26" i="56"/>
  <c r="R26" i="56"/>
  <c r="S26" i="56"/>
  <c r="T26" i="56"/>
  <c r="U26" i="56"/>
  <c r="V26" i="56"/>
  <c r="W26" i="56"/>
  <c r="X26" i="56"/>
  <c r="Y26" i="56"/>
  <c r="Z26" i="56"/>
  <c r="AA26" i="56"/>
  <c r="AB26" i="56"/>
  <c r="AC26" i="56"/>
  <c r="AD26" i="56"/>
  <c r="BY25" i="56" l="1"/>
  <c r="BV25" i="56"/>
  <c r="AE26" i="56"/>
  <c r="AF26" i="56"/>
  <c r="AJ26" i="56"/>
  <c r="AK26" i="56"/>
  <c r="AL26" i="56"/>
  <c r="AM26" i="56"/>
  <c r="AN26" i="56"/>
  <c r="AO26" i="56"/>
  <c r="AP26" i="56"/>
  <c r="AQ26" i="56"/>
  <c r="AR26" i="56"/>
  <c r="AS26" i="56"/>
  <c r="AT26" i="56"/>
  <c r="AU26" i="56"/>
  <c r="AV26" i="56"/>
  <c r="AW26" i="56"/>
  <c r="AX26" i="56"/>
  <c r="AY26" i="56"/>
  <c r="AZ26" i="56"/>
  <c r="BA26" i="56"/>
  <c r="BB26" i="56"/>
  <c r="BC26" i="56"/>
  <c r="BD26" i="56"/>
  <c r="BE26" i="56"/>
  <c r="BF26" i="56"/>
  <c r="BG26" i="56"/>
  <c r="BH26" i="56"/>
  <c r="BI26" i="56"/>
  <c r="BJ26" i="56"/>
  <c r="BK26" i="56"/>
  <c r="BL26" i="56"/>
  <c r="BO25" i="56" l="1"/>
  <c r="BZ25" i="56"/>
  <c r="CA25" i="56" s="1"/>
  <c r="BM26" i="56"/>
  <c r="BS26" i="56"/>
  <c r="BX26" i="56"/>
  <c r="BN26" i="56"/>
  <c r="BT26" i="56"/>
  <c r="BU26" i="56" s="1"/>
  <c r="BP26" i="56"/>
  <c r="B27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BY26" i="56" l="1"/>
  <c r="BV26" i="56"/>
  <c r="AE27" i="56"/>
  <c r="AF27" i="56"/>
  <c r="AJ27" i="56"/>
  <c r="AK27" i="56"/>
  <c r="AL27" i="56"/>
  <c r="AM27" i="56"/>
  <c r="AN27" i="56"/>
  <c r="AO27" i="56"/>
  <c r="AP27" i="56"/>
  <c r="AQ27" i="56"/>
  <c r="AR27" i="56"/>
  <c r="AS27" i="56"/>
  <c r="AT27" i="56"/>
  <c r="AU27" i="56"/>
  <c r="AV27" i="56"/>
  <c r="AW27" i="56"/>
  <c r="AX27" i="56"/>
  <c r="AY27" i="56"/>
  <c r="AZ27" i="56"/>
  <c r="BA27" i="56"/>
  <c r="BB27" i="56"/>
  <c r="BC27" i="56"/>
  <c r="BD27" i="56"/>
  <c r="BE27" i="56"/>
  <c r="BF27" i="56"/>
  <c r="BG27" i="56"/>
  <c r="BH27" i="56"/>
  <c r="BI27" i="56"/>
  <c r="BJ27" i="56"/>
  <c r="BK27" i="56"/>
  <c r="BL27" i="56"/>
  <c r="BO26" i="56" l="1"/>
  <c r="BZ26" i="56"/>
  <c r="CA26" i="56" s="1"/>
  <c r="BM27" i="56"/>
  <c r="BS27" i="56"/>
  <c r="BX27" i="56"/>
  <c r="BN27" i="56"/>
  <c r="BT27" i="56"/>
  <c r="BU27" i="56" s="1"/>
  <c r="BP27" i="56"/>
  <c r="B28" i="56"/>
  <c r="C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BY27" i="56" l="1"/>
  <c r="BV27" i="56"/>
  <c r="AE28" i="56"/>
  <c r="AF28" i="56"/>
  <c r="AJ28" i="56"/>
  <c r="AK28" i="56"/>
  <c r="AL28" i="56"/>
  <c r="AM28" i="56"/>
  <c r="AN28" i="56"/>
  <c r="AO28" i="56"/>
  <c r="AP28" i="56"/>
  <c r="AQ28" i="56"/>
  <c r="AR28" i="56"/>
  <c r="AS28" i="56"/>
  <c r="AT28" i="56"/>
  <c r="AU28" i="56"/>
  <c r="AV28" i="56"/>
  <c r="AW28" i="56"/>
  <c r="AX28" i="56"/>
  <c r="AY28" i="56"/>
  <c r="AZ28" i="56"/>
  <c r="BA28" i="56"/>
  <c r="BB28" i="56"/>
  <c r="BC28" i="56"/>
  <c r="BD28" i="56"/>
  <c r="BE28" i="56"/>
  <c r="BF28" i="56"/>
  <c r="BG28" i="56"/>
  <c r="BH28" i="56"/>
  <c r="BI28" i="56"/>
  <c r="BJ28" i="56"/>
  <c r="BK28" i="56"/>
  <c r="BL28" i="56"/>
  <c r="BO27" i="56" l="1"/>
  <c r="BZ27" i="56"/>
  <c r="CA27" i="56" s="1"/>
  <c r="BM28" i="56"/>
  <c r="BS28" i="56"/>
  <c r="BX28" i="56"/>
  <c r="BN28" i="56"/>
  <c r="BT28" i="56"/>
  <c r="BU28" i="56" s="1"/>
  <c r="BP28" i="56"/>
  <c r="B29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BY28" i="56" l="1"/>
  <c r="BV28" i="56"/>
  <c r="AE29" i="56"/>
  <c r="AF29" i="56"/>
  <c r="AJ29" i="56"/>
  <c r="AK29" i="56"/>
  <c r="AL29" i="56"/>
  <c r="AM29" i="56"/>
  <c r="AN29" i="56"/>
  <c r="AO29" i="56"/>
  <c r="AP29" i="56"/>
  <c r="AQ29" i="56"/>
  <c r="AR29" i="56"/>
  <c r="AS29" i="56"/>
  <c r="AT29" i="56"/>
  <c r="AU29" i="56"/>
  <c r="AV29" i="56"/>
  <c r="AW29" i="56"/>
  <c r="AX29" i="56"/>
  <c r="AY29" i="56"/>
  <c r="AZ29" i="56"/>
  <c r="BA29" i="56"/>
  <c r="BB29" i="56"/>
  <c r="BC29" i="56"/>
  <c r="BD29" i="56"/>
  <c r="BE29" i="56"/>
  <c r="BF29" i="56"/>
  <c r="BG29" i="56"/>
  <c r="BH29" i="56"/>
  <c r="BI29" i="56"/>
  <c r="BJ29" i="56"/>
  <c r="BK29" i="56"/>
  <c r="BL29" i="56"/>
  <c r="BO28" i="56" l="1"/>
  <c r="BZ28" i="56"/>
  <c r="CA28" i="56" s="1"/>
  <c r="BM29" i="56"/>
  <c r="BS29" i="56"/>
  <c r="BX29" i="56"/>
  <c r="BN29" i="56"/>
  <c r="BT29" i="56"/>
  <c r="BU29" i="56" s="1"/>
  <c r="BP29" i="56"/>
  <c r="B30" i="56"/>
  <c r="C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BV29" i="56" l="1"/>
  <c r="BY29" i="56"/>
  <c r="AE30" i="56"/>
  <c r="AF30" i="56"/>
  <c r="AJ30" i="56"/>
  <c r="AK30" i="56"/>
  <c r="AL30" i="56"/>
  <c r="AM30" i="56"/>
  <c r="AN30" i="56"/>
  <c r="AO30" i="56"/>
  <c r="AP30" i="56"/>
  <c r="AQ30" i="56"/>
  <c r="AR30" i="56"/>
  <c r="AS30" i="56"/>
  <c r="AT30" i="56"/>
  <c r="AU30" i="56"/>
  <c r="AV30" i="56"/>
  <c r="AW30" i="56"/>
  <c r="AX30" i="56"/>
  <c r="AY30" i="56"/>
  <c r="AZ30" i="56"/>
  <c r="BA30" i="56"/>
  <c r="BB30" i="56"/>
  <c r="BC30" i="56"/>
  <c r="BD30" i="56"/>
  <c r="BE30" i="56"/>
  <c r="BF30" i="56"/>
  <c r="BG30" i="56"/>
  <c r="BH30" i="56"/>
  <c r="BI30" i="56"/>
  <c r="BJ30" i="56"/>
  <c r="BK30" i="56"/>
  <c r="BL30" i="56"/>
  <c r="BO29" i="56" l="1"/>
  <c r="BZ29" i="56"/>
  <c r="CA29" i="56" s="1"/>
  <c r="BM30" i="56"/>
  <c r="BS30" i="56"/>
  <c r="BX30" i="56"/>
  <c r="BN30" i="56"/>
  <c r="BT30" i="56"/>
  <c r="BU30" i="56"/>
  <c r="BV30" i="56" s="1"/>
  <c r="BY30" i="56"/>
  <c r="BZ30" i="56" s="1"/>
  <c r="CA30" i="56" s="1"/>
  <c r="BO30" i="56"/>
  <c r="BP30" i="56"/>
  <c r="B31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AJ31" i="56"/>
  <c r="AK31" i="56"/>
  <c r="AL31" i="56"/>
  <c r="AM31" i="56"/>
  <c r="AN31" i="56"/>
  <c r="AO31" i="56"/>
  <c r="AP31" i="56"/>
  <c r="AQ31" i="56"/>
  <c r="AR31" i="56"/>
  <c r="AS31" i="56"/>
  <c r="AT31" i="56"/>
  <c r="AU31" i="56"/>
  <c r="AV31" i="56"/>
  <c r="AW31" i="56"/>
  <c r="AX31" i="56"/>
  <c r="AY31" i="56"/>
  <c r="AZ31" i="56"/>
  <c r="BA31" i="56"/>
  <c r="BB31" i="56"/>
  <c r="BC31" i="56"/>
  <c r="BD31" i="56"/>
  <c r="BE31" i="56"/>
  <c r="BF31" i="56"/>
  <c r="BG31" i="56"/>
  <c r="BH31" i="56"/>
  <c r="BI31" i="56"/>
  <c r="BJ31" i="56"/>
  <c r="BK31" i="56"/>
  <c r="BL31" i="56"/>
  <c r="BM31" i="56"/>
  <c r="BS31" i="56"/>
  <c r="BX31" i="56"/>
  <c r="BN31" i="56"/>
  <c r="BT31" i="56"/>
  <c r="BU31" i="56" s="1"/>
  <c r="BP31" i="56"/>
  <c r="B32" i="56"/>
  <c r="C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BV31" i="56" l="1"/>
  <c r="BY31" i="56"/>
  <c r="AE32" i="56"/>
  <c r="AF32" i="56"/>
  <c r="AJ32" i="56"/>
  <c r="AK32" i="56"/>
  <c r="AL32" i="56"/>
  <c r="AM32" i="56"/>
  <c r="AN32" i="56"/>
  <c r="AO32" i="56"/>
  <c r="AP32" i="56"/>
  <c r="AQ32" i="56"/>
  <c r="AR32" i="56"/>
  <c r="AS32" i="56"/>
  <c r="AT32" i="56"/>
  <c r="AU32" i="56"/>
  <c r="AV32" i="56"/>
  <c r="AW32" i="56"/>
  <c r="AX32" i="56"/>
  <c r="AY32" i="56"/>
  <c r="AZ32" i="56"/>
  <c r="BA32" i="56"/>
  <c r="BB32" i="56"/>
  <c r="BC32" i="56"/>
  <c r="BD32" i="56"/>
  <c r="BE32" i="56"/>
  <c r="BF32" i="56"/>
  <c r="BG32" i="56"/>
  <c r="BH32" i="56"/>
  <c r="BI32" i="56"/>
  <c r="BJ32" i="56"/>
  <c r="BK32" i="56"/>
  <c r="BL32" i="56"/>
  <c r="BZ31" i="56" l="1"/>
  <c r="CA31" i="56" s="1"/>
  <c r="BO31" i="56"/>
  <c r="BM32" i="56"/>
  <c r="BS32" i="56"/>
  <c r="BX32" i="56"/>
  <c r="BN32" i="56"/>
  <c r="BT32" i="56"/>
  <c r="BU32" i="56" s="1"/>
  <c r="BP32" i="56"/>
  <c r="B33" i="56"/>
  <c r="C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BY32" i="56" l="1"/>
  <c r="BV32" i="56"/>
  <c r="AE33" i="56"/>
  <c r="AF33" i="56"/>
  <c r="AJ33" i="56"/>
  <c r="AK33" i="56"/>
  <c r="AL33" i="56"/>
  <c r="AM33" i="56"/>
  <c r="AN33" i="56"/>
  <c r="AO33" i="56"/>
  <c r="AP33" i="56"/>
  <c r="AQ33" i="56"/>
  <c r="AR33" i="56"/>
  <c r="AS33" i="56"/>
  <c r="AT33" i="56"/>
  <c r="AU33" i="56"/>
  <c r="AV33" i="56"/>
  <c r="AW33" i="56"/>
  <c r="AX33" i="56"/>
  <c r="AY33" i="56"/>
  <c r="AZ33" i="56"/>
  <c r="BA33" i="56"/>
  <c r="BB33" i="56"/>
  <c r="BC33" i="56"/>
  <c r="BD33" i="56"/>
  <c r="BE33" i="56"/>
  <c r="BF33" i="56"/>
  <c r="BG33" i="56"/>
  <c r="BH33" i="56"/>
  <c r="BI33" i="56"/>
  <c r="BJ33" i="56"/>
  <c r="BK33" i="56"/>
  <c r="BL33" i="56"/>
  <c r="BO32" i="56" l="1"/>
  <c r="BZ32" i="56"/>
  <c r="CA32" i="56" s="1"/>
  <c r="BM33" i="56"/>
  <c r="BS33" i="56"/>
  <c r="BX33" i="56"/>
  <c r="BN33" i="56"/>
  <c r="BT33" i="56"/>
  <c r="BU33" i="56" s="1"/>
  <c r="BP33" i="56"/>
  <c r="B34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BV33" i="56" l="1"/>
  <c r="BY33" i="56"/>
  <c r="BO33" i="56" s="1"/>
  <c r="AE34" i="56"/>
  <c r="AF34" i="56"/>
  <c r="AJ34" i="56"/>
  <c r="AK34" i="56"/>
  <c r="AL34" i="56"/>
  <c r="AM34" i="56"/>
  <c r="AN34" i="56"/>
  <c r="AO34" i="56"/>
  <c r="AP34" i="56"/>
  <c r="AQ34" i="56"/>
  <c r="AR34" i="56"/>
  <c r="AS34" i="56"/>
  <c r="AT34" i="56"/>
  <c r="AU34" i="56"/>
  <c r="AV34" i="56"/>
  <c r="AW34" i="56"/>
  <c r="AX34" i="56"/>
  <c r="AY34" i="56"/>
  <c r="AZ34" i="56"/>
  <c r="BA34" i="56"/>
  <c r="BB34" i="56"/>
  <c r="BC34" i="56"/>
  <c r="BD34" i="56"/>
  <c r="BE34" i="56"/>
  <c r="BF34" i="56"/>
  <c r="BG34" i="56"/>
  <c r="BH34" i="56"/>
  <c r="BI34" i="56"/>
  <c r="BJ34" i="56"/>
  <c r="BK34" i="56"/>
  <c r="BL34" i="56"/>
  <c r="BZ33" i="56" l="1"/>
  <c r="CA33" i="56" s="1"/>
  <c r="BM34" i="56"/>
  <c r="BS34" i="56"/>
  <c r="BX34" i="56"/>
  <c r="BN34" i="56"/>
  <c r="BT34" i="56"/>
  <c r="BU34" i="56" s="1"/>
  <c r="BP34" i="56"/>
  <c r="B35" i="56"/>
  <c r="C35" i="56"/>
  <c r="D35" i="56"/>
  <c r="E35" i="56"/>
  <c r="F35" i="56"/>
  <c r="G35" i="56"/>
  <c r="H35" i="56"/>
  <c r="I35" i="56"/>
  <c r="J35" i="56"/>
  <c r="K35" i="56"/>
  <c r="L35" i="56"/>
  <c r="M35" i="56"/>
  <c r="N35" i="56"/>
  <c r="O35" i="56"/>
  <c r="P35" i="56"/>
  <c r="Q35" i="56"/>
  <c r="R35" i="56"/>
  <c r="S35" i="56"/>
  <c r="T35" i="56"/>
  <c r="U35" i="56"/>
  <c r="V35" i="56"/>
  <c r="W35" i="56"/>
  <c r="X35" i="56"/>
  <c r="Y35" i="56"/>
  <c r="Z35" i="56"/>
  <c r="AA35" i="56"/>
  <c r="AB35" i="56"/>
  <c r="AC35" i="56"/>
  <c r="AD35" i="56"/>
  <c r="BY34" i="56" l="1"/>
  <c r="BO34" i="56" s="1"/>
  <c r="BV34" i="56"/>
  <c r="BZ34" i="56"/>
  <c r="CA34" i="56" s="1"/>
  <c r="AE35" i="56"/>
  <c r="AF35" i="56"/>
  <c r="AJ35" i="56"/>
  <c r="AK35" i="56"/>
  <c r="AL35" i="56"/>
  <c r="AM35" i="56"/>
  <c r="AN35" i="56"/>
  <c r="AO35" i="56"/>
  <c r="AP35" i="56"/>
  <c r="AQ35" i="56"/>
  <c r="AR35" i="56"/>
  <c r="AS35" i="56"/>
  <c r="AT35" i="56"/>
  <c r="AU35" i="56"/>
  <c r="AV35" i="56"/>
  <c r="AW35" i="56"/>
  <c r="AX35" i="56"/>
  <c r="AY35" i="56"/>
  <c r="AZ35" i="56"/>
  <c r="BA35" i="56"/>
  <c r="BB35" i="56"/>
  <c r="BC35" i="56"/>
  <c r="BD35" i="56"/>
  <c r="BE35" i="56"/>
  <c r="BF35" i="56"/>
  <c r="BG35" i="56"/>
  <c r="BH35" i="56"/>
  <c r="BI35" i="56"/>
  <c r="BJ35" i="56"/>
  <c r="BK35" i="56"/>
  <c r="BL35" i="56"/>
  <c r="BM35" i="56"/>
  <c r="BS35" i="56"/>
  <c r="BX35" i="56"/>
  <c r="BN35" i="56"/>
  <c r="BT35" i="56"/>
  <c r="BU35" i="56"/>
  <c r="BV35" i="56" s="1"/>
  <c r="BY35" i="56"/>
  <c r="BZ35" i="56" s="1"/>
  <c r="BO35" i="56"/>
  <c r="BP35" i="56"/>
  <c r="B36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X36" i="56"/>
  <c r="Y36" i="56"/>
  <c r="Z36" i="56"/>
  <c r="AA36" i="56"/>
  <c r="AB36" i="56"/>
  <c r="AC36" i="56"/>
  <c r="AD36" i="56"/>
  <c r="CA35" i="56" l="1"/>
  <c r="AE36" i="56"/>
  <c r="AF36" i="56"/>
  <c r="AJ36" i="56"/>
  <c r="AK36" i="56"/>
  <c r="AL36" i="56"/>
  <c r="AM36" i="56"/>
  <c r="AN36" i="56"/>
  <c r="AO36" i="56"/>
  <c r="AP36" i="56"/>
  <c r="AQ36" i="56"/>
  <c r="AR36" i="56"/>
  <c r="AS36" i="56"/>
  <c r="AT36" i="56"/>
  <c r="AU36" i="56"/>
  <c r="AV36" i="56"/>
  <c r="AW36" i="56"/>
  <c r="AX36" i="56"/>
  <c r="AY36" i="56"/>
  <c r="AZ36" i="56"/>
  <c r="BA36" i="56"/>
  <c r="BB36" i="56"/>
  <c r="BC36" i="56"/>
  <c r="BD36" i="56"/>
  <c r="BE36" i="56"/>
  <c r="BF36" i="56"/>
  <c r="BG36" i="56"/>
  <c r="BH36" i="56"/>
  <c r="BI36" i="56"/>
  <c r="BJ36" i="56"/>
  <c r="BK36" i="56"/>
  <c r="BL36" i="56"/>
  <c r="BM36" i="56"/>
  <c r="BS36" i="56"/>
  <c r="BX36" i="56"/>
  <c r="BN36" i="56"/>
  <c r="BT36" i="56"/>
  <c r="BU36" i="56"/>
  <c r="BY36" i="56" s="1"/>
  <c r="BP36" i="56"/>
  <c r="B37" i="56"/>
  <c r="C37" i="56"/>
  <c r="D37" i="56"/>
  <c r="E37" i="56"/>
  <c r="F37" i="56"/>
  <c r="G37" i="56"/>
  <c r="H37" i="56"/>
  <c r="I37" i="56"/>
  <c r="J37" i="56"/>
  <c r="K37" i="56"/>
  <c r="L37" i="56"/>
  <c r="M37" i="56"/>
  <c r="N37" i="56"/>
  <c r="O37" i="56"/>
  <c r="P37" i="56"/>
  <c r="Q37" i="56"/>
  <c r="R37" i="56"/>
  <c r="S37" i="56"/>
  <c r="T37" i="56"/>
  <c r="U37" i="56"/>
  <c r="V37" i="56"/>
  <c r="W37" i="56"/>
  <c r="X37" i="56"/>
  <c r="Y37" i="56"/>
  <c r="Z37" i="56"/>
  <c r="AA37" i="56"/>
  <c r="AB37" i="56"/>
  <c r="AC37" i="56"/>
  <c r="AD37" i="56"/>
  <c r="BZ36" i="56" l="1"/>
  <c r="CA36" i="56" s="1"/>
  <c r="BO36" i="56"/>
  <c r="BV36" i="56"/>
  <c r="AE37" i="56"/>
  <c r="AF37" i="56"/>
  <c r="AJ37" i="56"/>
  <c r="AK37" i="56"/>
  <c r="AL37" i="56"/>
  <c r="AM37" i="56"/>
  <c r="AN37" i="56"/>
  <c r="AO37" i="56"/>
  <c r="AP37" i="56"/>
  <c r="AQ37" i="56"/>
  <c r="AR37" i="56"/>
  <c r="AS37" i="56"/>
  <c r="AT37" i="56"/>
  <c r="AU37" i="56"/>
  <c r="AV37" i="56"/>
  <c r="AW37" i="56"/>
  <c r="AX37" i="56"/>
  <c r="AY37" i="56"/>
  <c r="AZ37" i="56"/>
  <c r="BA37" i="56"/>
  <c r="BB37" i="56"/>
  <c r="BC37" i="56"/>
  <c r="BD37" i="56"/>
  <c r="BE37" i="56"/>
  <c r="BF37" i="56"/>
  <c r="BG37" i="56"/>
  <c r="BH37" i="56"/>
  <c r="BI37" i="56"/>
  <c r="BJ37" i="56"/>
  <c r="BK37" i="56"/>
  <c r="BL37" i="56"/>
  <c r="BM37" i="56"/>
  <c r="BS37" i="56"/>
  <c r="BX37" i="56" s="1"/>
  <c r="BT37" i="56"/>
  <c r="BU37" i="56"/>
  <c r="BY37" i="56" s="1"/>
  <c r="BO37" i="56" s="1"/>
  <c r="BP37" i="56"/>
  <c r="B38" i="56"/>
  <c r="C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BN37" i="56" l="1"/>
  <c r="BZ37" i="56"/>
  <c r="CA37" i="56" s="1"/>
  <c r="BV37" i="56"/>
  <c r="AE38" i="56"/>
  <c r="AF38" i="56"/>
  <c r="AJ38" i="56"/>
  <c r="AK38" i="56"/>
  <c r="AL38" i="56"/>
  <c r="AM38" i="56"/>
  <c r="AN38" i="56"/>
  <c r="AO38" i="56"/>
  <c r="AP38" i="56"/>
  <c r="AQ38" i="56"/>
  <c r="AR38" i="56"/>
  <c r="AS38" i="56"/>
  <c r="AT38" i="56"/>
  <c r="AU38" i="56"/>
  <c r="AV38" i="56"/>
  <c r="AW38" i="56"/>
  <c r="AX38" i="56"/>
  <c r="AY38" i="56"/>
  <c r="AZ38" i="56"/>
  <c r="BA38" i="56"/>
  <c r="BB38" i="56"/>
  <c r="BC38" i="56"/>
  <c r="BD38" i="56"/>
  <c r="BE38" i="56"/>
  <c r="BF38" i="56"/>
  <c r="BG38" i="56"/>
  <c r="BH38" i="56"/>
  <c r="BI38" i="56"/>
  <c r="BJ38" i="56"/>
  <c r="BK38" i="56"/>
  <c r="BL38" i="56"/>
  <c r="BM38" i="56"/>
  <c r="BS38" i="56"/>
  <c r="BX38" i="56" s="1"/>
  <c r="BT38" i="56"/>
  <c r="BU38" i="56"/>
  <c r="BY38" i="56" s="1"/>
  <c r="BO38" i="56" s="1"/>
  <c r="BP38" i="56"/>
  <c r="B39" i="56"/>
  <c r="C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BN38" i="56" l="1"/>
  <c r="BZ38" i="56"/>
  <c r="CA38" i="56" s="1"/>
  <c r="BV38" i="56"/>
  <c r="AE39" i="56"/>
  <c r="AF39" i="56"/>
  <c r="AJ39" i="56"/>
  <c r="AK39" i="56"/>
  <c r="AL39" i="56"/>
  <c r="AM39" i="56"/>
  <c r="AN39" i="56"/>
  <c r="AO39" i="56"/>
  <c r="AP39" i="56"/>
  <c r="AQ39" i="56"/>
  <c r="AR39" i="56"/>
  <c r="AS39" i="56"/>
  <c r="AT39" i="56"/>
  <c r="AU39" i="56"/>
  <c r="AV39" i="56"/>
  <c r="AW39" i="56"/>
  <c r="AX39" i="56"/>
  <c r="AY39" i="56"/>
  <c r="AZ39" i="56"/>
  <c r="BA39" i="56"/>
  <c r="BB39" i="56"/>
  <c r="BC39" i="56"/>
  <c r="BD39" i="56"/>
  <c r="BE39" i="56"/>
  <c r="BF39" i="56"/>
  <c r="BG39" i="56"/>
  <c r="BH39" i="56"/>
  <c r="BI39" i="56"/>
  <c r="BJ39" i="56"/>
  <c r="BK39" i="56"/>
  <c r="BL39" i="56"/>
  <c r="BM39" i="56"/>
  <c r="BS39" i="56"/>
  <c r="BX39" i="56"/>
  <c r="BN39" i="56"/>
  <c r="BT39" i="56"/>
  <c r="BU39" i="56"/>
  <c r="BY39" i="56" s="1"/>
  <c r="BP39" i="56"/>
  <c r="B40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BO39" i="56" l="1"/>
  <c r="BZ39" i="56"/>
  <c r="CA39" i="56" s="1"/>
  <c r="BV39" i="56"/>
  <c r="AE40" i="56"/>
  <c r="AF40" i="56"/>
  <c r="AJ40" i="56"/>
  <c r="AK40" i="56"/>
  <c r="AL40" i="56"/>
  <c r="AM40" i="56"/>
  <c r="AN40" i="56"/>
  <c r="AO40" i="56"/>
  <c r="AP40" i="56"/>
  <c r="AQ40" i="56"/>
  <c r="AR40" i="56"/>
  <c r="AS40" i="56"/>
  <c r="AT40" i="56"/>
  <c r="AU40" i="56"/>
  <c r="AV40" i="56"/>
  <c r="AW40" i="56"/>
  <c r="AX40" i="56"/>
  <c r="AY40" i="56"/>
  <c r="AZ40" i="56"/>
  <c r="BA40" i="56"/>
  <c r="BB40" i="56"/>
  <c r="BC40" i="56"/>
  <c r="BD40" i="56"/>
  <c r="BE40" i="56"/>
  <c r="BF40" i="56"/>
  <c r="BG40" i="56"/>
  <c r="BH40" i="56"/>
  <c r="BI40" i="56"/>
  <c r="BJ40" i="56"/>
  <c r="BK40" i="56"/>
  <c r="BL40" i="56"/>
  <c r="BM40" i="56"/>
  <c r="BS40" i="56"/>
  <c r="BX40" i="56" s="1"/>
  <c r="BT40" i="56"/>
  <c r="BU40" i="56"/>
  <c r="BY40" i="56" s="1"/>
  <c r="BO40" i="56" s="1"/>
  <c r="BP40" i="56"/>
  <c r="B41" i="56"/>
  <c r="C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BN40" i="56" l="1"/>
  <c r="BZ40" i="56"/>
  <c r="CA40" i="56" s="1"/>
  <c r="BV40" i="56"/>
  <c r="AE41" i="56"/>
  <c r="AF41" i="56"/>
  <c r="AJ41" i="56"/>
  <c r="AK41" i="56"/>
  <c r="AL41" i="56"/>
  <c r="AM41" i="56"/>
  <c r="AN41" i="56"/>
  <c r="AO41" i="56"/>
  <c r="AP41" i="56"/>
  <c r="AQ41" i="56"/>
  <c r="AR41" i="56"/>
  <c r="AS41" i="56"/>
  <c r="AT41" i="56"/>
  <c r="AU41" i="56"/>
  <c r="AV41" i="56"/>
  <c r="AW41" i="56"/>
  <c r="AX41" i="56"/>
  <c r="AY41" i="56"/>
  <c r="AZ41" i="56"/>
  <c r="BA41" i="56"/>
  <c r="BB41" i="56"/>
  <c r="BC41" i="56"/>
  <c r="BD41" i="56"/>
  <c r="BE41" i="56"/>
  <c r="BF41" i="56"/>
  <c r="BG41" i="56"/>
  <c r="BH41" i="56"/>
  <c r="BI41" i="56"/>
  <c r="BJ41" i="56"/>
  <c r="BK41" i="56"/>
  <c r="BL41" i="56"/>
  <c r="BM41" i="56"/>
  <c r="BS41" i="56"/>
  <c r="BX41" i="56" s="1"/>
  <c r="BT41" i="56"/>
  <c r="BU41" i="56"/>
  <c r="BV41" i="56" s="1"/>
  <c r="BY41" i="56"/>
  <c r="BO41" i="56"/>
  <c r="BP41" i="56"/>
  <c r="B42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BZ41" i="56" l="1"/>
  <c r="CA41" i="56" s="1"/>
  <c r="BN41" i="56"/>
  <c r="AE42" i="56"/>
  <c r="AF42" i="56"/>
  <c r="AJ42" i="56"/>
  <c r="AK42" i="56"/>
  <c r="AL42" i="56"/>
  <c r="AM42" i="56"/>
  <c r="AN42" i="56"/>
  <c r="AO42" i="56"/>
  <c r="AP42" i="56"/>
  <c r="AQ42" i="56"/>
  <c r="AR42" i="56"/>
  <c r="AS42" i="56"/>
  <c r="AT42" i="56"/>
  <c r="AU42" i="56"/>
  <c r="AV42" i="56"/>
  <c r="AW42" i="56"/>
  <c r="AX42" i="56"/>
  <c r="AY42" i="56"/>
  <c r="AZ42" i="56"/>
  <c r="BA42" i="56"/>
  <c r="BB42" i="56"/>
  <c r="BC42" i="56"/>
  <c r="BD42" i="56"/>
  <c r="BE42" i="56"/>
  <c r="BF42" i="56"/>
  <c r="BG42" i="56"/>
  <c r="BH42" i="56"/>
  <c r="BI42" i="56"/>
  <c r="BJ42" i="56"/>
  <c r="BK42" i="56"/>
  <c r="BL42" i="56"/>
  <c r="BM42" i="56"/>
  <c r="BS42" i="56"/>
  <c r="BX42" i="56" s="1"/>
  <c r="BT42" i="56"/>
  <c r="BU42" i="56"/>
  <c r="BY42" i="56" s="1"/>
  <c r="BO42" i="56" s="1"/>
  <c r="BP42" i="56"/>
  <c r="B43" i="56"/>
  <c r="C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BN42" i="56" l="1"/>
  <c r="BZ42" i="56"/>
  <c r="CA42" i="56" s="1"/>
  <c r="BV42" i="56"/>
  <c r="AE43" i="56"/>
  <c r="AF43" i="56"/>
  <c r="AJ43" i="56"/>
  <c r="AK43" i="56"/>
  <c r="AL43" i="56"/>
  <c r="AM43" i="56"/>
  <c r="AN43" i="56"/>
  <c r="AO43" i="56"/>
  <c r="AP43" i="56"/>
  <c r="AQ43" i="56"/>
  <c r="AR43" i="56"/>
  <c r="AS43" i="56"/>
  <c r="AT43" i="56"/>
  <c r="AU43" i="56"/>
  <c r="AV43" i="56"/>
  <c r="AW43" i="56"/>
  <c r="AX43" i="56"/>
  <c r="AY43" i="56"/>
  <c r="AZ43" i="56"/>
  <c r="BA43" i="56"/>
  <c r="BB43" i="56"/>
  <c r="BC43" i="56"/>
  <c r="BD43" i="56"/>
  <c r="BE43" i="56"/>
  <c r="BF43" i="56"/>
  <c r="BG43" i="56"/>
  <c r="BH43" i="56"/>
  <c r="BI43" i="56"/>
  <c r="BJ43" i="56"/>
  <c r="BK43" i="56"/>
  <c r="BL43" i="56"/>
  <c r="BM43" i="56"/>
  <c r="BS43" i="56"/>
  <c r="BX43" i="56" s="1"/>
  <c r="BT43" i="56"/>
  <c r="BU43" i="56"/>
  <c r="BY43" i="56" s="1"/>
  <c r="BO43" i="56" s="1"/>
  <c r="BP43" i="56"/>
  <c r="B44" i="56"/>
  <c r="C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BZ43" i="56" l="1"/>
  <c r="CA43" i="56" s="1"/>
  <c r="BN43" i="56"/>
  <c r="BV43" i="56"/>
  <c r="AE44" i="56"/>
  <c r="AF44" i="56"/>
  <c r="AJ44" i="56"/>
  <c r="AK44" i="56"/>
  <c r="AL44" i="56"/>
  <c r="AM44" i="56"/>
  <c r="AN44" i="56"/>
  <c r="AO44" i="56"/>
  <c r="AP44" i="56"/>
  <c r="AQ44" i="56"/>
  <c r="AR44" i="56"/>
  <c r="AS44" i="56"/>
  <c r="AT44" i="56"/>
  <c r="AU44" i="56"/>
  <c r="AV44" i="56"/>
  <c r="AW44" i="56"/>
  <c r="AX44" i="56"/>
  <c r="AY44" i="56"/>
  <c r="AZ44" i="56"/>
  <c r="BA44" i="56"/>
  <c r="BB44" i="56"/>
  <c r="BC44" i="56"/>
  <c r="BD44" i="56"/>
  <c r="BE44" i="56"/>
  <c r="BF44" i="56"/>
  <c r="BG44" i="56"/>
  <c r="BH44" i="56"/>
  <c r="BI44" i="56"/>
  <c r="BJ44" i="56"/>
  <c r="BK44" i="56"/>
  <c r="BL44" i="56"/>
  <c r="BM44" i="56"/>
  <c r="BS44" i="56"/>
  <c r="BX44" i="56"/>
  <c r="BN44" i="56"/>
  <c r="BT44" i="56"/>
  <c r="BU44" i="56"/>
  <c r="BY44" i="56" s="1"/>
  <c r="BP44" i="56"/>
  <c r="B45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BO44" i="56" l="1"/>
  <c r="BZ44" i="56"/>
  <c r="CA44" i="56" s="1"/>
  <c r="BV44" i="56"/>
  <c r="AE45" i="56"/>
  <c r="AF45" i="56"/>
  <c r="AJ45" i="56"/>
  <c r="AK45" i="56"/>
  <c r="AL45" i="56"/>
  <c r="AM45" i="56"/>
  <c r="AN45" i="56"/>
  <c r="AO45" i="56"/>
  <c r="AP45" i="56"/>
  <c r="AQ45" i="56"/>
  <c r="AR45" i="56"/>
  <c r="AS45" i="56"/>
  <c r="AT45" i="56"/>
  <c r="AU45" i="56"/>
  <c r="AV45" i="56"/>
  <c r="AW45" i="56"/>
  <c r="AX45" i="56"/>
  <c r="AY45" i="56"/>
  <c r="AZ45" i="56"/>
  <c r="BA45" i="56"/>
  <c r="BB45" i="56"/>
  <c r="BC45" i="56"/>
  <c r="BD45" i="56"/>
  <c r="BE45" i="56"/>
  <c r="BF45" i="56"/>
  <c r="BG45" i="56"/>
  <c r="BH45" i="56"/>
  <c r="BI45" i="56"/>
  <c r="BJ45" i="56"/>
  <c r="BK45" i="56"/>
  <c r="BL45" i="56"/>
  <c r="BM45" i="56"/>
  <c r="BS45" i="56"/>
  <c r="BX45" i="56"/>
  <c r="BN45" i="56"/>
  <c r="BT45" i="56"/>
  <c r="BU45" i="56"/>
  <c r="BY45" i="56" s="1"/>
  <c r="BP45" i="56"/>
  <c r="B46" i="56"/>
  <c r="C46" i="56"/>
  <c r="D46" i="56"/>
  <c r="E46" i="56"/>
  <c r="F46" i="56"/>
  <c r="G46" i="56"/>
  <c r="H46" i="56"/>
  <c r="I46" i="56"/>
  <c r="J46" i="56"/>
  <c r="K46" i="56"/>
  <c r="L46" i="56"/>
  <c r="M46" i="56"/>
  <c r="N46" i="56"/>
  <c r="O46" i="56"/>
  <c r="P46" i="56"/>
  <c r="Q46" i="56"/>
  <c r="R46" i="56"/>
  <c r="S46" i="56"/>
  <c r="T46" i="56"/>
  <c r="U46" i="56"/>
  <c r="V46" i="56"/>
  <c r="W46" i="56"/>
  <c r="X46" i="56"/>
  <c r="Y46" i="56"/>
  <c r="Z46" i="56"/>
  <c r="AA46" i="56"/>
  <c r="AB46" i="56"/>
  <c r="AC46" i="56"/>
  <c r="AD46" i="56"/>
  <c r="BO45" i="56" l="1"/>
  <c r="BZ45" i="56"/>
  <c r="CA45" i="56" s="1"/>
  <c r="BV45" i="56"/>
  <c r="AE46" i="56"/>
  <c r="AF46" i="56"/>
  <c r="AJ46" i="56"/>
  <c r="AK46" i="56"/>
  <c r="AL46" i="56"/>
  <c r="AM46" i="56"/>
  <c r="AN46" i="56"/>
  <c r="AO46" i="56"/>
  <c r="AP46" i="56"/>
  <c r="AQ46" i="56"/>
  <c r="AR46" i="56"/>
  <c r="AS46" i="56"/>
  <c r="AT46" i="56"/>
  <c r="AU46" i="56"/>
  <c r="AV46" i="56"/>
  <c r="AW46" i="56"/>
  <c r="AX46" i="56"/>
  <c r="AY46" i="56"/>
  <c r="AZ46" i="56"/>
  <c r="BA46" i="56"/>
  <c r="BB46" i="56"/>
  <c r="BC46" i="56"/>
  <c r="BD46" i="56"/>
  <c r="BE46" i="56"/>
  <c r="BF46" i="56"/>
  <c r="BG46" i="56"/>
  <c r="BH46" i="56"/>
  <c r="BI46" i="56"/>
  <c r="BJ46" i="56"/>
  <c r="BK46" i="56"/>
  <c r="BL46" i="56"/>
  <c r="BM46" i="56"/>
  <c r="BS46" i="56"/>
  <c r="BX46" i="56"/>
  <c r="BN46" i="56"/>
  <c r="BT46" i="56"/>
  <c r="BU46" i="56"/>
  <c r="BV46" i="56" s="1"/>
  <c r="BP46" i="56"/>
  <c r="B47" i="56"/>
  <c r="C47" i="56"/>
  <c r="D47" i="56"/>
  <c r="E47" i="56"/>
  <c r="F47" i="56"/>
  <c r="G47" i="56"/>
  <c r="H47" i="56"/>
  <c r="I47" i="56"/>
  <c r="J47" i="56"/>
  <c r="K47" i="56"/>
  <c r="L47" i="56"/>
  <c r="M47" i="56"/>
  <c r="N47" i="56"/>
  <c r="O47" i="56"/>
  <c r="P47" i="56"/>
  <c r="Q47" i="56"/>
  <c r="R47" i="56"/>
  <c r="S47" i="56"/>
  <c r="T47" i="56"/>
  <c r="U47" i="56"/>
  <c r="V47" i="56"/>
  <c r="W47" i="56"/>
  <c r="X47" i="56"/>
  <c r="Y47" i="56"/>
  <c r="Z47" i="56"/>
  <c r="AA47" i="56"/>
  <c r="AB47" i="56"/>
  <c r="AC47" i="56"/>
  <c r="AD47" i="56"/>
  <c r="BY46" i="56" l="1"/>
  <c r="AE47" i="56"/>
  <c r="AF47" i="56"/>
  <c r="AJ47" i="56"/>
  <c r="AK47" i="56"/>
  <c r="AL47" i="56"/>
  <c r="AM47" i="56"/>
  <c r="AN47" i="56"/>
  <c r="AO47" i="56"/>
  <c r="AP47" i="56"/>
  <c r="AQ47" i="56"/>
  <c r="AR47" i="56"/>
  <c r="AS47" i="56"/>
  <c r="AT47" i="56"/>
  <c r="AU47" i="56"/>
  <c r="AV47" i="56"/>
  <c r="AW47" i="56"/>
  <c r="AX47" i="56"/>
  <c r="AY47" i="56"/>
  <c r="AZ47" i="56"/>
  <c r="BA47" i="56"/>
  <c r="BB47" i="56"/>
  <c r="BC47" i="56"/>
  <c r="BD47" i="56"/>
  <c r="BE47" i="56"/>
  <c r="BF47" i="56"/>
  <c r="BG47" i="56"/>
  <c r="BH47" i="56"/>
  <c r="BI47" i="56"/>
  <c r="BJ47" i="56"/>
  <c r="BK47" i="56"/>
  <c r="BL47" i="56"/>
  <c r="BZ46" i="56" l="1"/>
  <c r="CA46" i="56" s="1"/>
  <c r="BO46" i="56"/>
  <c r="BM47" i="56"/>
  <c r="BS47" i="56"/>
  <c r="BX47" i="56" s="1"/>
  <c r="BT47" i="56"/>
  <c r="BU47" i="56" s="1"/>
  <c r="BP47" i="56"/>
  <c r="B48" i="56"/>
  <c r="C48" i="56"/>
  <c r="E48" i="56"/>
  <c r="F48" i="56"/>
  <c r="G48" i="56"/>
  <c r="H48" i="56"/>
  <c r="I48" i="56"/>
  <c r="J48" i="56"/>
  <c r="K48" i="56"/>
  <c r="L48" i="56"/>
  <c r="M48" i="56"/>
  <c r="N48" i="56"/>
  <c r="O48" i="56"/>
  <c r="P48" i="56"/>
  <c r="Q48" i="56"/>
  <c r="R48" i="56"/>
  <c r="S48" i="56"/>
  <c r="T48" i="56"/>
  <c r="U48" i="56"/>
  <c r="V48" i="56"/>
  <c r="W48" i="56"/>
  <c r="X48" i="56"/>
  <c r="Y48" i="56"/>
  <c r="Z48" i="56"/>
  <c r="AA48" i="56"/>
  <c r="AB48" i="56"/>
  <c r="AC48" i="56"/>
  <c r="AD48" i="56"/>
  <c r="BY47" i="56" l="1"/>
  <c r="BO47" i="56" s="1"/>
  <c r="BV47" i="56"/>
  <c r="BN47" i="56"/>
  <c r="BZ47" i="56"/>
  <c r="CA47" i="56" s="1"/>
  <c r="AE48" i="56"/>
  <c r="AF48" i="56"/>
  <c r="AJ48" i="56"/>
  <c r="AK48" i="56"/>
  <c r="AL48" i="56"/>
  <c r="AM48" i="56"/>
  <c r="AN48" i="56"/>
  <c r="AO48" i="56"/>
  <c r="AP48" i="56"/>
  <c r="AQ48" i="56"/>
  <c r="AR48" i="56"/>
  <c r="AS48" i="56"/>
  <c r="AT48" i="56"/>
  <c r="AU48" i="56"/>
  <c r="AV48" i="56"/>
  <c r="AW48" i="56"/>
  <c r="AX48" i="56"/>
  <c r="AY48" i="56"/>
  <c r="AZ48" i="56"/>
  <c r="BA48" i="56"/>
  <c r="BB48" i="56"/>
  <c r="BC48" i="56"/>
  <c r="BD48" i="56"/>
  <c r="BE48" i="56"/>
  <c r="BF48" i="56"/>
  <c r="BG48" i="56"/>
  <c r="BH48" i="56"/>
  <c r="BI48" i="56"/>
  <c r="BJ48" i="56"/>
  <c r="BK48" i="56"/>
  <c r="BL48" i="56"/>
  <c r="BM48" i="56"/>
  <c r="BS48" i="56"/>
  <c r="BX48" i="56"/>
  <c r="BN48" i="56"/>
  <c r="BT48" i="56"/>
  <c r="BU48" i="56"/>
  <c r="BY48" i="56" s="1"/>
  <c r="BP48" i="56"/>
  <c r="B49" i="56"/>
  <c r="C49" i="56"/>
  <c r="D49" i="56"/>
  <c r="E49" i="56"/>
  <c r="F49" i="56"/>
  <c r="G49" i="56"/>
  <c r="H49" i="56"/>
  <c r="I49" i="56"/>
  <c r="J49" i="56"/>
  <c r="K49" i="56"/>
  <c r="L49" i="56"/>
  <c r="M49" i="56"/>
  <c r="N49" i="56"/>
  <c r="O49" i="56"/>
  <c r="P49" i="56"/>
  <c r="Q49" i="56"/>
  <c r="R49" i="56"/>
  <c r="S49" i="56"/>
  <c r="T49" i="56"/>
  <c r="U49" i="56"/>
  <c r="V49" i="56"/>
  <c r="W49" i="56"/>
  <c r="X49" i="56"/>
  <c r="Y49" i="56"/>
  <c r="Z49" i="56"/>
  <c r="AA49" i="56"/>
  <c r="AB49" i="56"/>
  <c r="AC49" i="56"/>
  <c r="AD49" i="56"/>
  <c r="BO48" i="56" l="1"/>
  <c r="BZ48" i="56"/>
  <c r="CA48" i="56" s="1"/>
  <c r="BV48" i="56"/>
  <c r="AE49" i="56"/>
  <c r="AF49" i="56"/>
  <c r="AJ49" i="56"/>
  <c r="AK49" i="56"/>
  <c r="AL49" i="56"/>
  <c r="AM49" i="56"/>
  <c r="AN49" i="56"/>
  <c r="AO49" i="56"/>
  <c r="AP49" i="56"/>
  <c r="AQ49" i="56"/>
  <c r="AR49" i="56"/>
  <c r="AS49" i="56"/>
  <c r="AT49" i="56"/>
  <c r="AU49" i="56"/>
  <c r="AV49" i="56"/>
  <c r="AW49" i="56"/>
  <c r="AX49" i="56"/>
  <c r="AY49" i="56"/>
  <c r="AZ49" i="56"/>
  <c r="BA49" i="56"/>
  <c r="BB49" i="56"/>
  <c r="BC49" i="56"/>
  <c r="BD49" i="56"/>
  <c r="BE49" i="56"/>
  <c r="BF49" i="56"/>
  <c r="BG49" i="56"/>
  <c r="BH49" i="56"/>
  <c r="BI49" i="56"/>
  <c r="BJ49" i="56"/>
  <c r="BK49" i="56"/>
  <c r="BL49" i="56"/>
  <c r="BM49" i="56"/>
  <c r="BS49" i="56"/>
  <c r="BX49" i="56" s="1"/>
  <c r="BT49" i="56"/>
  <c r="BU49" i="56"/>
  <c r="BY49" i="56" s="1"/>
  <c r="BO49" i="56" s="1"/>
  <c r="BP49" i="56"/>
  <c r="B50" i="56"/>
  <c r="C50" i="56"/>
  <c r="E50" i="56"/>
  <c r="F50" i="56"/>
  <c r="G50" i="56"/>
  <c r="H50" i="56"/>
  <c r="I50" i="56"/>
  <c r="J50" i="56"/>
  <c r="K50" i="56"/>
  <c r="L50" i="56"/>
  <c r="M50" i="56"/>
  <c r="N50" i="56"/>
  <c r="O50" i="56"/>
  <c r="P50" i="56"/>
  <c r="Q50" i="56"/>
  <c r="R50" i="56"/>
  <c r="S50" i="56"/>
  <c r="T50" i="56"/>
  <c r="U50" i="56"/>
  <c r="V50" i="56"/>
  <c r="W50" i="56"/>
  <c r="X50" i="56"/>
  <c r="Y50" i="56"/>
  <c r="Z50" i="56"/>
  <c r="AA50" i="56"/>
  <c r="AB50" i="56"/>
  <c r="AC50" i="56"/>
  <c r="AD50" i="56"/>
  <c r="BN49" i="56" l="1"/>
  <c r="BZ49" i="56"/>
  <c r="CA49" i="56" s="1"/>
  <c r="BV49" i="56"/>
  <c r="AE50" i="56"/>
  <c r="AF50" i="56"/>
  <c r="AJ50" i="56"/>
  <c r="AK50" i="56"/>
  <c r="AL50" i="56"/>
  <c r="AM50" i="56"/>
  <c r="AN50" i="56"/>
  <c r="AO50" i="56"/>
  <c r="AP50" i="56"/>
  <c r="AQ50" i="56"/>
  <c r="AR50" i="56"/>
  <c r="AS50" i="56"/>
  <c r="AT50" i="56"/>
  <c r="AU50" i="56"/>
  <c r="AV50" i="56"/>
  <c r="AW50" i="56"/>
  <c r="AX50" i="56"/>
  <c r="AY50" i="56"/>
  <c r="AZ50" i="56"/>
  <c r="BA50" i="56"/>
  <c r="BB50" i="56"/>
  <c r="BC50" i="56"/>
  <c r="BD50" i="56"/>
  <c r="BE50" i="56"/>
  <c r="BF50" i="56"/>
  <c r="BG50" i="56"/>
  <c r="BH50" i="56"/>
  <c r="BI50" i="56"/>
  <c r="BJ50" i="56"/>
  <c r="BK50" i="56"/>
  <c r="BL50" i="56"/>
  <c r="BM50" i="56"/>
  <c r="BS50" i="56"/>
  <c r="BX50" i="56"/>
  <c r="BN50" i="56"/>
  <c r="BT50" i="56"/>
  <c r="BU50" i="56"/>
  <c r="BY50" i="56" s="1"/>
  <c r="BP50" i="56"/>
  <c r="B51" i="56"/>
  <c r="C51" i="56"/>
  <c r="D51" i="56"/>
  <c r="E51" i="56"/>
  <c r="F51" i="56"/>
  <c r="G51" i="56"/>
  <c r="H51" i="56"/>
  <c r="I51" i="56"/>
  <c r="J51" i="56"/>
  <c r="K51" i="56"/>
  <c r="L51" i="56"/>
  <c r="M51" i="56"/>
  <c r="N51" i="56"/>
  <c r="O51" i="56"/>
  <c r="P51" i="56"/>
  <c r="Q51" i="56"/>
  <c r="R51" i="56"/>
  <c r="S51" i="56"/>
  <c r="T51" i="56"/>
  <c r="U51" i="56"/>
  <c r="V51" i="56"/>
  <c r="W51" i="56"/>
  <c r="X51" i="56"/>
  <c r="Y51" i="56"/>
  <c r="Z51" i="56"/>
  <c r="AA51" i="56"/>
  <c r="AB51" i="56"/>
  <c r="AC51" i="56"/>
  <c r="AD51" i="56"/>
  <c r="BO50" i="56" l="1"/>
  <c r="BZ50" i="56"/>
  <c r="CA50" i="56" s="1"/>
  <c r="BV50" i="56"/>
  <c r="AE51" i="56"/>
  <c r="AF51" i="56"/>
  <c r="AJ51" i="56"/>
  <c r="AK51" i="56"/>
  <c r="AL51" i="56"/>
  <c r="AM51" i="56"/>
  <c r="AN51" i="56"/>
  <c r="AO51" i="56"/>
  <c r="AP51" i="56"/>
  <c r="AQ51" i="56"/>
  <c r="AR51" i="56"/>
  <c r="AS51" i="56"/>
  <c r="AT51" i="56"/>
  <c r="AU51" i="56"/>
  <c r="AV51" i="56"/>
  <c r="AW51" i="56"/>
  <c r="AX51" i="56"/>
  <c r="AY51" i="56"/>
  <c r="AZ51" i="56"/>
  <c r="BA51" i="56"/>
  <c r="BB51" i="56"/>
  <c r="BC51" i="56"/>
  <c r="BD51" i="56"/>
  <c r="BE51" i="56"/>
  <c r="BF51" i="56"/>
  <c r="BG51" i="56"/>
  <c r="BH51" i="56"/>
  <c r="BI51" i="56"/>
  <c r="BJ51" i="56"/>
  <c r="BK51" i="56"/>
  <c r="BL51" i="56"/>
  <c r="BM51" i="56"/>
  <c r="BS51" i="56"/>
  <c r="BX51" i="56"/>
  <c r="BN51" i="56"/>
  <c r="BT51" i="56"/>
  <c r="BU51" i="56"/>
  <c r="BV51" i="56" s="1"/>
  <c r="BP51" i="56"/>
  <c r="B52" i="56"/>
  <c r="C52" i="56"/>
  <c r="D52" i="56"/>
  <c r="E52" i="56"/>
  <c r="F52" i="56"/>
  <c r="G52" i="56"/>
  <c r="H52" i="56"/>
  <c r="I52" i="56"/>
  <c r="J52" i="56"/>
  <c r="K52" i="56"/>
  <c r="L52" i="56"/>
  <c r="M52" i="56"/>
  <c r="N52" i="56"/>
  <c r="O52" i="56"/>
  <c r="P52" i="56"/>
  <c r="Q52" i="56"/>
  <c r="R52" i="56"/>
  <c r="S52" i="56"/>
  <c r="T52" i="56"/>
  <c r="U52" i="56"/>
  <c r="V52" i="56"/>
  <c r="W52" i="56"/>
  <c r="X52" i="56"/>
  <c r="Y52" i="56"/>
  <c r="Z52" i="56"/>
  <c r="AA52" i="56"/>
  <c r="AB52" i="56"/>
  <c r="AC52" i="56"/>
  <c r="AD52" i="56"/>
  <c r="BY51" i="56" l="1"/>
  <c r="AE52" i="56"/>
  <c r="AF52" i="56"/>
  <c r="AJ52" i="56"/>
  <c r="AK52" i="56"/>
  <c r="AL52" i="56"/>
  <c r="AM52" i="56"/>
  <c r="AN52" i="56"/>
  <c r="AO52" i="56"/>
  <c r="AP52" i="56"/>
  <c r="AQ52" i="56"/>
  <c r="AR52" i="56"/>
  <c r="AS52" i="56"/>
  <c r="AT52" i="56"/>
  <c r="AU52" i="56"/>
  <c r="AV52" i="56"/>
  <c r="AW52" i="56"/>
  <c r="AX52" i="56"/>
  <c r="AY52" i="56"/>
  <c r="AZ52" i="56"/>
  <c r="BA52" i="56"/>
  <c r="BB52" i="56"/>
  <c r="BC52" i="56"/>
  <c r="BD52" i="56"/>
  <c r="BE52" i="56"/>
  <c r="BF52" i="56"/>
  <c r="BG52" i="56"/>
  <c r="BH52" i="56"/>
  <c r="BI52" i="56"/>
  <c r="BJ52" i="56"/>
  <c r="BK52" i="56"/>
  <c r="BL52" i="56"/>
  <c r="BZ51" i="56" l="1"/>
  <c r="CA51" i="56" s="1"/>
  <c r="BO51" i="56"/>
  <c r="BM52" i="56"/>
  <c r="BS52" i="56"/>
  <c r="BX52" i="56"/>
  <c r="BN52" i="56"/>
  <c r="BT52" i="56"/>
  <c r="BU52" i="56"/>
  <c r="BV52" i="56" s="1"/>
  <c r="BY52" i="56"/>
  <c r="BZ52" i="56" s="1"/>
  <c r="CA52" i="56" s="1"/>
  <c r="BO52" i="56"/>
  <c r="BP52" i="56"/>
  <c r="B53" i="56"/>
  <c r="C53" i="56"/>
  <c r="D53" i="56"/>
  <c r="E53" i="56"/>
  <c r="F53" i="56"/>
  <c r="G53" i="56"/>
  <c r="H53" i="56"/>
  <c r="I53" i="56"/>
  <c r="J53" i="56"/>
  <c r="K53" i="56"/>
  <c r="L53" i="56"/>
  <c r="M53" i="56"/>
  <c r="N53" i="56"/>
  <c r="O53" i="56"/>
  <c r="P53" i="56"/>
  <c r="Q53" i="56"/>
  <c r="R53" i="56"/>
  <c r="S53" i="56"/>
  <c r="T53" i="56"/>
  <c r="U53" i="56"/>
  <c r="V53" i="56"/>
  <c r="W53" i="56"/>
  <c r="X53" i="56"/>
  <c r="Y53" i="56"/>
  <c r="Z53" i="56"/>
  <c r="AA53" i="56"/>
  <c r="AB53" i="56"/>
  <c r="AC53" i="56"/>
  <c r="AD53" i="56"/>
  <c r="AE53" i="56"/>
  <c r="AF53" i="56"/>
  <c r="AJ53" i="56"/>
  <c r="AK53" i="56"/>
  <c r="AL53" i="56"/>
  <c r="AM53" i="56"/>
  <c r="AN53" i="56"/>
  <c r="AO53" i="56"/>
  <c r="AP53" i="56"/>
  <c r="AQ53" i="56"/>
  <c r="AR53" i="56"/>
  <c r="AS53" i="56"/>
  <c r="AT53" i="56"/>
  <c r="AU53" i="56"/>
  <c r="AV53" i="56"/>
  <c r="AW53" i="56"/>
  <c r="AX53" i="56"/>
  <c r="AY53" i="56"/>
  <c r="AZ53" i="56"/>
  <c r="BA53" i="56"/>
  <c r="BB53" i="56"/>
  <c r="BC53" i="56"/>
  <c r="BD53" i="56"/>
  <c r="BE53" i="56"/>
  <c r="BF53" i="56"/>
  <c r="BG53" i="56"/>
  <c r="BH53" i="56"/>
  <c r="BI53" i="56"/>
  <c r="BJ53" i="56"/>
  <c r="BK53" i="56"/>
  <c r="BL53" i="56"/>
  <c r="BM53" i="56"/>
  <c r="BS53" i="56"/>
  <c r="BX53" i="56"/>
  <c r="BN53" i="56"/>
  <c r="BT53" i="56"/>
  <c r="BU53" i="56"/>
  <c r="BY53" i="56" s="1"/>
  <c r="BP53" i="56"/>
  <c r="B54" i="56"/>
  <c r="C54" i="56"/>
  <c r="D54" i="56"/>
  <c r="E54" i="56"/>
  <c r="F54" i="56"/>
  <c r="G54" i="56"/>
  <c r="H54" i="56"/>
  <c r="I54" i="56"/>
  <c r="J54" i="56"/>
  <c r="K54" i="56"/>
  <c r="L54" i="56"/>
  <c r="M54" i="56"/>
  <c r="N54" i="56"/>
  <c r="O54" i="56"/>
  <c r="P54" i="56"/>
  <c r="Q54" i="56"/>
  <c r="R54" i="56"/>
  <c r="S54" i="56"/>
  <c r="T54" i="56"/>
  <c r="U54" i="56"/>
  <c r="V54" i="56"/>
  <c r="W54" i="56"/>
  <c r="X54" i="56"/>
  <c r="Y54" i="56"/>
  <c r="Z54" i="56"/>
  <c r="AA54" i="56"/>
  <c r="AB54" i="56"/>
  <c r="AC54" i="56"/>
  <c r="AD54" i="56"/>
  <c r="BO53" i="56" l="1"/>
  <c r="BZ53" i="56"/>
  <c r="CA53" i="56" s="1"/>
  <c r="BV53" i="56"/>
  <c r="AE54" i="56"/>
  <c r="AF54" i="56"/>
  <c r="AJ54" i="56"/>
  <c r="AK54" i="56"/>
  <c r="AL54" i="56"/>
  <c r="AM54" i="56"/>
  <c r="AN54" i="56"/>
  <c r="AO54" i="56"/>
  <c r="AP54" i="56"/>
  <c r="AQ54" i="56"/>
  <c r="AR54" i="56"/>
  <c r="AS54" i="56"/>
  <c r="AT54" i="56"/>
  <c r="AU54" i="56"/>
  <c r="AV54" i="56"/>
  <c r="AW54" i="56"/>
  <c r="AX54" i="56"/>
  <c r="AY54" i="56"/>
  <c r="AZ54" i="56"/>
  <c r="BA54" i="56"/>
  <c r="BB54" i="56"/>
  <c r="BC54" i="56"/>
  <c r="BD54" i="56"/>
  <c r="BE54" i="56"/>
  <c r="BF54" i="56"/>
  <c r="BG54" i="56"/>
  <c r="BH54" i="56"/>
  <c r="BI54" i="56"/>
  <c r="BJ54" i="56"/>
  <c r="BK54" i="56"/>
  <c r="BL54" i="56"/>
  <c r="BM54" i="56"/>
  <c r="BS54" i="56"/>
  <c r="BX54" i="56"/>
  <c r="BN54" i="56"/>
  <c r="BT54" i="56"/>
  <c r="BU54" i="56"/>
  <c r="BY54" i="56" s="1"/>
  <c r="BP54" i="56"/>
  <c r="B55" i="56"/>
  <c r="C55" i="56"/>
  <c r="D55" i="56"/>
  <c r="E55" i="56"/>
  <c r="F55" i="56"/>
  <c r="G55" i="56"/>
  <c r="H55" i="56"/>
  <c r="I55" i="56"/>
  <c r="J55" i="56"/>
  <c r="K55" i="56"/>
  <c r="L55" i="56"/>
  <c r="M55" i="56"/>
  <c r="N55" i="56"/>
  <c r="O55" i="56"/>
  <c r="P55" i="56"/>
  <c r="Q55" i="56"/>
  <c r="R55" i="56"/>
  <c r="S55" i="56"/>
  <c r="T55" i="56"/>
  <c r="U55" i="56"/>
  <c r="V55" i="56"/>
  <c r="W55" i="56"/>
  <c r="X55" i="56"/>
  <c r="Y55" i="56"/>
  <c r="Z55" i="56"/>
  <c r="AA55" i="56"/>
  <c r="AB55" i="56"/>
  <c r="AC55" i="56"/>
  <c r="AD55" i="56"/>
  <c r="BO54" i="56" l="1"/>
  <c r="BZ54" i="56"/>
  <c r="CA54" i="56" s="1"/>
  <c r="BV54" i="56"/>
  <c r="AE55" i="56"/>
  <c r="AF55" i="56"/>
  <c r="AJ55" i="56"/>
  <c r="AK55" i="56"/>
  <c r="AL55" i="56"/>
  <c r="AM55" i="56"/>
  <c r="AN55" i="56"/>
  <c r="AO55" i="56"/>
  <c r="AP55" i="56"/>
  <c r="AQ55" i="56"/>
  <c r="AR55" i="56"/>
  <c r="AS55" i="56"/>
  <c r="AT55" i="56"/>
  <c r="AU55" i="56"/>
  <c r="AV55" i="56"/>
  <c r="AW55" i="56"/>
  <c r="AX55" i="56"/>
  <c r="AY55" i="56"/>
  <c r="AZ55" i="56"/>
  <c r="BA55" i="56"/>
  <c r="BB55" i="56"/>
  <c r="BC55" i="56"/>
  <c r="BD55" i="56"/>
  <c r="BE55" i="56"/>
  <c r="BF55" i="56"/>
  <c r="BG55" i="56"/>
  <c r="BH55" i="56"/>
  <c r="BI55" i="56"/>
  <c r="BJ55" i="56"/>
  <c r="BK55" i="56"/>
  <c r="BL55" i="56"/>
  <c r="BM55" i="56"/>
  <c r="BS55" i="56"/>
  <c r="BX55" i="56" s="1"/>
  <c r="BT55" i="56"/>
  <c r="BU55" i="56"/>
  <c r="BY55" i="56" s="1"/>
  <c r="BO55" i="56" s="1"/>
  <c r="BP55" i="56"/>
  <c r="B56" i="56"/>
  <c r="C56" i="56"/>
  <c r="E56" i="56"/>
  <c r="F56" i="56"/>
  <c r="G56" i="56"/>
  <c r="H56" i="56"/>
  <c r="I56" i="56"/>
  <c r="J56" i="56"/>
  <c r="K56" i="56"/>
  <c r="L56" i="56"/>
  <c r="M56" i="56"/>
  <c r="N56" i="56"/>
  <c r="O56" i="56"/>
  <c r="P56" i="56"/>
  <c r="Q56" i="56"/>
  <c r="R56" i="56"/>
  <c r="S56" i="56"/>
  <c r="T56" i="56"/>
  <c r="U56" i="56"/>
  <c r="V56" i="56"/>
  <c r="W56" i="56"/>
  <c r="X56" i="56"/>
  <c r="Y56" i="56"/>
  <c r="Z56" i="56"/>
  <c r="AA56" i="56"/>
  <c r="AB56" i="56"/>
  <c r="AC56" i="56"/>
  <c r="AD56" i="56"/>
  <c r="BZ55" i="56" l="1"/>
  <c r="CA55" i="56" s="1"/>
  <c r="BN55" i="56"/>
  <c r="BV55" i="56"/>
  <c r="AE56" i="56"/>
  <c r="AF56" i="56"/>
  <c r="AJ56" i="56"/>
  <c r="AK56" i="56"/>
  <c r="AL56" i="56"/>
  <c r="AM56" i="56"/>
  <c r="AN56" i="56"/>
  <c r="AO56" i="56"/>
  <c r="AP56" i="56"/>
  <c r="AQ56" i="56"/>
  <c r="AR56" i="56"/>
  <c r="AS56" i="56"/>
  <c r="AT56" i="56"/>
  <c r="AU56" i="56"/>
  <c r="AV56" i="56"/>
  <c r="AW56" i="56"/>
  <c r="AX56" i="56"/>
  <c r="AY56" i="56"/>
  <c r="AZ56" i="56"/>
  <c r="BA56" i="56"/>
  <c r="BB56" i="56"/>
  <c r="BC56" i="56"/>
  <c r="BD56" i="56"/>
  <c r="BE56" i="56"/>
  <c r="BF56" i="56"/>
  <c r="BG56" i="56"/>
  <c r="BH56" i="56"/>
  <c r="BI56" i="56"/>
  <c r="BJ56" i="56"/>
  <c r="BK56" i="56"/>
  <c r="BL56" i="56"/>
  <c r="BM56" i="56"/>
  <c r="BS56" i="56"/>
  <c r="BX56" i="56" s="1"/>
  <c r="BT56" i="56"/>
  <c r="BU56" i="56"/>
  <c r="BV56" i="56" s="1"/>
  <c r="BY56" i="56"/>
  <c r="BO56" i="56"/>
  <c r="BP56" i="56"/>
  <c r="B57" i="56"/>
  <c r="C57" i="56"/>
  <c r="D57" i="56"/>
  <c r="E57" i="56"/>
  <c r="F57" i="56"/>
  <c r="G57" i="56"/>
  <c r="H57" i="56"/>
  <c r="I57" i="56"/>
  <c r="J57" i="56"/>
  <c r="K57" i="56"/>
  <c r="L57" i="56"/>
  <c r="M57" i="56"/>
  <c r="N57" i="56"/>
  <c r="O57" i="56"/>
  <c r="P57" i="56"/>
  <c r="Q57" i="56"/>
  <c r="R57" i="56"/>
  <c r="S57" i="56"/>
  <c r="T57" i="56"/>
  <c r="U57" i="56"/>
  <c r="V57" i="56"/>
  <c r="W57" i="56"/>
  <c r="X57" i="56"/>
  <c r="Y57" i="56"/>
  <c r="Z57" i="56"/>
  <c r="AA57" i="56"/>
  <c r="AB57" i="56"/>
  <c r="AC57" i="56"/>
  <c r="AD57" i="56"/>
  <c r="CA56" i="56" l="1"/>
  <c r="BZ56" i="56"/>
  <c r="BN56" i="56"/>
  <c r="AE57" i="56"/>
  <c r="AF57" i="56"/>
  <c r="AJ57" i="56"/>
  <c r="AK57" i="56"/>
  <c r="AL57" i="56"/>
  <c r="AM57" i="56"/>
  <c r="AN57" i="56"/>
  <c r="AO57" i="56"/>
  <c r="AP57" i="56"/>
  <c r="AQ57" i="56"/>
  <c r="AR57" i="56"/>
  <c r="AS57" i="56"/>
  <c r="AT57" i="56"/>
  <c r="AU57" i="56"/>
  <c r="AV57" i="56"/>
  <c r="AW57" i="56"/>
  <c r="AX57" i="56"/>
  <c r="AY57" i="56"/>
  <c r="AZ57" i="56"/>
  <c r="BA57" i="56"/>
  <c r="BB57" i="56"/>
  <c r="BC57" i="56"/>
  <c r="BD57" i="56"/>
  <c r="BE57" i="56"/>
  <c r="BF57" i="56"/>
  <c r="BG57" i="56"/>
  <c r="BH57" i="56"/>
  <c r="BI57" i="56"/>
  <c r="BJ57" i="56"/>
  <c r="BK57" i="56"/>
  <c r="BL57" i="56"/>
  <c r="BM57" i="56"/>
  <c r="BS57" i="56"/>
  <c r="BX57" i="56" s="1"/>
  <c r="BT57" i="56"/>
  <c r="BU57" i="56"/>
  <c r="BV57" i="56" s="1"/>
  <c r="BY57" i="56"/>
  <c r="BO57" i="56"/>
  <c r="BP57" i="56"/>
  <c r="B58" i="56"/>
  <c r="C58" i="56"/>
  <c r="D58" i="56"/>
  <c r="E58" i="56"/>
  <c r="F58" i="56"/>
  <c r="G58" i="56"/>
  <c r="H58" i="56"/>
  <c r="I58" i="56"/>
  <c r="J58" i="56"/>
  <c r="K58" i="56"/>
  <c r="L58" i="56"/>
  <c r="M58" i="56"/>
  <c r="N58" i="56"/>
  <c r="O58" i="56"/>
  <c r="P58" i="56"/>
  <c r="Q58" i="56"/>
  <c r="R58" i="56"/>
  <c r="S58" i="56"/>
  <c r="T58" i="56"/>
  <c r="U58" i="56"/>
  <c r="V58" i="56"/>
  <c r="W58" i="56"/>
  <c r="X58" i="56"/>
  <c r="Y58" i="56"/>
  <c r="Z58" i="56"/>
  <c r="AA58" i="56"/>
  <c r="AB58" i="56"/>
  <c r="AC58" i="56"/>
  <c r="AD58" i="56"/>
  <c r="BZ57" i="56" l="1"/>
  <c r="CA57" i="56" s="1"/>
  <c r="BN57" i="56"/>
  <c r="AE58" i="56"/>
  <c r="AF58" i="56"/>
  <c r="AJ58" i="56"/>
  <c r="AK58" i="56"/>
  <c r="AL58" i="56"/>
  <c r="AM58" i="56"/>
  <c r="AN58" i="56"/>
  <c r="AO58" i="56"/>
  <c r="AP58" i="56"/>
  <c r="AQ58" i="56"/>
  <c r="AR58" i="56"/>
  <c r="AS58" i="56"/>
  <c r="AT58" i="56"/>
  <c r="AU58" i="56"/>
  <c r="AV58" i="56"/>
  <c r="AW58" i="56"/>
  <c r="AX58" i="56"/>
  <c r="AY58" i="56"/>
  <c r="AZ58" i="56"/>
  <c r="BA58" i="56"/>
  <c r="BB58" i="56"/>
  <c r="BC58" i="56"/>
  <c r="BD58" i="56"/>
  <c r="BE58" i="56"/>
  <c r="BF58" i="56"/>
  <c r="BG58" i="56"/>
  <c r="BH58" i="56"/>
  <c r="BI58" i="56"/>
  <c r="BJ58" i="56"/>
  <c r="BK58" i="56"/>
  <c r="BL58" i="56"/>
  <c r="BM58" i="56"/>
  <c r="BS58" i="56"/>
  <c r="BX58" i="56" s="1"/>
  <c r="BT58" i="56"/>
  <c r="BU58" i="56"/>
  <c r="BV58" i="56" s="1"/>
  <c r="BP58" i="56"/>
  <c r="B59" i="56"/>
  <c r="C59" i="56"/>
  <c r="D59" i="56"/>
  <c r="E59" i="56"/>
  <c r="F59" i="56"/>
  <c r="G59" i="56"/>
  <c r="H59" i="56"/>
  <c r="I59" i="56"/>
  <c r="J59" i="56"/>
  <c r="K59" i="56"/>
  <c r="L59" i="56"/>
  <c r="M59" i="56"/>
  <c r="N59" i="56"/>
  <c r="O59" i="56"/>
  <c r="P59" i="56"/>
  <c r="Q59" i="56"/>
  <c r="R59" i="56"/>
  <c r="S59" i="56"/>
  <c r="T59" i="56"/>
  <c r="U59" i="56"/>
  <c r="V59" i="56"/>
  <c r="W59" i="56"/>
  <c r="X59" i="56"/>
  <c r="Y59" i="56"/>
  <c r="Z59" i="56"/>
  <c r="AA59" i="56"/>
  <c r="AB59" i="56"/>
  <c r="AC59" i="56"/>
  <c r="AD59" i="56"/>
  <c r="BZ58" i="56" l="1"/>
  <c r="CA58" i="56" s="1"/>
  <c r="BN58" i="56"/>
  <c r="BY58" i="56"/>
  <c r="BO58" i="56" s="1"/>
  <c r="AE59" i="56"/>
  <c r="AF59" i="56"/>
  <c r="AJ59" i="56"/>
  <c r="AK59" i="56"/>
  <c r="AL59" i="56"/>
  <c r="AM59" i="56"/>
  <c r="AN59" i="56"/>
  <c r="AO59" i="56"/>
  <c r="AP59" i="56"/>
  <c r="AQ59" i="56"/>
  <c r="AR59" i="56"/>
  <c r="AS59" i="56"/>
  <c r="AT59" i="56"/>
  <c r="AU59" i="56"/>
  <c r="AV59" i="56"/>
  <c r="AW59" i="56"/>
  <c r="AX59" i="56"/>
  <c r="AY59" i="56"/>
  <c r="AZ59" i="56"/>
  <c r="BA59" i="56"/>
  <c r="BB59" i="56"/>
  <c r="BC59" i="56"/>
  <c r="BD59" i="56"/>
  <c r="BE59" i="56"/>
  <c r="BF59" i="56"/>
  <c r="BG59" i="56"/>
  <c r="BH59" i="56"/>
  <c r="BI59" i="56"/>
  <c r="BJ59" i="56"/>
  <c r="BK59" i="56"/>
  <c r="BL59" i="56"/>
  <c r="BM59" i="56"/>
  <c r="BS59" i="56"/>
  <c r="BU59" i="56" s="1"/>
  <c r="BX59" i="56"/>
  <c r="BN59" i="56"/>
  <c r="BT59" i="56"/>
  <c r="BP59" i="56"/>
  <c r="B60" i="56"/>
  <c r="C60" i="56"/>
  <c r="D60" i="56"/>
  <c r="E60" i="56"/>
  <c r="F60" i="56"/>
  <c r="G60" i="56"/>
  <c r="H60" i="56"/>
  <c r="I60" i="56"/>
  <c r="J60" i="56"/>
  <c r="K60" i="56"/>
  <c r="L60" i="56"/>
  <c r="M60" i="56"/>
  <c r="N60" i="56"/>
  <c r="O60" i="56"/>
  <c r="P60" i="56"/>
  <c r="Q60" i="56"/>
  <c r="R60" i="56"/>
  <c r="S60" i="56"/>
  <c r="T60" i="56"/>
  <c r="U60" i="56"/>
  <c r="V60" i="56"/>
  <c r="W60" i="56"/>
  <c r="X60" i="56"/>
  <c r="Y60" i="56"/>
  <c r="Z60" i="56"/>
  <c r="AA60" i="56"/>
  <c r="AB60" i="56"/>
  <c r="AC60" i="56"/>
  <c r="AD60" i="56"/>
  <c r="BY59" i="56" l="1"/>
  <c r="BV59" i="56"/>
  <c r="AE60" i="56"/>
  <c r="AF60" i="56"/>
  <c r="AJ60" i="56"/>
  <c r="AK60" i="56"/>
  <c r="AL60" i="56"/>
  <c r="AM60" i="56"/>
  <c r="AN60" i="56"/>
  <c r="AO60" i="56"/>
  <c r="AP60" i="56"/>
  <c r="AQ60" i="56"/>
  <c r="AR60" i="56"/>
  <c r="AS60" i="56"/>
  <c r="AT60" i="56"/>
  <c r="AU60" i="56"/>
  <c r="AV60" i="56"/>
  <c r="AW60" i="56"/>
  <c r="AX60" i="56"/>
  <c r="AY60" i="56"/>
  <c r="AZ60" i="56"/>
  <c r="BA60" i="56"/>
  <c r="BB60" i="56"/>
  <c r="BC60" i="56"/>
  <c r="BD60" i="56"/>
  <c r="BE60" i="56"/>
  <c r="BF60" i="56"/>
  <c r="BG60" i="56"/>
  <c r="BH60" i="56"/>
  <c r="BI60" i="56"/>
  <c r="BJ60" i="56"/>
  <c r="BK60" i="56"/>
  <c r="BL60" i="56"/>
  <c r="BO59" i="56" l="1"/>
  <c r="BZ59" i="56"/>
  <c r="CA59" i="56" s="1"/>
  <c r="BM60" i="56"/>
  <c r="BS60" i="56"/>
  <c r="BX60" i="56"/>
  <c r="BN60" i="56"/>
  <c r="BT60" i="56"/>
  <c r="BU60" i="56" s="1"/>
  <c r="BP60" i="56"/>
  <c r="B61" i="56"/>
  <c r="C61" i="56"/>
  <c r="E61" i="56"/>
  <c r="F61" i="56"/>
  <c r="G61" i="56"/>
  <c r="H61" i="56"/>
  <c r="I61" i="56"/>
  <c r="J61" i="56"/>
  <c r="K61" i="56"/>
  <c r="L61" i="56"/>
  <c r="M61" i="56"/>
  <c r="N61" i="56"/>
  <c r="O61" i="56"/>
  <c r="P61" i="56"/>
  <c r="Q61" i="56"/>
  <c r="R61" i="56"/>
  <c r="S61" i="56"/>
  <c r="T61" i="56"/>
  <c r="U61" i="56"/>
  <c r="V61" i="56"/>
  <c r="W61" i="56"/>
  <c r="X61" i="56"/>
  <c r="Y61" i="56"/>
  <c r="Z61" i="56"/>
  <c r="AA61" i="56"/>
  <c r="AB61" i="56"/>
  <c r="AC61" i="56"/>
  <c r="AD61" i="56"/>
  <c r="BY60" i="56" l="1"/>
  <c r="BV60" i="56"/>
  <c r="AE61" i="56"/>
  <c r="AF61" i="56"/>
  <c r="AJ61" i="56"/>
  <c r="AK61" i="56"/>
  <c r="AL61" i="56"/>
  <c r="AM61" i="56"/>
  <c r="AN61" i="56"/>
  <c r="AO61" i="56"/>
  <c r="AP61" i="56"/>
  <c r="AQ61" i="56"/>
  <c r="AR61" i="56"/>
  <c r="AS61" i="56"/>
  <c r="AT61" i="56"/>
  <c r="AU61" i="56"/>
  <c r="AV61" i="56"/>
  <c r="AW61" i="56"/>
  <c r="AX61" i="56"/>
  <c r="AY61" i="56"/>
  <c r="AZ61" i="56"/>
  <c r="BA61" i="56"/>
  <c r="BB61" i="56"/>
  <c r="BC61" i="56"/>
  <c r="BD61" i="56"/>
  <c r="BE61" i="56"/>
  <c r="BF61" i="56"/>
  <c r="BG61" i="56"/>
  <c r="BH61" i="56"/>
  <c r="BI61" i="56"/>
  <c r="BJ61" i="56"/>
  <c r="BK61" i="56"/>
  <c r="BL61" i="56"/>
  <c r="BO60" i="56" l="1"/>
  <c r="BZ60" i="56"/>
  <c r="CA60" i="56" s="1"/>
  <c r="BM61" i="56"/>
  <c r="BS61" i="56"/>
  <c r="BX61" i="56"/>
  <c r="BN61" i="56"/>
  <c r="BT61" i="56"/>
  <c r="BU61" i="56" s="1"/>
  <c r="BP61" i="56"/>
  <c r="B62" i="56"/>
  <c r="C62" i="56"/>
  <c r="D62" i="56"/>
  <c r="E62" i="56"/>
  <c r="F62" i="56"/>
  <c r="G62" i="56"/>
  <c r="H62" i="56"/>
  <c r="I62" i="56"/>
  <c r="J62" i="56"/>
  <c r="K62" i="56"/>
  <c r="L62" i="56"/>
  <c r="M62" i="56"/>
  <c r="N62" i="56"/>
  <c r="O62" i="56"/>
  <c r="P62" i="56"/>
  <c r="Q62" i="56"/>
  <c r="R62" i="56"/>
  <c r="S62" i="56"/>
  <c r="T62" i="56"/>
  <c r="U62" i="56"/>
  <c r="V62" i="56"/>
  <c r="W62" i="56"/>
  <c r="X62" i="56"/>
  <c r="Y62" i="56"/>
  <c r="Z62" i="56"/>
  <c r="AA62" i="56"/>
  <c r="AB62" i="56"/>
  <c r="AC62" i="56"/>
  <c r="AD62" i="56"/>
  <c r="BY61" i="56" l="1"/>
  <c r="BV61" i="56"/>
  <c r="AE62" i="56"/>
  <c r="AF62" i="56"/>
  <c r="AJ62" i="56"/>
  <c r="AK62" i="56"/>
  <c r="AL62" i="56"/>
  <c r="AM62" i="56"/>
  <c r="AN62" i="56"/>
  <c r="AO62" i="56"/>
  <c r="AP62" i="56"/>
  <c r="AQ62" i="56"/>
  <c r="AR62" i="56"/>
  <c r="AS62" i="56"/>
  <c r="AT62" i="56"/>
  <c r="AU62" i="56"/>
  <c r="AV62" i="56"/>
  <c r="AW62" i="56"/>
  <c r="AX62" i="56"/>
  <c r="AY62" i="56"/>
  <c r="AZ62" i="56"/>
  <c r="BA62" i="56"/>
  <c r="BB62" i="56"/>
  <c r="BC62" i="56"/>
  <c r="BD62" i="56"/>
  <c r="BE62" i="56"/>
  <c r="BF62" i="56"/>
  <c r="BG62" i="56"/>
  <c r="BH62" i="56"/>
  <c r="BI62" i="56"/>
  <c r="BJ62" i="56"/>
  <c r="BK62" i="56"/>
  <c r="BL62" i="56"/>
  <c r="BZ61" i="56" l="1"/>
  <c r="CA61" i="56" s="1"/>
  <c r="BO61" i="56"/>
  <c r="BM62" i="56"/>
  <c r="BS62" i="56"/>
  <c r="BX62" i="56"/>
  <c r="BN62" i="56"/>
  <c r="BT62" i="56"/>
  <c r="BU62" i="56" s="1"/>
  <c r="BP62" i="56"/>
  <c r="B63" i="56"/>
  <c r="C63" i="56"/>
  <c r="D63" i="56"/>
  <c r="E63" i="56"/>
  <c r="F63" i="56"/>
  <c r="G63" i="56"/>
  <c r="H63" i="56"/>
  <c r="I63" i="56"/>
  <c r="J63" i="56"/>
  <c r="K63" i="56"/>
  <c r="L63" i="56"/>
  <c r="M63" i="56"/>
  <c r="N63" i="56"/>
  <c r="O63" i="56"/>
  <c r="P63" i="56"/>
  <c r="Q63" i="56"/>
  <c r="R63" i="56"/>
  <c r="S63" i="56"/>
  <c r="T63" i="56"/>
  <c r="U63" i="56"/>
  <c r="V63" i="56"/>
  <c r="W63" i="56"/>
  <c r="X63" i="56"/>
  <c r="Y63" i="56"/>
  <c r="Z63" i="56"/>
  <c r="AA63" i="56"/>
  <c r="AB63" i="56"/>
  <c r="AC63" i="56"/>
  <c r="AD63" i="56"/>
  <c r="BY62" i="56" l="1"/>
  <c r="BV62" i="56"/>
  <c r="AE63" i="56"/>
  <c r="AF63" i="56"/>
  <c r="AJ63" i="56"/>
  <c r="AK63" i="56"/>
  <c r="AL63" i="56"/>
  <c r="AM63" i="56"/>
  <c r="AN63" i="56"/>
  <c r="AO63" i="56"/>
  <c r="AP63" i="56"/>
  <c r="AQ63" i="56"/>
  <c r="AR63" i="56"/>
  <c r="AS63" i="56"/>
  <c r="AT63" i="56"/>
  <c r="AU63" i="56"/>
  <c r="AV63" i="56"/>
  <c r="AW63" i="56"/>
  <c r="AX63" i="56"/>
  <c r="AY63" i="56"/>
  <c r="AZ63" i="56"/>
  <c r="BA63" i="56"/>
  <c r="BB63" i="56"/>
  <c r="BC63" i="56"/>
  <c r="BD63" i="56"/>
  <c r="BE63" i="56"/>
  <c r="BF63" i="56"/>
  <c r="BG63" i="56"/>
  <c r="BH63" i="56"/>
  <c r="BI63" i="56"/>
  <c r="BJ63" i="56"/>
  <c r="BK63" i="56"/>
  <c r="BL63" i="56"/>
  <c r="BO62" i="56" l="1"/>
  <c r="BZ62" i="56"/>
  <c r="CA62" i="56" s="1"/>
  <c r="BM63" i="56"/>
  <c r="BS63" i="56"/>
  <c r="BX63" i="56"/>
  <c r="BN63" i="56"/>
  <c r="BT63" i="56"/>
  <c r="BU63" i="56" s="1"/>
  <c r="BP63" i="56"/>
  <c r="B64" i="56"/>
  <c r="C64" i="56"/>
  <c r="D64" i="56"/>
  <c r="E64" i="56"/>
  <c r="F64" i="56"/>
  <c r="G64" i="56"/>
  <c r="H64" i="56"/>
  <c r="I64" i="56"/>
  <c r="J64" i="56"/>
  <c r="K64" i="56"/>
  <c r="L64" i="56"/>
  <c r="M64" i="56"/>
  <c r="N64" i="56"/>
  <c r="O64" i="56"/>
  <c r="P64" i="56"/>
  <c r="Q64" i="56"/>
  <c r="R64" i="56"/>
  <c r="S64" i="56"/>
  <c r="T64" i="56"/>
  <c r="U64" i="56"/>
  <c r="V64" i="56"/>
  <c r="W64" i="56"/>
  <c r="X64" i="56"/>
  <c r="Y64" i="56"/>
  <c r="Z64" i="56"/>
  <c r="AA64" i="56"/>
  <c r="AB64" i="56"/>
  <c r="AC64" i="56"/>
  <c r="AD64" i="56"/>
  <c r="BZ63" i="56" l="1"/>
  <c r="CA63" i="56" s="1"/>
  <c r="BY63" i="56"/>
  <c r="BO63" i="56" s="1"/>
  <c r="BV63" i="56"/>
  <c r="AE64" i="56"/>
  <c r="AF64" i="56"/>
  <c r="AJ64" i="56"/>
  <c r="AK64" i="56"/>
  <c r="AL64" i="56"/>
  <c r="AM64" i="56"/>
  <c r="AN64" i="56"/>
  <c r="AO64" i="56"/>
  <c r="AP64" i="56"/>
  <c r="AQ64" i="56"/>
  <c r="AR64" i="56"/>
  <c r="AS64" i="56"/>
  <c r="AT64" i="56"/>
  <c r="AU64" i="56"/>
  <c r="AV64" i="56"/>
  <c r="AW64" i="56"/>
  <c r="AX64" i="56"/>
  <c r="AY64" i="56"/>
  <c r="AZ64" i="56"/>
  <c r="BA64" i="56"/>
  <c r="BB64" i="56"/>
  <c r="BC64" i="56"/>
  <c r="BD64" i="56"/>
  <c r="BE64" i="56"/>
  <c r="BF64" i="56"/>
  <c r="BG64" i="56"/>
  <c r="BH64" i="56"/>
  <c r="BI64" i="56"/>
  <c r="BJ64" i="56"/>
  <c r="BK64" i="56"/>
  <c r="BL64" i="56"/>
  <c r="BM64" i="56"/>
  <c r="BS64" i="56"/>
  <c r="BX64" i="56"/>
  <c r="BN64" i="56"/>
  <c r="BT64" i="56"/>
  <c r="BU64" i="56" s="1"/>
  <c r="BP64" i="56"/>
  <c r="B65" i="56"/>
  <c r="C65" i="56"/>
  <c r="D65" i="56"/>
  <c r="E65" i="56"/>
  <c r="F65" i="56"/>
  <c r="G65" i="56"/>
  <c r="H65" i="56"/>
  <c r="I65" i="56"/>
  <c r="J65" i="56"/>
  <c r="K65" i="56"/>
  <c r="L65" i="56"/>
  <c r="M65" i="56"/>
  <c r="N65" i="56"/>
  <c r="O65" i="56"/>
  <c r="P65" i="56"/>
  <c r="Q65" i="56"/>
  <c r="R65" i="56"/>
  <c r="S65" i="56"/>
  <c r="T65" i="56"/>
  <c r="U65" i="56"/>
  <c r="V65" i="56"/>
  <c r="W65" i="56"/>
  <c r="X65" i="56"/>
  <c r="Y65" i="56"/>
  <c r="Z65" i="56"/>
  <c r="AA65" i="56"/>
  <c r="AB65" i="56"/>
  <c r="AC65" i="56"/>
  <c r="AD65" i="56"/>
  <c r="BV64" i="56" l="1"/>
  <c r="BY64" i="56"/>
  <c r="AE65" i="56"/>
  <c r="AF65" i="56"/>
  <c r="AJ65" i="56"/>
  <c r="AK65" i="56"/>
  <c r="AL65" i="56"/>
  <c r="AM65" i="56"/>
  <c r="AN65" i="56"/>
  <c r="AO65" i="56"/>
  <c r="AP65" i="56"/>
  <c r="AQ65" i="56"/>
  <c r="AR65" i="56"/>
  <c r="AS65" i="56"/>
  <c r="AT65" i="56"/>
  <c r="AU65" i="56"/>
  <c r="AV65" i="56"/>
  <c r="AW65" i="56"/>
  <c r="AX65" i="56"/>
  <c r="AY65" i="56"/>
  <c r="AZ65" i="56"/>
  <c r="BA65" i="56"/>
  <c r="BB65" i="56"/>
  <c r="BC65" i="56"/>
  <c r="BD65" i="56"/>
  <c r="BE65" i="56"/>
  <c r="BF65" i="56"/>
  <c r="BG65" i="56"/>
  <c r="BH65" i="56"/>
  <c r="BI65" i="56"/>
  <c r="BJ65" i="56"/>
  <c r="BK65" i="56"/>
  <c r="BL65" i="56"/>
  <c r="BZ64" i="56" l="1"/>
  <c r="CA64" i="56" s="1"/>
  <c r="BO64" i="56"/>
  <c r="BM65" i="56"/>
  <c r="BS65" i="56"/>
  <c r="BX65" i="56" s="1"/>
  <c r="BT65" i="56"/>
  <c r="BU65" i="56" s="1"/>
  <c r="BP65" i="56"/>
  <c r="B66" i="56"/>
  <c r="C66" i="56"/>
  <c r="D66" i="56"/>
  <c r="E66" i="56"/>
  <c r="F66" i="56"/>
  <c r="G66" i="56"/>
  <c r="H66" i="56"/>
  <c r="I66" i="56"/>
  <c r="J66" i="56"/>
  <c r="K66" i="56"/>
  <c r="L66" i="56"/>
  <c r="M66" i="56"/>
  <c r="N66" i="56"/>
  <c r="O66" i="56"/>
  <c r="P66" i="56"/>
  <c r="Q66" i="56"/>
  <c r="R66" i="56"/>
  <c r="S66" i="56"/>
  <c r="T66" i="56"/>
  <c r="U66" i="56"/>
  <c r="V66" i="56"/>
  <c r="W66" i="56"/>
  <c r="X66" i="56"/>
  <c r="Y66" i="56"/>
  <c r="Z66" i="56"/>
  <c r="AA66" i="56"/>
  <c r="AB66" i="56"/>
  <c r="AC66" i="56"/>
  <c r="AD66" i="56"/>
  <c r="BY65" i="56" l="1"/>
  <c r="BO65" i="56" s="1"/>
  <c r="BV65" i="56"/>
  <c r="BN65" i="56"/>
  <c r="AE66" i="56"/>
  <c r="AF66" i="56"/>
  <c r="AJ66" i="56"/>
  <c r="AK66" i="56"/>
  <c r="AL66" i="56"/>
  <c r="AM66" i="56"/>
  <c r="AN66" i="56"/>
  <c r="AO66" i="56"/>
  <c r="AP66" i="56"/>
  <c r="AQ66" i="56"/>
  <c r="AR66" i="56"/>
  <c r="AS66" i="56"/>
  <c r="AT66" i="56"/>
  <c r="AU66" i="56"/>
  <c r="AV66" i="56"/>
  <c r="AW66" i="56"/>
  <c r="AX66" i="56"/>
  <c r="AY66" i="56"/>
  <c r="AZ66" i="56"/>
  <c r="BA66" i="56"/>
  <c r="BB66" i="56"/>
  <c r="BC66" i="56"/>
  <c r="BD66" i="56"/>
  <c r="BE66" i="56"/>
  <c r="BF66" i="56"/>
  <c r="BG66" i="56"/>
  <c r="BH66" i="56"/>
  <c r="BI66" i="56"/>
  <c r="BJ66" i="56"/>
  <c r="BK66" i="56"/>
  <c r="BL66" i="56"/>
  <c r="BZ65" i="56" l="1"/>
  <c r="CA65" i="56" s="1"/>
  <c r="BM66" i="56"/>
  <c r="BS66" i="56"/>
  <c r="BX66" i="56"/>
  <c r="BN66" i="56"/>
  <c r="BT66" i="56"/>
  <c r="BU66" i="56"/>
  <c r="BV66" i="56" s="1"/>
  <c r="BY66" i="56"/>
  <c r="BO66" i="56" s="1"/>
  <c r="BP66" i="56"/>
  <c r="B67" i="56"/>
  <c r="C67" i="56"/>
  <c r="D67" i="56"/>
  <c r="E67" i="56"/>
  <c r="F67" i="56"/>
  <c r="G67" i="56"/>
  <c r="H67" i="56"/>
  <c r="I67" i="56"/>
  <c r="J67" i="56"/>
  <c r="K67" i="56"/>
  <c r="L67" i="56"/>
  <c r="M67" i="56"/>
  <c r="N67" i="56"/>
  <c r="O67" i="56"/>
  <c r="P67" i="56"/>
  <c r="Q67" i="56"/>
  <c r="R67" i="56"/>
  <c r="S67" i="56"/>
  <c r="T67" i="56"/>
  <c r="U67" i="56"/>
  <c r="V67" i="56"/>
  <c r="W67" i="56"/>
  <c r="X67" i="56"/>
  <c r="Y67" i="56"/>
  <c r="Z67" i="56"/>
  <c r="AA67" i="56"/>
  <c r="AB67" i="56"/>
  <c r="AC67" i="56"/>
  <c r="AD67" i="56"/>
  <c r="BZ66" i="56" l="1"/>
  <c r="CA66" i="56" s="1"/>
  <c r="AE67" i="56"/>
  <c r="AF67" i="56"/>
  <c r="AJ67" i="56"/>
  <c r="AK67" i="56"/>
  <c r="AL67" i="56"/>
  <c r="AM67" i="56"/>
  <c r="AN67" i="56"/>
  <c r="AO67" i="56"/>
  <c r="AP67" i="56"/>
  <c r="AQ67" i="56"/>
  <c r="AR67" i="56"/>
  <c r="AS67" i="56"/>
  <c r="AT67" i="56"/>
  <c r="AU67" i="56"/>
  <c r="AV67" i="56"/>
  <c r="AW67" i="56"/>
  <c r="AX67" i="56"/>
  <c r="AY67" i="56"/>
  <c r="AZ67" i="56"/>
  <c r="BA67" i="56"/>
  <c r="BB67" i="56"/>
  <c r="BC67" i="56"/>
  <c r="BD67" i="56"/>
  <c r="BE67" i="56"/>
  <c r="BF67" i="56"/>
  <c r="BG67" i="56"/>
  <c r="BH67" i="56"/>
  <c r="BI67" i="56"/>
  <c r="BJ67" i="56"/>
  <c r="BK67" i="56"/>
  <c r="BL67" i="56"/>
  <c r="BM67" i="56"/>
  <c r="BS67" i="56"/>
  <c r="BX67" i="56"/>
  <c r="BN67" i="56"/>
  <c r="BT67" i="56"/>
  <c r="BU67" i="56"/>
  <c r="BY67" i="56" s="1"/>
  <c r="BP67" i="56"/>
  <c r="B68" i="56"/>
  <c r="C68" i="56"/>
  <c r="D68" i="56"/>
  <c r="E68" i="56"/>
  <c r="F68" i="56"/>
  <c r="G68" i="56"/>
  <c r="H68" i="56"/>
  <c r="I68" i="56"/>
  <c r="J68" i="56"/>
  <c r="K68" i="56"/>
  <c r="L68" i="56"/>
  <c r="M68" i="56"/>
  <c r="N68" i="56"/>
  <c r="O68" i="56"/>
  <c r="P68" i="56"/>
  <c r="Q68" i="56"/>
  <c r="R68" i="56"/>
  <c r="S68" i="56"/>
  <c r="T68" i="56"/>
  <c r="U68" i="56"/>
  <c r="V68" i="56"/>
  <c r="W68" i="56"/>
  <c r="X68" i="56"/>
  <c r="Y68" i="56"/>
  <c r="Z68" i="56"/>
  <c r="AA68" i="56"/>
  <c r="AB68" i="56"/>
  <c r="AC68" i="56"/>
  <c r="AD68" i="56"/>
  <c r="BO67" i="56" l="1"/>
  <c r="BZ67" i="56"/>
  <c r="CA67" i="56" s="1"/>
  <c r="BV67" i="56"/>
  <c r="AE68" i="56"/>
  <c r="AF68" i="56"/>
  <c r="AJ68" i="56"/>
  <c r="AK68" i="56"/>
  <c r="AL68" i="56"/>
  <c r="AM68" i="56"/>
  <c r="AN68" i="56"/>
  <c r="AO68" i="56"/>
  <c r="AP68" i="56"/>
  <c r="AQ68" i="56"/>
  <c r="AR68" i="56"/>
  <c r="AS68" i="56"/>
  <c r="AT68" i="56"/>
  <c r="AU68" i="56"/>
  <c r="AV68" i="56"/>
  <c r="AW68" i="56"/>
  <c r="AX68" i="56"/>
  <c r="AY68" i="56"/>
  <c r="AZ68" i="56"/>
  <c r="BA68" i="56"/>
  <c r="BB68" i="56"/>
  <c r="BC68" i="56"/>
  <c r="BD68" i="56"/>
  <c r="BE68" i="56"/>
  <c r="BF68" i="56"/>
  <c r="BG68" i="56"/>
  <c r="BH68" i="56"/>
  <c r="BI68" i="56"/>
  <c r="BJ68" i="56"/>
  <c r="BK68" i="56"/>
  <c r="BL68" i="56"/>
  <c r="BM68" i="56"/>
  <c r="BS68" i="56"/>
  <c r="BX68" i="56"/>
  <c r="BN68" i="56"/>
  <c r="BT68" i="56"/>
  <c r="BU68" i="56"/>
  <c r="BY68" i="56" s="1"/>
  <c r="BP68" i="56"/>
  <c r="B69" i="56"/>
  <c r="C69" i="56"/>
  <c r="D69" i="56"/>
  <c r="E69" i="56"/>
  <c r="F69" i="56"/>
  <c r="G69" i="56"/>
  <c r="H69" i="56"/>
  <c r="I69" i="56"/>
  <c r="J69" i="56"/>
  <c r="K69" i="56"/>
  <c r="L69" i="56"/>
  <c r="M69" i="56"/>
  <c r="N69" i="56"/>
  <c r="O69" i="56"/>
  <c r="P69" i="56"/>
  <c r="Q69" i="56"/>
  <c r="R69" i="56"/>
  <c r="S69" i="56"/>
  <c r="T69" i="56"/>
  <c r="U69" i="56"/>
  <c r="V69" i="56"/>
  <c r="W69" i="56"/>
  <c r="X69" i="56"/>
  <c r="Y69" i="56"/>
  <c r="Z69" i="56"/>
  <c r="AA69" i="56"/>
  <c r="AB69" i="56"/>
  <c r="AC69" i="56"/>
  <c r="AD69" i="56"/>
  <c r="BO68" i="56" l="1"/>
  <c r="BZ68" i="56"/>
  <c r="CA68" i="56" s="1"/>
  <c r="BV68" i="56"/>
  <c r="AE69" i="56"/>
  <c r="AF69" i="56"/>
  <c r="AJ69" i="56"/>
  <c r="AK69" i="56"/>
  <c r="AL69" i="56"/>
  <c r="AM69" i="56"/>
  <c r="AN69" i="56"/>
  <c r="AO69" i="56"/>
  <c r="AP69" i="56"/>
  <c r="AQ69" i="56"/>
  <c r="AR69" i="56"/>
  <c r="AS69" i="56"/>
  <c r="AT69" i="56"/>
  <c r="AU69" i="56"/>
  <c r="AV69" i="56"/>
  <c r="AW69" i="56"/>
  <c r="AX69" i="56"/>
  <c r="AY69" i="56"/>
  <c r="AZ69" i="56"/>
  <c r="BA69" i="56"/>
  <c r="BB69" i="56"/>
  <c r="BC69" i="56"/>
  <c r="BD69" i="56"/>
  <c r="BE69" i="56"/>
  <c r="BF69" i="56"/>
  <c r="BG69" i="56"/>
  <c r="BH69" i="56"/>
  <c r="BI69" i="56"/>
  <c r="BJ69" i="56"/>
  <c r="BK69" i="56"/>
  <c r="BL69" i="56"/>
  <c r="BM69" i="56"/>
  <c r="BS69" i="56"/>
  <c r="BX69" i="56"/>
  <c r="BN69" i="56"/>
  <c r="BT69" i="56"/>
  <c r="BU69" i="56"/>
  <c r="BY69" i="56" s="1"/>
  <c r="BP69" i="56"/>
  <c r="B70" i="56"/>
  <c r="C70" i="56"/>
  <c r="D70" i="56"/>
  <c r="E70" i="56"/>
  <c r="F70" i="56"/>
  <c r="G70" i="56"/>
  <c r="H70" i="56"/>
  <c r="I70" i="56"/>
  <c r="J70" i="56"/>
  <c r="K70" i="56"/>
  <c r="L70" i="56"/>
  <c r="M70" i="56"/>
  <c r="N70" i="56"/>
  <c r="O70" i="56"/>
  <c r="P70" i="56"/>
  <c r="Q70" i="56"/>
  <c r="R70" i="56"/>
  <c r="S70" i="56"/>
  <c r="T70" i="56"/>
  <c r="U70" i="56"/>
  <c r="V70" i="56"/>
  <c r="W70" i="56"/>
  <c r="X70" i="56"/>
  <c r="Y70" i="56"/>
  <c r="Z70" i="56"/>
  <c r="AA70" i="56"/>
  <c r="AB70" i="56"/>
  <c r="AC70" i="56"/>
  <c r="AD70" i="56"/>
  <c r="BO69" i="56" l="1"/>
  <c r="BZ69" i="56"/>
  <c r="CA69" i="56" s="1"/>
  <c r="BV69" i="56"/>
  <c r="AE70" i="56"/>
  <c r="AF70" i="56"/>
  <c r="AJ70" i="56"/>
  <c r="AK70" i="56"/>
  <c r="AL70" i="56"/>
  <c r="AM70" i="56"/>
  <c r="AN70" i="56"/>
  <c r="AO70" i="56"/>
  <c r="AP70" i="56"/>
  <c r="AQ70" i="56"/>
  <c r="AR70" i="56"/>
  <c r="AS70" i="56"/>
  <c r="AT70" i="56"/>
  <c r="AU70" i="56"/>
  <c r="AV70" i="56"/>
  <c r="AW70" i="56"/>
  <c r="AX70" i="56"/>
  <c r="AY70" i="56"/>
  <c r="AZ70" i="56"/>
  <c r="BA70" i="56"/>
  <c r="BB70" i="56"/>
  <c r="BC70" i="56"/>
  <c r="BD70" i="56"/>
  <c r="BE70" i="56"/>
  <c r="BF70" i="56"/>
  <c r="BG70" i="56"/>
  <c r="BH70" i="56"/>
  <c r="BI70" i="56"/>
  <c r="BJ70" i="56"/>
  <c r="BK70" i="56"/>
  <c r="BL70" i="56"/>
  <c r="BM70" i="56"/>
  <c r="BS70" i="56"/>
  <c r="BX70" i="56" s="1"/>
  <c r="BT70" i="56"/>
  <c r="BP70" i="56"/>
  <c r="B71" i="56"/>
  <c r="C71" i="56"/>
  <c r="D71" i="56"/>
  <c r="E71" i="56"/>
  <c r="F71" i="56"/>
  <c r="G71" i="56"/>
  <c r="H71" i="56"/>
  <c r="I71" i="56"/>
  <c r="J71" i="56"/>
  <c r="K71" i="56"/>
  <c r="L71" i="56"/>
  <c r="M71" i="56"/>
  <c r="N71" i="56"/>
  <c r="O71" i="56"/>
  <c r="P71" i="56"/>
  <c r="Q71" i="56"/>
  <c r="R71" i="56"/>
  <c r="S71" i="56"/>
  <c r="T71" i="56"/>
  <c r="U71" i="56"/>
  <c r="V71" i="56"/>
  <c r="W71" i="56"/>
  <c r="X71" i="56"/>
  <c r="Y71" i="56"/>
  <c r="Z71" i="56"/>
  <c r="AA71" i="56"/>
  <c r="AB71" i="56"/>
  <c r="AC71" i="56"/>
  <c r="AD71" i="56"/>
  <c r="BN70" i="56" l="1"/>
  <c r="BU70" i="56"/>
  <c r="AE71" i="56"/>
  <c r="AF71" i="56"/>
  <c r="AJ71" i="56"/>
  <c r="AK71" i="56"/>
  <c r="AL71" i="56"/>
  <c r="AM71" i="56"/>
  <c r="AN71" i="56"/>
  <c r="AO71" i="56"/>
  <c r="AP71" i="56"/>
  <c r="AQ71" i="56"/>
  <c r="AR71" i="56"/>
  <c r="AS71" i="56"/>
  <c r="AT71" i="56"/>
  <c r="AU71" i="56"/>
  <c r="AV71" i="56"/>
  <c r="AW71" i="56"/>
  <c r="AX71" i="56"/>
  <c r="AY71" i="56"/>
  <c r="AZ71" i="56"/>
  <c r="BA71" i="56"/>
  <c r="BB71" i="56"/>
  <c r="BC71" i="56"/>
  <c r="BD71" i="56"/>
  <c r="BE71" i="56"/>
  <c r="BF71" i="56"/>
  <c r="BG71" i="56"/>
  <c r="BH71" i="56"/>
  <c r="BI71" i="56"/>
  <c r="BJ71" i="56"/>
  <c r="BK71" i="56"/>
  <c r="BL71" i="56"/>
  <c r="BY70" i="56" l="1"/>
  <c r="BV70" i="56"/>
  <c r="BM71" i="56"/>
  <c r="BS71" i="56"/>
  <c r="BX71" i="56" s="1"/>
  <c r="BT71" i="56"/>
  <c r="BU71" i="56" s="1"/>
  <c r="BP71" i="56"/>
  <c r="B72" i="56"/>
  <c r="C72" i="56"/>
  <c r="D72" i="56"/>
  <c r="E72" i="56"/>
  <c r="F72" i="56"/>
  <c r="G72" i="56"/>
  <c r="H72" i="56"/>
  <c r="I72" i="56"/>
  <c r="J72" i="56"/>
  <c r="K72" i="56"/>
  <c r="L72" i="56"/>
  <c r="M72" i="56"/>
  <c r="N72" i="56"/>
  <c r="O72" i="56"/>
  <c r="P72" i="56"/>
  <c r="Q72" i="56"/>
  <c r="R72" i="56"/>
  <c r="S72" i="56"/>
  <c r="T72" i="56"/>
  <c r="U72" i="56"/>
  <c r="V72" i="56"/>
  <c r="W72" i="56"/>
  <c r="X72" i="56"/>
  <c r="Y72" i="56"/>
  <c r="Z72" i="56"/>
  <c r="AA72" i="56"/>
  <c r="AB72" i="56"/>
  <c r="AC72" i="56"/>
  <c r="AD72" i="56"/>
  <c r="BY71" i="56" l="1"/>
  <c r="BO71" i="56" s="1"/>
  <c r="BV71" i="56"/>
  <c r="BZ71" i="56"/>
  <c r="BN71" i="56"/>
  <c r="CA71" i="56"/>
  <c r="BO70" i="56"/>
  <c r="BZ70" i="56"/>
  <c r="CA70" i="56" s="1"/>
  <c r="AE72" i="56"/>
  <c r="AF72" i="56"/>
  <c r="AJ72" i="56"/>
  <c r="AK72" i="56"/>
  <c r="AL72" i="56"/>
  <c r="AM72" i="56"/>
  <c r="AN72" i="56"/>
  <c r="AO72" i="56"/>
  <c r="AP72" i="56"/>
  <c r="AQ72" i="56"/>
  <c r="AR72" i="56"/>
  <c r="AS72" i="56"/>
  <c r="AT72" i="56"/>
  <c r="AU72" i="56"/>
  <c r="AV72" i="56"/>
  <c r="AW72" i="56"/>
  <c r="AX72" i="56"/>
  <c r="AY72" i="56"/>
  <c r="AZ72" i="56"/>
  <c r="BA72" i="56"/>
  <c r="BB72" i="56"/>
  <c r="BC72" i="56"/>
  <c r="BD72" i="56"/>
  <c r="BE72" i="56"/>
  <c r="BF72" i="56"/>
  <c r="BG72" i="56"/>
  <c r="BH72" i="56"/>
  <c r="BI72" i="56"/>
  <c r="BJ72" i="56"/>
  <c r="BK72" i="56"/>
  <c r="BL72" i="56"/>
  <c r="BM72" i="56"/>
  <c r="BS72" i="56"/>
  <c r="BX72" i="56" s="1"/>
  <c r="BT72" i="56"/>
  <c r="BP72" i="56"/>
  <c r="B73" i="56"/>
  <c r="C73" i="56"/>
  <c r="D73" i="56"/>
  <c r="E73" i="56"/>
  <c r="F73" i="56"/>
  <c r="G73" i="56"/>
  <c r="H73" i="56"/>
  <c r="I73" i="56"/>
  <c r="J73" i="56"/>
  <c r="K73" i="56"/>
  <c r="L73" i="56"/>
  <c r="M73" i="56"/>
  <c r="N73" i="56"/>
  <c r="O73" i="56"/>
  <c r="P73" i="56"/>
  <c r="Q73" i="56"/>
  <c r="R73" i="56"/>
  <c r="S73" i="56"/>
  <c r="T73" i="56"/>
  <c r="U73" i="56"/>
  <c r="V73" i="56"/>
  <c r="W73" i="56"/>
  <c r="X73" i="56"/>
  <c r="Y73" i="56"/>
  <c r="Z73" i="56"/>
  <c r="AA73" i="56"/>
  <c r="AB73" i="56"/>
  <c r="AC73" i="56"/>
  <c r="AD73" i="56"/>
  <c r="BN72" i="56" l="1"/>
  <c r="BU72" i="56"/>
  <c r="AE73" i="56"/>
  <c r="AF73" i="56"/>
  <c r="AJ73" i="56"/>
  <c r="AK73" i="56"/>
  <c r="AL73" i="56"/>
  <c r="AM73" i="56"/>
  <c r="AN73" i="56"/>
  <c r="AO73" i="56"/>
  <c r="AP73" i="56"/>
  <c r="AQ73" i="56"/>
  <c r="AR73" i="56"/>
  <c r="AS73" i="56"/>
  <c r="AT73" i="56"/>
  <c r="AU73" i="56"/>
  <c r="AV73" i="56"/>
  <c r="AW73" i="56"/>
  <c r="AX73" i="56"/>
  <c r="AY73" i="56"/>
  <c r="AZ73" i="56"/>
  <c r="BA73" i="56"/>
  <c r="BB73" i="56"/>
  <c r="BC73" i="56"/>
  <c r="BD73" i="56"/>
  <c r="BE73" i="56"/>
  <c r="BF73" i="56"/>
  <c r="BG73" i="56"/>
  <c r="BH73" i="56"/>
  <c r="BI73" i="56"/>
  <c r="BJ73" i="56"/>
  <c r="BK73" i="56"/>
  <c r="BL73" i="56"/>
  <c r="BV72" i="56" l="1"/>
  <c r="BY72" i="56"/>
  <c r="BM73" i="56"/>
  <c r="BS73" i="56"/>
  <c r="BX73" i="56"/>
  <c r="BN73" i="56"/>
  <c r="BT73" i="56"/>
  <c r="BU73" i="56" s="1"/>
  <c r="BP73" i="56"/>
  <c r="B74" i="56"/>
  <c r="C74" i="56"/>
  <c r="D74" i="56"/>
  <c r="E74" i="56"/>
  <c r="F74" i="56"/>
  <c r="G74" i="56"/>
  <c r="H74" i="56"/>
  <c r="I74" i="56"/>
  <c r="J74" i="56"/>
  <c r="K74" i="56"/>
  <c r="L74" i="56"/>
  <c r="M74" i="56"/>
  <c r="N74" i="56"/>
  <c r="O74" i="56"/>
  <c r="P74" i="56"/>
  <c r="Q74" i="56"/>
  <c r="R74" i="56"/>
  <c r="S74" i="56"/>
  <c r="T74" i="56"/>
  <c r="U74" i="56"/>
  <c r="V74" i="56"/>
  <c r="W74" i="56"/>
  <c r="X74" i="56"/>
  <c r="Y74" i="56"/>
  <c r="Z74" i="56"/>
  <c r="AA74" i="56"/>
  <c r="AB74" i="56"/>
  <c r="AC74" i="56"/>
  <c r="AD74" i="56"/>
  <c r="BY73" i="56" l="1"/>
  <c r="BV73" i="56"/>
  <c r="BO72" i="56"/>
  <c r="BZ72" i="56"/>
  <c r="CA72" i="56" s="1"/>
  <c r="AE74" i="56"/>
  <c r="AF74" i="56"/>
  <c r="AJ74" i="56"/>
  <c r="AK74" i="56"/>
  <c r="AL74" i="56"/>
  <c r="AM74" i="56"/>
  <c r="AN74" i="56"/>
  <c r="AO74" i="56"/>
  <c r="AP74" i="56"/>
  <c r="AQ74" i="56"/>
  <c r="AR74" i="56"/>
  <c r="AS74" i="56"/>
  <c r="AT74" i="56"/>
  <c r="AU74" i="56"/>
  <c r="AV74" i="56"/>
  <c r="AW74" i="56"/>
  <c r="AX74" i="56"/>
  <c r="AY74" i="56"/>
  <c r="AZ74" i="56"/>
  <c r="BA74" i="56"/>
  <c r="BB74" i="56"/>
  <c r="BC74" i="56"/>
  <c r="BD74" i="56"/>
  <c r="BE74" i="56"/>
  <c r="BF74" i="56"/>
  <c r="BG74" i="56"/>
  <c r="BH74" i="56"/>
  <c r="BI74" i="56"/>
  <c r="BJ74" i="56"/>
  <c r="BK74" i="56"/>
  <c r="BL74" i="56"/>
  <c r="BO73" i="56" l="1"/>
  <c r="BZ73" i="56"/>
  <c r="CA73" i="56" s="1"/>
  <c r="BM74" i="56"/>
  <c r="BS74" i="56"/>
  <c r="BX74" i="56"/>
  <c r="BN74" i="56"/>
  <c r="BT74" i="56"/>
  <c r="BU74" i="56" s="1"/>
  <c r="BP74" i="56"/>
  <c r="B75" i="56"/>
  <c r="C75" i="56"/>
  <c r="D75" i="56"/>
  <c r="E75" i="56"/>
  <c r="F75" i="56"/>
  <c r="G75" i="56"/>
  <c r="H75" i="56"/>
  <c r="I75" i="56"/>
  <c r="J75" i="56"/>
  <c r="K75" i="56"/>
  <c r="L75" i="56"/>
  <c r="M75" i="56"/>
  <c r="N75" i="56"/>
  <c r="O75" i="56"/>
  <c r="P75" i="56"/>
  <c r="Q75" i="56"/>
  <c r="R75" i="56"/>
  <c r="S75" i="56"/>
  <c r="T75" i="56"/>
  <c r="U75" i="56"/>
  <c r="V75" i="56"/>
  <c r="W75" i="56"/>
  <c r="X75" i="56"/>
  <c r="Y75" i="56"/>
  <c r="Z75" i="56"/>
  <c r="AA75" i="56"/>
  <c r="AB75" i="56"/>
  <c r="AC75" i="56"/>
  <c r="AD75" i="56"/>
  <c r="BV74" i="56" l="1"/>
  <c r="BY74" i="56"/>
  <c r="AE75" i="56"/>
  <c r="AF75" i="56"/>
  <c r="AJ75" i="56"/>
  <c r="AK75" i="56"/>
  <c r="AL75" i="56"/>
  <c r="AM75" i="56"/>
  <c r="AN75" i="56"/>
  <c r="AO75" i="56"/>
  <c r="AP75" i="56"/>
  <c r="AQ75" i="56"/>
  <c r="AR75" i="56"/>
  <c r="AS75" i="56"/>
  <c r="AT75" i="56"/>
  <c r="AU75" i="56"/>
  <c r="AV75" i="56"/>
  <c r="AW75" i="56"/>
  <c r="AX75" i="56"/>
  <c r="AY75" i="56"/>
  <c r="AZ75" i="56"/>
  <c r="BA75" i="56"/>
  <c r="BB75" i="56"/>
  <c r="BC75" i="56"/>
  <c r="BD75" i="56"/>
  <c r="BE75" i="56"/>
  <c r="BF75" i="56"/>
  <c r="BG75" i="56"/>
  <c r="BH75" i="56"/>
  <c r="BI75" i="56"/>
  <c r="BJ75" i="56"/>
  <c r="BK75" i="56"/>
  <c r="BL75" i="56"/>
  <c r="BZ74" i="56" l="1"/>
  <c r="CA74" i="56" s="1"/>
  <c r="BO74" i="56"/>
  <c r="BM75" i="56"/>
  <c r="BS75" i="56"/>
  <c r="BX75" i="56" s="1"/>
  <c r="BT75" i="56"/>
  <c r="BP75" i="56"/>
  <c r="B76" i="56"/>
  <c r="C76" i="56"/>
  <c r="E76" i="56"/>
  <c r="F76" i="56"/>
  <c r="G76" i="56"/>
  <c r="H76" i="56"/>
  <c r="I76" i="56"/>
  <c r="J76" i="56"/>
  <c r="K76" i="56"/>
  <c r="L76" i="56"/>
  <c r="M76" i="56"/>
  <c r="N76" i="56"/>
  <c r="O76" i="56"/>
  <c r="P76" i="56"/>
  <c r="Q76" i="56"/>
  <c r="R76" i="56"/>
  <c r="S76" i="56"/>
  <c r="T76" i="56"/>
  <c r="U76" i="56"/>
  <c r="V76" i="56"/>
  <c r="W76" i="56"/>
  <c r="X76" i="56"/>
  <c r="Y76" i="56"/>
  <c r="Z76" i="56"/>
  <c r="AA76" i="56"/>
  <c r="AB76" i="56"/>
  <c r="AC76" i="56"/>
  <c r="AD76" i="56"/>
  <c r="BN75" i="56" l="1"/>
  <c r="BU75" i="56"/>
  <c r="AE76" i="56"/>
  <c r="AF76" i="56"/>
  <c r="AJ76" i="56"/>
  <c r="AK76" i="56"/>
  <c r="AL76" i="56"/>
  <c r="AM76" i="56"/>
  <c r="AN76" i="56"/>
  <c r="AO76" i="56"/>
  <c r="AP76" i="56"/>
  <c r="AQ76" i="56"/>
  <c r="AR76" i="56"/>
  <c r="AS76" i="56"/>
  <c r="AT76" i="56"/>
  <c r="AU76" i="56"/>
  <c r="AV76" i="56"/>
  <c r="AW76" i="56"/>
  <c r="AX76" i="56"/>
  <c r="AY76" i="56"/>
  <c r="AZ76" i="56"/>
  <c r="BA76" i="56"/>
  <c r="BB76" i="56"/>
  <c r="BC76" i="56"/>
  <c r="BD76" i="56"/>
  <c r="BE76" i="56"/>
  <c r="BF76" i="56"/>
  <c r="BG76" i="56"/>
  <c r="BH76" i="56"/>
  <c r="BI76" i="56"/>
  <c r="BJ76" i="56"/>
  <c r="BK76" i="56"/>
  <c r="BL76" i="56"/>
  <c r="BY75" i="56" l="1"/>
  <c r="BV75" i="56"/>
  <c r="BM76" i="56"/>
  <c r="BS76" i="56"/>
  <c r="BX76" i="56" s="1"/>
  <c r="BT76" i="56"/>
  <c r="BU76" i="56" s="1"/>
  <c r="BP76" i="56"/>
  <c r="B77" i="56"/>
  <c r="C77" i="56"/>
  <c r="E77" i="56"/>
  <c r="F77" i="56"/>
  <c r="G77" i="56"/>
  <c r="H77" i="56"/>
  <c r="I77" i="56"/>
  <c r="J77" i="56"/>
  <c r="K77" i="56"/>
  <c r="L77" i="56"/>
  <c r="M77" i="56"/>
  <c r="N77" i="56"/>
  <c r="O77" i="56"/>
  <c r="P77" i="56"/>
  <c r="Q77" i="56"/>
  <c r="R77" i="56"/>
  <c r="S77" i="56"/>
  <c r="T77" i="56"/>
  <c r="U77" i="56"/>
  <c r="V77" i="56"/>
  <c r="W77" i="56"/>
  <c r="X77" i="56"/>
  <c r="Y77" i="56"/>
  <c r="Z77" i="56"/>
  <c r="AA77" i="56"/>
  <c r="AB77" i="56"/>
  <c r="AC77" i="56"/>
  <c r="AD77" i="56"/>
  <c r="BY76" i="56" l="1"/>
  <c r="BO76" i="56" s="1"/>
  <c r="BV76" i="56"/>
  <c r="BN76" i="56"/>
  <c r="BO75" i="56"/>
  <c r="BZ75" i="56"/>
  <c r="CA75" i="56" s="1"/>
  <c r="AE77" i="56"/>
  <c r="AF77" i="56"/>
  <c r="AJ77" i="56"/>
  <c r="AK77" i="56"/>
  <c r="AL77" i="56"/>
  <c r="AM77" i="56"/>
  <c r="AN77" i="56"/>
  <c r="AO77" i="56"/>
  <c r="AP77" i="56"/>
  <c r="AQ77" i="56"/>
  <c r="AR77" i="56"/>
  <c r="AS77" i="56"/>
  <c r="AT77" i="56"/>
  <c r="AU77" i="56"/>
  <c r="AV77" i="56"/>
  <c r="AW77" i="56"/>
  <c r="AX77" i="56"/>
  <c r="AY77" i="56"/>
  <c r="AZ77" i="56"/>
  <c r="BA77" i="56"/>
  <c r="BB77" i="56"/>
  <c r="BC77" i="56"/>
  <c r="BD77" i="56"/>
  <c r="BE77" i="56"/>
  <c r="BF77" i="56"/>
  <c r="BG77" i="56"/>
  <c r="BH77" i="56"/>
  <c r="BI77" i="56"/>
  <c r="BJ77" i="56"/>
  <c r="BK77" i="56"/>
  <c r="BL77" i="56"/>
  <c r="BZ76" i="56" l="1"/>
  <c r="CA76" i="56" s="1"/>
  <c r="BM77" i="56"/>
  <c r="BS77" i="56"/>
  <c r="BX77" i="56"/>
  <c r="BN77" i="56"/>
  <c r="BT77" i="56"/>
  <c r="BU77" i="56"/>
  <c r="BV77" i="56" s="1"/>
  <c r="BY77" i="56"/>
  <c r="BZ77" i="56" s="1"/>
  <c r="CA77" i="56" s="1"/>
  <c r="BO77" i="56"/>
  <c r="BP77" i="56"/>
  <c r="B78" i="56"/>
  <c r="C78" i="56"/>
  <c r="D78" i="56"/>
  <c r="E78" i="56"/>
  <c r="F78" i="56"/>
  <c r="G78" i="56"/>
  <c r="H78" i="56"/>
  <c r="I78" i="56"/>
  <c r="J78" i="56"/>
  <c r="K78" i="56"/>
  <c r="L78" i="56"/>
  <c r="M78" i="56"/>
  <c r="N78" i="56"/>
  <c r="O78" i="56"/>
  <c r="P78" i="56"/>
  <c r="Q78" i="56"/>
  <c r="R78" i="56"/>
  <c r="S78" i="56"/>
  <c r="T78" i="56"/>
  <c r="U78" i="56"/>
  <c r="V78" i="56"/>
  <c r="W78" i="56"/>
  <c r="X78" i="56"/>
  <c r="Y78" i="56"/>
  <c r="Z78" i="56"/>
  <c r="AA78" i="56"/>
  <c r="AB78" i="56"/>
  <c r="AC78" i="56"/>
  <c r="AD78" i="56"/>
  <c r="AE78" i="56"/>
  <c r="AF78" i="56"/>
  <c r="AJ78" i="56"/>
  <c r="AK78" i="56"/>
  <c r="AL78" i="56"/>
  <c r="AM78" i="56"/>
  <c r="AN78" i="56"/>
  <c r="AO78" i="56"/>
  <c r="AP78" i="56"/>
  <c r="AQ78" i="56"/>
  <c r="AR78" i="56"/>
  <c r="AS78" i="56"/>
  <c r="AT78" i="56"/>
  <c r="AU78" i="56"/>
  <c r="AV78" i="56"/>
  <c r="AW78" i="56"/>
  <c r="AX78" i="56"/>
  <c r="AY78" i="56"/>
  <c r="AZ78" i="56"/>
  <c r="BA78" i="56"/>
  <c r="BB78" i="56"/>
  <c r="BC78" i="56"/>
  <c r="BD78" i="56"/>
  <c r="BE78" i="56"/>
  <c r="BF78" i="56"/>
  <c r="BG78" i="56"/>
  <c r="BH78" i="56"/>
  <c r="BI78" i="56"/>
  <c r="BJ78" i="56"/>
  <c r="BK78" i="56"/>
  <c r="BL78" i="56"/>
  <c r="BM78" i="56"/>
  <c r="BS78" i="56"/>
  <c r="BX78" i="56" s="1"/>
  <c r="BT78" i="56"/>
  <c r="BP78" i="56"/>
  <c r="B79" i="56"/>
  <c r="C79" i="56"/>
  <c r="D79" i="56"/>
  <c r="E79" i="56"/>
  <c r="F79" i="56"/>
  <c r="G79" i="56"/>
  <c r="H79" i="56"/>
  <c r="I79" i="56"/>
  <c r="J79" i="56"/>
  <c r="K79" i="56"/>
  <c r="L79" i="56"/>
  <c r="M79" i="56"/>
  <c r="N79" i="56"/>
  <c r="O79" i="56"/>
  <c r="P79" i="56"/>
  <c r="Q79" i="56"/>
  <c r="R79" i="56"/>
  <c r="S79" i="56"/>
  <c r="T79" i="56"/>
  <c r="U79" i="56"/>
  <c r="V79" i="56"/>
  <c r="W79" i="56"/>
  <c r="X79" i="56"/>
  <c r="Y79" i="56"/>
  <c r="Z79" i="56"/>
  <c r="AA79" i="56"/>
  <c r="AB79" i="56"/>
  <c r="AC79" i="56"/>
  <c r="AD79" i="56"/>
  <c r="BN78" i="56" l="1"/>
  <c r="BU78" i="56"/>
  <c r="AE79" i="56"/>
  <c r="AF79" i="56"/>
  <c r="AJ79" i="56"/>
  <c r="AK79" i="56"/>
  <c r="AL79" i="56"/>
  <c r="AM79" i="56"/>
  <c r="AN79" i="56"/>
  <c r="AO79" i="56"/>
  <c r="AP79" i="56"/>
  <c r="AQ79" i="56"/>
  <c r="AR79" i="56"/>
  <c r="AS79" i="56"/>
  <c r="AT79" i="56"/>
  <c r="AU79" i="56"/>
  <c r="AV79" i="56"/>
  <c r="AW79" i="56"/>
  <c r="AX79" i="56"/>
  <c r="AY79" i="56"/>
  <c r="AZ79" i="56"/>
  <c r="BA79" i="56"/>
  <c r="BB79" i="56"/>
  <c r="BC79" i="56"/>
  <c r="BD79" i="56"/>
  <c r="BE79" i="56"/>
  <c r="BF79" i="56"/>
  <c r="BG79" i="56"/>
  <c r="BH79" i="56"/>
  <c r="BI79" i="56"/>
  <c r="BJ79" i="56"/>
  <c r="BK79" i="56"/>
  <c r="BL79" i="56"/>
  <c r="BV78" i="56" l="1"/>
  <c r="BY78" i="56"/>
  <c r="BM79" i="56"/>
  <c r="BS79" i="56"/>
  <c r="BX79" i="56"/>
  <c r="BN79" i="56"/>
  <c r="BT79" i="56"/>
  <c r="BU79" i="56"/>
  <c r="BV79" i="56" s="1"/>
  <c r="BY79" i="56"/>
  <c r="BZ79" i="56" s="1"/>
  <c r="CA79" i="56" s="1"/>
  <c r="BO79" i="56"/>
  <c r="BP79" i="56"/>
  <c r="B80" i="56"/>
  <c r="C80" i="56"/>
  <c r="D80" i="56"/>
  <c r="E80" i="56"/>
  <c r="F80" i="56"/>
  <c r="G80" i="56"/>
  <c r="H80" i="56"/>
  <c r="I80" i="56"/>
  <c r="J80" i="56"/>
  <c r="K80" i="56"/>
  <c r="L80" i="56"/>
  <c r="M80" i="56"/>
  <c r="N80" i="56"/>
  <c r="O80" i="56"/>
  <c r="P80" i="56"/>
  <c r="Q80" i="56"/>
  <c r="R80" i="56"/>
  <c r="S80" i="56"/>
  <c r="T80" i="56"/>
  <c r="U80" i="56"/>
  <c r="V80" i="56"/>
  <c r="W80" i="56"/>
  <c r="X80" i="56"/>
  <c r="Y80" i="56"/>
  <c r="Z80" i="56"/>
  <c r="AA80" i="56"/>
  <c r="AB80" i="56"/>
  <c r="AC80" i="56"/>
  <c r="AD80" i="56"/>
  <c r="BO78" i="56" l="1"/>
  <c r="BZ78" i="56"/>
  <c r="CA78" i="56" s="1"/>
  <c r="AE80" i="56"/>
  <c r="AF80" i="56"/>
  <c r="AJ80" i="56"/>
  <c r="AK80" i="56"/>
  <c r="AL80" i="56"/>
  <c r="AM80" i="56"/>
  <c r="AN80" i="56"/>
  <c r="AO80" i="56"/>
  <c r="AP80" i="56"/>
  <c r="AQ80" i="56"/>
  <c r="AR80" i="56"/>
  <c r="AS80" i="56"/>
  <c r="AT80" i="56"/>
  <c r="AU80" i="56"/>
  <c r="AV80" i="56"/>
  <c r="AW80" i="56"/>
  <c r="AX80" i="56"/>
  <c r="AY80" i="56"/>
  <c r="AZ80" i="56"/>
  <c r="BA80" i="56"/>
  <c r="BB80" i="56"/>
  <c r="BC80" i="56"/>
  <c r="BD80" i="56"/>
  <c r="BE80" i="56"/>
  <c r="BF80" i="56"/>
  <c r="BG80" i="56"/>
  <c r="BH80" i="56"/>
  <c r="BI80" i="56"/>
  <c r="BJ80" i="56"/>
  <c r="BK80" i="56"/>
  <c r="BL80" i="56"/>
  <c r="BM80" i="56"/>
  <c r="BS80" i="56"/>
  <c r="BX80" i="56" s="1"/>
  <c r="BT80" i="56"/>
  <c r="BP80" i="56"/>
  <c r="B81" i="56"/>
  <c r="C81" i="56"/>
  <c r="D81" i="56"/>
  <c r="E81" i="56"/>
  <c r="F81" i="56"/>
  <c r="G81" i="56"/>
  <c r="H81" i="56"/>
  <c r="I81" i="56"/>
  <c r="J81" i="56"/>
  <c r="K81" i="56"/>
  <c r="L81" i="56"/>
  <c r="M81" i="56"/>
  <c r="N81" i="56"/>
  <c r="O81" i="56"/>
  <c r="P81" i="56"/>
  <c r="Q81" i="56"/>
  <c r="R81" i="56"/>
  <c r="S81" i="56"/>
  <c r="T81" i="56"/>
  <c r="U81" i="56"/>
  <c r="V81" i="56"/>
  <c r="W81" i="56"/>
  <c r="X81" i="56"/>
  <c r="Y81" i="56"/>
  <c r="Z81" i="56"/>
  <c r="AA81" i="56"/>
  <c r="AB81" i="56"/>
  <c r="AC81" i="56"/>
  <c r="AD81" i="56"/>
  <c r="BN80" i="56" l="1"/>
  <c r="BU80" i="56"/>
  <c r="AE81" i="56"/>
  <c r="AF81" i="56"/>
  <c r="AJ81" i="56"/>
  <c r="AK81" i="56"/>
  <c r="AL81" i="56"/>
  <c r="AM81" i="56"/>
  <c r="AN81" i="56"/>
  <c r="AO81" i="56"/>
  <c r="AP81" i="56"/>
  <c r="AQ81" i="56"/>
  <c r="AR81" i="56"/>
  <c r="AS81" i="56"/>
  <c r="AT81" i="56"/>
  <c r="AU81" i="56"/>
  <c r="AV81" i="56"/>
  <c r="AW81" i="56"/>
  <c r="AX81" i="56"/>
  <c r="AY81" i="56"/>
  <c r="AZ81" i="56"/>
  <c r="BA81" i="56"/>
  <c r="BB81" i="56"/>
  <c r="BC81" i="56"/>
  <c r="BD81" i="56"/>
  <c r="BE81" i="56"/>
  <c r="BF81" i="56"/>
  <c r="BG81" i="56"/>
  <c r="BH81" i="56"/>
  <c r="BI81" i="56"/>
  <c r="BJ81" i="56"/>
  <c r="BK81" i="56"/>
  <c r="BL81" i="56"/>
  <c r="BY80" i="56" l="1"/>
  <c r="BV80" i="56"/>
  <c r="BM81" i="56"/>
  <c r="BS81" i="56"/>
  <c r="BX81" i="56"/>
  <c r="BN81" i="56"/>
  <c r="BT81" i="56"/>
  <c r="BU81" i="56" s="1"/>
  <c r="BP81" i="56"/>
  <c r="B82" i="56"/>
  <c r="C82" i="56"/>
  <c r="D82" i="56"/>
  <c r="E82" i="56"/>
  <c r="F82" i="56"/>
  <c r="G82" i="56"/>
  <c r="H82" i="56"/>
  <c r="I82" i="56"/>
  <c r="J82" i="56"/>
  <c r="K82" i="56"/>
  <c r="L82" i="56"/>
  <c r="M82" i="56"/>
  <c r="N82" i="56"/>
  <c r="O82" i="56"/>
  <c r="P82" i="56"/>
  <c r="Q82" i="56"/>
  <c r="R82" i="56"/>
  <c r="S82" i="56"/>
  <c r="T82" i="56"/>
  <c r="U82" i="56"/>
  <c r="V82" i="56"/>
  <c r="W82" i="56"/>
  <c r="X82" i="56"/>
  <c r="Y82" i="56"/>
  <c r="Z82" i="56"/>
  <c r="AA82" i="56"/>
  <c r="AB82" i="56"/>
  <c r="AC82" i="56"/>
  <c r="AD82" i="56"/>
  <c r="BY81" i="56" l="1"/>
  <c r="BV81" i="56"/>
  <c r="BO80" i="56"/>
  <c r="BZ80" i="56"/>
  <c r="CA80" i="56" s="1"/>
  <c r="AE82" i="56"/>
  <c r="AF82" i="56"/>
  <c r="AJ82" i="56"/>
  <c r="AK82" i="56"/>
  <c r="AL82" i="56"/>
  <c r="AM82" i="56"/>
  <c r="AN82" i="56"/>
  <c r="AO82" i="56"/>
  <c r="AP82" i="56"/>
  <c r="AQ82" i="56"/>
  <c r="AR82" i="56"/>
  <c r="AS82" i="56"/>
  <c r="AT82" i="56"/>
  <c r="AU82" i="56"/>
  <c r="AV82" i="56"/>
  <c r="AW82" i="56"/>
  <c r="AX82" i="56"/>
  <c r="AY82" i="56"/>
  <c r="AZ82" i="56"/>
  <c r="BA82" i="56"/>
  <c r="BB82" i="56"/>
  <c r="BC82" i="56"/>
  <c r="BD82" i="56"/>
  <c r="BE82" i="56"/>
  <c r="BF82" i="56"/>
  <c r="BG82" i="56"/>
  <c r="BH82" i="56"/>
  <c r="BI82" i="56"/>
  <c r="BJ82" i="56"/>
  <c r="BK82" i="56"/>
  <c r="BL82" i="56"/>
  <c r="BO81" i="56" l="1"/>
  <c r="BZ81" i="56"/>
  <c r="CA81" i="56" s="1"/>
  <c r="BM82" i="56"/>
  <c r="BS82" i="56"/>
  <c r="BX82" i="56"/>
  <c r="BZ82" i="56" s="1"/>
  <c r="CA82" i="56" s="1"/>
  <c r="BT82" i="56"/>
  <c r="BU82" i="56"/>
  <c r="BV82" i="56" s="1"/>
  <c r="BY82" i="56"/>
  <c r="BO82" i="56" s="1"/>
  <c r="BP82" i="56"/>
  <c r="B83" i="56"/>
  <c r="C83" i="56"/>
  <c r="D83" i="56"/>
  <c r="E83" i="56"/>
  <c r="F83" i="56"/>
  <c r="G83" i="56"/>
  <c r="H83" i="56"/>
  <c r="I83" i="56"/>
  <c r="J83" i="56"/>
  <c r="K83" i="56"/>
  <c r="L83" i="56"/>
  <c r="M83" i="56"/>
  <c r="N83" i="56"/>
  <c r="O83" i="56"/>
  <c r="P83" i="56"/>
  <c r="Q83" i="56"/>
  <c r="R83" i="56"/>
  <c r="S83" i="56"/>
  <c r="T83" i="56"/>
  <c r="U83" i="56"/>
  <c r="V83" i="56"/>
  <c r="W83" i="56"/>
  <c r="X83" i="56"/>
  <c r="Y83" i="56"/>
  <c r="Z83" i="56"/>
  <c r="AA83" i="56"/>
  <c r="AB83" i="56"/>
  <c r="AC83" i="56"/>
  <c r="AD83" i="56"/>
  <c r="BN82" i="56" l="1"/>
  <c r="AE83" i="56"/>
  <c r="AF83" i="56"/>
  <c r="AJ83" i="56"/>
  <c r="AK83" i="56"/>
  <c r="AL83" i="56"/>
  <c r="AM83" i="56"/>
  <c r="AN83" i="56"/>
  <c r="AO83" i="56"/>
  <c r="AP83" i="56"/>
  <c r="AQ83" i="56"/>
  <c r="AR83" i="56"/>
  <c r="AS83" i="56"/>
  <c r="AT83" i="56"/>
  <c r="AU83" i="56"/>
  <c r="AV83" i="56"/>
  <c r="AW83" i="56"/>
  <c r="AX83" i="56"/>
  <c r="AY83" i="56"/>
  <c r="AZ83" i="56"/>
  <c r="BA83" i="56"/>
  <c r="BB83" i="56"/>
  <c r="BC83" i="56"/>
  <c r="BD83" i="56"/>
  <c r="BE83" i="56"/>
  <c r="BF83" i="56"/>
  <c r="BG83" i="56"/>
  <c r="BH83" i="56"/>
  <c r="BI83" i="56"/>
  <c r="BJ83" i="56"/>
  <c r="BK83" i="56"/>
  <c r="BL83" i="56"/>
  <c r="BM83" i="56"/>
  <c r="BS83" i="56"/>
  <c r="BX83" i="56" s="1"/>
  <c r="BT83" i="56"/>
  <c r="BP83" i="56"/>
  <c r="B84" i="56"/>
  <c r="C84" i="56"/>
  <c r="D84" i="56"/>
  <c r="Q84" i="56"/>
  <c r="R84" i="56"/>
  <c r="S84" i="56"/>
  <c r="T84" i="56"/>
  <c r="U84" i="56"/>
  <c r="V84" i="56"/>
  <c r="W84" i="56"/>
  <c r="X84" i="56"/>
  <c r="Y84" i="56"/>
  <c r="Z84" i="56"/>
  <c r="AA84" i="56"/>
  <c r="AB84" i="56"/>
  <c r="AC84" i="56"/>
  <c r="AD84" i="56"/>
  <c r="BN83" i="56" l="1"/>
  <c r="BU83" i="56"/>
  <c r="AE84" i="56"/>
  <c r="AF84" i="56"/>
  <c r="AJ84" i="56"/>
  <c r="AK84" i="56"/>
  <c r="AL84" i="56"/>
  <c r="AY84" i="56"/>
  <c r="AZ84" i="56"/>
  <c r="BA84" i="56"/>
  <c r="BB84" i="56"/>
  <c r="BC84" i="56"/>
  <c r="BD84" i="56"/>
  <c r="BE84" i="56"/>
  <c r="BF84" i="56"/>
  <c r="BG84" i="56"/>
  <c r="BH84" i="56"/>
  <c r="BI84" i="56"/>
  <c r="BJ84" i="56"/>
  <c r="BK84" i="56"/>
  <c r="BL84" i="56"/>
  <c r="BV83" i="56" l="1"/>
  <c r="BY83" i="56"/>
  <c r="BM84" i="56"/>
  <c r="BS84" i="56"/>
  <c r="BX84" i="56"/>
  <c r="BN84" i="56"/>
  <c r="BT84" i="56"/>
  <c r="BU84" i="56" s="1"/>
  <c r="BP84" i="56"/>
  <c r="B85" i="56"/>
  <c r="C85" i="56"/>
  <c r="D85" i="56"/>
  <c r="Q85" i="56"/>
  <c r="R85" i="56"/>
  <c r="S85" i="56"/>
  <c r="T85" i="56"/>
  <c r="U85" i="56"/>
  <c r="V85" i="56"/>
  <c r="W85" i="56"/>
  <c r="X85" i="56"/>
  <c r="Y85" i="56"/>
  <c r="Z85" i="56"/>
  <c r="AA85" i="56"/>
  <c r="AB85" i="56"/>
  <c r="AC85" i="56"/>
  <c r="AD85" i="56"/>
  <c r="BY84" i="56" l="1"/>
  <c r="BV84" i="56"/>
  <c r="BO83" i="56"/>
  <c r="BZ83" i="56"/>
  <c r="CA83" i="56" s="1"/>
  <c r="AE85" i="56"/>
  <c r="AF85" i="56"/>
  <c r="AJ85" i="56"/>
  <c r="AK85" i="56"/>
  <c r="AL85" i="56"/>
  <c r="AY85" i="56"/>
  <c r="AZ85" i="56"/>
  <c r="BA85" i="56"/>
  <c r="BB85" i="56"/>
  <c r="BC85" i="56"/>
  <c r="BD85" i="56"/>
  <c r="BE85" i="56"/>
  <c r="BF85" i="56"/>
  <c r="BG85" i="56"/>
  <c r="BH85" i="56"/>
  <c r="BI85" i="56"/>
  <c r="BJ85" i="56"/>
  <c r="BK85" i="56"/>
  <c r="BL85" i="56"/>
  <c r="BO84" i="56" l="1"/>
  <c r="BZ84" i="56"/>
  <c r="CA84" i="56" s="1"/>
  <c r="BM85" i="56"/>
  <c r="BS85" i="56"/>
  <c r="BX85" i="56"/>
  <c r="BN85" i="56"/>
  <c r="BT85" i="56"/>
  <c r="BU85" i="56" s="1"/>
  <c r="BP85" i="56"/>
  <c r="B86" i="56"/>
  <c r="C86" i="56"/>
  <c r="D86" i="56"/>
  <c r="Q86" i="56"/>
  <c r="R86" i="56"/>
  <c r="S86" i="56"/>
  <c r="T86" i="56"/>
  <c r="U86" i="56"/>
  <c r="V86" i="56"/>
  <c r="W86" i="56"/>
  <c r="X86" i="56"/>
  <c r="Y86" i="56"/>
  <c r="Z86" i="56"/>
  <c r="AA86" i="56"/>
  <c r="AB86" i="56"/>
  <c r="AC86" i="56"/>
  <c r="AD86" i="56"/>
  <c r="BV85" i="56" l="1"/>
  <c r="BY85" i="56"/>
  <c r="AE86" i="56"/>
  <c r="AF86" i="56"/>
  <c r="AJ86" i="56"/>
  <c r="AK86" i="56"/>
  <c r="AL86" i="56"/>
  <c r="AY86" i="56"/>
  <c r="AZ86" i="56"/>
  <c r="BA86" i="56"/>
  <c r="BB86" i="56"/>
  <c r="BC86" i="56"/>
  <c r="BD86" i="56"/>
  <c r="BE86" i="56"/>
  <c r="BF86" i="56"/>
  <c r="BG86" i="56"/>
  <c r="BH86" i="56"/>
  <c r="BI86" i="56"/>
  <c r="BJ86" i="56"/>
  <c r="BK86" i="56"/>
  <c r="BL86" i="56"/>
  <c r="BO85" i="56" l="1"/>
  <c r="BZ85" i="56"/>
  <c r="CA85" i="56" s="1"/>
  <c r="BM86" i="56"/>
  <c r="BS86" i="56"/>
  <c r="BX86" i="56"/>
  <c r="BN86" i="56"/>
  <c r="BT86" i="56"/>
  <c r="BU86" i="56"/>
  <c r="BV86" i="56" s="1"/>
  <c r="BY86" i="56"/>
  <c r="BZ86" i="56" s="1"/>
  <c r="CA86" i="56" s="1"/>
  <c r="BO86" i="56"/>
  <c r="BP86" i="56"/>
  <c r="B87" i="56"/>
  <c r="C87" i="56"/>
  <c r="D87" i="56"/>
  <c r="Q87" i="56"/>
  <c r="R87" i="56"/>
  <c r="S87" i="56"/>
  <c r="T87" i="56"/>
  <c r="U87" i="56"/>
  <c r="V87" i="56"/>
  <c r="W87" i="56"/>
  <c r="X87" i="56"/>
  <c r="Y87" i="56"/>
  <c r="Z87" i="56"/>
  <c r="AA87" i="56"/>
  <c r="AB87" i="56"/>
  <c r="AC87" i="56"/>
  <c r="AD87" i="56"/>
  <c r="AE87" i="56"/>
  <c r="AF87" i="56"/>
  <c r="AJ87" i="56"/>
  <c r="AK87" i="56"/>
  <c r="AL87" i="56"/>
  <c r="AY87" i="56"/>
  <c r="AZ87" i="56"/>
  <c r="BA87" i="56"/>
  <c r="BB87" i="56"/>
  <c r="BC87" i="56"/>
  <c r="BD87" i="56"/>
  <c r="BE87" i="56"/>
  <c r="BF87" i="56"/>
  <c r="BG87" i="56"/>
  <c r="BH87" i="56"/>
  <c r="BI87" i="56"/>
  <c r="BJ87" i="56"/>
  <c r="BK87" i="56"/>
  <c r="BL87" i="56"/>
  <c r="BM87" i="56"/>
  <c r="BS87" i="56"/>
  <c r="BX87" i="56"/>
  <c r="BN87" i="56"/>
  <c r="BT87" i="56"/>
  <c r="BU87" i="56" s="1"/>
  <c r="BP87" i="56"/>
  <c r="B88" i="56"/>
  <c r="C88" i="56"/>
  <c r="D88" i="56"/>
  <c r="Q88" i="56"/>
  <c r="R88" i="56"/>
  <c r="S88" i="56"/>
  <c r="T88" i="56"/>
  <c r="U88" i="56"/>
  <c r="V88" i="56"/>
  <c r="W88" i="56"/>
  <c r="X88" i="56"/>
  <c r="Y88" i="56"/>
  <c r="Z88" i="56"/>
  <c r="AA88" i="56"/>
  <c r="AB88" i="56"/>
  <c r="AC88" i="56"/>
  <c r="AD88" i="56"/>
  <c r="BV87" i="56" l="1"/>
  <c r="BY87" i="56"/>
  <c r="AE88" i="56"/>
  <c r="AF88" i="56"/>
  <c r="AJ88" i="56"/>
  <c r="AK88" i="56"/>
  <c r="AL88" i="56"/>
  <c r="AY88" i="56"/>
  <c r="AZ88" i="56"/>
  <c r="BA88" i="56"/>
  <c r="BB88" i="56"/>
  <c r="BC88" i="56"/>
  <c r="BD88" i="56"/>
  <c r="BE88" i="56"/>
  <c r="BF88" i="56"/>
  <c r="BG88" i="56"/>
  <c r="BH88" i="56"/>
  <c r="BI88" i="56"/>
  <c r="BJ88" i="56"/>
  <c r="BK88" i="56"/>
  <c r="BL88" i="56"/>
  <c r="BO87" i="56" l="1"/>
  <c r="BZ87" i="56"/>
  <c r="CA87" i="56" s="1"/>
  <c r="BM88" i="56"/>
  <c r="BS88" i="56"/>
  <c r="BX88" i="56"/>
  <c r="BN88" i="56"/>
  <c r="BT88" i="56"/>
  <c r="BU88" i="56" s="1"/>
  <c r="BP88" i="56"/>
  <c r="B89" i="56"/>
  <c r="C89" i="56"/>
  <c r="D89" i="56"/>
  <c r="Q89" i="56"/>
  <c r="R89" i="56"/>
  <c r="S89" i="56"/>
  <c r="T89" i="56"/>
  <c r="U89" i="56"/>
  <c r="V89" i="56"/>
  <c r="W89" i="56"/>
  <c r="X89" i="56"/>
  <c r="Y89" i="56"/>
  <c r="Z89" i="56"/>
  <c r="AA89" i="56"/>
  <c r="AB89" i="56"/>
  <c r="AC89" i="56"/>
  <c r="AD89" i="56"/>
  <c r="BY88" i="56" l="1"/>
  <c r="BV88" i="56"/>
  <c r="AE89" i="56"/>
  <c r="AF89" i="56"/>
  <c r="AJ89" i="56"/>
  <c r="AK89" i="56"/>
  <c r="AL89" i="56"/>
  <c r="AY89" i="56"/>
  <c r="AZ89" i="56"/>
  <c r="BA89" i="56"/>
  <c r="BB89" i="56"/>
  <c r="BC89" i="56"/>
  <c r="BD89" i="56"/>
  <c r="BE89" i="56"/>
  <c r="BF89" i="56"/>
  <c r="BG89" i="56"/>
  <c r="BH89" i="56"/>
  <c r="BI89" i="56"/>
  <c r="BJ89" i="56"/>
  <c r="BK89" i="56"/>
  <c r="BL89" i="56"/>
  <c r="BZ88" i="56" l="1"/>
  <c r="CA88" i="56" s="1"/>
  <c r="BO88" i="56"/>
  <c r="BM89" i="56"/>
  <c r="BN89" i="56"/>
  <c r="BO89" i="56"/>
  <c r="BP89" i="56"/>
  <c r="BS89" i="56"/>
  <c r="BT89" i="56"/>
  <c r="BU89" i="56"/>
  <c r="BV89" i="56"/>
  <c r="B90" i="56"/>
  <c r="C90" i="56"/>
  <c r="D90" i="56"/>
  <c r="Q90" i="56"/>
  <c r="R90" i="56"/>
  <c r="S90" i="56"/>
  <c r="T90" i="56"/>
  <c r="U90" i="56"/>
  <c r="V90" i="56"/>
  <c r="W90" i="56"/>
  <c r="X90" i="56"/>
  <c r="Y90" i="56"/>
  <c r="Z90" i="56"/>
  <c r="AA90" i="56"/>
  <c r="AB90" i="56"/>
  <c r="AC90" i="56"/>
  <c r="AD90" i="56"/>
  <c r="AE90" i="56"/>
  <c r="AF90" i="56"/>
  <c r="AJ90" i="56"/>
  <c r="AK90" i="56"/>
  <c r="AL90" i="56"/>
  <c r="AY90" i="56"/>
  <c r="AZ90" i="56"/>
  <c r="BA90" i="56"/>
  <c r="BB90" i="56"/>
  <c r="BC90" i="56"/>
  <c r="BD90" i="56"/>
  <c r="BE90" i="56"/>
  <c r="BF90" i="56"/>
  <c r="BG90" i="56"/>
  <c r="BH90" i="56"/>
  <c r="BI90" i="56"/>
  <c r="BJ90" i="56"/>
  <c r="BK90" i="56"/>
  <c r="BL90" i="56"/>
  <c r="BM90" i="56"/>
  <c r="BN90" i="56"/>
  <c r="BO90" i="56"/>
  <c r="BP90" i="56"/>
  <c r="BS90" i="56"/>
  <c r="BT90" i="56"/>
  <c r="BU90" i="56" s="1"/>
  <c r="BV90" i="56" s="1"/>
  <c r="B91" i="56"/>
  <c r="C91" i="56"/>
  <c r="D91" i="56"/>
  <c r="Q91" i="56"/>
  <c r="R91" i="56"/>
  <c r="S91" i="56"/>
  <c r="T91" i="56"/>
  <c r="U91" i="56"/>
  <c r="V91" i="56"/>
  <c r="W91" i="56"/>
  <c r="X91" i="56"/>
  <c r="Y91" i="56"/>
  <c r="Z91" i="56"/>
  <c r="AA91" i="56"/>
  <c r="AB91" i="56"/>
  <c r="AC91" i="56"/>
  <c r="AD91" i="56"/>
  <c r="AE91" i="56"/>
  <c r="AF91" i="56"/>
  <c r="AJ91" i="56"/>
  <c r="AK91" i="56"/>
  <c r="AL91" i="56"/>
  <c r="AY91" i="56"/>
  <c r="AZ91" i="56"/>
  <c r="BA91" i="56"/>
  <c r="BB91" i="56"/>
  <c r="BC91" i="56"/>
  <c r="BD91" i="56"/>
  <c r="BE91" i="56"/>
  <c r="BF91" i="56"/>
  <c r="BG91" i="56"/>
  <c r="BH91" i="56"/>
  <c r="BI91" i="56"/>
  <c r="BJ91" i="56"/>
  <c r="BK91" i="56"/>
  <c r="BL91" i="56"/>
  <c r="BM91" i="56"/>
  <c r="BN91" i="56"/>
  <c r="BO91" i="56"/>
  <c r="BP91" i="56"/>
  <c r="BS91" i="56"/>
  <c r="BT91" i="56"/>
  <c r="BU91" i="56" s="1"/>
  <c r="BV91" i="56" s="1"/>
  <c r="B92" i="56"/>
  <c r="C92" i="56"/>
  <c r="D92" i="56"/>
  <c r="Q92" i="56"/>
  <c r="R92" i="56"/>
  <c r="S92" i="56"/>
  <c r="T92" i="56"/>
  <c r="U92" i="56"/>
  <c r="V92" i="56"/>
  <c r="W92" i="56"/>
  <c r="X92" i="56"/>
  <c r="Y92" i="56"/>
  <c r="Z92" i="56"/>
  <c r="AA92" i="56"/>
  <c r="AB92" i="56"/>
  <c r="AC92" i="56"/>
  <c r="AD92" i="56"/>
  <c r="AE92" i="56"/>
  <c r="AF92" i="56"/>
  <c r="AJ92" i="56"/>
  <c r="AK92" i="56"/>
  <c r="AL92" i="56"/>
  <c r="AY92" i="56"/>
  <c r="AZ92" i="56"/>
  <c r="BA92" i="56"/>
  <c r="BB92" i="56"/>
  <c r="BC92" i="56"/>
  <c r="BD92" i="56"/>
  <c r="BE92" i="56"/>
  <c r="BF92" i="56"/>
  <c r="BG92" i="56"/>
  <c r="BH92" i="56"/>
  <c r="BI92" i="56"/>
  <c r="BJ92" i="56"/>
  <c r="BK92" i="56"/>
  <c r="BL92" i="56"/>
  <c r="BM92" i="56"/>
  <c r="BN92" i="56"/>
  <c r="BO92" i="56"/>
  <c r="BP92" i="56"/>
  <c r="BS92" i="56"/>
  <c r="BT92" i="56"/>
  <c r="BU92" i="56" s="1"/>
  <c r="BV92" i="56" s="1"/>
  <c r="B93" i="56"/>
  <c r="C93" i="56"/>
  <c r="D93" i="56"/>
  <c r="Q93" i="56"/>
  <c r="R93" i="56"/>
  <c r="S93" i="56"/>
  <c r="T93" i="56"/>
  <c r="U93" i="56"/>
  <c r="V93" i="56"/>
  <c r="W93" i="56"/>
  <c r="X93" i="56"/>
  <c r="Y93" i="56"/>
  <c r="Z93" i="56"/>
  <c r="AA93" i="56"/>
  <c r="AB93" i="56"/>
  <c r="AC93" i="56"/>
  <c r="AD93" i="56"/>
  <c r="AE93" i="56"/>
  <c r="AF93" i="56"/>
  <c r="AJ93" i="56"/>
  <c r="AK93" i="56"/>
  <c r="AL93" i="56"/>
  <c r="AY93" i="56"/>
  <c r="AZ93" i="56"/>
  <c r="BA93" i="56"/>
  <c r="BB93" i="56"/>
  <c r="BC93" i="56"/>
  <c r="BD93" i="56"/>
  <c r="BE93" i="56"/>
  <c r="BF93" i="56"/>
  <c r="BG93" i="56"/>
  <c r="BH93" i="56"/>
  <c r="BI93" i="56"/>
  <c r="BJ93" i="56"/>
  <c r="BK93" i="56"/>
  <c r="BL93" i="56"/>
  <c r="BM93" i="56"/>
  <c r="BN93" i="56"/>
  <c r="BN94" i="56" s="1"/>
  <c r="BO93" i="56"/>
  <c r="BP93" i="56"/>
  <c r="BS93" i="56"/>
  <c r="BT93" i="56"/>
  <c r="BU93" i="56" s="1"/>
  <c r="BV93" i="56" s="1"/>
  <c r="E94" i="56"/>
  <c r="F94" i="56"/>
  <c r="G94" i="56"/>
  <c r="H94" i="56"/>
  <c r="I94" i="56"/>
  <c r="J94" i="56"/>
  <c r="K94" i="56"/>
  <c r="L94" i="56"/>
  <c r="M94" i="56"/>
  <c r="N94" i="56"/>
  <c r="O94" i="56"/>
  <c r="P94" i="56"/>
  <c r="Q94" i="56"/>
  <c r="R94" i="56"/>
  <c r="S94" i="56"/>
  <c r="T94" i="56"/>
  <c r="U94" i="56"/>
  <c r="V94" i="56"/>
  <c r="W94" i="56"/>
  <c r="X94" i="56"/>
  <c r="Y94" i="56"/>
  <c r="Z94" i="56"/>
  <c r="AA94" i="56"/>
  <c r="AB94" i="56"/>
  <c r="AC94" i="56"/>
  <c r="AD94" i="56"/>
  <c r="AE94" i="56"/>
  <c r="AF94" i="56"/>
  <c r="AM94" i="56"/>
  <c r="AN94" i="56"/>
  <c r="AO94" i="56"/>
  <c r="AP94" i="56"/>
  <c r="AQ94" i="56"/>
  <c r="AR94" i="56"/>
  <c r="AS94" i="56"/>
  <c r="AT94" i="56"/>
  <c r="AU94" i="56"/>
  <c r="AV94" i="56"/>
  <c r="AW94" i="56"/>
  <c r="AX94" i="56"/>
  <c r="AY94" i="56"/>
  <c r="AZ94" i="56"/>
  <c r="BA94" i="56"/>
  <c r="BB94" i="56"/>
  <c r="BB95" i="56" s="1"/>
  <c r="BC94" i="56"/>
  <c r="BD94" i="56"/>
  <c r="BD95" i="56" s="1"/>
  <c r="BE94" i="56"/>
  <c r="BF94" i="56"/>
  <c r="BG94" i="56"/>
  <c r="BH94" i="56"/>
  <c r="BI94" i="56"/>
  <c r="BJ94" i="56"/>
  <c r="BJ95" i="56" s="1"/>
  <c r="BK94" i="56"/>
  <c r="BL94" i="56"/>
  <c r="BP94" i="56" s="1"/>
  <c r="BM94" i="56"/>
  <c r="BO94" i="56"/>
  <c r="BS94" i="56"/>
  <c r="BT94" i="56"/>
  <c r="BU94" i="56" s="1"/>
  <c r="BV94" i="56" s="1"/>
  <c r="BX94" i="56"/>
  <c r="BY94" i="56"/>
  <c r="BZ94" i="56"/>
  <c r="CA94" i="56"/>
  <c r="AZ95" i="56"/>
  <c r="BA95" i="56"/>
  <c r="BC95" i="56"/>
  <c r="BE95" i="56"/>
  <c r="BF95" i="56"/>
  <c r="BG95" i="56"/>
  <c r="BH95" i="56"/>
  <c r="BI95" i="56"/>
  <c r="BK95" i="56"/>
  <c r="E96" i="56"/>
  <c r="F96" i="56"/>
  <c r="G96" i="56"/>
  <c r="H96" i="56"/>
  <c r="I96" i="56"/>
  <c r="J96" i="56"/>
  <c r="K96" i="56"/>
  <c r="L96" i="56"/>
  <c r="M96" i="56"/>
  <c r="N96" i="56"/>
  <c r="O96" i="56"/>
  <c r="P96" i="56"/>
  <c r="Q96" i="56"/>
  <c r="R96" i="56"/>
  <c r="S96" i="56"/>
  <c r="T96" i="56"/>
  <c r="U96" i="56"/>
  <c r="V96" i="56"/>
  <c r="W96" i="56"/>
  <c r="X96" i="56"/>
  <c r="Y96" i="56"/>
  <c r="Z96" i="56"/>
  <c r="AA96" i="56"/>
  <c r="AB96" i="56"/>
  <c r="AC96" i="56"/>
  <c r="AD96" i="56"/>
  <c r="AE96" i="56"/>
  <c r="AM97" i="56"/>
  <c r="AM98" i="56"/>
  <c r="AM96" i="56"/>
  <c r="AN97" i="56"/>
  <c r="AN98" i="56"/>
  <c r="AN96" i="56"/>
  <c r="AO97" i="56"/>
  <c r="AO98" i="56"/>
  <c r="AO96" i="56"/>
  <c r="AP97" i="56"/>
  <c r="AP98" i="56"/>
  <c r="AP96" i="56"/>
  <c r="AQ97" i="56"/>
  <c r="AQ98" i="56"/>
  <c r="AQ96" i="56"/>
  <c r="AR97" i="56"/>
  <c r="AR98" i="56"/>
  <c r="AR96" i="56"/>
  <c r="AS97" i="56"/>
  <c r="AS98" i="56"/>
  <c r="AS96" i="56"/>
  <c r="AT97" i="56"/>
  <c r="AT98" i="56"/>
  <c r="AT96" i="56"/>
  <c r="AU97" i="56"/>
  <c r="AU98" i="56"/>
  <c r="AU96" i="56"/>
  <c r="AV97" i="56"/>
  <c r="AV98" i="56"/>
  <c r="AV96" i="56"/>
  <c r="AW97" i="56"/>
  <c r="AW98" i="56"/>
  <c r="AW96" i="56"/>
  <c r="AX97" i="56"/>
  <c r="AX98" i="56"/>
  <c r="AX96" i="56"/>
  <c r="AY97" i="56"/>
  <c r="AY98" i="56"/>
  <c r="AY96" i="56"/>
  <c r="AZ97" i="56"/>
  <c r="AZ98" i="56"/>
  <c r="AZ96" i="56"/>
  <c r="BA97" i="56"/>
  <c r="BA98" i="56"/>
  <c r="BA96" i="56"/>
  <c r="BB97" i="56"/>
  <c r="BB98" i="56"/>
  <c r="BB96" i="56"/>
  <c r="BC97" i="56"/>
  <c r="BC98" i="56"/>
  <c r="BC96" i="56"/>
  <c r="BD97" i="56"/>
  <c r="BD98" i="56"/>
  <c r="BD96" i="56"/>
  <c r="BE97" i="56"/>
  <c r="BE98" i="56"/>
  <c r="BE96" i="56"/>
  <c r="BF97" i="56"/>
  <c r="BF98" i="56"/>
  <c r="BF96" i="56"/>
  <c r="BG97" i="56"/>
  <c r="BG98" i="56"/>
  <c r="BG96" i="56"/>
  <c r="BH97" i="56"/>
  <c r="BH98" i="56"/>
  <c r="BH96" i="56"/>
  <c r="BI97" i="56"/>
  <c r="BI98" i="56"/>
  <c r="BI96" i="56"/>
  <c r="BJ97" i="56"/>
  <c r="BJ98" i="56"/>
  <c r="BJ96" i="56"/>
  <c r="BK97" i="56"/>
  <c r="BK98" i="56"/>
  <c r="BK96" i="56"/>
  <c r="BL97" i="56"/>
  <c r="BL98" i="56"/>
  <c r="BL96" i="56"/>
  <c r="BM96" i="56"/>
  <c r="E97" i="56"/>
  <c r="F97" i="56"/>
  <c r="G97" i="56"/>
  <c r="H97" i="56"/>
  <c r="I97" i="56"/>
  <c r="J97" i="56"/>
  <c r="K97" i="56"/>
  <c r="L97" i="56"/>
  <c r="M97" i="56"/>
  <c r="N97" i="56"/>
  <c r="O97" i="56"/>
  <c r="P97" i="56"/>
  <c r="Q97" i="56"/>
  <c r="AE97" i="56" s="1"/>
  <c r="R97" i="56"/>
  <c r="S97" i="56"/>
  <c r="T97" i="56"/>
  <c r="U97" i="56"/>
  <c r="V97" i="56"/>
  <c r="W97" i="56"/>
  <c r="X97" i="56"/>
  <c r="Y97" i="56"/>
  <c r="Z97" i="56"/>
  <c r="AA97" i="56"/>
  <c r="AB97" i="56"/>
  <c r="AC97" i="56"/>
  <c r="AD97" i="56"/>
  <c r="BM97" i="56"/>
  <c r="E98" i="56"/>
  <c r="F98" i="56"/>
  <c r="G98" i="56"/>
  <c r="H98" i="56"/>
  <c r="I98" i="56"/>
  <c r="J98" i="56"/>
  <c r="K98" i="56"/>
  <c r="L98" i="56"/>
  <c r="M98" i="56"/>
  <c r="N98" i="56"/>
  <c r="O98" i="56"/>
  <c r="P98" i="56"/>
  <c r="Q98" i="56"/>
  <c r="R98" i="56"/>
  <c r="S98" i="56"/>
  <c r="T98" i="56"/>
  <c r="U98" i="56"/>
  <c r="V98" i="56"/>
  <c r="W98" i="56"/>
  <c r="X98" i="56"/>
  <c r="Y98" i="56"/>
  <c r="Z98" i="56"/>
  <c r="AA98" i="56"/>
  <c r="AB98" i="56"/>
  <c r="AC98" i="56"/>
  <c r="AD98" i="56"/>
  <c r="AE98" i="56" s="1"/>
  <c r="BM98" i="56"/>
  <c r="Q101" i="56"/>
  <c r="AD101" i="56"/>
  <c r="AD108" i="56" s="1"/>
  <c r="AE101" i="56"/>
  <c r="AE108" i="56" s="1"/>
  <c r="AY101" i="56"/>
  <c r="AY102" i="56" s="1"/>
  <c r="BL101" i="56"/>
  <c r="BM101" i="56"/>
  <c r="BN101" i="56"/>
  <c r="BO101" i="56"/>
  <c r="BP101" i="56"/>
  <c r="Q103" i="56"/>
  <c r="AF103" i="56" s="1"/>
  <c r="Q104" i="56"/>
  <c r="Q105" i="56"/>
  <c r="Q106" i="56"/>
  <c r="Q107" i="56"/>
  <c r="AD103" i="56"/>
  <c r="AD104" i="56"/>
  <c r="AD105" i="56"/>
  <c r="AD106" i="56"/>
  <c r="AD107" i="56"/>
  <c r="AD102" i="56"/>
  <c r="AE103" i="56"/>
  <c r="AE104" i="56"/>
  <c r="AE105" i="56"/>
  <c r="AF105" i="56" s="1"/>
  <c r="AE106" i="56"/>
  <c r="AE107" i="56"/>
  <c r="AE102" i="56"/>
  <c r="AL102" i="56"/>
  <c r="AY103" i="56"/>
  <c r="AY104" i="56"/>
  <c r="AY105" i="56"/>
  <c r="AY106" i="56"/>
  <c r="BL103" i="56"/>
  <c r="BL102" i="56" s="1"/>
  <c r="BL104" i="56"/>
  <c r="BL105" i="56"/>
  <c r="BL106" i="56"/>
  <c r="BM103" i="56"/>
  <c r="BM104" i="56"/>
  <c r="BM105" i="56"/>
  <c r="BP105" i="56" s="1"/>
  <c r="BM106" i="56"/>
  <c r="BM102" i="56"/>
  <c r="BP102" i="56" s="1"/>
  <c r="BN103" i="56"/>
  <c r="BN102" i="56" s="1"/>
  <c r="BN108" i="56" s="1"/>
  <c r="BN104" i="56"/>
  <c r="BN105" i="56"/>
  <c r="BN106" i="56"/>
  <c r="BO103" i="56"/>
  <c r="BO102" i="56" s="1"/>
  <c r="BO108" i="56" s="1"/>
  <c r="BO104" i="56"/>
  <c r="BO105" i="56"/>
  <c r="BO106" i="56"/>
  <c r="AL103" i="56"/>
  <c r="BP103" i="56"/>
  <c r="AF104" i="56"/>
  <c r="AL104" i="56"/>
  <c r="BP104" i="56"/>
  <c r="AL105" i="56"/>
  <c r="R106" i="56"/>
  <c r="S106" i="56"/>
  <c r="T106" i="56"/>
  <c r="U106" i="56"/>
  <c r="V106" i="56"/>
  <c r="W106" i="56"/>
  <c r="X106" i="56"/>
  <c r="Y106" i="56"/>
  <c r="Z106" i="56"/>
  <c r="AA106" i="56"/>
  <c r="AB106" i="56"/>
  <c r="AC106" i="56"/>
  <c r="AF106" i="56"/>
  <c r="AL106" i="56"/>
  <c r="AZ106" i="56"/>
  <c r="BA106" i="56"/>
  <c r="BB106" i="56"/>
  <c r="BC106" i="56"/>
  <c r="BD106" i="56"/>
  <c r="BD108" i="56" s="1"/>
  <c r="BE106" i="56"/>
  <c r="BE108" i="56" s="1"/>
  <c r="BF106" i="56"/>
  <c r="BF108" i="56" s="1"/>
  <c r="BG106" i="56"/>
  <c r="BH106" i="56"/>
  <c r="BI106" i="56"/>
  <c r="BJ106" i="56"/>
  <c r="BK106" i="56"/>
  <c r="BP106" i="56"/>
  <c r="AF107" i="56"/>
  <c r="AZ108" i="56"/>
  <c r="BA108" i="56"/>
  <c r="BB108" i="56"/>
  <c r="BC108" i="56"/>
  <c r="BG108" i="56"/>
  <c r="BH108" i="56"/>
  <c r="BI108" i="56"/>
  <c r="BJ108" i="56"/>
  <c r="BK108" i="56"/>
  <c r="E110" i="56"/>
  <c r="F110" i="56"/>
  <c r="G110" i="56"/>
  <c r="H110" i="56"/>
  <c r="I110" i="56"/>
  <c r="J110" i="56"/>
  <c r="K110" i="56"/>
  <c r="L110" i="56"/>
  <c r="M110" i="56"/>
  <c r="N110" i="56"/>
  <c r="O110" i="56"/>
  <c r="P110" i="56"/>
  <c r="Q110" i="56"/>
  <c r="AD110" i="56"/>
  <c r="BL108" i="56" l="1"/>
  <c r="AY108" i="56"/>
  <c r="BM108" i="56"/>
  <c r="BP108" i="56" s="1"/>
  <c r="Q102" i="56"/>
  <c r="AE110" i="56"/>
  <c r="AF110" i="56"/>
  <c r="AM110" i="56"/>
  <c r="AN110" i="56"/>
  <c r="AO110" i="56"/>
  <c r="AP110" i="56"/>
  <c r="AQ110" i="56"/>
  <c r="AR110" i="56"/>
  <c r="AS110" i="56"/>
  <c r="AT110" i="56"/>
  <c r="AU110" i="56"/>
  <c r="AV110" i="56"/>
  <c r="AW110" i="56"/>
  <c r="AX110" i="56"/>
  <c r="AY110" i="56"/>
  <c r="AZ110" i="56"/>
  <c r="BA110" i="56"/>
  <c r="BB110" i="56"/>
  <c r="BC110" i="56"/>
  <c r="BD110" i="56"/>
  <c r="BE110" i="56"/>
  <c r="BF110" i="56"/>
  <c r="BG110" i="56"/>
  <c r="BH110" i="56"/>
  <c r="BI110" i="56"/>
  <c r="BJ110" i="56"/>
  <c r="BK110" i="56"/>
  <c r="BL110" i="56"/>
  <c r="Q108" i="56" l="1"/>
  <c r="AF108" i="56" s="1"/>
  <c r="AF102" i="56"/>
  <c r="BM110" i="56"/>
  <c r="BP110" i="56"/>
  <c r="E111" i="56"/>
  <c r="F111" i="56"/>
  <c r="G111" i="56"/>
  <c r="H111" i="56"/>
  <c r="I111" i="56"/>
  <c r="J111" i="56"/>
  <c r="K111" i="56"/>
  <c r="L111" i="56"/>
  <c r="M111" i="56"/>
  <c r="N111" i="56"/>
  <c r="O111" i="56"/>
  <c r="P111" i="56"/>
  <c r="Q111" i="56"/>
  <c r="AD111" i="56"/>
  <c r="AE111" i="56"/>
  <c r="AF111" i="56"/>
  <c r="AM111" i="56"/>
  <c r="AN111" i="56"/>
  <c r="AO111" i="56"/>
  <c r="AP111" i="56"/>
  <c r="AQ111" i="56"/>
  <c r="AR111" i="56"/>
  <c r="AS111" i="56"/>
  <c r="AT111" i="56"/>
  <c r="AU111" i="56"/>
  <c r="AV111" i="56"/>
  <c r="AW111" i="56"/>
  <c r="AX111" i="56"/>
  <c r="AY111" i="56"/>
  <c r="AZ111" i="56"/>
  <c r="BA111" i="56"/>
  <c r="BB111" i="56"/>
  <c r="BC111" i="56"/>
  <c r="BD111" i="56"/>
  <c r="BE111" i="56"/>
  <c r="BF111" i="56"/>
  <c r="BG111" i="56"/>
  <c r="BH111" i="56"/>
  <c r="BI111" i="56"/>
  <c r="BJ111" i="56"/>
  <c r="BK111" i="56"/>
  <c r="BL111" i="56"/>
  <c r="BM111" i="56"/>
  <c r="BP111" i="56"/>
  <c r="AM112" i="56"/>
  <c r="AN112" i="56"/>
  <c r="AO112" i="56"/>
  <c r="AP112" i="56"/>
  <c r="AQ112" i="56"/>
  <c r="AR112" i="56"/>
  <c r="AS112" i="56"/>
  <c r="AT112" i="56"/>
  <c r="AU112" i="56"/>
  <c r="AV112" i="56"/>
  <c r="AW112" i="56"/>
  <c r="AX112" i="56"/>
  <c r="AY112" i="56"/>
  <c r="AZ112" i="56"/>
  <c r="BA112" i="56"/>
  <c r="BB112" i="56"/>
  <c r="BC112" i="56"/>
  <c r="BD112" i="56"/>
  <c r="BE112" i="56"/>
  <c r="BF112" i="56"/>
  <c r="BG112" i="56"/>
  <c r="BH112" i="56"/>
  <c r="BI112" i="56"/>
  <c r="BJ112" i="56"/>
  <c r="BK112" i="56"/>
  <c r="BL112" i="56"/>
  <c r="BM112" i="56"/>
  <c r="BP112" i="56"/>
  <c r="AY113" i="56"/>
  <c r="AZ113" i="56"/>
  <c r="BA113" i="56"/>
  <c r="BB113" i="56"/>
  <c r="BC113" i="56"/>
  <c r="BD113" i="56"/>
  <c r="BE113" i="56"/>
  <c r="BF113" i="56"/>
  <c r="BG113" i="56"/>
  <c r="BH113" i="56"/>
  <c r="BI113" i="56"/>
  <c r="BJ113" i="56"/>
  <c r="BK113" i="56"/>
  <c r="BL113" i="56"/>
  <c r="BM113" i="56"/>
  <c r="BP113" i="56"/>
  <c r="AY114" i="56"/>
  <c r="AZ114" i="56"/>
  <c r="BA114" i="56"/>
  <c r="BB114" i="56"/>
  <c r="BC114" i="56"/>
  <c r="BD114" i="56"/>
  <c r="BE114" i="56"/>
  <c r="BF114" i="56"/>
  <c r="BG114" i="56"/>
  <c r="BH114" i="56"/>
  <c r="BI114" i="56"/>
  <c r="BJ114" i="56"/>
  <c r="BK114" i="56"/>
  <c r="BL114" i="56"/>
  <c r="BM114" i="56"/>
  <c r="BP114" i="56"/>
  <c r="AM116" i="56"/>
  <c r="AN116" i="56"/>
  <c r="AO116" i="56"/>
  <c r="AP116" i="56"/>
  <c r="AQ116" i="56"/>
  <c r="AR116" i="56"/>
  <c r="AS116" i="56"/>
  <c r="AT116" i="56"/>
  <c r="AU116" i="56"/>
  <c r="AV116" i="56"/>
  <c r="AW116" i="56"/>
  <c r="AX116" i="56"/>
  <c r="AY116" i="56"/>
  <c r="AZ116" i="56"/>
  <c r="BA116" i="56"/>
  <c r="BB116" i="56"/>
  <c r="BC116" i="56"/>
  <c r="BD116" i="56"/>
  <c r="BE116" i="56"/>
  <c r="BF116" i="56"/>
  <c r="BG116" i="56"/>
  <c r="BH116" i="56"/>
  <c r="BI116" i="56"/>
  <c r="BJ116" i="56"/>
  <c r="BK116" i="56"/>
  <c r="BL116" i="56"/>
  <c r="BM116" i="56"/>
  <c r="BP116" i="56"/>
  <c r="AY117" i="56"/>
  <c r="BL117" i="56"/>
  <c r="F2" i="50"/>
  <c r="F3" i="50"/>
  <c r="F4" i="50"/>
  <c r="F5" i="50"/>
  <c r="F6" i="50"/>
  <c r="F7" i="50"/>
  <c r="F8" i="50"/>
  <c r="F9" i="50"/>
  <c r="F10" i="50"/>
  <c r="F11" i="50"/>
  <c r="F12" i="50"/>
  <c r="F13" i="50"/>
  <c r="F14" i="50"/>
  <c r="F15" i="50"/>
  <c r="F16" i="50"/>
  <c r="F17" i="50"/>
  <c r="F18" i="50"/>
  <c r="F19" i="50"/>
  <c r="F20" i="50"/>
  <c r="F21" i="50"/>
  <c r="F22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F155" i="50"/>
  <c r="F156" i="50"/>
  <c r="F157" i="50"/>
  <c r="F158" i="50"/>
  <c r="F159" i="50"/>
  <c r="F160" i="50"/>
  <c r="F161" i="50"/>
  <c r="F162" i="50"/>
  <c r="F163" i="50"/>
  <c r="F164" i="50"/>
  <c r="F165" i="50"/>
  <c r="F166" i="50"/>
  <c r="F167" i="50"/>
  <c r="F168" i="50"/>
  <c r="F169" i="50"/>
  <c r="F170" i="50"/>
  <c r="F171" i="50"/>
  <c r="F172" i="50"/>
  <c r="F173" i="50"/>
  <c r="F174" i="50"/>
  <c r="F175" i="50"/>
  <c r="F176" i="50"/>
  <c r="F177" i="50"/>
  <c r="F178" i="50"/>
  <c r="F179" i="50"/>
  <c r="F180" i="50"/>
  <c r="F181" i="50"/>
  <c r="F182" i="50"/>
  <c r="F183" i="50"/>
  <c r="F184" i="50"/>
  <c r="F185" i="50"/>
  <c r="F186" i="50"/>
  <c r="F187" i="50"/>
  <c r="F188" i="50"/>
  <c r="F189" i="50"/>
  <c r="F190" i="50"/>
  <c r="F191" i="50"/>
  <c r="F192" i="50"/>
  <c r="F193" i="50"/>
  <c r="F194" i="50"/>
  <c r="F195" i="50"/>
  <c r="F196" i="50"/>
  <c r="F197" i="50"/>
  <c r="F198" i="50"/>
  <c r="F199" i="50"/>
  <c r="F200" i="50"/>
  <c r="F201" i="50"/>
  <c r="F202" i="50"/>
  <c r="F203" i="50"/>
  <c r="F204" i="50"/>
  <c r="F205" i="50"/>
  <c r="F206" i="50"/>
  <c r="F207" i="50"/>
  <c r="F208" i="50"/>
  <c r="F209" i="50"/>
  <c r="F210" i="50"/>
  <c r="F211" i="50"/>
  <c r="F212" i="50"/>
  <c r="F213" i="50"/>
  <c r="F214" i="50"/>
  <c r="F215" i="50"/>
  <c r="F216" i="50"/>
  <c r="F217" i="50"/>
  <c r="F218" i="50"/>
  <c r="F219" i="50"/>
  <c r="F220" i="50"/>
  <c r="F221" i="50"/>
  <c r="F222" i="50"/>
  <c r="F223" i="50"/>
  <c r="F224" i="50"/>
  <c r="F225" i="50"/>
  <c r="F226" i="50"/>
  <c r="F227" i="50"/>
  <c r="F228" i="50"/>
  <c r="F229" i="50"/>
  <c r="F230" i="50"/>
  <c r="F231" i="50"/>
  <c r="F232" i="50"/>
  <c r="F233" i="50"/>
  <c r="F234" i="50"/>
  <c r="F235" i="50"/>
  <c r="F236" i="50"/>
  <c r="F237" i="50"/>
  <c r="F238" i="50"/>
  <c r="F239" i="50"/>
  <c r="F240" i="50"/>
  <c r="F241" i="50"/>
  <c r="F242" i="50"/>
  <c r="F243" i="50"/>
  <c r="F244" i="50"/>
  <c r="F245" i="50"/>
  <c r="F246" i="50"/>
  <c r="F247" i="50"/>
  <c r="F248" i="50"/>
  <c r="F249" i="50"/>
  <c r="F250" i="50"/>
  <c r="F251" i="50"/>
  <c r="F252" i="50"/>
  <c r="F253" i="50"/>
  <c r="F254" i="50"/>
  <c r="F255" i="50"/>
  <c r="F256" i="50"/>
  <c r="F257" i="50"/>
  <c r="F258" i="50"/>
  <c r="F259" i="50"/>
  <c r="F260" i="50"/>
  <c r="F261" i="50"/>
  <c r="F262" i="50"/>
  <c r="F263" i="50"/>
  <c r="F264" i="50"/>
  <c r="F265" i="50"/>
  <c r="F266" i="50"/>
  <c r="F267" i="50"/>
  <c r="F268" i="50"/>
  <c r="F269" i="50"/>
  <c r="F270" i="50"/>
  <c r="F271" i="50"/>
  <c r="F272" i="50"/>
  <c r="F273" i="50"/>
  <c r="F274" i="50"/>
  <c r="F275" i="50"/>
  <c r="F276" i="50"/>
  <c r="F277" i="50"/>
  <c r="F278" i="50"/>
  <c r="F279" i="50"/>
  <c r="F280" i="50"/>
  <c r="F281" i="50"/>
  <c r="F282" i="50"/>
  <c r="F283" i="50"/>
  <c r="F284" i="50"/>
  <c r="F285" i="50"/>
  <c r="F286" i="50"/>
  <c r="F287" i="50"/>
  <c r="F288" i="50"/>
  <c r="F289" i="50"/>
  <c r="F290" i="50"/>
  <c r="F291" i="50"/>
  <c r="F292" i="50"/>
  <c r="F293" i="50"/>
  <c r="F294" i="50"/>
  <c r="F295" i="50"/>
  <c r="F296" i="50"/>
  <c r="F297" i="50"/>
  <c r="F298" i="50"/>
  <c r="F299" i="50"/>
  <c r="F300" i="50"/>
  <c r="F301" i="50"/>
  <c r="F302" i="50"/>
  <c r="F303" i="50"/>
  <c r="F304" i="50"/>
  <c r="F305" i="50"/>
  <c r="F306" i="50"/>
  <c r="F307" i="50"/>
  <c r="F308" i="50"/>
  <c r="F309" i="50"/>
  <c r="F310" i="50"/>
  <c r="F311" i="50"/>
  <c r="F312" i="50"/>
  <c r="F313" i="50"/>
  <c r="F314" i="50"/>
  <c r="F315" i="50"/>
  <c r="F316" i="50"/>
  <c r="F317" i="50"/>
  <c r="F318" i="50"/>
  <c r="F319" i="50"/>
  <c r="F320" i="50"/>
  <c r="F321" i="50"/>
  <c r="F322" i="50"/>
  <c r="F323" i="50"/>
  <c r="F324" i="50"/>
  <c r="F325" i="50"/>
  <c r="F326" i="50"/>
  <c r="F327" i="50"/>
  <c r="F328" i="50"/>
  <c r="F329" i="50"/>
  <c r="F330" i="50"/>
  <c r="F331" i="50"/>
  <c r="F332" i="50"/>
  <c r="F333" i="50"/>
  <c r="F334" i="50"/>
  <c r="F335" i="50"/>
  <c r="F336" i="50"/>
  <c r="F337" i="50"/>
  <c r="F338" i="50"/>
  <c r="F339" i="50"/>
  <c r="F340" i="50"/>
  <c r="F341" i="50"/>
  <c r="F342" i="50"/>
  <c r="F343" i="50"/>
  <c r="F344" i="50"/>
  <c r="F345" i="50"/>
  <c r="F346" i="50"/>
  <c r="F347" i="50"/>
  <c r="F348" i="50"/>
  <c r="F349" i="50"/>
  <c r="F350" i="50"/>
  <c r="F351" i="50"/>
  <c r="F352" i="50"/>
  <c r="F353" i="50"/>
  <c r="F354" i="50"/>
  <c r="F355" i="50"/>
  <c r="F356" i="50"/>
  <c r="F357" i="50"/>
  <c r="F358" i="50"/>
  <c r="F359" i="50"/>
  <c r="F360" i="50"/>
  <c r="F361" i="50"/>
  <c r="F362" i="50"/>
  <c r="F363" i="50"/>
  <c r="F364" i="50"/>
  <c r="F365" i="50"/>
  <c r="F366" i="50"/>
  <c r="F367" i="50"/>
  <c r="F368" i="50"/>
  <c r="F369" i="50"/>
  <c r="F370" i="50"/>
  <c r="F371" i="50"/>
  <c r="F372" i="50"/>
  <c r="F373" i="50"/>
  <c r="F374" i="50"/>
  <c r="F375" i="50"/>
  <c r="F376" i="50"/>
  <c r="F377" i="50"/>
  <c r="F378" i="50"/>
  <c r="F379" i="50"/>
  <c r="D30" i="60"/>
  <c r="E30" i="60"/>
  <c r="E3" i="60" s="1"/>
  <c r="F30" i="60"/>
  <c r="F3" i="60" s="1"/>
  <c r="G30" i="60"/>
  <c r="G6" i="60" s="1"/>
  <c r="H30" i="60"/>
  <c r="H3" i="60" s="1"/>
  <c r="I30" i="60"/>
  <c r="I3" i="60" s="1"/>
  <c r="J30" i="60"/>
  <c r="J3" i="60" s="1"/>
  <c r="K30" i="60"/>
  <c r="K9" i="60" s="1"/>
  <c r="L30" i="60"/>
  <c r="L3" i="60" s="1"/>
  <c r="L36" i="60" s="1"/>
  <c r="F20" i="45" s="1"/>
  <c r="CW20" i="45" s="1"/>
  <c r="EI20" i="45" s="1"/>
  <c r="M30" i="60"/>
  <c r="M3" i="60" s="1"/>
  <c r="N30" i="60"/>
  <c r="N3" i="60" s="1"/>
  <c r="O30" i="60"/>
  <c r="O10" i="60" s="1"/>
  <c r="P30" i="60"/>
  <c r="P3" i="60" s="1"/>
  <c r="Q30" i="60"/>
  <c r="Q3" i="60" s="1"/>
  <c r="R30" i="60"/>
  <c r="R3" i="60" s="1"/>
  <c r="S30" i="60"/>
  <c r="S4" i="60" s="1"/>
  <c r="T30" i="60"/>
  <c r="T3" i="60" s="1"/>
  <c r="U30" i="60"/>
  <c r="U3" i="60" s="1"/>
  <c r="V30" i="60"/>
  <c r="V3" i="60" s="1"/>
  <c r="W30" i="60"/>
  <c r="W5" i="60" s="1"/>
  <c r="X30" i="60"/>
  <c r="X3" i="60" s="1"/>
  <c r="Y30" i="60"/>
  <c r="Y3" i="60" s="1"/>
  <c r="Z30" i="60"/>
  <c r="Z3" i="60" s="1"/>
  <c r="AA30" i="60"/>
  <c r="AA3" i="60" s="1"/>
  <c r="AB30" i="60"/>
  <c r="AB3" i="60" s="1"/>
  <c r="AC30" i="60"/>
  <c r="AC3" i="60" s="1"/>
  <c r="AD30" i="60"/>
  <c r="AD3" i="60" s="1"/>
  <c r="AE30" i="60"/>
  <c r="AE3" i="60" s="1"/>
  <c r="AF30" i="60"/>
  <c r="AG30" i="60"/>
  <c r="AG3" i="60" s="1"/>
  <c r="AH30" i="60"/>
  <c r="AH3" i="60" s="1"/>
  <c r="AI30" i="60"/>
  <c r="AI10" i="60" s="1"/>
  <c r="AJ30" i="60"/>
  <c r="AJ3" i="60" s="1"/>
  <c r="AK30" i="60"/>
  <c r="AK3" i="60" s="1"/>
  <c r="AL30" i="60"/>
  <c r="AL3" i="60" s="1"/>
  <c r="AM30" i="60"/>
  <c r="AM4" i="60" s="1"/>
  <c r="AN30" i="60"/>
  <c r="AN3" i="60" s="1"/>
  <c r="AO30" i="60"/>
  <c r="AP30" i="60"/>
  <c r="AP3" i="60" s="1"/>
  <c r="AQ30" i="60"/>
  <c r="AQ5" i="60" s="1"/>
  <c r="AR30" i="60"/>
  <c r="AR3" i="60" s="1"/>
  <c r="AS30" i="60"/>
  <c r="AT30" i="60"/>
  <c r="AT3" i="60" s="1"/>
  <c r="AU30" i="60"/>
  <c r="AU8" i="60" s="1"/>
  <c r="AV30" i="60"/>
  <c r="AV3" i="60" s="1"/>
  <c r="AW30" i="60"/>
  <c r="AX30" i="60"/>
  <c r="AX3" i="60" s="1"/>
  <c r="AY30" i="60"/>
  <c r="AY9" i="60" s="1"/>
  <c r="AZ30" i="60"/>
  <c r="AZ3" i="60" s="1"/>
  <c r="BA30" i="60"/>
  <c r="BB30" i="60"/>
  <c r="BB3" i="60" s="1"/>
  <c r="BC30" i="60"/>
  <c r="BC10" i="60" s="1"/>
  <c r="BD30" i="60"/>
  <c r="BD3" i="60" s="1"/>
  <c r="BE30" i="60"/>
  <c r="BF30" i="60"/>
  <c r="BF3" i="60" s="1"/>
  <c r="BG30" i="60"/>
  <c r="BG3" i="60" s="1"/>
  <c r="BH30" i="60"/>
  <c r="BH12" i="60" s="1"/>
  <c r="BI30" i="60"/>
  <c r="BJ30" i="60"/>
  <c r="BJ5" i="60" s="1"/>
  <c r="BK30" i="60"/>
  <c r="BK3" i="60" s="1"/>
  <c r="BL30" i="60"/>
  <c r="BM30" i="60"/>
  <c r="BM6" i="60" s="1"/>
  <c r="BN30" i="60"/>
  <c r="BN3" i="60"/>
  <c r="BO30" i="60"/>
  <c r="BO6" i="60" s="1"/>
  <c r="BP30" i="60"/>
  <c r="BP3" i="60" s="1"/>
  <c r="BQ30" i="60"/>
  <c r="BQ7" i="60" s="1"/>
  <c r="BR30" i="60"/>
  <c r="BR3" i="60" s="1"/>
  <c r="BR36" i="60" s="1"/>
  <c r="F78" i="45" s="1"/>
  <c r="BS30" i="60"/>
  <c r="BS7" i="60" s="1"/>
  <c r="BT30" i="60"/>
  <c r="BT3" i="60" s="1"/>
  <c r="BU30" i="60"/>
  <c r="BV30" i="60"/>
  <c r="BV3" i="60" s="1"/>
  <c r="BW30" i="60"/>
  <c r="BW12" i="60" s="1"/>
  <c r="BX30" i="60"/>
  <c r="BX3" i="60" s="1"/>
  <c r="BX36" i="60" s="1"/>
  <c r="F84" i="45" s="1"/>
  <c r="BY30" i="60"/>
  <c r="BZ30" i="60"/>
  <c r="BZ4" i="60" s="1"/>
  <c r="CA30" i="60"/>
  <c r="CA4" i="60" s="1"/>
  <c r="CA3" i="60"/>
  <c r="CB30" i="60"/>
  <c r="CB3" i="60"/>
  <c r="CC30" i="60"/>
  <c r="CD30" i="60"/>
  <c r="CD3" i="60" s="1"/>
  <c r="CE30" i="60"/>
  <c r="CE5" i="60" s="1"/>
  <c r="CF30" i="60"/>
  <c r="CF3" i="60" s="1"/>
  <c r="CF36" i="60" s="1"/>
  <c r="F92" i="45" s="1"/>
  <c r="CG30" i="60"/>
  <c r="CH30" i="60"/>
  <c r="CH3" i="60" s="1"/>
  <c r="CI30" i="60"/>
  <c r="CI4" i="60" s="1"/>
  <c r="CJ30" i="60"/>
  <c r="CJ3" i="60" s="1"/>
  <c r="CK30" i="60"/>
  <c r="CK14" i="60" s="1"/>
  <c r="CL30" i="60"/>
  <c r="CL3" i="60" s="1"/>
  <c r="CM30" i="60"/>
  <c r="CM3" i="60" s="1"/>
  <c r="CN30" i="60"/>
  <c r="CN10" i="60" s="1"/>
  <c r="CO30" i="60"/>
  <c r="CS30" i="60"/>
  <c r="CS3" i="60" s="1"/>
  <c r="CT30" i="60"/>
  <c r="CT4" i="60" s="1"/>
  <c r="CU30" i="60"/>
  <c r="CV30" i="60"/>
  <c r="CV9" i="60" s="1"/>
  <c r="CY30" i="60"/>
  <c r="CY4" i="60" s="1"/>
  <c r="CZ30" i="60"/>
  <c r="CZ4" i="60" s="1"/>
  <c r="E4" i="60"/>
  <c r="F4" i="60"/>
  <c r="J4" i="60"/>
  <c r="K4" i="60"/>
  <c r="M4" i="60"/>
  <c r="M37" i="60" s="1"/>
  <c r="N4" i="60"/>
  <c r="O4" i="60"/>
  <c r="Q4" i="60"/>
  <c r="R4" i="60"/>
  <c r="V4" i="60"/>
  <c r="W4" i="60"/>
  <c r="Y4" i="60"/>
  <c r="Z4" i="60"/>
  <c r="AD4" i="60"/>
  <c r="AH4" i="60"/>
  <c r="AI4" i="60"/>
  <c r="AK4" i="60"/>
  <c r="AL4" i="60"/>
  <c r="AP4" i="60"/>
  <c r="AQ4" i="60"/>
  <c r="AR4" i="60"/>
  <c r="AU4" i="60"/>
  <c r="AX4" i="60"/>
  <c r="BB4" i="60"/>
  <c r="BE4" i="60"/>
  <c r="BF4" i="60"/>
  <c r="BJ4" i="60"/>
  <c r="BN4" i="60"/>
  <c r="BO4" i="60"/>
  <c r="BS4" i="60"/>
  <c r="BV4" i="60"/>
  <c r="BX4" i="60"/>
  <c r="BX37" i="60" s="1"/>
  <c r="BY4" i="60"/>
  <c r="CD4" i="60"/>
  <c r="CE4" i="60"/>
  <c r="CH4" i="60"/>
  <c r="CL4" i="60"/>
  <c r="F5" i="60"/>
  <c r="I5" i="60"/>
  <c r="J5" i="60"/>
  <c r="K5" i="60"/>
  <c r="N5" i="60"/>
  <c r="O5" i="60"/>
  <c r="R5" i="60"/>
  <c r="S5" i="60"/>
  <c r="T5" i="60"/>
  <c r="V5" i="60"/>
  <c r="Z5" i="60"/>
  <c r="AA5" i="60"/>
  <c r="AB5" i="60"/>
  <c r="AC5" i="60"/>
  <c r="AD5" i="60"/>
  <c r="AH5" i="60"/>
  <c r="AI5" i="60"/>
  <c r="AL5" i="60"/>
  <c r="AM5" i="60"/>
  <c r="AP5" i="60"/>
  <c r="AT5" i="60"/>
  <c r="AU5" i="60"/>
  <c r="AX5" i="60"/>
  <c r="AY5" i="60"/>
  <c r="BB5" i="60"/>
  <c r="BF5" i="60"/>
  <c r="BI5" i="60"/>
  <c r="BN5" i="60"/>
  <c r="BO5" i="60"/>
  <c r="BQ5" i="60"/>
  <c r="BS5" i="60"/>
  <c r="BV5" i="60"/>
  <c r="BZ5" i="60"/>
  <c r="CA5" i="60"/>
  <c r="CD5" i="60"/>
  <c r="CH5" i="60"/>
  <c r="CL5" i="60"/>
  <c r="D6" i="60"/>
  <c r="E6" i="60"/>
  <c r="F6" i="60"/>
  <c r="J6" i="60"/>
  <c r="K6" i="60"/>
  <c r="M6" i="60"/>
  <c r="N6" i="60"/>
  <c r="O6" i="60"/>
  <c r="R6" i="60"/>
  <c r="S6" i="60"/>
  <c r="V6" i="60"/>
  <c r="W6" i="60"/>
  <c r="Y6" i="60"/>
  <c r="Z6" i="60"/>
  <c r="AD6" i="60"/>
  <c r="AG6" i="60"/>
  <c r="AH6" i="60"/>
  <c r="AI6" i="60"/>
  <c r="AL6" i="60"/>
  <c r="AM6" i="60"/>
  <c r="AP6" i="60"/>
  <c r="AQ6" i="60"/>
  <c r="AR6" i="60"/>
  <c r="AU6" i="60"/>
  <c r="AX6" i="60"/>
  <c r="AY6" i="60"/>
  <c r="AZ6" i="60"/>
  <c r="BA6" i="60"/>
  <c r="BB6" i="60"/>
  <c r="BF6" i="60"/>
  <c r="BI6" i="60"/>
  <c r="BJ6" i="60"/>
  <c r="BN6" i="60"/>
  <c r="BR6" i="60"/>
  <c r="BS6" i="60"/>
  <c r="BV6" i="60"/>
  <c r="BX6" i="60"/>
  <c r="BX39" i="60" s="1"/>
  <c r="BZ6" i="60"/>
  <c r="CD6" i="60"/>
  <c r="CE6" i="60"/>
  <c r="CF6" i="60"/>
  <c r="CF39" i="60" s="1"/>
  <c r="CG6" i="60"/>
  <c r="CH6" i="60"/>
  <c r="CL6" i="60"/>
  <c r="CN6" i="60"/>
  <c r="CO6" i="60"/>
  <c r="CT6" i="60"/>
  <c r="CY6" i="60"/>
  <c r="F7" i="60"/>
  <c r="I7" i="60"/>
  <c r="J7" i="60"/>
  <c r="K7" i="60"/>
  <c r="N7" i="60"/>
  <c r="O7" i="60"/>
  <c r="Q7" i="60"/>
  <c r="R7" i="60"/>
  <c r="S7" i="60"/>
  <c r="T7" i="60"/>
  <c r="V7" i="60"/>
  <c r="W7" i="60"/>
  <c r="Z7" i="60"/>
  <c r="AA7" i="60"/>
  <c r="AB7" i="60"/>
  <c r="AC7" i="60"/>
  <c r="AD7" i="60"/>
  <c r="AH7" i="60"/>
  <c r="AI7" i="60"/>
  <c r="AK7" i="60"/>
  <c r="AL7" i="60"/>
  <c r="AM7" i="60"/>
  <c r="AP7" i="60"/>
  <c r="AU7" i="60"/>
  <c r="AX7" i="60"/>
  <c r="AY7" i="60"/>
  <c r="BB7" i="60"/>
  <c r="BE7" i="60"/>
  <c r="BF7" i="60"/>
  <c r="BJ7" i="60"/>
  <c r="BN7" i="60"/>
  <c r="BO7" i="60"/>
  <c r="BV7" i="60"/>
  <c r="BW7" i="60"/>
  <c r="BX7" i="60"/>
  <c r="BZ7" i="60"/>
  <c r="CA7" i="60"/>
  <c r="CD7" i="60"/>
  <c r="CH7" i="60"/>
  <c r="CI7" i="60"/>
  <c r="CL7" i="60"/>
  <c r="CV7" i="60"/>
  <c r="CY7" i="60"/>
  <c r="D8" i="60"/>
  <c r="F8" i="60"/>
  <c r="J8" i="60"/>
  <c r="K8" i="60"/>
  <c r="M8" i="60"/>
  <c r="N8" i="60"/>
  <c r="O8" i="60"/>
  <c r="R8" i="60"/>
  <c r="S8" i="60"/>
  <c r="T8" i="60"/>
  <c r="V8" i="60"/>
  <c r="W8" i="60"/>
  <c r="Z8" i="60"/>
  <c r="AD8" i="60"/>
  <c r="AG8" i="60"/>
  <c r="AH8" i="60"/>
  <c r="AI8" i="60"/>
  <c r="AL8" i="60"/>
  <c r="AM8" i="60"/>
  <c r="AP8" i="60"/>
  <c r="AQ8" i="60"/>
  <c r="AR8" i="60"/>
  <c r="AX8" i="60"/>
  <c r="AY8" i="60"/>
  <c r="AZ8" i="60"/>
  <c r="BB8" i="60"/>
  <c r="BF8" i="60"/>
  <c r="BG8" i="60"/>
  <c r="BI8" i="60"/>
  <c r="BJ8" i="60"/>
  <c r="BN8" i="60"/>
  <c r="BS8" i="60"/>
  <c r="BV8" i="60"/>
  <c r="BZ8" i="60"/>
  <c r="CA8" i="60"/>
  <c r="CD8" i="60"/>
  <c r="CE8" i="60"/>
  <c r="CH8" i="60"/>
  <c r="CL8" i="60"/>
  <c r="CN8" i="60"/>
  <c r="CO8" i="60"/>
  <c r="CS8" i="60"/>
  <c r="CY8" i="60"/>
  <c r="E9" i="60"/>
  <c r="F9" i="60"/>
  <c r="I9" i="60"/>
  <c r="J9" i="60"/>
  <c r="N9" i="60"/>
  <c r="O9" i="60"/>
  <c r="Q9" i="60"/>
  <c r="R9" i="60"/>
  <c r="S9" i="60"/>
  <c r="V9" i="60"/>
  <c r="W9" i="60"/>
  <c r="Y9" i="60"/>
  <c r="Z9" i="60"/>
  <c r="AA9" i="60"/>
  <c r="AB9" i="60"/>
  <c r="AD9" i="60"/>
  <c r="AH9" i="60"/>
  <c r="AI9" i="60"/>
  <c r="AK9" i="60"/>
  <c r="AL9" i="60"/>
  <c r="AM9" i="60"/>
  <c r="AP9" i="60"/>
  <c r="AQ9" i="60"/>
  <c r="AS9" i="60"/>
  <c r="AU9" i="60"/>
  <c r="AX9" i="60"/>
  <c r="BB9" i="60"/>
  <c r="BE9" i="60"/>
  <c r="BF9" i="60"/>
  <c r="BJ9" i="60"/>
  <c r="BK9" i="60"/>
  <c r="BN9" i="60"/>
  <c r="BO9" i="60"/>
  <c r="BQ9" i="60"/>
  <c r="BV9" i="60"/>
  <c r="BX9" i="60"/>
  <c r="BZ9" i="60"/>
  <c r="CA9" i="60"/>
  <c r="CD9" i="60"/>
  <c r="CG9" i="60"/>
  <c r="CH9" i="60"/>
  <c r="CI9" i="60"/>
  <c r="CL9" i="60"/>
  <c r="CY9" i="60"/>
  <c r="F10" i="60"/>
  <c r="J10" i="60"/>
  <c r="K10" i="60"/>
  <c r="M10" i="60"/>
  <c r="M43" i="60" s="1"/>
  <c r="N10" i="60"/>
  <c r="R10" i="60"/>
  <c r="S10" i="60"/>
  <c r="T10" i="60"/>
  <c r="V10" i="60"/>
  <c r="W10" i="60"/>
  <c r="Z10" i="60"/>
  <c r="AC10" i="60"/>
  <c r="AD10" i="60"/>
  <c r="AG10" i="60"/>
  <c r="AH10" i="60"/>
  <c r="AL10" i="60"/>
  <c r="AM10" i="60"/>
  <c r="AP10" i="60"/>
  <c r="AQ10" i="60"/>
  <c r="AU10" i="60"/>
  <c r="AX10" i="60"/>
  <c r="AY10" i="60"/>
  <c r="AZ10" i="60"/>
  <c r="BB10" i="60"/>
  <c r="BF10" i="60"/>
  <c r="BG10" i="60"/>
  <c r="BI10" i="60"/>
  <c r="BJ10" i="60"/>
  <c r="BN10" i="60"/>
  <c r="BO10" i="60"/>
  <c r="BQ10" i="60"/>
  <c r="BS10" i="60"/>
  <c r="BV10" i="60"/>
  <c r="BZ10" i="60"/>
  <c r="CA10" i="60"/>
  <c r="CD10" i="60"/>
  <c r="CE10" i="60"/>
  <c r="CH10" i="60"/>
  <c r="CI10" i="60"/>
  <c r="CL10" i="60"/>
  <c r="CO10" i="60"/>
  <c r="CY10" i="60"/>
  <c r="E11" i="60"/>
  <c r="F11" i="60"/>
  <c r="J11" i="60"/>
  <c r="K11" i="60"/>
  <c r="N11" i="60"/>
  <c r="O11" i="60"/>
  <c r="Q11" i="60"/>
  <c r="R11" i="60"/>
  <c r="S11" i="60"/>
  <c r="V11" i="60"/>
  <c r="W11" i="60"/>
  <c r="Y11" i="60"/>
  <c r="Z11" i="60"/>
  <c r="AA11" i="60"/>
  <c r="AD11" i="60"/>
  <c r="AG11" i="60"/>
  <c r="AH11" i="60"/>
  <c r="AI11" i="60"/>
  <c r="AK11" i="60"/>
  <c r="AL11" i="60"/>
  <c r="AP11" i="60"/>
  <c r="AQ11" i="60"/>
  <c r="AR11" i="60"/>
  <c r="AS11" i="60"/>
  <c r="AU11" i="60"/>
  <c r="AX11" i="60"/>
  <c r="AY11" i="60"/>
  <c r="AZ11" i="60"/>
  <c r="BA11" i="60"/>
  <c r="BB11" i="60"/>
  <c r="BE11" i="60"/>
  <c r="BF11" i="60"/>
  <c r="BJ11" i="60"/>
  <c r="BK11" i="60"/>
  <c r="BN11" i="60"/>
  <c r="BO11" i="60"/>
  <c r="BS11" i="60"/>
  <c r="BV11" i="60"/>
  <c r="BW11" i="60"/>
  <c r="BX11" i="60"/>
  <c r="BZ11" i="60"/>
  <c r="CA11" i="60"/>
  <c r="CD11" i="60"/>
  <c r="CE11" i="60"/>
  <c r="CG11" i="60"/>
  <c r="CH11" i="60"/>
  <c r="CI11" i="60"/>
  <c r="CL11" i="60"/>
  <c r="CN11" i="60"/>
  <c r="CO11" i="60"/>
  <c r="CY11" i="60"/>
  <c r="F12" i="60"/>
  <c r="J12" i="60"/>
  <c r="K12" i="60"/>
  <c r="N12" i="60"/>
  <c r="O12" i="60"/>
  <c r="Q12" i="60"/>
  <c r="R12" i="60"/>
  <c r="S12" i="60"/>
  <c r="T12" i="60"/>
  <c r="V12" i="60"/>
  <c r="Z12" i="60"/>
  <c r="AB12" i="60"/>
  <c r="AC12" i="60"/>
  <c r="AD12" i="60"/>
  <c r="AE12" i="60"/>
  <c r="AH12" i="60"/>
  <c r="AI12" i="60"/>
  <c r="AK12" i="60"/>
  <c r="AL12" i="60"/>
  <c r="AM12" i="60"/>
  <c r="AP12" i="60"/>
  <c r="AQ12" i="60"/>
  <c r="AT12" i="60"/>
  <c r="AU12" i="60"/>
  <c r="AX12" i="60"/>
  <c r="AY12" i="60"/>
  <c r="AZ12" i="60"/>
  <c r="BB12" i="60"/>
  <c r="BE12" i="60"/>
  <c r="BF12" i="60"/>
  <c r="BG12" i="60"/>
  <c r="BI12" i="60"/>
  <c r="BJ12" i="60"/>
  <c r="BN12" i="60"/>
  <c r="BO12" i="60"/>
  <c r="BP12" i="60"/>
  <c r="BQ12" i="60"/>
  <c r="BR12" i="60"/>
  <c r="BS12" i="60"/>
  <c r="BV12" i="60"/>
  <c r="BY12" i="60"/>
  <c r="BZ12" i="60"/>
  <c r="CA12" i="60"/>
  <c r="CC12" i="60"/>
  <c r="CD12" i="60"/>
  <c r="CE12" i="60"/>
  <c r="CH12" i="60"/>
  <c r="CI12" i="60"/>
  <c r="CL12" i="60"/>
  <c r="CN12" i="60"/>
  <c r="CV12" i="60"/>
  <c r="CY12" i="60"/>
  <c r="E13" i="60"/>
  <c r="F13" i="60"/>
  <c r="J13" i="60"/>
  <c r="K13" i="60"/>
  <c r="N13" i="60"/>
  <c r="O13" i="60"/>
  <c r="Q13" i="60"/>
  <c r="R13" i="60"/>
  <c r="V13" i="60"/>
  <c r="W13" i="60"/>
  <c r="Y13" i="60"/>
  <c r="Z13" i="60"/>
  <c r="AA13" i="60"/>
  <c r="AD13" i="60"/>
  <c r="AG13" i="60"/>
  <c r="AH13" i="60"/>
  <c r="AI13" i="60"/>
  <c r="AL13" i="60"/>
  <c r="AM13" i="60"/>
  <c r="AP13" i="60"/>
  <c r="AQ13" i="60"/>
  <c r="AR13" i="60"/>
  <c r="AS13" i="60"/>
  <c r="AU13" i="60"/>
  <c r="AX13" i="60"/>
  <c r="AY13" i="60"/>
  <c r="AZ13" i="60"/>
  <c r="BA13" i="60"/>
  <c r="BB13" i="60"/>
  <c r="BF13" i="60"/>
  <c r="BI13" i="60"/>
  <c r="BJ13" i="60"/>
  <c r="BK13" i="60"/>
  <c r="BN13" i="60"/>
  <c r="BO13" i="60"/>
  <c r="BS13" i="60"/>
  <c r="BV13" i="60"/>
  <c r="BZ13" i="60"/>
  <c r="CD13" i="60"/>
  <c r="CE13" i="60"/>
  <c r="CG13" i="60"/>
  <c r="CH13" i="60"/>
  <c r="CI13" i="60"/>
  <c r="CL13" i="60"/>
  <c r="CM13" i="60"/>
  <c r="CN13" i="60"/>
  <c r="CO13" i="60"/>
  <c r="CV13" i="60"/>
  <c r="CY13" i="60"/>
  <c r="E14" i="60"/>
  <c r="F14" i="60"/>
  <c r="J14" i="60"/>
  <c r="K14" i="60"/>
  <c r="N14" i="60"/>
  <c r="O14" i="60"/>
  <c r="Q14" i="60"/>
  <c r="R14" i="60"/>
  <c r="S14" i="60"/>
  <c r="T14" i="60"/>
  <c r="V14" i="60"/>
  <c r="W14" i="60"/>
  <c r="Y14" i="60"/>
  <c r="Z14" i="60"/>
  <c r="AB14" i="60"/>
  <c r="AC14" i="60"/>
  <c r="AD14" i="60"/>
  <c r="AH14" i="60"/>
  <c r="AI14" i="60"/>
  <c r="AK14" i="60"/>
  <c r="AL14" i="60"/>
  <c r="AM14" i="60"/>
  <c r="AP14" i="60"/>
  <c r="AU14" i="60"/>
  <c r="AW14" i="60"/>
  <c r="AX14" i="60"/>
  <c r="AY14" i="60"/>
  <c r="BB14" i="60"/>
  <c r="BE14" i="60"/>
  <c r="BF14" i="60"/>
  <c r="BG14" i="60"/>
  <c r="BH14" i="60"/>
  <c r="BJ14" i="60"/>
  <c r="BN14" i="60"/>
  <c r="BO14" i="60"/>
  <c r="BQ14" i="60"/>
  <c r="BS14" i="60"/>
  <c r="BV14" i="60"/>
  <c r="BW14" i="60"/>
  <c r="BX14" i="60"/>
  <c r="BY14" i="60"/>
  <c r="BZ14" i="60"/>
  <c r="CA14" i="60"/>
  <c r="CC14" i="60"/>
  <c r="CD14" i="60"/>
  <c r="CG14" i="60"/>
  <c r="CH14" i="60"/>
  <c r="CI14" i="60"/>
  <c r="CL14" i="60"/>
  <c r="CT14" i="60"/>
  <c r="CV14" i="60"/>
  <c r="CY14" i="60"/>
  <c r="CZ14" i="60"/>
  <c r="CR33" i="60"/>
  <c r="CR48" i="60" s="1"/>
  <c r="M36" i="60"/>
  <c r="B37" i="60"/>
  <c r="M39" i="60"/>
  <c r="I21" i="45" s="1"/>
  <c r="M41" i="60"/>
  <c r="K21" i="45" s="1"/>
  <c r="DB21" i="45" s="1"/>
  <c r="EN21" i="45" s="1"/>
  <c r="DC41" i="60"/>
  <c r="DB42" i="60"/>
  <c r="DC42" i="60"/>
  <c r="L116" i="45" s="1"/>
  <c r="DA43" i="60"/>
  <c r="M114" i="45" s="1"/>
  <c r="DD114" i="45" s="1"/>
  <c r="DB43" i="60"/>
  <c r="DC43" i="60"/>
  <c r="DA44" i="60"/>
  <c r="DB44" i="60"/>
  <c r="N115" i="45" s="1"/>
  <c r="DC44" i="60"/>
  <c r="DA45" i="60"/>
  <c r="DB45" i="60"/>
  <c r="O115" i="45" s="1"/>
  <c r="DF115" i="45" s="1"/>
  <c r="DC45" i="60"/>
  <c r="O116" i="45" s="1"/>
  <c r="DF116" i="45" s="1"/>
  <c r="DA46" i="60"/>
  <c r="P114" i="45" s="1"/>
  <c r="DG114" i="45" s="1"/>
  <c r="DB46" i="60"/>
  <c r="DC46" i="60"/>
  <c r="DD46" i="60"/>
  <c r="DA47" i="60"/>
  <c r="DB47" i="60"/>
  <c r="Q115" i="45" s="1"/>
  <c r="DH115" i="45" s="1"/>
  <c r="DC47" i="60"/>
  <c r="Q116" i="45" s="1"/>
  <c r="DH116" i="45" s="1"/>
  <c r="DD47" i="60"/>
  <c r="T3" i="61"/>
  <c r="X3" i="61" s="1"/>
  <c r="Y3" i="61" s="1"/>
  <c r="U3" i="61"/>
  <c r="AF3" i="61"/>
  <c r="AG3" i="61"/>
  <c r="T4" i="61"/>
  <c r="E33" i="60" s="1"/>
  <c r="U4" i="61"/>
  <c r="AF4" i="61"/>
  <c r="AG4" i="61"/>
  <c r="T5" i="61"/>
  <c r="U5" i="61"/>
  <c r="AF5" i="61"/>
  <c r="AG5" i="61"/>
  <c r="T6" i="61"/>
  <c r="U6" i="61"/>
  <c r="AF6" i="61"/>
  <c r="AG6" i="61"/>
  <c r="J7" i="61"/>
  <c r="H33" i="60"/>
  <c r="U7" i="61"/>
  <c r="V7" i="61"/>
  <c r="X7" i="61"/>
  <c r="Y7" i="61" s="1"/>
  <c r="AF7" i="61"/>
  <c r="AG7" i="61"/>
  <c r="J8" i="61"/>
  <c r="T8" i="61"/>
  <c r="V8" i="61" s="1"/>
  <c r="U8" i="61"/>
  <c r="AF8" i="61"/>
  <c r="AG8" i="61"/>
  <c r="J9" i="61"/>
  <c r="T9" i="61"/>
  <c r="V9" i="61" s="1"/>
  <c r="U9" i="61"/>
  <c r="AF9" i="61"/>
  <c r="AG9" i="61"/>
  <c r="J10" i="61"/>
  <c r="T10" i="61"/>
  <c r="V10" i="61" s="1"/>
  <c r="U10" i="61"/>
  <c r="AF10" i="61"/>
  <c r="AG10" i="61"/>
  <c r="U11" i="61"/>
  <c r="X11" i="61"/>
  <c r="Y11" i="61" s="1"/>
  <c r="Z11" i="61"/>
  <c r="AA11" i="61" s="1"/>
  <c r="U12" i="61"/>
  <c r="X12" i="61"/>
  <c r="Y12" i="61" s="1"/>
  <c r="Z12" i="61"/>
  <c r="AA12" i="61" s="1"/>
  <c r="J13" i="61"/>
  <c r="T13" i="61"/>
  <c r="N33" i="60" s="1"/>
  <c r="U13" i="61"/>
  <c r="AF13" i="61"/>
  <c r="AG13" i="61"/>
  <c r="T14" i="61"/>
  <c r="V14" i="61" s="1"/>
  <c r="U14" i="61"/>
  <c r="AF14" i="61"/>
  <c r="AG14" i="61"/>
  <c r="T15" i="61"/>
  <c r="P33" i="60" s="1"/>
  <c r="U15" i="61"/>
  <c r="AF15" i="61"/>
  <c r="AG15" i="61"/>
  <c r="T16" i="61"/>
  <c r="X16" i="61" s="1"/>
  <c r="Y16" i="61" s="1"/>
  <c r="U16" i="61"/>
  <c r="AF16" i="61"/>
  <c r="AG16" i="61"/>
  <c r="T17" i="61"/>
  <c r="X17" i="61" s="1"/>
  <c r="Y17" i="61" s="1"/>
  <c r="AF17" i="61"/>
  <c r="AG17" i="61"/>
  <c r="T18" i="61"/>
  <c r="S33" i="60" s="1"/>
  <c r="U18" i="61"/>
  <c r="AF18" i="61"/>
  <c r="AG18" i="61"/>
  <c r="T19" i="61"/>
  <c r="X19" i="61" s="1"/>
  <c r="Y19" i="61" s="1"/>
  <c r="U19" i="61"/>
  <c r="AF19" i="61"/>
  <c r="AG19" i="61"/>
  <c r="T20" i="61"/>
  <c r="V20" i="61" s="1"/>
  <c r="U20" i="61"/>
  <c r="AF20" i="61"/>
  <c r="AG20" i="61"/>
  <c r="T21" i="61"/>
  <c r="Z21" i="61" s="1"/>
  <c r="AA21" i="61" s="1"/>
  <c r="U21" i="61"/>
  <c r="AF21" i="61"/>
  <c r="AG21" i="61"/>
  <c r="T22" i="61"/>
  <c r="Z22" i="61" s="1"/>
  <c r="AA22" i="61" s="1"/>
  <c r="U22" i="61"/>
  <c r="AF22" i="61"/>
  <c r="AG22" i="61"/>
  <c r="T23" i="61"/>
  <c r="X23" i="61" s="1"/>
  <c r="Y23" i="61" s="1"/>
  <c r="U23" i="61"/>
  <c r="AF23" i="61"/>
  <c r="AG23" i="61"/>
  <c r="T24" i="61"/>
  <c r="V24" i="61" s="1"/>
  <c r="U24" i="61"/>
  <c r="AF24" i="61"/>
  <c r="AG24" i="61"/>
  <c r="T25" i="61"/>
  <c r="X25" i="61" s="1"/>
  <c r="Y25" i="61" s="1"/>
  <c r="U25" i="61"/>
  <c r="AF25" i="61"/>
  <c r="AG25" i="61"/>
  <c r="J26" i="61"/>
  <c r="L26" i="61"/>
  <c r="R26" i="61"/>
  <c r="S26" i="61"/>
  <c r="T26" i="61" s="1"/>
  <c r="Z26" i="61" s="1"/>
  <c r="AA26" i="61" s="1"/>
  <c r="AF26" i="61"/>
  <c r="AG26" i="61"/>
  <c r="J27" i="61"/>
  <c r="L27" i="61"/>
  <c r="R27" i="61"/>
  <c r="S27" i="61"/>
  <c r="U27" i="61" s="1"/>
  <c r="AF27" i="61"/>
  <c r="AG27" i="61"/>
  <c r="J28" i="61"/>
  <c r="L28" i="61"/>
  <c r="R28" i="61"/>
  <c r="S28" i="61"/>
  <c r="U28" i="61" s="1"/>
  <c r="AF28" i="61"/>
  <c r="AG28" i="61"/>
  <c r="J29" i="61"/>
  <c r="L29" i="61"/>
  <c r="R29" i="61"/>
  <c r="S29" i="61"/>
  <c r="AF29" i="61"/>
  <c r="AG29" i="61"/>
  <c r="R30" i="61"/>
  <c r="S30" i="61"/>
  <c r="U30" i="61" s="1"/>
  <c r="T30" i="61"/>
  <c r="AF30" i="61"/>
  <c r="AG30" i="61"/>
  <c r="R31" i="61"/>
  <c r="S31" i="61"/>
  <c r="AF31" i="61"/>
  <c r="AG31" i="61"/>
  <c r="T32" i="61"/>
  <c r="AG33" i="60" s="1"/>
  <c r="AG36" i="60" s="1"/>
  <c r="F41" i="45" s="1"/>
  <c r="U32" i="61"/>
  <c r="AF32" i="61"/>
  <c r="AG32" i="61"/>
  <c r="T33" i="61"/>
  <c r="AH33" i="60" s="1"/>
  <c r="AH43" i="60" s="1"/>
  <c r="M42" i="45" s="1"/>
  <c r="U33" i="61"/>
  <c r="AF33" i="61"/>
  <c r="AG33" i="61"/>
  <c r="T34" i="61"/>
  <c r="Z34" i="61" s="1"/>
  <c r="AA34" i="61" s="1"/>
  <c r="U34" i="61"/>
  <c r="AF34" i="61"/>
  <c r="AG34" i="61"/>
  <c r="T35" i="61"/>
  <c r="V35" i="61" s="1"/>
  <c r="U35" i="61"/>
  <c r="AF35" i="61"/>
  <c r="AG35" i="61"/>
  <c r="T36" i="61"/>
  <c r="X36" i="61" s="1"/>
  <c r="Y36" i="61" s="1"/>
  <c r="U36" i="61"/>
  <c r="AF36" i="61"/>
  <c r="AG36" i="61"/>
  <c r="T37" i="61"/>
  <c r="V37" i="61" s="1"/>
  <c r="U37" i="61"/>
  <c r="AF37" i="61"/>
  <c r="AG37" i="61"/>
  <c r="K38" i="61"/>
  <c r="T38" i="61" s="1"/>
  <c r="AM33" i="60" s="1"/>
  <c r="U38" i="61"/>
  <c r="AF38" i="61"/>
  <c r="AG38" i="61"/>
  <c r="K39" i="61"/>
  <c r="AF39" i="61"/>
  <c r="AG39" i="61"/>
  <c r="J40" i="61"/>
  <c r="T40" i="61"/>
  <c r="V40" i="61" s="1"/>
  <c r="U40" i="61"/>
  <c r="AF40" i="61"/>
  <c r="AG40" i="61"/>
  <c r="J41" i="61"/>
  <c r="J109" i="61" s="1"/>
  <c r="T41" i="61"/>
  <c r="X41" i="61" s="1"/>
  <c r="Y41" i="61" s="1"/>
  <c r="U41" i="61"/>
  <c r="AF41" i="61"/>
  <c r="AG41" i="61"/>
  <c r="J42" i="61"/>
  <c r="T42" i="61"/>
  <c r="AQ33" i="60" s="1"/>
  <c r="U42" i="61"/>
  <c r="AF42" i="61"/>
  <c r="AG42" i="61"/>
  <c r="F43" i="61"/>
  <c r="J43" i="61"/>
  <c r="U43" i="61"/>
  <c r="AF43" i="61"/>
  <c r="T44" i="61"/>
  <c r="AS33" i="60" s="1"/>
  <c r="U44" i="61"/>
  <c r="AF44" i="61"/>
  <c r="AG44" i="61"/>
  <c r="T45" i="61"/>
  <c r="X45" i="61" s="1"/>
  <c r="Y45" i="61" s="1"/>
  <c r="U45" i="61"/>
  <c r="V45" i="61"/>
  <c r="AF45" i="61"/>
  <c r="AG45" i="61"/>
  <c r="T46" i="61"/>
  <c r="V46" i="61" s="1"/>
  <c r="U46" i="61"/>
  <c r="AF46" i="61"/>
  <c r="AG46" i="61"/>
  <c r="K47" i="61"/>
  <c r="T47" i="61" s="1"/>
  <c r="AV33" i="60" s="1"/>
  <c r="U47" i="61"/>
  <c r="AF47" i="61"/>
  <c r="AG47" i="61"/>
  <c r="R48" i="61"/>
  <c r="T48" i="61"/>
  <c r="X48" i="61" s="1"/>
  <c r="Y48" i="61" s="1"/>
  <c r="U48" i="61"/>
  <c r="AF48" i="61"/>
  <c r="AG48" i="61"/>
  <c r="T49" i="61"/>
  <c r="V49" i="61" s="1"/>
  <c r="U49" i="61"/>
  <c r="AF49" i="61"/>
  <c r="AG49" i="61"/>
  <c r="T50" i="61"/>
  <c r="AY33" i="60" s="1"/>
  <c r="AY42" i="60" s="1"/>
  <c r="L59" i="45" s="1"/>
  <c r="U50" i="61"/>
  <c r="AF50" i="61"/>
  <c r="AG50" i="61"/>
  <c r="J51" i="61"/>
  <c r="K51" i="61"/>
  <c r="T51" i="61" s="1"/>
  <c r="V51" i="61" s="1"/>
  <c r="R51" i="61"/>
  <c r="U51" i="61"/>
  <c r="AF51" i="61"/>
  <c r="AG51" i="61"/>
  <c r="J52" i="61"/>
  <c r="K52" i="61"/>
  <c r="T52" i="61" s="1"/>
  <c r="R52" i="61"/>
  <c r="U52" i="61"/>
  <c r="AF52" i="61"/>
  <c r="AG52" i="61"/>
  <c r="K53" i="61"/>
  <c r="U53" i="61" s="1"/>
  <c r="T53" i="61"/>
  <c r="X53" i="61" s="1"/>
  <c r="Y53" i="61" s="1"/>
  <c r="AF53" i="61"/>
  <c r="AG53" i="61"/>
  <c r="T54" i="61"/>
  <c r="V54" i="61" s="1"/>
  <c r="U54" i="61"/>
  <c r="AF54" i="61"/>
  <c r="AG54" i="61"/>
  <c r="T55" i="61"/>
  <c r="V55" i="61" s="1"/>
  <c r="U55" i="61"/>
  <c r="AF55" i="61"/>
  <c r="AG55" i="61"/>
  <c r="T56" i="61"/>
  <c r="BE33" i="60" s="1"/>
  <c r="U56" i="61"/>
  <c r="AF56" i="61"/>
  <c r="AG56" i="61"/>
  <c r="T57" i="61"/>
  <c r="V57" i="61" s="1"/>
  <c r="U57" i="61"/>
  <c r="AF57" i="61"/>
  <c r="AG57" i="61"/>
  <c r="T58" i="61"/>
  <c r="V58" i="61" s="1"/>
  <c r="U58" i="61"/>
  <c r="AF58" i="61"/>
  <c r="AG58" i="61"/>
  <c r="J59" i="61"/>
  <c r="K59" i="61"/>
  <c r="L59" i="61"/>
  <c r="AF59" i="61"/>
  <c r="AG59" i="61"/>
  <c r="J60" i="61"/>
  <c r="K60" i="61"/>
  <c r="L60" i="61"/>
  <c r="AF60" i="61"/>
  <c r="AG60" i="61"/>
  <c r="K61" i="61"/>
  <c r="S61" i="61"/>
  <c r="T61" i="61" s="1"/>
  <c r="AF61" i="61"/>
  <c r="AG61" i="61"/>
  <c r="K62" i="61"/>
  <c r="R62" i="61"/>
  <c r="S62" i="61"/>
  <c r="U62" i="61" s="1"/>
  <c r="AF62" i="61"/>
  <c r="AG62" i="61"/>
  <c r="L63" i="61"/>
  <c r="R63" i="61"/>
  <c r="S63" i="61"/>
  <c r="T63" i="61" s="1"/>
  <c r="AF63" i="61"/>
  <c r="AG63" i="61"/>
  <c r="H64" i="61"/>
  <c r="T64" i="61" s="1"/>
  <c r="V64" i="61" s="1"/>
  <c r="U64" i="61"/>
  <c r="AF64" i="61"/>
  <c r="AG64" i="61"/>
  <c r="H65" i="61"/>
  <c r="T65" i="61" s="1"/>
  <c r="U65" i="61"/>
  <c r="AF65" i="61"/>
  <c r="AG65" i="61"/>
  <c r="H66" i="61"/>
  <c r="L66" i="61"/>
  <c r="S66" i="61"/>
  <c r="U66" i="61" s="1"/>
  <c r="AF66" i="61"/>
  <c r="AG66" i="61"/>
  <c r="J67" i="61"/>
  <c r="P67" i="61"/>
  <c r="Q67" i="61"/>
  <c r="S67" i="61"/>
  <c r="AF67" i="61"/>
  <c r="AG67" i="61"/>
  <c r="J68" i="61"/>
  <c r="P68" i="61"/>
  <c r="Q68" i="61"/>
  <c r="S68" i="61"/>
  <c r="U68" i="61" s="1"/>
  <c r="AF68" i="61"/>
  <c r="AG68" i="61"/>
  <c r="F69" i="61"/>
  <c r="T69" i="61" s="1"/>
  <c r="Z69" i="61" s="1"/>
  <c r="AA69" i="61" s="1"/>
  <c r="G69" i="61"/>
  <c r="J69" i="61"/>
  <c r="U69" i="61"/>
  <c r="AF69" i="61"/>
  <c r="AG69" i="61"/>
  <c r="J70" i="61"/>
  <c r="T70" i="61"/>
  <c r="Z70" i="61" s="1"/>
  <c r="AA70" i="61" s="1"/>
  <c r="U70" i="61"/>
  <c r="AF70" i="61"/>
  <c r="AG70" i="61"/>
  <c r="J71" i="61"/>
  <c r="T71" i="61"/>
  <c r="BT33" i="60" s="1"/>
  <c r="U71" i="61"/>
  <c r="AF71" i="61"/>
  <c r="AG71" i="61"/>
  <c r="T72" i="61"/>
  <c r="BU33" i="60" s="1"/>
  <c r="U72" i="61"/>
  <c r="AF72" i="61"/>
  <c r="AG72" i="61"/>
  <c r="K73" i="61"/>
  <c r="T73" i="61" s="1"/>
  <c r="U73" i="61"/>
  <c r="AF73" i="61"/>
  <c r="AG73" i="61"/>
  <c r="K74" i="61"/>
  <c r="T74" i="61"/>
  <c r="U74" i="61"/>
  <c r="AF74" i="61"/>
  <c r="AG74" i="61"/>
  <c r="F75" i="61"/>
  <c r="AF75" i="61" s="1"/>
  <c r="G75" i="61"/>
  <c r="U75" i="61" s="1"/>
  <c r="J76" i="61"/>
  <c r="T76" i="61"/>
  <c r="BY33" i="60" s="1"/>
  <c r="U76" i="61"/>
  <c r="AF76" i="61"/>
  <c r="AG76" i="61"/>
  <c r="T77" i="61"/>
  <c r="Z77" i="61" s="1"/>
  <c r="AA77" i="61" s="1"/>
  <c r="U77" i="61"/>
  <c r="AF77" i="61"/>
  <c r="AG77" i="61"/>
  <c r="T78" i="61"/>
  <c r="CA33" i="60" s="1"/>
  <c r="U78" i="61"/>
  <c r="AF78" i="61"/>
  <c r="AG78" i="61"/>
  <c r="T79" i="61"/>
  <c r="X79" i="61" s="1"/>
  <c r="Y79" i="61" s="1"/>
  <c r="U79" i="61"/>
  <c r="AF79" i="61"/>
  <c r="AG79" i="61"/>
  <c r="T80" i="61"/>
  <c r="V80" i="61" s="1"/>
  <c r="U80" i="61"/>
  <c r="AF80" i="61"/>
  <c r="AG80" i="61"/>
  <c r="T81" i="61"/>
  <c r="CD33" i="60" s="1"/>
  <c r="CD37" i="60" s="1"/>
  <c r="G90" i="45" s="1"/>
  <c r="U81" i="61"/>
  <c r="AF81" i="61"/>
  <c r="AG81" i="61"/>
  <c r="O82" i="61"/>
  <c r="P82" i="61"/>
  <c r="Q82" i="61"/>
  <c r="S82" i="61"/>
  <c r="T82" i="61" s="1"/>
  <c r="AF82" i="61"/>
  <c r="AG82" i="61"/>
  <c r="C83" i="61"/>
  <c r="C108" i="61" s="1"/>
  <c r="D83" i="61"/>
  <c r="D108" i="61" s="1"/>
  <c r="F83" i="61"/>
  <c r="T83" i="61" s="1"/>
  <c r="G83" i="61"/>
  <c r="U83" i="61"/>
  <c r="P84" i="61"/>
  <c r="Q84" i="61"/>
  <c r="S84" i="61"/>
  <c r="T84" i="61"/>
  <c r="V84" i="61" s="1"/>
  <c r="U84" i="61"/>
  <c r="AF84" i="61"/>
  <c r="AG84" i="61"/>
  <c r="L85" i="61"/>
  <c r="S85" i="61"/>
  <c r="U85" i="61" s="1"/>
  <c r="AF85" i="61"/>
  <c r="AG85" i="61"/>
  <c r="T86" i="61"/>
  <c r="X86" i="61" s="1"/>
  <c r="Y86" i="61" s="1"/>
  <c r="U86" i="61"/>
  <c r="AF86" i="61"/>
  <c r="AG86" i="61"/>
  <c r="L87" i="61"/>
  <c r="N87" i="61"/>
  <c r="R87" i="61"/>
  <c r="S87" i="61"/>
  <c r="AF87" i="61"/>
  <c r="AG87" i="61"/>
  <c r="L88" i="61"/>
  <c r="N88" i="61"/>
  <c r="T88" i="61"/>
  <c r="V88" i="61" s="1"/>
  <c r="U88" i="61"/>
  <c r="AF88" i="61"/>
  <c r="AG88" i="61"/>
  <c r="K89" i="61"/>
  <c r="L89" i="61"/>
  <c r="S89" i="61"/>
  <c r="T89" i="61" s="1"/>
  <c r="Z89" i="61" s="1"/>
  <c r="AA89" i="61" s="1"/>
  <c r="AF89" i="61"/>
  <c r="AG89" i="61"/>
  <c r="K90" i="61"/>
  <c r="L90" i="61"/>
  <c r="R90" i="61"/>
  <c r="S90" i="61"/>
  <c r="U90" i="61" s="1"/>
  <c r="AF90" i="61"/>
  <c r="AG90" i="61"/>
  <c r="K91" i="61"/>
  <c r="L91" i="61"/>
  <c r="S91" i="61"/>
  <c r="AF91" i="61"/>
  <c r="AG91" i="61"/>
  <c r="K92" i="61"/>
  <c r="L92" i="61"/>
  <c r="S92" i="61"/>
  <c r="AF92" i="61"/>
  <c r="AG92" i="61"/>
  <c r="F93" i="61"/>
  <c r="T93" i="61" s="1"/>
  <c r="G93" i="61"/>
  <c r="U93" i="61" s="1"/>
  <c r="F94" i="61"/>
  <c r="G94" i="61"/>
  <c r="U94" i="61" s="1"/>
  <c r="U95" i="61"/>
  <c r="X95" i="61"/>
  <c r="Y95" i="61" s="1"/>
  <c r="Z95" i="61"/>
  <c r="AA95" i="61" s="1"/>
  <c r="T96" i="61"/>
  <c r="Z96" i="61" s="1"/>
  <c r="AA96" i="61" s="1"/>
  <c r="U96" i="61"/>
  <c r="AF96" i="61"/>
  <c r="AG96" i="61"/>
  <c r="T97" i="61"/>
  <c r="X97" i="61" s="1"/>
  <c r="Y97" i="61" s="1"/>
  <c r="U97" i="61"/>
  <c r="AF97" i="61"/>
  <c r="AG97" i="61"/>
  <c r="T98" i="61"/>
  <c r="CU33" i="60" s="1"/>
  <c r="U98" i="61"/>
  <c r="AF98" i="61"/>
  <c r="AG98" i="61"/>
  <c r="F99" i="61"/>
  <c r="G99" i="61"/>
  <c r="U99" i="61" s="1"/>
  <c r="T99" i="61"/>
  <c r="CV33" i="60" s="1"/>
  <c r="AF99" i="61"/>
  <c r="AG99" i="61"/>
  <c r="G100" i="61"/>
  <c r="U100" i="61" s="1"/>
  <c r="T100" i="61"/>
  <c r="AF100" i="61"/>
  <c r="AG100" i="61"/>
  <c r="T101" i="61"/>
  <c r="CX33" i="60" s="1"/>
  <c r="CX41" i="60" s="1"/>
  <c r="K110" i="45" s="1"/>
  <c r="DB110" i="45" s="1"/>
  <c r="U101" i="61"/>
  <c r="AF101" i="61"/>
  <c r="AG101" i="61"/>
  <c r="F102" i="61"/>
  <c r="AF102" i="61" s="1"/>
  <c r="G102" i="61"/>
  <c r="T102" i="61"/>
  <c r="CY33" i="60" s="1"/>
  <c r="U102" i="61"/>
  <c r="AG102" i="61"/>
  <c r="H103" i="61"/>
  <c r="T103" i="61" s="1"/>
  <c r="U103" i="61"/>
  <c r="AF103" i="61"/>
  <c r="AG103" i="61"/>
  <c r="T104" i="61"/>
  <c r="G104" i="61"/>
  <c r="U104" i="61" s="1"/>
  <c r="G105" i="61"/>
  <c r="T105" i="61"/>
  <c r="U105" i="61"/>
  <c r="AF105" i="61"/>
  <c r="AG105" i="61"/>
  <c r="T106" i="61"/>
  <c r="X106" i="61" s="1"/>
  <c r="Y106" i="61" s="1"/>
  <c r="G106" i="61"/>
  <c r="U106" i="61" s="1"/>
  <c r="F107" i="61"/>
  <c r="T107" i="61" s="1"/>
  <c r="Z107" i="61" s="1"/>
  <c r="AA107" i="61" s="1"/>
  <c r="G107" i="61"/>
  <c r="U107" i="61"/>
  <c r="F3" i="63"/>
  <c r="J3" i="63"/>
  <c r="C4" i="63"/>
  <c r="D4" i="63"/>
  <c r="F4" i="63"/>
  <c r="F5" i="63"/>
  <c r="F6" i="63"/>
  <c r="J6" i="63"/>
  <c r="F7" i="63"/>
  <c r="F8" i="63"/>
  <c r="C9" i="63"/>
  <c r="D9" i="63"/>
  <c r="F9" i="63"/>
  <c r="F10" i="63"/>
  <c r="F11" i="63"/>
  <c r="C12" i="63"/>
  <c r="D12" i="63"/>
  <c r="F12" i="63"/>
  <c r="F13" i="63"/>
  <c r="F14" i="63"/>
  <c r="F15" i="63"/>
  <c r="F16" i="63"/>
  <c r="C17" i="63"/>
  <c r="D17" i="63"/>
  <c r="F18" i="63"/>
  <c r="F19" i="63"/>
  <c r="C20" i="63"/>
  <c r="D20" i="63"/>
  <c r="F20" i="63"/>
  <c r="F21" i="63"/>
  <c r="F22" i="63"/>
  <c r="C23" i="63"/>
  <c r="D23" i="63"/>
  <c r="F23" i="63"/>
  <c r="F24" i="63"/>
  <c r="C25" i="63"/>
  <c r="D25" i="63"/>
  <c r="F25" i="63"/>
  <c r="F26" i="63"/>
  <c r="F27" i="63"/>
  <c r="F28" i="63"/>
  <c r="F29" i="63"/>
  <c r="F30" i="63"/>
  <c r="F31" i="63"/>
  <c r="CD12" i="45"/>
  <c r="CD9" i="45"/>
  <c r="CE12" i="45"/>
  <c r="CE9" i="45" s="1"/>
  <c r="CF12" i="45"/>
  <c r="CF9" i="45"/>
  <c r="CG12" i="45"/>
  <c r="CG9" i="45"/>
  <c r="CH12" i="45"/>
  <c r="CH9" i="45"/>
  <c r="CI12" i="45"/>
  <c r="CI9" i="45" s="1"/>
  <c r="CJ12" i="45"/>
  <c r="CJ9" i="45"/>
  <c r="CK12" i="45"/>
  <c r="CK9" i="45"/>
  <c r="CL12" i="45"/>
  <c r="CL9" i="45"/>
  <c r="CM12" i="45"/>
  <c r="CM9" i="45" s="1"/>
  <c r="CN12" i="45"/>
  <c r="CN9" i="45"/>
  <c r="CO12" i="45"/>
  <c r="CO9" i="45"/>
  <c r="R10" i="45"/>
  <c r="DI10" i="45"/>
  <c r="W12" i="45"/>
  <c r="X12" i="45"/>
  <c r="AL12" i="45"/>
  <c r="AP12" i="45"/>
  <c r="BI12" i="45" s="1"/>
  <c r="AQ12" i="45"/>
  <c r="BJ12" i="45" s="1"/>
  <c r="CB12" i="45"/>
  <c r="CC12" i="45"/>
  <c r="CQ12" i="45"/>
  <c r="CU12" i="45"/>
  <c r="CV12" i="45"/>
  <c r="DO12" i="45"/>
  <c r="DP12" i="45"/>
  <c r="DQ12" i="45"/>
  <c r="W13" i="45"/>
  <c r="X13" i="45"/>
  <c r="AL13" i="45"/>
  <c r="AP13" i="45"/>
  <c r="BI13" i="45" s="1"/>
  <c r="AQ13" i="45"/>
  <c r="BJ13" i="45" s="1"/>
  <c r="CB13" i="45"/>
  <c r="CC13" i="45"/>
  <c r="CQ13" i="45"/>
  <c r="CU13" i="45"/>
  <c r="CV13" i="45"/>
  <c r="DO13" i="45"/>
  <c r="DP13" i="45"/>
  <c r="DQ13" i="45"/>
  <c r="W14" i="45"/>
  <c r="X14" i="45"/>
  <c r="AQ14" i="45" s="1"/>
  <c r="BJ14" i="45" s="1"/>
  <c r="AL14" i="45"/>
  <c r="AP14" i="45"/>
  <c r="BI14" i="45" s="1"/>
  <c r="CB14" i="45"/>
  <c r="CC14" i="45"/>
  <c r="CQ14" i="45"/>
  <c r="CU14" i="45"/>
  <c r="CV14" i="45"/>
  <c r="DO14" i="45"/>
  <c r="DP14" i="45"/>
  <c r="DQ14" i="45"/>
  <c r="W15" i="45"/>
  <c r="AP15" i="45" s="1"/>
  <c r="BI15" i="45" s="1"/>
  <c r="X15" i="45"/>
  <c r="AQ15" i="45" s="1"/>
  <c r="BJ15" i="45" s="1"/>
  <c r="AL15" i="45"/>
  <c r="CB15" i="45"/>
  <c r="CC15" i="45"/>
  <c r="CQ15" i="45"/>
  <c r="CU15" i="45"/>
  <c r="CV15" i="45"/>
  <c r="DO15" i="45"/>
  <c r="DP15" i="45"/>
  <c r="DQ15" i="45"/>
  <c r="W16" i="45"/>
  <c r="AP16" i="45" s="1"/>
  <c r="BI16" i="45" s="1"/>
  <c r="X16" i="45"/>
  <c r="AQ16" i="45" s="1"/>
  <c r="BJ16" i="45" s="1"/>
  <c r="AL16" i="45"/>
  <c r="CB16" i="45"/>
  <c r="CU16" i="45" s="1"/>
  <c r="CC16" i="45"/>
  <c r="CV16" i="45" s="1"/>
  <c r="CQ16" i="45"/>
  <c r="DO16" i="45"/>
  <c r="DP16" i="45"/>
  <c r="DQ16" i="45"/>
  <c r="W17" i="45"/>
  <c r="AP17" i="45" s="1"/>
  <c r="BI17" i="45" s="1"/>
  <c r="X17" i="45"/>
  <c r="AQ17" i="45" s="1"/>
  <c r="BJ17" i="45" s="1"/>
  <c r="AL17" i="45"/>
  <c r="CB17" i="45"/>
  <c r="CU17" i="45" s="1"/>
  <c r="CC17" i="45"/>
  <c r="CV17" i="45" s="1"/>
  <c r="CQ17" i="45"/>
  <c r="DO17" i="45"/>
  <c r="DP17" i="45"/>
  <c r="DQ17" i="45"/>
  <c r="W18" i="45"/>
  <c r="AP18" i="45" s="1"/>
  <c r="BI18" i="45" s="1"/>
  <c r="X18" i="45"/>
  <c r="AQ18" i="45" s="1"/>
  <c r="BJ18" i="45" s="1"/>
  <c r="AL18" i="45"/>
  <c r="CB18" i="45"/>
  <c r="CU18" i="45" s="1"/>
  <c r="CC18" i="45"/>
  <c r="CV18" i="45" s="1"/>
  <c r="CQ18" i="45"/>
  <c r="DO18" i="45"/>
  <c r="DP18" i="45"/>
  <c r="DQ18" i="45"/>
  <c r="W19" i="45"/>
  <c r="AP19" i="45" s="1"/>
  <c r="BI19" i="45" s="1"/>
  <c r="X19" i="45"/>
  <c r="AL19" i="45"/>
  <c r="AQ19" i="45"/>
  <c r="BJ19" i="45" s="1"/>
  <c r="CB19" i="45"/>
  <c r="CU19" i="45" s="1"/>
  <c r="CC19" i="45"/>
  <c r="CV19" i="45" s="1"/>
  <c r="CQ19" i="45"/>
  <c r="DO19" i="45"/>
  <c r="DP19" i="45"/>
  <c r="DQ19" i="45"/>
  <c r="W20" i="45"/>
  <c r="AP20" i="45" s="1"/>
  <c r="BI20" i="45" s="1"/>
  <c r="X20" i="45"/>
  <c r="AL20" i="45"/>
  <c r="AQ20" i="45"/>
  <c r="BJ20" i="45"/>
  <c r="CB20" i="45"/>
  <c r="CC20" i="45"/>
  <c r="CD20" i="45"/>
  <c r="CE20" i="45"/>
  <c r="CF20" i="45"/>
  <c r="CG20" i="45"/>
  <c r="CH20" i="45"/>
  <c r="CI20" i="45"/>
  <c r="CJ20" i="45"/>
  <c r="CK20" i="45"/>
  <c r="CL20" i="45"/>
  <c r="CM20" i="45"/>
  <c r="CN20" i="45"/>
  <c r="CO20" i="45"/>
  <c r="CQ20" i="45"/>
  <c r="CU20" i="45"/>
  <c r="CV20" i="45"/>
  <c r="DO20" i="45"/>
  <c r="DP20" i="45"/>
  <c r="DQ20" i="45"/>
  <c r="F21" i="45"/>
  <c r="G21" i="45"/>
  <c r="CX21" i="45" s="1"/>
  <c r="M21" i="45"/>
  <c r="DD21" i="45" s="1"/>
  <c r="W21" i="45"/>
  <c r="X21" i="45"/>
  <c r="AL21" i="45"/>
  <c r="AP21" i="45"/>
  <c r="AQ21" i="45"/>
  <c r="BJ21" i="45" s="1"/>
  <c r="BI21" i="45"/>
  <c r="CB21" i="45"/>
  <c r="CC21" i="45"/>
  <c r="CD21" i="45"/>
  <c r="CE21" i="45"/>
  <c r="CF21" i="45"/>
  <c r="CG21" i="45"/>
  <c r="CH21" i="45"/>
  <c r="CI21" i="45"/>
  <c r="CJ21" i="45"/>
  <c r="CK21" i="45"/>
  <c r="CL21" i="45"/>
  <c r="CM21" i="45"/>
  <c r="CN21" i="45"/>
  <c r="CO21" i="45"/>
  <c r="CQ21" i="45"/>
  <c r="CU21" i="45"/>
  <c r="CV21" i="45"/>
  <c r="DO21" i="45"/>
  <c r="DP21" i="45"/>
  <c r="DQ21" i="45"/>
  <c r="W22" i="45"/>
  <c r="AP22" i="45" s="1"/>
  <c r="BI22" i="45" s="1"/>
  <c r="X22" i="45"/>
  <c r="AQ22" i="45" s="1"/>
  <c r="BJ22" i="45" s="1"/>
  <c r="AL22" i="45"/>
  <c r="CB22" i="45"/>
  <c r="CU22" i="45" s="1"/>
  <c r="CC22" i="45"/>
  <c r="CV22" i="45" s="1"/>
  <c r="CQ22" i="45"/>
  <c r="DO22" i="45"/>
  <c r="DP22" i="45"/>
  <c r="DQ22" i="45"/>
  <c r="W23" i="45"/>
  <c r="AP23" i="45" s="1"/>
  <c r="BI23" i="45" s="1"/>
  <c r="X23" i="45"/>
  <c r="AQ23" i="45" s="1"/>
  <c r="AL23" i="45"/>
  <c r="BJ23" i="45"/>
  <c r="CB23" i="45"/>
  <c r="CU23" i="45" s="1"/>
  <c r="CC23" i="45"/>
  <c r="CV23" i="45" s="1"/>
  <c r="CQ23" i="45"/>
  <c r="DO23" i="45"/>
  <c r="DP23" i="45"/>
  <c r="DQ23" i="45"/>
  <c r="W24" i="45"/>
  <c r="AP24" i="45" s="1"/>
  <c r="BI24" i="45" s="1"/>
  <c r="X24" i="45"/>
  <c r="AL24" i="45"/>
  <c r="AQ24" i="45"/>
  <c r="BJ24" i="45" s="1"/>
  <c r="CB24" i="45"/>
  <c r="CU24" i="45" s="1"/>
  <c r="CC24" i="45"/>
  <c r="CJ24" i="45"/>
  <c r="CK24" i="45"/>
  <c r="CL24" i="45"/>
  <c r="CM24" i="45"/>
  <c r="CN24" i="45"/>
  <c r="CO24" i="45"/>
  <c r="CQ24" i="45"/>
  <c r="CV24" i="45"/>
  <c r="DO24" i="45"/>
  <c r="DP24" i="45"/>
  <c r="DQ24" i="45"/>
  <c r="W25" i="45"/>
  <c r="X25" i="45"/>
  <c r="AL25" i="45"/>
  <c r="AP25" i="45"/>
  <c r="BI25" i="45" s="1"/>
  <c r="AQ25" i="45"/>
  <c r="BJ25" i="45" s="1"/>
  <c r="CB25" i="45"/>
  <c r="CC25" i="45"/>
  <c r="CQ25" i="45"/>
  <c r="CU25" i="45"/>
  <c r="CV25" i="45"/>
  <c r="DO25" i="45"/>
  <c r="DP25" i="45"/>
  <c r="DQ25" i="45"/>
  <c r="W26" i="45"/>
  <c r="X26" i="45"/>
  <c r="AG26" i="45"/>
  <c r="AH26" i="45" s="1"/>
  <c r="AI26" i="45"/>
  <c r="AJ26" i="45" s="1"/>
  <c r="AL26" i="45"/>
  <c r="AP26" i="45"/>
  <c r="BI26" i="45" s="1"/>
  <c r="AQ26" i="45"/>
  <c r="BJ26" i="45" s="1"/>
  <c r="CB26" i="45"/>
  <c r="CU26" i="45" s="1"/>
  <c r="CC26" i="45"/>
  <c r="CQ26" i="45"/>
  <c r="CV26" i="45"/>
  <c r="DO26" i="45"/>
  <c r="DP26" i="45"/>
  <c r="DQ26" i="45"/>
  <c r="AG27" i="45"/>
  <c r="AH27" i="45" s="1"/>
  <c r="AI27" i="45" s="1"/>
  <c r="AJ27" i="45"/>
  <c r="BM27" i="45" s="1"/>
  <c r="CF27" i="45" s="1"/>
  <c r="BK27" i="45"/>
  <c r="CD27" i="45" s="1"/>
  <c r="AG28" i="45"/>
  <c r="AH28" i="45" s="1"/>
  <c r="AI28" i="45" s="1"/>
  <c r="AJ28" i="45"/>
  <c r="BQ28" i="45" s="1"/>
  <c r="CJ28" i="45" s="1"/>
  <c r="BL27" i="45"/>
  <c r="CE27" i="45" s="1"/>
  <c r="BM28" i="45"/>
  <c r="CF28" i="45" s="1"/>
  <c r="BN27" i="45"/>
  <c r="CG27" i="45" s="1"/>
  <c r="BN28" i="45"/>
  <c r="CG28" i="45" s="1"/>
  <c r="BP27" i="45"/>
  <c r="CI27" i="45"/>
  <c r="BP28" i="45"/>
  <c r="CI28" i="45" s="1"/>
  <c r="BQ27" i="45"/>
  <c r="CJ27" i="45" s="1"/>
  <c r="BR27" i="45"/>
  <c r="CK27" i="45" s="1"/>
  <c r="BR28" i="45"/>
  <c r="CK28" i="45" s="1"/>
  <c r="BS27" i="45"/>
  <c r="CL27" i="45"/>
  <c r="BT27" i="45"/>
  <c r="CM27" i="45" s="1"/>
  <c r="BT28" i="45"/>
  <c r="CM28" i="45"/>
  <c r="BU28" i="45"/>
  <c r="CN28" i="45" s="1"/>
  <c r="W27" i="45"/>
  <c r="X27" i="45"/>
  <c r="AL27" i="45"/>
  <c r="AP27" i="45"/>
  <c r="BI27" i="45" s="1"/>
  <c r="AQ27" i="45"/>
  <c r="BJ27" i="45" s="1"/>
  <c r="CB27" i="45"/>
  <c r="CU27" i="45" s="1"/>
  <c r="CC27" i="45"/>
  <c r="CQ27" i="45"/>
  <c r="CV27" i="45"/>
  <c r="DO27" i="45"/>
  <c r="DP27" i="45"/>
  <c r="DQ27" i="45"/>
  <c r="W28" i="45"/>
  <c r="X28" i="45"/>
  <c r="AQ28" i="45" s="1"/>
  <c r="BJ28" i="45" s="1"/>
  <c r="AL28" i="45"/>
  <c r="AP28" i="45"/>
  <c r="BI28" i="45" s="1"/>
  <c r="CB28" i="45"/>
  <c r="CU28" i="45" s="1"/>
  <c r="CC28" i="45"/>
  <c r="CQ28" i="45"/>
  <c r="CV28" i="45"/>
  <c r="DO28" i="45"/>
  <c r="DP28" i="45"/>
  <c r="DQ28" i="45"/>
  <c r="W29" i="45"/>
  <c r="X29" i="45"/>
  <c r="AQ29" i="45" s="1"/>
  <c r="BJ29" i="45" s="1"/>
  <c r="AL29" i="45"/>
  <c r="AP29" i="45"/>
  <c r="BI29" i="45" s="1"/>
  <c r="CB29" i="45"/>
  <c r="CU29" i="45" s="1"/>
  <c r="CC29" i="45"/>
  <c r="CQ29" i="45"/>
  <c r="CV29" i="45"/>
  <c r="DO29" i="45"/>
  <c r="DP29" i="45"/>
  <c r="DQ29" i="45"/>
  <c r="W30" i="45"/>
  <c r="AP30" i="45" s="1"/>
  <c r="BI30" i="45" s="1"/>
  <c r="X30" i="45"/>
  <c r="AQ30" i="45" s="1"/>
  <c r="BJ30" i="45" s="1"/>
  <c r="AG30" i="45"/>
  <c r="AH30" i="45" s="1"/>
  <c r="AI30" i="45" s="1"/>
  <c r="AJ30" i="45" s="1"/>
  <c r="AL30" i="45"/>
  <c r="CB30" i="45"/>
  <c r="CU30" i="45" s="1"/>
  <c r="CC30" i="45"/>
  <c r="CQ30" i="45"/>
  <c r="CV30" i="45"/>
  <c r="DO30" i="45"/>
  <c r="DP30" i="45"/>
  <c r="DQ30" i="45"/>
  <c r="AG31" i="45"/>
  <c r="AH31" i="45"/>
  <c r="AI31" i="45" s="1"/>
  <c r="AJ31" i="45" s="1"/>
  <c r="AG32" i="45"/>
  <c r="AH32" i="45"/>
  <c r="AI32" i="45" s="1"/>
  <c r="AJ32" i="45" s="1"/>
  <c r="AG33" i="45"/>
  <c r="AH33" i="45"/>
  <c r="AI33" i="45" s="1"/>
  <c r="AJ33" i="45" s="1"/>
  <c r="W31" i="45"/>
  <c r="X31" i="45"/>
  <c r="AQ31" i="45" s="1"/>
  <c r="BJ31" i="45" s="1"/>
  <c r="AL31" i="45"/>
  <c r="AP31" i="45"/>
  <c r="BI31" i="45" s="1"/>
  <c r="CB31" i="45"/>
  <c r="CC31" i="45"/>
  <c r="CQ31" i="45"/>
  <c r="CU31" i="45"/>
  <c r="CV31" i="45"/>
  <c r="DO31" i="45"/>
  <c r="DP31" i="45"/>
  <c r="DQ31" i="45"/>
  <c r="W32" i="45"/>
  <c r="AP32" i="45" s="1"/>
  <c r="BI32" i="45" s="1"/>
  <c r="X32" i="45"/>
  <c r="AL32" i="45"/>
  <c r="AQ32" i="45"/>
  <c r="BJ32" i="45"/>
  <c r="CB32" i="45"/>
  <c r="CC32" i="45"/>
  <c r="CV32" i="45" s="1"/>
  <c r="CQ32" i="45"/>
  <c r="CU32" i="45"/>
  <c r="DO32" i="45"/>
  <c r="DP32" i="45"/>
  <c r="DQ32" i="45"/>
  <c r="W33" i="45"/>
  <c r="AP33" i="45" s="1"/>
  <c r="BI33" i="45" s="1"/>
  <c r="X33" i="45"/>
  <c r="AL33" i="45"/>
  <c r="AQ33" i="45"/>
  <c r="BJ33" i="45" s="1"/>
  <c r="CB33" i="45"/>
  <c r="CC33" i="45"/>
  <c r="CV33" i="45" s="1"/>
  <c r="CQ33" i="45"/>
  <c r="CU33" i="45"/>
  <c r="DO33" i="45"/>
  <c r="DP33" i="45"/>
  <c r="DQ33" i="45"/>
  <c r="W34" i="45"/>
  <c r="AP34" i="45" s="1"/>
  <c r="BI34" i="45" s="1"/>
  <c r="X34" i="45"/>
  <c r="AL34" i="45"/>
  <c r="AQ34" i="45"/>
  <c r="BJ34" i="45" s="1"/>
  <c r="CB34" i="45"/>
  <c r="CC34" i="45"/>
  <c r="CV34" i="45" s="1"/>
  <c r="CQ34" i="45"/>
  <c r="CU34" i="45"/>
  <c r="DO34" i="45"/>
  <c r="DP34" i="45"/>
  <c r="DQ34" i="45"/>
  <c r="W35" i="45"/>
  <c r="X35" i="45"/>
  <c r="AQ35" i="45" s="1"/>
  <c r="AL35" i="45"/>
  <c r="AP35" i="45"/>
  <c r="BI35" i="45" s="1"/>
  <c r="BJ35" i="45"/>
  <c r="CB35" i="45"/>
  <c r="CU35" i="45" s="1"/>
  <c r="CC35" i="45"/>
  <c r="CQ35" i="45"/>
  <c r="CV35" i="45"/>
  <c r="DO35" i="45"/>
  <c r="DP35" i="45"/>
  <c r="DQ35" i="45"/>
  <c r="W36" i="45"/>
  <c r="X36" i="45"/>
  <c r="AL36" i="45"/>
  <c r="AP36" i="45"/>
  <c r="BI36" i="45" s="1"/>
  <c r="AQ36" i="45"/>
  <c r="BJ36" i="45"/>
  <c r="CB36" i="45"/>
  <c r="CC36" i="45"/>
  <c r="CQ36" i="45"/>
  <c r="CU36" i="45"/>
  <c r="CV36" i="45"/>
  <c r="DO36" i="45"/>
  <c r="DP36" i="45"/>
  <c r="DQ36" i="45"/>
  <c r="W37" i="45"/>
  <c r="AP37" i="45" s="1"/>
  <c r="BI37" i="45" s="1"/>
  <c r="X37" i="45"/>
  <c r="AL37" i="45"/>
  <c r="AQ37" i="45"/>
  <c r="BJ37" i="45"/>
  <c r="CB37" i="45"/>
  <c r="CC37" i="45"/>
  <c r="CV37" i="45" s="1"/>
  <c r="CQ37" i="45"/>
  <c r="CU37" i="45"/>
  <c r="DO37" i="45"/>
  <c r="DP37" i="45"/>
  <c r="DQ37" i="45"/>
  <c r="W38" i="45"/>
  <c r="AP38" i="45" s="1"/>
  <c r="X38" i="45"/>
  <c r="AL38" i="45"/>
  <c r="AQ38" i="45"/>
  <c r="BJ38" i="45" s="1"/>
  <c r="BI38" i="45"/>
  <c r="CB38" i="45"/>
  <c r="CC38" i="45"/>
  <c r="CV38" i="45" s="1"/>
  <c r="CQ38" i="45"/>
  <c r="CU38" i="45"/>
  <c r="DO38" i="45"/>
  <c r="DP38" i="45"/>
  <c r="DQ38" i="45"/>
  <c r="W39" i="45"/>
  <c r="AP39" i="45" s="1"/>
  <c r="BI39" i="45" s="1"/>
  <c r="X39" i="45"/>
  <c r="AQ39" i="45" s="1"/>
  <c r="BJ39" i="45" s="1"/>
  <c r="AL39" i="45"/>
  <c r="CB39" i="45"/>
  <c r="CU39" i="45" s="1"/>
  <c r="CC39" i="45"/>
  <c r="CV39" i="45" s="1"/>
  <c r="CQ39" i="45"/>
  <c r="DO39" i="45"/>
  <c r="DP39" i="45"/>
  <c r="DQ39" i="45"/>
  <c r="W40" i="45"/>
  <c r="X40" i="45"/>
  <c r="AQ40" i="45" s="1"/>
  <c r="BJ40" i="45" s="1"/>
  <c r="AL40" i="45"/>
  <c r="AP40" i="45"/>
  <c r="BI40" i="45" s="1"/>
  <c r="CB40" i="45"/>
  <c r="CC40" i="45"/>
  <c r="CQ40" i="45"/>
  <c r="CU40" i="45"/>
  <c r="CV40" i="45"/>
  <c r="DO40" i="45"/>
  <c r="DP40" i="45"/>
  <c r="DQ40" i="45"/>
  <c r="W41" i="45"/>
  <c r="X41" i="45"/>
  <c r="AL41" i="45"/>
  <c r="AP41" i="45"/>
  <c r="BI41" i="45" s="1"/>
  <c r="AQ41" i="45"/>
  <c r="BJ41" i="45" s="1"/>
  <c r="CB41" i="45"/>
  <c r="CU41" i="45" s="1"/>
  <c r="CC41" i="45"/>
  <c r="CQ41" i="45"/>
  <c r="CV41" i="45"/>
  <c r="DO41" i="45"/>
  <c r="DP41" i="45"/>
  <c r="DQ41" i="45"/>
  <c r="W42" i="45"/>
  <c r="AP42" i="45" s="1"/>
  <c r="BI42" i="45" s="1"/>
  <c r="X42" i="45"/>
  <c r="AQ42" i="45" s="1"/>
  <c r="AL42" i="45"/>
  <c r="BJ42" i="45"/>
  <c r="CB42" i="45"/>
  <c r="CU42" i="45" s="1"/>
  <c r="CC42" i="45"/>
  <c r="CV42" i="45" s="1"/>
  <c r="CQ42" i="45"/>
  <c r="DO42" i="45"/>
  <c r="DP42" i="45"/>
  <c r="DQ42" i="45"/>
  <c r="W43" i="45"/>
  <c r="AP43" i="45" s="1"/>
  <c r="X43" i="45"/>
  <c r="AQ43" i="45" s="1"/>
  <c r="AL43" i="45"/>
  <c r="BI43" i="45"/>
  <c r="BJ43" i="45"/>
  <c r="CB43" i="45"/>
  <c r="CU43" i="45" s="1"/>
  <c r="CC43" i="45"/>
  <c r="CV43" i="45" s="1"/>
  <c r="CQ43" i="45"/>
  <c r="DO43" i="45"/>
  <c r="DP43" i="45"/>
  <c r="DQ43" i="45"/>
  <c r="W44" i="45"/>
  <c r="AP44" i="45" s="1"/>
  <c r="X44" i="45"/>
  <c r="AL44" i="45"/>
  <c r="AQ44" i="45"/>
  <c r="BJ44" i="45" s="1"/>
  <c r="BI44" i="45"/>
  <c r="CB44" i="45"/>
  <c r="CU44" i="45" s="1"/>
  <c r="CC44" i="45"/>
  <c r="CV44" i="45" s="1"/>
  <c r="CQ44" i="45"/>
  <c r="DO44" i="45"/>
  <c r="DP44" i="45"/>
  <c r="DQ44" i="45"/>
  <c r="W45" i="45"/>
  <c r="X45" i="45"/>
  <c r="AL45" i="45"/>
  <c r="AP45" i="45"/>
  <c r="BI45" i="45" s="1"/>
  <c r="AQ45" i="45"/>
  <c r="BJ45" i="45" s="1"/>
  <c r="CB45" i="45"/>
  <c r="CU45" i="45" s="1"/>
  <c r="CC45" i="45"/>
  <c r="CQ45" i="45"/>
  <c r="CV45" i="45"/>
  <c r="DO45" i="45"/>
  <c r="DP45" i="45"/>
  <c r="DQ45" i="45"/>
  <c r="W46" i="45"/>
  <c r="X46" i="45"/>
  <c r="AL46" i="45"/>
  <c r="AP46" i="45"/>
  <c r="AQ46" i="45"/>
  <c r="BI46" i="45"/>
  <c r="BJ46" i="45"/>
  <c r="CB46" i="45"/>
  <c r="CU46" i="45" s="1"/>
  <c r="CC46" i="45"/>
  <c r="CV46" i="45" s="1"/>
  <c r="CQ46" i="45"/>
  <c r="DO46" i="45"/>
  <c r="DP46" i="45"/>
  <c r="DQ46" i="45"/>
  <c r="W47" i="45"/>
  <c r="AP47" i="45" s="1"/>
  <c r="BI47" i="45" s="1"/>
  <c r="X47" i="45"/>
  <c r="AL47" i="45"/>
  <c r="AQ47" i="45"/>
  <c r="BJ47" i="45" s="1"/>
  <c r="CB47" i="45"/>
  <c r="CU47" i="45" s="1"/>
  <c r="CC47" i="45"/>
  <c r="CV47" i="45" s="1"/>
  <c r="CQ47" i="45"/>
  <c r="DO47" i="45"/>
  <c r="DP47" i="45"/>
  <c r="DQ47" i="45"/>
  <c r="W48" i="45"/>
  <c r="AP48" i="45" s="1"/>
  <c r="X48" i="45"/>
  <c r="AQ48" i="45" s="1"/>
  <c r="BJ48" i="45" s="1"/>
  <c r="AL48" i="45"/>
  <c r="BI48" i="45"/>
  <c r="CB48" i="45"/>
  <c r="CU48" i="45" s="1"/>
  <c r="CC48" i="45"/>
  <c r="CV48" i="45" s="1"/>
  <c r="CQ48" i="45"/>
  <c r="DO48" i="45"/>
  <c r="DP48" i="45"/>
  <c r="DQ48" i="45"/>
  <c r="W49" i="45"/>
  <c r="AP49" i="45" s="1"/>
  <c r="X49" i="45"/>
  <c r="AQ49" i="45" s="1"/>
  <c r="AG49" i="45"/>
  <c r="AH49" i="45"/>
  <c r="AI49" i="45" s="1"/>
  <c r="AJ49" i="45" s="1"/>
  <c r="AL49" i="45"/>
  <c r="BI49" i="45"/>
  <c r="BJ49" i="45"/>
  <c r="CB49" i="45"/>
  <c r="CC49" i="45"/>
  <c r="CQ49" i="45"/>
  <c r="CU49" i="45"/>
  <c r="CV49" i="45"/>
  <c r="DO49" i="45"/>
  <c r="DP49" i="45"/>
  <c r="DQ49" i="45"/>
  <c r="AG50" i="45"/>
  <c r="AH50" i="45" s="1"/>
  <c r="AI50" i="45" s="1"/>
  <c r="AJ50" i="45" s="1"/>
  <c r="AG51" i="45"/>
  <c r="AH51" i="45" s="1"/>
  <c r="AI51" i="45" s="1"/>
  <c r="AJ51" i="45" s="1"/>
  <c r="W50" i="45"/>
  <c r="AP50" i="45" s="1"/>
  <c r="BI50" i="45" s="1"/>
  <c r="X50" i="45"/>
  <c r="AQ50" i="45" s="1"/>
  <c r="BJ50" i="45" s="1"/>
  <c r="AL50" i="45"/>
  <c r="CB50" i="45"/>
  <c r="CC50" i="45"/>
  <c r="CQ50" i="45"/>
  <c r="CU50" i="45"/>
  <c r="CV50" i="45"/>
  <c r="DO50" i="45"/>
  <c r="DP50" i="45"/>
  <c r="DQ50" i="45"/>
  <c r="W51" i="45"/>
  <c r="X51" i="45"/>
  <c r="AL51" i="45"/>
  <c r="AP51" i="45"/>
  <c r="AQ51" i="45"/>
  <c r="BJ51" i="45" s="1"/>
  <c r="BI51" i="45"/>
  <c r="CB51" i="45"/>
  <c r="CU51" i="45" s="1"/>
  <c r="CC51" i="45"/>
  <c r="CQ51" i="45"/>
  <c r="CV51" i="45"/>
  <c r="DO51" i="45"/>
  <c r="DP51" i="45"/>
  <c r="DQ51" i="45"/>
  <c r="W52" i="45"/>
  <c r="AP52" i="45" s="1"/>
  <c r="BI52" i="45" s="1"/>
  <c r="X52" i="45"/>
  <c r="AL52" i="45"/>
  <c r="AQ52" i="45"/>
  <c r="BJ52" i="45" s="1"/>
  <c r="CB52" i="45"/>
  <c r="CU52" i="45" s="1"/>
  <c r="CC52" i="45"/>
  <c r="CV52" i="45" s="1"/>
  <c r="CQ52" i="45"/>
  <c r="DO52" i="45"/>
  <c r="DP52" i="45"/>
  <c r="DQ52" i="45"/>
  <c r="W53" i="45"/>
  <c r="X53" i="45"/>
  <c r="AL53" i="45"/>
  <c r="AP53" i="45"/>
  <c r="BI53" i="45" s="1"/>
  <c r="AQ53" i="45"/>
  <c r="BJ53" i="45" s="1"/>
  <c r="CB53" i="45"/>
  <c r="CU53" i="45" s="1"/>
  <c r="CC53" i="45"/>
  <c r="CQ53" i="45"/>
  <c r="CV53" i="45"/>
  <c r="DO53" i="45"/>
  <c r="DP53" i="45"/>
  <c r="DQ53" i="45"/>
  <c r="W54" i="45"/>
  <c r="X54" i="45"/>
  <c r="AL54" i="45"/>
  <c r="AP54" i="45"/>
  <c r="BI54" i="45" s="1"/>
  <c r="AQ54" i="45"/>
  <c r="BJ54" i="45"/>
  <c r="CB54" i="45"/>
  <c r="CU54" i="45" s="1"/>
  <c r="CC54" i="45"/>
  <c r="CV54" i="45" s="1"/>
  <c r="CQ54" i="45"/>
  <c r="DO54" i="45"/>
  <c r="DP54" i="45"/>
  <c r="DQ54" i="45"/>
  <c r="W55" i="45"/>
  <c r="AP55" i="45" s="1"/>
  <c r="BI55" i="45" s="1"/>
  <c r="X55" i="45"/>
  <c r="AL55" i="45"/>
  <c r="AQ55" i="45"/>
  <c r="BJ55" i="45" s="1"/>
  <c r="CB55" i="45"/>
  <c r="CU55" i="45" s="1"/>
  <c r="CC55" i="45"/>
  <c r="CQ55" i="45"/>
  <c r="CV55" i="45"/>
  <c r="DO55" i="45"/>
  <c r="DP55" i="45"/>
  <c r="DQ55" i="45"/>
  <c r="W56" i="45"/>
  <c r="AP56" i="45" s="1"/>
  <c r="BI56" i="45" s="1"/>
  <c r="X56" i="45"/>
  <c r="AL56" i="45"/>
  <c r="AQ56" i="45"/>
  <c r="BJ56" i="45" s="1"/>
  <c r="CB56" i="45"/>
  <c r="CU56" i="45" s="1"/>
  <c r="CC56" i="45"/>
  <c r="CV56" i="45" s="1"/>
  <c r="CQ56" i="45"/>
  <c r="DO56" i="45"/>
  <c r="DP56" i="45"/>
  <c r="DQ56" i="45"/>
  <c r="W57" i="45"/>
  <c r="X57" i="45"/>
  <c r="AL57" i="45"/>
  <c r="AP57" i="45"/>
  <c r="BI57" i="45" s="1"/>
  <c r="AQ57" i="45"/>
  <c r="BJ57" i="45" s="1"/>
  <c r="CB57" i="45"/>
  <c r="CU57" i="45" s="1"/>
  <c r="CC57" i="45"/>
  <c r="CQ57" i="45"/>
  <c r="CV57" i="45"/>
  <c r="DO57" i="45"/>
  <c r="DP57" i="45"/>
  <c r="DQ57" i="45"/>
  <c r="W58" i="45"/>
  <c r="X58" i="45"/>
  <c r="AL58" i="45"/>
  <c r="AP58" i="45"/>
  <c r="BI58" i="45" s="1"/>
  <c r="AQ58" i="45"/>
  <c r="BJ58" i="45"/>
  <c r="CB58" i="45"/>
  <c r="CU58" i="45" s="1"/>
  <c r="CC58" i="45"/>
  <c r="CV58" i="45" s="1"/>
  <c r="CQ58" i="45"/>
  <c r="DO58" i="45"/>
  <c r="DP58" i="45"/>
  <c r="DQ58" i="45"/>
  <c r="W59" i="45"/>
  <c r="X59" i="45"/>
  <c r="AL59" i="45"/>
  <c r="AP59" i="45"/>
  <c r="BI59" i="45" s="1"/>
  <c r="AQ59" i="45"/>
  <c r="BJ59" i="45" s="1"/>
  <c r="CB59" i="45"/>
  <c r="CU59" i="45" s="1"/>
  <c r="CC59" i="45"/>
  <c r="CQ59" i="45"/>
  <c r="CV59" i="45"/>
  <c r="DO59" i="45"/>
  <c r="DP59" i="45"/>
  <c r="DQ59" i="45"/>
  <c r="W60" i="45"/>
  <c r="X60" i="45"/>
  <c r="AL60" i="45"/>
  <c r="AP60" i="45"/>
  <c r="AQ60" i="45"/>
  <c r="BJ60" i="45" s="1"/>
  <c r="BI60" i="45"/>
  <c r="CB60" i="45"/>
  <c r="CU60" i="45" s="1"/>
  <c r="CC60" i="45"/>
  <c r="CQ60" i="45"/>
  <c r="CV60" i="45"/>
  <c r="DO60" i="45"/>
  <c r="DP60" i="45"/>
  <c r="DQ60" i="45"/>
  <c r="W61" i="45"/>
  <c r="X61" i="45"/>
  <c r="AL61" i="45"/>
  <c r="AP61" i="45"/>
  <c r="BI61" i="45" s="1"/>
  <c r="AQ61" i="45"/>
  <c r="BJ61" i="45"/>
  <c r="CB61" i="45"/>
  <c r="CU61" i="45" s="1"/>
  <c r="CC61" i="45"/>
  <c r="CQ61" i="45"/>
  <c r="CV61" i="45"/>
  <c r="DO61" i="45"/>
  <c r="DP61" i="45"/>
  <c r="DQ61" i="45"/>
  <c r="W62" i="45"/>
  <c r="X62" i="45"/>
  <c r="AQ62" i="45" s="1"/>
  <c r="BJ62" i="45" s="1"/>
  <c r="AL62" i="45"/>
  <c r="AP62" i="45"/>
  <c r="BI62" i="45" s="1"/>
  <c r="CB62" i="45"/>
  <c r="CC62" i="45"/>
  <c r="CQ62" i="45"/>
  <c r="CU62" i="45"/>
  <c r="CV62" i="45"/>
  <c r="DO62" i="45"/>
  <c r="DP62" i="45"/>
  <c r="DQ62" i="45"/>
  <c r="W63" i="45"/>
  <c r="AP63" i="45" s="1"/>
  <c r="BI63" i="45" s="1"/>
  <c r="X63" i="45"/>
  <c r="AQ63" i="45" s="1"/>
  <c r="BJ63" i="45" s="1"/>
  <c r="AL63" i="45"/>
  <c r="CB63" i="45"/>
  <c r="CC63" i="45"/>
  <c r="CQ63" i="45"/>
  <c r="CU63" i="45"/>
  <c r="CV63" i="45"/>
  <c r="DO63" i="45"/>
  <c r="DP63" i="45"/>
  <c r="DQ63" i="45"/>
  <c r="W64" i="45"/>
  <c r="AP64" i="45" s="1"/>
  <c r="BI64" i="45" s="1"/>
  <c r="X64" i="45"/>
  <c r="AQ64" i="45" s="1"/>
  <c r="BJ64" i="45" s="1"/>
  <c r="AL64" i="45"/>
  <c r="CB64" i="45"/>
  <c r="CC64" i="45"/>
  <c r="CV64" i="45" s="1"/>
  <c r="CQ64" i="45"/>
  <c r="CU64" i="45"/>
  <c r="DO64" i="45"/>
  <c r="DP64" i="45"/>
  <c r="DQ64" i="45"/>
  <c r="W65" i="45"/>
  <c r="X65" i="45"/>
  <c r="AL65" i="45"/>
  <c r="AP65" i="45"/>
  <c r="AQ65" i="45"/>
  <c r="BI65" i="45"/>
  <c r="BJ65" i="45"/>
  <c r="CB65" i="45"/>
  <c r="CU65" i="45" s="1"/>
  <c r="CC65" i="45"/>
  <c r="CQ65" i="45"/>
  <c r="CV65" i="45"/>
  <c r="DO65" i="45"/>
  <c r="DP65" i="45"/>
  <c r="DQ65" i="45"/>
  <c r="W66" i="45"/>
  <c r="X66" i="45"/>
  <c r="AQ66" i="45" s="1"/>
  <c r="BJ66" i="45" s="1"/>
  <c r="AL66" i="45"/>
  <c r="AP66" i="45"/>
  <c r="BI66" i="45" s="1"/>
  <c r="CB66" i="45"/>
  <c r="CC66" i="45"/>
  <c r="CV66" i="45" s="1"/>
  <c r="CQ66" i="45"/>
  <c r="CU66" i="45"/>
  <c r="DO66" i="45"/>
  <c r="DP66" i="45"/>
  <c r="DQ66" i="45"/>
  <c r="W67" i="45"/>
  <c r="X67" i="45"/>
  <c r="AL67" i="45"/>
  <c r="AP67" i="45"/>
  <c r="BI67" i="45" s="1"/>
  <c r="AQ67" i="45"/>
  <c r="BJ67" i="45" s="1"/>
  <c r="CB67" i="45"/>
  <c r="CC67" i="45"/>
  <c r="CV67" i="45" s="1"/>
  <c r="CQ67" i="45"/>
  <c r="CU67" i="45"/>
  <c r="DO67" i="45"/>
  <c r="DP67" i="45"/>
  <c r="DQ67" i="45"/>
  <c r="W68" i="45"/>
  <c r="X68" i="45"/>
  <c r="AL68" i="45"/>
  <c r="AP68" i="45"/>
  <c r="BI68" i="45" s="1"/>
  <c r="AQ68" i="45"/>
  <c r="BJ68" i="45" s="1"/>
  <c r="CB68" i="45"/>
  <c r="CC68" i="45"/>
  <c r="CV68" i="45" s="1"/>
  <c r="CQ68" i="45"/>
  <c r="CU68" i="45"/>
  <c r="DO68" i="45"/>
  <c r="DP68" i="45"/>
  <c r="DQ68" i="45"/>
  <c r="W69" i="45"/>
  <c r="AP69" i="45" s="1"/>
  <c r="BI69" i="45" s="1"/>
  <c r="X69" i="45"/>
  <c r="AQ69" i="45" s="1"/>
  <c r="BJ69" i="45" s="1"/>
  <c r="AL69" i="45"/>
  <c r="CB69" i="45"/>
  <c r="CU69" i="45" s="1"/>
  <c r="CC69" i="45"/>
  <c r="CV69" i="45" s="1"/>
  <c r="CQ69" i="45"/>
  <c r="DO69" i="45"/>
  <c r="DP69" i="45"/>
  <c r="DQ69" i="45"/>
  <c r="W70" i="45"/>
  <c r="AP70" i="45" s="1"/>
  <c r="BI70" i="45" s="1"/>
  <c r="X70" i="45"/>
  <c r="AQ70" i="45" s="1"/>
  <c r="BJ70" i="45" s="1"/>
  <c r="AL70" i="45"/>
  <c r="CB70" i="45"/>
  <c r="CU70" i="45" s="1"/>
  <c r="CC70" i="45"/>
  <c r="CV70" i="45" s="1"/>
  <c r="CQ70" i="45"/>
  <c r="DO70" i="45"/>
  <c r="DP70" i="45"/>
  <c r="DQ70" i="45"/>
  <c r="W71" i="45"/>
  <c r="AP71" i="45" s="1"/>
  <c r="BI71" i="45" s="1"/>
  <c r="X71" i="45"/>
  <c r="AL71" i="45"/>
  <c r="AQ71" i="45"/>
  <c r="BJ71" i="45" s="1"/>
  <c r="CB71" i="45"/>
  <c r="CC71" i="45"/>
  <c r="CV71" i="45" s="1"/>
  <c r="CQ71" i="45"/>
  <c r="CU71" i="45"/>
  <c r="DO71" i="45"/>
  <c r="DP71" i="45"/>
  <c r="DQ71" i="45"/>
  <c r="W72" i="45"/>
  <c r="X72" i="45"/>
  <c r="AL72" i="45"/>
  <c r="AP72" i="45"/>
  <c r="BI72" i="45" s="1"/>
  <c r="AQ72" i="45"/>
  <c r="BJ72" i="45" s="1"/>
  <c r="CB72" i="45"/>
  <c r="CC72" i="45"/>
  <c r="CV72" i="45" s="1"/>
  <c r="CQ72" i="45"/>
  <c r="CU72" i="45"/>
  <c r="DO72" i="45"/>
  <c r="DP72" i="45"/>
  <c r="DQ72" i="45"/>
  <c r="W73" i="45"/>
  <c r="X73" i="45"/>
  <c r="AQ73" i="45" s="1"/>
  <c r="BJ73" i="45" s="1"/>
  <c r="AL73" i="45"/>
  <c r="AP73" i="45"/>
  <c r="BI73" i="45" s="1"/>
  <c r="CB73" i="45"/>
  <c r="CU73" i="45" s="1"/>
  <c r="CC73" i="45"/>
  <c r="CQ73" i="45"/>
  <c r="CV73" i="45"/>
  <c r="DO73" i="45"/>
  <c r="DP73" i="45"/>
  <c r="DQ73" i="45"/>
  <c r="W74" i="45"/>
  <c r="AP74" i="45" s="1"/>
  <c r="BI74" i="45" s="1"/>
  <c r="X74" i="45"/>
  <c r="AQ74" i="45" s="1"/>
  <c r="BJ74" i="45" s="1"/>
  <c r="AL74" i="45"/>
  <c r="CB74" i="45"/>
  <c r="CC74" i="45"/>
  <c r="CQ74" i="45"/>
  <c r="CU74" i="45"/>
  <c r="CV74" i="45"/>
  <c r="DO74" i="45"/>
  <c r="DP74" i="45"/>
  <c r="DQ74" i="45"/>
  <c r="W75" i="45"/>
  <c r="AP75" i="45" s="1"/>
  <c r="BI75" i="45" s="1"/>
  <c r="X75" i="45"/>
  <c r="AQ75" i="45" s="1"/>
  <c r="BJ75" i="45" s="1"/>
  <c r="AL75" i="45"/>
  <c r="CB75" i="45"/>
  <c r="CC75" i="45"/>
  <c r="CD75" i="45"/>
  <c r="CE75" i="45"/>
  <c r="CF75" i="45"/>
  <c r="CG75" i="45"/>
  <c r="CH75" i="45"/>
  <c r="CI75" i="45"/>
  <c r="CJ75" i="45"/>
  <c r="CK75" i="45"/>
  <c r="CL75" i="45"/>
  <c r="CM75" i="45"/>
  <c r="CN75" i="45"/>
  <c r="CO75" i="45"/>
  <c r="CQ75" i="45"/>
  <c r="CU75" i="45"/>
  <c r="CV75" i="45"/>
  <c r="DO75" i="45"/>
  <c r="DP75" i="45"/>
  <c r="DQ75" i="45"/>
  <c r="W76" i="45"/>
  <c r="AP76" i="45" s="1"/>
  <c r="BI76" i="45" s="1"/>
  <c r="X76" i="45"/>
  <c r="AQ76" i="45" s="1"/>
  <c r="BJ76" i="45" s="1"/>
  <c r="AL76" i="45"/>
  <c r="CB76" i="45"/>
  <c r="CC76" i="45"/>
  <c r="CQ76" i="45"/>
  <c r="CU76" i="45"/>
  <c r="CV76" i="45"/>
  <c r="DO76" i="45"/>
  <c r="DP76" i="45"/>
  <c r="DQ76" i="45"/>
  <c r="W77" i="45"/>
  <c r="AP77" i="45" s="1"/>
  <c r="BI77" i="45" s="1"/>
  <c r="X77" i="45"/>
  <c r="AL77" i="45"/>
  <c r="AQ77" i="45"/>
  <c r="BJ77" i="45" s="1"/>
  <c r="CB77" i="45"/>
  <c r="CU77" i="45" s="1"/>
  <c r="CC77" i="45"/>
  <c r="CQ77" i="45"/>
  <c r="CV77" i="45"/>
  <c r="DO77" i="45"/>
  <c r="DP77" i="45"/>
  <c r="DQ77" i="45"/>
  <c r="G78" i="45"/>
  <c r="CX78" i="45" s="1"/>
  <c r="EJ78" i="45" s="1"/>
  <c r="H78" i="45"/>
  <c r="CY78" i="45" s="1"/>
  <c r="I78" i="45"/>
  <c r="CZ78" i="45" s="1"/>
  <c r="J78" i="45"/>
  <c r="DA78" i="45" s="1"/>
  <c r="K78" i="45"/>
  <c r="L78" i="45"/>
  <c r="DC78" i="45" s="1"/>
  <c r="EO78" i="45" s="1"/>
  <c r="M78" i="45"/>
  <c r="DD78" i="45" s="1"/>
  <c r="EP78" i="45" s="1"/>
  <c r="N78" i="45"/>
  <c r="O78" i="45"/>
  <c r="DF78" i="45" s="1"/>
  <c r="ER78" i="45" s="1"/>
  <c r="P78" i="45"/>
  <c r="DG78" i="45" s="1"/>
  <c r="Q78" i="45"/>
  <c r="DH78" i="45" s="1"/>
  <c r="W78" i="45"/>
  <c r="AP78" i="45" s="1"/>
  <c r="BI78" i="45" s="1"/>
  <c r="X78" i="45"/>
  <c r="AQ78" i="45" s="1"/>
  <c r="BJ78" i="45" s="1"/>
  <c r="AH78" i="45"/>
  <c r="AJ78" i="45"/>
  <c r="AL78" i="45"/>
  <c r="CB78" i="45"/>
  <c r="CC78" i="45"/>
  <c r="CD78" i="45"/>
  <c r="CE78" i="45"/>
  <c r="CF78" i="45"/>
  <c r="CG78" i="45"/>
  <c r="CH78" i="45"/>
  <c r="CI78" i="45"/>
  <c r="DB78" i="45" s="1"/>
  <c r="EN78" i="45" s="1"/>
  <c r="CJ78" i="45"/>
  <c r="CK78" i="45"/>
  <c r="CL78" i="45"/>
  <c r="DE78" i="45" s="1"/>
  <c r="CM78" i="45"/>
  <c r="CN78" i="45"/>
  <c r="CO78" i="45"/>
  <c r="CQ78" i="45"/>
  <c r="CU78" i="45"/>
  <c r="CV78" i="45"/>
  <c r="DO78" i="45"/>
  <c r="DP78" i="45"/>
  <c r="DQ78" i="45"/>
  <c r="F79" i="45"/>
  <c r="G79" i="45"/>
  <c r="CX79" i="45" s="1"/>
  <c r="EJ79" i="45" s="1"/>
  <c r="H79" i="45"/>
  <c r="CY79" i="45" s="1"/>
  <c r="I79" i="45"/>
  <c r="J79" i="45"/>
  <c r="DA79" i="45" s="1"/>
  <c r="EM79" i="45" s="1"/>
  <c r="K79" i="45"/>
  <c r="L79" i="45"/>
  <c r="M79" i="45"/>
  <c r="DD79" i="45" s="1"/>
  <c r="EP79" i="45" s="1"/>
  <c r="N79" i="45"/>
  <c r="DE79" i="45" s="1"/>
  <c r="O79" i="45"/>
  <c r="DF79" i="45" s="1"/>
  <c r="ER79" i="45" s="1"/>
  <c r="P79" i="45"/>
  <c r="DG79" i="45" s="1"/>
  <c r="Q79" i="45"/>
  <c r="DH79" i="45" s="1"/>
  <c r="ET79" i="45" s="1"/>
  <c r="W79" i="45"/>
  <c r="X79" i="45"/>
  <c r="AH79" i="45"/>
  <c r="AJ79" i="45"/>
  <c r="AL79" i="45"/>
  <c r="AP79" i="45"/>
  <c r="BI79" i="45" s="1"/>
  <c r="AQ79" i="45"/>
  <c r="BJ79" i="45" s="1"/>
  <c r="CB79" i="45"/>
  <c r="CC79" i="45"/>
  <c r="CD79" i="45"/>
  <c r="CE79" i="45"/>
  <c r="CF79" i="45"/>
  <c r="CG79" i="45"/>
  <c r="CH79" i="45"/>
  <c r="CI79" i="45"/>
  <c r="CJ79" i="45"/>
  <c r="CK79" i="45"/>
  <c r="CL79" i="45"/>
  <c r="CM79" i="45"/>
  <c r="CN79" i="45"/>
  <c r="CO79" i="45"/>
  <c r="CQ79" i="45"/>
  <c r="CU79" i="45"/>
  <c r="CV79" i="45"/>
  <c r="CZ79" i="45"/>
  <c r="DC79" i="45"/>
  <c r="DO79" i="45"/>
  <c r="DP79" i="45"/>
  <c r="DQ79" i="45"/>
  <c r="W80" i="45"/>
  <c r="AP80" i="45" s="1"/>
  <c r="BI80" i="45" s="1"/>
  <c r="X80" i="45"/>
  <c r="AQ80" i="45" s="1"/>
  <c r="BJ80" i="45" s="1"/>
  <c r="AL80" i="45"/>
  <c r="CB80" i="45"/>
  <c r="CU80" i="45" s="1"/>
  <c r="CC80" i="45"/>
  <c r="CV80" i="45" s="1"/>
  <c r="CQ80" i="45"/>
  <c r="DO80" i="45"/>
  <c r="DP80" i="45"/>
  <c r="DQ80" i="45"/>
  <c r="W81" i="45"/>
  <c r="AP81" i="45" s="1"/>
  <c r="X81" i="45"/>
  <c r="AQ81" i="45" s="1"/>
  <c r="BJ81" i="45" s="1"/>
  <c r="AL81" i="45"/>
  <c r="BI81" i="45"/>
  <c r="CB81" i="45"/>
  <c r="CU81" i="45" s="1"/>
  <c r="CC81" i="45"/>
  <c r="CV81" i="45" s="1"/>
  <c r="CQ81" i="45"/>
  <c r="DO81" i="45"/>
  <c r="DP81" i="45"/>
  <c r="DQ81" i="45"/>
  <c r="W82" i="45"/>
  <c r="X82" i="45"/>
  <c r="AL82" i="45"/>
  <c r="AP82" i="45"/>
  <c r="BI82" i="45" s="1"/>
  <c r="AQ82" i="45"/>
  <c r="BJ82" i="45" s="1"/>
  <c r="CB82" i="45"/>
  <c r="CU82" i="45" s="1"/>
  <c r="CC82" i="45"/>
  <c r="CV82" i="45" s="1"/>
  <c r="CQ82" i="45"/>
  <c r="DO82" i="45"/>
  <c r="DP82" i="45"/>
  <c r="DQ82" i="45"/>
  <c r="W83" i="45"/>
  <c r="X83" i="45"/>
  <c r="AL83" i="45"/>
  <c r="AP83" i="45"/>
  <c r="BI83" i="45" s="1"/>
  <c r="AQ83" i="45"/>
  <c r="BJ83" i="45"/>
  <c r="CB83" i="45"/>
  <c r="CU83" i="45" s="1"/>
  <c r="CC83" i="45"/>
  <c r="CV83" i="45" s="1"/>
  <c r="CQ83" i="45"/>
  <c r="DO83" i="45"/>
  <c r="DP83" i="45"/>
  <c r="DQ83" i="45"/>
  <c r="G84" i="45"/>
  <c r="I84" i="45"/>
  <c r="CZ84" i="45" s="1"/>
  <c r="EL84" i="45" s="1"/>
  <c r="J84" i="45"/>
  <c r="K84" i="45"/>
  <c r="L84" i="45"/>
  <c r="DC84" i="45" s="1"/>
  <c r="M84" i="45"/>
  <c r="DD84" i="45" s="1"/>
  <c r="EP84" i="45" s="1"/>
  <c r="N84" i="45"/>
  <c r="O84" i="45"/>
  <c r="DF84" i="45" s="1"/>
  <c r="ER84" i="45" s="1"/>
  <c r="P84" i="45"/>
  <c r="DG84" i="45" s="1"/>
  <c r="Q84" i="45"/>
  <c r="DH84" i="45" s="1"/>
  <c r="ET84" i="45" s="1"/>
  <c r="W84" i="45"/>
  <c r="X84" i="45"/>
  <c r="AQ84" i="45" s="1"/>
  <c r="AL84" i="45"/>
  <c r="AP84" i="45"/>
  <c r="BI84" i="45"/>
  <c r="BJ84" i="45"/>
  <c r="CB84" i="45"/>
  <c r="CC84" i="45"/>
  <c r="CD84" i="45"/>
  <c r="CE84" i="45"/>
  <c r="CF84" i="45"/>
  <c r="CG84" i="45"/>
  <c r="CH84" i="45"/>
  <c r="DA84" i="45" s="1"/>
  <c r="CI84" i="45"/>
  <c r="DB84" i="45" s="1"/>
  <c r="CJ84" i="45"/>
  <c r="CK84" i="45"/>
  <c r="CL84" i="45"/>
  <c r="CM84" i="45"/>
  <c r="CN84" i="45"/>
  <c r="CO84" i="45"/>
  <c r="CQ84" i="45"/>
  <c r="CU84" i="45"/>
  <c r="CV84" i="45"/>
  <c r="CX84" i="45"/>
  <c r="EJ84" i="45" s="1"/>
  <c r="DO84" i="45"/>
  <c r="DP84" i="45"/>
  <c r="DQ84" i="45"/>
  <c r="W85" i="45"/>
  <c r="AP85" i="45" s="1"/>
  <c r="BI85" i="45" s="1"/>
  <c r="X85" i="45"/>
  <c r="AL85" i="45"/>
  <c r="AQ85" i="45"/>
  <c r="BJ85" i="45" s="1"/>
  <c r="CB85" i="45"/>
  <c r="CC85" i="45"/>
  <c r="CQ85" i="45"/>
  <c r="CU85" i="45"/>
  <c r="CV85" i="45"/>
  <c r="DO85" i="45"/>
  <c r="DP85" i="45"/>
  <c r="DQ85" i="45"/>
  <c r="W86" i="45"/>
  <c r="X86" i="45"/>
  <c r="AL86" i="45"/>
  <c r="AP86" i="45"/>
  <c r="BI86" i="45" s="1"/>
  <c r="AQ86" i="45"/>
  <c r="BJ86" i="45" s="1"/>
  <c r="CB86" i="45"/>
  <c r="CC86" i="45"/>
  <c r="CM86" i="45"/>
  <c r="CN86" i="45"/>
  <c r="CO86" i="45"/>
  <c r="CQ86" i="45"/>
  <c r="CU86" i="45"/>
  <c r="CV86" i="45"/>
  <c r="DO86" i="45"/>
  <c r="DP86" i="45"/>
  <c r="DQ86" i="45"/>
  <c r="W87" i="45"/>
  <c r="X87" i="45"/>
  <c r="AQ87" i="45" s="1"/>
  <c r="AL87" i="45"/>
  <c r="AP87" i="45"/>
  <c r="BI87" i="45"/>
  <c r="BJ87" i="45"/>
  <c r="CB87" i="45"/>
  <c r="CC87" i="45"/>
  <c r="CV87" i="45" s="1"/>
  <c r="CQ87" i="45"/>
  <c r="CU87" i="45"/>
  <c r="DO87" i="45"/>
  <c r="DP87" i="45"/>
  <c r="DQ87" i="45"/>
  <c r="W88" i="45"/>
  <c r="X88" i="45"/>
  <c r="AL88" i="45"/>
  <c r="AP88" i="45"/>
  <c r="BI88" i="45" s="1"/>
  <c r="AQ88" i="45"/>
  <c r="BJ88" i="45" s="1"/>
  <c r="CB88" i="45"/>
  <c r="CU88" i="45" s="1"/>
  <c r="CC88" i="45"/>
  <c r="CV88" i="45" s="1"/>
  <c r="CQ88" i="45"/>
  <c r="DO88" i="45"/>
  <c r="DP88" i="45"/>
  <c r="DQ88" i="45"/>
  <c r="W89" i="45"/>
  <c r="X89" i="45"/>
  <c r="AQ89" i="45" s="1"/>
  <c r="BJ89" i="45" s="1"/>
  <c r="AL89" i="45"/>
  <c r="AP89" i="45"/>
  <c r="BI89" i="45" s="1"/>
  <c r="CB89" i="45"/>
  <c r="CC89" i="45"/>
  <c r="CQ89" i="45"/>
  <c r="CU89" i="45"/>
  <c r="CV89" i="45"/>
  <c r="DO89" i="45"/>
  <c r="DP89" i="45"/>
  <c r="DQ89" i="45"/>
  <c r="W90" i="45"/>
  <c r="X90" i="45"/>
  <c r="AQ90" i="45" s="1"/>
  <c r="BJ90" i="45" s="1"/>
  <c r="AL90" i="45"/>
  <c r="AP90" i="45"/>
  <c r="BI90" i="45" s="1"/>
  <c r="CB90" i="45"/>
  <c r="CU90" i="45" s="1"/>
  <c r="CC90" i="45"/>
  <c r="CV90" i="45" s="1"/>
  <c r="CO90" i="45"/>
  <c r="CQ90" i="45"/>
  <c r="DO90" i="45"/>
  <c r="DP90" i="45"/>
  <c r="DQ90" i="45"/>
  <c r="W91" i="45"/>
  <c r="X91" i="45"/>
  <c r="AQ91" i="45" s="1"/>
  <c r="BJ91" i="45" s="1"/>
  <c r="AL91" i="45"/>
  <c r="AP91" i="45"/>
  <c r="BI91" i="45"/>
  <c r="CB91" i="45"/>
  <c r="CC91" i="45"/>
  <c r="CV91" i="45" s="1"/>
  <c r="CQ91" i="45"/>
  <c r="CU91" i="45"/>
  <c r="DO91" i="45"/>
  <c r="DP91" i="45"/>
  <c r="DQ91" i="45"/>
  <c r="I92" i="45"/>
  <c r="L92" i="45"/>
  <c r="M92" i="45"/>
  <c r="DD92" i="45" s="1"/>
  <c r="N92" i="45"/>
  <c r="DE92" i="45" s="1"/>
  <c r="O92" i="45"/>
  <c r="DF92" i="45" s="1"/>
  <c r="P92" i="45"/>
  <c r="Q92" i="45"/>
  <c r="W92" i="45"/>
  <c r="X92" i="45"/>
  <c r="AL92" i="45"/>
  <c r="AP92" i="45"/>
  <c r="BI92" i="45" s="1"/>
  <c r="AQ92" i="45"/>
  <c r="BJ92" i="45" s="1"/>
  <c r="CB92" i="45"/>
  <c r="CC92" i="45"/>
  <c r="CJ92" i="45"/>
  <c r="CK92" i="45"/>
  <c r="CL92" i="45"/>
  <c r="CM92" i="45"/>
  <c r="CN92" i="45"/>
  <c r="CO92" i="45"/>
  <c r="CQ92" i="45"/>
  <c r="CU92" i="45"/>
  <c r="CV92" i="45"/>
  <c r="DC92" i="45"/>
  <c r="EO92" i="45" s="1"/>
  <c r="DH92" i="45"/>
  <c r="DO92" i="45"/>
  <c r="DP92" i="45"/>
  <c r="DQ92" i="45"/>
  <c r="W93" i="45"/>
  <c r="AP93" i="45" s="1"/>
  <c r="BI93" i="45" s="1"/>
  <c r="X93" i="45"/>
  <c r="AQ93" i="45" s="1"/>
  <c r="BJ93" i="45" s="1"/>
  <c r="AL93" i="45"/>
  <c r="CB93" i="45"/>
  <c r="CU93" i="45" s="1"/>
  <c r="CC93" i="45"/>
  <c r="CV93" i="45" s="1"/>
  <c r="CQ93" i="45"/>
  <c r="DO93" i="45"/>
  <c r="DP93" i="45"/>
  <c r="DQ93" i="45"/>
  <c r="W94" i="45"/>
  <c r="AP94" i="45" s="1"/>
  <c r="BI94" i="45" s="1"/>
  <c r="X94" i="45"/>
  <c r="AQ94" i="45" s="1"/>
  <c r="BJ94" i="45" s="1"/>
  <c r="AG94" i="45"/>
  <c r="AH94" i="45" s="1"/>
  <c r="AI94" i="45" s="1"/>
  <c r="AJ94" i="45" s="1"/>
  <c r="AL94" i="45"/>
  <c r="CB94" i="45"/>
  <c r="CC94" i="45"/>
  <c r="CD94" i="45"/>
  <c r="CE94" i="45"/>
  <c r="CF94" i="45"/>
  <c r="CG94" i="45"/>
  <c r="CH94" i="45"/>
  <c r="CI94" i="45"/>
  <c r="CJ94" i="45"/>
  <c r="CK94" i="45"/>
  <c r="CL94" i="45"/>
  <c r="CM94" i="45"/>
  <c r="CN94" i="45"/>
  <c r="CO94" i="45"/>
  <c r="CQ94" i="45"/>
  <c r="CU94" i="45"/>
  <c r="CV94" i="45"/>
  <c r="DO94" i="45"/>
  <c r="DP94" i="45"/>
  <c r="DQ94" i="45"/>
  <c r="W95" i="45"/>
  <c r="X95" i="45"/>
  <c r="AG95" i="45"/>
  <c r="AH95" i="45" s="1"/>
  <c r="AI95" i="45" s="1"/>
  <c r="AJ95" i="45" s="1"/>
  <c r="AL95" i="45"/>
  <c r="AP95" i="45"/>
  <c r="AQ95" i="45"/>
  <c r="BJ95" i="45" s="1"/>
  <c r="BI95" i="45"/>
  <c r="CB95" i="45"/>
  <c r="CC95" i="45"/>
  <c r="CV95" i="45" s="1"/>
  <c r="CD95" i="45"/>
  <c r="CE95" i="45"/>
  <c r="CF95" i="45"/>
  <c r="CG95" i="45"/>
  <c r="CH95" i="45"/>
  <c r="CI95" i="45"/>
  <c r="CJ95" i="45"/>
  <c r="CK95" i="45"/>
  <c r="CL95" i="45"/>
  <c r="CM95" i="45"/>
  <c r="CN95" i="45"/>
  <c r="CO95" i="45"/>
  <c r="CQ95" i="45"/>
  <c r="CU95" i="45"/>
  <c r="DO95" i="45"/>
  <c r="DP95" i="45"/>
  <c r="DQ95" i="45"/>
  <c r="W96" i="45"/>
  <c r="AP96" i="45" s="1"/>
  <c r="BI96" i="45" s="1"/>
  <c r="X96" i="45"/>
  <c r="AQ96" i="45" s="1"/>
  <c r="BJ96" i="45" s="1"/>
  <c r="AL96" i="45"/>
  <c r="CB96" i="45"/>
  <c r="CU96" i="45" s="1"/>
  <c r="CC96" i="45"/>
  <c r="CD96" i="45"/>
  <c r="CE96" i="45"/>
  <c r="CF96" i="45"/>
  <c r="CG96" i="45"/>
  <c r="CH96" i="45"/>
  <c r="CI96" i="45"/>
  <c r="CJ96" i="45"/>
  <c r="CK96" i="45"/>
  <c r="CL96" i="45"/>
  <c r="CM96" i="45"/>
  <c r="CN96" i="45"/>
  <c r="CO96" i="45"/>
  <c r="CQ96" i="45"/>
  <c r="CV96" i="45"/>
  <c r="DO96" i="45"/>
  <c r="DP96" i="45"/>
  <c r="DQ96" i="45"/>
  <c r="W97" i="45"/>
  <c r="X97" i="45"/>
  <c r="AL97" i="45"/>
  <c r="AP97" i="45"/>
  <c r="BI97" i="45" s="1"/>
  <c r="AQ97" i="45"/>
  <c r="BJ97" i="45" s="1"/>
  <c r="CB97" i="45"/>
  <c r="CC97" i="45"/>
  <c r="CV97" i="45" s="1"/>
  <c r="CD97" i="45"/>
  <c r="CE97" i="45"/>
  <c r="CF97" i="45"/>
  <c r="CG97" i="45"/>
  <c r="CH97" i="45"/>
  <c r="CI97" i="45"/>
  <c r="CJ97" i="45"/>
  <c r="CK97" i="45"/>
  <c r="CL97" i="45"/>
  <c r="CM97" i="45"/>
  <c r="CN97" i="45"/>
  <c r="CO97" i="45"/>
  <c r="CQ97" i="45"/>
  <c r="CU97" i="45"/>
  <c r="DO97" i="45"/>
  <c r="DP97" i="45"/>
  <c r="DQ97" i="45"/>
  <c r="W98" i="45"/>
  <c r="AP98" i="45" s="1"/>
  <c r="BI98" i="45" s="1"/>
  <c r="X98" i="45"/>
  <c r="AQ98" i="45" s="1"/>
  <c r="BJ98" i="45" s="1"/>
  <c r="AL98" i="45"/>
  <c r="CB98" i="45"/>
  <c r="CC98" i="45"/>
  <c r="CV98" i="45" s="1"/>
  <c r="CD98" i="45"/>
  <c r="CE98" i="45"/>
  <c r="CF98" i="45"/>
  <c r="CG98" i="45"/>
  <c r="CH98" i="45"/>
  <c r="CI98" i="45"/>
  <c r="CJ98" i="45"/>
  <c r="CK98" i="45"/>
  <c r="CL98" i="45"/>
  <c r="CM98" i="45"/>
  <c r="CN98" i="45"/>
  <c r="CO98" i="45"/>
  <c r="CQ98" i="45"/>
  <c r="CU98" i="45"/>
  <c r="DO98" i="45"/>
  <c r="DP98" i="45"/>
  <c r="DQ98" i="45"/>
  <c r="CD99" i="45"/>
  <c r="CE99" i="45"/>
  <c r="CF99" i="45"/>
  <c r="CG99" i="45"/>
  <c r="CH99" i="45"/>
  <c r="CI99" i="45"/>
  <c r="CJ99" i="45"/>
  <c r="CK99" i="45"/>
  <c r="CL99" i="45"/>
  <c r="CM99" i="45"/>
  <c r="CN99" i="45"/>
  <c r="CO99" i="45"/>
  <c r="W99" i="45"/>
  <c r="X99" i="45"/>
  <c r="AQ99" i="45" s="1"/>
  <c r="BJ99" i="45" s="1"/>
  <c r="AL99" i="45"/>
  <c r="AP99" i="45"/>
  <c r="BI99" i="45" s="1"/>
  <c r="CB99" i="45"/>
  <c r="CU99" i="45" s="1"/>
  <c r="CC99" i="45"/>
  <c r="CV99" i="45" s="1"/>
  <c r="CQ99" i="45"/>
  <c r="DO99" i="45"/>
  <c r="DP99" i="45"/>
  <c r="DQ99" i="45"/>
  <c r="W100" i="45"/>
  <c r="X100" i="45"/>
  <c r="AG100" i="45"/>
  <c r="AH100" i="45"/>
  <c r="AI100" i="45"/>
  <c r="AJ100" i="45"/>
  <c r="AL100" i="45"/>
  <c r="AP100" i="45"/>
  <c r="BI100" i="45" s="1"/>
  <c r="AQ100" i="45"/>
  <c r="BJ100" i="45" s="1"/>
  <c r="CB100" i="45"/>
  <c r="CU100" i="45" s="1"/>
  <c r="CC100" i="45"/>
  <c r="CV100" i="45" s="1"/>
  <c r="CD100" i="45"/>
  <c r="CE100" i="45"/>
  <c r="CF100" i="45"/>
  <c r="CG100" i="45"/>
  <c r="CH100" i="45"/>
  <c r="CI100" i="45"/>
  <c r="CJ100" i="45"/>
  <c r="CK100" i="45"/>
  <c r="CL100" i="45"/>
  <c r="CM100" i="45"/>
  <c r="CN100" i="45"/>
  <c r="CO100" i="45"/>
  <c r="CQ100" i="45"/>
  <c r="DO100" i="45"/>
  <c r="DP100" i="45"/>
  <c r="DQ100" i="45"/>
  <c r="CD101" i="45"/>
  <c r="CE101" i="45"/>
  <c r="CF101" i="45"/>
  <c r="CG101" i="45"/>
  <c r="CH101" i="45"/>
  <c r="CI101" i="45"/>
  <c r="CJ101" i="45"/>
  <c r="CK101" i="45"/>
  <c r="CL101" i="45"/>
  <c r="CM101" i="45"/>
  <c r="CN101" i="45"/>
  <c r="CO101" i="45"/>
  <c r="W101" i="45"/>
  <c r="AP101" i="45" s="1"/>
  <c r="BI101" i="45" s="1"/>
  <c r="X101" i="45"/>
  <c r="AG101" i="45"/>
  <c r="AH101" i="45" s="1"/>
  <c r="AI101" i="45" s="1"/>
  <c r="AJ101" i="45" s="1"/>
  <c r="AL101" i="45"/>
  <c r="AQ101" i="45"/>
  <c r="BJ101" i="45" s="1"/>
  <c r="CB101" i="45"/>
  <c r="CU101" i="45" s="1"/>
  <c r="CC101" i="45"/>
  <c r="CV101" i="45" s="1"/>
  <c r="CQ101" i="45"/>
  <c r="DO101" i="45"/>
  <c r="DP101" i="45"/>
  <c r="DQ101" i="45"/>
  <c r="W102" i="45"/>
  <c r="AP102" i="45" s="1"/>
  <c r="BI102" i="45" s="1"/>
  <c r="X102" i="45"/>
  <c r="AQ102" i="45" s="1"/>
  <c r="BJ102" i="45" s="1"/>
  <c r="AL102" i="45"/>
  <c r="CB102" i="45"/>
  <c r="CU102" i="45" s="1"/>
  <c r="CC102" i="45"/>
  <c r="CV102" i="45" s="1"/>
  <c r="CQ102" i="45"/>
  <c r="DO102" i="45"/>
  <c r="DP102" i="45"/>
  <c r="DQ102" i="45"/>
  <c r="W103" i="45"/>
  <c r="X103" i="45"/>
  <c r="AL103" i="45"/>
  <c r="AP103" i="45"/>
  <c r="AQ103" i="45"/>
  <c r="BJ103" i="45" s="1"/>
  <c r="BI103" i="45"/>
  <c r="CB103" i="45"/>
  <c r="CU103" i="45" s="1"/>
  <c r="CC103" i="45"/>
  <c r="CV103" i="45" s="1"/>
  <c r="CQ103" i="45"/>
  <c r="DO103" i="45"/>
  <c r="DP103" i="45"/>
  <c r="DQ103" i="45"/>
  <c r="R104" i="45"/>
  <c r="W104" i="45"/>
  <c r="X104" i="45"/>
  <c r="AQ104" i="45" s="1"/>
  <c r="BJ104" i="45" s="1"/>
  <c r="AL104" i="45"/>
  <c r="AP104" i="45"/>
  <c r="BI104" i="45" s="1"/>
  <c r="CB104" i="45"/>
  <c r="CU104" i="45" s="1"/>
  <c r="CC104" i="45"/>
  <c r="CV104" i="45" s="1"/>
  <c r="CD104" i="45"/>
  <c r="CW104" i="45" s="1"/>
  <c r="CE104" i="45"/>
  <c r="CX104" i="45" s="1"/>
  <c r="CF104" i="45"/>
  <c r="CG104" i="45"/>
  <c r="CH104" i="45"/>
  <c r="DA104" i="45" s="1"/>
  <c r="CI104" i="45"/>
  <c r="CJ104" i="45"/>
  <c r="DC104" i="45" s="1"/>
  <c r="CK104" i="45"/>
  <c r="DD104" i="45" s="1"/>
  <c r="CL104" i="45"/>
  <c r="DE104" i="45" s="1"/>
  <c r="CM104" i="45"/>
  <c r="DF104" i="45" s="1"/>
  <c r="CN104" i="45"/>
  <c r="CO104" i="45"/>
  <c r="CQ104" i="45"/>
  <c r="CY104" i="45"/>
  <c r="CZ104" i="45"/>
  <c r="DB104" i="45"/>
  <c r="DG104" i="45"/>
  <c r="DH104" i="45"/>
  <c r="DO104" i="45"/>
  <c r="DP104" i="45"/>
  <c r="DQ104" i="45"/>
  <c r="W105" i="45"/>
  <c r="AP105" i="45" s="1"/>
  <c r="BI105" i="45" s="1"/>
  <c r="X105" i="45"/>
  <c r="AQ105" i="45" s="1"/>
  <c r="BJ105" i="45" s="1"/>
  <c r="AG105" i="45"/>
  <c r="AH105" i="45" s="1"/>
  <c r="AI105" i="45" s="1"/>
  <c r="AJ105" i="45" s="1"/>
  <c r="AL105" i="45"/>
  <c r="CB105" i="45"/>
  <c r="CC105" i="45"/>
  <c r="CD105" i="45"/>
  <c r="CE105" i="45"/>
  <c r="CF105" i="45"/>
  <c r="CG105" i="45"/>
  <c r="CH105" i="45"/>
  <c r="CI105" i="45"/>
  <c r="CJ105" i="45"/>
  <c r="CK105" i="45"/>
  <c r="CL105" i="45"/>
  <c r="CM105" i="45"/>
  <c r="CN105" i="45"/>
  <c r="CO105" i="45"/>
  <c r="CQ105" i="45"/>
  <c r="CU105" i="45"/>
  <c r="CV105" i="45"/>
  <c r="DO105" i="45"/>
  <c r="DP105" i="45"/>
  <c r="DQ105" i="45"/>
  <c r="EW105" i="45"/>
  <c r="EX105" i="45"/>
  <c r="W106" i="45"/>
  <c r="X106" i="45"/>
  <c r="AQ106" i="45" s="1"/>
  <c r="BJ106" i="45" s="1"/>
  <c r="AG106" i="45"/>
  <c r="AH106" i="45"/>
  <c r="AI106" i="45"/>
  <c r="AJ106" i="45" s="1"/>
  <c r="AL106" i="45"/>
  <c r="AP106" i="45"/>
  <c r="BI106" i="45" s="1"/>
  <c r="CB106" i="45"/>
  <c r="CU106" i="45" s="1"/>
  <c r="CC106" i="45"/>
  <c r="CV106" i="45" s="1"/>
  <c r="CD106" i="45"/>
  <c r="CE106" i="45"/>
  <c r="CF106" i="45"/>
  <c r="CG106" i="45"/>
  <c r="CH106" i="45"/>
  <c r="CI106" i="45"/>
  <c r="CJ106" i="45"/>
  <c r="CK106" i="45"/>
  <c r="CL106" i="45"/>
  <c r="CM106" i="45"/>
  <c r="CN106" i="45"/>
  <c r="CO106" i="45"/>
  <c r="CQ106" i="45"/>
  <c r="DO106" i="45"/>
  <c r="DP106" i="45"/>
  <c r="DQ106" i="45"/>
  <c r="EW106" i="45"/>
  <c r="EX106" i="45"/>
  <c r="W107" i="45"/>
  <c r="X107" i="45"/>
  <c r="AG107" i="45"/>
  <c r="AH107" i="45" s="1"/>
  <c r="AI107" i="45" s="1"/>
  <c r="AJ107" i="45" s="1"/>
  <c r="AL107" i="45"/>
  <c r="AP107" i="45"/>
  <c r="BI107" i="45" s="1"/>
  <c r="AQ107" i="45"/>
  <c r="BJ107" i="45" s="1"/>
  <c r="CB107" i="45"/>
  <c r="CC107" i="45"/>
  <c r="CV107" i="45" s="1"/>
  <c r="CD107" i="45"/>
  <c r="CE107" i="45"/>
  <c r="CF107" i="45"/>
  <c r="CG107" i="45"/>
  <c r="CH107" i="45"/>
  <c r="CI107" i="45"/>
  <c r="CJ107" i="45"/>
  <c r="CK107" i="45"/>
  <c r="CL107" i="45"/>
  <c r="CM107" i="45"/>
  <c r="CN107" i="45"/>
  <c r="CO107" i="45"/>
  <c r="CQ107" i="45"/>
  <c r="CU107" i="45"/>
  <c r="DO107" i="45"/>
  <c r="DP107" i="45"/>
  <c r="DQ107" i="45"/>
  <c r="EW107" i="45"/>
  <c r="EX107" i="45"/>
  <c r="W108" i="45"/>
  <c r="X108" i="45"/>
  <c r="AG108" i="45"/>
  <c r="AH108" i="45"/>
  <c r="AI108" i="45" s="1"/>
  <c r="AJ108" i="45" s="1"/>
  <c r="AL108" i="45"/>
  <c r="AP108" i="45"/>
  <c r="AQ108" i="45"/>
  <c r="BJ108" i="45" s="1"/>
  <c r="BI108" i="45"/>
  <c r="CB108" i="45"/>
  <c r="CU108" i="45" s="1"/>
  <c r="CC108" i="45"/>
  <c r="CD108" i="45"/>
  <c r="CE108" i="45"/>
  <c r="CF108" i="45"/>
  <c r="CG108" i="45"/>
  <c r="CH108" i="45"/>
  <c r="CI108" i="45"/>
  <c r="CJ108" i="45"/>
  <c r="CK108" i="45"/>
  <c r="CL108" i="45"/>
  <c r="CM108" i="45"/>
  <c r="CN108" i="45"/>
  <c r="CO108" i="45"/>
  <c r="CQ108" i="45"/>
  <c r="CV108" i="45"/>
  <c r="DO108" i="45"/>
  <c r="DP108" i="45"/>
  <c r="DQ108" i="45"/>
  <c r="EW108" i="45"/>
  <c r="EX108" i="45"/>
  <c r="EY108" i="45"/>
  <c r="FN108" i="45"/>
  <c r="FO108" i="45"/>
  <c r="FP108" i="45"/>
  <c r="W109" i="45"/>
  <c r="X109" i="45"/>
  <c r="AQ109" i="45" s="1"/>
  <c r="BJ109" i="45" s="1"/>
  <c r="AL109" i="45"/>
  <c r="AP109" i="45"/>
  <c r="BI109" i="45" s="1"/>
  <c r="CB109" i="45"/>
  <c r="CC109" i="45"/>
  <c r="CV109" i="45" s="1"/>
  <c r="CD109" i="45"/>
  <c r="CE109" i="45"/>
  <c r="CF109" i="45"/>
  <c r="CG109" i="45"/>
  <c r="CH109" i="45"/>
  <c r="CI109" i="45"/>
  <c r="CJ109" i="45"/>
  <c r="CK109" i="45"/>
  <c r="CL109" i="45"/>
  <c r="CM109" i="45"/>
  <c r="CN109" i="45"/>
  <c r="CO109" i="45"/>
  <c r="CQ109" i="45"/>
  <c r="CU109" i="45"/>
  <c r="DO109" i="45"/>
  <c r="DP109" i="45"/>
  <c r="DQ109" i="45"/>
  <c r="EW109" i="45"/>
  <c r="EX109" i="45"/>
  <c r="EY109" i="45"/>
  <c r="FN109" i="45"/>
  <c r="FO109" i="45"/>
  <c r="FP109" i="45"/>
  <c r="W110" i="45"/>
  <c r="X110" i="45"/>
  <c r="AQ110" i="45" s="1"/>
  <c r="BJ110" i="45" s="1"/>
  <c r="AL110" i="45"/>
  <c r="AP110" i="45"/>
  <c r="BI110" i="45" s="1"/>
  <c r="CB110" i="45"/>
  <c r="CU110" i="45" s="1"/>
  <c r="CC110" i="45"/>
  <c r="CD110" i="45"/>
  <c r="CE110" i="45"/>
  <c r="CF110" i="45"/>
  <c r="CG110" i="45"/>
  <c r="CH110" i="45"/>
  <c r="CI110" i="45"/>
  <c r="CJ110" i="45"/>
  <c r="CK110" i="45"/>
  <c r="CL110" i="45"/>
  <c r="CM110" i="45"/>
  <c r="CN110" i="45"/>
  <c r="CO110" i="45"/>
  <c r="CQ110" i="45"/>
  <c r="CV110" i="45"/>
  <c r="DO110" i="45"/>
  <c r="DP110" i="45"/>
  <c r="DQ110" i="45"/>
  <c r="EW110" i="45"/>
  <c r="EX110" i="45"/>
  <c r="EY110" i="45"/>
  <c r="FN110" i="45"/>
  <c r="FO110" i="45"/>
  <c r="FP110" i="45"/>
  <c r="W111" i="45"/>
  <c r="X111" i="45"/>
  <c r="AL111" i="45"/>
  <c r="AP111" i="45"/>
  <c r="BI111" i="45" s="1"/>
  <c r="AQ111" i="45"/>
  <c r="BJ111" i="45" s="1"/>
  <c r="CB111" i="45"/>
  <c r="CU111" i="45" s="1"/>
  <c r="CC111" i="45"/>
  <c r="CD111" i="45"/>
  <c r="CE111" i="45"/>
  <c r="CF111" i="45"/>
  <c r="CG111" i="45"/>
  <c r="CH111" i="45"/>
  <c r="CI111" i="45"/>
  <c r="CJ111" i="45"/>
  <c r="CK111" i="45"/>
  <c r="CL111" i="45"/>
  <c r="CM111" i="45"/>
  <c r="CN111" i="45"/>
  <c r="CO111" i="45"/>
  <c r="CQ111" i="45"/>
  <c r="CV111" i="45"/>
  <c r="DO111" i="45"/>
  <c r="DP111" i="45"/>
  <c r="DQ111" i="45"/>
  <c r="EY111" i="45" s="1"/>
  <c r="EW111" i="45"/>
  <c r="EX111" i="45"/>
  <c r="FN111" i="45"/>
  <c r="FO111" i="45"/>
  <c r="FP111" i="45"/>
  <c r="R112" i="45"/>
  <c r="W112" i="45"/>
  <c r="X112" i="45"/>
  <c r="AL112" i="45"/>
  <c r="CB112" i="45"/>
  <c r="CU112" i="45" s="1"/>
  <c r="CC112" i="45"/>
  <c r="CV112" i="45" s="1"/>
  <c r="CD112" i="45"/>
  <c r="CE112" i="45"/>
  <c r="CF112" i="45"/>
  <c r="CY112" i="45" s="1"/>
  <c r="CG112" i="45"/>
  <c r="CH112" i="45"/>
  <c r="CI112" i="45"/>
  <c r="DB112" i="45" s="1"/>
  <c r="CJ112" i="45"/>
  <c r="DC112" i="45" s="1"/>
  <c r="CK112" i="45"/>
  <c r="DD112" i="45" s="1"/>
  <c r="CL112" i="45"/>
  <c r="CM112" i="45"/>
  <c r="CN112" i="45"/>
  <c r="DG112" i="45" s="1"/>
  <c r="CO112" i="45"/>
  <c r="CQ112" i="45"/>
  <c r="CW112" i="45"/>
  <c r="DI112" i="45" s="1"/>
  <c r="CX112" i="45"/>
  <c r="CZ112" i="45"/>
  <c r="DA112" i="45"/>
  <c r="DE112" i="45"/>
  <c r="DF112" i="45"/>
  <c r="DH112" i="45"/>
  <c r="DO112" i="45"/>
  <c r="DP112" i="45"/>
  <c r="DQ112" i="45"/>
  <c r="EW112" i="45"/>
  <c r="EX112" i="45"/>
  <c r="EY112" i="45"/>
  <c r="FN112" i="45"/>
  <c r="FO112" i="45"/>
  <c r="FP112" i="45"/>
  <c r="W113" i="45"/>
  <c r="AP113" i="45" s="1"/>
  <c r="BI113" i="45" s="1"/>
  <c r="X113" i="45"/>
  <c r="AQ113" i="45"/>
  <c r="BJ113" i="45"/>
  <c r="CB113" i="45"/>
  <c r="CC113" i="45"/>
  <c r="CD113" i="45"/>
  <c r="CE113" i="45"/>
  <c r="CF113" i="45"/>
  <c r="CG113" i="45"/>
  <c r="CH113" i="45"/>
  <c r="CI113" i="45"/>
  <c r="CJ113" i="45"/>
  <c r="CK113" i="45"/>
  <c r="CL113" i="45"/>
  <c r="CM113" i="45"/>
  <c r="CN113" i="45"/>
  <c r="CO113" i="45"/>
  <c r="CQ113" i="45"/>
  <c r="CU113" i="45"/>
  <c r="CV113" i="45"/>
  <c r="DO113" i="45"/>
  <c r="DP113" i="45"/>
  <c r="DQ113" i="45"/>
  <c r="EY113" i="45" s="1"/>
  <c r="EW113" i="45"/>
  <c r="EX113" i="45"/>
  <c r="FN113" i="45"/>
  <c r="FO113" i="45"/>
  <c r="FP113" i="45"/>
  <c r="F114" i="45"/>
  <c r="G114" i="45"/>
  <c r="H114" i="45"/>
  <c r="I114" i="45"/>
  <c r="CZ114" i="45" s="1"/>
  <c r="J114" i="45"/>
  <c r="DA114" i="45" s="1"/>
  <c r="K114" i="45"/>
  <c r="DB114" i="45" s="1"/>
  <c r="L114" i="45"/>
  <c r="N114" i="45"/>
  <c r="DE114" i="45" s="1"/>
  <c r="O114" i="45"/>
  <c r="Q114" i="45"/>
  <c r="DH114" i="45" s="1"/>
  <c r="W114" i="45"/>
  <c r="X114" i="45"/>
  <c r="AP114" i="45"/>
  <c r="BI114" i="45" s="1"/>
  <c r="AQ114" i="45"/>
  <c r="BJ114" i="45" s="1"/>
  <c r="CB114" i="45"/>
  <c r="CU114" i="45" s="1"/>
  <c r="CC114" i="45"/>
  <c r="CV114" i="45" s="1"/>
  <c r="CD114" i="45"/>
  <c r="CE114" i="45"/>
  <c r="CF114" i="45"/>
  <c r="CG114" i="45"/>
  <c r="CH114" i="45"/>
  <c r="CI114" i="45"/>
  <c r="CJ114" i="45"/>
  <c r="CK114" i="45"/>
  <c r="CL114" i="45"/>
  <c r="CM114" i="45"/>
  <c r="CN114" i="45"/>
  <c r="CO114" i="45"/>
  <c r="CQ114" i="45"/>
  <c r="CW114" i="45"/>
  <c r="CY114" i="45"/>
  <c r="DO114" i="45"/>
  <c r="DP114" i="45"/>
  <c r="DQ114" i="45"/>
  <c r="EW114" i="45"/>
  <c r="EX114" i="45"/>
  <c r="EY114" i="45"/>
  <c r="FN114" i="45"/>
  <c r="FO114" i="45"/>
  <c r="FP114" i="45"/>
  <c r="F115" i="45"/>
  <c r="G115" i="45"/>
  <c r="H115" i="45"/>
  <c r="CY115" i="45" s="1"/>
  <c r="I115" i="45"/>
  <c r="CZ115" i="45" s="1"/>
  <c r="J115" i="45"/>
  <c r="K115" i="45"/>
  <c r="L115" i="45"/>
  <c r="M115" i="45"/>
  <c r="P115" i="45"/>
  <c r="DG115" i="45" s="1"/>
  <c r="W115" i="45"/>
  <c r="AP115" i="45" s="1"/>
  <c r="X115" i="45"/>
  <c r="AQ115" i="45" s="1"/>
  <c r="BI115" i="45"/>
  <c r="BJ115" i="45"/>
  <c r="CB115" i="45"/>
  <c r="CC115" i="45"/>
  <c r="CD115" i="45"/>
  <c r="CW115" i="45" s="1"/>
  <c r="CE115" i="45"/>
  <c r="CF115" i="45"/>
  <c r="CG115" i="45"/>
  <c r="CH115" i="45"/>
  <c r="CI115" i="45"/>
  <c r="CJ115" i="45"/>
  <c r="CK115" i="45"/>
  <c r="CL115" i="45"/>
  <c r="CM115" i="45"/>
  <c r="CN115" i="45"/>
  <c r="CO115" i="45"/>
  <c r="CQ115" i="45"/>
  <c r="CU115" i="45"/>
  <c r="CV115" i="45"/>
  <c r="CX115" i="45"/>
  <c r="DD115" i="45"/>
  <c r="DO115" i="45"/>
  <c r="DP115" i="45"/>
  <c r="DQ115" i="45"/>
  <c r="EW115" i="45"/>
  <c r="EX115" i="45"/>
  <c r="EY115" i="45"/>
  <c r="FN115" i="45"/>
  <c r="FO115" i="45"/>
  <c r="FP115" i="45"/>
  <c r="F116" i="45"/>
  <c r="G116" i="45"/>
  <c r="CX116" i="45" s="1"/>
  <c r="H116" i="45"/>
  <c r="I116" i="45"/>
  <c r="CZ116" i="45" s="1"/>
  <c r="J116" i="45"/>
  <c r="K116" i="45"/>
  <c r="DB116" i="45" s="1"/>
  <c r="M116" i="45"/>
  <c r="DD116" i="45" s="1"/>
  <c r="N116" i="45"/>
  <c r="DE116" i="45" s="1"/>
  <c r="P116" i="45"/>
  <c r="W116" i="45"/>
  <c r="X116" i="45"/>
  <c r="AP116" i="45"/>
  <c r="AQ116" i="45"/>
  <c r="BJ116" i="45" s="1"/>
  <c r="BI116" i="45"/>
  <c r="CB116" i="45"/>
  <c r="CU116" i="45" s="1"/>
  <c r="CC116" i="45"/>
  <c r="CD116" i="45"/>
  <c r="CE116" i="45"/>
  <c r="CF116" i="45"/>
  <c r="CG116" i="45"/>
  <c r="CH116" i="45"/>
  <c r="DA116" i="45" s="1"/>
  <c r="CI116" i="45"/>
  <c r="CJ116" i="45"/>
  <c r="CK116" i="45"/>
  <c r="CL116" i="45"/>
  <c r="CM116" i="45"/>
  <c r="CN116" i="45"/>
  <c r="CO116" i="45"/>
  <c r="CQ116" i="45"/>
  <c r="CV116" i="45"/>
  <c r="DO116" i="45"/>
  <c r="DP116" i="45"/>
  <c r="DQ116" i="45"/>
  <c r="EW116" i="45"/>
  <c r="EX116" i="45"/>
  <c r="EY116" i="45"/>
  <c r="FN116" i="45"/>
  <c r="FO116" i="45"/>
  <c r="FP116" i="45"/>
  <c r="F117" i="45"/>
  <c r="G117" i="45"/>
  <c r="H117" i="45"/>
  <c r="CY117" i="45" s="1"/>
  <c r="I117" i="45"/>
  <c r="J117" i="45"/>
  <c r="K117" i="45"/>
  <c r="L117" i="45"/>
  <c r="DC117" i="45" s="1"/>
  <c r="M117" i="45"/>
  <c r="DD117" i="45" s="1"/>
  <c r="N117" i="45"/>
  <c r="O117" i="45"/>
  <c r="P117" i="45"/>
  <c r="Q117" i="45"/>
  <c r="W117" i="45"/>
  <c r="X117" i="45"/>
  <c r="AQ117" i="45" s="1"/>
  <c r="BJ117" i="45" s="1"/>
  <c r="AL117" i="45"/>
  <c r="AP117" i="45"/>
  <c r="BI117" i="45" s="1"/>
  <c r="CB117" i="45"/>
  <c r="CC117" i="45"/>
  <c r="CV117" i="45" s="1"/>
  <c r="CD117" i="45"/>
  <c r="CW117" i="45" s="1"/>
  <c r="CE117" i="45"/>
  <c r="CF117" i="45"/>
  <c r="CG117" i="45"/>
  <c r="CH117" i="45"/>
  <c r="CI117" i="45"/>
  <c r="CJ117" i="45"/>
  <c r="CK117" i="45"/>
  <c r="CL117" i="45"/>
  <c r="DE117" i="45" s="1"/>
  <c r="CM117" i="45"/>
  <c r="DF117" i="45" s="1"/>
  <c r="CN117" i="45"/>
  <c r="CO117" i="45"/>
  <c r="CQ117" i="45"/>
  <c r="CU117" i="45"/>
  <c r="CX117" i="45"/>
  <c r="DA117" i="45"/>
  <c r="DB117" i="45"/>
  <c r="DO117" i="45"/>
  <c r="DP117" i="45"/>
  <c r="DQ117" i="45"/>
  <c r="EW117" i="45"/>
  <c r="EX117" i="45"/>
  <c r="EY117" i="45"/>
  <c r="FN117" i="45"/>
  <c r="FO117" i="45"/>
  <c r="FP117" i="45"/>
  <c r="R118" i="45"/>
  <c r="W118" i="45"/>
  <c r="X118" i="45"/>
  <c r="AL118" i="45"/>
  <c r="AP118" i="45"/>
  <c r="AQ118" i="45"/>
  <c r="BI118" i="45"/>
  <c r="BJ118" i="45"/>
  <c r="CB118" i="45"/>
  <c r="CC118" i="45"/>
  <c r="CD118" i="45"/>
  <c r="CE118" i="45"/>
  <c r="CF118" i="45"/>
  <c r="CG118" i="45"/>
  <c r="CH118" i="45"/>
  <c r="CI118" i="45"/>
  <c r="CJ118" i="45"/>
  <c r="CK118" i="45"/>
  <c r="CL118" i="45"/>
  <c r="CM118" i="45"/>
  <c r="CN118" i="45"/>
  <c r="CO118" i="45"/>
  <c r="CQ118" i="45"/>
  <c r="CU118" i="45"/>
  <c r="CV118" i="45"/>
  <c r="DI118" i="45"/>
  <c r="CB119" i="45"/>
  <c r="CD121" i="45"/>
  <c r="CE121" i="45"/>
  <c r="CF121" i="45"/>
  <c r="CG121" i="45"/>
  <c r="CH121" i="45"/>
  <c r="CI121" i="45"/>
  <c r="CJ121" i="45"/>
  <c r="CK121" i="45"/>
  <c r="CL121" i="45"/>
  <c r="CM121" i="45"/>
  <c r="CN121" i="45"/>
  <c r="CO121" i="45"/>
  <c r="R126" i="45"/>
  <c r="EY122" i="45"/>
  <c r="FP122" i="45"/>
  <c r="FP123" i="45"/>
  <c r="FP124" i="45"/>
  <c r="FP125" i="45"/>
  <c r="F126" i="45"/>
  <c r="G126" i="45"/>
  <c r="H126" i="45"/>
  <c r="I126" i="45"/>
  <c r="J126" i="45"/>
  <c r="K126" i="45"/>
  <c r="L126" i="45"/>
  <c r="M126" i="45"/>
  <c r="N126" i="45"/>
  <c r="O126" i="45"/>
  <c r="P126" i="45"/>
  <c r="Q126" i="45"/>
  <c r="FP126" i="45"/>
  <c r="FP129" i="45"/>
  <c r="FP130" i="45"/>
  <c r="G2" i="43"/>
  <c r="H2" i="43" s="1"/>
  <c r="G3" i="43"/>
  <c r="H3" i="43"/>
  <c r="I3" i="43"/>
  <c r="J3" i="43" s="1"/>
  <c r="K3" i="43" s="1"/>
  <c r="L3" i="43" s="1"/>
  <c r="M3" i="43" s="1"/>
  <c r="N3" i="43" s="1"/>
  <c r="O3" i="43" s="1"/>
  <c r="P3" i="43" s="1"/>
  <c r="Q3" i="43" s="1"/>
  <c r="B5" i="43"/>
  <c r="F5" i="43"/>
  <c r="G5" i="43"/>
  <c r="S5" i="43"/>
  <c r="B6" i="43"/>
  <c r="F6" i="43"/>
  <c r="G6" i="43"/>
  <c r="S6" i="43"/>
  <c r="B7" i="43"/>
  <c r="F7" i="43"/>
  <c r="G7" i="43"/>
  <c r="S7" i="43"/>
  <c r="B8" i="43"/>
  <c r="F8" i="43"/>
  <c r="S8" i="43"/>
  <c r="B9" i="43"/>
  <c r="F9" i="43"/>
  <c r="G9" i="43"/>
  <c r="S9" i="43"/>
  <c r="B10" i="43"/>
  <c r="F10" i="43"/>
  <c r="G10" i="43"/>
  <c r="S10" i="43"/>
  <c r="B11" i="43"/>
  <c r="F11" i="43"/>
  <c r="G11" i="43"/>
  <c r="S11" i="43"/>
  <c r="B12" i="43"/>
  <c r="F12" i="43"/>
  <c r="S12" i="43"/>
  <c r="B13" i="43"/>
  <c r="F13" i="43"/>
  <c r="G13" i="43"/>
  <c r="S13" i="43"/>
  <c r="B14" i="43"/>
  <c r="F14" i="43"/>
  <c r="G14" i="43"/>
  <c r="S14" i="43"/>
  <c r="B15" i="43"/>
  <c r="F15" i="43"/>
  <c r="G15" i="43"/>
  <c r="S15" i="43"/>
  <c r="B16" i="43"/>
  <c r="F16" i="43"/>
  <c r="S16" i="43"/>
  <c r="B17" i="43"/>
  <c r="F17" i="43"/>
  <c r="G17" i="43"/>
  <c r="S17" i="43"/>
  <c r="B18" i="43"/>
  <c r="F18" i="43"/>
  <c r="G18" i="43"/>
  <c r="S18" i="43"/>
  <c r="B19" i="43"/>
  <c r="F19" i="43"/>
  <c r="G19" i="43"/>
  <c r="S19" i="43"/>
  <c r="B20" i="43"/>
  <c r="F20" i="43"/>
  <c r="G20" i="43"/>
  <c r="S20" i="43"/>
  <c r="B21" i="43"/>
  <c r="F21" i="43"/>
  <c r="G21" i="43"/>
  <c r="S21" i="43"/>
  <c r="B22" i="43"/>
  <c r="F22" i="43"/>
  <c r="G22" i="43"/>
  <c r="S22" i="43"/>
  <c r="B23" i="43"/>
  <c r="F23" i="43"/>
  <c r="G23" i="43"/>
  <c r="S23" i="43"/>
  <c r="B24" i="43"/>
  <c r="F24" i="43"/>
  <c r="G24" i="43"/>
  <c r="S24" i="43"/>
  <c r="B25" i="43"/>
  <c r="F25" i="43"/>
  <c r="G25" i="43"/>
  <c r="S25" i="43"/>
  <c r="B26" i="43"/>
  <c r="F26" i="43"/>
  <c r="G26" i="43"/>
  <c r="S26" i="43"/>
  <c r="B27" i="43"/>
  <c r="F27" i="43"/>
  <c r="G27" i="43"/>
  <c r="S27" i="43"/>
  <c r="F28" i="43"/>
  <c r="G28" i="43"/>
  <c r="S28" i="43"/>
  <c r="F29" i="43"/>
  <c r="G29" i="43"/>
  <c r="S29" i="43"/>
  <c r="F30" i="43"/>
  <c r="G30" i="43"/>
  <c r="S30" i="43"/>
  <c r="F31" i="43"/>
  <c r="G31" i="43"/>
  <c r="S31" i="43"/>
  <c r="F32" i="43"/>
  <c r="G32" i="43"/>
  <c r="S32" i="43"/>
  <c r="F33" i="43"/>
  <c r="G33" i="43"/>
  <c r="S33" i="43"/>
  <c r="F34" i="43"/>
  <c r="G34" i="43"/>
  <c r="S34" i="43"/>
  <c r="F35" i="43"/>
  <c r="G35" i="43"/>
  <c r="S35" i="43"/>
  <c r="F36" i="43"/>
  <c r="G36" i="43"/>
  <c r="S36" i="43"/>
  <c r="F37" i="43"/>
  <c r="G37" i="43"/>
  <c r="S37" i="43"/>
  <c r="F38" i="43"/>
  <c r="G38" i="43"/>
  <c r="S38" i="43"/>
  <c r="F39" i="43"/>
  <c r="G39" i="43"/>
  <c r="S39" i="43"/>
  <c r="B40" i="43"/>
  <c r="F40" i="43"/>
  <c r="G40" i="43"/>
  <c r="S40" i="43"/>
  <c r="B41" i="43"/>
  <c r="F41" i="43"/>
  <c r="G41" i="43"/>
  <c r="S41" i="43"/>
  <c r="B42" i="43"/>
  <c r="F42" i="43"/>
  <c r="G42" i="43"/>
  <c r="S42" i="43"/>
  <c r="B43" i="43"/>
  <c r="F43" i="43"/>
  <c r="G43" i="43"/>
  <c r="S43" i="43"/>
  <c r="B44" i="43"/>
  <c r="F44" i="43"/>
  <c r="G44" i="43"/>
  <c r="S44" i="43"/>
  <c r="B45" i="43"/>
  <c r="F45" i="43"/>
  <c r="G45" i="43"/>
  <c r="S45" i="43"/>
  <c r="B46" i="43"/>
  <c r="F46" i="43"/>
  <c r="G46" i="43"/>
  <c r="S46" i="43"/>
  <c r="B47" i="43"/>
  <c r="F47" i="43"/>
  <c r="G47" i="43"/>
  <c r="S47" i="43"/>
  <c r="B48" i="43"/>
  <c r="F48" i="43"/>
  <c r="G48" i="43"/>
  <c r="S48" i="43"/>
  <c r="B49" i="43"/>
  <c r="F49" i="43"/>
  <c r="G49" i="43"/>
  <c r="S49" i="43"/>
  <c r="F50" i="43"/>
  <c r="G50" i="43"/>
  <c r="S50" i="43"/>
  <c r="F51" i="43"/>
  <c r="G51" i="43"/>
  <c r="S51" i="43"/>
  <c r="F52" i="43"/>
  <c r="G52" i="43"/>
  <c r="S52" i="43"/>
  <c r="F53" i="43"/>
  <c r="G53" i="43"/>
  <c r="S53" i="43"/>
  <c r="F54" i="43"/>
  <c r="G54" i="43"/>
  <c r="S54" i="43"/>
  <c r="B55" i="43"/>
  <c r="F55" i="43"/>
  <c r="G55" i="43"/>
  <c r="S55" i="43"/>
  <c r="B56" i="43"/>
  <c r="F56" i="43"/>
  <c r="G56" i="43"/>
  <c r="S56" i="43"/>
  <c r="B57" i="43"/>
  <c r="F57" i="43"/>
  <c r="G57" i="43"/>
  <c r="S57" i="43"/>
  <c r="B58" i="43"/>
  <c r="F58" i="43"/>
  <c r="G58" i="43"/>
  <c r="S58" i="43"/>
  <c r="B59" i="43"/>
  <c r="F59" i="43"/>
  <c r="G59" i="43"/>
  <c r="S59" i="43"/>
  <c r="B60" i="43"/>
  <c r="F60" i="43"/>
  <c r="G60" i="43"/>
  <c r="S60" i="43"/>
  <c r="B61" i="43"/>
  <c r="F61" i="43"/>
  <c r="G61" i="43"/>
  <c r="S61" i="43"/>
  <c r="B62" i="43"/>
  <c r="F62" i="43"/>
  <c r="G62" i="43"/>
  <c r="S62" i="43"/>
  <c r="B63" i="43"/>
  <c r="F63" i="43"/>
  <c r="G63" i="43"/>
  <c r="S63" i="43"/>
  <c r="B64" i="43"/>
  <c r="F64" i="43"/>
  <c r="G64" i="43"/>
  <c r="S64" i="43"/>
  <c r="B65" i="43"/>
  <c r="F65" i="43"/>
  <c r="G65" i="43"/>
  <c r="S65" i="43"/>
  <c r="B66" i="43"/>
  <c r="F66" i="43"/>
  <c r="G66" i="43"/>
  <c r="S66" i="43"/>
  <c r="B67" i="43"/>
  <c r="F67" i="43"/>
  <c r="G67" i="43"/>
  <c r="S67" i="43"/>
  <c r="B68" i="43"/>
  <c r="F68" i="43"/>
  <c r="G68" i="43"/>
  <c r="S68" i="43"/>
  <c r="B69" i="43"/>
  <c r="F69" i="43"/>
  <c r="G69" i="43"/>
  <c r="S69" i="43"/>
  <c r="F70" i="43"/>
  <c r="G70" i="43"/>
  <c r="S70" i="43"/>
  <c r="B71" i="43"/>
  <c r="F71" i="43"/>
  <c r="G71" i="43"/>
  <c r="S71" i="43"/>
  <c r="B72" i="43"/>
  <c r="F72" i="43"/>
  <c r="G72" i="43"/>
  <c r="S72" i="43"/>
  <c r="B73" i="43"/>
  <c r="F73" i="43"/>
  <c r="G73" i="43"/>
  <c r="S73" i="43"/>
  <c r="F74" i="43"/>
  <c r="G74" i="43"/>
  <c r="S74" i="43"/>
  <c r="F75" i="43"/>
  <c r="G75" i="43"/>
  <c r="S75" i="43"/>
  <c r="F76" i="43"/>
  <c r="G76" i="43"/>
  <c r="S76" i="43"/>
  <c r="F77" i="43"/>
  <c r="G77" i="43"/>
  <c r="S77" i="43"/>
  <c r="F78" i="43"/>
  <c r="G78" i="43"/>
  <c r="S78" i="43"/>
  <c r="F79" i="43"/>
  <c r="G79" i="43"/>
  <c r="S79" i="43"/>
  <c r="F80" i="43"/>
  <c r="G80" i="43"/>
  <c r="S80" i="43"/>
  <c r="F81" i="43"/>
  <c r="G81" i="43"/>
  <c r="S81" i="43"/>
  <c r="F82" i="43"/>
  <c r="G82" i="43"/>
  <c r="S82" i="43"/>
  <c r="F83" i="43"/>
  <c r="G83" i="43"/>
  <c r="S83" i="43"/>
  <c r="F84" i="43"/>
  <c r="G84" i="43"/>
  <c r="S84" i="43"/>
  <c r="F85" i="43"/>
  <c r="G85" i="43"/>
  <c r="S85" i="43"/>
  <c r="F86" i="43"/>
  <c r="G86" i="43"/>
  <c r="S86" i="43"/>
  <c r="F88" i="43"/>
  <c r="F89" i="43"/>
  <c r="C2" i="44"/>
  <c r="L2" i="44" s="1"/>
  <c r="K2" i="44"/>
  <c r="B3" i="44"/>
  <c r="C3" i="44"/>
  <c r="L3" i="44" s="1"/>
  <c r="D3" i="44"/>
  <c r="E3" i="44"/>
  <c r="K3" i="44"/>
  <c r="B4" i="44"/>
  <c r="C4" i="44"/>
  <c r="L4" i="44" s="1"/>
  <c r="D4" i="44"/>
  <c r="D5" i="44" s="1"/>
  <c r="E4" i="44"/>
  <c r="E5" i="44" s="1"/>
  <c r="E6" i="44" s="1"/>
  <c r="E7" i="44" s="1"/>
  <c r="E8" i="44" s="1"/>
  <c r="E9" i="44" s="1"/>
  <c r="E10" i="44" s="1"/>
  <c r="E11" i="44" s="1"/>
  <c r="K4" i="44"/>
  <c r="B5" i="44"/>
  <c r="K5" i="44" s="1"/>
  <c r="C5" i="44"/>
  <c r="L5" i="44"/>
  <c r="B6" i="44"/>
  <c r="K6" i="44" s="1"/>
  <c r="C6" i="44"/>
  <c r="L6" i="44" s="1"/>
  <c r="D6" i="44"/>
  <c r="D7" i="44" s="1"/>
  <c r="D8" i="44" s="1"/>
  <c r="D9" i="44" s="1"/>
  <c r="D10" i="44" s="1"/>
  <c r="D11" i="44" s="1"/>
  <c r="D12" i="44" s="1"/>
  <c r="D13" i="44" s="1"/>
  <c r="D14" i="44" s="1"/>
  <c r="D15" i="44" s="1"/>
  <c r="D16" i="44" s="1"/>
  <c r="D17" i="44" s="1"/>
  <c r="D18" i="44" s="1"/>
  <c r="D19" i="44" s="1"/>
  <c r="D20" i="44" s="1"/>
  <c r="D21" i="44" s="1"/>
  <c r="D22" i="44" s="1"/>
  <c r="D23" i="44" s="1"/>
  <c r="D24" i="44" s="1"/>
  <c r="D25" i="44" s="1"/>
  <c r="D26" i="44" s="1"/>
  <c r="D27" i="44" s="1"/>
  <c r="D28" i="44" s="1"/>
  <c r="D29" i="44" s="1"/>
  <c r="D30" i="44" s="1"/>
  <c r="D31" i="44" s="1"/>
  <c r="D32" i="44" s="1"/>
  <c r="D33" i="44" s="1"/>
  <c r="D34" i="44" s="1"/>
  <c r="D35" i="44" s="1"/>
  <c r="D36" i="44" s="1"/>
  <c r="D37" i="44" s="1"/>
  <c r="D38" i="44" s="1"/>
  <c r="D39" i="44" s="1"/>
  <c r="D40" i="44" s="1"/>
  <c r="D41" i="44" s="1"/>
  <c r="D42" i="44" s="1"/>
  <c r="D43" i="44" s="1"/>
  <c r="D44" i="44" s="1"/>
  <c r="D45" i="44" s="1"/>
  <c r="D46" i="44" s="1"/>
  <c r="D47" i="44" s="1"/>
  <c r="D48" i="44" s="1"/>
  <c r="D49" i="44" s="1"/>
  <c r="D50" i="44" s="1"/>
  <c r="D51" i="44" s="1"/>
  <c r="D52" i="44" s="1"/>
  <c r="D53" i="44" s="1"/>
  <c r="D54" i="44" s="1"/>
  <c r="D55" i="44" s="1"/>
  <c r="D56" i="44" s="1"/>
  <c r="D57" i="44" s="1"/>
  <c r="D58" i="44" s="1"/>
  <c r="D59" i="44" s="1"/>
  <c r="D60" i="44" s="1"/>
  <c r="D61" i="44" s="1"/>
  <c r="D62" i="44" s="1"/>
  <c r="D63" i="44" s="1"/>
  <c r="D64" i="44" s="1"/>
  <c r="D65" i="44" s="1"/>
  <c r="D66" i="44" s="1"/>
  <c r="D67" i="44" s="1"/>
  <c r="D68" i="44" s="1"/>
  <c r="D69" i="44" s="1"/>
  <c r="D70" i="44" s="1"/>
  <c r="D71" i="44" s="1"/>
  <c r="D72" i="44" s="1"/>
  <c r="D73" i="44" s="1"/>
  <c r="D74" i="44" s="1"/>
  <c r="D75" i="44" s="1"/>
  <c r="D76" i="44" s="1"/>
  <c r="B7" i="44"/>
  <c r="C7" i="44"/>
  <c r="L7" i="44" s="1"/>
  <c r="K7" i="44"/>
  <c r="B8" i="44"/>
  <c r="C8" i="44"/>
  <c r="L8" i="44" s="1"/>
  <c r="K8" i="44"/>
  <c r="B9" i="44"/>
  <c r="K9" i="44" s="1"/>
  <c r="C9" i="44"/>
  <c r="L9" i="44"/>
  <c r="B10" i="44"/>
  <c r="K10" i="44" s="1"/>
  <c r="C10" i="44"/>
  <c r="L10" i="44" s="1"/>
  <c r="B11" i="44"/>
  <c r="C11" i="44"/>
  <c r="K11" i="44"/>
  <c r="B12" i="44"/>
  <c r="C12" i="44"/>
  <c r="L12" i="44" s="1"/>
  <c r="E12" i="44"/>
  <c r="E13" i="44" s="1"/>
  <c r="E14" i="44" s="1"/>
  <c r="E15" i="44" s="1"/>
  <c r="K12" i="44"/>
  <c r="B13" i="44"/>
  <c r="C13" i="44"/>
  <c r="K13" i="44"/>
  <c r="L13" i="44"/>
  <c r="B14" i="44"/>
  <c r="K14" i="44" s="1"/>
  <c r="C14" i="44"/>
  <c r="L14" i="44" s="1"/>
  <c r="B15" i="44"/>
  <c r="K15" i="44" s="1"/>
  <c r="C15" i="44"/>
  <c r="B16" i="44"/>
  <c r="C16" i="44"/>
  <c r="E16" i="44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K16" i="44"/>
  <c r="L16" i="44"/>
  <c r="B17" i="44"/>
  <c r="C17" i="44"/>
  <c r="K17" i="44"/>
  <c r="L17" i="44"/>
  <c r="B18" i="44"/>
  <c r="K18" i="44" s="1"/>
  <c r="C18" i="44"/>
  <c r="B19" i="44"/>
  <c r="K19" i="44" s="1"/>
  <c r="C19" i="44"/>
  <c r="B20" i="44"/>
  <c r="C20" i="44"/>
  <c r="K20" i="44"/>
  <c r="L20" i="44"/>
  <c r="B21" i="44"/>
  <c r="C21" i="44"/>
  <c r="K21" i="44"/>
  <c r="L21" i="44"/>
  <c r="B22" i="44"/>
  <c r="K22" i="44" s="1"/>
  <c r="C22" i="44"/>
  <c r="B23" i="44"/>
  <c r="C23" i="44"/>
  <c r="K23" i="44"/>
  <c r="B24" i="44"/>
  <c r="C24" i="44"/>
  <c r="K24" i="44"/>
  <c r="L24" i="44"/>
  <c r="B25" i="44"/>
  <c r="C25" i="44"/>
  <c r="K25" i="44"/>
  <c r="L25" i="44"/>
  <c r="B26" i="44"/>
  <c r="K26" i="44" s="1"/>
  <c r="C26" i="44"/>
  <c r="B27" i="44"/>
  <c r="C27" i="44"/>
  <c r="K27" i="44"/>
  <c r="B28" i="44"/>
  <c r="C28" i="44"/>
  <c r="K28" i="44"/>
  <c r="L28" i="44"/>
  <c r="B29" i="44"/>
  <c r="C29" i="44"/>
  <c r="K29" i="44"/>
  <c r="L29" i="44"/>
  <c r="B30" i="44"/>
  <c r="K30" i="44" s="1"/>
  <c r="C30" i="44"/>
  <c r="B31" i="44"/>
  <c r="C31" i="44"/>
  <c r="K31" i="44"/>
  <c r="B32" i="44"/>
  <c r="C32" i="44"/>
  <c r="K32" i="44"/>
  <c r="L32" i="44"/>
  <c r="B33" i="44"/>
  <c r="C33" i="44"/>
  <c r="K33" i="44"/>
  <c r="L33" i="44"/>
  <c r="B34" i="44"/>
  <c r="K34" i="44" s="1"/>
  <c r="C34" i="44"/>
  <c r="B35" i="44"/>
  <c r="K35" i="44" s="1"/>
  <c r="C35" i="44"/>
  <c r="B36" i="44"/>
  <c r="C36" i="44"/>
  <c r="K36" i="44"/>
  <c r="L36" i="44"/>
  <c r="B37" i="44"/>
  <c r="K37" i="44" s="1"/>
  <c r="C37" i="44"/>
  <c r="L37" i="44"/>
  <c r="B38" i="44"/>
  <c r="K38" i="44" s="1"/>
  <c r="C38" i="44"/>
  <c r="B39" i="44"/>
  <c r="K39" i="44" s="1"/>
  <c r="C39" i="44"/>
  <c r="B40" i="44"/>
  <c r="C40" i="44"/>
  <c r="K40" i="44"/>
  <c r="L40" i="44"/>
  <c r="B41" i="44"/>
  <c r="C41" i="44"/>
  <c r="K41" i="44"/>
  <c r="L41" i="44"/>
  <c r="B42" i="44"/>
  <c r="K42" i="44" s="1"/>
  <c r="C42" i="44"/>
  <c r="B43" i="44"/>
  <c r="C43" i="44"/>
  <c r="K43" i="44"/>
  <c r="B44" i="44"/>
  <c r="C44" i="44"/>
  <c r="K44" i="44"/>
  <c r="L44" i="44"/>
  <c r="B45" i="44"/>
  <c r="K45" i="44" s="1"/>
  <c r="C45" i="44"/>
  <c r="L45" i="44"/>
  <c r="B46" i="44"/>
  <c r="K46" i="44" s="1"/>
  <c r="C46" i="44"/>
  <c r="B47" i="44"/>
  <c r="C47" i="44"/>
  <c r="K47" i="44"/>
  <c r="B48" i="44"/>
  <c r="C48" i="44"/>
  <c r="K48" i="44"/>
  <c r="L48" i="44"/>
  <c r="B49" i="44"/>
  <c r="C49" i="44"/>
  <c r="K49" i="44"/>
  <c r="L49" i="44"/>
  <c r="B50" i="44"/>
  <c r="K50" i="44" s="1"/>
  <c r="C50" i="44"/>
  <c r="B51" i="44"/>
  <c r="K51" i="44" s="1"/>
  <c r="C51" i="44"/>
  <c r="B52" i="44"/>
  <c r="C52" i="44"/>
  <c r="K52" i="44"/>
  <c r="L52" i="44"/>
  <c r="B53" i="44"/>
  <c r="K53" i="44" s="1"/>
  <c r="C53" i="44"/>
  <c r="L53" i="44"/>
  <c r="B54" i="44"/>
  <c r="K54" i="44" s="1"/>
  <c r="C54" i="44"/>
  <c r="B55" i="44"/>
  <c r="K55" i="44" s="1"/>
  <c r="C55" i="44"/>
  <c r="B56" i="44"/>
  <c r="C56" i="44"/>
  <c r="K56" i="44"/>
  <c r="L56" i="44"/>
  <c r="B57" i="44"/>
  <c r="C57" i="44"/>
  <c r="K57" i="44"/>
  <c r="L57" i="44"/>
  <c r="B58" i="44"/>
  <c r="K58" i="44" s="1"/>
  <c r="C58" i="44"/>
  <c r="B59" i="44"/>
  <c r="C59" i="44"/>
  <c r="K59" i="44"/>
  <c r="B60" i="44"/>
  <c r="C60" i="44"/>
  <c r="K60" i="44"/>
  <c r="L60" i="44"/>
  <c r="B61" i="44"/>
  <c r="K61" i="44" s="1"/>
  <c r="C61" i="44"/>
  <c r="L61" i="44"/>
  <c r="B62" i="44"/>
  <c r="K62" i="44" s="1"/>
  <c r="C62" i="44"/>
  <c r="L62" i="44" s="1"/>
  <c r="B63" i="44"/>
  <c r="C63" i="44"/>
  <c r="L63" i="44" s="1"/>
  <c r="K63" i="44"/>
  <c r="B64" i="44"/>
  <c r="C64" i="44"/>
  <c r="K64" i="44"/>
  <c r="L64" i="44"/>
  <c r="B65" i="44"/>
  <c r="C65" i="44"/>
  <c r="K65" i="44"/>
  <c r="L65" i="44"/>
  <c r="B66" i="44"/>
  <c r="K66" i="44" s="1"/>
  <c r="C66" i="44"/>
  <c r="L66" i="44" s="1"/>
  <c r="B67" i="44"/>
  <c r="C67" i="44"/>
  <c r="L67" i="44" s="1"/>
  <c r="K67" i="44"/>
  <c r="B68" i="44"/>
  <c r="C68" i="44"/>
  <c r="K68" i="44"/>
  <c r="L68" i="44"/>
  <c r="B69" i="44"/>
  <c r="K69" i="44" s="1"/>
  <c r="C69" i="44"/>
  <c r="L69" i="44"/>
  <c r="B70" i="44"/>
  <c r="K70" i="44" s="1"/>
  <c r="C70" i="44"/>
  <c r="L70" i="44" s="1"/>
  <c r="B71" i="44"/>
  <c r="C71" i="44"/>
  <c r="L71" i="44" s="1"/>
  <c r="K71" i="44"/>
  <c r="B72" i="44"/>
  <c r="C72" i="44"/>
  <c r="E72" i="44"/>
  <c r="E73" i="44" s="1"/>
  <c r="E74" i="44" s="1"/>
  <c r="E75" i="44" s="1"/>
  <c r="E76" i="44" s="1"/>
  <c r="K72" i="44"/>
  <c r="L72" i="44"/>
  <c r="B73" i="44"/>
  <c r="C73" i="44"/>
  <c r="K73" i="44"/>
  <c r="L73" i="44"/>
  <c r="B74" i="44"/>
  <c r="K74" i="44" s="1"/>
  <c r="C74" i="44"/>
  <c r="L74" i="44" s="1"/>
  <c r="B75" i="44"/>
  <c r="K75" i="44" s="1"/>
  <c r="C75" i="44"/>
  <c r="L75" i="44" s="1"/>
  <c r="B76" i="44"/>
  <c r="C76" i="44"/>
  <c r="K76" i="44"/>
  <c r="L76" i="44"/>
  <c r="B77" i="44"/>
  <c r="K77" i="44" s="1"/>
  <c r="C77" i="44"/>
  <c r="B78" i="44"/>
  <c r="K78" i="44" s="1"/>
  <c r="C78" i="44"/>
  <c r="L78" i="44" s="1"/>
  <c r="B79" i="44"/>
  <c r="C79" i="44"/>
  <c r="K79" i="44"/>
  <c r="B80" i="44"/>
  <c r="C80" i="44"/>
  <c r="K80" i="44"/>
  <c r="B81" i="44"/>
  <c r="K81" i="44" s="1"/>
  <c r="C81" i="44"/>
  <c r="B82" i="44"/>
  <c r="K82" i="44" s="1"/>
  <c r="C82" i="44"/>
  <c r="C83" i="44"/>
  <c r="K83" i="44"/>
  <c r="L83" i="44"/>
  <c r="B84" i="44"/>
  <c r="K84" i="44" s="1"/>
  <c r="C84" i="44"/>
  <c r="L84" i="44"/>
  <c r="B85" i="44"/>
  <c r="K85" i="44" s="1"/>
  <c r="C85" i="44"/>
  <c r="L85" i="44" s="1"/>
  <c r="B86" i="44"/>
  <c r="C86" i="44"/>
  <c r="L86" i="44" s="1"/>
  <c r="B87" i="44"/>
  <c r="C87" i="44"/>
  <c r="K87" i="44"/>
  <c r="L87" i="44"/>
  <c r="B88" i="44"/>
  <c r="K88" i="44"/>
  <c r="B89" i="44"/>
  <c r="K89" i="44" s="1"/>
  <c r="C89" i="44"/>
  <c r="L89" i="44" s="1"/>
  <c r="B90" i="44"/>
  <c r="C90" i="44"/>
  <c r="L90" i="44" s="1"/>
  <c r="B91" i="44"/>
  <c r="C91" i="44"/>
  <c r="K91" i="44"/>
  <c r="L91" i="44"/>
  <c r="B92" i="44"/>
  <c r="K92" i="44" s="1"/>
  <c r="B93" i="44"/>
  <c r="K93" i="44" s="1"/>
  <c r="C93" i="44"/>
  <c r="L93" i="44" s="1"/>
  <c r="B94" i="44"/>
  <c r="C94" i="44"/>
  <c r="L94" i="44" s="1"/>
  <c r="B95" i="44"/>
  <c r="C95" i="44"/>
  <c r="K95" i="44"/>
  <c r="L95" i="44"/>
  <c r="B96" i="44"/>
  <c r="K96" i="44"/>
  <c r="B97" i="44"/>
  <c r="K97" i="44" s="1"/>
  <c r="C97" i="44"/>
  <c r="L97" i="44" s="1"/>
  <c r="B98" i="44"/>
  <c r="C98" i="44"/>
  <c r="L98" i="44" s="1"/>
  <c r="K98" i="44"/>
  <c r="B99" i="44"/>
  <c r="K99" i="44"/>
  <c r="B100" i="44"/>
  <c r="K100" i="44"/>
  <c r="B101" i="44"/>
  <c r="K101" i="44" s="1"/>
  <c r="C101" i="44"/>
  <c r="L101" i="44" s="1"/>
  <c r="B102" i="44"/>
  <c r="C102" i="44"/>
  <c r="L102" i="44" s="1"/>
  <c r="K102" i="44"/>
  <c r="B103" i="44"/>
  <c r="K103" i="44"/>
  <c r="B104" i="44"/>
  <c r="K104" i="44"/>
  <c r="B105" i="44"/>
  <c r="K105" i="44" s="1"/>
  <c r="C105" i="44"/>
  <c r="L105" i="44" s="1"/>
  <c r="B106" i="44"/>
  <c r="C106" i="44"/>
  <c r="L106" i="44" s="1"/>
  <c r="K106" i="44"/>
  <c r="B107" i="44"/>
  <c r="K107" i="44"/>
  <c r="B108" i="44"/>
  <c r="K108" i="44"/>
  <c r="B109" i="44"/>
  <c r="K109" i="44" s="1"/>
  <c r="C109" i="44"/>
  <c r="L109" i="44" s="1"/>
  <c r="B110" i="44"/>
  <c r="C110" i="44"/>
  <c r="L110" i="44" s="1"/>
  <c r="K110" i="44"/>
  <c r="B111" i="44"/>
  <c r="K111" i="44"/>
  <c r="B112" i="44"/>
  <c r="K112" i="44"/>
  <c r="B113" i="44"/>
  <c r="K113" i="44" s="1"/>
  <c r="C113" i="44"/>
  <c r="L113" i="44" s="1"/>
  <c r="B114" i="44"/>
  <c r="C114" i="44"/>
  <c r="L114" i="44" s="1"/>
  <c r="K114" i="44"/>
  <c r="B115" i="44"/>
  <c r="K115" i="44"/>
  <c r="B116" i="44"/>
  <c r="K116" i="44"/>
  <c r="B117" i="44"/>
  <c r="K117" i="44" s="1"/>
  <c r="C117" i="44"/>
  <c r="L117" i="44" s="1"/>
  <c r="B118" i="44"/>
  <c r="C118" i="44"/>
  <c r="L118" i="44" s="1"/>
  <c r="K118" i="44"/>
  <c r="B119" i="44"/>
  <c r="K119" i="44"/>
  <c r="B120" i="44"/>
  <c r="K120" i="44"/>
  <c r="B121" i="44"/>
  <c r="K121" i="44" s="1"/>
  <c r="C121" i="44"/>
  <c r="L121" i="44" s="1"/>
  <c r="B122" i="44"/>
  <c r="C122" i="44"/>
  <c r="L122" i="44" s="1"/>
  <c r="K122" i="44"/>
  <c r="B123" i="44"/>
  <c r="K123" i="44"/>
  <c r="B124" i="44"/>
  <c r="K124" i="44"/>
  <c r="B125" i="44"/>
  <c r="K125" i="44" s="1"/>
  <c r="C125" i="44"/>
  <c r="L125" i="44" s="1"/>
  <c r="B126" i="44"/>
  <c r="C126" i="44"/>
  <c r="L126" i="44" s="1"/>
  <c r="K126" i="44"/>
  <c r="B127" i="44"/>
  <c r="K127" i="44"/>
  <c r="B128" i="44"/>
  <c r="K128" i="44"/>
  <c r="B129" i="44"/>
  <c r="K129" i="44" s="1"/>
  <c r="C129" i="44"/>
  <c r="L129" i="44" s="1"/>
  <c r="B130" i="44"/>
  <c r="K130" i="44" s="1"/>
  <c r="C130" i="44"/>
  <c r="L130" i="44" s="1"/>
  <c r="B131" i="44"/>
  <c r="K131" i="44"/>
  <c r="B132" i="44"/>
  <c r="K132" i="44" s="1"/>
  <c r="B133" i="44"/>
  <c r="K133" i="44" s="1"/>
  <c r="C133" i="44"/>
  <c r="L133" i="44" s="1"/>
  <c r="B134" i="44"/>
  <c r="K134" i="44" s="1"/>
  <c r="C134" i="44"/>
  <c r="L134" i="44" s="1"/>
  <c r="B135" i="44"/>
  <c r="K135" i="44"/>
  <c r="B136" i="44"/>
  <c r="K136" i="44" s="1"/>
  <c r="B137" i="44"/>
  <c r="K137" i="44" s="1"/>
  <c r="C137" i="44"/>
  <c r="L137" i="44" s="1"/>
  <c r="B138" i="44"/>
  <c r="K138" i="44" s="1"/>
  <c r="C138" i="44"/>
  <c r="B139" i="44"/>
  <c r="K139" i="44"/>
  <c r="B140" i="44"/>
  <c r="K140" i="44"/>
  <c r="B141" i="44"/>
  <c r="K141" i="44" s="1"/>
  <c r="C141" i="44"/>
  <c r="L141" i="44" s="1"/>
  <c r="B142" i="44"/>
  <c r="C142" i="44"/>
  <c r="L142" i="44" s="1"/>
  <c r="K142" i="44"/>
  <c r="B143" i="44"/>
  <c r="K143" i="44" s="1"/>
  <c r="C143" i="44"/>
  <c r="C224" i="44" s="1"/>
  <c r="L143" i="44"/>
  <c r="B144" i="44"/>
  <c r="K144" i="44" s="1"/>
  <c r="C144" i="44"/>
  <c r="B145" i="44"/>
  <c r="C145" i="44"/>
  <c r="K145" i="44"/>
  <c r="L145" i="44"/>
  <c r="B146" i="44"/>
  <c r="C146" i="44"/>
  <c r="K146" i="44"/>
  <c r="L146" i="44"/>
  <c r="B147" i="44"/>
  <c r="K147" i="44" s="1"/>
  <c r="C147" i="44"/>
  <c r="L147" i="44" s="1"/>
  <c r="B148" i="44"/>
  <c r="K148" i="44" s="1"/>
  <c r="C148" i="44"/>
  <c r="L148" i="44"/>
  <c r="B149" i="44"/>
  <c r="C149" i="44"/>
  <c r="K149" i="44"/>
  <c r="B150" i="44"/>
  <c r="C150" i="44"/>
  <c r="L150" i="44" s="1"/>
  <c r="K150" i="44"/>
  <c r="B151" i="44"/>
  <c r="K151" i="44" s="1"/>
  <c r="C151" i="44"/>
  <c r="C232" i="44" s="1"/>
  <c r="L151" i="44"/>
  <c r="B152" i="44"/>
  <c r="K152" i="44" s="1"/>
  <c r="C152" i="44"/>
  <c r="B153" i="44"/>
  <c r="C153" i="44"/>
  <c r="K153" i="44"/>
  <c r="L153" i="44"/>
  <c r="B154" i="44"/>
  <c r="C154" i="44"/>
  <c r="K154" i="44"/>
  <c r="L154" i="44"/>
  <c r="B155" i="44"/>
  <c r="K155" i="44" s="1"/>
  <c r="C155" i="44"/>
  <c r="L155" i="44" s="1"/>
  <c r="B156" i="44"/>
  <c r="K156" i="44" s="1"/>
  <c r="C156" i="44"/>
  <c r="L156" i="44"/>
  <c r="B157" i="44"/>
  <c r="C157" i="44"/>
  <c r="K157" i="44"/>
  <c r="B158" i="44"/>
  <c r="C158" i="44"/>
  <c r="C239" i="44" s="1"/>
  <c r="K158" i="44"/>
  <c r="B159" i="44"/>
  <c r="K159" i="44" s="1"/>
  <c r="C159" i="44"/>
  <c r="B160" i="44"/>
  <c r="K160" i="44" s="1"/>
  <c r="C160" i="44"/>
  <c r="B161" i="44"/>
  <c r="C161" i="44"/>
  <c r="K161" i="44"/>
  <c r="B162" i="44"/>
  <c r="K162" i="44" s="1"/>
  <c r="B163" i="44"/>
  <c r="C163" i="44"/>
  <c r="K163" i="44"/>
  <c r="C164" i="44"/>
  <c r="B165" i="44"/>
  <c r="C165" i="44"/>
  <c r="L165" i="44" s="1"/>
  <c r="B166" i="44"/>
  <c r="C166" i="44"/>
  <c r="L166" i="44"/>
  <c r="B167" i="44"/>
  <c r="C167" i="44"/>
  <c r="L167" i="44" s="1"/>
  <c r="B168" i="44"/>
  <c r="C168" i="44"/>
  <c r="L168" i="44"/>
  <c r="B169" i="44"/>
  <c r="B170" i="44"/>
  <c r="C170" i="44"/>
  <c r="L170" i="44" s="1"/>
  <c r="B171" i="44"/>
  <c r="C171" i="44"/>
  <c r="C252" i="44" s="1"/>
  <c r="C333" i="44" s="1"/>
  <c r="L171" i="44"/>
  <c r="B172" i="44"/>
  <c r="C172" i="44"/>
  <c r="B173" i="44"/>
  <c r="B174" i="44"/>
  <c r="C174" i="44"/>
  <c r="L174" i="44"/>
  <c r="B175" i="44"/>
  <c r="C175" i="44"/>
  <c r="L175" i="44" s="1"/>
  <c r="B176" i="44"/>
  <c r="C176" i="44"/>
  <c r="L176" i="44"/>
  <c r="B177" i="44"/>
  <c r="B178" i="44"/>
  <c r="C178" i="44"/>
  <c r="L178" i="44" s="1"/>
  <c r="B179" i="44"/>
  <c r="C179" i="44"/>
  <c r="C260" i="44" s="1"/>
  <c r="C341" i="44" s="1"/>
  <c r="C422" i="44" s="1"/>
  <c r="L179" i="44"/>
  <c r="B180" i="44"/>
  <c r="B181" i="44"/>
  <c r="B182" i="44"/>
  <c r="C182" i="44"/>
  <c r="L182" i="44"/>
  <c r="B183" i="44"/>
  <c r="C183" i="44"/>
  <c r="B184" i="44"/>
  <c r="B185" i="44"/>
  <c r="B186" i="44"/>
  <c r="C186" i="44"/>
  <c r="L186" i="44" s="1"/>
  <c r="B187" i="44"/>
  <c r="C187" i="44"/>
  <c r="C268" i="44" s="1"/>
  <c r="C349" i="44" s="1"/>
  <c r="L187" i="44"/>
  <c r="B188" i="44"/>
  <c r="B189" i="44"/>
  <c r="B190" i="44"/>
  <c r="C190" i="44"/>
  <c r="L190" i="44"/>
  <c r="B191" i="44"/>
  <c r="C191" i="44"/>
  <c r="L191" i="44" s="1"/>
  <c r="B192" i="44"/>
  <c r="B193" i="44"/>
  <c r="B194" i="44"/>
  <c r="C194" i="44"/>
  <c r="L194" i="44" s="1"/>
  <c r="B195" i="44"/>
  <c r="C195" i="44"/>
  <c r="C276" i="44" s="1"/>
  <c r="C357" i="44" s="1"/>
  <c r="L195" i="44"/>
  <c r="B196" i="44"/>
  <c r="B197" i="44"/>
  <c r="B198" i="44"/>
  <c r="C198" i="44"/>
  <c r="L198" i="44"/>
  <c r="B199" i="44"/>
  <c r="C199" i="44"/>
  <c r="L199" i="44" s="1"/>
  <c r="B200" i="44"/>
  <c r="B201" i="44"/>
  <c r="B202" i="44"/>
  <c r="C202" i="44"/>
  <c r="L202" i="44" s="1"/>
  <c r="B203" i="44"/>
  <c r="B204" i="44"/>
  <c r="B205" i="44"/>
  <c r="B206" i="44"/>
  <c r="B207" i="44"/>
  <c r="C207" i="44"/>
  <c r="B208" i="44"/>
  <c r="B209" i="44"/>
  <c r="B210" i="44"/>
  <c r="C210" i="44"/>
  <c r="L210" i="44" s="1"/>
  <c r="B211" i="44"/>
  <c r="C211" i="44"/>
  <c r="C292" i="44" s="1"/>
  <c r="C373" i="44" s="1"/>
  <c r="L211" i="44"/>
  <c r="B212" i="44"/>
  <c r="B213" i="44"/>
  <c r="B214" i="44"/>
  <c r="C214" i="44"/>
  <c r="L214" i="44"/>
  <c r="B215" i="44"/>
  <c r="C215" i="44"/>
  <c r="L215" i="44" s="1"/>
  <c r="B216" i="44"/>
  <c r="B217" i="44"/>
  <c r="B218" i="44"/>
  <c r="C218" i="44"/>
  <c r="B219" i="44"/>
  <c r="B220" i="44"/>
  <c r="B221" i="44"/>
  <c r="B222" i="44"/>
  <c r="C222" i="44"/>
  <c r="L222" i="44"/>
  <c r="B223" i="44"/>
  <c r="C223" i="44"/>
  <c r="L223" i="44" s="1"/>
  <c r="B224" i="44"/>
  <c r="L224" i="44"/>
  <c r="B225" i="44"/>
  <c r="B226" i="44"/>
  <c r="C226" i="44"/>
  <c r="L226" i="44" s="1"/>
  <c r="B227" i="44"/>
  <c r="C227" i="44"/>
  <c r="C308" i="44" s="1"/>
  <c r="C389" i="44" s="1"/>
  <c r="L389" i="44" s="1"/>
  <c r="L227" i="44"/>
  <c r="B228" i="44"/>
  <c r="C228" i="44"/>
  <c r="B229" i="44"/>
  <c r="C229" i="44"/>
  <c r="L229" i="44" s="1"/>
  <c r="B230" i="44"/>
  <c r="B231" i="44"/>
  <c r="C231" i="44"/>
  <c r="L231" i="44" s="1"/>
  <c r="B232" i="44"/>
  <c r="L232" i="44"/>
  <c r="B233" i="44"/>
  <c r="B234" i="44"/>
  <c r="C234" i="44"/>
  <c r="L234" i="44" s="1"/>
  <c r="B235" i="44"/>
  <c r="C235" i="44"/>
  <c r="C316" i="44" s="1"/>
  <c r="C397" i="44" s="1"/>
  <c r="L235" i="44"/>
  <c r="B236" i="44"/>
  <c r="C236" i="44"/>
  <c r="B237" i="44"/>
  <c r="C237" i="44"/>
  <c r="L237" i="44" s="1"/>
  <c r="B238" i="44"/>
  <c r="B239" i="44"/>
  <c r="B240" i="44"/>
  <c r="B241" i="44"/>
  <c r="B242" i="44"/>
  <c r="C242" i="44"/>
  <c r="B243" i="44"/>
  <c r="B244" i="44"/>
  <c r="B246" i="44"/>
  <c r="C246" i="44"/>
  <c r="L246" i="44" s="1"/>
  <c r="B247" i="44"/>
  <c r="C247" i="44"/>
  <c r="C328" i="44" s="1"/>
  <c r="C409" i="44" s="1"/>
  <c r="L247" i="44"/>
  <c r="B248" i="44"/>
  <c r="C248" i="44"/>
  <c r="L248" i="44" s="1"/>
  <c r="B249" i="44"/>
  <c r="C249" i="44"/>
  <c r="L249" i="44" s="1"/>
  <c r="B250" i="44"/>
  <c r="B251" i="44"/>
  <c r="C251" i="44"/>
  <c r="L251" i="44" s="1"/>
  <c r="B252" i="44"/>
  <c r="L252" i="44"/>
  <c r="B253" i="44"/>
  <c r="B254" i="44"/>
  <c r="B255" i="44"/>
  <c r="C255" i="44"/>
  <c r="C336" i="44" s="1"/>
  <c r="C417" i="44" s="1"/>
  <c r="L255" i="44"/>
  <c r="B256" i="44"/>
  <c r="C256" i="44"/>
  <c r="L256" i="44" s="1"/>
  <c r="B257" i="44"/>
  <c r="C257" i="44"/>
  <c r="L257" i="44"/>
  <c r="B258" i="44"/>
  <c r="B259" i="44"/>
  <c r="C259" i="44"/>
  <c r="L259" i="44" s="1"/>
  <c r="B260" i="44"/>
  <c r="B261" i="44"/>
  <c r="B262" i="44"/>
  <c r="B263" i="44"/>
  <c r="C263" i="44"/>
  <c r="C344" i="44" s="1"/>
  <c r="C425" i="44" s="1"/>
  <c r="C506" i="44" s="1"/>
  <c r="L263" i="44"/>
  <c r="B264" i="44"/>
  <c r="B265" i="44"/>
  <c r="B266" i="44"/>
  <c r="B267" i="44"/>
  <c r="C267" i="44"/>
  <c r="L267" i="44" s="1"/>
  <c r="B268" i="44"/>
  <c r="L268" i="44"/>
  <c r="B269" i="44"/>
  <c r="B270" i="44"/>
  <c r="B271" i="44"/>
  <c r="C271" i="44"/>
  <c r="C352" i="44" s="1"/>
  <c r="C433" i="44" s="1"/>
  <c r="C514" i="44" s="1"/>
  <c r="C595" i="44" s="1"/>
  <c r="L271" i="44"/>
  <c r="B272" i="44"/>
  <c r="C272" i="44"/>
  <c r="L272" i="44" s="1"/>
  <c r="B273" i="44"/>
  <c r="B274" i="44"/>
  <c r="B275" i="44"/>
  <c r="C275" i="44"/>
  <c r="L275" i="44" s="1"/>
  <c r="B276" i="44"/>
  <c r="L276" i="44"/>
  <c r="B277" i="44"/>
  <c r="B278" i="44"/>
  <c r="B279" i="44"/>
  <c r="C279" i="44"/>
  <c r="C360" i="44" s="1"/>
  <c r="L360" i="44" s="1"/>
  <c r="L279" i="44"/>
  <c r="B280" i="44"/>
  <c r="C280" i="44"/>
  <c r="L280" i="44" s="1"/>
  <c r="B281" i="44"/>
  <c r="B282" i="44"/>
  <c r="B283" i="44"/>
  <c r="C283" i="44"/>
  <c r="L283" i="44" s="1"/>
  <c r="B284" i="44"/>
  <c r="B285" i="44"/>
  <c r="B286" i="44"/>
  <c r="B287" i="44"/>
  <c r="B288" i="44"/>
  <c r="B289" i="44"/>
  <c r="B290" i="44"/>
  <c r="B291" i="44"/>
  <c r="C291" i="44"/>
  <c r="L291" i="44" s="1"/>
  <c r="B292" i="44"/>
  <c r="L292" i="44"/>
  <c r="B293" i="44"/>
  <c r="B294" i="44"/>
  <c r="B295" i="44"/>
  <c r="C295" i="44"/>
  <c r="C376" i="44" s="1"/>
  <c r="L295" i="44"/>
  <c r="B296" i="44"/>
  <c r="B297" i="44"/>
  <c r="B298" i="44"/>
  <c r="B299" i="44"/>
  <c r="B300" i="44"/>
  <c r="B301" i="44"/>
  <c r="B302" i="44"/>
  <c r="B303" i="44"/>
  <c r="C303" i="44"/>
  <c r="C384" i="44" s="1"/>
  <c r="L303" i="44"/>
  <c r="B304" i="44"/>
  <c r="C304" i="44"/>
  <c r="L304" i="44" s="1"/>
  <c r="B305" i="44"/>
  <c r="C305" i="44"/>
  <c r="L305" i="44" s="1"/>
  <c r="B306" i="44"/>
  <c r="B307" i="44"/>
  <c r="C307" i="44"/>
  <c r="L307" i="44" s="1"/>
  <c r="B308" i="44"/>
  <c r="L308" i="44"/>
  <c r="B309" i="44"/>
  <c r="B310" i="44"/>
  <c r="C310" i="44"/>
  <c r="L310" i="44" s="1"/>
  <c r="B311" i="44"/>
  <c r="B312" i="44"/>
  <c r="C312" i="44"/>
  <c r="L312" i="44" s="1"/>
  <c r="B313" i="44"/>
  <c r="C313" i="44"/>
  <c r="L313" i="44" s="1"/>
  <c r="B314" i="44"/>
  <c r="B315" i="44"/>
  <c r="C315" i="44"/>
  <c r="L315" i="44" s="1"/>
  <c r="B316" i="44"/>
  <c r="L316" i="44"/>
  <c r="B317" i="44"/>
  <c r="B318" i="44"/>
  <c r="C318" i="44"/>
  <c r="L318" i="44" s="1"/>
  <c r="B319" i="44"/>
  <c r="B320" i="44"/>
  <c r="C320" i="44"/>
  <c r="C401" i="44" s="1"/>
  <c r="C482" i="44" s="1"/>
  <c r="C563" i="44" s="1"/>
  <c r="C644" i="44" s="1"/>
  <c r="B321" i="44"/>
  <c r="B322" i="44"/>
  <c r="B323" i="44"/>
  <c r="B324" i="44"/>
  <c r="B325" i="44"/>
  <c r="B327" i="44"/>
  <c r="C327" i="44"/>
  <c r="L327" i="44" s="1"/>
  <c r="B328" i="44"/>
  <c r="L328" i="44"/>
  <c r="B329" i="44"/>
  <c r="C329" i="44"/>
  <c r="B330" i="44"/>
  <c r="C330" i="44"/>
  <c r="L330" i="44" s="1"/>
  <c r="B331" i="44"/>
  <c r="B332" i="44"/>
  <c r="C332" i="44"/>
  <c r="B333" i="44"/>
  <c r="L333" i="44"/>
  <c r="B334" i="44"/>
  <c r="B335" i="44"/>
  <c r="B336" i="44"/>
  <c r="L336" i="44"/>
  <c r="B337" i="44"/>
  <c r="B338" i="44"/>
  <c r="C338" i="44"/>
  <c r="L338" i="44" s="1"/>
  <c r="B339" i="44"/>
  <c r="B340" i="44"/>
  <c r="C340" i="44"/>
  <c r="L340" i="44" s="1"/>
  <c r="B341" i="44"/>
  <c r="L341" i="44"/>
  <c r="B342" i="44"/>
  <c r="B343" i="44"/>
  <c r="B344" i="44"/>
  <c r="L344" i="44"/>
  <c r="B345" i="44"/>
  <c r="B346" i="44"/>
  <c r="B347" i="44"/>
  <c r="B348" i="44"/>
  <c r="C348" i="44"/>
  <c r="L348" i="44" s="1"/>
  <c r="B349" i="44"/>
  <c r="L349" i="44"/>
  <c r="B350" i="44"/>
  <c r="B351" i="44"/>
  <c r="B352" i="44"/>
  <c r="L352" i="44"/>
  <c r="B353" i="44"/>
  <c r="C353" i="44"/>
  <c r="B354" i="44"/>
  <c r="B355" i="44"/>
  <c r="B356" i="44"/>
  <c r="C356" i="44"/>
  <c r="L356" i="44" s="1"/>
  <c r="B357" i="44"/>
  <c r="L357" i="44"/>
  <c r="B358" i="44"/>
  <c r="B359" i="44"/>
  <c r="B360" i="44"/>
  <c r="B361" i="44"/>
  <c r="C361" i="44"/>
  <c r="B362" i="44"/>
  <c r="B363" i="44"/>
  <c r="B364" i="44"/>
  <c r="C364" i="44"/>
  <c r="B365" i="44"/>
  <c r="B366" i="44"/>
  <c r="B367" i="44"/>
  <c r="B368" i="44"/>
  <c r="B369" i="44"/>
  <c r="B370" i="44"/>
  <c r="B371" i="44"/>
  <c r="B372" i="44"/>
  <c r="C372" i="44"/>
  <c r="B373" i="44"/>
  <c r="L373" i="44"/>
  <c r="B374" i="44"/>
  <c r="B375" i="44"/>
  <c r="B376" i="44"/>
  <c r="L376" i="44"/>
  <c r="B377" i="44"/>
  <c r="B378" i="44"/>
  <c r="B379" i="44"/>
  <c r="B380" i="44"/>
  <c r="B381" i="44"/>
  <c r="B382" i="44"/>
  <c r="B383" i="44"/>
  <c r="B384" i="44"/>
  <c r="L384" i="44"/>
  <c r="B385" i="44"/>
  <c r="C385" i="44"/>
  <c r="B386" i="44"/>
  <c r="C386" i="44"/>
  <c r="L386" i="44" s="1"/>
  <c r="B387" i="44"/>
  <c r="B388" i="44"/>
  <c r="C388" i="44"/>
  <c r="L388" i="44" s="1"/>
  <c r="B389" i="44"/>
  <c r="B390" i="44"/>
  <c r="B391" i="44"/>
  <c r="C391" i="44"/>
  <c r="L391" i="44" s="1"/>
  <c r="B392" i="44"/>
  <c r="B393" i="44"/>
  <c r="C393" i="44"/>
  <c r="L393" i="44" s="1"/>
  <c r="B394" i="44"/>
  <c r="C394" i="44"/>
  <c r="B395" i="44"/>
  <c r="B396" i="44"/>
  <c r="C396" i="44"/>
  <c r="B397" i="44"/>
  <c r="L397" i="44"/>
  <c r="B398" i="44"/>
  <c r="B399" i="44"/>
  <c r="C399" i="44"/>
  <c r="L399" i="44" s="1"/>
  <c r="B400" i="44"/>
  <c r="B401" i="44"/>
  <c r="B402" i="44"/>
  <c r="B403" i="44"/>
  <c r="B404" i="44"/>
  <c r="B405" i="44"/>
  <c r="B406" i="44"/>
  <c r="B408" i="44"/>
  <c r="C408" i="44"/>
  <c r="L408" i="44" s="1"/>
  <c r="B409" i="44"/>
  <c r="L409" i="44"/>
  <c r="B410" i="44"/>
  <c r="B411" i="44"/>
  <c r="C411" i="44"/>
  <c r="C492" i="44" s="1"/>
  <c r="C573" i="44" s="1"/>
  <c r="B412" i="44"/>
  <c r="B413" i="44"/>
  <c r="B414" i="44"/>
  <c r="C414" i="44"/>
  <c r="L414" i="44"/>
  <c r="B415" i="44"/>
  <c r="B416" i="44"/>
  <c r="B417" i="44"/>
  <c r="L417" i="44"/>
  <c r="B418" i="44"/>
  <c r="B419" i="44"/>
  <c r="C419" i="44"/>
  <c r="C500" i="44" s="1"/>
  <c r="L500" i="44" s="1"/>
  <c r="B420" i="44"/>
  <c r="B421" i="44"/>
  <c r="C421" i="44"/>
  <c r="B422" i="44"/>
  <c r="L422" i="44"/>
  <c r="B423" i="44"/>
  <c r="B424" i="44"/>
  <c r="B425" i="44"/>
  <c r="B426" i="44"/>
  <c r="B427" i="44"/>
  <c r="B428" i="44"/>
  <c r="B429" i="44"/>
  <c r="C429" i="44"/>
  <c r="L429" i="44" s="1"/>
  <c r="B430" i="44"/>
  <c r="C430" i="44"/>
  <c r="L430" i="44" s="1"/>
  <c r="B431" i="44"/>
  <c r="B432" i="44"/>
  <c r="B433" i="44"/>
  <c r="L433" i="44"/>
  <c r="B434" i="44"/>
  <c r="B435" i="44"/>
  <c r="B436" i="44"/>
  <c r="B437" i="44"/>
  <c r="B438" i="44"/>
  <c r="C438" i="44"/>
  <c r="L438" i="44" s="1"/>
  <c r="B439" i="44"/>
  <c r="B440" i="44"/>
  <c r="B441" i="44"/>
  <c r="C441" i="44"/>
  <c r="L441" i="44" s="1"/>
  <c r="B442" i="44"/>
  <c r="B443" i="44"/>
  <c r="B444" i="44"/>
  <c r="B445" i="44"/>
  <c r="B446" i="44"/>
  <c r="B447" i="44"/>
  <c r="B448" i="44"/>
  <c r="B449" i="44"/>
  <c r="B450" i="44"/>
  <c r="B451" i="44"/>
  <c r="B452" i="44"/>
  <c r="B453" i="44"/>
  <c r="B454" i="44"/>
  <c r="C454" i="44"/>
  <c r="C535" i="44" s="1"/>
  <c r="L454" i="44"/>
  <c r="B455" i="44"/>
  <c r="B456" i="44"/>
  <c r="B457" i="44"/>
  <c r="C457" i="44"/>
  <c r="C538" i="44" s="1"/>
  <c r="L457" i="44"/>
  <c r="B458" i="44"/>
  <c r="B459" i="44"/>
  <c r="B460" i="44"/>
  <c r="B461" i="44"/>
  <c r="B462" i="44"/>
  <c r="B463" i="44"/>
  <c r="B464" i="44"/>
  <c r="B465" i="44"/>
  <c r="C465" i="44"/>
  <c r="L465" i="44" s="1"/>
  <c r="B466" i="44"/>
  <c r="B467" i="44"/>
  <c r="C467" i="44"/>
  <c r="L467" i="44" s="1"/>
  <c r="B468" i="44"/>
  <c r="B469" i="44"/>
  <c r="C469" i="44"/>
  <c r="L469" i="44" s="1"/>
  <c r="B470" i="44"/>
  <c r="C470" i="44"/>
  <c r="L470" i="44"/>
  <c r="B471" i="44"/>
  <c r="B472" i="44"/>
  <c r="B473" i="44"/>
  <c r="B474" i="44"/>
  <c r="C474" i="44"/>
  <c r="L474" i="44" s="1"/>
  <c r="B475" i="44"/>
  <c r="B476" i="44"/>
  <c r="B477" i="44"/>
  <c r="B478" i="44"/>
  <c r="C478" i="44"/>
  <c r="C559" i="44" s="1"/>
  <c r="L478" i="44"/>
  <c r="B479" i="44"/>
  <c r="B480" i="44"/>
  <c r="B481" i="44"/>
  <c r="B482" i="44"/>
  <c r="B483" i="44"/>
  <c r="B484" i="44"/>
  <c r="B485" i="44"/>
  <c r="B486" i="44"/>
  <c r="B487" i="44"/>
  <c r="B489" i="44"/>
  <c r="C489" i="44"/>
  <c r="L489" i="44" s="1"/>
  <c r="B490" i="44"/>
  <c r="C490" i="44"/>
  <c r="C571" i="44" s="1"/>
  <c r="L490" i="44"/>
  <c r="B491" i="44"/>
  <c r="B492" i="44"/>
  <c r="L492" i="44"/>
  <c r="B493" i="44"/>
  <c r="B494" i="44"/>
  <c r="B495" i="44"/>
  <c r="C495" i="44"/>
  <c r="C576" i="44" s="1"/>
  <c r="B496" i="44"/>
  <c r="B497" i="44"/>
  <c r="B498" i="44"/>
  <c r="C498" i="44"/>
  <c r="B499" i="44"/>
  <c r="B500" i="44"/>
  <c r="B501" i="44"/>
  <c r="B502" i="44"/>
  <c r="B503" i="44"/>
  <c r="C503" i="44"/>
  <c r="L503" i="44" s="1"/>
  <c r="B504" i="44"/>
  <c r="B505" i="44"/>
  <c r="B506" i="44"/>
  <c r="B507" i="44"/>
  <c r="B508" i="44"/>
  <c r="B509" i="44"/>
  <c r="B510" i="44"/>
  <c r="C510" i="44"/>
  <c r="L510" i="44" s="1"/>
  <c r="B511" i="44"/>
  <c r="B512" i="44"/>
  <c r="B513" i="44"/>
  <c r="B514" i="44"/>
  <c r="L514" i="44"/>
  <c r="B515" i="44"/>
  <c r="B516" i="44"/>
  <c r="B517" i="44"/>
  <c r="B518" i="44"/>
  <c r="B519" i="44"/>
  <c r="C519" i="44"/>
  <c r="L519" i="44"/>
  <c r="B520" i="44"/>
  <c r="B521" i="44"/>
  <c r="B522" i="44"/>
  <c r="C522" i="44"/>
  <c r="C603" i="44" s="1"/>
  <c r="C684" i="44" s="1"/>
  <c r="B523" i="44"/>
  <c r="B524" i="44"/>
  <c r="B525" i="44"/>
  <c r="B526" i="44"/>
  <c r="B527" i="44"/>
  <c r="B528" i="44"/>
  <c r="B529" i="44"/>
  <c r="B530" i="44"/>
  <c r="B531" i="44"/>
  <c r="B532" i="44"/>
  <c r="B533" i="44"/>
  <c r="B534" i="44"/>
  <c r="B535" i="44"/>
  <c r="L535" i="44"/>
  <c r="B536" i="44"/>
  <c r="B537" i="44"/>
  <c r="B538" i="44"/>
  <c r="B539" i="44"/>
  <c r="B540" i="44"/>
  <c r="B541" i="44"/>
  <c r="B542" i="44"/>
  <c r="B543" i="44"/>
  <c r="B544" i="44"/>
  <c r="B545" i="44"/>
  <c r="B546" i="44"/>
  <c r="C546" i="44"/>
  <c r="C627" i="44" s="1"/>
  <c r="L546" i="44"/>
  <c r="B547" i="44"/>
  <c r="B548" i="44"/>
  <c r="B549" i="44"/>
  <c r="B550" i="44"/>
  <c r="C550" i="44"/>
  <c r="B551" i="44"/>
  <c r="C551" i="44"/>
  <c r="C632" i="44" s="1"/>
  <c r="B552" i="44"/>
  <c r="B553" i="44"/>
  <c r="B554" i="44"/>
  <c r="B555" i="44"/>
  <c r="C555" i="44"/>
  <c r="L555" i="44" s="1"/>
  <c r="B556" i="44"/>
  <c r="B557" i="44"/>
  <c r="B558" i="44"/>
  <c r="B559" i="44"/>
  <c r="B560" i="44"/>
  <c r="B561" i="44"/>
  <c r="B562" i="44"/>
  <c r="B563" i="44"/>
  <c r="B564" i="44"/>
  <c r="B565" i="44"/>
  <c r="B566" i="44"/>
  <c r="B567" i="44"/>
  <c r="B568" i="44"/>
  <c r="B570" i="44"/>
  <c r="B571" i="44"/>
  <c r="L571" i="44"/>
  <c r="B572" i="44"/>
  <c r="B573" i="44"/>
  <c r="B574" i="44"/>
  <c r="B575" i="44"/>
  <c r="B576" i="44"/>
  <c r="L576" i="44"/>
  <c r="B577" i="44"/>
  <c r="B578" i="44"/>
  <c r="B579" i="44"/>
  <c r="B580" i="44"/>
  <c r="B581" i="44"/>
  <c r="C581" i="44"/>
  <c r="L581" i="44" s="1"/>
  <c r="B582" i="44"/>
  <c r="B583" i="44"/>
  <c r="B584" i="44"/>
  <c r="C584" i="44"/>
  <c r="L584" i="44" s="1"/>
  <c r="B585" i="44"/>
  <c r="B586" i="44"/>
  <c r="B587" i="44"/>
  <c r="B588" i="44"/>
  <c r="B589" i="44"/>
  <c r="B590" i="44"/>
  <c r="B591" i="44"/>
  <c r="C591" i="44"/>
  <c r="L591" i="44" s="1"/>
  <c r="B592" i="44"/>
  <c r="B593" i="44"/>
  <c r="B594" i="44"/>
  <c r="B595" i="44"/>
  <c r="L595" i="44"/>
  <c r="B596" i="44"/>
  <c r="B597" i="44"/>
  <c r="B598" i="44"/>
  <c r="B599" i="44"/>
  <c r="B600" i="44"/>
  <c r="C600" i="44"/>
  <c r="L600" i="44" s="1"/>
  <c r="B601" i="44"/>
  <c r="B602" i="44"/>
  <c r="B603" i="44"/>
  <c r="L603" i="44"/>
  <c r="B604" i="44"/>
  <c r="B605" i="44"/>
  <c r="B606" i="44"/>
  <c r="B607" i="44"/>
  <c r="B608" i="44"/>
  <c r="B609" i="44"/>
  <c r="B610" i="44"/>
  <c r="B611" i="44"/>
  <c r="B612" i="44"/>
  <c r="B613" i="44"/>
  <c r="B614" i="44"/>
  <c r="B615" i="44"/>
  <c r="B616" i="44"/>
  <c r="C616" i="44"/>
  <c r="L616" i="44"/>
  <c r="B617" i="44"/>
  <c r="B618" i="44"/>
  <c r="B619" i="44"/>
  <c r="B620" i="44"/>
  <c r="B621" i="44"/>
  <c r="B622" i="44"/>
  <c r="B623" i="44"/>
  <c r="B624" i="44"/>
  <c r="B625" i="44"/>
  <c r="B626" i="44"/>
  <c r="B627" i="44"/>
  <c r="L627" i="44"/>
  <c r="B628" i="44"/>
  <c r="B629" i="44"/>
  <c r="B630" i="44"/>
  <c r="B631" i="44"/>
  <c r="B632" i="44"/>
  <c r="B633" i="44"/>
  <c r="B634" i="44"/>
  <c r="B635" i="44"/>
  <c r="B636" i="44"/>
  <c r="C636" i="44"/>
  <c r="L636" i="44" s="1"/>
  <c r="B637" i="44"/>
  <c r="B638" i="44"/>
  <c r="B639" i="44"/>
  <c r="B640" i="44"/>
  <c r="B641" i="44"/>
  <c r="B642" i="44"/>
  <c r="B643" i="44"/>
  <c r="B644" i="44"/>
  <c r="B645" i="44"/>
  <c r="B646" i="44"/>
  <c r="B647" i="44"/>
  <c r="B648" i="44"/>
  <c r="B649" i="44"/>
  <c r="B651" i="44"/>
  <c r="B652" i="44"/>
  <c r="C652" i="44"/>
  <c r="C733" i="44" s="1"/>
  <c r="L652" i="44"/>
  <c r="B653" i="44"/>
  <c r="B654" i="44"/>
  <c r="B655" i="44"/>
  <c r="B656" i="44"/>
  <c r="B657" i="44"/>
  <c r="C657" i="44"/>
  <c r="L657" i="44" s="1"/>
  <c r="B658" i="44"/>
  <c r="B659" i="44"/>
  <c r="B660" i="44"/>
  <c r="B661" i="44"/>
  <c r="B662" i="44"/>
  <c r="C662" i="44"/>
  <c r="B663" i="44"/>
  <c r="B664" i="44"/>
  <c r="B665" i="44"/>
  <c r="B666" i="44"/>
  <c r="B667" i="44"/>
  <c r="B668" i="44"/>
  <c r="B669" i="44"/>
  <c r="B670" i="44"/>
  <c r="B671" i="44"/>
  <c r="B672" i="44"/>
  <c r="C672" i="44"/>
  <c r="L672" i="44" s="1"/>
  <c r="B673" i="44"/>
  <c r="B674" i="44"/>
  <c r="B675" i="44"/>
  <c r="B676" i="44"/>
  <c r="C676" i="44"/>
  <c r="L676" i="44" s="1"/>
  <c r="B677" i="44"/>
  <c r="B678" i="44"/>
  <c r="B679" i="44"/>
  <c r="B680" i="44"/>
  <c r="B681" i="44"/>
  <c r="C681" i="44"/>
  <c r="L681" i="44" s="1"/>
  <c r="B682" i="44"/>
  <c r="B683" i="44"/>
  <c r="B684" i="44"/>
  <c r="B685" i="44"/>
  <c r="B686" i="44"/>
  <c r="B687" i="44"/>
  <c r="B688" i="44"/>
  <c r="B689" i="44"/>
  <c r="B690" i="44"/>
  <c r="B691" i="44"/>
  <c r="B692" i="44"/>
  <c r="B693" i="44"/>
  <c r="B694" i="44"/>
  <c r="B695" i="44"/>
  <c r="B696" i="44"/>
  <c r="B697" i="44"/>
  <c r="C697" i="44"/>
  <c r="L697" i="44" s="1"/>
  <c r="B698" i="44"/>
  <c r="B699" i="44"/>
  <c r="B700" i="44"/>
  <c r="B701" i="44"/>
  <c r="B702" i="44"/>
  <c r="B703" i="44"/>
  <c r="B704" i="44"/>
  <c r="B705" i="44"/>
  <c r="B706" i="44"/>
  <c r="B707" i="44"/>
  <c r="B708" i="44"/>
  <c r="C708" i="44"/>
  <c r="L708" i="44" s="1"/>
  <c r="B709" i="44"/>
  <c r="B710" i="44"/>
  <c r="B711" i="44"/>
  <c r="B712" i="44"/>
  <c r="B713" i="44"/>
  <c r="B714" i="44"/>
  <c r="B715" i="44"/>
  <c r="B716" i="44"/>
  <c r="B717" i="44"/>
  <c r="C717" i="44"/>
  <c r="L717" i="44"/>
  <c r="B718" i="44"/>
  <c r="B719" i="44"/>
  <c r="B720" i="44"/>
  <c r="B721" i="44"/>
  <c r="B722" i="44"/>
  <c r="B723" i="44"/>
  <c r="B724" i="44"/>
  <c r="B725" i="44"/>
  <c r="C725" i="44"/>
  <c r="B726" i="44"/>
  <c r="B727" i="44"/>
  <c r="B728" i="44"/>
  <c r="B729" i="44"/>
  <c r="B730" i="44"/>
  <c r="B732" i="44"/>
  <c r="B733" i="44"/>
  <c r="L733" i="44"/>
  <c r="B734" i="44"/>
  <c r="B735" i="44"/>
  <c r="B736" i="44"/>
  <c r="B737" i="44"/>
  <c r="B738" i="44"/>
  <c r="C738" i="44"/>
  <c r="L738" i="44" s="1"/>
  <c r="B739" i="44"/>
  <c r="B740" i="44"/>
  <c r="B741" i="44"/>
  <c r="B742" i="44"/>
  <c r="B743" i="44"/>
  <c r="B744" i="44"/>
  <c r="B745" i="44"/>
  <c r="B746" i="44"/>
  <c r="B747" i="44"/>
  <c r="B748" i="44"/>
  <c r="B749" i="44"/>
  <c r="B750" i="44"/>
  <c r="B751" i="44"/>
  <c r="B752" i="44"/>
  <c r="B753" i="44"/>
  <c r="C753" i="44"/>
  <c r="C834" i="44" s="1"/>
  <c r="C915" i="44" s="1"/>
  <c r="L915" i="44" s="1"/>
  <c r="B754" i="44"/>
  <c r="B755" i="44"/>
  <c r="B756" i="44"/>
  <c r="B757" i="44"/>
  <c r="C757" i="44"/>
  <c r="L757" i="44" s="1"/>
  <c r="B758" i="44"/>
  <c r="B759" i="44"/>
  <c r="B760" i="44"/>
  <c r="B761" i="44"/>
  <c r="B762" i="44"/>
  <c r="C762" i="44"/>
  <c r="L762" i="44" s="1"/>
  <c r="B763" i="44"/>
  <c r="B764" i="44"/>
  <c r="B765" i="44"/>
  <c r="B766" i="44"/>
  <c r="B767" i="44"/>
  <c r="B768" i="44"/>
  <c r="B769" i="44"/>
  <c r="B770" i="44"/>
  <c r="B771" i="44"/>
  <c r="B772" i="44"/>
  <c r="B773" i="44"/>
  <c r="B774" i="44"/>
  <c r="B775" i="44"/>
  <c r="B776" i="44"/>
  <c r="B777" i="44"/>
  <c r="B778" i="44"/>
  <c r="C778" i="44"/>
  <c r="L778" i="44" s="1"/>
  <c r="B779" i="44"/>
  <c r="B780" i="44"/>
  <c r="B781" i="44"/>
  <c r="B782" i="44"/>
  <c r="B783" i="44"/>
  <c r="B784" i="44"/>
  <c r="B785" i="44"/>
  <c r="B786" i="44"/>
  <c r="B787" i="44"/>
  <c r="B788" i="44"/>
  <c r="B789" i="44"/>
  <c r="C789" i="44"/>
  <c r="L789" i="44" s="1"/>
  <c r="B790" i="44"/>
  <c r="B791" i="44"/>
  <c r="B792" i="44"/>
  <c r="B793" i="44"/>
  <c r="B794" i="44"/>
  <c r="B795" i="44"/>
  <c r="B796" i="44"/>
  <c r="B797" i="44"/>
  <c r="B798" i="44"/>
  <c r="C798" i="44"/>
  <c r="L798" i="44"/>
  <c r="B799" i="44"/>
  <c r="B800" i="44"/>
  <c r="B801" i="44"/>
  <c r="B802" i="44"/>
  <c r="B803" i="44"/>
  <c r="B804" i="44"/>
  <c r="B805" i="44"/>
  <c r="B806" i="44"/>
  <c r="C806" i="44"/>
  <c r="C887" i="44" s="1"/>
  <c r="B807" i="44"/>
  <c r="B808" i="44"/>
  <c r="B809" i="44"/>
  <c r="B810" i="44"/>
  <c r="B811" i="44"/>
  <c r="B813" i="44"/>
  <c r="B814" i="44"/>
  <c r="C814" i="44"/>
  <c r="L814" i="44" s="1"/>
  <c r="B815" i="44"/>
  <c r="B816" i="44"/>
  <c r="B817" i="44"/>
  <c r="B818" i="44"/>
  <c r="B819" i="44"/>
  <c r="C819" i="44"/>
  <c r="L819" i="44" s="1"/>
  <c r="B820" i="44"/>
  <c r="B821" i="44"/>
  <c r="B822" i="44"/>
  <c r="B823" i="44"/>
  <c r="B824" i="44"/>
  <c r="B825" i="44"/>
  <c r="B826" i="44"/>
  <c r="B827" i="44"/>
  <c r="B828" i="44"/>
  <c r="B829" i="44"/>
  <c r="B830" i="44"/>
  <c r="B831" i="44"/>
  <c r="B832" i="44"/>
  <c r="B833" i="44"/>
  <c r="B834" i="44"/>
  <c r="L834" i="44"/>
  <c r="B835" i="44"/>
  <c r="B836" i="44"/>
  <c r="B837" i="44"/>
  <c r="B838" i="44"/>
  <c r="C838" i="44"/>
  <c r="B839" i="44"/>
  <c r="B840" i="44"/>
  <c r="B841" i="44"/>
  <c r="B842" i="44"/>
  <c r="B843" i="44"/>
  <c r="C843" i="44"/>
  <c r="L843" i="44" s="1"/>
  <c r="B844" i="44"/>
  <c r="B845" i="44"/>
  <c r="B846" i="44"/>
  <c r="B847" i="44"/>
  <c r="B848" i="44"/>
  <c r="B849" i="44"/>
  <c r="B850" i="44"/>
  <c r="B851" i="44"/>
  <c r="B852" i="44"/>
  <c r="B853" i="44"/>
  <c r="B854" i="44"/>
  <c r="B855" i="44"/>
  <c r="B856" i="44"/>
  <c r="B857" i="44"/>
  <c r="B858" i="44"/>
  <c r="B859" i="44"/>
  <c r="C859" i="44"/>
  <c r="L859" i="44" s="1"/>
  <c r="B860" i="44"/>
  <c r="B861" i="44"/>
  <c r="B862" i="44"/>
  <c r="B863" i="44"/>
  <c r="B864" i="44"/>
  <c r="B865" i="44"/>
  <c r="B866" i="44"/>
  <c r="B867" i="44"/>
  <c r="B868" i="44"/>
  <c r="B869" i="44"/>
  <c r="B870" i="44"/>
  <c r="B871" i="44"/>
  <c r="B872" i="44"/>
  <c r="B873" i="44"/>
  <c r="B874" i="44"/>
  <c r="B875" i="44"/>
  <c r="B876" i="44"/>
  <c r="B877" i="44"/>
  <c r="B878" i="44"/>
  <c r="B879" i="44"/>
  <c r="C879" i="44"/>
  <c r="L879" i="44"/>
  <c r="B880" i="44"/>
  <c r="B881" i="44"/>
  <c r="B882" i="44"/>
  <c r="B883" i="44"/>
  <c r="B884" i="44"/>
  <c r="B885" i="44"/>
  <c r="B886" i="44"/>
  <c r="B887" i="44"/>
  <c r="B888" i="44"/>
  <c r="B889" i="44"/>
  <c r="B890" i="44"/>
  <c r="B891" i="44"/>
  <c r="B892" i="44"/>
  <c r="B894" i="44"/>
  <c r="B895" i="44"/>
  <c r="C895" i="44"/>
  <c r="L895" i="44" s="1"/>
  <c r="B896" i="44"/>
  <c r="B897" i="44"/>
  <c r="B898" i="44"/>
  <c r="B899" i="44"/>
  <c r="B900" i="44"/>
  <c r="C900" i="44"/>
  <c r="L900" i="44" s="1"/>
  <c r="B901" i="44"/>
  <c r="B902" i="44"/>
  <c r="B903" i="44"/>
  <c r="B904" i="44"/>
  <c r="B905" i="44"/>
  <c r="B906" i="44"/>
  <c r="B907" i="44"/>
  <c r="B908" i="44"/>
  <c r="B909" i="44"/>
  <c r="B910" i="44"/>
  <c r="B911" i="44"/>
  <c r="B912" i="44"/>
  <c r="B913" i="44"/>
  <c r="B914" i="44"/>
  <c r="B915" i="44"/>
  <c r="B916" i="44"/>
  <c r="B917" i="44"/>
  <c r="B918" i="44"/>
  <c r="B919" i="44"/>
  <c r="B920" i="44"/>
  <c r="B921" i="44"/>
  <c r="B922" i="44"/>
  <c r="B923" i="44"/>
  <c r="B924" i="44"/>
  <c r="C924" i="44"/>
  <c r="L924" i="44" s="1"/>
  <c r="B925" i="44"/>
  <c r="B926" i="44"/>
  <c r="B927" i="44"/>
  <c r="B928" i="44"/>
  <c r="B929" i="44"/>
  <c r="B930" i="44"/>
  <c r="B931" i="44"/>
  <c r="B932" i="44"/>
  <c r="B933" i="44"/>
  <c r="B934" i="44"/>
  <c r="B935" i="44"/>
  <c r="B936" i="44"/>
  <c r="B937" i="44"/>
  <c r="B938" i="44"/>
  <c r="B939" i="44"/>
  <c r="B940" i="44"/>
  <c r="C940" i="44"/>
  <c r="L940" i="44"/>
  <c r="B941" i="44"/>
  <c r="B942" i="44"/>
  <c r="B943" i="44"/>
  <c r="B944" i="44"/>
  <c r="B945" i="44"/>
  <c r="B946" i="44"/>
  <c r="B947" i="44"/>
  <c r="B948" i="44"/>
  <c r="B949" i="44"/>
  <c r="B950" i="44"/>
  <c r="B951" i="44"/>
  <c r="B952" i="44"/>
  <c r="B953" i="44"/>
  <c r="B954" i="44"/>
  <c r="B955" i="44"/>
  <c r="B956" i="44"/>
  <c r="B957" i="44"/>
  <c r="B958" i="44"/>
  <c r="B959" i="44"/>
  <c r="B960" i="44"/>
  <c r="C960" i="44"/>
  <c r="L960" i="44"/>
  <c r="B961" i="44"/>
  <c r="B962" i="44"/>
  <c r="B963" i="44"/>
  <c r="B964" i="44"/>
  <c r="B965" i="44"/>
  <c r="B966" i="44"/>
  <c r="B967" i="44"/>
  <c r="B968" i="44"/>
  <c r="C968" i="44"/>
  <c r="B969" i="44"/>
  <c r="B970" i="44"/>
  <c r="B971" i="44"/>
  <c r="B972" i="44"/>
  <c r="B973" i="44"/>
  <c r="C1" i="46"/>
  <c r="C2" i="46"/>
  <c r="C3" i="46" s="1"/>
  <c r="C4" i="46" s="1"/>
  <c r="C5" i="46" s="1"/>
  <c r="C6" i="46" s="1"/>
  <c r="C7" i="46" s="1"/>
  <c r="C8" i="46" s="1"/>
  <c r="C9" i="46" s="1"/>
  <c r="C10" i="46" s="1"/>
  <c r="C11" i="46" s="1"/>
  <c r="C12" i="46" s="1"/>
  <c r="Q3" i="46"/>
  <c r="R3" i="46"/>
  <c r="K890" i="46" s="1"/>
  <c r="S3" i="46"/>
  <c r="T3" i="46"/>
  <c r="K856" i="46" s="1"/>
  <c r="U3" i="46"/>
  <c r="V3" i="46"/>
  <c r="W3" i="46"/>
  <c r="K931" i="46" s="1"/>
  <c r="X3" i="46"/>
  <c r="Y3" i="46"/>
  <c r="K897" i="46" s="1"/>
  <c r="Z3" i="46"/>
  <c r="K946" i="46" s="1"/>
  <c r="AA3" i="46"/>
  <c r="AB3" i="46"/>
  <c r="Q4" i="46"/>
  <c r="K949" i="46" s="1"/>
  <c r="R4" i="46"/>
  <c r="S4" i="46"/>
  <c r="T4" i="46"/>
  <c r="K952" i="46" s="1"/>
  <c r="U4" i="46"/>
  <c r="K953" i="46" s="1"/>
  <c r="V4" i="46"/>
  <c r="W4" i="46"/>
  <c r="K919" i="46" s="1"/>
  <c r="X4" i="46"/>
  <c r="Y4" i="46"/>
  <c r="K753" i="46" s="1"/>
  <c r="Z4" i="46"/>
  <c r="AA4" i="46"/>
  <c r="AB4" i="46"/>
  <c r="C13" i="46"/>
  <c r="C14" i="46" s="1"/>
  <c r="C15" i="46" s="1"/>
  <c r="K14" i="46"/>
  <c r="C16" i="46"/>
  <c r="C17" i="46" s="1"/>
  <c r="C18" i="46" s="1"/>
  <c r="C19" i="46" s="1"/>
  <c r="C20" i="46" s="1"/>
  <c r="C21" i="46" s="1"/>
  <c r="C22" i="46" s="1"/>
  <c r="C23" i="46" s="1"/>
  <c r="C24" i="46" s="1"/>
  <c r="C25" i="46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K26" i="46"/>
  <c r="K38" i="46" s="1"/>
  <c r="K50" i="46" s="1"/>
  <c r="K62" i="46" s="1"/>
  <c r="K74" i="46" s="1"/>
  <c r="K110" i="46" s="1"/>
  <c r="K122" i="46" s="1"/>
  <c r="C37" i="46"/>
  <c r="C38" i="46" s="1"/>
  <c r="C39" i="46"/>
  <c r="C40" i="46" s="1"/>
  <c r="C41" i="46" s="1"/>
  <c r="C42" i="46" s="1"/>
  <c r="C43" i="46" s="1"/>
  <c r="C44" i="46" s="1"/>
  <c r="C45" i="46" s="1"/>
  <c r="C46" i="46" s="1"/>
  <c r="C47" i="46"/>
  <c r="C48" i="46" s="1"/>
  <c r="C49" i="46"/>
  <c r="C50" i="46"/>
  <c r="C51" i="46" s="1"/>
  <c r="C52" i="46" s="1"/>
  <c r="C53" i="46" s="1"/>
  <c r="C54" i="46" s="1"/>
  <c r="C55" i="46" s="1"/>
  <c r="C56" i="46" s="1"/>
  <c r="C57" i="46" s="1"/>
  <c r="C58" i="46" s="1"/>
  <c r="C59" i="46" s="1"/>
  <c r="C60" i="46" s="1"/>
  <c r="C61" i="46"/>
  <c r="C62" i="46"/>
  <c r="C63" i="46" s="1"/>
  <c r="C64" i="46" s="1"/>
  <c r="C65" i="46" s="1"/>
  <c r="C66" i="46" s="1"/>
  <c r="C67" i="46" s="1"/>
  <c r="C68" i="46" s="1"/>
  <c r="C69" i="46" s="1"/>
  <c r="C70" i="46" s="1"/>
  <c r="C71" i="46" s="1"/>
  <c r="C72" i="46" s="1"/>
  <c r="C73" i="46"/>
  <c r="C74" i="46"/>
  <c r="C75" i="46" s="1"/>
  <c r="C76" i="46" s="1"/>
  <c r="C77" i="46" s="1"/>
  <c r="C78" i="46" s="1"/>
  <c r="C79" i="46" s="1"/>
  <c r="C80" i="46" s="1"/>
  <c r="C81" i="46" s="1"/>
  <c r="C82" i="46" s="1"/>
  <c r="C83" i="46" s="1"/>
  <c r="C84" i="46" s="1"/>
  <c r="C85" i="46"/>
  <c r="C86" i="46" s="1"/>
  <c r="C87" i="46" s="1"/>
  <c r="C88" i="46" s="1"/>
  <c r="C89" i="46" s="1"/>
  <c r="C90" i="46" s="1"/>
  <c r="C91" i="46" s="1"/>
  <c r="C92" i="46"/>
  <c r="C93" i="46"/>
  <c r="C94" i="46"/>
  <c r="C95" i="46" s="1"/>
  <c r="C96" i="46" s="1"/>
  <c r="C97" i="46"/>
  <c r="C98" i="46" s="1"/>
  <c r="C99" i="46"/>
  <c r="C100" i="46"/>
  <c r="C101" i="46"/>
  <c r="C102" i="46"/>
  <c r="C103" i="46"/>
  <c r="C104" i="46" s="1"/>
  <c r="C105" i="46"/>
  <c r="C106" i="46" s="1"/>
  <c r="C107" i="46" s="1"/>
  <c r="C108" i="46" s="1"/>
  <c r="C109" i="46"/>
  <c r="C110" i="46" s="1"/>
  <c r="C111" i="46" s="1"/>
  <c r="C112" i="46" s="1"/>
  <c r="C113" i="46" s="1"/>
  <c r="C114" i="46"/>
  <c r="C115" i="46" s="1"/>
  <c r="C116" i="46" s="1"/>
  <c r="C117" i="46" s="1"/>
  <c r="C118" i="46" s="1"/>
  <c r="C119" i="46" s="1"/>
  <c r="C120" i="46" s="1"/>
  <c r="C121" i="46"/>
  <c r="C122" i="46"/>
  <c r="C123" i="46"/>
  <c r="C124" i="46"/>
  <c r="C125" i="46" s="1"/>
  <c r="C126" i="46" s="1"/>
  <c r="C127" i="46"/>
  <c r="C128" i="46" s="1"/>
  <c r="C129" i="46" s="1"/>
  <c r="C130" i="46" s="1"/>
  <c r="C131" i="46" s="1"/>
  <c r="C132" i="46" s="1"/>
  <c r="C133" i="46"/>
  <c r="C134" i="46" s="1"/>
  <c r="C135" i="46" s="1"/>
  <c r="C136" i="46" s="1"/>
  <c r="K134" i="46"/>
  <c r="K146" i="46" s="1"/>
  <c r="K158" i="46" s="1"/>
  <c r="K170" i="46" s="1"/>
  <c r="C137" i="46"/>
  <c r="C138" i="46"/>
  <c r="C139" i="46" s="1"/>
  <c r="C140" i="46" s="1"/>
  <c r="C141" i="46" s="1"/>
  <c r="C142" i="46" s="1"/>
  <c r="C143" i="46" s="1"/>
  <c r="C144" i="46" s="1"/>
  <c r="C145" i="46"/>
  <c r="C146" i="46" s="1"/>
  <c r="C147" i="46"/>
  <c r="C148" i="46" s="1"/>
  <c r="C149" i="46"/>
  <c r="C150" i="46" s="1"/>
  <c r="C151" i="46" s="1"/>
  <c r="C152" i="46" s="1"/>
  <c r="C153" i="46" s="1"/>
  <c r="C154" i="46" s="1"/>
  <c r="C155" i="46" s="1"/>
  <c r="C156" i="46" s="1"/>
  <c r="C157" i="46"/>
  <c r="C158" i="46" s="1"/>
  <c r="C159" i="46"/>
  <c r="C160" i="46"/>
  <c r="C161" i="46" s="1"/>
  <c r="C162" i="46" s="1"/>
  <c r="C163" i="46" s="1"/>
  <c r="C164" i="46" s="1"/>
  <c r="C165" i="46" s="1"/>
  <c r="C166" i="46" s="1"/>
  <c r="C167" i="46" s="1"/>
  <c r="C168" i="46" s="1"/>
  <c r="C169" i="46"/>
  <c r="C170" i="46"/>
  <c r="C171" i="46"/>
  <c r="C172" i="46" s="1"/>
  <c r="C173" i="46" s="1"/>
  <c r="C174" i="46" s="1"/>
  <c r="C175" i="46" s="1"/>
  <c r="C176" i="46" s="1"/>
  <c r="C177" i="46" s="1"/>
  <c r="C178" i="46" s="1"/>
  <c r="C179" i="46" s="1"/>
  <c r="C180" i="46" s="1"/>
  <c r="C181" i="46"/>
  <c r="C182" i="46"/>
  <c r="C183" i="46" s="1"/>
  <c r="C184" i="46" s="1"/>
  <c r="C185" i="46" s="1"/>
  <c r="C186" i="46" s="1"/>
  <c r="C187" i="46" s="1"/>
  <c r="C188" i="46" s="1"/>
  <c r="C189" i="46" s="1"/>
  <c r="C190" i="46" s="1"/>
  <c r="C191" i="46" s="1"/>
  <c r="C192" i="46" s="1"/>
  <c r="C193" i="46"/>
  <c r="C194" i="46" s="1"/>
  <c r="C195" i="46" s="1"/>
  <c r="C196" i="46" s="1"/>
  <c r="C197" i="46" s="1"/>
  <c r="C198" i="46" s="1"/>
  <c r="C199" i="46" s="1"/>
  <c r="C200" i="46" s="1"/>
  <c r="C201" i="46" s="1"/>
  <c r="C202" i="46" s="1"/>
  <c r="C203" i="46" s="1"/>
  <c r="C204" i="46" s="1"/>
  <c r="K194" i="46"/>
  <c r="C205" i="46"/>
  <c r="C206" i="46" s="1"/>
  <c r="C207" i="46" s="1"/>
  <c r="C208" i="46" s="1"/>
  <c r="C209" i="46" s="1"/>
  <c r="C210" i="46" s="1"/>
  <c r="C211" i="46" s="1"/>
  <c r="C212" i="46" s="1"/>
  <c r="C213" i="46" s="1"/>
  <c r="K206" i="46"/>
  <c r="K218" i="46" s="1"/>
  <c r="K230" i="46" s="1"/>
  <c r="K242" i="46" s="1"/>
  <c r="K254" i="46" s="1"/>
  <c r="K266" i="46" s="1"/>
  <c r="K278" i="46" s="1"/>
  <c r="K290" i="46" s="1"/>
  <c r="K302" i="46" s="1"/>
  <c r="K314" i="46" s="1"/>
  <c r="K326" i="46" s="1"/>
  <c r="K338" i="46" s="1"/>
  <c r="K350" i="46" s="1"/>
  <c r="K362" i="46" s="1"/>
  <c r="K374" i="46" s="1"/>
  <c r="K386" i="46" s="1"/>
  <c r="K398" i="46" s="1"/>
  <c r="K410" i="46" s="1"/>
  <c r="K422" i="46" s="1"/>
  <c r="K434" i="46" s="1"/>
  <c r="K446" i="46" s="1"/>
  <c r="K458" i="46" s="1"/>
  <c r="K470" i="46" s="1"/>
  <c r="K482" i="46" s="1"/>
  <c r="K494" i="46" s="1"/>
  <c r="K506" i="46" s="1"/>
  <c r="K518" i="46" s="1"/>
  <c r="K530" i="46" s="1"/>
  <c r="K542" i="46" s="1"/>
  <c r="K554" i="46" s="1"/>
  <c r="K566" i="46" s="1"/>
  <c r="K578" i="46" s="1"/>
  <c r="C214" i="46"/>
  <c r="C215" i="46" s="1"/>
  <c r="C216" i="46" s="1"/>
  <c r="C217" i="46"/>
  <c r="C218" i="46" s="1"/>
  <c r="C219" i="46" s="1"/>
  <c r="C220" i="46" s="1"/>
  <c r="C221" i="46" s="1"/>
  <c r="C222" i="46" s="1"/>
  <c r="C223" i="46" s="1"/>
  <c r="C224" i="46" s="1"/>
  <c r="C225" i="46" s="1"/>
  <c r="C226" i="46" s="1"/>
  <c r="C227" i="46" s="1"/>
  <c r="C228" i="46" s="1"/>
  <c r="C229" i="46"/>
  <c r="C230" i="46" s="1"/>
  <c r="C231" i="46" s="1"/>
  <c r="C232" i="46" s="1"/>
  <c r="C233" i="46" s="1"/>
  <c r="C234" i="46" s="1"/>
  <c r="C235" i="46" s="1"/>
  <c r="C236" i="46" s="1"/>
  <c r="C237" i="46"/>
  <c r="C238" i="46" s="1"/>
  <c r="C239" i="46"/>
  <c r="C240" i="46" s="1"/>
  <c r="C241" i="46"/>
  <c r="C242" i="46" s="1"/>
  <c r="C243" i="46" s="1"/>
  <c r="C244" i="46" s="1"/>
  <c r="C245" i="46" s="1"/>
  <c r="C246" i="46" s="1"/>
  <c r="C247" i="46" s="1"/>
  <c r="C248" i="46" s="1"/>
  <c r="C249" i="46" s="1"/>
  <c r="C250" i="46" s="1"/>
  <c r="C251" i="46" s="1"/>
  <c r="C252" i="46" s="1"/>
  <c r="C253" i="46"/>
  <c r="C254" i="46"/>
  <c r="C255" i="46"/>
  <c r="C256" i="46"/>
  <c r="C257" i="46"/>
  <c r="C258" i="46" s="1"/>
  <c r="C259" i="46" s="1"/>
  <c r="C260" i="46" s="1"/>
  <c r="C261" i="46" s="1"/>
  <c r="C262" i="46" s="1"/>
  <c r="C263" i="46" s="1"/>
  <c r="C264" i="46" s="1"/>
  <c r="C265" i="46"/>
  <c r="C266" i="46"/>
  <c r="C267" i="46" s="1"/>
  <c r="C268" i="46"/>
  <c r="C269" i="46" s="1"/>
  <c r="C270" i="46"/>
  <c r="C271" i="46"/>
  <c r="C272" i="46" s="1"/>
  <c r="C273" i="46" s="1"/>
  <c r="C274" i="46" s="1"/>
  <c r="C275" i="46" s="1"/>
  <c r="C276" i="46" s="1"/>
  <c r="C277" i="46"/>
  <c r="C278" i="46"/>
  <c r="C279" i="46"/>
  <c r="C280" i="46" s="1"/>
  <c r="C281" i="46" s="1"/>
  <c r="C282" i="46" s="1"/>
  <c r="C283" i="46" s="1"/>
  <c r="C284" i="46" s="1"/>
  <c r="C285" i="46" s="1"/>
  <c r="C286" i="46" s="1"/>
  <c r="C287" i="46" s="1"/>
  <c r="C288" i="46" s="1"/>
  <c r="C289" i="46"/>
  <c r="C290" i="46" s="1"/>
  <c r="C291" i="46" s="1"/>
  <c r="C292" i="46" s="1"/>
  <c r="C293" i="46"/>
  <c r="C294" i="46" s="1"/>
  <c r="C295" i="46" s="1"/>
  <c r="C296" i="46" s="1"/>
  <c r="C297" i="46" s="1"/>
  <c r="C298" i="46" s="1"/>
  <c r="C299" i="46" s="1"/>
  <c r="C300" i="46" s="1"/>
  <c r="C301" i="46"/>
  <c r="C302" i="46" s="1"/>
  <c r="C303" i="46" s="1"/>
  <c r="C304" i="46" s="1"/>
  <c r="C305" i="46" s="1"/>
  <c r="C306" i="46" s="1"/>
  <c r="C307" i="46" s="1"/>
  <c r="C308" i="46" s="1"/>
  <c r="C309" i="46" s="1"/>
  <c r="C310" i="46" s="1"/>
  <c r="C311" i="46" s="1"/>
  <c r="C312" i="46" s="1"/>
  <c r="C313" i="46"/>
  <c r="C314" i="46" s="1"/>
  <c r="C315" i="46" s="1"/>
  <c r="C316" i="46" s="1"/>
  <c r="C317" i="46" s="1"/>
  <c r="C318" i="46" s="1"/>
  <c r="C319" i="46" s="1"/>
  <c r="C320" i="46" s="1"/>
  <c r="C321" i="46" s="1"/>
  <c r="C322" i="46" s="1"/>
  <c r="C323" i="46" s="1"/>
  <c r="C324" i="46" s="1"/>
  <c r="C325" i="46"/>
  <c r="C326" i="46"/>
  <c r="C327" i="46" s="1"/>
  <c r="C328" i="46" s="1"/>
  <c r="C329" i="46" s="1"/>
  <c r="C330" i="46" s="1"/>
  <c r="C331" i="46" s="1"/>
  <c r="C332" i="46" s="1"/>
  <c r="C333" i="46" s="1"/>
  <c r="C334" i="46" s="1"/>
  <c r="C335" i="46" s="1"/>
  <c r="C336" i="46" s="1"/>
  <c r="C337" i="46"/>
  <c r="C338" i="46"/>
  <c r="C339" i="46" s="1"/>
  <c r="C340" i="46" s="1"/>
  <c r="C341" i="46" s="1"/>
  <c r="C342" i="46" s="1"/>
  <c r="C343" i="46" s="1"/>
  <c r="C344" i="46" s="1"/>
  <c r="C345" i="46" s="1"/>
  <c r="C346" i="46" s="1"/>
  <c r="C347" i="46" s="1"/>
  <c r="C348" i="46" s="1"/>
  <c r="C349" i="46"/>
  <c r="C350" i="46"/>
  <c r="C351" i="46"/>
  <c r="C352" i="46"/>
  <c r="C353" i="46"/>
  <c r="C354" i="46"/>
  <c r="C355" i="46"/>
  <c r="C356" i="46" s="1"/>
  <c r="C357" i="46"/>
  <c r="C358" i="46" s="1"/>
  <c r="C359" i="46" s="1"/>
  <c r="C360" i="46" s="1"/>
  <c r="C361" i="46"/>
  <c r="C362" i="46" s="1"/>
  <c r="C363" i="46" s="1"/>
  <c r="C364" i="46" s="1"/>
  <c r="C365" i="46" s="1"/>
  <c r="C366" i="46"/>
  <c r="C367" i="46" s="1"/>
  <c r="C368" i="46" s="1"/>
  <c r="C369" i="46" s="1"/>
  <c r="C370" i="46" s="1"/>
  <c r="C371" i="46" s="1"/>
  <c r="C372" i="46" s="1"/>
  <c r="C373" i="46"/>
  <c r="C374" i="46"/>
  <c r="C375" i="46"/>
  <c r="C376" i="46"/>
  <c r="C377" i="46" s="1"/>
  <c r="C378" i="46" s="1"/>
  <c r="C379" i="46"/>
  <c r="C380" i="46" s="1"/>
  <c r="C381" i="46" s="1"/>
  <c r="C382" i="46" s="1"/>
  <c r="C383" i="46" s="1"/>
  <c r="C384" i="46" s="1"/>
  <c r="C385" i="46"/>
  <c r="C386" i="46" s="1"/>
  <c r="C387" i="46" s="1"/>
  <c r="C388" i="46" s="1"/>
  <c r="C389" i="46"/>
  <c r="C390" i="46"/>
  <c r="C391" i="46" s="1"/>
  <c r="C392" i="46" s="1"/>
  <c r="C393" i="46" s="1"/>
  <c r="C394" i="46" s="1"/>
  <c r="C395" i="46" s="1"/>
  <c r="C396" i="46" s="1"/>
  <c r="C397" i="46"/>
  <c r="C398" i="46" s="1"/>
  <c r="C399" i="46"/>
  <c r="C400" i="46" s="1"/>
  <c r="C401" i="46"/>
  <c r="C402" i="46" s="1"/>
  <c r="C403" i="46" s="1"/>
  <c r="C404" i="46" s="1"/>
  <c r="C405" i="46" s="1"/>
  <c r="C406" i="46" s="1"/>
  <c r="C407" i="46" s="1"/>
  <c r="C408" i="46" s="1"/>
  <c r="C409" i="46"/>
  <c r="C410" i="46" s="1"/>
  <c r="C411" i="46"/>
  <c r="C412" i="46"/>
  <c r="C413" i="46" s="1"/>
  <c r="C414" i="46" s="1"/>
  <c r="C415" i="46" s="1"/>
  <c r="C416" i="46" s="1"/>
  <c r="C417" i="46" s="1"/>
  <c r="C418" i="46" s="1"/>
  <c r="C419" i="46" s="1"/>
  <c r="C420" i="46" s="1"/>
  <c r="C421" i="46"/>
  <c r="C422" i="46"/>
  <c r="C423" i="46"/>
  <c r="C424" i="46" s="1"/>
  <c r="C425" i="46" s="1"/>
  <c r="C426" i="46" s="1"/>
  <c r="C427" i="46" s="1"/>
  <c r="C428" i="46" s="1"/>
  <c r="C429" i="46" s="1"/>
  <c r="C430" i="46" s="1"/>
  <c r="C431" i="46" s="1"/>
  <c r="C432" i="46" s="1"/>
  <c r="C433" i="46"/>
  <c r="C434" i="46"/>
  <c r="C435" i="46" s="1"/>
  <c r="C436" i="46" s="1"/>
  <c r="C437" i="46" s="1"/>
  <c r="C438" i="46" s="1"/>
  <c r="C439" i="46" s="1"/>
  <c r="C440" i="46" s="1"/>
  <c r="C441" i="46" s="1"/>
  <c r="C442" i="46" s="1"/>
  <c r="C443" i="46" s="1"/>
  <c r="C444" i="46" s="1"/>
  <c r="C445" i="46"/>
  <c r="C446" i="46"/>
  <c r="C447" i="46"/>
  <c r="C448" i="46" s="1"/>
  <c r="C449" i="46" s="1"/>
  <c r="C450" i="46" s="1"/>
  <c r="C451" i="46"/>
  <c r="C452" i="46" s="1"/>
  <c r="C453" i="46"/>
  <c r="C454" i="46" s="1"/>
  <c r="C455" i="46" s="1"/>
  <c r="C456" i="46" s="1"/>
  <c r="C457" i="46"/>
  <c r="C458" i="46" s="1"/>
  <c r="C459" i="46" s="1"/>
  <c r="C460" i="46" s="1"/>
  <c r="C461" i="46" s="1"/>
  <c r="C462" i="46" s="1"/>
  <c r="C463" i="46"/>
  <c r="C464" i="46" s="1"/>
  <c r="C465" i="46" s="1"/>
  <c r="C466" i="46" s="1"/>
  <c r="C467" i="46" s="1"/>
  <c r="C468" i="46" s="1"/>
  <c r="C469" i="46"/>
  <c r="C470" i="46"/>
  <c r="C471" i="46"/>
  <c r="C472" i="46"/>
  <c r="C473" i="46" s="1"/>
  <c r="C474" i="46" s="1"/>
  <c r="C475" i="46" s="1"/>
  <c r="C476" i="46" s="1"/>
  <c r="C477" i="46" s="1"/>
  <c r="C478" i="46" s="1"/>
  <c r="C479" i="46" s="1"/>
  <c r="C480" i="46" s="1"/>
  <c r="C481" i="46"/>
  <c r="C482" i="46" s="1"/>
  <c r="C483" i="46" s="1"/>
  <c r="C484" i="46" s="1"/>
  <c r="C485" i="46"/>
  <c r="C486" i="46"/>
  <c r="C487" i="46"/>
  <c r="C488" i="46" s="1"/>
  <c r="C489" i="46" s="1"/>
  <c r="C490" i="46" s="1"/>
  <c r="C491" i="46" s="1"/>
  <c r="C492" i="46" s="1"/>
  <c r="C493" i="46"/>
  <c r="C494" i="46" s="1"/>
  <c r="C495" i="46"/>
  <c r="C496" i="46" s="1"/>
  <c r="C497" i="46" s="1"/>
  <c r="C498" i="46" s="1"/>
  <c r="C499" i="46" s="1"/>
  <c r="C500" i="46" s="1"/>
  <c r="C501" i="46" s="1"/>
  <c r="C502" i="46" s="1"/>
  <c r="C503" i="46" s="1"/>
  <c r="C504" i="46" s="1"/>
  <c r="C505" i="46"/>
  <c r="C506" i="46" s="1"/>
  <c r="C507" i="46"/>
  <c r="C508" i="46"/>
  <c r="C509" i="46"/>
  <c r="C510" i="46" s="1"/>
  <c r="C511" i="46" s="1"/>
  <c r="C512" i="46" s="1"/>
  <c r="C513" i="46" s="1"/>
  <c r="C514" i="46" s="1"/>
  <c r="C515" i="46" s="1"/>
  <c r="C516" i="46" s="1"/>
  <c r="C517" i="46"/>
  <c r="C518" i="46"/>
  <c r="C519" i="46" s="1"/>
  <c r="C520" i="46" s="1"/>
  <c r="C521" i="46" s="1"/>
  <c r="C522" i="46" s="1"/>
  <c r="C523" i="46" s="1"/>
  <c r="C524" i="46" s="1"/>
  <c r="C525" i="46" s="1"/>
  <c r="C526" i="46" s="1"/>
  <c r="C527" i="46" s="1"/>
  <c r="C528" i="46" s="1"/>
  <c r="C529" i="46"/>
  <c r="C530" i="46"/>
  <c r="C531" i="46"/>
  <c r="C532" i="46" s="1"/>
  <c r="C533" i="46" s="1"/>
  <c r="C534" i="46" s="1"/>
  <c r="C535" i="46" s="1"/>
  <c r="C536" i="46" s="1"/>
  <c r="C537" i="46" s="1"/>
  <c r="C538" i="46" s="1"/>
  <c r="C539" i="46" s="1"/>
  <c r="C540" i="46"/>
  <c r="C541" i="46"/>
  <c r="C542" i="46"/>
  <c r="C543" i="46"/>
  <c r="C544" i="46" s="1"/>
  <c r="C545" i="46" s="1"/>
  <c r="C546" i="46" s="1"/>
  <c r="C547" i="46" s="1"/>
  <c r="C548" i="46" s="1"/>
  <c r="C549" i="46" s="1"/>
  <c r="C550" i="46" s="1"/>
  <c r="C551" i="46" s="1"/>
  <c r="C552" i="46" s="1"/>
  <c r="C553" i="46"/>
  <c r="C554" i="46" s="1"/>
  <c r="C555" i="46" s="1"/>
  <c r="C556" i="46" s="1"/>
  <c r="C557" i="46" s="1"/>
  <c r="C558" i="46" s="1"/>
  <c r="C559" i="46" s="1"/>
  <c r="C560" i="46"/>
  <c r="C561" i="46" s="1"/>
  <c r="C562" i="46"/>
  <c r="C563" i="46" s="1"/>
  <c r="C564" i="46" s="1"/>
  <c r="C565" i="46"/>
  <c r="C566" i="46"/>
  <c r="C567" i="46" s="1"/>
  <c r="C568" i="46" s="1"/>
  <c r="C569" i="46" s="1"/>
  <c r="C570" i="46" s="1"/>
  <c r="C571" i="46" s="1"/>
  <c r="C572" i="46" s="1"/>
  <c r="C573" i="46" s="1"/>
  <c r="C574" i="46" s="1"/>
  <c r="C575" i="46" s="1"/>
  <c r="C576" i="46" s="1"/>
  <c r="C577" i="46"/>
  <c r="C578" i="46" s="1"/>
  <c r="C579" i="46" s="1"/>
  <c r="C580" i="46" s="1"/>
  <c r="C581" i="46"/>
  <c r="C582" i="46"/>
  <c r="C583" i="46" s="1"/>
  <c r="C584" i="46" s="1"/>
  <c r="C585" i="46" s="1"/>
  <c r="C586" i="46" s="1"/>
  <c r="C587" i="46" s="1"/>
  <c r="C588" i="46" s="1"/>
  <c r="C589" i="46"/>
  <c r="C590" i="46"/>
  <c r="C591" i="46" s="1"/>
  <c r="C592" i="46" s="1"/>
  <c r="K592" i="46"/>
  <c r="K604" i="46" s="1"/>
  <c r="C593" i="46"/>
  <c r="C594" i="46" s="1"/>
  <c r="C595" i="46" s="1"/>
  <c r="C596" i="46" s="1"/>
  <c r="C597" i="46" s="1"/>
  <c r="C598" i="46" s="1"/>
  <c r="C599" i="46" s="1"/>
  <c r="C600" i="46" s="1"/>
  <c r="K593" i="46"/>
  <c r="K605" i="46" s="1"/>
  <c r="K594" i="46"/>
  <c r="K595" i="46"/>
  <c r="K596" i="46"/>
  <c r="K597" i="46"/>
  <c r="C601" i="46"/>
  <c r="K601" i="46"/>
  <c r="C602" i="46"/>
  <c r="C603" i="46" s="1"/>
  <c r="C604" i="46" s="1"/>
  <c r="C605" i="46"/>
  <c r="C606" i="46" s="1"/>
  <c r="C607" i="46" s="1"/>
  <c r="C608" i="46" s="1"/>
  <c r="K606" i="46"/>
  <c r="K607" i="46"/>
  <c r="K608" i="46"/>
  <c r="C609" i="46"/>
  <c r="C610" i="46" s="1"/>
  <c r="C611" i="46" s="1"/>
  <c r="C612" i="46" s="1"/>
  <c r="K609" i="46"/>
  <c r="C613" i="46"/>
  <c r="C614" i="46"/>
  <c r="C615" i="46"/>
  <c r="C616" i="46" s="1"/>
  <c r="C617" i="46"/>
  <c r="C618" i="46" s="1"/>
  <c r="C619" i="46" s="1"/>
  <c r="C620" i="46" s="1"/>
  <c r="C621" i="46" s="1"/>
  <c r="C622" i="46" s="1"/>
  <c r="C623" i="46" s="1"/>
  <c r="C624" i="46" s="1"/>
  <c r="C625" i="46"/>
  <c r="C626" i="46" s="1"/>
  <c r="C627" i="46"/>
  <c r="C628" i="46" s="1"/>
  <c r="C629" i="46" s="1"/>
  <c r="C630" i="46" s="1"/>
  <c r="C631" i="46" s="1"/>
  <c r="C632" i="46" s="1"/>
  <c r="C633" i="46" s="1"/>
  <c r="C634" i="46" s="1"/>
  <c r="C635" i="46" s="1"/>
  <c r="C636" i="46" s="1"/>
  <c r="C637" i="46"/>
  <c r="C638" i="46" s="1"/>
  <c r="C639" i="46"/>
  <c r="C640" i="46" s="1"/>
  <c r="C641" i="46"/>
  <c r="C642" i="46" s="1"/>
  <c r="C643" i="46" s="1"/>
  <c r="C644" i="46" s="1"/>
  <c r="C645" i="46" s="1"/>
  <c r="C646" i="46" s="1"/>
  <c r="C647" i="46" s="1"/>
  <c r="C648" i="46" s="1"/>
  <c r="C649" i="46"/>
  <c r="C650" i="46"/>
  <c r="C651" i="46" s="1"/>
  <c r="C652" i="46" s="1"/>
  <c r="C653" i="46" s="1"/>
  <c r="C654" i="46" s="1"/>
  <c r="C655" i="46" s="1"/>
  <c r="C656" i="46" s="1"/>
  <c r="C657" i="46" s="1"/>
  <c r="C658" i="46" s="1"/>
  <c r="C659" i="46" s="1"/>
  <c r="C660" i="46" s="1"/>
  <c r="K653" i="46"/>
  <c r="K654" i="46"/>
  <c r="K655" i="46"/>
  <c r="K656" i="46"/>
  <c r="K657" i="46"/>
  <c r="C661" i="46"/>
  <c r="C662" i="46"/>
  <c r="C663" i="46"/>
  <c r="C664" i="46"/>
  <c r="C665" i="46" s="1"/>
  <c r="C666" i="46" s="1"/>
  <c r="C667" i="46" s="1"/>
  <c r="C668" i="46" s="1"/>
  <c r="C669" i="46" s="1"/>
  <c r="C670" i="46" s="1"/>
  <c r="C671" i="46" s="1"/>
  <c r="C672" i="46" s="1"/>
  <c r="C673" i="46"/>
  <c r="C674" i="46" s="1"/>
  <c r="C675" i="46" s="1"/>
  <c r="C676" i="46" s="1"/>
  <c r="C677" i="46" s="1"/>
  <c r="C678" i="46" s="1"/>
  <c r="C679" i="46" s="1"/>
  <c r="C680" i="46" s="1"/>
  <c r="C681" i="46" s="1"/>
  <c r="C682" i="46" s="1"/>
  <c r="C683" i="46" s="1"/>
  <c r="C684" i="46" s="1"/>
  <c r="C685" i="46"/>
  <c r="C686" i="46"/>
  <c r="C687" i="46" s="1"/>
  <c r="C688" i="46" s="1"/>
  <c r="C689" i="46" s="1"/>
  <c r="C690" i="46" s="1"/>
  <c r="C691" i="46" s="1"/>
  <c r="C692" i="46" s="1"/>
  <c r="C693" i="46" s="1"/>
  <c r="C694" i="46"/>
  <c r="C695" i="46"/>
  <c r="C696" i="46"/>
  <c r="C697" i="46"/>
  <c r="C698" i="46" s="1"/>
  <c r="C699" i="46" s="1"/>
  <c r="C700" i="46"/>
  <c r="C701" i="46"/>
  <c r="C702" i="46"/>
  <c r="C703" i="46"/>
  <c r="C704" i="46"/>
  <c r="C705" i="46" s="1"/>
  <c r="C706" i="46"/>
  <c r="C707" i="46" s="1"/>
  <c r="C708" i="46" s="1"/>
  <c r="C709" i="46"/>
  <c r="C710" i="46" s="1"/>
  <c r="C711" i="46" s="1"/>
  <c r="C712" i="46" s="1"/>
  <c r="C713" i="46" s="1"/>
  <c r="C714" i="46" s="1"/>
  <c r="C715" i="46" s="1"/>
  <c r="C716" i="46" s="1"/>
  <c r="C717" i="46" s="1"/>
  <c r="C718" i="46" s="1"/>
  <c r="C719" i="46" s="1"/>
  <c r="C720" i="46" s="1"/>
  <c r="C721" i="46"/>
  <c r="C722" i="46" s="1"/>
  <c r="C723" i="46" s="1"/>
  <c r="C724" i="46" s="1"/>
  <c r="C725" i="46"/>
  <c r="C726" i="46" s="1"/>
  <c r="C727" i="46" s="1"/>
  <c r="C728" i="46"/>
  <c r="C729" i="46" s="1"/>
  <c r="C730" i="46"/>
  <c r="C731" i="46"/>
  <c r="C732" i="46" s="1"/>
  <c r="C733" i="46"/>
  <c r="C734" i="46"/>
  <c r="C735" i="46"/>
  <c r="C736" i="46" s="1"/>
  <c r="C737" i="46" s="1"/>
  <c r="C738" i="46"/>
  <c r="C739" i="46"/>
  <c r="C740" i="46"/>
  <c r="C741" i="46"/>
  <c r="C742" i="46" s="1"/>
  <c r="C743" i="46" s="1"/>
  <c r="C744" i="46" s="1"/>
  <c r="C745" i="46"/>
  <c r="C746" i="46"/>
  <c r="C747" i="46"/>
  <c r="C748" i="46"/>
  <c r="C749" i="46" s="1"/>
  <c r="C750" i="46" s="1"/>
  <c r="C751" i="46" s="1"/>
  <c r="C752" i="46" s="1"/>
  <c r="C753" i="46" s="1"/>
  <c r="C754" i="46" s="1"/>
  <c r="C755" i="46" s="1"/>
  <c r="C756" i="46" s="1"/>
  <c r="K751" i="46"/>
  <c r="K752" i="46"/>
  <c r="K756" i="46"/>
  <c r="C757" i="46"/>
  <c r="C758" i="46"/>
  <c r="C759" i="46" s="1"/>
  <c r="C760" i="46" s="1"/>
  <c r="C761" i="46" s="1"/>
  <c r="C762" i="46" s="1"/>
  <c r="C763" i="46" s="1"/>
  <c r="C764" i="46" s="1"/>
  <c r="C765" i="46" s="1"/>
  <c r="C766" i="46" s="1"/>
  <c r="C767" i="46" s="1"/>
  <c r="C768" i="46" s="1"/>
  <c r="C769" i="46"/>
  <c r="C770" i="46"/>
  <c r="C771" i="46" s="1"/>
  <c r="C772" i="46" s="1"/>
  <c r="C773" i="46" s="1"/>
  <c r="C774" i="46" s="1"/>
  <c r="C775" i="46" s="1"/>
  <c r="C776" i="46" s="1"/>
  <c r="C777" i="46"/>
  <c r="C778" i="46" s="1"/>
  <c r="C779" i="46" s="1"/>
  <c r="C780" i="46" s="1"/>
  <c r="C781" i="46"/>
  <c r="C782" i="46"/>
  <c r="C783" i="46" s="1"/>
  <c r="C784" i="46" s="1"/>
  <c r="C785" i="46" s="1"/>
  <c r="C786" i="46"/>
  <c r="C787" i="46"/>
  <c r="C788" i="46" s="1"/>
  <c r="C789" i="46" s="1"/>
  <c r="C790" i="46" s="1"/>
  <c r="C791" i="46"/>
  <c r="C792" i="46"/>
  <c r="C793" i="46"/>
  <c r="C794" i="46" s="1"/>
  <c r="C795" i="46" s="1"/>
  <c r="C796" i="46" s="1"/>
  <c r="C797" i="46" s="1"/>
  <c r="C798" i="46" s="1"/>
  <c r="C799" i="46" s="1"/>
  <c r="C800" i="46" s="1"/>
  <c r="C801" i="46" s="1"/>
  <c r="C802" i="46" s="1"/>
  <c r="C803" i="46" s="1"/>
  <c r="C804" i="46" s="1"/>
  <c r="C806" i="46"/>
  <c r="C807" i="46"/>
  <c r="C808" i="46" s="1"/>
  <c r="C809" i="46"/>
  <c r="C810" i="46" s="1"/>
  <c r="C811" i="46" s="1"/>
  <c r="C812" i="46" s="1"/>
  <c r="C813" i="46" s="1"/>
  <c r="C814" i="46" s="1"/>
  <c r="C815" i="46" s="1"/>
  <c r="C816" i="46" s="1"/>
  <c r="C818" i="46"/>
  <c r="C819" i="46" s="1"/>
  <c r="C820" i="46"/>
  <c r="C821" i="46" s="1"/>
  <c r="C822" i="46"/>
  <c r="C823" i="46"/>
  <c r="C824" i="46"/>
  <c r="C825" i="46" s="1"/>
  <c r="C826" i="46" s="1"/>
  <c r="C827" i="46" s="1"/>
  <c r="C828" i="46" s="1"/>
  <c r="C830" i="46"/>
  <c r="C831" i="46"/>
  <c r="C832" i="46" s="1"/>
  <c r="C833" i="46" s="1"/>
  <c r="C834" i="46" s="1"/>
  <c r="C835" i="46" s="1"/>
  <c r="C836" i="46" s="1"/>
  <c r="C837" i="46" s="1"/>
  <c r="C838" i="46" s="1"/>
  <c r="C839" i="46" s="1"/>
  <c r="C840" i="46" s="1"/>
  <c r="C842" i="46"/>
  <c r="C843" i="46" s="1"/>
  <c r="C844" i="46"/>
  <c r="C845" i="46" s="1"/>
  <c r="C846" i="46" s="1"/>
  <c r="C847" i="46" s="1"/>
  <c r="C848" i="46" s="1"/>
  <c r="C849" i="46" s="1"/>
  <c r="C850" i="46" s="1"/>
  <c r="C851" i="46" s="1"/>
  <c r="C852" i="46" s="1"/>
  <c r="C854" i="46"/>
  <c r="K854" i="46"/>
  <c r="C855" i="46"/>
  <c r="K855" i="46"/>
  <c r="C856" i="46"/>
  <c r="C857" i="46" s="1"/>
  <c r="C858" i="46" s="1"/>
  <c r="C859" i="46" s="1"/>
  <c r="C860" i="46" s="1"/>
  <c r="C861" i="46" s="1"/>
  <c r="C862" i="46" s="1"/>
  <c r="C863" i="46" s="1"/>
  <c r="C864" i="46" s="1"/>
  <c r="K857" i="46"/>
  <c r="K862" i="46"/>
  <c r="K863" i="46"/>
  <c r="C866" i="46"/>
  <c r="K866" i="46"/>
  <c r="C867" i="46"/>
  <c r="K867" i="46"/>
  <c r="C868" i="46"/>
  <c r="C869" i="46" s="1"/>
  <c r="C870" i="46" s="1"/>
  <c r="K868" i="46"/>
  <c r="K869" i="46"/>
  <c r="C871" i="46"/>
  <c r="C872" i="46" s="1"/>
  <c r="C873" i="46" s="1"/>
  <c r="C874" i="46" s="1"/>
  <c r="C875" i="46" s="1"/>
  <c r="C876" i="46" s="1"/>
  <c r="K871" i="46"/>
  <c r="K872" i="46"/>
  <c r="K873" i="46"/>
  <c r="K874" i="46"/>
  <c r="K875" i="46"/>
  <c r="K876" i="46"/>
  <c r="C878" i="46"/>
  <c r="C879" i="46"/>
  <c r="C880" i="46" s="1"/>
  <c r="C881" i="46" s="1"/>
  <c r="C882" i="46" s="1"/>
  <c r="C883" i="46" s="1"/>
  <c r="C884" i="46" s="1"/>
  <c r="K879" i="46"/>
  <c r="K880" i="46"/>
  <c r="C885" i="46"/>
  <c r="C886" i="46" s="1"/>
  <c r="C887" i="46" s="1"/>
  <c r="C888" i="46" s="1"/>
  <c r="K889" i="46"/>
  <c r="C890" i="46"/>
  <c r="L890" i="46"/>
  <c r="C891" i="46"/>
  <c r="K891" i="46"/>
  <c r="L891" i="46"/>
  <c r="L892" i="46" s="1"/>
  <c r="L893" i="46" s="1"/>
  <c r="L894" i="46" s="1"/>
  <c r="L895" i="46" s="1"/>
  <c r="L896" i="46" s="1"/>
  <c r="L897" i="46" s="1"/>
  <c r="L898" i="46" s="1"/>
  <c r="L899" i="46" s="1"/>
  <c r="L900" i="46" s="1"/>
  <c r="C892" i="46"/>
  <c r="C893" i="46" s="1"/>
  <c r="C894" i="46" s="1"/>
  <c r="K892" i="46"/>
  <c r="K893" i="46"/>
  <c r="C895" i="46"/>
  <c r="C896" i="46" s="1"/>
  <c r="C897" i="46" s="1"/>
  <c r="C898" i="46" s="1"/>
  <c r="K896" i="46"/>
  <c r="C899" i="46"/>
  <c r="C900" i="46" s="1"/>
  <c r="K901" i="46"/>
  <c r="C902" i="46"/>
  <c r="L902" i="46"/>
  <c r="C903" i="46"/>
  <c r="K903" i="46"/>
  <c r="L903" i="46"/>
  <c r="L904" i="46" s="1"/>
  <c r="L905" i="46" s="1"/>
  <c r="C904" i="46"/>
  <c r="C905" i="46" s="1"/>
  <c r="C906" i="46" s="1"/>
  <c r="K904" i="46"/>
  <c r="K905" i="46"/>
  <c r="K906" i="46"/>
  <c r="L906" i="46"/>
  <c r="C907" i="46"/>
  <c r="C908" i="46" s="1"/>
  <c r="C909" i="46" s="1"/>
  <c r="C910" i="46" s="1"/>
  <c r="C911" i="46" s="1"/>
  <c r="C912" i="46" s="1"/>
  <c r="L907" i="46"/>
  <c r="L908" i="46" s="1"/>
  <c r="L909" i="46" s="1"/>
  <c r="L910" i="46" s="1"/>
  <c r="L911" i="46" s="1"/>
  <c r="L912" i="46" s="1"/>
  <c r="K910" i="46"/>
  <c r="K911" i="46"/>
  <c r="K912" i="46"/>
  <c r="K913" i="46"/>
  <c r="C914" i="46"/>
  <c r="L914" i="46"/>
  <c r="L915" i="46" s="1"/>
  <c r="L916" i="46" s="1"/>
  <c r="L917" i="46" s="1"/>
  <c r="L918" i="46" s="1"/>
  <c r="L919" i="46" s="1"/>
  <c r="L920" i="46" s="1"/>
  <c r="L921" i="46" s="1"/>
  <c r="C915" i="46"/>
  <c r="C916" i="46" s="1"/>
  <c r="C917" i="46" s="1"/>
  <c r="C918" i="46" s="1"/>
  <c r="K915" i="46"/>
  <c r="K916" i="46"/>
  <c r="K918" i="46"/>
  <c r="K930" i="46" s="1"/>
  <c r="C919" i="46"/>
  <c r="C920" i="46"/>
  <c r="C921" i="46" s="1"/>
  <c r="C922" i="46" s="1"/>
  <c r="C923" i="46" s="1"/>
  <c r="C924" i="46" s="1"/>
  <c r="K920" i="46"/>
  <c r="K932" i="46" s="1"/>
  <c r="L922" i="46"/>
  <c r="L923" i="46" s="1"/>
  <c r="L924" i="46" s="1"/>
  <c r="K923" i="46"/>
  <c r="K924" i="46"/>
  <c r="K925" i="46"/>
  <c r="L925" i="46"/>
  <c r="L926" i="46" s="1"/>
  <c r="L927" i="46" s="1"/>
  <c r="C926" i="46"/>
  <c r="C927" i="46" s="1"/>
  <c r="K927" i="46"/>
  <c r="C928" i="46"/>
  <c r="C929" i="46" s="1"/>
  <c r="C930" i="46" s="1"/>
  <c r="C931" i="46" s="1"/>
  <c r="C932" i="46" s="1"/>
  <c r="C933" i="46" s="1"/>
  <c r="C934" i="46" s="1"/>
  <c r="C935" i="46" s="1"/>
  <c r="C936" i="46" s="1"/>
  <c r="K928" i="46"/>
  <c r="L928" i="46"/>
  <c r="L929" i="46" s="1"/>
  <c r="L930" i="46" s="1"/>
  <c r="L931" i="46" s="1"/>
  <c r="L932" i="46" s="1"/>
  <c r="L933" i="46" s="1"/>
  <c r="L934" i="46" s="1"/>
  <c r="L935" i="46" s="1"/>
  <c r="L936" i="46" s="1"/>
  <c r="K935" i="46"/>
  <c r="K936" i="46"/>
  <c r="K937" i="46"/>
  <c r="C938" i="46"/>
  <c r="C939" i="46" s="1"/>
  <c r="L938" i="46"/>
  <c r="L939" i="46"/>
  <c r="L940" i="46" s="1"/>
  <c r="L941" i="46" s="1"/>
  <c r="L942" i="46" s="1"/>
  <c r="L943" i="46" s="1"/>
  <c r="L944" i="46" s="1"/>
  <c r="L945" i="46" s="1"/>
  <c r="L946" i="46" s="1"/>
  <c r="L947" i="46" s="1"/>
  <c r="L948" i="46" s="1"/>
  <c r="C940" i="46"/>
  <c r="C941" i="46" s="1"/>
  <c r="C942" i="46" s="1"/>
  <c r="C943" i="46" s="1"/>
  <c r="C944" i="46" s="1"/>
  <c r="C945" i="46" s="1"/>
  <c r="C946" i="46" s="1"/>
  <c r="C947" i="46" s="1"/>
  <c r="C948" i="46" s="1"/>
  <c r="K940" i="46"/>
  <c r="K941" i="46"/>
  <c r="K947" i="46"/>
  <c r="K948" i="46"/>
  <c r="C950" i="46"/>
  <c r="C951" i="46" s="1"/>
  <c r="L950" i="46"/>
  <c r="L951" i="46" s="1"/>
  <c r="C952" i="46"/>
  <c r="C953" i="46" s="1"/>
  <c r="L952" i="46"/>
  <c r="L953" i="46"/>
  <c r="L954" i="46" s="1"/>
  <c r="L955" i="46" s="1"/>
  <c r="L956" i="46" s="1"/>
  <c r="L957" i="46" s="1"/>
  <c r="L958" i="46" s="1"/>
  <c r="L959" i="46" s="1"/>
  <c r="L960" i="46" s="1"/>
  <c r="C954" i="46"/>
  <c r="C955" i="46" s="1"/>
  <c r="C956" i="46" s="1"/>
  <c r="C957" i="46" s="1"/>
  <c r="C958" i="46" s="1"/>
  <c r="C959" i="46" s="1"/>
  <c r="C960" i="46" s="1"/>
  <c r="K954" i="46"/>
  <c r="K955" i="46"/>
  <c r="K956" i="46"/>
  <c r="K957" i="46"/>
  <c r="K959" i="46"/>
  <c r="K1" i="48"/>
  <c r="K2" i="48"/>
  <c r="K3" i="48" s="1"/>
  <c r="K4" i="48" s="1"/>
  <c r="K5" i="48" s="1"/>
  <c r="K6" i="48" s="1"/>
  <c r="K7" i="48" s="1"/>
  <c r="K8" i="48" s="1"/>
  <c r="K9" i="48" s="1"/>
  <c r="K10" i="48" s="1"/>
  <c r="K11" i="48" s="1"/>
  <c r="K12" i="48" s="1"/>
  <c r="K13" i="48"/>
  <c r="K14" i="48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/>
  <c r="K38" i="48"/>
  <c r="K39" i="48" s="1"/>
  <c r="K40" i="48"/>
  <c r="K41" i="48" s="1"/>
  <c r="K42" i="48" s="1"/>
  <c r="K43" i="48" s="1"/>
  <c r="K44" i="48" s="1"/>
  <c r="K45" i="48" s="1"/>
  <c r="K46" i="48" s="1"/>
  <c r="K47" i="48" s="1"/>
  <c r="K48" i="48" s="1"/>
  <c r="K49" i="48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/>
  <c r="K62" i="48" s="1"/>
  <c r="K63" i="48" s="1"/>
  <c r="K64" i="48" s="1"/>
  <c r="K65" i="48" s="1"/>
  <c r="K66" i="48" s="1"/>
  <c r="K67" i="48" s="1"/>
  <c r="K68" i="48" s="1"/>
  <c r="K69" i="48" s="1"/>
  <c r="K70" i="48" s="1"/>
  <c r="K71" i="48" s="1"/>
  <c r="K72" i="48" s="1"/>
  <c r="K73" i="48"/>
  <c r="K74" i="48" s="1"/>
  <c r="K75" i="48" s="1"/>
  <c r="K76" i="48" s="1"/>
  <c r="K77" i="48" s="1"/>
  <c r="K78" i="48" s="1"/>
  <c r="K79" i="48" s="1"/>
  <c r="K80" i="48" s="1"/>
  <c r="K81" i="48" s="1"/>
  <c r="K82" i="48" s="1"/>
  <c r="K83" i="48" s="1"/>
  <c r="K84" i="48" s="1"/>
  <c r="K109" i="48"/>
  <c r="K110" i="48" s="1"/>
  <c r="K111" i="48" s="1"/>
  <c r="K112" i="48" s="1"/>
  <c r="K113" i="48" s="1"/>
  <c r="K114" i="48" s="1"/>
  <c r="K115" i="48" s="1"/>
  <c r="K116" i="48" s="1"/>
  <c r="K117" i="48" s="1"/>
  <c r="K118" i="48" s="1"/>
  <c r="K119" i="48" s="1"/>
  <c r="K120" i="48" s="1"/>
  <c r="K121" i="48"/>
  <c r="K122" i="48" s="1"/>
  <c r="K123" i="48" s="1"/>
  <c r="K124" i="48" s="1"/>
  <c r="K125" i="48" s="1"/>
  <c r="K126" i="48" s="1"/>
  <c r="K127" i="48" s="1"/>
  <c r="K128" i="48" s="1"/>
  <c r="K129" i="48" s="1"/>
  <c r="K130" i="48" s="1"/>
  <c r="K131" i="48" s="1"/>
  <c r="K132" i="48" s="1"/>
  <c r="K133" i="48"/>
  <c r="K134" i="48" s="1"/>
  <c r="K135" i="48" s="1"/>
  <c r="K136" i="48" s="1"/>
  <c r="K137" i="48" s="1"/>
  <c r="K138" i="48" s="1"/>
  <c r="K139" i="48" s="1"/>
  <c r="K140" i="48" s="1"/>
  <c r="K141" i="48" s="1"/>
  <c r="K142" i="48" s="1"/>
  <c r="K143" i="48" s="1"/>
  <c r="K144" i="48" s="1"/>
  <c r="K145" i="48"/>
  <c r="K146" i="48" s="1"/>
  <c r="K147" i="48" s="1"/>
  <c r="K148" i="48" s="1"/>
  <c r="K149" i="48" s="1"/>
  <c r="K150" i="48" s="1"/>
  <c r="K151" i="48" s="1"/>
  <c r="K152" i="48" s="1"/>
  <c r="K153" i="48" s="1"/>
  <c r="K154" i="48" s="1"/>
  <c r="K155" i="48" s="1"/>
  <c r="K156" i="48" s="1"/>
  <c r="K157" i="48"/>
  <c r="K158" i="48" s="1"/>
  <c r="K159" i="48" s="1"/>
  <c r="K160" i="48"/>
  <c r="K161" i="48" s="1"/>
  <c r="K162" i="48" s="1"/>
  <c r="K163" i="48" s="1"/>
  <c r="K164" i="48" s="1"/>
  <c r="K165" i="48" s="1"/>
  <c r="K166" i="48" s="1"/>
  <c r="K167" i="48" s="1"/>
  <c r="K168" i="48" s="1"/>
  <c r="K170" i="48"/>
  <c r="K171" i="48"/>
  <c r="K172" i="48" s="1"/>
  <c r="K173" i="48"/>
  <c r="K174" i="48"/>
  <c r="K175" i="48" s="1"/>
  <c r="K176" i="48" s="1"/>
  <c r="K177" i="48" s="1"/>
  <c r="K178" i="48" s="1"/>
  <c r="K179" i="48" s="1"/>
  <c r="K180" i="48" s="1"/>
  <c r="K181" i="48"/>
  <c r="K182" i="48"/>
  <c r="K183" i="48" s="1"/>
  <c r="K184" i="48" s="1"/>
  <c r="K185" i="48" s="1"/>
  <c r="K186" i="48" s="1"/>
  <c r="K187" i="48" s="1"/>
  <c r="K188" i="48" s="1"/>
  <c r="K189" i="48" s="1"/>
  <c r="K190" i="48" s="1"/>
  <c r="K191" i="48" s="1"/>
  <c r="K192" i="48" s="1"/>
  <c r="K193" i="48"/>
  <c r="K194" i="48" s="1"/>
  <c r="K195" i="48" s="1"/>
  <c r="K196" i="48" s="1"/>
  <c r="K197" i="48" s="1"/>
  <c r="K198" i="48" s="1"/>
  <c r="K199" i="48" s="1"/>
  <c r="K200" i="48" s="1"/>
  <c r="K201" i="48" s="1"/>
  <c r="K202" i="48" s="1"/>
  <c r="K203" i="48" s="1"/>
  <c r="K204" i="48" s="1"/>
  <c r="K205" i="48"/>
  <c r="K206" i="48" s="1"/>
  <c r="K207" i="48" s="1"/>
  <c r="K208" i="48" s="1"/>
  <c r="K209" i="48" s="1"/>
  <c r="K210" i="48" s="1"/>
  <c r="K211" i="48" s="1"/>
  <c r="K212" i="48" s="1"/>
  <c r="K213" i="48" s="1"/>
  <c r="K214" i="48" s="1"/>
  <c r="K215" i="48" s="1"/>
  <c r="K216" i="48" s="1"/>
  <c r="K218" i="48"/>
  <c r="K219" i="48" s="1"/>
  <c r="K220" i="48" s="1"/>
  <c r="K221" i="48"/>
  <c r="K222" i="48" s="1"/>
  <c r="K223" i="48" s="1"/>
  <c r="K224" i="48" s="1"/>
  <c r="K225" i="48" s="1"/>
  <c r="K226" i="48" s="1"/>
  <c r="K227" i="48" s="1"/>
  <c r="K228" i="48" s="1"/>
  <c r="K230" i="48"/>
  <c r="K231" i="48" s="1"/>
  <c r="K232" i="48" s="1"/>
  <c r="K233" i="48" s="1"/>
  <c r="K234" i="48" s="1"/>
  <c r="K235" i="48" s="1"/>
  <c r="K236" i="48"/>
  <c r="K237" i="48" s="1"/>
  <c r="K238" i="48" s="1"/>
  <c r="K239" i="48" s="1"/>
  <c r="K240" i="48" s="1"/>
  <c r="K241" i="48"/>
  <c r="K242" i="48" s="1"/>
  <c r="K243" i="48"/>
  <c r="K244" i="48" s="1"/>
  <c r="K245" i="48" s="1"/>
  <c r="K246" i="48" s="1"/>
  <c r="K247" i="48" s="1"/>
  <c r="K248" i="48"/>
  <c r="K249" i="48" s="1"/>
  <c r="K250" i="48" s="1"/>
  <c r="K251" i="48" s="1"/>
  <c r="K252" i="48" s="1"/>
  <c r="K253" i="48"/>
  <c r="K254" i="48" s="1"/>
  <c r="K255" i="48" s="1"/>
  <c r="K256" i="48" s="1"/>
  <c r="K257" i="48" s="1"/>
  <c r="K258" i="48" s="1"/>
  <c r="K259" i="48" s="1"/>
  <c r="K260" i="48" s="1"/>
  <c r="K261" i="48" s="1"/>
  <c r="K262" i="48" s="1"/>
  <c r="K263" i="48" s="1"/>
  <c r="K264" i="48" s="1"/>
  <c r="K265" i="48"/>
  <c r="K266" i="48" s="1"/>
  <c r="K267" i="48"/>
  <c r="K268" i="48" s="1"/>
  <c r="K269" i="48" s="1"/>
  <c r="K270" i="48" s="1"/>
  <c r="K271" i="48" s="1"/>
  <c r="K272" i="48" s="1"/>
  <c r="K273" i="48" s="1"/>
  <c r="K274" i="48" s="1"/>
  <c r="K275" i="48" s="1"/>
  <c r="K276" i="48" s="1"/>
  <c r="K277" i="48"/>
  <c r="K278" i="48" s="1"/>
  <c r="K279" i="48" s="1"/>
  <c r="K280" i="48" s="1"/>
  <c r="K281" i="48"/>
  <c r="K282" i="48" s="1"/>
  <c r="K283" i="48" s="1"/>
  <c r="K284" i="48" s="1"/>
  <c r="K285" i="48" s="1"/>
  <c r="K286" i="48" s="1"/>
  <c r="K287" i="48" s="1"/>
  <c r="K288" i="48" s="1"/>
  <c r="K289" i="48"/>
  <c r="K290" i="48" s="1"/>
  <c r="K291" i="48" s="1"/>
  <c r="K292" i="48" s="1"/>
  <c r="K293" i="48" s="1"/>
  <c r="K294" i="48" s="1"/>
  <c r="K295" i="48" s="1"/>
  <c r="K296" i="48" s="1"/>
  <c r="K297" i="48" s="1"/>
  <c r="K298" i="48" s="1"/>
  <c r="K299" i="48" s="1"/>
  <c r="K300" i="48" s="1"/>
  <c r="K301" i="48"/>
  <c r="K302" i="48" s="1"/>
  <c r="K303" i="48" s="1"/>
  <c r="K304" i="48" s="1"/>
  <c r="K305" i="48" s="1"/>
  <c r="K306" i="48" s="1"/>
  <c r="K307" i="48" s="1"/>
  <c r="K308" i="48" s="1"/>
  <c r="K309" i="48" s="1"/>
  <c r="K310" i="48" s="1"/>
  <c r="K311" i="48" s="1"/>
  <c r="K312" i="48" s="1"/>
  <c r="K313" i="48"/>
  <c r="K314" i="48" s="1"/>
  <c r="K315" i="48" s="1"/>
  <c r="K316" i="48" s="1"/>
  <c r="K317" i="48" s="1"/>
  <c r="K318" i="48" s="1"/>
  <c r="K319" i="48" s="1"/>
  <c r="K320" i="48" s="1"/>
  <c r="K321" i="48" s="1"/>
  <c r="K322" i="48" s="1"/>
  <c r="K323" i="48" s="1"/>
  <c r="K324" i="48" s="1"/>
  <c r="K325" i="48"/>
  <c r="K326" i="48" s="1"/>
  <c r="K327" i="48" s="1"/>
  <c r="K328" i="48" s="1"/>
  <c r="K329" i="48" s="1"/>
  <c r="K330" i="48" s="1"/>
  <c r="K331" i="48" s="1"/>
  <c r="K332" i="48" s="1"/>
  <c r="K333" i="48" s="1"/>
  <c r="K334" i="48" s="1"/>
  <c r="K335" i="48" s="1"/>
  <c r="K336" i="48" s="1"/>
  <c r="K337" i="48"/>
  <c r="K338" i="48" s="1"/>
  <c r="K339" i="48" s="1"/>
  <c r="K340" i="48" s="1"/>
  <c r="K341" i="48" s="1"/>
  <c r="K342" i="48" s="1"/>
  <c r="K343" i="48" s="1"/>
  <c r="K344" i="48" s="1"/>
  <c r="K345" i="48" s="1"/>
  <c r="K346" i="48" s="1"/>
  <c r="K347" i="48" s="1"/>
  <c r="K348" i="48" s="1"/>
  <c r="K349" i="48"/>
  <c r="K350" i="48" s="1"/>
  <c r="K351" i="48" s="1"/>
  <c r="K352" i="48" s="1"/>
  <c r="K353" i="48" s="1"/>
  <c r="K354" i="48" s="1"/>
  <c r="K355" i="48" s="1"/>
  <c r="K356" i="48" s="1"/>
  <c r="K357" i="48" s="1"/>
  <c r="K358" i="48" s="1"/>
  <c r="K359" i="48" s="1"/>
  <c r="K360" i="48" s="1"/>
  <c r="K361" i="48"/>
  <c r="K362" i="48" s="1"/>
  <c r="K363" i="48" s="1"/>
  <c r="K364" i="48" s="1"/>
  <c r="K365" i="48"/>
  <c r="K366" i="48" s="1"/>
  <c r="K367" i="48" s="1"/>
  <c r="K368" i="48" s="1"/>
  <c r="K369" i="48" s="1"/>
  <c r="K370" i="48" s="1"/>
  <c r="K371" i="48" s="1"/>
  <c r="K372" i="48" s="1"/>
  <c r="K373" i="48"/>
  <c r="K374" i="48" s="1"/>
  <c r="K375" i="48" s="1"/>
  <c r="K376" i="48" s="1"/>
  <c r="K377" i="48" s="1"/>
  <c r="K378" i="48" s="1"/>
  <c r="K379" i="48" s="1"/>
  <c r="K380" i="48" s="1"/>
  <c r="K381" i="48" s="1"/>
  <c r="K382" i="48" s="1"/>
  <c r="K383" i="48" s="1"/>
  <c r="K384" i="48" s="1"/>
  <c r="K385" i="48"/>
  <c r="K386" i="48" s="1"/>
  <c r="K387" i="48" s="1"/>
  <c r="K388" i="48" s="1"/>
  <c r="K389" i="48" s="1"/>
  <c r="K390" i="48"/>
  <c r="K391" i="48" s="1"/>
  <c r="K392" i="48" s="1"/>
  <c r="K393" i="48" s="1"/>
  <c r="K394" i="48" s="1"/>
  <c r="K395" i="48" s="1"/>
  <c r="K396" i="48" s="1"/>
  <c r="K397" i="48"/>
  <c r="K398" i="48" s="1"/>
  <c r="K399" i="48" s="1"/>
  <c r="K400" i="48" s="1"/>
  <c r="K401" i="48" s="1"/>
  <c r="K402" i="48" s="1"/>
  <c r="K403" i="48" s="1"/>
  <c r="K404" i="48" s="1"/>
  <c r="K405" i="48" s="1"/>
  <c r="K406" i="48" s="1"/>
  <c r="K407" i="48" s="1"/>
  <c r="K408" i="48" s="1"/>
  <c r="K409" i="48"/>
  <c r="K410" i="48" s="1"/>
  <c r="K411" i="48" s="1"/>
  <c r="K412" i="48" s="1"/>
  <c r="K413" i="48"/>
  <c r="K414" i="48" s="1"/>
  <c r="K415" i="48" s="1"/>
  <c r="K416" i="48" s="1"/>
  <c r="K417" i="48"/>
  <c r="K418" i="48" s="1"/>
  <c r="K419" i="48" s="1"/>
  <c r="K420" i="48" s="1"/>
  <c r="K421" i="48"/>
  <c r="K422" i="48" s="1"/>
  <c r="K423" i="48" s="1"/>
  <c r="K424" i="48" s="1"/>
  <c r="K425" i="48" s="1"/>
  <c r="K426" i="48" s="1"/>
  <c r="K427" i="48" s="1"/>
  <c r="K428" i="48" s="1"/>
  <c r="K429" i="48" s="1"/>
  <c r="K430" i="48" s="1"/>
  <c r="K431" i="48" s="1"/>
  <c r="K432" i="48" s="1"/>
  <c r="K433" i="48"/>
  <c r="K434" i="48" s="1"/>
  <c r="K435" i="48" s="1"/>
  <c r="K436" i="48" s="1"/>
  <c r="K437" i="48"/>
  <c r="K438" i="48" s="1"/>
  <c r="K439" i="48" s="1"/>
  <c r="K440" i="48" s="1"/>
  <c r="K441" i="48" s="1"/>
  <c r="K442" i="48" s="1"/>
  <c r="K443" i="48" s="1"/>
  <c r="K444" i="48" s="1"/>
  <c r="K446" i="48"/>
  <c r="K447" i="48" s="1"/>
  <c r="K448" i="48"/>
  <c r="K449" i="48" s="1"/>
  <c r="K450" i="48"/>
  <c r="K451" i="48" s="1"/>
  <c r="K452" i="48" s="1"/>
  <c r="K453" i="48" s="1"/>
  <c r="K454" i="48" s="1"/>
  <c r="K455" i="48" s="1"/>
  <c r="K456" i="48" s="1"/>
  <c r="K458" i="48"/>
  <c r="K459" i="48" s="1"/>
  <c r="K460" i="48" s="1"/>
  <c r="K461" i="48"/>
  <c r="K462" i="48" s="1"/>
  <c r="K463" i="48" s="1"/>
  <c r="K464" i="48" s="1"/>
  <c r="K465" i="48" s="1"/>
  <c r="K466" i="48" s="1"/>
  <c r="K467" i="48" s="1"/>
  <c r="K468" i="48" s="1"/>
  <c r="K470" i="48"/>
  <c r="K471" i="48"/>
  <c r="K472" i="48"/>
  <c r="K473" i="48" s="1"/>
  <c r="K474" i="48" s="1"/>
  <c r="K475" i="48" s="1"/>
  <c r="K476" i="48" s="1"/>
  <c r="K477" i="48" s="1"/>
  <c r="K478" i="48" s="1"/>
  <c r="K479" i="48" s="1"/>
  <c r="K480" i="48" s="1"/>
  <c r="K482" i="48"/>
  <c r="K483" i="48"/>
  <c r="K484" i="48" s="1"/>
  <c r="K485" i="48" s="1"/>
  <c r="K486" i="48" s="1"/>
  <c r="K487" i="48" s="1"/>
  <c r="K488" i="48" s="1"/>
  <c r="K489" i="48" s="1"/>
  <c r="K490" i="48" s="1"/>
  <c r="K491" i="48" s="1"/>
  <c r="K492" i="48" s="1"/>
  <c r="K493" i="48"/>
  <c r="K494" i="48" s="1"/>
  <c r="K495" i="48" s="1"/>
  <c r="K496" i="48" s="1"/>
  <c r="K497" i="48" s="1"/>
  <c r="K498" i="48" s="1"/>
  <c r="K499" i="48" s="1"/>
  <c r="K500" i="48" s="1"/>
  <c r="K501" i="48" s="1"/>
  <c r="K502" i="48" s="1"/>
  <c r="K503" i="48" s="1"/>
  <c r="K504" i="48" s="1"/>
  <c r="K506" i="48"/>
  <c r="K507" i="48" s="1"/>
  <c r="K508" i="48" s="1"/>
  <c r="K509" i="48"/>
  <c r="K510" i="48" s="1"/>
  <c r="K511" i="48" s="1"/>
  <c r="K512" i="48" s="1"/>
  <c r="K513" i="48" s="1"/>
  <c r="K514" i="48" s="1"/>
  <c r="K515" i="48" s="1"/>
  <c r="K516" i="48" s="1"/>
  <c r="K518" i="48"/>
  <c r="K519" i="48"/>
  <c r="K520" i="48" s="1"/>
  <c r="K521" i="48" s="1"/>
  <c r="K522" i="48" s="1"/>
  <c r="K523" i="48" s="1"/>
  <c r="K524" i="48"/>
  <c r="K525" i="48" s="1"/>
  <c r="K526" i="48" s="1"/>
  <c r="K527" i="48" s="1"/>
  <c r="K528" i="48" s="1"/>
  <c r="K530" i="48"/>
  <c r="K531" i="48"/>
  <c r="K532" i="48" s="1"/>
  <c r="K533" i="48" s="1"/>
  <c r="K534" i="48" s="1"/>
  <c r="K535" i="48" s="1"/>
  <c r="K536" i="48" s="1"/>
  <c r="K537" i="48" s="1"/>
  <c r="K538" i="48" s="1"/>
  <c r="K539" i="48" s="1"/>
  <c r="K540" i="48" s="1"/>
  <c r="K542" i="48"/>
  <c r="K543" i="48" s="1"/>
  <c r="K544" i="48" s="1"/>
  <c r="K545" i="48" s="1"/>
  <c r="K546" i="48" s="1"/>
  <c r="K548" i="48"/>
  <c r="K549" i="48" s="1"/>
  <c r="K550" i="48"/>
  <c r="K551" i="48" s="1"/>
  <c r="K552" i="48" s="1"/>
  <c r="K554" i="48"/>
  <c r="K555" i="48" s="1"/>
  <c r="K556" i="48" s="1"/>
  <c r="K557" i="48" s="1"/>
  <c r="K558" i="48" s="1"/>
  <c r="K559" i="48" s="1"/>
  <c r="K560" i="48"/>
  <c r="K561" i="48"/>
  <c r="K562" i="48" s="1"/>
  <c r="K563" i="48" s="1"/>
  <c r="K564" i="48" s="1"/>
  <c r="K566" i="48"/>
  <c r="K567" i="48" s="1"/>
  <c r="K568" i="48" s="1"/>
  <c r="K569" i="48" s="1"/>
  <c r="K570" i="48" s="1"/>
  <c r="K571" i="48"/>
  <c r="K572" i="48" s="1"/>
  <c r="K573" i="48" s="1"/>
  <c r="K574" i="48" s="1"/>
  <c r="K575" i="48" s="1"/>
  <c r="K576" i="48" s="1"/>
  <c r="K579" i="48"/>
  <c r="K580" i="48" s="1"/>
  <c r="K581" i="48" s="1"/>
  <c r="K582" i="48" s="1"/>
  <c r="K583" i="48" s="1"/>
  <c r="K584" i="48" s="1"/>
  <c r="K585" i="48" s="1"/>
  <c r="K586" i="48" s="1"/>
  <c r="K587" i="48" s="1"/>
  <c r="K588" i="48" s="1"/>
  <c r="K591" i="48"/>
  <c r="K592" i="48"/>
  <c r="K593" i="48" s="1"/>
  <c r="K594" i="48" s="1"/>
  <c r="K595" i="48" s="1"/>
  <c r="K596" i="48" s="1"/>
  <c r="K597" i="48" s="1"/>
  <c r="K598" i="48" s="1"/>
  <c r="K599" i="48" s="1"/>
  <c r="K600" i="48" s="1"/>
  <c r="K603" i="48"/>
  <c r="K604" i="48"/>
  <c r="K605" i="48" s="1"/>
  <c r="K606" i="48"/>
  <c r="K607" i="48" s="1"/>
  <c r="K608" i="48" s="1"/>
  <c r="K609" i="48" s="1"/>
  <c r="K610" i="48" s="1"/>
  <c r="K611" i="48" s="1"/>
  <c r="K612" i="48" s="1"/>
  <c r="K614" i="48"/>
  <c r="K615" i="48" s="1"/>
  <c r="K616" i="48" s="1"/>
  <c r="K617" i="48" s="1"/>
  <c r="K618" i="48" s="1"/>
  <c r="K619" i="48" s="1"/>
  <c r="K620" i="48" s="1"/>
  <c r="K621" i="48" s="1"/>
  <c r="K622" i="48" s="1"/>
  <c r="K623" i="48" s="1"/>
  <c r="K624" i="48" s="1"/>
  <c r="K626" i="48"/>
  <c r="K627" i="48" s="1"/>
  <c r="K628" i="48"/>
  <c r="K629" i="48" s="1"/>
  <c r="K630" i="48" s="1"/>
  <c r="K631" i="48" s="1"/>
  <c r="K632" i="48" s="1"/>
  <c r="K633" i="48" s="1"/>
  <c r="K634" i="48" s="1"/>
  <c r="K635" i="48" s="1"/>
  <c r="K636" i="48" s="1"/>
  <c r="K638" i="48"/>
  <c r="K639" i="48"/>
  <c r="K640" i="48" s="1"/>
  <c r="K641" i="48"/>
  <c r="K642" i="48" s="1"/>
  <c r="K643" i="48" s="1"/>
  <c r="K644" i="48" s="1"/>
  <c r="K645" i="48" s="1"/>
  <c r="K646" i="48" s="1"/>
  <c r="K647" i="48" s="1"/>
  <c r="K648" i="48" s="1"/>
  <c r="K650" i="48"/>
  <c r="K651" i="48"/>
  <c r="K652" i="48" s="1"/>
  <c r="K654" i="48"/>
  <c r="K655" i="48"/>
  <c r="K656" i="48" s="1"/>
  <c r="K657" i="48" s="1"/>
  <c r="K658" i="48" s="1"/>
  <c r="K659" i="48" s="1"/>
  <c r="K660" i="48" s="1"/>
  <c r="K662" i="48"/>
  <c r="K663" i="48" s="1"/>
  <c r="K664" i="48" s="1"/>
  <c r="K665" i="48" s="1"/>
  <c r="K666" i="48" s="1"/>
  <c r="K667" i="48" s="1"/>
  <c r="K668" i="48" s="1"/>
  <c r="K669" i="48" s="1"/>
  <c r="K670" i="48" s="1"/>
  <c r="K671" i="48" s="1"/>
  <c r="K672" i="48" s="1"/>
  <c r="K674" i="48"/>
  <c r="K675" i="48"/>
  <c r="K676" i="48" s="1"/>
  <c r="K677" i="48" s="1"/>
  <c r="K678" i="48" s="1"/>
  <c r="K679" i="48" s="1"/>
  <c r="K680" i="48" s="1"/>
  <c r="K681" i="48" s="1"/>
  <c r="K682" i="48" s="1"/>
  <c r="K683" i="48" s="1"/>
  <c r="K684" i="48" s="1"/>
  <c r="K686" i="48"/>
  <c r="K687" i="48" s="1"/>
  <c r="K688" i="48"/>
  <c r="K689" i="48" s="1"/>
  <c r="K690" i="48" s="1"/>
  <c r="K691" i="48" s="1"/>
  <c r="K692" i="48" s="1"/>
  <c r="K693" i="48" s="1"/>
  <c r="K694" i="48" s="1"/>
  <c r="K695" i="48" s="1"/>
  <c r="K696" i="48" s="1"/>
  <c r="K698" i="48"/>
  <c r="K699" i="48" s="1"/>
  <c r="K700" i="48" s="1"/>
  <c r="K701" i="48"/>
  <c r="K702" i="48" s="1"/>
  <c r="K703" i="48" s="1"/>
  <c r="K704" i="48" s="1"/>
  <c r="K705" i="48"/>
  <c r="K706" i="48" s="1"/>
  <c r="K707" i="48" s="1"/>
  <c r="K708" i="48" s="1"/>
  <c r="K710" i="48"/>
  <c r="K711" i="48"/>
  <c r="K712" i="48" s="1"/>
  <c r="K713" i="48" s="1"/>
  <c r="K714" i="48" s="1"/>
  <c r="K715" i="48" s="1"/>
  <c r="K716" i="48" s="1"/>
  <c r="K717" i="48" s="1"/>
  <c r="K718" i="48" s="1"/>
  <c r="K719" i="48" s="1"/>
  <c r="K720" i="48" s="1"/>
  <c r="K722" i="48"/>
  <c r="K723" i="48" s="1"/>
  <c r="K724" i="48" s="1"/>
  <c r="K725" i="48" s="1"/>
  <c r="K726" i="48" s="1"/>
  <c r="K727" i="48" s="1"/>
  <c r="K728" i="48" s="1"/>
  <c r="K729" i="48" s="1"/>
  <c r="K730" i="48" s="1"/>
  <c r="K731" i="48" s="1"/>
  <c r="K732" i="48" s="1"/>
  <c r="K734" i="48"/>
  <c r="K735" i="48" s="1"/>
  <c r="K736" i="48" s="1"/>
  <c r="K737" i="48" s="1"/>
  <c r="K738" i="48"/>
  <c r="K739" i="48" s="1"/>
  <c r="K740" i="48" s="1"/>
  <c r="K741" i="48" s="1"/>
  <c r="K742" i="48" s="1"/>
  <c r="K743" i="48" s="1"/>
  <c r="K744" i="48" s="1"/>
  <c r="K746" i="48"/>
  <c r="K747" i="48" s="1"/>
  <c r="K748" i="48" s="1"/>
  <c r="K749" i="48" s="1"/>
  <c r="K750" i="48" s="1"/>
  <c r="K752" i="48"/>
  <c r="K753" i="48" s="1"/>
  <c r="K754" i="48" s="1"/>
  <c r="K755" i="48" s="1"/>
  <c r="K756" i="48" s="1"/>
  <c r="K758" i="48"/>
  <c r="K759" i="48" s="1"/>
  <c r="K760" i="48" s="1"/>
  <c r="K761" i="48" s="1"/>
  <c r="K762" i="48" s="1"/>
  <c r="K763" i="48"/>
  <c r="K764" i="48" s="1"/>
  <c r="K765" i="48" s="1"/>
  <c r="K766" i="48" s="1"/>
  <c r="K767" i="48" s="1"/>
  <c r="K768" i="48" s="1"/>
  <c r="K770" i="48"/>
  <c r="K771" i="48" s="1"/>
  <c r="K772" i="48"/>
  <c r="K773" i="48"/>
  <c r="K774" i="48" s="1"/>
  <c r="K775" i="48" s="1"/>
  <c r="K776" i="48" s="1"/>
  <c r="K777" i="48" s="1"/>
  <c r="K778" i="48" s="1"/>
  <c r="K779" i="48" s="1"/>
  <c r="K780" i="48" s="1"/>
  <c r="K782" i="48"/>
  <c r="K783" i="48" s="1"/>
  <c r="K784" i="48" s="1"/>
  <c r="K785" i="48" s="1"/>
  <c r="K786" i="48" s="1"/>
  <c r="K787" i="48" s="1"/>
  <c r="K788" i="48" s="1"/>
  <c r="K789" i="48" s="1"/>
  <c r="K790" i="48" s="1"/>
  <c r="K791" i="48" s="1"/>
  <c r="K792" i="48" s="1"/>
  <c r="K794" i="48"/>
  <c r="K795" i="48"/>
  <c r="K796" i="48" s="1"/>
  <c r="K797" i="48" s="1"/>
  <c r="K798" i="48" s="1"/>
  <c r="K799" i="48" s="1"/>
  <c r="K800" i="48" s="1"/>
  <c r="K801" i="48" s="1"/>
  <c r="K802" i="48" s="1"/>
  <c r="K803" i="48" s="1"/>
  <c r="K804" i="48" s="1"/>
  <c r="K806" i="48"/>
  <c r="K807" i="48" s="1"/>
  <c r="K808" i="48" s="1"/>
  <c r="K809" i="48" s="1"/>
  <c r="K810" i="48" s="1"/>
  <c r="K811" i="48" s="1"/>
  <c r="K812" i="48" s="1"/>
  <c r="K813" i="48" s="1"/>
  <c r="K814" i="48" s="1"/>
  <c r="K815" i="48" s="1"/>
  <c r="K816" i="48" s="1"/>
  <c r="K818" i="48"/>
  <c r="K819" i="48"/>
  <c r="K820" i="48"/>
  <c r="K821" i="48" s="1"/>
  <c r="K822" i="48" s="1"/>
  <c r="K823" i="48" s="1"/>
  <c r="K824" i="48"/>
  <c r="K825" i="48" s="1"/>
  <c r="K826" i="48" s="1"/>
  <c r="K827" i="48" s="1"/>
  <c r="K828" i="48" s="1"/>
  <c r="K830" i="48"/>
  <c r="K831" i="48" s="1"/>
  <c r="K832" i="48" s="1"/>
  <c r="K833" i="48" s="1"/>
  <c r="K834" i="48"/>
  <c r="K835" i="48" s="1"/>
  <c r="K836" i="48" s="1"/>
  <c r="K837" i="48" s="1"/>
  <c r="K838" i="48" s="1"/>
  <c r="K839" i="48" s="1"/>
  <c r="K840" i="48" s="1"/>
  <c r="K842" i="48"/>
  <c r="K843" i="48" s="1"/>
  <c r="K844" i="48" s="1"/>
  <c r="K845" i="48" s="1"/>
  <c r="K866" i="48"/>
  <c r="K867" i="48" s="1"/>
  <c r="K868" i="48" s="1"/>
  <c r="K869" i="48" s="1"/>
  <c r="K870" i="48" s="1"/>
  <c r="K871" i="48" s="1"/>
  <c r="K872" i="48" s="1"/>
  <c r="K873" i="48" s="1"/>
  <c r="K874" i="48" s="1"/>
  <c r="K875" i="48" s="1"/>
  <c r="K876" i="48" s="1"/>
  <c r="K890" i="48"/>
  <c r="K891" i="48"/>
  <c r="K892" i="48" s="1"/>
  <c r="K893" i="48" s="1"/>
  <c r="K894" i="48" s="1"/>
  <c r="K895" i="48" s="1"/>
  <c r="K896" i="48" s="1"/>
  <c r="K897" i="48" s="1"/>
  <c r="K898" i="48" s="1"/>
  <c r="K899" i="48" s="1"/>
  <c r="K900" i="48" s="1"/>
  <c r="C902" i="48"/>
  <c r="K902" i="48"/>
  <c r="C903" i="48"/>
  <c r="K903" i="48"/>
  <c r="K904" i="48" s="1"/>
  <c r="C904" i="48"/>
  <c r="C905" i="48" s="1"/>
  <c r="C906" i="48" s="1"/>
  <c r="C907" i="48" s="1"/>
  <c r="C908" i="48" s="1"/>
  <c r="C909" i="48" s="1"/>
  <c r="C910" i="48" s="1"/>
  <c r="C911" i="48" s="1"/>
  <c r="C912" i="48" s="1"/>
  <c r="K905" i="48"/>
  <c r="K906" i="48" s="1"/>
  <c r="K907" i="48" s="1"/>
  <c r="K908" i="48"/>
  <c r="K909" i="48" s="1"/>
  <c r="K910" i="48" s="1"/>
  <c r="K911" i="48" s="1"/>
  <c r="K912" i="48" s="1"/>
  <c r="C914" i="48"/>
  <c r="C915" i="48" s="1"/>
  <c r="K914" i="48"/>
  <c r="K915" i="48" s="1"/>
  <c r="K916" i="48" s="1"/>
  <c r="K917" i="48" s="1"/>
  <c r="C916" i="48"/>
  <c r="C917" i="48" s="1"/>
  <c r="C918" i="48" s="1"/>
  <c r="C919" i="48" s="1"/>
  <c r="C920" i="48" s="1"/>
  <c r="C921" i="48" s="1"/>
  <c r="C922" i="48" s="1"/>
  <c r="C923" i="48" s="1"/>
  <c r="C924" i="48" s="1"/>
  <c r="K918" i="48"/>
  <c r="K919" i="48" s="1"/>
  <c r="K921" i="48"/>
  <c r="K922" i="48" s="1"/>
  <c r="K923" i="48" s="1"/>
  <c r="K924" i="48" s="1"/>
  <c r="C926" i="48"/>
  <c r="K926" i="48"/>
  <c r="K927" i="48" s="1"/>
  <c r="K928" i="48" s="1"/>
  <c r="C927" i="48"/>
  <c r="C928" i="48" s="1"/>
  <c r="C929" i="48" s="1"/>
  <c r="C930" i="48" s="1"/>
  <c r="C931" i="48" s="1"/>
  <c r="C932" i="48" s="1"/>
  <c r="C933" i="48" s="1"/>
  <c r="C934" i="48" s="1"/>
  <c r="C935" i="48" s="1"/>
  <c r="C936" i="48" s="1"/>
  <c r="K929" i="48"/>
  <c r="K930" i="48" s="1"/>
  <c r="K932" i="48"/>
  <c r="K933" i="48" s="1"/>
  <c r="K934" i="48" s="1"/>
  <c r="K935" i="48" s="1"/>
  <c r="K936" i="48" s="1"/>
  <c r="C938" i="48"/>
  <c r="C939" i="48"/>
  <c r="C940" i="48"/>
  <c r="C941" i="48" s="1"/>
  <c r="C942" i="48" s="1"/>
  <c r="C943" i="48" s="1"/>
  <c r="C944" i="48" s="1"/>
  <c r="C945" i="48" s="1"/>
  <c r="C946" i="48" s="1"/>
  <c r="C947" i="48" s="1"/>
  <c r="C948" i="48" s="1"/>
  <c r="K943" i="48"/>
  <c r="K944" i="48" s="1"/>
  <c r="K945" i="48" s="1"/>
  <c r="K946" i="48" s="1"/>
  <c r="K947" i="48" s="1"/>
  <c r="K948" i="48" s="1"/>
  <c r="C950" i="48"/>
  <c r="C951" i="48" s="1"/>
  <c r="C952" i="48" s="1"/>
  <c r="C953" i="48" s="1"/>
  <c r="C954" i="48" s="1"/>
  <c r="C955" i="48" s="1"/>
  <c r="C956" i="48" s="1"/>
  <c r="C957" i="48" s="1"/>
  <c r="C958" i="48" s="1"/>
  <c r="C959" i="48" s="1"/>
  <c r="C960" i="48" s="1"/>
  <c r="K960" i="48"/>
  <c r="C1" i="59"/>
  <c r="C2" i="59" s="1"/>
  <c r="C3" i="59" s="1"/>
  <c r="C4" i="59" s="1"/>
  <c r="C5" i="59" s="1"/>
  <c r="C6" i="59" s="1"/>
  <c r="C7" i="59" s="1"/>
  <c r="C8" i="59" s="1"/>
  <c r="C9" i="59" s="1"/>
  <c r="C10" i="59" s="1"/>
  <c r="C11" i="59" s="1"/>
  <c r="C12" i="59" s="1"/>
  <c r="C13" i="59"/>
  <c r="C14" i="59" s="1"/>
  <c r="C15" i="59" s="1"/>
  <c r="C16" i="59" s="1"/>
  <c r="C17" i="59" s="1"/>
  <c r="C18" i="59" s="1"/>
  <c r="C19" i="59" s="1"/>
  <c r="C20" i="59" s="1"/>
  <c r="C21" i="59" s="1"/>
  <c r="C22" i="59" s="1"/>
  <c r="C23" i="59" s="1"/>
  <c r="C24" i="59" s="1"/>
  <c r="C25" i="59"/>
  <c r="C26" i="59" s="1"/>
  <c r="C27" i="59" s="1"/>
  <c r="C28" i="59" s="1"/>
  <c r="C29" i="59" s="1"/>
  <c r="C30" i="59" s="1"/>
  <c r="C31" i="59" s="1"/>
  <c r="C32" i="59" s="1"/>
  <c r="C33" i="59" s="1"/>
  <c r="C34" i="59" s="1"/>
  <c r="C35" i="59" s="1"/>
  <c r="C36" i="59" s="1"/>
  <c r="C37" i="59"/>
  <c r="C38" i="59"/>
  <c r="C39" i="59"/>
  <c r="C40" i="59" s="1"/>
  <c r="C41" i="59" s="1"/>
  <c r="C42" i="59" s="1"/>
  <c r="C43" i="59" s="1"/>
  <c r="C44" i="59" s="1"/>
  <c r="C45" i="59" s="1"/>
  <c r="C46" i="59" s="1"/>
  <c r="C47" i="59" s="1"/>
  <c r="C48" i="59" s="1"/>
  <c r="C49" i="59"/>
  <c r="C50" i="59" s="1"/>
  <c r="C51" i="59"/>
  <c r="C52" i="59" s="1"/>
  <c r="C53" i="59" s="1"/>
  <c r="C54" i="59" s="1"/>
  <c r="C55" i="59" s="1"/>
  <c r="C56" i="59" s="1"/>
  <c r="C57" i="59" s="1"/>
  <c r="C58" i="59" s="1"/>
  <c r="C59" i="59" s="1"/>
  <c r="C60" i="59" s="1"/>
  <c r="C61" i="59"/>
  <c r="C62" i="59" s="1"/>
  <c r="C63" i="59" s="1"/>
  <c r="C64" i="59" s="1"/>
  <c r="C65" i="59" s="1"/>
  <c r="C66" i="59" s="1"/>
  <c r="C67" i="59" s="1"/>
  <c r="C68" i="59" s="1"/>
  <c r="C69" i="59" s="1"/>
  <c r="C70" i="59" s="1"/>
  <c r="C71" i="59" s="1"/>
  <c r="C72" i="59" s="1"/>
  <c r="C73" i="59"/>
  <c r="C74" i="59"/>
  <c r="C75" i="59" s="1"/>
  <c r="C76" i="59" s="1"/>
  <c r="C77" i="59" s="1"/>
  <c r="C78" i="59" s="1"/>
  <c r="C79" i="59" s="1"/>
  <c r="C80" i="59" s="1"/>
  <c r="C81" i="59" s="1"/>
  <c r="C82" i="59" s="1"/>
  <c r="C83" i="59" s="1"/>
  <c r="C84" i="59" s="1"/>
  <c r="C85" i="59"/>
  <c r="C86" i="59" s="1"/>
  <c r="C87" i="59" s="1"/>
  <c r="C88" i="59"/>
  <c r="C89" i="59" s="1"/>
  <c r="C90" i="59" s="1"/>
  <c r="C91" i="59" s="1"/>
  <c r="C92" i="59" s="1"/>
  <c r="C93" i="59" s="1"/>
  <c r="C94" i="59" s="1"/>
  <c r="C95" i="59" s="1"/>
  <c r="C96" i="59" s="1"/>
  <c r="C97" i="59"/>
  <c r="C98" i="59" s="1"/>
  <c r="C99" i="59" s="1"/>
  <c r="C100" i="59" s="1"/>
  <c r="C101" i="59" s="1"/>
  <c r="C102" i="59" s="1"/>
  <c r="C103" i="59" s="1"/>
  <c r="C104" i="59" s="1"/>
  <c r="C105" i="59" s="1"/>
  <c r="C106" i="59" s="1"/>
  <c r="C107" i="59" s="1"/>
  <c r="C108" i="59" s="1"/>
  <c r="C109" i="59"/>
  <c r="C110" i="59" s="1"/>
  <c r="C111" i="59"/>
  <c r="C112" i="59" s="1"/>
  <c r="C113" i="59" s="1"/>
  <c r="C114" i="59" s="1"/>
  <c r="C115" i="59" s="1"/>
  <c r="C116" i="59" s="1"/>
  <c r="C117" i="59" s="1"/>
  <c r="C118" i="59" s="1"/>
  <c r="C119" i="59" s="1"/>
  <c r="C120" i="59" s="1"/>
  <c r="C121" i="59"/>
  <c r="C122" i="59" s="1"/>
  <c r="C123" i="59" s="1"/>
  <c r="C124" i="59" s="1"/>
  <c r="C125" i="59"/>
  <c r="C126" i="59" s="1"/>
  <c r="C127" i="59" s="1"/>
  <c r="C128" i="59" s="1"/>
  <c r="C129" i="59"/>
  <c r="C130" i="59" s="1"/>
  <c r="C131" i="59" s="1"/>
  <c r="C132" i="59" s="1"/>
  <c r="C133" i="59"/>
  <c r="C134" i="59"/>
  <c r="C135" i="59" s="1"/>
  <c r="C136" i="59" s="1"/>
  <c r="C137" i="59" s="1"/>
  <c r="C138" i="59" s="1"/>
  <c r="C139" i="59" s="1"/>
  <c r="C140" i="59" s="1"/>
  <c r="C141" i="59" s="1"/>
  <c r="C142" i="59" s="1"/>
  <c r="C143" i="59" s="1"/>
  <c r="C144" i="59" s="1"/>
  <c r="C145" i="59"/>
  <c r="C146" i="59" s="1"/>
  <c r="C147" i="59"/>
  <c r="C148" i="59" s="1"/>
  <c r="C149" i="59" s="1"/>
  <c r="C150" i="59" s="1"/>
  <c r="C151" i="59" s="1"/>
  <c r="C152" i="59" s="1"/>
  <c r="C153" i="59" s="1"/>
  <c r="C154" i="59" s="1"/>
  <c r="C155" i="59" s="1"/>
  <c r="C156" i="59" s="1"/>
  <c r="C157" i="59"/>
  <c r="C158" i="59" s="1"/>
  <c r="C159" i="59" s="1"/>
  <c r="C160" i="59" s="1"/>
  <c r="C161" i="59" s="1"/>
  <c r="C162" i="59" s="1"/>
  <c r="C163" i="59" s="1"/>
  <c r="C164" i="59" s="1"/>
  <c r="C165" i="59" s="1"/>
  <c r="C166" i="59" s="1"/>
  <c r="C167" i="59" s="1"/>
  <c r="C168" i="59" s="1"/>
  <c r="C169" i="59"/>
  <c r="C170" i="59"/>
  <c r="C171" i="59" s="1"/>
  <c r="C172" i="59" s="1"/>
  <c r="C173" i="59" s="1"/>
  <c r="C174" i="59" s="1"/>
  <c r="C175" i="59"/>
  <c r="C176" i="59" s="1"/>
  <c r="C177" i="59" s="1"/>
  <c r="C178" i="59" s="1"/>
  <c r="C179" i="59" s="1"/>
  <c r="C180" i="59" s="1"/>
  <c r="C181" i="59"/>
  <c r="C182" i="59" s="1"/>
  <c r="C183" i="59" s="1"/>
  <c r="C184" i="59" s="1"/>
  <c r="C185" i="59" s="1"/>
  <c r="C186" i="59" s="1"/>
  <c r="C187" i="59" s="1"/>
  <c r="C188" i="59" s="1"/>
  <c r="C189" i="59" s="1"/>
  <c r="C190" i="59" s="1"/>
  <c r="C191" i="59" s="1"/>
  <c r="C192" i="59" s="1"/>
  <c r="C193" i="59"/>
  <c r="C194" i="59"/>
  <c r="C195" i="59" s="1"/>
  <c r="C196" i="59" s="1"/>
  <c r="C197" i="59" s="1"/>
  <c r="C198" i="59" s="1"/>
  <c r="C199" i="59" s="1"/>
  <c r="C200" i="59" s="1"/>
  <c r="C201" i="59" s="1"/>
  <c r="C202" i="59" s="1"/>
  <c r="C203" i="59" s="1"/>
  <c r="C204" i="59" s="1"/>
  <c r="C205" i="59"/>
  <c r="C206" i="59" s="1"/>
  <c r="C207" i="59"/>
  <c r="C208" i="59" s="1"/>
  <c r="C209" i="59" s="1"/>
  <c r="C210" i="59" s="1"/>
  <c r="C211" i="59"/>
  <c r="C212" i="59" s="1"/>
  <c r="C213" i="59" s="1"/>
  <c r="C214" i="59" s="1"/>
  <c r="C215" i="59" s="1"/>
  <c r="C216" i="59" s="1"/>
  <c r="C217" i="59"/>
  <c r="C218" i="59" s="1"/>
  <c r="C219" i="59" s="1"/>
  <c r="C220" i="59" s="1"/>
  <c r="C221" i="59" s="1"/>
  <c r="C222" i="59" s="1"/>
  <c r="C223" i="59" s="1"/>
  <c r="C224" i="59" s="1"/>
  <c r="C225" i="59" s="1"/>
  <c r="C226" i="59" s="1"/>
  <c r="C227" i="59" s="1"/>
  <c r="C228" i="59" s="1"/>
  <c r="C229" i="59"/>
  <c r="C230" i="59"/>
  <c r="C231" i="59" s="1"/>
  <c r="C232" i="59" s="1"/>
  <c r="C233" i="59" s="1"/>
  <c r="C234" i="59" s="1"/>
  <c r="C235" i="59" s="1"/>
  <c r="C236" i="59" s="1"/>
  <c r="C237" i="59" s="1"/>
  <c r="C238" i="59" s="1"/>
  <c r="C239" i="59" s="1"/>
  <c r="C240" i="59" s="1"/>
  <c r="C241" i="59"/>
  <c r="C242" i="59" s="1"/>
  <c r="C243" i="59" s="1"/>
  <c r="C244" i="59" s="1"/>
  <c r="C245" i="59" s="1"/>
  <c r="C246" i="59" s="1"/>
  <c r="C247" i="59" s="1"/>
  <c r="C248" i="59" s="1"/>
  <c r="C249" i="59" s="1"/>
  <c r="C250" i="59" s="1"/>
  <c r="C251" i="59" s="1"/>
  <c r="C252" i="59" s="1"/>
  <c r="C253" i="59"/>
  <c r="C254" i="59" s="1"/>
  <c r="C255" i="59" s="1"/>
  <c r="C256" i="59" s="1"/>
  <c r="C257" i="59"/>
  <c r="C258" i="59" s="1"/>
  <c r="C259" i="59" s="1"/>
  <c r="C260" i="59" s="1"/>
  <c r="C261" i="59" s="1"/>
  <c r="C262" i="59" s="1"/>
  <c r="C263" i="59" s="1"/>
  <c r="C264" i="59" s="1"/>
  <c r="C265" i="59"/>
  <c r="C266" i="59"/>
  <c r="C267" i="59"/>
  <c r="C268" i="59" s="1"/>
  <c r="C269" i="59" s="1"/>
  <c r="C270" i="59" s="1"/>
  <c r="C271" i="59"/>
  <c r="C272" i="59" s="1"/>
  <c r="C273" i="59" s="1"/>
  <c r="C274" i="59" s="1"/>
  <c r="C275" i="59" s="1"/>
  <c r="C276" i="59" s="1"/>
  <c r="C277" i="59"/>
  <c r="C278" i="59" s="1"/>
  <c r="C279" i="59" s="1"/>
  <c r="C280" i="59" s="1"/>
  <c r="C281" i="59" s="1"/>
  <c r="C282" i="59" s="1"/>
  <c r="C283" i="59" s="1"/>
  <c r="C284" i="59" s="1"/>
  <c r="C285" i="59" s="1"/>
  <c r="C286" i="59" s="1"/>
  <c r="C287" i="59" s="1"/>
  <c r="C288" i="59" s="1"/>
  <c r="C289" i="59"/>
  <c r="C290" i="59" s="1"/>
  <c r="C291" i="59" s="1"/>
  <c r="C292" i="59" s="1"/>
  <c r="C293" i="59" s="1"/>
  <c r="C294" i="59"/>
  <c r="C295" i="59"/>
  <c r="C296" i="59" s="1"/>
  <c r="C297" i="59" s="1"/>
  <c r="C298" i="59" s="1"/>
  <c r="C299" i="59" s="1"/>
  <c r="C300" i="59" s="1"/>
  <c r="C301" i="59"/>
  <c r="C302" i="59" s="1"/>
  <c r="C303" i="59" s="1"/>
  <c r="C304" i="59" s="1"/>
  <c r="C305" i="59" s="1"/>
  <c r="C306" i="59" s="1"/>
  <c r="C307" i="59" s="1"/>
  <c r="C308" i="59" s="1"/>
  <c r="C309" i="59" s="1"/>
  <c r="C310" i="59" s="1"/>
  <c r="C311" i="59" s="1"/>
  <c r="C312" i="59" s="1"/>
  <c r="C313" i="59"/>
  <c r="C314" i="59" s="1"/>
  <c r="C315" i="59" s="1"/>
  <c r="C316" i="59" s="1"/>
  <c r="C317" i="59"/>
  <c r="C318" i="59" s="1"/>
  <c r="C319" i="59" s="1"/>
  <c r="C320" i="59" s="1"/>
  <c r="C321" i="59" s="1"/>
  <c r="C322" i="59" s="1"/>
  <c r="C323" i="59" s="1"/>
  <c r="C324" i="59" s="1"/>
  <c r="C325" i="59"/>
  <c r="C326" i="59"/>
  <c r="C327" i="59" s="1"/>
  <c r="C328" i="59" s="1"/>
  <c r="C329" i="59" s="1"/>
  <c r="C330" i="59"/>
  <c r="C331" i="59" s="1"/>
  <c r="C332" i="59" s="1"/>
  <c r="C333" i="59" s="1"/>
  <c r="C334" i="59" s="1"/>
  <c r="C335" i="59" s="1"/>
  <c r="C336" i="59" s="1"/>
  <c r="C337" i="59"/>
  <c r="C338" i="59" s="1"/>
  <c r="C339" i="59" s="1"/>
  <c r="C340" i="59" s="1"/>
  <c r="C341" i="59" s="1"/>
  <c r="C342" i="59" s="1"/>
  <c r="C343" i="59" s="1"/>
  <c r="C344" i="59" s="1"/>
  <c r="C345" i="59" s="1"/>
  <c r="C346" i="59" s="1"/>
  <c r="C347" i="59" s="1"/>
  <c r="C348" i="59" s="1"/>
  <c r="C349" i="59"/>
  <c r="C350" i="59"/>
  <c r="C351" i="59" s="1"/>
  <c r="C352" i="59" s="1"/>
  <c r="C353" i="59" s="1"/>
  <c r="C354" i="59" s="1"/>
  <c r="C355" i="59" s="1"/>
  <c r="C356" i="59" s="1"/>
  <c r="C357" i="59" s="1"/>
  <c r="C358" i="59" s="1"/>
  <c r="C359" i="59" s="1"/>
  <c r="C360" i="59" s="1"/>
  <c r="C361" i="59"/>
  <c r="C362" i="59"/>
  <c r="C363" i="59" s="1"/>
  <c r="C364" i="59" s="1"/>
  <c r="C365" i="59" s="1"/>
  <c r="C366" i="59" s="1"/>
  <c r="C367" i="59" s="1"/>
  <c r="C368" i="59" s="1"/>
  <c r="C369" i="59" s="1"/>
  <c r="C370" i="59" s="1"/>
  <c r="C371" i="59" s="1"/>
  <c r="C372" i="59" s="1"/>
  <c r="C373" i="59"/>
  <c r="C374" i="59" s="1"/>
  <c r="C375" i="59" s="1"/>
  <c r="C376" i="59"/>
  <c r="C377" i="59"/>
  <c r="C378" i="59" s="1"/>
  <c r="C379" i="59" s="1"/>
  <c r="C380" i="59" s="1"/>
  <c r="C381" i="59" s="1"/>
  <c r="C382" i="59" s="1"/>
  <c r="C383" i="59" s="1"/>
  <c r="C384" i="59" s="1"/>
  <c r="C385" i="59"/>
  <c r="C386" i="59" s="1"/>
  <c r="C387" i="59" s="1"/>
  <c r="C388" i="59" s="1"/>
  <c r="C389" i="59" s="1"/>
  <c r="C390" i="59" s="1"/>
  <c r="C391" i="59" s="1"/>
  <c r="C392" i="59" s="1"/>
  <c r="C393" i="59" s="1"/>
  <c r="C394" i="59" s="1"/>
  <c r="C395" i="59" s="1"/>
  <c r="C396" i="59" s="1"/>
  <c r="C397" i="59"/>
  <c r="C398" i="59" s="1"/>
  <c r="C399" i="59"/>
  <c r="C400" i="59" s="1"/>
  <c r="C401" i="59" s="1"/>
  <c r="C402" i="59" s="1"/>
  <c r="C403" i="59" s="1"/>
  <c r="C404" i="59" s="1"/>
  <c r="C405" i="59" s="1"/>
  <c r="C406" i="59" s="1"/>
  <c r="C407" i="59" s="1"/>
  <c r="C408" i="59" s="1"/>
  <c r="C409" i="59"/>
  <c r="C410" i="59" s="1"/>
  <c r="C411" i="59" s="1"/>
  <c r="C412" i="59" s="1"/>
  <c r="C413" i="59"/>
  <c r="C414" i="59" s="1"/>
  <c r="C415" i="59" s="1"/>
  <c r="C416" i="59" s="1"/>
  <c r="C417" i="59" s="1"/>
  <c r="C418" i="59" s="1"/>
  <c r="C419" i="59" s="1"/>
  <c r="C420" i="59" s="1"/>
  <c r="C421" i="59"/>
  <c r="C422" i="59"/>
  <c r="C423" i="59"/>
  <c r="C424" i="59" s="1"/>
  <c r="C425" i="59" s="1"/>
  <c r="C426" i="59" s="1"/>
  <c r="C427" i="59" s="1"/>
  <c r="C428" i="59" s="1"/>
  <c r="C429" i="59" s="1"/>
  <c r="C430" i="59" s="1"/>
  <c r="C431" i="59" s="1"/>
  <c r="C432" i="59" s="1"/>
  <c r="C433" i="59"/>
  <c r="C434" i="59" s="1"/>
  <c r="C435" i="59"/>
  <c r="C436" i="59" s="1"/>
  <c r="C437" i="59" s="1"/>
  <c r="C438" i="59" s="1"/>
  <c r="C439" i="59" s="1"/>
  <c r="C440" i="59"/>
  <c r="C441" i="59" s="1"/>
  <c r="C442" i="59" s="1"/>
  <c r="C443" i="59" s="1"/>
  <c r="C444" i="59" s="1"/>
  <c r="C445" i="59"/>
  <c r="C446" i="59" s="1"/>
  <c r="C447" i="59" s="1"/>
  <c r="C448" i="59" s="1"/>
  <c r="C449" i="59" s="1"/>
  <c r="C450" i="59" s="1"/>
  <c r="C451" i="59" s="1"/>
  <c r="C452" i="59" s="1"/>
  <c r="C453" i="59" s="1"/>
  <c r="C454" i="59" s="1"/>
  <c r="C455" i="59" s="1"/>
  <c r="C456" i="59" s="1"/>
  <c r="C457" i="59"/>
  <c r="C458" i="59"/>
  <c r="C459" i="59"/>
  <c r="C460" i="59" s="1"/>
  <c r="C461" i="59" s="1"/>
  <c r="C462" i="59" s="1"/>
  <c r="C463" i="59" s="1"/>
  <c r="C464" i="59" s="1"/>
  <c r="C465" i="59" s="1"/>
  <c r="C466" i="59" s="1"/>
  <c r="C467" i="59" s="1"/>
  <c r="C468" i="59" s="1"/>
  <c r="C469" i="59"/>
  <c r="C470" i="59" s="1"/>
  <c r="C471" i="59" s="1"/>
  <c r="C472" i="59" s="1"/>
  <c r="C473" i="59" s="1"/>
  <c r="C474" i="59" s="1"/>
  <c r="C475" i="59" s="1"/>
  <c r="C476" i="59" s="1"/>
  <c r="C477" i="59" s="1"/>
  <c r="C478" i="59" s="1"/>
  <c r="C479" i="59" s="1"/>
  <c r="C480" i="59" s="1"/>
  <c r="C481" i="59"/>
  <c r="C482" i="59" s="1"/>
  <c r="C483" i="59" s="1"/>
  <c r="C484" i="59" s="1"/>
  <c r="C485" i="59" s="1"/>
  <c r="C486" i="59"/>
  <c r="C487" i="59" s="1"/>
  <c r="C488" i="59" s="1"/>
  <c r="C489" i="59" s="1"/>
  <c r="C490" i="59" s="1"/>
  <c r="C491" i="59" s="1"/>
  <c r="C492" i="59" s="1"/>
  <c r="C493" i="59"/>
  <c r="C494" i="59" s="1"/>
  <c r="C495" i="59" s="1"/>
  <c r="C496" i="59" s="1"/>
  <c r="C497" i="59" s="1"/>
  <c r="C498" i="59" s="1"/>
  <c r="C499" i="59" s="1"/>
  <c r="C500" i="59" s="1"/>
  <c r="C501" i="59" s="1"/>
  <c r="C502" i="59" s="1"/>
  <c r="C503" i="59" s="1"/>
  <c r="C504" i="59" s="1"/>
  <c r="C505" i="59"/>
  <c r="C506" i="59" s="1"/>
  <c r="C507" i="59" s="1"/>
  <c r="C508" i="59" s="1"/>
  <c r="C509" i="59" s="1"/>
  <c r="C510" i="59" s="1"/>
  <c r="C511" i="59" s="1"/>
  <c r="C512" i="59" s="1"/>
  <c r="C513" i="59" s="1"/>
  <c r="C514" i="59" s="1"/>
  <c r="C515" i="59" s="1"/>
  <c r="C516" i="59" s="1"/>
  <c r="C517" i="59"/>
  <c r="C518" i="59"/>
  <c r="C519" i="59" s="1"/>
  <c r="C520" i="59" s="1"/>
  <c r="C521" i="59" s="1"/>
  <c r="C522" i="59" s="1"/>
  <c r="C523" i="59" s="1"/>
  <c r="C524" i="59" s="1"/>
  <c r="C525" i="59" s="1"/>
  <c r="C526" i="59" s="1"/>
  <c r="C527" i="59" s="1"/>
  <c r="C528" i="59" s="1"/>
  <c r="C529" i="59"/>
  <c r="C530" i="59" s="1"/>
  <c r="C531" i="59"/>
  <c r="C532" i="59" s="1"/>
  <c r="C533" i="59" s="1"/>
  <c r="C534" i="59" s="1"/>
  <c r="C535" i="59" s="1"/>
  <c r="C536" i="59" s="1"/>
  <c r="C537" i="59" s="1"/>
  <c r="C538" i="59" s="1"/>
  <c r="C539" i="59" s="1"/>
  <c r="C540" i="59" s="1"/>
  <c r="C541" i="59"/>
  <c r="C542" i="59" s="1"/>
  <c r="C543" i="59" s="1"/>
  <c r="C544" i="59" s="1"/>
  <c r="C545" i="59" s="1"/>
  <c r="C546" i="59" s="1"/>
  <c r="C547" i="59" s="1"/>
  <c r="C548" i="59" s="1"/>
  <c r="C549" i="59" s="1"/>
  <c r="C550" i="59" s="1"/>
  <c r="C551" i="59" s="1"/>
  <c r="C552" i="59" s="1"/>
  <c r="C553" i="59"/>
  <c r="C554" i="59"/>
  <c r="C555" i="59" s="1"/>
  <c r="C556" i="59" s="1"/>
  <c r="C557" i="59" s="1"/>
  <c r="C558" i="59" s="1"/>
  <c r="C559" i="59" s="1"/>
  <c r="C560" i="59" s="1"/>
  <c r="C561" i="59" s="1"/>
  <c r="C562" i="59" s="1"/>
  <c r="C563" i="59" s="1"/>
  <c r="C564" i="59" s="1"/>
  <c r="C565" i="59"/>
  <c r="C566" i="59" s="1"/>
  <c r="C567" i="59" s="1"/>
  <c r="C568" i="59"/>
  <c r="C569" i="59" s="1"/>
  <c r="C570" i="59" s="1"/>
  <c r="C571" i="59" s="1"/>
  <c r="C572" i="59" s="1"/>
  <c r="C573" i="59" s="1"/>
  <c r="C574" i="59" s="1"/>
  <c r="C575" i="59" s="1"/>
  <c r="C576" i="59" s="1"/>
  <c r="C577" i="59"/>
  <c r="C578" i="59" s="1"/>
  <c r="C579" i="59" s="1"/>
  <c r="C580" i="59" s="1"/>
  <c r="C581" i="59" s="1"/>
  <c r="C582" i="59" s="1"/>
  <c r="C583" i="59" s="1"/>
  <c r="C584" i="59" s="1"/>
  <c r="C585" i="59" s="1"/>
  <c r="C586" i="59" s="1"/>
  <c r="C587" i="59" s="1"/>
  <c r="C588" i="59" s="1"/>
  <c r="C589" i="59"/>
  <c r="C590" i="59" s="1"/>
  <c r="C591" i="59" s="1"/>
  <c r="C592" i="59" s="1"/>
  <c r="C593" i="59" s="1"/>
  <c r="C594" i="59" s="1"/>
  <c r="C595" i="59" s="1"/>
  <c r="C596" i="59" s="1"/>
  <c r="C597" i="59" s="1"/>
  <c r="C598" i="59" s="1"/>
  <c r="C599" i="59" s="1"/>
  <c r="C600" i="59" s="1"/>
  <c r="C601" i="59"/>
  <c r="C602" i="59" s="1"/>
  <c r="C603" i="59" s="1"/>
  <c r="C604" i="59" s="1"/>
  <c r="C605" i="59" s="1"/>
  <c r="C606" i="59" s="1"/>
  <c r="C607" i="59" s="1"/>
  <c r="C608" i="59" s="1"/>
  <c r="C609" i="59" s="1"/>
  <c r="C610" i="59" s="1"/>
  <c r="C611" i="59" s="1"/>
  <c r="C612" i="59" s="1"/>
  <c r="C613" i="59"/>
  <c r="C614" i="59"/>
  <c r="C615" i="59" s="1"/>
  <c r="C616" i="59" s="1"/>
  <c r="C617" i="59" s="1"/>
  <c r="C618" i="59" s="1"/>
  <c r="C619" i="59" s="1"/>
  <c r="C620" i="59" s="1"/>
  <c r="C621" i="59" s="1"/>
  <c r="C622" i="59" s="1"/>
  <c r="C623" i="59" s="1"/>
  <c r="C624" i="59" s="1"/>
  <c r="C625" i="59"/>
  <c r="C626" i="59" s="1"/>
  <c r="C627" i="59"/>
  <c r="C628" i="59" s="1"/>
  <c r="C629" i="59" s="1"/>
  <c r="C630" i="59" s="1"/>
  <c r="C631" i="59" s="1"/>
  <c r="C632" i="59" s="1"/>
  <c r="C633" i="59" s="1"/>
  <c r="C634" i="59" s="1"/>
  <c r="C635" i="59" s="1"/>
  <c r="C636" i="59" s="1"/>
  <c r="C637" i="59"/>
  <c r="C638" i="59" s="1"/>
  <c r="C639" i="59" s="1"/>
  <c r="C640" i="59" s="1"/>
  <c r="C641" i="59" s="1"/>
  <c r="C642" i="59" s="1"/>
  <c r="C643" i="59" s="1"/>
  <c r="C644" i="59" s="1"/>
  <c r="C645" i="59" s="1"/>
  <c r="C646" i="59" s="1"/>
  <c r="C647" i="59" s="1"/>
  <c r="C648" i="59" s="1"/>
  <c r="C649" i="59"/>
  <c r="C650" i="59"/>
  <c r="C651" i="59" s="1"/>
  <c r="C652" i="59" s="1"/>
  <c r="C653" i="59" s="1"/>
  <c r="C654" i="59" s="1"/>
  <c r="C655" i="59" s="1"/>
  <c r="C656" i="59" s="1"/>
  <c r="C657" i="59" s="1"/>
  <c r="C658" i="59" s="1"/>
  <c r="C659" i="59" s="1"/>
  <c r="C660" i="59" s="1"/>
  <c r="C661" i="59"/>
  <c r="C662" i="59" s="1"/>
  <c r="C663" i="59" s="1"/>
  <c r="C664" i="59"/>
  <c r="C665" i="59" s="1"/>
  <c r="C666" i="59" s="1"/>
  <c r="C667" i="59" s="1"/>
  <c r="C668" i="59" s="1"/>
  <c r="C669" i="59" s="1"/>
  <c r="C670" i="59" s="1"/>
  <c r="C671" i="59" s="1"/>
  <c r="C672" i="59" s="1"/>
  <c r="C673" i="59"/>
  <c r="C674" i="59" s="1"/>
  <c r="C675" i="59" s="1"/>
  <c r="C676" i="59" s="1"/>
  <c r="C677" i="59" s="1"/>
  <c r="C678" i="59" s="1"/>
  <c r="C679" i="59" s="1"/>
  <c r="C680" i="59" s="1"/>
  <c r="C681" i="59" s="1"/>
  <c r="C682" i="59" s="1"/>
  <c r="C683" i="59" s="1"/>
  <c r="C684" i="59" s="1"/>
  <c r="C685" i="59"/>
  <c r="C686" i="59" s="1"/>
  <c r="C687" i="59"/>
  <c r="C688" i="59" s="1"/>
  <c r="C689" i="59" s="1"/>
  <c r="C690" i="59" s="1"/>
  <c r="C691" i="59" s="1"/>
  <c r="C692" i="59" s="1"/>
  <c r="C693" i="59" s="1"/>
  <c r="C694" i="59" s="1"/>
  <c r="C695" i="59" s="1"/>
  <c r="C696" i="59" s="1"/>
  <c r="C697" i="59"/>
  <c r="C698" i="59" s="1"/>
  <c r="C699" i="59" s="1"/>
  <c r="C700" i="59" s="1"/>
  <c r="C701" i="59"/>
  <c r="C702" i="59" s="1"/>
  <c r="C703" i="59" s="1"/>
  <c r="C704" i="59" s="1"/>
  <c r="C705" i="59" s="1"/>
  <c r="C706" i="59" s="1"/>
  <c r="C707" i="59" s="1"/>
  <c r="C708" i="59" s="1"/>
  <c r="C709" i="59"/>
  <c r="C710" i="59"/>
  <c r="C711" i="59" s="1"/>
  <c r="C712" i="59" s="1"/>
  <c r="C713" i="59" s="1"/>
  <c r="C714" i="59"/>
  <c r="C715" i="59"/>
  <c r="C716" i="59" s="1"/>
  <c r="C717" i="59" s="1"/>
  <c r="C718" i="59" s="1"/>
  <c r="C719" i="59" s="1"/>
  <c r="C720" i="59" s="1"/>
  <c r="C721" i="59"/>
  <c r="C722" i="59" s="1"/>
  <c r="C723" i="59" s="1"/>
  <c r="C724" i="59" s="1"/>
  <c r="C725" i="59" s="1"/>
  <c r="C726" i="59" s="1"/>
  <c r="C727" i="59" s="1"/>
  <c r="C728" i="59" s="1"/>
  <c r="C729" i="59" s="1"/>
  <c r="C730" i="59" s="1"/>
  <c r="C731" i="59" s="1"/>
  <c r="C732" i="59" s="1"/>
  <c r="C733" i="59"/>
  <c r="C734" i="59"/>
  <c r="C735" i="59" s="1"/>
  <c r="C736" i="59" s="1"/>
  <c r="C737" i="59"/>
  <c r="C738" i="59" s="1"/>
  <c r="C739" i="59" s="1"/>
  <c r="C740" i="59" s="1"/>
  <c r="C741" i="59" s="1"/>
  <c r="C742" i="59" s="1"/>
  <c r="C743" i="59" s="1"/>
  <c r="C744" i="59" s="1"/>
  <c r="C745" i="59"/>
  <c r="C746" i="59"/>
  <c r="C747" i="59" s="1"/>
  <c r="C748" i="59" s="1"/>
  <c r="C749" i="59" s="1"/>
  <c r="C750" i="59" s="1"/>
  <c r="C751" i="59"/>
  <c r="C752" i="59" s="1"/>
  <c r="C753" i="59" s="1"/>
  <c r="C754" i="59" s="1"/>
  <c r="C755" i="59" s="1"/>
  <c r="C756" i="59" s="1"/>
  <c r="C757" i="59"/>
  <c r="C758" i="59" s="1"/>
  <c r="C759" i="59" s="1"/>
  <c r="C760" i="59" s="1"/>
  <c r="C761" i="59" s="1"/>
  <c r="C762" i="59" s="1"/>
  <c r="C763" i="59" s="1"/>
  <c r="C764" i="59" s="1"/>
  <c r="C765" i="59" s="1"/>
  <c r="C766" i="59" s="1"/>
  <c r="C767" i="59" s="1"/>
  <c r="C768" i="59" s="1"/>
  <c r="C769" i="59"/>
  <c r="C770" i="59"/>
  <c r="C771" i="59" s="1"/>
  <c r="C772" i="59" s="1"/>
  <c r="C773" i="59" s="1"/>
  <c r="C774" i="59" s="1"/>
  <c r="C775" i="59" s="1"/>
  <c r="C776" i="59" s="1"/>
  <c r="C777" i="59" s="1"/>
  <c r="C778" i="59" s="1"/>
  <c r="C779" i="59" s="1"/>
  <c r="C780" i="59" s="1"/>
  <c r="C781" i="59"/>
  <c r="C782" i="59" s="1"/>
  <c r="C783" i="59"/>
  <c r="C784" i="59" s="1"/>
  <c r="C785" i="59" s="1"/>
  <c r="C786" i="59" s="1"/>
  <c r="C787" i="59" s="1"/>
  <c r="C788" i="59" s="1"/>
  <c r="C789" i="59" s="1"/>
  <c r="C790" i="59" s="1"/>
  <c r="C791" i="59" s="1"/>
  <c r="C792" i="59" s="1"/>
  <c r="C793" i="59"/>
  <c r="C794" i="59" s="1"/>
  <c r="C795" i="59" s="1"/>
  <c r="C796" i="59" s="1"/>
  <c r="C797" i="59"/>
  <c r="C798" i="59"/>
  <c r="C799" i="59" s="1"/>
  <c r="C800" i="59" s="1"/>
  <c r="C801" i="59" s="1"/>
  <c r="C802" i="59" s="1"/>
  <c r="C803" i="59" s="1"/>
  <c r="C804" i="59" s="1"/>
  <c r="C806" i="59"/>
  <c r="C807" i="59"/>
  <c r="C808" i="59" s="1"/>
  <c r="C809" i="59" s="1"/>
  <c r="C810" i="59" s="1"/>
  <c r="C811" i="59" s="1"/>
  <c r="C812" i="59" s="1"/>
  <c r="C813" i="59" s="1"/>
  <c r="C814" i="59" s="1"/>
  <c r="C815" i="59" s="1"/>
  <c r="C816" i="59" s="1"/>
  <c r="C818" i="59"/>
  <c r="C819" i="59" s="1"/>
  <c r="C820" i="59" s="1"/>
  <c r="C821" i="59"/>
  <c r="C822" i="59" s="1"/>
  <c r="C823" i="59" s="1"/>
  <c r="C824" i="59" s="1"/>
  <c r="C825" i="59" s="1"/>
  <c r="C826" i="59" s="1"/>
  <c r="C827" i="59" s="1"/>
  <c r="C828" i="59" s="1"/>
  <c r="C830" i="59"/>
  <c r="C831" i="59" s="1"/>
  <c r="C832" i="59"/>
  <c r="C833" i="59" s="1"/>
  <c r="C834" i="59" s="1"/>
  <c r="C835" i="59" s="1"/>
  <c r="C836" i="59"/>
  <c r="C837" i="59" s="1"/>
  <c r="C838" i="59" s="1"/>
  <c r="C839" i="59" s="1"/>
  <c r="C840" i="59" s="1"/>
  <c r="C842" i="59"/>
  <c r="C843" i="59" s="1"/>
  <c r="C844" i="59" s="1"/>
  <c r="C845" i="59" s="1"/>
  <c r="C846" i="59"/>
  <c r="C847" i="59" s="1"/>
  <c r="C848" i="59" s="1"/>
  <c r="C849" i="59" s="1"/>
  <c r="C850" i="59" s="1"/>
  <c r="C851" i="59" s="1"/>
  <c r="C852" i="59" s="1"/>
  <c r="C854" i="59"/>
  <c r="C855" i="59" s="1"/>
  <c r="C856" i="59" s="1"/>
  <c r="C857" i="59" s="1"/>
  <c r="C858" i="59" s="1"/>
  <c r="C859" i="59" s="1"/>
  <c r="C860" i="59" s="1"/>
  <c r="C861" i="59" s="1"/>
  <c r="C862" i="59" s="1"/>
  <c r="C863" i="59" s="1"/>
  <c r="C864" i="59" s="1"/>
  <c r="C866" i="59"/>
  <c r="C867" i="59"/>
  <c r="C868" i="59" s="1"/>
  <c r="C869" i="59" s="1"/>
  <c r="C870" i="59" s="1"/>
  <c r="C871" i="59" s="1"/>
  <c r="C872" i="59" s="1"/>
  <c r="C873" i="59" s="1"/>
  <c r="C874" i="59" s="1"/>
  <c r="C875" i="59" s="1"/>
  <c r="C876" i="59" s="1"/>
  <c r="C878" i="59"/>
  <c r="C879" i="59" s="1"/>
  <c r="C880" i="59"/>
  <c r="C881" i="59" s="1"/>
  <c r="C882" i="59" s="1"/>
  <c r="C883" i="59" s="1"/>
  <c r="C884" i="59" s="1"/>
  <c r="C885" i="59" s="1"/>
  <c r="C886" i="59" s="1"/>
  <c r="C887" i="59" s="1"/>
  <c r="C888" i="59" s="1"/>
  <c r="C890" i="59"/>
  <c r="C891" i="59" s="1"/>
  <c r="C892" i="59" s="1"/>
  <c r="C893" i="59" s="1"/>
  <c r="C894" i="59" s="1"/>
  <c r="C895" i="59" s="1"/>
  <c r="C896" i="59" s="1"/>
  <c r="C897" i="59" s="1"/>
  <c r="C898" i="59" s="1"/>
  <c r="C899" i="59" s="1"/>
  <c r="C900" i="59" s="1"/>
  <c r="C902" i="59"/>
  <c r="C903" i="59" s="1"/>
  <c r="C904" i="59" s="1"/>
  <c r="C905" i="59" s="1"/>
  <c r="C906" i="59" s="1"/>
  <c r="C907" i="59" s="1"/>
  <c r="C908" i="59" s="1"/>
  <c r="C909" i="59" s="1"/>
  <c r="C910" i="59" s="1"/>
  <c r="C911" i="59" s="1"/>
  <c r="C912" i="59" s="1"/>
  <c r="K902" i="59"/>
  <c r="K903" i="59"/>
  <c r="K904" i="59" s="1"/>
  <c r="K905" i="59" s="1"/>
  <c r="K906" i="59" s="1"/>
  <c r="K907" i="59" s="1"/>
  <c r="K908" i="59"/>
  <c r="K909" i="59" s="1"/>
  <c r="K910" i="59" s="1"/>
  <c r="K911" i="59" s="1"/>
  <c r="K912" i="59" s="1"/>
  <c r="C914" i="59"/>
  <c r="C915" i="59" s="1"/>
  <c r="C916" i="59" s="1"/>
  <c r="C917" i="59" s="1"/>
  <c r="C918" i="59" s="1"/>
  <c r="C919" i="59" s="1"/>
  <c r="C920" i="59" s="1"/>
  <c r="C921" i="59" s="1"/>
  <c r="C922" i="59" s="1"/>
  <c r="C923" i="59" s="1"/>
  <c r="C924" i="59" s="1"/>
  <c r="K918" i="59"/>
  <c r="K919" i="59" s="1"/>
  <c r="K921" i="59"/>
  <c r="K922" i="59" s="1"/>
  <c r="K923" i="59" s="1"/>
  <c r="K924" i="59" s="1"/>
  <c r="C926" i="59"/>
  <c r="K926" i="59"/>
  <c r="K927" i="59" s="1"/>
  <c r="K928" i="59" s="1"/>
  <c r="K929" i="59" s="1"/>
  <c r="K930" i="59" s="1"/>
  <c r="C927" i="59"/>
  <c r="C928" i="59"/>
  <c r="C929" i="59" s="1"/>
  <c r="C930" i="59" s="1"/>
  <c r="C931" i="59"/>
  <c r="C932" i="59" s="1"/>
  <c r="K932" i="59"/>
  <c r="C933" i="59"/>
  <c r="C934" i="59" s="1"/>
  <c r="C935" i="59" s="1"/>
  <c r="K933" i="59"/>
  <c r="K934" i="59" s="1"/>
  <c r="K935" i="59"/>
  <c r="K936" i="59" s="1"/>
  <c r="C936" i="59"/>
  <c r="C938" i="59"/>
  <c r="C939" i="59"/>
  <c r="C940" i="59" s="1"/>
  <c r="C941" i="59" s="1"/>
  <c r="C942" i="59" s="1"/>
  <c r="C943" i="59" s="1"/>
  <c r="C944" i="59" s="1"/>
  <c r="C945" i="59" s="1"/>
  <c r="C946" i="59" s="1"/>
  <c r="C947" i="59" s="1"/>
  <c r="C948" i="59" s="1"/>
  <c r="K943" i="59"/>
  <c r="K944" i="59" s="1"/>
  <c r="K945" i="59"/>
  <c r="K946" i="59" s="1"/>
  <c r="K947" i="59" s="1"/>
  <c r="K948" i="59" s="1"/>
  <c r="C950" i="59"/>
  <c r="C951" i="59" s="1"/>
  <c r="C952" i="59" s="1"/>
  <c r="C953" i="59" s="1"/>
  <c r="C954" i="59" s="1"/>
  <c r="C955" i="59" s="1"/>
  <c r="C956" i="59" s="1"/>
  <c r="C957" i="59" s="1"/>
  <c r="C958" i="59" s="1"/>
  <c r="C959" i="59" s="1"/>
  <c r="C960" i="59" s="1"/>
  <c r="K960" i="59"/>
  <c r="B2" i="65"/>
  <c r="C2" i="65" s="1"/>
  <c r="D2" i="65" s="1"/>
  <c r="E2" i="65" s="1"/>
  <c r="F2" i="65" s="1"/>
  <c r="G2" i="65" s="1"/>
  <c r="H2" i="65" s="1"/>
  <c r="I2" i="65" s="1"/>
  <c r="J2" i="65" s="1"/>
  <c r="K2" i="65" s="1"/>
  <c r="L2" i="65" s="1"/>
  <c r="M2" i="65" s="1"/>
  <c r="N2" i="65" s="1"/>
  <c r="Y2" i="65"/>
  <c r="Y3" i="65" s="1"/>
  <c r="Y4" i="65" s="1"/>
  <c r="A4" i="65"/>
  <c r="A5" i="65" s="1"/>
  <c r="A6" i="65" s="1"/>
  <c r="A7" i="65" s="1"/>
  <c r="A8" i="65" s="1"/>
  <c r="A9" i="65" s="1"/>
  <c r="A10" i="65" s="1"/>
  <c r="A11" i="65" s="1"/>
  <c r="A12" i="65" s="1"/>
  <c r="A13" i="65" s="1"/>
  <c r="A14" i="65" s="1"/>
  <c r="A15" i="65" s="1"/>
  <c r="A16" i="65" s="1"/>
  <c r="A17" i="65" s="1"/>
  <c r="A18" i="65" s="1"/>
  <c r="A19" i="65" s="1"/>
  <c r="A20" i="65" s="1"/>
  <c r="A21" i="65" s="1"/>
  <c r="A22" i="65" s="1"/>
  <c r="A23" i="65" s="1"/>
  <c r="A24" i="65" s="1"/>
  <c r="A25" i="65" s="1"/>
  <c r="A26" i="65" s="1"/>
  <c r="A27" i="65" s="1"/>
  <c r="A28" i="65" s="1"/>
  <c r="A29" i="65" s="1"/>
  <c r="A30" i="65" s="1"/>
  <c r="A31" i="65" s="1"/>
  <c r="A32" i="65" s="1"/>
  <c r="A33" i="65" s="1"/>
  <c r="A34" i="65" s="1"/>
  <c r="A35" i="65" s="1"/>
  <c r="A36" i="65" s="1"/>
  <c r="A37" i="65" s="1"/>
  <c r="A38" i="65" s="1"/>
  <c r="A39" i="65" s="1"/>
  <c r="A40" i="65" s="1"/>
  <c r="A41" i="65" s="1"/>
  <c r="A42" i="65" s="1"/>
  <c r="A43" i="65" s="1"/>
  <c r="A44" i="65" s="1"/>
  <c r="A45" i="65" s="1"/>
  <c r="A46" i="65" s="1"/>
  <c r="A47" i="65" s="1"/>
  <c r="A48" i="65" s="1"/>
  <c r="A49" i="65" s="1"/>
  <c r="A50" i="65" s="1"/>
  <c r="A51" i="65" s="1"/>
  <c r="A52" i="65" s="1"/>
  <c r="A53" i="65" s="1"/>
  <c r="A54" i="65" s="1"/>
  <c r="A55" i="65" s="1"/>
  <c r="A56" i="65" s="1"/>
  <c r="A57" i="65" s="1"/>
  <c r="A58" i="65" s="1"/>
  <c r="A59" i="65" s="1"/>
  <c r="A60" i="65" s="1"/>
  <c r="A61" i="65" s="1"/>
  <c r="A62" i="65" s="1"/>
  <c r="A63" i="65" s="1"/>
  <c r="A64" i="65" s="1"/>
  <c r="A65" i="65" s="1"/>
  <c r="A66" i="65" s="1"/>
  <c r="A67" i="65" s="1"/>
  <c r="A68" i="65" s="1"/>
  <c r="A69" i="65" s="1"/>
  <c r="A70" i="65" s="1"/>
  <c r="A71" i="65" s="1"/>
  <c r="A72" i="65" s="1"/>
  <c r="A73" i="65" s="1"/>
  <c r="A74" i="65" s="1"/>
  <c r="A75" i="65" s="1"/>
  <c r="A76" i="65" s="1"/>
  <c r="A77" i="65" s="1"/>
  <c r="A78" i="65" s="1"/>
  <c r="A79" i="65" s="1"/>
  <c r="A80" i="65" s="1"/>
  <c r="A81" i="65" s="1"/>
  <c r="A82" i="65" s="1"/>
  <c r="A83" i="65" s="1"/>
  <c r="A84" i="65" s="1"/>
  <c r="A85" i="65" s="1"/>
  <c r="A86" i="65" s="1"/>
  <c r="A87" i="65" s="1"/>
  <c r="A88" i="65" s="1"/>
  <c r="A89" i="65" s="1"/>
  <c r="A90" i="65" s="1"/>
  <c r="A91" i="65" s="1"/>
  <c r="A92" i="65" s="1"/>
  <c r="A93" i="65" s="1"/>
  <c r="A94" i="65" s="1"/>
  <c r="A95" i="65" s="1"/>
  <c r="A96" i="65" s="1"/>
  <c r="A97" i="65" s="1"/>
  <c r="Y5" i="65"/>
  <c r="Y6" i="65" s="1"/>
  <c r="Y7" i="65" s="1"/>
  <c r="Y8" i="65"/>
  <c r="Y9" i="65" s="1"/>
  <c r="Y10" i="65" s="1"/>
  <c r="Y11" i="65" s="1"/>
  <c r="Y12" i="65" s="1"/>
  <c r="Y13" i="65" s="1"/>
  <c r="Y14" i="65"/>
  <c r="Y26" i="65"/>
  <c r="Y27" i="65"/>
  <c r="Y28" i="65" s="1"/>
  <c r="Y29" i="65" s="1"/>
  <c r="Y30" i="65" s="1"/>
  <c r="Y31" i="65"/>
  <c r="Y32" i="65" s="1"/>
  <c r="Y33" i="65" s="1"/>
  <c r="AG32" i="65"/>
  <c r="Y34" i="65"/>
  <c r="Y35" i="65" s="1"/>
  <c r="Y36" i="65" s="1"/>
  <c r="AG35" i="65"/>
  <c r="Y38" i="65"/>
  <c r="Y39" i="65"/>
  <c r="AG39" i="65" s="1"/>
  <c r="Y40" i="65"/>
  <c r="Y41" i="65" s="1"/>
  <c r="Y50" i="65"/>
  <c r="Y62" i="65"/>
  <c r="Y63" i="65"/>
  <c r="Y74" i="65"/>
  <c r="Y86" i="65"/>
  <c r="Y87" i="65"/>
  <c r="Y88" i="65" s="1"/>
  <c r="Y98" i="65"/>
  <c r="Y99" i="65" s="1"/>
  <c r="Y100" i="65" s="1"/>
  <c r="Y101" i="65"/>
  <c r="Y102" i="65" s="1"/>
  <c r="Y103" i="65" s="1"/>
  <c r="Y104" i="65" s="1"/>
  <c r="Y105" i="65" s="1"/>
  <c r="Y106" i="65" s="1"/>
  <c r="Y107" i="65" s="1"/>
  <c r="Y108" i="65" s="1"/>
  <c r="Y109" i="65" s="1"/>
  <c r="Y110" i="65"/>
  <c r="Y111" i="65" s="1"/>
  <c r="Y112" i="65" s="1"/>
  <c r="Y113" i="65"/>
  <c r="Y114" i="65" s="1"/>
  <c r="Y115" i="65" s="1"/>
  <c r="Y116" i="65" s="1"/>
  <c r="Y117" i="65" s="1"/>
  <c r="D114" i="65"/>
  <c r="E114" i="65"/>
  <c r="F114" i="65"/>
  <c r="G114" i="65"/>
  <c r="H114" i="65"/>
  <c r="I114" i="65"/>
  <c r="J114" i="65"/>
  <c r="K114" i="65"/>
  <c r="L114" i="65"/>
  <c r="M114" i="65"/>
  <c r="N114" i="65"/>
  <c r="O114" i="65"/>
  <c r="Y122" i="65"/>
  <c r="Y123" i="65"/>
  <c r="Y124" i="65" s="1"/>
  <c r="Y125" i="65"/>
  <c r="Y134" i="65"/>
  <c r="Y135" i="65"/>
  <c r="Y136" i="65" s="1"/>
  <c r="AG136" i="65" s="1"/>
  <c r="Y146" i="65"/>
  <c r="Y147" i="65"/>
  <c r="Y148" i="65" s="1"/>
  <c r="Y149" i="65" s="1"/>
  <c r="AG147" i="65"/>
  <c r="Y158" i="65"/>
  <c r="AG158" i="65" s="1"/>
  <c r="Y159" i="65"/>
  <c r="Y160" i="65" s="1"/>
  <c r="Y161" i="65"/>
  <c r="Y182" i="65"/>
  <c r="Y183" i="65"/>
  <c r="Y194" i="65"/>
  <c r="Y195" i="65"/>
  <c r="Y206" i="65"/>
  <c r="Y207" i="65"/>
  <c r="Y230" i="65"/>
  <c r="AG230" i="65" s="1"/>
  <c r="Y231" i="65"/>
  <c r="Y254" i="65"/>
  <c r="Y255" i="65"/>
  <c r="Y256" i="65" s="1"/>
  <c r="AG255" i="65"/>
  <c r="Y257" i="65"/>
  <c r="Y266" i="65"/>
  <c r="AG266" i="65" s="1"/>
  <c r="Y267" i="65"/>
  <c r="Y268" i="65" s="1"/>
  <c r="Y269" i="65"/>
  <c r="Y278" i="65"/>
  <c r="Y279" i="65"/>
  <c r="Y280" i="65" s="1"/>
  <c r="AG280" i="65" s="1"/>
  <c r="Y290" i="65"/>
  <c r="Y291" i="65"/>
  <c r="Y292" i="65" s="1"/>
  <c r="Y293" i="65" s="1"/>
  <c r="Y302" i="65"/>
  <c r="Y303" i="65"/>
  <c r="Y304" i="65" s="1"/>
  <c r="AG303" i="65"/>
  <c r="Y305" i="65"/>
  <c r="Y314" i="65"/>
  <c r="AG314" i="65" s="1"/>
  <c r="Y315" i="65"/>
  <c r="Y316" i="65" s="1"/>
  <c r="Y317" i="65"/>
  <c r="Y338" i="65"/>
  <c r="Y339" i="65"/>
  <c r="Y350" i="65"/>
  <c r="Y351" i="65"/>
  <c r="Y362" i="65"/>
  <c r="AG362" i="65" s="1"/>
  <c r="Y363" i="65"/>
  <c r="Y374" i="65"/>
  <c r="Y375" i="65"/>
  <c r="Y386" i="65"/>
  <c r="Y387" i="65"/>
  <c r="Y398" i="65"/>
  <c r="Y399" i="65"/>
  <c r="Y410" i="65"/>
  <c r="AG410" i="65" s="1"/>
  <c r="Y411" i="65"/>
  <c r="Y422" i="65"/>
  <c r="Y423" i="65"/>
  <c r="Y434" i="65"/>
  <c r="Y435" i="65"/>
  <c r="Y446" i="65"/>
  <c r="Y447" i="65"/>
  <c r="Y458" i="65"/>
  <c r="AG458" i="65" s="1"/>
  <c r="Y459" i="65"/>
  <c r="Y470" i="65"/>
  <c r="Y471" i="65"/>
  <c r="Y482" i="65"/>
  <c r="Y483" i="65"/>
  <c r="Y494" i="65"/>
  <c r="Y495" i="65"/>
  <c r="Y506" i="65"/>
  <c r="AG506" i="65" s="1"/>
  <c r="Y507" i="65"/>
  <c r="Y518" i="65"/>
  <c r="Y519" i="65"/>
  <c r="Y530" i="65"/>
  <c r="Y531" i="65"/>
  <c r="Y542" i="65"/>
  <c r="Y543" i="65"/>
  <c r="Y554" i="65"/>
  <c r="AG554" i="65" s="1"/>
  <c r="Y555" i="65"/>
  <c r="Y566" i="65"/>
  <c r="Y567" i="65" s="1"/>
  <c r="Y578" i="65"/>
  <c r="Y579" i="65"/>
  <c r="Y590" i="65"/>
  <c r="Y591" i="65" s="1"/>
  <c r="Y602" i="65"/>
  <c r="Y603" i="65"/>
  <c r="Y614" i="65"/>
  <c r="Y615" i="65" s="1"/>
  <c r="Y626" i="65"/>
  <c r="Y627" i="65"/>
  <c r="Y638" i="65"/>
  <c r="Y639" i="65" s="1"/>
  <c r="Y650" i="65"/>
  <c r="Y651" i="65"/>
  <c r="Y662" i="65"/>
  <c r="Y663" i="65" s="1"/>
  <c r="Y674" i="65"/>
  <c r="Y675" i="65"/>
  <c r="Y686" i="65"/>
  <c r="Y687" i="65" s="1"/>
  <c r="Y698" i="65"/>
  <c r="Y699" i="65"/>
  <c r="Y710" i="65"/>
  <c r="Y711" i="65" s="1"/>
  <c r="Y722" i="65"/>
  <c r="Y723" i="65"/>
  <c r="Y734" i="65"/>
  <c r="AG734" i="65" s="1"/>
  <c r="Y735" i="65"/>
  <c r="AG735" i="65" s="1"/>
  <c r="Y736" i="65"/>
  <c r="AG736" i="65" s="1"/>
  <c r="Y746" i="65"/>
  <c r="Y747" i="65"/>
  <c r="AG747" i="65" s="1"/>
  <c r="Y748" i="65"/>
  <c r="AG748" i="65" s="1"/>
  <c r="Y758" i="65"/>
  <c r="Y759" i="65"/>
  <c r="AG759" i="65" s="1"/>
  <c r="Y770" i="65"/>
  <c r="Y794" i="65"/>
  <c r="Y795" i="65" s="1"/>
  <c r="Y806" i="65"/>
  <c r="Y807" i="65"/>
  <c r="Y808" i="65" s="1"/>
  <c r="Y818" i="65"/>
  <c r="Y819" i="65" s="1"/>
  <c r="Y830" i="65"/>
  <c r="Y831" i="65"/>
  <c r="Y832" i="65" s="1"/>
  <c r="Y842" i="65"/>
  <c r="Y843" i="65" s="1"/>
  <c r="Y844" i="65" s="1"/>
  <c r="Y845" i="65" s="1"/>
  <c r="Y846" i="65" s="1"/>
  <c r="Y847" i="65" s="1"/>
  <c r="Y854" i="65"/>
  <c r="Y855" i="65"/>
  <c r="Y856" i="65" s="1"/>
  <c r="Y857" i="65" s="1"/>
  <c r="Y866" i="65"/>
  <c r="Y867" i="65"/>
  <c r="Y868" i="65" s="1"/>
  <c r="AG868" i="65" s="1"/>
  <c r="Y878" i="65"/>
  <c r="AG878" i="65"/>
  <c r="Y879" i="65"/>
  <c r="Y880" i="65" s="1"/>
  <c r="AG880" i="65" s="1"/>
  <c r="Y881" i="65"/>
  <c r="Y882" i="65" s="1"/>
  <c r="Y883" i="65" s="1"/>
  <c r="Y890" i="65"/>
  <c r="Y891" i="65"/>
  <c r="Y892" i="65" s="1"/>
  <c r="AG892" i="65"/>
  <c r="Y893" i="65"/>
  <c r="Y894" i="65" s="1"/>
  <c r="Y895" i="65" s="1"/>
  <c r="AG894" i="65"/>
  <c r="Y902" i="65"/>
  <c r="Y903" i="65"/>
  <c r="Y904" i="65" s="1"/>
  <c r="Y905" i="65" s="1"/>
  <c r="Y914" i="65"/>
  <c r="Y915" i="65"/>
  <c r="Y916" i="65" s="1"/>
  <c r="AG916" i="65" s="1"/>
  <c r="Y926" i="65"/>
  <c r="AG926" i="65"/>
  <c r="Y927" i="65"/>
  <c r="Y928" i="65" s="1"/>
  <c r="AG928" i="65" s="1"/>
  <c r="Y929" i="65"/>
  <c r="Y930" i="65" s="1"/>
  <c r="Y931" i="65" s="1"/>
  <c r="Y938" i="65"/>
  <c r="Y939" i="65"/>
  <c r="Y940" i="65" s="1"/>
  <c r="Y941" i="65" s="1"/>
  <c r="Y942" i="65" s="1"/>
  <c r="Y943" i="65" s="1"/>
  <c r="Y944" i="65" s="1"/>
  <c r="Y945" i="65" s="1"/>
  <c r="Y950" i="65"/>
  <c r="Y951" i="65" s="1"/>
  <c r="Y952" i="65" s="1"/>
  <c r="Y953" i="65" s="1"/>
  <c r="Y954" i="65" s="1"/>
  <c r="Y955" i="65" s="1"/>
  <c r="Y956" i="65" s="1"/>
  <c r="Y962" i="65"/>
  <c r="Y963" i="65" s="1"/>
  <c r="Y964" i="65"/>
  <c r="Y965" i="65" s="1"/>
  <c r="Y966" i="65" s="1"/>
  <c r="Y967" i="65" s="1"/>
  <c r="Y968" i="65" s="1"/>
  <c r="Y969" i="65" s="1"/>
  <c r="Y970" i="65" s="1"/>
  <c r="Y971" i="65" s="1"/>
  <c r="Y972" i="65" s="1"/>
  <c r="Y118" i="65"/>
  <c r="Y119" i="65" s="1"/>
  <c r="Y120" i="65" s="1"/>
  <c r="Y121" i="65" s="1"/>
  <c r="Y170" i="65"/>
  <c r="Y171" i="65" s="1"/>
  <c r="Y172" i="65" s="1"/>
  <c r="Y173" i="65" s="1"/>
  <c r="Y174" i="65" s="1"/>
  <c r="Y175" i="65" s="1"/>
  <c r="Y176" i="65" s="1"/>
  <c r="Y177" i="65" s="1"/>
  <c r="Y178" i="65" s="1"/>
  <c r="Y179" i="65" s="1"/>
  <c r="Y180" i="65" s="1"/>
  <c r="Y181" i="65" s="1"/>
  <c r="Y218" i="65"/>
  <c r="Y219" i="65" s="1"/>
  <c r="Y220" i="65" s="1"/>
  <c r="Y221" i="65" s="1"/>
  <c r="Y222" i="65" s="1"/>
  <c r="Y223" i="65" s="1"/>
  <c r="Y224" i="65" s="1"/>
  <c r="Y225" i="65" s="1"/>
  <c r="Y226" i="65" s="1"/>
  <c r="Y227" i="65" s="1"/>
  <c r="Y228" i="65" s="1"/>
  <c r="Y229" i="65" s="1"/>
  <c r="Y242" i="65"/>
  <c r="Y243" i="65" s="1"/>
  <c r="Y244" i="65" s="1"/>
  <c r="Y245" i="65" s="1"/>
  <c r="Y246" i="65"/>
  <c r="Y247" i="65" s="1"/>
  <c r="Y248" i="65" s="1"/>
  <c r="Y249" i="65" s="1"/>
  <c r="Y250" i="65" s="1"/>
  <c r="Y251" i="65" s="1"/>
  <c r="Y252" i="65" s="1"/>
  <c r="Y253" i="65" s="1"/>
  <c r="Y326" i="65"/>
  <c r="Y327" i="65"/>
  <c r="Y328" i="65"/>
  <c r="Y329" i="65" s="1"/>
  <c r="Y330" i="65" s="1"/>
  <c r="Y331" i="65" s="1"/>
  <c r="Y332" i="65" s="1"/>
  <c r="Y333" i="65" s="1"/>
  <c r="Y334" i="65" s="1"/>
  <c r="Y335" i="65" s="1"/>
  <c r="Y336" i="65" s="1"/>
  <c r="Y337" i="65" s="1"/>
  <c r="Y771" i="65"/>
  <c r="Y772" i="65" s="1"/>
  <c r="Y773" i="65" s="1"/>
  <c r="Y774" i="65" s="1"/>
  <c r="Y775" i="65" s="1"/>
  <c r="Y776" i="65" s="1"/>
  <c r="Y777" i="65" s="1"/>
  <c r="Y778" i="65" s="1"/>
  <c r="Y779" i="65" s="1"/>
  <c r="Y780" i="65" s="1"/>
  <c r="Y781" i="65" s="1"/>
  <c r="Y782" i="65"/>
  <c r="Y783" i="65" s="1"/>
  <c r="Y784" i="65" s="1"/>
  <c r="Y785" i="65"/>
  <c r="Y786" i="65"/>
  <c r="Y787" i="65" s="1"/>
  <c r="Y788" i="65" s="1"/>
  <c r="Y789" i="65" s="1"/>
  <c r="Y790" i="65" s="1"/>
  <c r="Y791" i="65" s="1"/>
  <c r="Y792" i="65" s="1"/>
  <c r="Y793" i="65" s="1"/>
  <c r="B2" i="49"/>
  <c r="AG662" i="49" s="1"/>
  <c r="Y2" i="49"/>
  <c r="Y3" i="49" s="1"/>
  <c r="Y4" i="49" s="1"/>
  <c r="Y5" i="49" s="1"/>
  <c r="Y6" i="49" s="1"/>
  <c r="Y7" i="49" s="1"/>
  <c r="Y8" i="49" s="1"/>
  <c r="Y9" i="49" s="1"/>
  <c r="Y10" i="49" s="1"/>
  <c r="Y11" i="49" s="1"/>
  <c r="Y12" i="49" s="1"/>
  <c r="Y13" i="49" s="1"/>
  <c r="A4" i="49"/>
  <c r="A5" i="49"/>
  <c r="A6" i="49" s="1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A75" i="49" s="1"/>
  <c r="A76" i="49" s="1"/>
  <c r="A77" i="49" s="1"/>
  <c r="A78" i="49" s="1"/>
  <c r="A79" i="49" s="1"/>
  <c r="A80" i="49" s="1"/>
  <c r="A81" i="49" s="1"/>
  <c r="A82" i="49" s="1"/>
  <c r="A83" i="49" s="1"/>
  <c r="A84" i="49" s="1"/>
  <c r="A85" i="49" s="1"/>
  <c r="A86" i="49" s="1"/>
  <c r="A87" i="49" s="1"/>
  <c r="A88" i="49" s="1"/>
  <c r="A89" i="49" s="1"/>
  <c r="A90" i="49" s="1"/>
  <c r="A91" i="49" s="1"/>
  <c r="A92" i="49" s="1"/>
  <c r="A93" i="49" s="1"/>
  <c r="A94" i="49" s="1"/>
  <c r="A95" i="49" s="1"/>
  <c r="A96" i="49" s="1"/>
  <c r="A97" i="49" s="1"/>
  <c r="Y14" i="49"/>
  <c r="Y15" i="49" s="1"/>
  <c r="Y16" i="49" s="1"/>
  <c r="Y17" i="49" s="1"/>
  <c r="Y18" i="49" s="1"/>
  <c r="Y19" i="49" s="1"/>
  <c r="Y20" i="49" s="1"/>
  <c r="Y21" i="49" s="1"/>
  <c r="Y22" i="49" s="1"/>
  <c r="Y23" i="49" s="1"/>
  <c r="Y24" i="49" s="1"/>
  <c r="Y25" i="49" s="1"/>
  <c r="Y26" i="49"/>
  <c r="Y27" i="49" s="1"/>
  <c r="Y28" i="49"/>
  <c r="Y29" i="49" s="1"/>
  <c r="Y30" i="49" s="1"/>
  <c r="Y31" i="49" s="1"/>
  <c r="Y32" i="49" s="1"/>
  <c r="Y33" i="49" s="1"/>
  <c r="Y34" i="49" s="1"/>
  <c r="Y35" i="49" s="1"/>
  <c r="Y36" i="49" s="1"/>
  <c r="Y37" i="49" s="1"/>
  <c r="Y38" i="49"/>
  <c r="Y39" i="49" s="1"/>
  <c r="Y40" i="49"/>
  <c r="Y41" i="49" s="1"/>
  <c r="Y42" i="49" s="1"/>
  <c r="Y43" i="49" s="1"/>
  <c r="Y44" i="49" s="1"/>
  <c r="Y45" i="49" s="1"/>
  <c r="Y46" i="49" s="1"/>
  <c r="Y47" i="49" s="1"/>
  <c r="Y48" i="49" s="1"/>
  <c r="Y49" i="49" s="1"/>
  <c r="Y50" i="49"/>
  <c r="Y51" i="49" s="1"/>
  <c r="Y52" i="49"/>
  <c r="Y53" i="49" s="1"/>
  <c r="Y54" i="49" s="1"/>
  <c r="Y55" i="49" s="1"/>
  <c r="Y56" i="49" s="1"/>
  <c r="Y57" i="49" s="1"/>
  <c r="Y58" i="49" s="1"/>
  <c r="Y59" i="49" s="1"/>
  <c r="Y60" i="49" s="1"/>
  <c r="Y61" i="49" s="1"/>
  <c r="Y62" i="49"/>
  <c r="Y63" i="49" s="1"/>
  <c r="Y64" i="49"/>
  <c r="Y65" i="49" s="1"/>
  <c r="Y66" i="49" s="1"/>
  <c r="Y67" i="49" s="1"/>
  <c r="Y68" i="49" s="1"/>
  <c r="Y69" i="49" s="1"/>
  <c r="Y70" i="49" s="1"/>
  <c r="Y71" i="49" s="1"/>
  <c r="Y72" i="49" s="1"/>
  <c r="Y73" i="49" s="1"/>
  <c r="Y74" i="49"/>
  <c r="Y75" i="49" s="1"/>
  <c r="Y76" i="49" s="1"/>
  <c r="Y77" i="49" s="1"/>
  <c r="Y78" i="49" s="1"/>
  <c r="Y79" i="49" s="1"/>
  <c r="Y80" i="49" s="1"/>
  <c r="Y81" i="49" s="1"/>
  <c r="Y82" i="49" s="1"/>
  <c r="Y83" i="49" s="1"/>
  <c r="Y84" i="49" s="1"/>
  <c r="Y85" i="49" s="1"/>
  <c r="Y86" i="49"/>
  <c r="Y87" i="49" s="1"/>
  <c r="Y88" i="49" s="1"/>
  <c r="Y89" i="49" s="1"/>
  <c r="Y90" i="49" s="1"/>
  <c r="Y91" i="49" s="1"/>
  <c r="Y92" i="49" s="1"/>
  <c r="Y93" i="49" s="1"/>
  <c r="Y94" i="49" s="1"/>
  <c r="Y95" i="49" s="1"/>
  <c r="Y96" i="49" s="1"/>
  <c r="Y97" i="49" s="1"/>
  <c r="Y98" i="49"/>
  <c r="Y99" i="49" s="1"/>
  <c r="Y100" i="49" s="1"/>
  <c r="Y101" i="49" s="1"/>
  <c r="Y102" i="49"/>
  <c r="Y103" i="49"/>
  <c r="Y104" i="49" s="1"/>
  <c r="Y105" i="49" s="1"/>
  <c r="Y106" i="49" s="1"/>
  <c r="Y107" i="49" s="1"/>
  <c r="Y108" i="49" s="1"/>
  <c r="Y109" i="49" s="1"/>
  <c r="Y110" i="49"/>
  <c r="Y111" i="49" s="1"/>
  <c r="Y112" i="49" s="1"/>
  <c r="Y113" i="49" s="1"/>
  <c r="Y114" i="49" s="1"/>
  <c r="Y115" i="49" s="1"/>
  <c r="Y116" i="49" s="1"/>
  <c r="Y117" i="49" s="1"/>
  <c r="Y118" i="49" s="1"/>
  <c r="Y119" i="49" s="1"/>
  <c r="Y120" i="49" s="1"/>
  <c r="Y121" i="49" s="1"/>
  <c r="Y122" i="49"/>
  <c r="Y123" i="49" s="1"/>
  <c r="Y124" i="49" s="1"/>
  <c r="Y125" i="49" s="1"/>
  <c r="Y126" i="49" s="1"/>
  <c r="Y127" i="49" s="1"/>
  <c r="Y128" i="49" s="1"/>
  <c r="Y129" i="49" s="1"/>
  <c r="Y130" i="49" s="1"/>
  <c r="Y131" i="49" s="1"/>
  <c r="Y132" i="49" s="1"/>
  <c r="Y133" i="49" s="1"/>
  <c r="Y134" i="49"/>
  <c r="Y135" i="49"/>
  <c r="Y136" i="49" s="1"/>
  <c r="Y137" i="49" s="1"/>
  <c r="Y138" i="49" s="1"/>
  <c r="Y139" i="49" s="1"/>
  <c r="Y140" i="49" s="1"/>
  <c r="Y141" i="49" s="1"/>
  <c r="Y142" i="49" s="1"/>
  <c r="Y143" i="49" s="1"/>
  <c r="Y144" i="49" s="1"/>
  <c r="Y145" i="49" s="1"/>
  <c r="Y146" i="49"/>
  <c r="Y147" i="49" s="1"/>
  <c r="Y148" i="49" s="1"/>
  <c r="Y149" i="49" s="1"/>
  <c r="Y150" i="49"/>
  <c r="Y151" i="49"/>
  <c r="Y152" i="49" s="1"/>
  <c r="Y153" i="49" s="1"/>
  <c r="Y154" i="49" s="1"/>
  <c r="Y155" i="49" s="1"/>
  <c r="Y156" i="49" s="1"/>
  <c r="Y157" i="49" s="1"/>
  <c r="Y158" i="49"/>
  <c r="Y159" i="49" s="1"/>
  <c r="Y160" i="49" s="1"/>
  <c r="Y161" i="49" s="1"/>
  <c r="Y162" i="49" s="1"/>
  <c r="Y163" i="49" s="1"/>
  <c r="Y164" i="49" s="1"/>
  <c r="Y165" i="49" s="1"/>
  <c r="Y166" i="49" s="1"/>
  <c r="Y167" i="49" s="1"/>
  <c r="Y168" i="49" s="1"/>
  <c r="Y169" i="49" s="1"/>
  <c r="Y170" i="49"/>
  <c r="Y171" i="49" s="1"/>
  <c r="Y172" i="49" s="1"/>
  <c r="Y173" i="49" s="1"/>
  <c r="Y174" i="49" s="1"/>
  <c r="Y175" i="49" s="1"/>
  <c r="Y176" i="49" s="1"/>
  <c r="Y177" i="49" s="1"/>
  <c r="Y178" i="49" s="1"/>
  <c r="Y179" i="49" s="1"/>
  <c r="Y180" i="49" s="1"/>
  <c r="Y181" i="49" s="1"/>
  <c r="Y182" i="49"/>
  <c r="Y183" i="49"/>
  <c r="Y184" i="49" s="1"/>
  <c r="Y185" i="49" s="1"/>
  <c r="Y186" i="49" s="1"/>
  <c r="Y187" i="49" s="1"/>
  <c r="Y188" i="49" s="1"/>
  <c r="Y189" i="49" s="1"/>
  <c r="Y190" i="49" s="1"/>
  <c r="Y191" i="49" s="1"/>
  <c r="Y192" i="49" s="1"/>
  <c r="Y193" i="49" s="1"/>
  <c r="Y194" i="49"/>
  <c r="Y195" i="49"/>
  <c r="Y196" i="49" s="1"/>
  <c r="Y197" i="49" s="1"/>
  <c r="Y198" i="49"/>
  <c r="Y199" i="49" s="1"/>
  <c r="Y200" i="49" s="1"/>
  <c r="Y201" i="49" s="1"/>
  <c r="Y202" i="49" s="1"/>
  <c r="Y203" i="49" s="1"/>
  <c r="Y204" i="49" s="1"/>
  <c r="Y205" i="49" s="1"/>
  <c r="Y206" i="49"/>
  <c r="Y207" i="49" s="1"/>
  <c r="Y208" i="49" s="1"/>
  <c r="Y209" i="49" s="1"/>
  <c r="Y210" i="49" s="1"/>
  <c r="Y211" i="49" s="1"/>
  <c r="Y212" i="49" s="1"/>
  <c r="Y213" i="49" s="1"/>
  <c r="Y214" i="49" s="1"/>
  <c r="Y215" i="49" s="1"/>
  <c r="Y216" i="49" s="1"/>
  <c r="Y217" i="49" s="1"/>
  <c r="Y218" i="49"/>
  <c r="Y219" i="49" s="1"/>
  <c r="Y220" i="49" s="1"/>
  <c r="Y221" i="49" s="1"/>
  <c r="Y222" i="49" s="1"/>
  <c r="Y223" i="49" s="1"/>
  <c r="Y224" i="49" s="1"/>
  <c r="Y225" i="49" s="1"/>
  <c r="Y226" i="49" s="1"/>
  <c r="Y227" i="49" s="1"/>
  <c r="Y228" i="49" s="1"/>
  <c r="Y229" i="49" s="1"/>
  <c r="Y230" i="49"/>
  <c r="Y231" i="49"/>
  <c r="Y232" i="49" s="1"/>
  <c r="Y233" i="49" s="1"/>
  <c r="Y234" i="49" s="1"/>
  <c r="Y235" i="49" s="1"/>
  <c r="Y236" i="49" s="1"/>
  <c r="Y237" i="49" s="1"/>
  <c r="Y238" i="49" s="1"/>
  <c r="Y239" i="49" s="1"/>
  <c r="Y240" i="49" s="1"/>
  <c r="Y241" i="49" s="1"/>
  <c r="Y242" i="49"/>
  <c r="Y243" i="49"/>
  <c r="Y244" i="49" s="1"/>
  <c r="Y245" i="49" s="1"/>
  <c r="Y246" i="49" s="1"/>
  <c r="Y247" i="49" s="1"/>
  <c r="Y248" i="49" s="1"/>
  <c r="Y249" i="49" s="1"/>
  <c r="Y250" i="49" s="1"/>
  <c r="Y251" i="49" s="1"/>
  <c r="Y252" i="49" s="1"/>
  <c r="Y253" i="49" s="1"/>
  <c r="Y254" i="49"/>
  <c r="Y255" i="49" s="1"/>
  <c r="Y256" i="49" s="1"/>
  <c r="Y257" i="49" s="1"/>
  <c r="Y258" i="49" s="1"/>
  <c r="Y259" i="49" s="1"/>
  <c r="Y260" i="49" s="1"/>
  <c r="Y261" i="49" s="1"/>
  <c r="Y262" i="49" s="1"/>
  <c r="Y263" i="49" s="1"/>
  <c r="Y264" i="49" s="1"/>
  <c r="Y265" i="49" s="1"/>
  <c r="Y266" i="49"/>
  <c r="Y267" i="49" s="1"/>
  <c r="Y268" i="49" s="1"/>
  <c r="Y269" i="49" s="1"/>
  <c r="Y270" i="49" s="1"/>
  <c r="Y271" i="49" s="1"/>
  <c r="Y272" i="49" s="1"/>
  <c r="Y273" i="49" s="1"/>
  <c r="Y274" i="49" s="1"/>
  <c r="Y275" i="49" s="1"/>
  <c r="Y276" i="49" s="1"/>
  <c r="Y277" i="49" s="1"/>
  <c r="Y278" i="49"/>
  <c r="Y279" i="49" s="1"/>
  <c r="Y280" i="49" s="1"/>
  <c r="Y281" i="49" s="1"/>
  <c r="Y282" i="49" s="1"/>
  <c r="Y283" i="49" s="1"/>
  <c r="Y284" i="49" s="1"/>
  <c r="Y285" i="49" s="1"/>
  <c r="Y286" i="49" s="1"/>
  <c r="Y287" i="49" s="1"/>
  <c r="Y288" i="49" s="1"/>
  <c r="Y289" i="49" s="1"/>
  <c r="Y290" i="49"/>
  <c r="Y291" i="49" s="1"/>
  <c r="Y292" i="49" s="1"/>
  <c r="Y293" i="49" s="1"/>
  <c r="Y294" i="49" s="1"/>
  <c r="Y295" i="49" s="1"/>
  <c r="Y296" i="49" s="1"/>
  <c r="Y297" i="49" s="1"/>
  <c r="Y298" i="49" s="1"/>
  <c r="Y299" i="49" s="1"/>
  <c r="Y300" i="49" s="1"/>
  <c r="Y301" i="49" s="1"/>
  <c r="Y302" i="49"/>
  <c r="Y303" i="49"/>
  <c r="Y304" i="49" s="1"/>
  <c r="Y305" i="49" s="1"/>
  <c r="Y306" i="49" s="1"/>
  <c r="Y307" i="49" s="1"/>
  <c r="Y308" i="49" s="1"/>
  <c r="Y309" i="49" s="1"/>
  <c r="Y310" i="49" s="1"/>
  <c r="Y311" i="49" s="1"/>
  <c r="Y312" i="49" s="1"/>
  <c r="Y313" i="49" s="1"/>
  <c r="Y314" i="49"/>
  <c r="Y315" i="49"/>
  <c r="Y316" i="49" s="1"/>
  <c r="Y317" i="49" s="1"/>
  <c r="Y318" i="49" s="1"/>
  <c r="Y319" i="49" s="1"/>
  <c r="Y320" i="49" s="1"/>
  <c r="Y321" i="49" s="1"/>
  <c r="Y322" i="49" s="1"/>
  <c r="Y323" i="49" s="1"/>
  <c r="Y324" i="49" s="1"/>
  <c r="Y325" i="49" s="1"/>
  <c r="Y326" i="49"/>
  <c r="Y327" i="49" s="1"/>
  <c r="Y328" i="49" s="1"/>
  <c r="Y329" i="49" s="1"/>
  <c r="Y330" i="49" s="1"/>
  <c r="Y331" i="49" s="1"/>
  <c r="Y332" i="49" s="1"/>
  <c r="Y333" i="49" s="1"/>
  <c r="Y334" i="49" s="1"/>
  <c r="Y335" i="49" s="1"/>
  <c r="Y336" i="49" s="1"/>
  <c r="Y337" i="49" s="1"/>
  <c r="Y338" i="49"/>
  <c r="Y339" i="49" s="1"/>
  <c r="Y340" i="49" s="1"/>
  <c r="Y341" i="49" s="1"/>
  <c r="Y342" i="49" s="1"/>
  <c r="Y343" i="49" s="1"/>
  <c r="Y344" i="49" s="1"/>
  <c r="Y345" i="49" s="1"/>
  <c r="Y346" i="49" s="1"/>
  <c r="Y347" i="49" s="1"/>
  <c r="Y348" i="49" s="1"/>
  <c r="Y349" i="49" s="1"/>
  <c r="Y350" i="49"/>
  <c r="Y351" i="49"/>
  <c r="Y352" i="49" s="1"/>
  <c r="Y353" i="49" s="1"/>
  <c r="Y354" i="49" s="1"/>
  <c r="Y355" i="49" s="1"/>
  <c r="Y356" i="49" s="1"/>
  <c r="Y357" i="49" s="1"/>
  <c r="Y358" i="49" s="1"/>
  <c r="Y359" i="49" s="1"/>
  <c r="Y360" i="49" s="1"/>
  <c r="Y361" i="49" s="1"/>
  <c r="Y362" i="49"/>
  <c r="Y363" i="49"/>
  <c r="Y364" i="49" s="1"/>
  <c r="Y365" i="49" s="1"/>
  <c r="Y366" i="49" s="1"/>
  <c r="Y367" i="49" s="1"/>
  <c r="Y368" i="49" s="1"/>
  <c r="Y369" i="49" s="1"/>
  <c r="Y370" i="49" s="1"/>
  <c r="Y371" i="49" s="1"/>
  <c r="Y372" i="49" s="1"/>
  <c r="Y373" i="49" s="1"/>
  <c r="Y374" i="49"/>
  <c r="Y375" i="49"/>
  <c r="Y376" i="49"/>
  <c r="Y377" i="49" s="1"/>
  <c r="Y378" i="49" s="1"/>
  <c r="Y379" i="49" s="1"/>
  <c r="Y380" i="49" s="1"/>
  <c r="Y381" i="49" s="1"/>
  <c r="Y382" i="49" s="1"/>
  <c r="Y383" i="49" s="1"/>
  <c r="Y384" i="49" s="1"/>
  <c r="Y385" i="49" s="1"/>
  <c r="Y386" i="49"/>
  <c r="Y387" i="49"/>
  <c r="Y388" i="49" s="1"/>
  <c r="Y389" i="49" s="1"/>
  <c r="Y390" i="49"/>
  <c r="Y391" i="49" s="1"/>
  <c r="Y392" i="49" s="1"/>
  <c r="Y393" i="49" s="1"/>
  <c r="Y394" i="49" s="1"/>
  <c r="Y395" i="49" s="1"/>
  <c r="Y396" i="49" s="1"/>
  <c r="Y397" i="49" s="1"/>
  <c r="Y398" i="49"/>
  <c r="Y399" i="49" s="1"/>
  <c r="Y400" i="49" s="1"/>
  <c r="Y401" i="49" s="1"/>
  <c r="Y402" i="49" s="1"/>
  <c r="Y403" i="49" s="1"/>
  <c r="Y404" i="49" s="1"/>
  <c r="Y405" i="49" s="1"/>
  <c r="Y406" i="49" s="1"/>
  <c r="Y407" i="49" s="1"/>
  <c r="Y408" i="49" s="1"/>
  <c r="Y409" i="49" s="1"/>
  <c r="Y410" i="49"/>
  <c r="Y411" i="49" s="1"/>
  <c r="Y412" i="49" s="1"/>
  <c r="Y413" i="49" s="1"/>
  <c r="Y414" i="49" s="1"/>
  <c r="Y415" i="49" s="1"/>
  <c r="Y416" i="49" s="1"/>
  <c r="Y417" i="49" s="1"/>
  <c r="Y418" i="49" s="1"/>
  <c r="Y419" i="49" s="1"/>
  <c r="Y420" i="49" s="1"/>
  <c r="Y421" i="49" s="1"/>
  <c r="Y422" i="49"/>
  <c r="Y423" i="49"/>
  <c r="Y424" i="49" s="1"/>
  <c r="Y425" i="49" s="1"/>
  <c r="Y426" i="49" s="1"/>
  <c r="Y427" i="49" s="1"/>
  <c r="Y428" i="49" s="1"/>
  <c r="Y429" i="49" s="1"/>
  <c r="Y430" i="49" s="1"/>
  <c r="Y431" i="49" s="1"/>
  <c r="Y432" i="49" s="1"/>
  <c r="Y433" i="49" s="1"/>
  <c r="Y434" i="49"/>
  <c r="Y435" i="49"/>
  <c r="Y436" i="49" s="1"/>
  <c r="Y437" i="49" s="1"/>
  <c r="Y438" i="49" s="1"/>
  <c r="Y439" i="49" s="1"/>
  <c r="Y440" i="49" s="1"/>
  <c r="Y441" i="49" s="1"/>
  <c r="Y442" i="49" s="1"/>
  <c r="Y443" i="49" s="1"/>
  <c r="Y444" i="49" s="1"/>
  <c r="Y445" i="49" s="1"/>
  <c r="Y446" i="49"/>
  <c r="Y447" i="49" s="1"/>
  <c r="Y448" i="49" s="1"/>
  <c r="Y449" i="49" s="1"/>
  <c r="Y450" i="49" s="1"/>
  <c r="Y451" i="49" s="1"/>
  <c r="Y452" i="49" s="1"/>
  <c r="Y453" i="49" s="1"/>
  <c r="Y454" i="49" s="1"/>
  <c r="Y455" i="49" s="1"/>
  <c r="Y456" i="49" s="1"/>
  <c r="Y457" i="49" s="1"/>
  <c r="Y458" i="49"/>
  <c r="Y459" i="49" s="1"/>
  <c r="Y460" i="49" s="1"/>
  <c r="Y461" i="49" s="1"/>
  <c r="Y462" i="49" s="1"/>
  <c r="Y463" i="49" s="1"/>
  <c r="Y464" i="49" s="1"/>
  <c r="Y465" i="49" s="1"/>
  <c r="Y466" i="49" s="1"/>
  <c r="Y467" i="49" s="1"/>
  <c r="Y468" i="49" s="1"/>
  <c r="Y469" i="49" s="1"/>
  <c r="Y470" i="49"/>
  <c r="Y471" i="49" s="1"/>
  <c r="Y472" i="49" s="1"/>
  <c r="Y473" i="49" s="1"/>
  <c r="Y474" i="49" s="1"/>
  <c r="Y475" i="49" s="1"/>
  <c r="Y476" i="49" s="1"/>
  <c r="Y477" i="49" s="1"/>
  <c r="Y478" i="49" s="1"/>
  <c r="Y479" i="49" s="1"/>
  <c r="Y480" i="49" s="1"/>
  <c r="Y481" i="49" s="1"/>
  <c r="Y482" i="49"/>
  <c r="Y483" i="49" s="1"/>
  <c r="AG483" i="49" s="1"/>
  <c r="Y494" i="49"/>
  <c r="Y495" i="49"/>
  <c r="Y496" i="49" s="1"/>
  <c r="Y497" i="49" s="1"/>
  <c r="Y498" i="49" s="1"/>
  <c r="Y499" i="49" s="1"/>
  <c r="Y500" i="49" s="1"/>
  <c r="Y501" i="49" s="1"/>
  <c r="Y502" i="49" s="1"/>
  <c r="Y503" i="49" s="1"/>
  <c r="Y504" i="49" s="1"/>
  <c r="Y505" i="49" s="1"/>
  <c r="Y506" i="49"/>
  <c r="Y507" i="49" s="1"/>
  <c r="Y508" i="49" s="1"/>
  <c r="Y509" i="49" s="1"/>
  <c r="Y510" i="49" s="1"/>
  <c r="Y511" i="49" s="1"/>
  <c r="Y512" i="49" s="1"/>
  <c r="Y513" i="49" s="1"/>
  <c r="Y514" i="49" s="1"/>
  <c r="Y515" i="49" s="1"/>
  <c r="Y516" i="49" s="1"/>
  <c r="Y517" i="49" s="1"/>
  <c r="Y518" i="49"/>
  <c r="Y519" i="49" s="1"/>
  <c r="Y520" i="49" s="1"/>
  <c r="Y521" i="49" s="1"/>
  <c r="Y522" i="49" s="1"/>
  <c r="Y523" i="49" s="1"/>
  <c r="Y524" i="49" s="1"/>
  <c r="Y525" i="49" s="1"/>
  <c r="Y526" i="49" s="1"/>
  <c r="Y527" i="49" s="1"/>
  <c r="Y528" i="49" s="1"/>
  <c r="Y529" i="49" s="1"/>
  <c r="Y530" i="49"/>
  <c r="Y531" i="49"/>
  <c r="Y532" i="49" s="1"/>
  <c r="Y533" i="49" s="1"/>
  <c r="Y534" i="49" s="1"/>
  <c r="Y535" i="49" s="1"/>
  <c r="Y536" i="49" s="1"/>
  <c r="Y537" i="49" s="1"/>
  <c r="Y538" i="49" s="1"/>
  <c r="Y539" i="49" s="1"/>
  <c r="Y540" i="49" s="1"/>
  <c r="Y541" i="49" s="1"/>
  <c r="Y542" i="49"/>
  <c r="Y543" i="49" s="1"/>
  <c r="Y544" i="49" s="1"/>
  <c r="AG542" i="49"/>
  <c r="Y554" i="49"/>
  <c r="Y555" i="49" s="1"/>
  <c r="Y556" i="49"/>
  <c r="AG556" i="49" s="1"/>
  <c r="Y557" i="49"/>
  <c r="AG557" i="49" s="1"/>
  <c r="Y566" i="49"/>
  <c r="Y567" i="49" s="1"/>
  <c r="Y568" i="49" s="1"/>
  <c r="Y569" i="49" s="1"/>
  <c r="Y570" i="49" s="1"/>
  <c r="Y571" i="49" s="1"/>
  <c r="Y572" i="49" s="1"/>
  <c r="Y573" i="49" s="1"/>
  <c r="Y574" i="49" s="1"/>
  <c r="Y575" i="49" s="1"/>
  <c r="Y576" i="49" s="1"/>
  <c r="Y577" i="49" s="1"/>
  <c r="Y578" i="49"/>
  <c r="Y579" i="49"/>
  <c r="Y580" i="49" s="1"/>
  <c r="Y581" i="49" s="1"/>
  <c r="Y582" i="49" s="1"/>
  <c r="Y583" i="49" s="1"/>
  <c r="Y584" i="49" s="1"/>
  <c r="Y585" i="49" s="1"/>
  <c r="Y586" i="49" s="1"/>
  <c r="Y587" i="49" s="1"/>
  <c r="Y588" i="49" s="1"/>
  <c r="Y589" i="49" s="1"/>
  <c r="Y590" i="49"/>
  <c r="Y591" i="49" s="1"/>
  <c r="AG591" i="49" s="1"/>
  <c r="AG590" i="49"/>
  <c r="Y602" i="49"/>
  <c r="Y603" i="49" s="1"/>
  <c r="AG603" i="49" s="1"/>
  <c r="Y604" i="49"/>
  <c r="AG604" i="49" s="1"/>
  <c r="Y614" i="49"/>
  <c r="Y615" i="49" s="1"/>
  <c r="AG615" i="49" s="1"/>
  <c r="Y626" i="49"/>
  <c r="Y627" i="49"/>
  <c r="Y628" i="49" s="1"/>
  <c r="Y629" i="49" s="1"/>
  <c r="Y630" i="49" s="1"/>
  <c r="Y631" i="49" s="1"/>
  <c r="Y632" i="49" s="1"/>
  <c r="Y633" i="49" s="1"/>
  <c r="Y634" i="49" s="1"/>
  <c r="Y635" i="49" s="1"/>
  <c r="Y636" i="49" s="1"/>
  <c r="Y637" i="49" s="1"/>
  <c r="Y638" i="49"/>
  <c r="AG638" i="49" s="1"/>
  <c r="Y639" i="49"/>
  <c r="AG639" i="49" s="1"/>
  <c r="Y650" i="49"/>
  <c r="Y651" i="49" s="1"/>
  <c r="AG650" i="49"/>
  <c r="Y662" i="49"/>
  <c r="Y663" i="49"/>
  <c r="AG663" i="49" s="1"/>
  <c r="Y674" i="49"/>
  <c r="AG674" i="49" s="1"/>
  <c r="Y686" i="49"/>
  <c r="Y687" i="49" s="1"/>
  <c r="AG686" i="49"/>
  <c r="Y698" i="49"/>
  <c r="Y699" i="49" s="1"/>
  <c r="Y700" i="49" s="1"/>
  <c r="Y701" i="49" s="1"/>
  <c r="Y702" i="49" s="1"/>
  <c r="Y703" i="49" s="1"/>
  <c r="Y704" i="49" s="1"/>
  <c r="Y705" i="49" s="1"/>
  <c r="Y706" i="49" s="1"/>
  <c r="Y707" i="49" s="1"/>
  <c r="Y708" i="49" s="1"/>
  <c r="Y709" i="49" s="1"/>
  <c r="Y710" i="49"/>
  <c r="Y711" i="49" s="1"/>
  <c r="Y712" i="49" s="1"/>
  <c r="Y713" i="49" s="1"/>
  <c r="Y714" i="49" s="1"/>
  <c r="Y715" i="49" s="1"/>
  <c r="Y716" i="49" s="1"/>
  <c r="Y717" i="49" s="1"/>
  <c r="Y718" i="49" s="1"/>
  <c r="Y719" i="49" s="1"/>
  <c r="Y720" i="49" s="1"/>
  <c r="Y721" i="49" s="1"/>
  <c r="Y722" i="49"/>
  <c r="Y723" i="49" s="1"/>
  <c r="Y724" i="49" s="1"/>
  <c r="Y725" i="49" s="1"/>
  <c r="Y726" i="49" s="1"/>
  <c r="Y727" i="49" s="1"/>
  <c r="Y728" i="49" s="1"/>
  <c r="Y729" i="49" s="1"/>
  <c r="Y730" i="49" s="1"/>
  <c r="Y731" i="49" s="1"/>
  <c r="Y732" i="49" s="1"/>
  <c r="Y733" i="49" s="1"/>
  <c r="Y734" i="49"/>
  <c r="Y735" i="49" s="1"/>
  <c r="Y736" i="49" s="1"/>
  <c r="Y737" i="49" s="1"/>
  <c r="Y738" i="49" s="1"/>
  <c r="Y739" i="49" s="1"/>
  <c r="Y740" i="49" s="1"/>
  <c r="Y741" i="49" s="1"/>
  <c r="Y742" i="49" s="1"/>
  <c r="Y743" i="49" s="1"/>
  <c r="Y744" i="49" s="1"/>
  <c r="Y745" i="49" s="1"/>
  <c r="Y746" i="49"/>
  <c r="Y747" i="49"/>
  <c r="Y748" i="49" s="1"/>
  <c r="Y749" i="49" s="1"/>
  <c r="Y750" i="49" s="1"/>
  <c r="Y751" i="49" s="1"/>
  <c r="Y752" i="49" s="1"/>
  <c r="Y753" i="49" s="1"/>
  <c r="Y754" i="49" s="1"/>
  <c r="Y755" i="49" s="1"/>
  <c r="Y756" i="49" s="1"/>
  <c r="Y757" i="49" s="1"/>
  <c r="Y758" i="49"/>
  <c r="Y759" i="49"/>
  <c r="Y760" i="49" s="1"/>
  <c r="Y761" i="49" s="1"/>
  <c r="Y762" i="49" s="1"/>
  <c r="Y763" i="49" s="1"/>
  <c r="Y764" i="49" s="1"/>
  <c r="Y765" i="49" s="1"/>
  <c r="Y766" i="49" s="1"/>
  <c r="Y767" i="49" s="1"/>
  <c r="Y768" i="49" s="1"/>
  <c r="Y769" i="49" s="1"/>
  <c r="Y770" i="49"/>
  <c r="Y771" i="49" s="1"/>
  <c r="Y772" i="49" s="1"/>
  <c r="Y773" i="49" s="1"/>
  <c r="Y774" i="49" s="1"/>
  <c r="Y775" i="49" s="1"/>
  <c r="Y776" i="49" s="1"/>
  <c r="Y777" i="49" s="1"/>
  <c r="Y778" i="49" s="1"/>
  <c r="Y779" i="49" s="1"/>
  <c r="Y780" i="49" s="1"/>
  <c r="Y781" i="49" s="1"/>
  <c r="Y782" i="49"/>
  <c r="Y783" i="49" s="1"/>
  <c r="Y784" i="49" s="1"/>
  <c r="Y785" i="49" s="1"/>
  <c r="Y786" i="49" s="1"/>
  <c r="Y787" i="49" s="1"/>
  <c r="Y788" i="49" s="1"/>
  <c r="Y789" i="49" s="1"/>
  <c r="Y790" i="49" s="1"/>
  <c r="Y791" i="49" s="1"/>
  <c r="Y792" i="49" s="1"/>
  <c r="Y793" i="49" s="1"/>
  <c r="Y794" i="49"/>
  <c r="Y795" i="49"/>
  <c r="Y796" i="49" s="1"/>
  <c r="Y797" i="49" s="1"/>
  <c r="Y798" i="49" s="1"/>
  <c r="Y799" i="49" s="1"/>
  <c r="Y800" i="49" s="1"/>
  <c r="Y801" i="49" s="1"/>
  <c r="Y802" i="49" s="1"/>
  <c r="Y803" i="49" s="1"/>
  <c r="Y804" i="49" s="1"/>
  <c r="Y805" i="49" s="1"/>
  <c r="Y806" i="49"/>
  <c r="Y807" i="49"/>
  <c r="Y808" i="49" s="1"/>
  <c r="Y809" i="49" s="1"/>
  <c r="Y810" i="49" s="1"/>
  <c r="Y811" i="49" s="1"/>
  <c r="Y812" i="49" s="1"/>
  <c r="Y813" i="49" s="1"/>
  <c r="Y814" i="49" s="1"/>
  <c r="Y815" i="49" s="1"/>
  <c r="Y816" i="49" s="1"/>
  <c r="Y817" i="49" s="1"/>
  <c r="Y818" i="49"/>
  <c r="Y819" i="49"/>
  <c r="Y820" i="49"/>
  <c r="Y821" i="49" s="1"/>
  <c r="Y822" i="49" s="1"/>
  <c r="Y823" i="49" s="1"/>
  <c r="Y824" i="49" s="1"/>
  <c r="Y825" i="49" s="1"/>
  <c r="Y826" i="49" s="1"/>
  <c r="Y827" i="49" s="1"/>
  <c r="Y828" i="49" s="1"/>
  <c r="Y829" i="49" s="1"/>
  <c r="Y830" i="49"/>
  <c r="Y831" i="49" s="1"/>
  <c r="Y832" i="49"/>
  <c r="AG832" i="49" s="1"/>
  <c r="Y833" i="49"/>
  <c r="AG833" i="49" s="1"/>
  <c r="Y842" i="49"/>
  <c r="Y843" i="49" s="1"/>
  <c r="Y844" i="49" s="1"/>
  <c r="Y845" i="49" s="1"/>
  <c r="Y846" i="49" s="1"/>
  <c r="Y847" i="49" s="1"/>
  <c r="Y854" i="49"/>
  <c r="AG854" i="49" s="1"/>
  <c r="Y855" i="49"/>
  <c r="Y856" i="49" s="1"/>
  <c r="Y866" i="49"/>
  <c r="Y867" i="49" s="1"/>
  <c r="Y868" i="49" s="1"/>
  <c r="Y869" i="49" s="1"/>
  <c r="Y870" i="49" s="1"/>
  <c r="Y871" i="49" s="1"/>
  <c r="Y872" i="49" s="1"/>
  <c r="Y873" i="49" s="1"/>
  <c r="Y874" i="49" s="1"/>
  <c r="Y875" i="49" s="1"/>
  <c r="Y876" i="49" s="1"/>
  <c r="Y877" i="49" s="1"/>
  <c r="Y878" i="49"/>
  <c r="Y879" i="49"/>
  <c r="Y880" i="49" s="1"/>
  <c r="Y881" i="49" s="1"/>
  <c r="Y882" i="49" s="1"/>
  <c r="Y883" i="49" s="1"/>
  <c r="Y884" i="49" s="1"/>
  <c r="Y885" i="49" s="1"/>
  <c r="Y886" i="49" s="1"/>
  <c r="Y887" i="49" s="1"/>
  <c r="Y888" i="49" s="1"/>
  <c r="Y889" i="49" s="1"/>
  <c r="Y890" i="49"/>
  <c r="Y891" i="49" s="1"/>
  <c r="Y892" i="49" s="1"/>
  <c r="Y893" i="49" s="1"/>
  <c r="Y894" i="49" s="1"/>
  <c r="Y895" i="49" s="1"/>
  <c r="Y896" i="49" s="1"/>
  <c r="Y897" i="49" s="1"/>
  <c r="Y898" i="49" s="1"/>
  <c r="Y899" i="49" s="1"/>
  <c r="Y900" i="49" s="1"/>
  <c r="Y901" i="49" s="1"/>
  <c r="Y902" i="49"/>
  <c r="Y903" i="49" s="1"/>
  <c r="AG902" i="49"/>
  <c r="Y914" i="49"/>
  <c r="Y915" i="49"/>
  <c r="Y916" i="49" s="1"/>
  <c r="Y917" i="49" s="1"/>
  <c r="Y918" i="49" s="1"/>
  <c r="Y919" i="49" s="1"/>
  <c r="Y920" i="49" s="1"/>
  <c r="Y921" i="49" s="1"/>
  <c r="Y922" i="49" s="1"/>
  <c r="Y923" i="49" s="1"/>
  <c r="Y924" i="49" s="1"/>
  <c r="Y925" i="49" s="1"/>
  <c r="Y926" i="49"/>
  <c r="AG926" i="49" s="1"/>
  <c r="Y927" i="49"/>
  <c r="Y928" i="49" s="1"/>
  <c r="Y938" i="49"/>
  <c r="Y939" i="49" s="1"/>
  <c r="Y940" i="49" s="1"/>
  <c r="Y941" i="49" s="1"/>
  <c r="Y942" i="49" s="1"/>
  <c r="Y943" i="49" s="1"/>
  <c r="Y944" i="49" s="1"/>
  <c r="Y945" i="49" s="1"/>
  <c r="Y950" i="49"/>
  <c r="Y951" i="49"/>
  <c r="Y952" i="49" s="1"/>
  <c r="Y953" i="49" s="1"/>
  <c r="Y954" i="49" s="1"/>
  <c r="Y955" i="49" s="1"/>
  <c r="Y956" i="49" s="1"/>
  <c r="Y962" i="49"/>
  <c r="Y963" i="49" s="1"/>
  <c r="Y964" i="49" s="1"/>
  <c r="Y965" i="49" s="1"/>
  <c r="Y966" i="49" s="1"/>
  <c r="Y967" i="49" s="1"/>
  <c r="Y968" i="49" s="1"/>
  <c r="Y969" i="49" s="1"/>
  <c r="Y970" i="49" s="1"/>
  <c r="Y971" i="49" s="1"/>
  <c r="Y972" i="49" s="1"/>
  <c r="GL24" i="47"/>
  <c r="GM24" i="47"/>
  <c r="GN24" i="47"/>
  <c r="GO24" i="47"/>
  <c r="GP24" i="47"/>
  <c r="GQ24" i="47"/>
  <c r="GR24" i="47"/>
  <c r="GS24" i="47"/>
  <c r="GT24" i="47"/>
  <c r="GU24" i="47"/>
  <c r="GV24" i="47"/>
  <c r="GW24" i="47"/>
  <c r="GL26" i="47"/>
  <c r="GM26" i="47"/>
  <c r="GN26" i="47"/>
  <c r="GO26" i="47"/>
  <c r="GP26" i="47"/>
  <c r="GQ26" i="47"/>
  <c r="GR26" i="47"/>
  <c r="GS26" i="47"/>
  <c r="GT26" i="47"/>
  <c r="GU26" i="47"/>
  <c r="GV26" i="47"/>
  <c r="GW26" i="47"/>
  <c r="GL28" i="47"/>
  <c r="GM28" i="47"/>
  <c r="GN28" i="47"/>
  <c r="GO28" i="47"/>
  <c r="GP28" i="47"/>
  <c r="GQ28" i="47"/>
  <c r="GR28" i="47"/>
  <c r="GS28" i="47"/>
  <c r="GT28" i="47"/>
  <c r="GU28" i="47"/>
  <c r="GV28" i="47"/>
  <c r="GW28" i="47"/>
  <c r="GL30" i="47"/>
  <c r="GM30" i="47"/>
  <c r="GN30" i="47"/>
  <c r="GO30" i="47"/>
  <c r="GP30" i="47"/>
  <c r="GQ30" i="47"/>
  <c r="GR30" i="47"/>
  <c r="GS30" i="47"/>
  <c r="GT30" i="47"/>
  <c r="GU30" i="47"/>
  <c r="GV30" i="47"/>
  <c r="GW30" i="47"/>
  <c r="GL32" i="47"/>
  <c r="GM32" i="47"/>
  <c r="GN32" i="47"/>
  <c r="GO32" i="47"/>
  <c r="GP32" i="47"/>
  <c r="GQ32" i="47"/>
  <c r="GR32" i="47"/>
  <c r="GS32" i="47"/>
  <c r="GT32" i="47"/>
  <c r="GU32" i="47"/>
  <c r="GV32" i="47"/>
  <c r="GW32" i="47"/>
  <c r="GL33" i="47"/>
  <c r="GM33" i="47"/>
  <c r="GN33" i="47"/>
  <c r="GO33" i="47"/>
  <c r="GP33" i="47"/>
  <c r="GQ33" i="47"/>
  <c r="GR33" i="47"/>
  <c r="GS33" i="47"/>
  <c r="GT33" i="47"/>
  <c r="GU33" i="47"/>
  <c r="GV33" i="47"/>
  <c r="GW33" i="47"/>
  <c r="GL34" i="47"/>
  <c r="GM34" i="47"/>
  <c r="GN34" i="47"/>
  <c r="GO34" i="47"/>
  <c r="GP34" i="47"/>
  <c r="GQ34" i="47"/>
  <c r="GR34" i="47"/>
  <c r="GS34" i="47"/>
  <c r="GT34" i="47"/>
  <c r="GU34" i="47"/>
  <c r="GV34" i="47"/>
  <c r="GW34" i="47"/>
  <c r="GL35" i="47"/>
  <c r="GM35" i="47"/>
  <c r="GN35" i="47"/>
  <c r="GO35" i="47"/>
  <c r="GP35" i="47"/>
  <c r="GQ35" i="47"/>
  <c r="GR35" i="47"/>
  <c r="GS35" i="47"/>
  <c r="GT35" i="47"/>
  <c r="GU35" i="47"/>
  <c r="GV35" i="47"/>
  <c r="GW35" i="47"/>
  <c r="GL36" i="47"/>
  <c r="GM36" i="47"/>
  <c r="GN36" i="47"/>
  <c r="GO36" i="47"/>
  <c r="GP36" i="47"/>
  <c r="GQ36" i="47"/>
  <c r="GR36" i="47"/>
  <c r="GS36" i="47"/>
  <c r="GT36" i="47"/>
  <c r="GU36" i="47"/>
  <c r="GV36" i="47"/>
  <c r="GW36" i="47"/>
  <c r="GL37" i="47"/>
  <c r="GM37" i="47"/>
  <c r="GN37" i="47"/>
  <c r="GO37" i="47"/>
  <c r="GP37" i="47"/>
  <c r="GQ37" i="47"/>
  <c r="GR37" i="47"/>
  <c r="GS37" i="47"/>
  <c r="GT37" i="47"/>
  <c r="GU37" i="47"/>
  <c r="GV37" i="47"/>
  <c r="GW37" i="47"/>
  <c r="GL39" i="47"/>
  <c r="GM39" i="47"/>
  <c r="GN39" i="47"/>
  <c r="GO39" i="47"/>
  <c r="GP39" i="47"/>
  <c r="GQ39" i="47"/>
  <c r="GR39" i="47"/>
  <c r="GS39" i="47"/>
  <c r="GT39" i="47"/>
  <c r="GU39" i="47"/>
  <c r="GV39" i="47"/>
  <c r="GW39" i="47"/>
  <c r="GL41" i="47"/>
  <c r="GM41" i="47"/>
  <c r="GN41" i="47"/>
  <c r="GO41" i="47"/>
  <c r="GP41" i="47"/>
  <c r="GQ41" i="47"/>
  <c r="GR41" i="47"/>
  <c r="GS41" i="47"/>
  <c r="GT41" i="47"/>
  <c r="GU41" i="47"/>
  <c r="GV41" i="47"/>
  <c r="GW41" i="47"/>
  <c r="GL43" i="47"/>
  <c r="GM43" i="47"/>
  <c r="GN43" i="47"/>
  <c r="GO43" i="47"/>
  <c r="GP43" i="47"/>
  <c r="GQ43" i="47"/>
  <c r="GR43" i="47"/>
  <c r="GS43" i="47"/>
  <c r="GT43" i="47"/>
  <c r="GU43" i="47"/>
  <c r="GV43" i="47"/>
  <c r="GW43" i="47"/>
  <c r="GL44" i="47"/>
  <c r="GM44" i="47"/>
  <c r="GN44" i="47"/>
  <c r="GO44" i="47"/>
  <c r="GP44" i="47"/>
  <c r="GQ44" i="47"/>
  <c r="GR44" i="47"/>
  <c r="GS44" i="47"/>
  <c r="GT44" i="47"/>
  <c r="GU44" i="47"/>
  <c r="GV44" i="47"/>
  <c r="GW44" i="47"/>
  <c r="GL45" i="47"/>
  <c r="GM45" i="47"/>
  <c r="GN45" i="47"/>
  <c r="GO45" i="47"/>
  <c r="GP45" i="47"/>
  <c r="GQ45" i="47"/>
  <c r="GR45" i="47"/>
  <c r="GS45" i="47"/>
  <c r="GT45" i="47"/>
  <c r="GU45" i="47"/>
  <c r="GV45" i="47"/>
  <c r="GW45" i="47"/>
  <c r="GL46" i="47"/>
  <c r="GM46" i="47"/>
  <c r="GN46" i="47"/>
  <c r="GO46" i="47"/>
  <c r="GP46" i="47"/>
  <c r="GQ46" i="47"/>
  <c r="GR46" i="47"/>
  <c r="GS46" i="47"/>
  <c r="GT46" i="47"/>
  <c r="GU46" i="47"/>
  <c r="GV46" i="47"/>
  <c r="GW46" i="47"/>
  <c r="GL48" i="47"/>
  <c r="GM48" i="47"/>
  <c r="GN48" i="47"/>
  <c r="GO48" i="47"/>
  <c r="GP48" i="47"/>
  <c r="GQ48" i="47"/>
  <c r="GR48" i="47"/>
  <c r="GS48" i="47"/>
  <c r="GT48" i="47"/>
  <c r="GU48" i="47"/>
  <c r="GV48" i="47"/>
  <c r="GW48" i="47"/>
  <c r="GL49" i="47"/>
  <c r="GM49" i="47"/>
  <c r="GN49" i="47"/>
  <c r="GO49" i="47"/>
  <c r="GP49" i="47"/>
  <c r="GQ49" i="47"/>
  <c r="GR49" i="47"/>
  <c r="GS49" i="47"/>
  <c r="GT49" i="47"/>
  <c r="GU49" i="47"/>
  <c r="GV49" i="47"/>
  <c r="GW49" i="47"/>
  <c r="GL50" i="47"/>
  <c r="GM50" i="47"/>
  <c r="GN50" i="47"/>
  <c r="GO50" i="47"/>
  <c r="GP50" i="47"/>
  <c r="GQ50" i="47"/>
  <c r="GR50" i="47"/>
  <c r="GS50" i="47"/>
  <c r="GT50" i="47"/>
  <c r="GU50" i="47"/>
  <c r="GV50" i="47"/>
  <c r="GW50" i="47"/>
  <c r="GL51" i="47"/>
  <c r="GM51" i="47"/>
  <c r="GN51" i="47"/>
  <c r="GO51" i="47"/>
  <c r="GP51" i="47"/>
  <c r="GQ51" i="47"/>
  <c r="GR51" i="47"/>
  <c r="GS51" i="47"/>
  <c r="GT51" i="47"/>
  <c r="GU51" i="47"/>
  <c r="GV51" i="47"/>
  <c r="GW51" i="47"/>
  <c r="GL52" i="47"/>
  <c r="GM52" i="47"/>
  <c r="GN52" i="47"/>
  <c r="GO52" i="47"/>
  <c r="GP52" i="47"/>
  <c r="GQ52" i="47"/>
  <c r="GR52" i="47"/>
  <c r="GS52" i="47"/>
  <c r="GT52" i="47"/>
  <c r="GU52" i="47"/>
  <c r="GV52" i="47"/>
  <c r="GW52" i="47"/>
  <c r="GL53" i="47"/>
  <c r="GM53" i="47"/>
  <c r="GN53" i="47"/>
  <c r="GO53" i="47"/>
  <c r="GP53" i="47"/>
  <c r="GQ53" i="47"/>
  <c r="GR53" i="47"/>
  <c r="GS53" i="47"/>
  <c r="GT53" i="47"/>
  <c r="GU53" i="47"/>
  <c r="GV53" i="47"/>
  <c r="GW53" i="47"/>
  <c r="GL54" i="47"/>
  <c r="GM54" i="47"/>
  <c r="GN54" i="47"/>
  <c r="GO54" i="47"/>
  <c r="GP54" i="47"/>
  <c r="GQ54" i="47"/>
  <c r="GR54" i="47"/>
  <c r="GS54" i="47"/>
  <c r="GT54" i="47"/>
  <c r="GU54" i="47"/>
  <c r="GV54" i="47"/>
  <c r="GW54" i="47"/>
  <c r="GL56" i="47"/>
  <c r="GM56" i="47"/>
  <c r="GN56" i="47"/>
  <c r="GO56" i="47"/>
  <c r="GP56" i="47"/>
  <c r="GQ56" i="47"/>
  <c r="GR56" i="47"/>
  <c r="GS56" i="47"/>
  <c r="GT56" i="47"/>
  <c r="GU56" i="47"/>
  <c r="GV56" i="47"/>
  <c r="GW56" i="47"/>
  <c r="GL57" i="47"/>
  <c r="GM57" i="47"/>
  <c r="GN57" i="47"/>
  <c r="GO57" i="47"/>
  <c r="GP57" i="47"/>
  <c r="GQ57" i="47"/>
  <c r="GR57" i="47"/>
  <c r="GS57" i="47"/>
  <c r="GT57" i="47"/>
  <c r="GU57" i="47"/>
  <c r="GV57" i="47"/>
  <c r="GW57" i="47"/>
  <c r="GL58" i="47"/>
  <c r="GM58" i="47"/>
  <c r="GN58" i="47"/>
  <c r="GO58" i="47"/>
  <c r="GP58" i="47"/>
  <c r="GQ58" i="47"/>
  <c r="GR58" i="47"/>
  <c r="GS58" i="47"/>
  <c r="GT58" i="47"/>
  <c r="GU58" i="47"/>
  <c r="GV58" i="47"/>
  <c r="GW58" i="47"/>
  <c r="GL59" i="47"/>
  <c r="GM59" i="47"/>
  <c r="GN59" i="47"/>
  <c r="GO59" i="47"/>
  <c r="GP59" i="47"/>
  <c r="GQ59" i="47"/>
  <c r="GR59" i="47"/>
  <c r="GS59" i="47"/>
  <c r="GT59" i="47"/>
  <c r="GU59" i="47"/>
  <c r="GV59" i="47"/>
  <c r="GW59" i="47"/>
  <c r="GL60" i="47"/>
  <c r="GM60" i="47"/>
  <c r="GN60" i="47"/>
  <c r="GO60" i="47"/>
  <c r="GP60" i="47"/>
  <c r="GQ60" i="47"/>
  <c r="GR60" i="47"/>
  <c r="GS60" i="47"/>
  <c r="GT60" i="47"/>
  <c r="GU60" i="47"/>
  <c r="GV60" i="47"/>
  <c r="GW60" i="47"/>
  <c r="GL61" i="47"/>
  <c r="GM61" i="47"/>
  <c r="GN61" i="47"/>
  <c r="GO61" i="47"/>
  <c r="GP61" i="47"/>
  <c r="GQ61" i="47"/>
  <c r="GR61" i="47"/>
  <c r="GS61" i="47"/>
  <c r="GT61" i="47"/>
  <c r="GU61" i="47"/>
  <c r="GV61" i="47"/>
  <c r="GW61" i="47"/>
  <c r="GL62" i="47"/>
  <c r="GM62" i="47"/>
  <c r="GN62" i="47"/>
  <c r="GO62" i="47"/>
  <c r="GP62" i="47"/>
  <c r="GQ62" i="47"/>
  <c r="GR62" i="47"/>
  <c r="GS62" i="47"/>
  <c r="GT62" i="47"/>
  <c r="GU62" i="47"/>
  <c r="GV62" i="47"/>
  <c r="GW62" i="47"/>
  <c r="GL63" i="47"/>
  <c r="GM63" i="47"/>
  <c r="GN63" i="47"/>
  <c r="GO63" i="47"/>
  <c r="GP63" i="47"/>
  <c r="GQ63" i="47"/>
  <c r="GR63" i="47"/>
  <c r="GS63" i="47"/>
  <c r="GT63" i="47"/>
  <c r="GU63" i="47"/>
  <c r="GV63" i="47"/>
  <c r="GW63" i="47"/>
  <c r="GL65" i="47"/>
  <c r="GM65" i="47"/>
  <c r="GN65" i="47"/>
  <c r="GO65" i="47"/>
  <c r="GP65" i="47"/>
  <c r="GQ65" i="47"/>
  <c r="GR65" i="47"/>
  <c r="GS65" i="47"/>
  <c r="GT65" i="47"/>
  <c r="GU65" i="47"/>
  <c r="GV65" i="47"/>
  <c r="GW65" i="47"/>
  <c r="GL66" i="47"/>
  <c r="GM66" i="47"/>
  <c r="GN66" i="47"/>
  <c r="GO66" i="47"/>
  <c r="GP66" i="47"/>
  <c r="GQ66" i="47"/>
  <c r="GR66" i="47"/>
  <c r="GS66" i="47"/>
  <c r="GT66" i="47"/>
  <c r="GU66" i="47"/>
  <c r="GV66" i="47"/>
  <c r="GW66" i="47"/>
  <c r="GL68" i="47"/>
  <c r="GM68" i="47"/>
  <c r="GN68" i="47"/>
  <c r="GO68" i="47"/>
  <c r="GP68" i="47"/>
  <c r="GQ68" i="47"/>
  <c r="GR68" i="47"/>
  <c r="GS68" i="47"/>
  <c r="GT68" i="47"/>
  <c r="GU68" i="47"/>
  <c r="GV68" i="47"/>
  <c r="GW68" i="47"/>
  <c r="GL69" i="47"/>
  <c r="GM69" i="47"/>
  <c r="GN69" i="47"/>
  <c r="GO69" i="47"/>
  <c r="GP69" i="47"/>
  <c r="GQ69" i="47"/>
  <c r="GR69" i="47"/>
  <c r="GS69" i="47"/>
  <c r="GT69" i="47"/>
  <c r="GU69" i="47"/>
  <c r="GV69" i="47"/>
  <c r="GW69" i="47"/>
  <c r="GL70" i="47"/>
  <c r="GM70" i="47"/>
  <c r="GN70" i="47"/>
  <c r="GO70" i="47"/>
  <c r="GP70" i="47"/>
  <c r="GQ70" i="47"/>
  <c r="GR70" i="47"/>
  <c r="GS70" i="47"/>
  <c r="GT70" i="47"/>
  <c r="GU70" i="47"/>
  <c r="GV70" i="47"/>
  <c r="GW70" i="47"/>
  <c r="GL71" i="47"/>
  <c r="GM71" i="47"/>
  <c r="GN71" i="47"/>
  <c r="GO71" i="47"/>
  <c r="GP71" i="47"/>
  <c r="GQ71" i="47"/>
  <c r="GR71" i="47"/>
  <c r="GS71" i="47"/>
  <c r="GT71" i="47"/>
  <c r="GU71" i="47"/>
  <c r="GV71" i="47"/>
  <c r="GW71" i="47"/>
  <c r="GL72" i="47"/>
  <c r="GM72" i="47"/>
  <c r="GN72" i="47"/>
  <c r="GO72" i="47"/>
  <c r="GP72" i="47"/>
  <c r="GQ72" i="47"/>
  <c r="GR72" i="47"/>
  <c r="GS72" i="47"/>
  <c r="GT72" i="47"/>
  <c r="GU72" i="47"/>
  <c r="GV72" i="47"/>
  <c r="GW72" i="47"/>
  <c r="GL73" i="47"/>
  <c r="GM73" i="47"/>
  <c r="GN73" i="47"/>
  <c r="GO73" i="47"/>
  <c r="GP73" i="47"/>
  <c r="GQ73" i="47"/>
  <c r="GR73" i="47"/>
  <c r="GS73" i="47"/>
  <c r="GT73" i="47"/>
  <c r="GU73" i="47"/>
  <c r="GV73" i="47"/>
  <c r="GW73" i="47"/>
  <c r="GL75" i="47"/>
  <c r="GM75" i="47"/>
  <c r="GN75" i="47"/>
  <c r="GO75" i="47"/>
  <c r="GP75" i="47"/>
  <c r="GQ75" i="47"/>
  <c r="GR75" i="47"/>
  <c r="GS75" i="47"/>
  <c r="GT75" i="47"/>
  <c r="GU75" i="47"/>
  <c r="GV75" i="47"/>
  <c r="GW75" i="47"/>
  <c r="DT11" i="45"/>
  <c r="EB11" i="45"/>
  <c r="EO11" i="45"/>
  <c r="Z12" i="45" a="1"/>
  <c r="AD12" i="45" a="1"/>
  <c r="DY12" i="45"/>
  <c r="FF12" i="45"/>
  <c r="FS12" i="45"/>
  <c r="GA12" i="45"/>
  <c r="DU11" i="45"/>
  <c r="EC11" i="45"/>
  <c r="EP11" i="45"/>
  <c r="DR12" i="45"/>
  <c r="DZ12" i="45"/>
  <c r="FG12" i="45"/>
  <c r="DV11" i="45"/>
  <c r="EK11" i="45"/>
  <c r="E12" i="45"/>
  <c r="AB12" i="45" a="1"/>
  <c r="DJ12" i="45"/>
  <c r="DU12" i="45"/>
  <c r="EZ12" i="45"/>
  <c r="FJ12" i="45"/>
  <c r="FX12" i="45"/>
  <c r="DW13" i="45"/>
  <c r="FD13" i="45"/>
  <c r="FQ13" i="45"/>
  <c r="FY13" i="45"/>
  <c r="AA14" i="45" a="1"/>
  <c r="AE14" i="45" a="1"/>
  <c r="DV14" i="45"/>
  <c r="FC14" i="45"/>
  <c r="FK14" i="45"/>
  <c r="FX14" i="45"/>
  <c r="DU15" i="45"/>
  <c r="EC15" i="45"/>
  <c r="FB15" i="45"/>
  <c r="FJ15" i="45"/>
  <c r="FW15" i="45"/>
  <c r="Z16" i="45" a="1"/>
  <c r="AD16" i="45" a="1"/>
  <c r="DJ16" i="45"/>
  <c r="DT16" i="45"/>
  <c r="EB16" i="45"/>
  <c r="FA16" i="45"/>
  <c r="FI16" i="45"/>
  <c r="FV16" i="45"/>
  <c r="DS17" i="45"/>
  <c r="EA17" i="45"/>
  <c r="EZ17" i="45"/>
  <c r="FH17" i="45"/>
  <c r="FU17" i="45"/>
  <c r="E18" i="45"/>
  <c r="Y18" i="45" a="1"/>
  <c r="AC18" i="45" a="1"/>
  <c r="DR18" i="45"/>
  <c r="DZ18" i="45"/>
  <c r="FG18" i="45"/>
  <c r="FT18" i="45"/>
  <c r="GB18" i="45"/>
  <c r="DY19" i="45"/>
  <c r="FF19" i="45"/>
  <c r="FS19" i="45"/>
  <c r="GA19" i="45"/>
  <c r="DW20" i="45"/>
  <c r="FD20" i="45"/>
  <c r="FQ20" i="45"/>
  <c r="FY20" i="45"/>
  <c r="DU21" i="45"/>
  <c r="EC21" i="45"/>
  <c r="FB21" i="45"/>
  <c r="FJ21" i="45"/>
  <c r="FW21" i="45"/>
  <c r="Z22" i="45" a="1"/>
  <c r="AD22" i="45" a="1"/>
  <c r="DJ22" i="45"/>
  <c r="DT22" i="45"/>
  <c r="EB22" i="45"/>
  <c r="FA22" i="45"/>
  <c r="FI22" i="45"/>
  <c r="FV22" i="45"/>
  <c r="DS23" i="45"/>
  <c r="EA23" i="45"/>
  <c r="DW11" i="45"/>
  <c r="EL11" i="45"/>
  <c r="DV12" i="45"/>
  <c r="FA12" i="45"/>
  <c r="FK12" i="45"/>
  <c r="FY12" i="45"/>
  <c r="AB13" i="45" a="1"/>
  <c r="DX13" i="45"/>
  <c r="FE13" i="45"/>
  <c r="FR13" i="45"/>
  <c r="FZ13" i="45"/>
  <c r="DW14" i="45"/>
  <c r="FD14" i="45"/>
  <c r="FQ14" i="45"/>
  <c r="FY14" i="45"/>
  <c r="AA15" i="45" a="1"/>
  <c r="AE15" i="45" a="1"/>
  <c r="DV15" i="45"/>
  <c r="FC15" i="45"/>
  <c r="FK15" i="45"/>
  <c r="FX15" i="45"/>
  <c r="DU16" i="45"/>
  <c r="EC16" i="45"/>
  <c r="FB16" i="45"/>
  <c r="FJ16" i="45"/>
  <c r="FW16" i="45"/>
  <c r="Z17" i="45" a="1"/>
  <c r="AD17" i="45" a="1"/>
  <c r="DJ17" i="45"/>
  <c r="DT17" i="45"/>
  <c r="EB17" i="45"/>
  <c r="FA17" i="45"/>
  <c r="FI17" i="45"/>
  <c r="FV17" i="45"/>
  <c r="DS18" i="45"/>
  <c r="EA18" i="45"/>
  <c r="EZ18" i="45"/>
  <c r="FH18" i="45"/>
  <c r="FU18" i="45"/>
  <c r="E19" i="45"/>
  <c r="Y19" i="45" a="1"/>
  <c r="AC19" i="45" a="1"/>
  <c r="DR19" i="45"/>
  <c r="DZ19" i="45"/>
  <c r="FG19" i="45"/>
  <c r="FT19" i="45"/>
  <c r="GB19" i="45"/>
  <c r="DX20" i="45"/>
  <c r="FE20" i="45"/>
  <c r="FR20" i="45"/>
  <c r="FZ20" i="45"/>
  <c r="DV21" i="45"/>
  <c r="EP21" i="45"/>
  <c r="FC21" i="45"/>
  <c r="FK21" i="45"/>
  <c r="FX21" i="45"/>
  <c r="DU22" i="45"/>
  <c r="EC22" i="45"/>
  <c r="FB22" i="45"/>
  <c r="FJ22" i="45"/>
  <c r="FW22" i="45"/>
  <c r="Z23" i="45" a="1"/>
  <c r="AD23" i="45" a="1"/>
  <c r="DJ23" i="45"/>
  <c r="DT23" i="45"/>
  <c r="EB23" i="45"/>
  <c r="FA23" i="45"/>
  <c r="FI23" i="45"/>
  <c r="FV23" i="45"/>
  <c r="DY24" i="45"/>
  <c r="FF24" i="45"/>
  <c r="FS24" i="45"/>
  <c r="GA24" i="45"/>
  <c r="AB25" i="45" a="1"/>
  <c r="DX25" i="45"/>
  <c r="FE25" i="45"/>
  <c r="FR25" i="45"/>
  <c r="FZ25" i="45"/>
  <c r="AB26" i="45" a="1"/>
  <c r="DY26" i="45"/>
  <c r="DX11" i="45"/>
  <c r="EM11" i="45"/>
  <c r="AC12" i="45" a="1"/>
  <c r="DW12" i="45"/>
  <c r="FB12" i="45"/>
  <c r="FQ12" i="45"/>
  <c r="FZ12" i="45"/>
  <c r="DY13" i="45"/>
  <c r="FF13" i="45"/>
  <c r="FS13" i="45"/>
  <c r="GA13" i="45"/>
  <c r="AB14" i="45" a="1"/>
  <c r="DX14" i="45"/>
  <c r="FE14" i="45"/>
  <c r="FR14" i="45"/>
  <c r="FZ14" i="45"/>
  <c r="DW15" i="45"/>
  <c r="FD15" i="45"/>
  <c r="FQ15" i="45"/>
  <c r="FY15" i="45"/>
  <c r="AA16" i="45" a="1"/>
  <c r="AE16" i="45" a="1"/>
  <c r="DV16" i="45"/>
  <c r="FC16" i="45"/>
  <c r="FK16" i="45"/>
  <c r="FX16" i="45"/>
  <c r="DU17" i="45"/>
  <c r="EC17" i="45"/>
  <c r="FB17" i="45"/>
  <c r="FJ17" i="45"/>
  <c r="FW17" i="45"/>
  <c r="Z18" i="45" a="1"/>
  <c r="AD18" i="45" a="1"/>
  <c r="DJ18" i="45"/>
  <c r="DT18" i="45"/>
  <c r="EB18" i="45"/>
  <c r="FA18" i="45"/>
  <c r="FI18" i="45"/>
  <c r="FV18" i="45"/>
  <c r="DS19" i="45"/>
  <c r="EA19" i="45"/>
  <c r="EZ19" i="45"/>
  <c r="FH19" i="45"/>
  <c r="FU19" i="45"/>
  <c r="E20" i="45"/>
  <c r="DY20" i="45"/>
  <c r="FF20" i="45"/>
  <c r="FS20" i="45"/>
  <c r="GA20" i="45"/>
  <c r="DW21" i="45"/>
  <c r="FD21" i="45"/>
  <c r="FQ21" i="45"/>
  <c r="FY21" i="45"/>
  <c r="AA22" i="45" a="1"/>
  <c r="AE22" i="45" a="1"/>
  <c r="DV22" i="45"/>
  <c r="FC22" i="45"/>
  <c r="FK22" i="45"/>
  <c r="FX22" i="45"/>
  <c r="DU23" i="45"/>
  <c r="EC23" i="45"/>
  <c r="FB23" i="45"/>
  <c r="FJ23" i="45"/>
  <c r="FW23" i="45"/>
  <c r="Z24" i="45" a="1"/>
  <c r="AD24" i="45" a="1"/>
  <c r="DR24" i="45"/>
  <c r="DZ24" i="45"/>
  <c r="FG24" i="45"/>
  <c r="FT24" i="45"/>
  <c r="GB24" i="45"/>
  <c r="DY25" i="45"/>
  <c r="FF25" i="45"/>
  <c r="FS25" i="45"/>
  <c r="GA25" i="45"/>
  <c r="DR26" i="45"/>
  <c r="DZ26" i="45"/>
  <c r="DY11" i="45"/>
  <c r="EN11" i="45"/>
  <c r="DX12" i="45"/>
  <c r="FC12" i="45"/>
  <c r="FR12" i="45"/>
  <c r="GB12" i="45"/>
  <c r="Y13" i="45" a="1"/>
  <c r="AC13" i="45" a="1"/>
  <c r="DR13" i="45"/>
  <c r="DZ13" i="45"/>
  <c r="FG13" i="45"/>
  <c r="FT13" i="45"/>
  <c r="GB13" i="45"/>
  <c r="DY14" i="45"/>
  <c r="FF14" i="45"/>
  <c r="FS14" i="45"/>
  <c r="GA14" i="45"/>
  <c r="AB15" i="45" a="1"/>
  <c r="DX15" i="45"/>
  <c r="FE15" i="45"/>
  <c r="FR15" i="45"/>
  <c r="FZ15" i="45"/>
  <c r="DW16" i="45"/>
  <c r="FD16" i="45"/>
  <c r="FQ16" i="45"/>
  <c r="FY16" i="45"/>
  <c r="AA17" i="45" a="1"/>
  <c r="AE17" i="45" a="1"/>
  <c r="DV17" i="45"/>
  <c r="FC17" i="45"/>
  <c r="FK17" i="45"/>
  <c r="FX17" i="45"/>
  <c r="DU18" i="45"/>
  <c r="EC18" i="45"/>
  <c r="FB18" i="45"/>
  <c r="FJ18" i="45"/>
  <c r="FW18" i="45"/>
  <c r="Z19" i="45" a="1"/>
  <c r="AD19" i="45" a="1"/>
  <c r="DJ19" i="45"/>
  <c r="DT19" i="45"/>
  <c r="EB19" i="45"/>
  <c r="FA19" i="45"/>
  <c r="FI19" i="45"/>
  <c r="FV19" i="45"/>
  <c r="DR20" i="45"/>
  <c r="DZ20" i="45"/>
  <c r="FG20" i="45"/>
  <c r="FT20" i="45"/>
  <c r="GB20" i="45"/>
  <c r="DX21" i="45"/>
  <c r="EJ21" i="45"/>
  <c r="FE21" i="45"/>
  <c r="FR21" i="45"/>
  <c r="FZ21" i="45"/>
  <c r="DW22" i="45"/>
  <c r="FD22" i="45"/>
  <c r="FQ22" i="45"/>
  <c r="FY22" i="45"/>
  <c r="AA23" i="45" a="1"/>
  <c r="AE23" i="45" a="1"/>
  <c r="DV23" i="45"/>
  <c r="FC23" i="45"/>
  <c r="FK23" i="45"/>
  <c r="FX23" i="45"/>
  <c r="DS24" i="45"/>
  <c r="EA24" i="45"/>
  <c r="EZ24" i="45"/>
  <c r="DZ11" i="45"/>
  <c r="EQ11" i="45"/>
  <c r="Y12" i="45" a="1"/>
  <c r="AE12" i="45" a="1"/>
  <c r="EA12" i="45"/>
  <c r="FD12" i="45"/>
  <c r="FT12" i="45"/>
  <c r="E13" i="45"/>
  <c r="DS13" i="45"/>
  <c r="EA13" i="45"/>
  <c r="EZ13" i="45"/>
  <c r="FH13" i="45"/>
  <c r="FU13" i="45"/>
  <c r="E14" i="45"/>
  <c r="Y14" i="45" a="1"/>
  <c r="AC14" i="45" a="1"/>
  <c r="DR14" i="45"/>
  <c r="DZ14" i="45"/>
  <c r="FG14" i="45"/>
  <c r="FT14" i="45"/>
  <c r="GB14" i="45"/>
  <c r="DY15" i="45"/>
  <c r="FF15" i="45"/>
  <c r="FS15" i="45"/>
  <c r="GA15" i="45"/>
  <c r="AB16" i="45" a="1"/>
  <c r="DX16" i="45"/>
  <c r="FE16" i="45"/>
  <c r="FR16" i="45"/>
  <c r="FZ16" i="45"/>
  <c r="DW17" i="45"/>
  <c r="FD17" i="45"/>
  <c r="FQ17" i="45"/>
  <c r="FY17" i="45"/>
  <c r="AA18" i="45" a="1"/>
  <c r="AE18" i="45" a="1"/>
  <c r="DV18" i="45"/>
  <c r="FC18" i="45"/>
  <c r="FK18" i="45"/>
  <c r="FX18" i="45"/>
  <c r="DU19" i="45"/>
  <c r="EC19" i="45"/>
  <c r="FB19" i="45"/>
  <c r="FJ19" i="45"/>
  <c r="FW19" i="45"/>
  <c r="DS20" i="45"/>
  <c r="EA20" i="45"/>
  <c r="EZ20" i="45"/>
  <c r="FH20" i="45"/>
  <c r="FU20" i="45"/>
  <c r="E21" i="45"/>
  <c r="DY21" i="45"/>
  <c r="FF21" i="45"/>
  <c r="FS21" i="45"/>
  <c r="GA21" i="45"/>
  <c r="AB22" i="45" a="1"/>
  <c r="DX22" i="45"/>
  <c r="FE22" i="45"/>
  <c r="FR22" i="45"/>
  <c r="FZ22" i="45"/>
  <c r="DW23" i="45"/>
  <c r="FD23" i="45"/>
  <c r="FQ23" i="45"/>
  <c r="FY23" i="45"/>
  <c r="AA24" i="45" a="1"/>
  <c r="AE24" i="45" a="1"/>
  <c r="EA11" i="45"/>
  <c r="ER11" i="45"/>
  <c r="EB12" i="45"/>
  <c r="FE12" i="45"/>
  <c r="FU12" i="45"/>
  <c r="Z13" i="45" a="1"/>
  <c r="AD13" i="45" a="1"/>
  <c r="DJ13" i="45"/>
  <c r="DT13" i="45"/>
  <c r="EB13" i="45"/>
  <c r="FA13" i="45"/>
  <c r="FI13" i="45"/>
  <c r="FV13" i="45"/>
  <c r="DS14" i="45"/>
  <c r="EA14" i="45"/>
  <c r="EZ14" i="45"/>
  <c r="FH14" i="45"/>
  <c r="FU14" i="45"/>
  <c r="E15" i="45"/>
  <c r="Y15" i="45" a="1"/>
  <c r="AC15" i="45" a="1"/>
  <c r="DR15" i="45"/>
  <c r="DZ15" i="45"/>
  <c r="FG15" i="45"/>
  <c r="FT15" i="45"/>
  <c r="GB15" i="45"/>
  <c r="DY16" i="45"/>
  <c r="FF16" i="45"/>
  <c r="FS16" i="45"/>
  <c r="GA16" i="45"/>
  <c r="AB17" i="45" a="1"/>
  <c r="DX17" i="45"/>
  <c r="FE17" i="45"/>
  <c r="FR17" i="45"/>
  <c r="FZ17" i="45"/>
  <c r="DW18" i="45"/>
  <c r="FD18" i="45"/>
  <c r="FQ18" i="45"/>
  <c r="FY18" i="45"/>
  <c r="AA19" i="45" a="1"/>
  <c r="AE19" i="45" a="1"/>
  <c r="DV19" i="45"/>
  <c r="FC19" i="45"/>
  <c r="FK19" i="45"/>
  <c r="FX19" i="45"/>
  <c r="DJ20" i="45"/>
  <c r="DT20" i="45"/>
  <c r="EB20" i="45"/>
  <c r="FA20" i="45"/>
  <c r="FI20" i="45"/>
  <c r="FV20" i="45"/>
  <c r="DR21" i="45"/>
  <c r="DZ21" i="45"/>
  <c r="FG21" i="45"/>
  <c r="FT21" i="45"/>
  <c r="GB21" i="45"/>
  <c r="DY22" i="45"/>
  <c r="FF22" i="45"/>
  <c r="FS22" i="45"/>
  <c r="GA22" i="45"/>
  <c r="AB23" i="45" a="1"/>
  <c r="DX23" i="45"/>
  <c r="DR11" i="45"/>
  <c r="EI11" i="45"/>
  <c r="ES11" i="45"/>
  <c r="AA12" i="45" a="1"/>
  <c r="DS12" i="45"/>
  <c r="EC12" i="45"/>
  <c r="FH12" i="45"/>
  <c r="FV12" i="45"/>
  <c r="DU13" i="45"/>
  <c r="EC13" i="45"/>
  <c r="FB13" i="45"/>
  <c r="FJ13" i="45"/>
  <c r="FW13" i="45"/>
  <c r="Z14" i="45" a="1"/>
  <c r="AD14" i="45" a="1"/>
  <c r="DJ14" i="45"/>
  <c r="DT14" i="45"/>
  <c r="EB14" i="45"/>
  <c r="FA14" i="45"/>
  <c r="FI14" i="45"/>
  <c r="FV14" i="45"/>
  <c r="DS15" i="45"/>
  <c r="EA15" i="45"/>
  <c r="EZ15" i="45"/>
  <c r="FH15" i="45"/>
  <c r="FU15" i="45"/>
  <c r="E16" i="45"/>
  <c r="Y16" i="45" a="1"/>
  <c r="AC16" i="45" a="1"/>
  <c r="DR16" i="45"/>
  <c r="DZ16" i="45"/>
  <c r="FG16" i="45"/>
  <c r="FT16" i="45"/>
  <c r="GB16" i="45"/>
  <c r="DY17" i="45"/>
  <c r="FF17" i="45"/>
  <c r="FS17" i="45"/>
  <c r="GA17" i="45"/>
  <c r="AB18" i="45" a="1"/>
  <c r="DX18" i="45"/>
  <c r="FE18" i="45"/>
  <c r="FR18" i="45"/>
  <c r="FZ18" i="45"/>
  <c r="DW19" i="45"/>
  <c r="DS11" i="45"/>
  <c r="EJ11" i="45"/>
  <c r="ET11" i="45"/>
  <c r="DT12" i="45"/>
  <c r="FI12" i="45"/>
  <c r="FW12" i="45"/>
  <c r="AA13" i="45" a="1"/>
  <c r="AE13" i="45" a="1"/>
  <c r="DV13" i="45"/>
  <c r="FC13" i="45"/>
  <c r="FK13" i="45"/>
  <c r="FX13" i="45"/>
  <c r="DU14" i="45"/>
  <c r="EC14" i="45"/>
  <c r="FB14" i="45"/>
  <c r="FJ14" i="45"/>
  <c r="FW14" i="45"/>
  <c r="Z15" i="45" a="1"/>
  <c r="AD15" i="45" a="1"/>
  <c r="DJ15" i="45"/>
  <c r="DT15" i="45"/>
  <c r="EB15" i="45"/>
  <c r="FA15" i="45"/>
  <c r="FI15" i="45"/>
  <c r="FV15" i="45"/>
  <c r="DS16" i="45"/>
  <c r="EA16" i="45"/>
  <c r="EZ16" i="45"/>
  <c r="FH16" i="45"/>
  <c r="FU16" i="45"/>
  <c r="E17" i="45"/>
  <c r="Y17" i="45" a="1"/>
  <c r="AC17" i="45" a="1"/>
  <c r="DR17" i="45"/>
  <c r="DZ17" i="45"/>
  <c r="FG17" i="45"/>
  <c r="FT17" i="45"/>
  <c r="GB17" i="45"/>
  <c r="DY18" i="45"/>
  <c r="FF18" i="45"/>
  <c r="FS18" i="45"/>
  <c r="GA18" i="45"/>
  <c r="AB19" i="45" a="1"/>
  <c r="DX19" i="45"/>
  <c r="FE19" i="45"/>
  <c r="FR19" i="45"/>
  <c r="FZ19" i="45"/>
  <c r="DV20" i="45"/>
  <c r="FC20" i="45"/>
  <c r="FK20" i="45"/>
  <c r="FA21" i="45"/>
  <c r="EA22" i="45"/>
  <c r="FU22" i="45"/>
  <c r="DY23" i="45"/>
  <c r="EZ23" i="45"/>
  <c r="FU23" i="45"/>
  <c r="AC24" i="45" a="1"/>
  <c r="DT24" i="45"/>
  <c r="FB24" i="45"/>
  <c r="FQ24" i="45"/>
  <c r="E25" i="45"/>
  <c r="Z25" i="45" a="1"/>
  <c r="AE25" i="45" a="1"/>
  <c r="DJ25" i="45"/>
  <c r="DT25" i="45"/>
  <c r="FI25" i="45"/>
  <c r="FX25" i="45"/>
  <c r="Y26" i="45" a="1"/>
  <c r="AD26" i="45" a="1"/>
  <c r="DS26" i="45"/>
  <c r="EC26" i="45"/>
  <c r="FF26" i="45"/>
  <c r="FS26" i="45"/>
  <c r="GA26" i="45"/>
  <c r="DW27" i="45"/>
  <c r="DY28" i="45"/>
  <c r="Z29" i="45" a="1"/>
  <c r="AD29" i="45" a="1"/>
  <c r="DJ29" i="45"/>
  <c r="DT29" i="45"/>
  <c r="EB29" i="45"/>
  <c r="FA29" i="45"/>
  <c r="FI29" i="45"/>
  <c r="FV29" i="45"/>
  <c r="DJ30" i="45"/>
  <c r="DT30" i="45"/>
  <c r="EB30" i="45"/>
  <c r="FE30" i="45"/>
  <c r="FR30" i="45"/>
  <c r="FZ30" i="45"/>
  <c r="Z31" i="45" a="1"/>
  <c r="AD31" i="45" a="1"/>
  <c r="DV31" i="45"/>
  <c r="AA32" i="45" a="1"/>
  <c r="AE32" i="45" a="1"/>
  <c r="DX32" i="45"/>
  <c r="AB33" i="45" a="1"/>
  <c r="FW20" i="45"/>
  <c r="DS21" i="45"/>
  <c r="FH21" i="45"/>
  <c r="GB22" i="45"/>
  <c r="AC23" i="45" a="1"/>
  <c r="DZ23" i="45"/>
  <c r="FE23" i="45"/>
  <c r="FZ23" i="45"/>
  <c r="DU24" i="45"/>
  <c r="FC24" i="45"/>
  <c r="FR24" i="45"/>
  <c r="DU25" i="45"/>
  <c r="EZ25" i="45"/>
  <c r="FJ25" i="45"/>
  <c r="FY25" i="45"/>
  <c r="DT26" i="45"/>
  <c r="FG26" i="45"/>
  <c r="FT26" i="45"/>
  <c r="GB26" i="45"/>
  <c r="AA27" i="45" a="1"/>
  <c r="AE27" i="45" a="1"/>
  <c r="DX27" i="45"/>
  <c r="AB28" i="45" a="1"/>
  <c r="DR28" i="45"/>
  <c r="DZ28" i="45"/>
  <c r="DU29" i="45"/>
  <c r="EC29" i="45"/>
  <c r="FB29" i="45"/>
  <c r="FJ29" i="45"/>
  <c r="FW29" i="45"/>
  <c r="Z30" i="45" a="1"/>
  <c r="AD30" i="45" a="1"/>
  <c r="DU30" i="45"/>
  <c r="EC30" i="45"/>
  <c r="FF30" i="45"/>
  <c r="FS30" i="45"/>
  <c r="GA30" i="45"/>
  <c r="DW31" i="45"/>
  <c r="DY32" i="45"/>
  <c r="DS33" i="45"/>
  <c r="EA33" i="45"/>
  <c r="AA34" i="45" a="1"/>
  <c r="AE34" i="45" a="1"/>
  <c r="DV34" i="45"/>
  <c r="FC34" i="45"/>
  <c r="FK34" i="45"/>
  <c r="FX34" i="45"/>
  <c r="DU35" i="45"/>
  <c r="EC35" i="45"/>
  <c r="FD35" i="45"/>
  <c r="FQ35" i="45"/>
  <c r="FY35" i="45"/>
  <c r="DW36" i="45"/>
  <c r="DS37" i="45"/>
  <c r="EA37" i="45"/>
  <c r="AA38" i="45" a="1"/>
  <c r="AE38" i="45" a="1"/>
  <c r="DV38" i="45"/>
  <c r="FX20" i="45"/>
  <c r="DT21" i="45"/>
  <c r="FI21" i="45"/>
  <c r="E23" i="45"/>
  <c r="FF23" i="45"/>
  <c r="GA23" i="45"/>
  <c r="DJ24" i="45"/>
  <c r="DV24" i="45"/>
  <c r="FD24" i="45"/>
  <c r="FU24" i="45"/>
  <c r="AA25" i="45" a="1"/>
  <c r="DV25" i="45"/>
  <c r="FA25" i="45"/>
  <c r="FK25" i="45"/>
  <c r="GB25" i="45"/>
  <c r="Z26" i="45" a="1"/>
  <c r="AE26" i="45" a="1"/>
  <c r="DJ26" i="45"/>
  <c r="DU26" i="45"/>
  <c r="EZ26" i="45"/>
  <c r="FH26" i="45"/>
  <c r="FU26" i="45"/>
  <c r="DY27" i="45"/>
  <c r="DS28" i="45"/>
  <c r="EA28" i="45"/>
  <c r="AA29" i="45" a="1"/>
  <c r="AE29" i="45" a="1"/>
  <c r="DV29" i="45"/>
  <c r="FC29" i="45"/>
  <c r="FK29" i="45"/>
  <c r="FX29" i="45"/>
  <c r="DV30" i="45"/>
  <c r="FG30" i="45"/>
  <c r="FT30" i="45"/>
  <c r="GB30" i="45"/>
  <c r="AA31" i="45" a="1"/>
  <c r="AE31" i="45" a="1"/>
  <c r="DX31" i="45"/>
  <c r="AB32" i="45" a="1"/>
  <c r="DR32" i="45"/>
  <c r="DZ32" i="45"/>
  <c r="Y33" i="45" a="1"/>
  <c r="AC33" i="45" a="1"/>
  <c r="DT33" i="45"/>
  <c r="EB33" i="45"/>
  <c r="DW34" i="45"/>
  <c r="FD34" i="45"/>
  <c r="FQ34" i="45"/>
  <c r="FY34" i="45"/>
  <c r="AA35" i="45" a="1"/>
  <c r="AE35" i="45" a="1"/>
  <c r="DV35" i="45"/>
  <c r="DU20" i="45"/>
  <c r="EA21" i="45"/>
  <c r="FU21" i="45"/>
  <c r="FG23" i="45"/>
  <c r="GB23" i="45"/>
  <c r="DW24" i="45"/>
  <c r="FE24" i="45"/>
  <c r="FV24" i="45"/>
  <c r="DW25" i="45"/>
  <c r="FB25" i="45"/>
  <c r="FQ25" i="45"/>
  <c r="DV26" i="45"/>
  <c r="FA26" i="45"/>
  <c r="FI26" i="45"/>
  <c r="FV26" i="45"/>
  <c r="AB27" i="45" a="1"/>
  <c r="DR27" i="45"/>
  <c r="DZ27" i="45"/>
  <c r="Y28" i="45" a="1"/>
  <c r="AC28" i="45" a="1"/>
  <c r="DT28" i="45"/>
  <c r="EB28" i="45"/>
  <c r="DW29" i="45"/>
  <c r="FD29" i="45"/>
  <c r="FQ29" i="45"/>
  <c r="FY29" i="45"/>
  <c r="AA30" i="45" a="1"/>
  <c r="AE30" i="45" a="1"/>
  <c r="DW30" i="45"/>
  <c r="EZ30" i="45"/>
  <c r="FH30" i="45"/>
  <c r="FU30" i="45"/>
  <c r="DY31" i="45"/>
  <c r="DS32" i="45"/>
  <c r="EA32" i="45"/>
  <c r="DU33" i="45"/>
  <c r="EC33" i="45"/>
  <c r="AB34" i="45" a="1"/>
  <c r="DX34" i="45"/>
  <c r="FE34" i="45"/>
  <c r="FR34" i="45"/>
  <c r="FZ34" i="45"/>
  <c r="DW35" i="45"/>
  <c r="FF35" i="45"/>
  <c r="FS35" i="45"/>
  <c r="GA35" i="45"/>
  <c r="DY36" i="45"/>
  <c r="DU37" i="45"/>
  <c r="EC37" i="45"/>
  <c r="EC20" i="45"/>
  <c r="EB21" i="45"/>
  <c r="FV21" i="45"/>
  <c r="Y22" i="45" a="1"/>
  <c r="EZ22" i="45"/>
  <c r="FH23" i="45"/>
  <c r="E24" i="45"/>
  <c r="Y24" i="45" a="1"/>
  <c r="DX24" i="45"/>
  <c r="FH24" i="45"/>
  <c r="FW24" i="45"/>
  <c r="AC25" i="45" a="1"/>
  <c r="DZ25" i="45"/>
  <c r="FC25" i="45"/>
  <c r="FT25" i="45"/>
  <c r="AA26" i="45" a="1"/>
  <c r="DW26" i="45"/>
  <c r="FB26" i="45"/>
  <c r="FJ26" i="45"/>
  <c r="FW26" i="45"/>
  <c r="DS27" i="45"/>
  <c r="EA27" i="45"/>
  <c r="DU28" i="45"/>
  <c r="EC28" i="45"/>
  <c r="AB29" i="45" a="1"/>
  <c r="DX29" i="45"/>
  <c r="FE29" i="45"/>
  <c r="FR29" i="45"/>
  <c r="FZ29" i="45"/>
  <c r="DX30" i="45"/>
  <c r="FA30" i="45"/>
  <c r="FI30" i="45"/>
  <c r="FV30" i="45"/>
  <c r="AB31" i="45" a="1"/>
  <c r="DR31" i="45"/>
  <c r="DZ31" i="45"/>
  <c r="Y32" i="45" a="1"/>
  <c r="AC32" i="45" a="1"/>
  <c r="DT32" i="45"/>
  <c r="EB32" i="45"/>
  <c r="Z33" i="45" a="1"/>
  <c r="AD33" i="45" a="1"/>
  <c r="DV33" i="45"/>
  <c r="DY34" i="45"/>
  <c r="FF34" i="45"/>
  <c r="FS34" i="45"/>
  <c r="GA34" i="45"/>
  <c r="AB35" i="45" a="1"/>
  <c r="DX35" i="45"/>
  <c r="AD36" i="45" a="1"/>
  <c r="FG35" i="45"/>
  <c r="FT35" i="45"/>
  <c r="GB35" i="45"/>
  <c r="AA36" i="45" a="1"/>
  <c r="FD19" i="45"/>
  <c r="DJ21" i="45"/>
  <c r="E22" i="45"/>
  <c r="DR22" i="45"/>
  <c r="FG22" i="45"/>
  <c r="FR23" i="45"/>
  <c r="EB24" i="45"/>
  <c r="FI24" i="45"/>
  <c r="FX24" i="45"/>
  <c r="EA25" i="45"/>
  <c r="FD25" i="45"/>
  <c r="FU25" i="45"/>
  <c r="DX26" i="45"/>
  <c r="FC26" i="45"/>
  <c r="FK26" i="45"/>
  <c r="FX26" i="45"/>
  <c r="Y27" i="45" a="1"/>
  <c r="AC27" i="45" a="1"/>
  <c r="DT27" i="45"/>
  <c r="EB27" i="45"/>
  <c r="Z28" i="45" a="1"/>
  <c r="AD28" i="45" a="1"/>
  <c r="DV28" i="45"/>
  <c r="DY29" i="45"/>
  <c r="FF29" i="45"/>
  <c r="FS29" i="45"/>
  <c r="GA29" i="45"/>
  <c r="AB30" i="45" a="1"/>
  <c r="DY30" i="45"/>
  <c r="FB30" i="45"/>
  <c r="FJ30" i="45"/>
  <c r="FW30" i="45"/>
  <c r="DS31" i="45"/>
  <c r="EA31" i="45"/>
  <c r="DU32" i="45"/>
  <c r="EC32" i="45"/>
  <c r="DW33" i="45"/>
  <c r="E34" i="45"/>
  <c r="Y34" i="45" a="1"/>
  <c r="AC34" i="45" a="1"/>
  <c r="FQ19" i="45"/>
  <c r="FB20" i="45"/>
  <c r="AC22" i="45" a="1"/>
  <c r="DS22" i="45"/>
  <c r="FH22" i="45"/>
  <c r="FS23" i="45"/>
  <c r="AB24" i="45" a="1"/>
  <c r="EC24" i="45"/>
  <c r="FJ24" i="45"/>
  <c r="FY24" i="45"/>
  <c r="Y25" i="45" a="1"/>
  <c r="AD25" i="45" a="1"/>
  <c r="DR25" i="45"/>
  <c r="EB25" i="45"/>
  <c r="FG25" i="45"/>
  <c r="FV25" i="45"/>
  <c r="AC26" i="45" a="1"/>
  <c r="EA26" i="45"/>
  <c r="FD26" i="45"/>
  <c r="FQ26" i="45"/>
  <c r="FY26" i="45"/>
  <c r="DU27" i="45"/>
  <c r="EC27" i="45"/>
  <c r="DW28" i="45"/>
  <c r="E29" i="45"/>
  <c r="Y29" i="45" a="1"/>
  <c r="AC29" i="45" a="1"/>
  <c r="DR29" i="45"/>
  <c r="DZ29" i="45"/>
  <c r="FG29" i="45"/>
  <c r="FT29" i="45"/>
  <c r="GB29" i="45"/>
  <c r="DR30" i="45"/>
  <c r="DZ30" i="45"/>
  <c r="FC30" i="45"/>
  <c r="FK30" i="45"/>
  <c r="FX30" i="45"/>
  <c r="Y31" i="45" a="1"/>
  <c r="AC31" i="45" a="1"/>
  <c r="DT31" i="45"/>
  <c r="EB31" i="45"/>
  <c r="Z32" i="45" a="1"/>
  <c r="AD32" i="45" a="1"/>
  <c r="DV32" i="45"/>
  <c r="AA33" i="45" a="1"/>
  <c r="AE33" i="45" a="1"/>
  <c r="DX33" i="45"/>
  <c r="DS34" i="45"/>
  <c r="EA34" i="45"/>
  <c r="EZ34" i="45"/>
  <c r="FH34" i="45"/>
  <c r="FU34" i="45"/>
  <c r="E35" i="45"/>
  <c r="Y35" i="45" a="1"/>
  <c r="AC35" i="45" a="1"/>
  <c r="DR35" i="45"/>
  <c r="DZ35" i="45"/>
  <c r="FA35" i="45"/>
  <c r="FI35" i="45"/>
  <c r="FV35" i="45"/>
  <c r="AB36" i="45" a="1"/>
  <c r="FY19" i="45"/>
  <c r="FJ20" i="45"/>
  <c r="EZ21" i="45"/>
  <c r="DZ22" i="45"/>
  <c r="FT22" i="45"/>
  <c r="Y23" i="45" a="1"/>
  <c r="DR23" i="45"/>
  <c r="FT23" i="45"/>
  <c r="FA24" i="45"/>
  <c r="FK24" i="45"/>
  <c r="FZ24" i="45"/>
  <c r="DS25" i="45"/>
  <c r="EC25" i="45"/>
  <c r="FH25" i="45"/>
  <c r="FW25" i="45"/>
  <c r="EB26" i="45"/>
  <c r="FE26" i="45"/>
  <c r="FR26" i="45"/>
  <c r="FZ26" i="45"/>
  <c r="Z27" i="45" a="1"/>
  <c r="AD27" i="45" a="1"/>
  <c r="DV27" i="45"/>
  <c r="AA28" i="45" a="1"/>
  <c r="AE28" i="45" a="1"/>
  <c r="DX28" i="45"/>
  <c r="DS29" i="45"/>
  <c r="EA29" i="45"/>
  <c r="EZ29" i="45"/>
  <c r="FH29" i="45"/>
  <c r="FU29" i="45"/>
  <c r="E30" i="45"/>
  <c r="Y30" i="45" a="1"/>
  <c r="AC30" i="45" a="1"/>
  <c r="DS30" i="45"/>
  <c r="EA30" i="45"/>
  <c r="FD30" i="45"/>
  <c r="FQ30" i="45"/>
  <c r="FY30" i="45"/>
  <c r="DU31" i="45"/>
  <c r="EC31" i="45"/>
  <c r="DW32" i="45"/>
  <c r="DY33" i="45"/>
  <c r="Z34" i="45" a="1"/>
  <c r="AD34" i="45" a="1"/>
  <c r="DJ34" i="45"/>
  <c r="DT34" i="45"/>
  <c r="EB34" i="45"/>
  <c r="FA34" i="45"/>
  <c r="FI34" i="45"/>
  <c r="FV34" i="45"/>
  <c r="DS35" i="45"/>
  <c r="EA35" i="45"/>
  <c r="AD37" i="45" a="1"/>
  <c r="FB35" i="45"/>
  <c r="FJ35" i="45"/>
  <c r="FW35" i="45"/>
  <c r="DU36" i="45"/>
  <c r="EC36" i="45"/>
  <c r="DY37" i="45"/>
  <c r="Z38" i="45" a="1"/>
  <c r="AD38" i="45" a="1"/>
  <c r="DU34" i="45"/>
  <c r="FJ34" i="45"/>
  <c r="FX35" i="45"/>
  <c r="AC36" i="45" a="1"/>
  <c r="DR36" i="45"/>
  <c r="AC37" i="45" a="1"/>
  <c r="DT37" i="45"/>
  <c r="DJ38" i="45"/>
  <c r="DU38" i="45"/>
  <c r="FE38" i="45"/>
  <c r="FR38" i="45"/>
  <c r="FZ38" i="45"/>
  <c r="DW39" i="45"/>
  <c r="FE39" i="45"/>
  <c r="FR39" i="45"/>
  <c r="FZ39" i="45"/>
  <c r="Z40" i="45" a="1"/>
  <c r="AE40" i="45" a="1"/>
  <c r="DX40" i="45"/>
  <c r="DS41" i="45"/>
  <c r="EA41" i="45"/>
  <c r="FA41" i="45"/>
  <c r="FI41" i="45"/>
  <c r="FV41" i="45"/>
  <c r="AB42" i="45" a="1"/>
  <c r="DT42" i="45"/>
  <c r="EB42" i="45"/>
  <c r="DW43" i="45"/>
  <c r="FD43" i="45"/>
  <c r="FQ43" i="45"/>
  <c r="FY43" i="45"/>
  <c r="AA44" i="45" a="1"/>
  <c r="AE44" i="45" a="1"/>
  <c r="DV44" i="45"/>
  <c r="FC44" i="45"/>
  <c r="FK44" i="45"/>
  <c r="FX44" i="45"/>
  <c r="DU45" i="45"/>
  <c r="EC45" i="45"/>
  <c r="FB45" i="45"/>
  <c r="FJ45" i="45"/>
  <c r="DZ34" i="45"/>
  <c r="FT34" i="45"/>
  <c r="Z35" i="45" a="1"/>
  <c r="EZ35" i="45"/>
  <c r="FZ35" i="45"/>
  <c r="AE36" i="45" a="1"/>
  <c r="DS36" i="45"/>
  <c r="DV37" i="45"/>
  <c r="AC38" i="45" a="1"/>
  <c r="DW38" i="45"/>
  <c r="FF38" i="45"/>
  <c r="FS38" i="45"/>
  <c r="GA38" i="45"/>
  <c r="AB39" i="45" a="1"/>
  <c r="DX39" i="45"/>
  <c r="AD40" i="45" a="1"/>
  <c r="FF39" i="45"/>
  <c r="FS39" i="45"/>
  <c r="GA39" i="45"/>
  <c r="DY40" i="45"/>
  <c r="Z41" i="45" a="1"/>
  <c r="AD41" i="45" a="1"/>
  <c r="DJ41" i="45"/>
  <c r="DT41" i="45"/>
  <c r="EB41" i="45"/>
  <c r="FB41" i="45"/>
  <c r="EC34" i="45"/>
  <c r="FW34" i="45"/>
  <c r="DT35" i="45"/>
  <c r="FC35" i="45"/>
  <c r="DT36" i="45"/>
  <c r="AE37" i="45" a="1"/>
  <c r="DW37" i="45"/>
  <c r="DX38" i="45"/>
  <c r="FG38" i="45"/>
  <c r="FT38" i="45"/>
  <c r="GB38" i="45"/>
  <c r="DY39" i="45"/>
  <c r="FG39" i="45"/>
  <c r="FT39" i="45"/>
  <c r="GB39" i="45"/>
  <c r="AA40" i="45" a="1"/>
  <c r="DR40" i="45"/>
  <c r="DZ40" i="45"/>
  <c r="DU41" i="45"/>
  <c r="EC41" i="45"/>
  <c r="GB34" i="45"/>
  <c r="AD35" i="45" a="1"/>
  <c r="DY35" i="45"/>
  <c r="FE35" i="45"/>
  <c r="DV36" i="45"/>
  <c r="Y37" i="45" a="1"/>
  <c r="DX37" i="45"/>
  <c r="Y38" i="45" a="1"/>
  <c r="DY38" i="45"/>
  <c r="EZ38" i="45"/>
  <c r="FH38" i="45"/>
  <c r="FU38" i="45"/>
  <c r="E39" i="45"/>
  <c r="Y39" i="45" a="1"/>
  <c r="AC39" i="45" a="1"/>
  <c r="DR39" i="45"/>
  <c r="DZ39" i="45"/>
  <c r="EZ39" i="45"/>
  <c r="FH39" i="45"/>
  <c r="FU39" i="45"/>
  <c r="DS40" i="45"/>
  <c r="EA40" i="45"/>
  <c r="AA41" i="45" a="1"/>
  <c r="AE41" i="45" a="1"/>
  <c r="DR33" i="45"/>
  <c r="EB35" i="45"/>
  <c r="FH35" i="45"/>
  <c r="DX36" i="45"/>
  <c r="DZ37" i="45"/>
  <c r="DZ38" i="45"/>
  <c r="FA38" i="45"/>
  <c r="FI38" i="45"/>
  <c r="FV38" i="45"/>
  <c r="DS39" i="45"/>
  <c r="EA39" i="45"/>
  <c r="FA39" i="45"/>
  <c r="FI39" i="45"/>
  <c r="FV39" i="45"/>
  <c r="AB40" i="45" a="1"/>
  <c r="DT40" i="45"/>
  <c r="EB40" i="45"/>
  <c r="DW41" i="45"/>
  <c r="FE41" i="45"/>
  <c r="FR41" i="45"/>
  <c r="FZ41" i="45"/>
  <c r="Z42" i="45" a="1"/>
  <c r="AE42" i="45" a="1"/>
  <c r="DX42" i="45"/>
  <c r="DS43" i="45"/>
  <c r="EA43" i="45"/>
  <c r="EZ43" i="45"/>
  <c r="FH43" i="45"/>
  <c r="FU43" i="45"/>
  <c r="E44" i="45"/>
  <c r="Y44" i="45" a="1"/>
  <c r="AC44" i="45" a="1"/>
  <c r="DR44" i="45"/>
  <c r="DZ44" i="45"/>
  <c r="FG44" i="45"/>
  <c r="FT44" i="45"/>
  <c r="GB44" i="45"/>
  <c r="DY45" i="45"/>
  <c r="DZ33" i="45"/>
  <c r="FK35" i="45"/>
  <c r="Y36" i="45" a="1"/>
  <c r="DZ36" i="45"/>
  <c r="Z37" i="45" a="1"/>
  <c r="EB37" i="45"/>
  <c r="DR38" i="45"/>
  <c r="EA38" i="45"/>
  <c r="FB38" i="45"/>
  <c r="FJ38" i="45"/>
  <c r="FW38" i="45"/>
  <c r="Z39" i="45" a="1"/>
  <c r="AD39" i="45" a="1"/>
  <c r="DJ39" i="45"/>
  <c r="DT39" i="45"/>
  <c r="EB39" i="45"/>
  <c r="FB39" i="45"/>
  <c r="FJ39" i="45"/>
  <c r="FW39" i="45"/>
  <c r="DU40" i="45"/>
  <c r="EC40" i="45"/>
  <c r="AB41" i="45" a="1"/>
  <c r="DX41" i="45"/>
  <c r="AD42" i="45" a="1"/>
  <c r="FF41" i="45"/>
  <c r="FB34" i="45"/>
  <c r="DJ35" i="45"/>
  <c r="FR35" i="45"/>
  <c r="Z36" i="45" a="1"/>
  <c r="EA36" i="45"/>
  <c r="AA37" i="45" a="1"/>
  <c r="DS38" i="45"/>
  <c r="EB38" i="45"/>
  <c r="FC38" i="45"/>
  <c r="FK38" i="45"/>
  <c r="FX38" i="45"/>
  <c r="DU39" i="45"/>
  <c r="EC39" i="45"/>
  <c r="FC39" i="45"/>
  <c r="FK39" i="45"/>
  <c r="FX39" i="45"/>
  <c r="Y40" i="45" a="1"/>
  <c r="AC40" i="45" a="1"/>
  <c r="DV40" i="45"/>
  <c r="DY41" i="45"/>
  <c r="FG41" i="45"/>
  <c r="FT41" i="45"/>
  <c r="GB41" i="45"/>
  <c r="AA42" i="45" a="1"/>
  <c r="DR42" i="45"/>
  <c r="DZ42" i="45"/>
  <c r="DU43" i="45"/>
  <c r="EC43" i="45"/>
  <c r="FB43" i="45"/>
  <c r="FJ43" i="45"/>
  <c r="FW43" i="45"/>
  <c r="Z44" i="45" a="1"/>
  <c r="AD44" i="45" a="1"/>
  <c r="DJ44" i="45"/>
  <c r="DT44" i="45"/>
  <c r="EB44" i="45"/>
  <c r="FA44" i="45"/>
  <c r="FI44" i="45"/>
  <c r="FV44" i="45"/>
  <c r="DS45" i="45"/>
  <c r="EA45" i="45"/>
  <c r="EZ45" i="45"/>
  <c r="FH45" i="45"/>
  <c r="FU45" i="45"/>
  <c r="E46" i="45"/>
  <c r="Y46" i="45" a="1"/>
  <c r="AC46" i="45" a="1"/>
  <c r="DR46" i="45"/>
  <c r="DZ46" i="45"/>
  <c r="FG46" i="45"/>
  <c r="FT46" i="45"/>
  <c r="GB46" i="45"/>
  <c r="DY47" i="45"/>
  <c r="FG47" i="45"/>
  <c r="FT47" i="45"/>
  <c r="GB47" i="45"/>
  <c r="AA48" i="45" a="1"/>
  <c r="DR48" i="45"/>
  <c r="DZ48" i="45"/>
  <c r="DV49" i="45"/>
  <c r="DR34" i="45"/>
  <c r="FG34" i="45"/>
  <c r="FU35" i="45"/>
  <c r="EB36" i="45"/>
  <c r="AB37" i="45" a="1"/>
  <c r="DR37" i="45"/>
  <c r="E38" i="45"/>
  <c r="AB38" i="45" a="1"/>
  <c r="DT38" i="45"/>
  <c r="EC38" i="45"/>
  <c r="FD38" i="45"/>
  <c r="FQ38" i="45"/>
  <c r="FY38" i="45"/>
  <c r="AA39" i="45" a="1"/>
  <c r="AE39" i="45" a="1"/>
  <c r="DV39" i="45"/>
  <c r="FD39" i="45"/>
  <c r="FQ39" i="45"/>
  <c r="FY39" i="45"/>
  <c r="DW40" i="45"/>
  <c r="E41" i="45"/>
  <c r="Y41" i="45" a="1"/>
  <c r="AC41" i="45" a="1"/>
  <c r="DR41" i="45"/>
  <c r="DZ41" i="45"/>
  <c r="EZ41" i="45"/>
  <c r="FH41" i="45"/>
  <c r="FU41" i="45"/>
  <c r="DS42" i="45"/>
  <c r="EA42" i="45"/>
  <c r="AA43" i="45" a="1"/>
  <c r="AE43" i="45" a="1"/>
  <c r="DV43" i="45"/>
  <c r="FC43" i="45"/>
  <c r="FK43" i="45"/>
  <c r="FX43" i="45"/>
  <c r="DU44" i="45"/>
  <c r="EC44" i="45"/>
  <c r="FB44" i="45"/>
  <c r="FJ44" i="45"/>
  <c r="FW44" i="45"/>
  <c r="Z45" i="45" a="1"/>
  <c r="AD45" i="45" a="1"/>
  <c r="DJ45" i="45"/>
  <c r="DT45" i="45"/>
  <c r="EB45" i="45"/>
  <c r="FA45" i="45"/>
  <c r="FI45" i="45"/>
  <c r="FV45" i="45"/>
  <c r="DS46" i="45"/>
  <c r="EA46" i="45"/>
  <c r="EZ46" i="45"/>
  <c r="FH46" i="45"/>
  <c r="FU46" i="45"/>
  <c r="E47" i="45"/>
  <c r="Y47" i="45" a="1"/>
  <c r="AC47" i="45" a="1"/>
  <c r="DR47" i="45"/>
  <c r="DZ47" i="45"/>
  <c r="EZ47" i="45"/>
  <c r="FH47" i="45"/>
  <c r="FU47" i="45"/>
  <c r="DS48" i="45"/>
  <c r="EA48" i="45"/>
  <c r="AA49" i="45" a="1"/>
  <c r="AE49" i="45" a="1"/>
  <c r="DW49" i="45"/>
  <c r="FS41" i="45"/>
  <c r="Z43" i="45" a="1"/>
  <c r="DT43" i="45"/>
  <c r="FI43" i="45"/>
  <c r="DW44" i="45"/>
  <c r="FQ44" i="45"/>
  <c r="Y45" i="45" a="1"/>
  <c r="DV45" i="45"/>
  <c r="FG45" i="45"/>
  <c r="FY45" i="45"/>
  <c r="Z46" i="45" a="1"/>
  <c r="AE46" i="45" a="1"/>
  <c r="DJ46" i="45"/>
  <c r="DV46" i="45"/>
  <c r="FA46" i="45"/>
  <c r="FK46" i="45"/>
  <c r="FZ46" i="45"/>
  <c r="Z47" i="45" a="1"/>
  <c r="AE47" i="45" a="1"/>
  <c r="DJ47" i="45"/>
  <c r="DU47" i="45"/>
  <c r="FI47" i="45"/>
  <c r="FX47" i="45"/>
  <c r="Z48" i="45" a="1"/>
  <c r="DW48" i="45"/>
  <c r="AC49" i="45" a="1"/>
  <c r="DY49" i="45"/>
  <c r="FG49" i="45"/>
  <c r="FT49" i="45"/>
  <c r="GB49" i="45"/>
  <c r="AA50" i="45" a="1"/>
  <c r="AE50" i="45" a="1"/>
  <c r="DX50" i="45"/>
  <c r="AB51" i="45" a="1"/>
  <c r="DR51" i="45"/>
  <c r="DZ51" i="45"/>
  <c r="DU52" i="45"/>
  <c r="EC52" i="45"/>
  <c r="FB52" i="45"/>
  <c r="FJ52" i="45"/>
  <c r="FW52" i="45"/>
  <c r="Z53" i="45" a="1"/>
  <c r="AD53" i="45" a="1"/>
  <c r="DJ53" i="45"/>
  <c r="DT53" i="45"/>
  <c r="EB53" i="45"/>
  <c r="FC53" i="45"/>
  <c r="FK53" i="45"/>
  <c r="FX53" i="45"/>
  <c r="Y54" i="45" a="1"/>
  <c r="AC54" i="45" a="1"/>
  <c r="DV54" i="45"/>
  <c r="AA55" i="45" a="1"/>
  <c r="DR55" i="45"/>
  <c r="DZ55" i="45"/>
  <c r="DU56" i="45"/>
  <c r="EC56" i="45"/>
  <c r="FB56" i="45"/>
  <c r="FJ56" i="45"/>
  <c r="FW56" i="45"/>
  <c r="Z57" i="45" a="1"/>
  <c r="AD57" i="45" a="1"/>
  <c r="DJ57" i="45"/>
  <c r="DT57" i="45"/>
  <c r="EB57" i="45"/>
  <c r="FC57" i="45"/>
  <c r="FK57" i="45"/>
  <c r="FX57" i="45"/>
  <c r="Y58" i="45" a="1"/>
  <c r="AD58" i="45" a="1"/>
  <c r="DV58" i="45"/>
  <c r="AA59" i="45" a="1"/>
  <c r="DR59" i="45"/>
  <c r="DZ59" i="45"/>
  <c r="DU60" i="45"/>
  <c r="EC60" i="45"/>
  <c r="FC60" i="45"/>
  <c r="FK60" i="45"/>
  <c r="FX60" i="45"/>
  <c r="Y61" i="45" a="1"/>
  <c r="AC61" i="45" a="1"/>
  <c r="DV61" i="45"/>
  <c r="FW41" i="45"/>
  <c r="DU42" i="45"/>
  <c r="AB43" i="45" a="1"/>
  <c r="DX43" i="45"/>
  <c r="FR43" i="45"/>
  <c r="DX44" i="45"/>
  <c r="FR44" i="45"/>
  <c r="AA45" i="45" a="1"/>
  <c r="DW45" i="45"/>
  <c r="FK45" i="45"/>
  <c r="FZ45" i="45"/>
  <c r="DW46" i="45"/>
  <c r="FB46" i="45"/>
  <c r="FQ46" i="45"/>
  <c r="GA46" i="45"/>
  <c r="DV47" i="45"/>
  <c r="AD48" i="45" a="1"/>
  <c r="FJ47" i="45"/>
  <c r="FY47" i="45"/>
  <c r="DX48" i="45"/>
  <c r="DZ49" i="45"/>
  <c r="EZ49" i="45"/>
  <c r="FH49" i="45"/>
  <c r="FU49" i="45"/>
  <c r="DY50" i="45"/>
  <c r="DS51" i="45"/>
  <c r="EA51" i="45"/>
  <c r="AA52" i="45" a="1"/>
  <c r="AE52" i="45" a="1"/>
  <c r="DV52" i="45"/>
  <c r="FC52" i="45"/>
  <c r="FK52" i="45"/>
  <c r="FX52" i="45"/>
  <c r="DU53" i="45"/>
  <c r="EC53" i="45"/>
  <c r="FD53" i="45"/>
  <c r="FQ53" i="45"/>
  <c r="FY53" i="45"/>
  <c r="DW54" i="45"/>
  <c r="DS55" i="45"/>
  <c r="EA55" i="45"/>
  <c r="AA56" i="45" a="1"/>
  <c r="AE56" i="45" a="1"/>
  <c r="DV56" i="45"/>
  <c r="FC56" i="45"/>
  <c r="FK56" i="45"/>
  <c r="FX56" i="45"/>
  <c r="DU57" i="45"/>
  <c r="EC57" i="45"/>
  <c r="FD57" i="45"/>
  <c r="FQ57" i="45"/>
  <c r="FY57" i="45"/>
  <c r="DV41" i="45"/>
  <c r="FX41" i="45"/>
  <c r="DV42" i="45"/>
  <c r="DY43" i="45"/>
  <c r="FS43" i="45"/>
  <c r="AB44" i="45" a="1"/>
  <c r="DY44" i="45"/>
  <c r="FS44" i="45"/>
  <c r="DX45" i="45"/>
  <c r="FQ45" i="45"/>
  <c r="GA45" i="45"/>
  <c r="AA46" i="45" a="1"/>
  <c r="DX46" i="45"/>
  <c r="FC46" i="45"/>
  <c r="FR46" i="45"/>
  <c r="AA47" i="45" a="1"/>
  <c r="DW47" i="45"/>
  <c r="FA47" i="45"/>
  <c r="FK47" i="45"/>
  <c r="FZ47" i="45"/>
  <c r="AB48" i="45" a="1"/>
  <c r="DY48" i="45"/>
  <c r="Y49" i="45" a="1"/>
  <c r="AD49" i="45" a="1"/>
  <c r="EA49" i="45"/>
  <c r="FA49" i="45"/>
  <c r="FI49" i="45"/>
  <c r="FV49" i="45"/>
  <c r="AB50" i="45" a="1"/>
  <c r="DR50" i="45"/>
  <c r="DZ50" i="45"/>
  <c r="Y51" i="45" a="1"/>
  <c r="AC51" i="45" a="1"/>
  <c r="DT51" i="45"/>
  <c r="EB51" i="45"/>
  <c r="DW52" i="45"/>
  <c r="FD52" i="45"/>
  <c r="FQ52" i="45"/>
  <c r="FY52" i="45"/>
  <c r="AA53" i="45" a="1"/>
  <c r="AE53" i="45" a="1"/>
  <c r="DV53" i="45"/>
  <c r="FE53" i="45"/>
  <c r="FR53" i="45"/>
  <c r="FZ53" i="45"/>
  <c r="Z54" i="45" a="1"/>
  <c r="AD54" i="45" a="1"/>
  <c r="DX54" i="45"/>
  <c r="AB55" i="45" a="1"/>
  <c r="DT55" i="45"/>
  <c r="EB55" i="45"/>
  <c r="FC41" i="45"/>
  <c r="FY41" i="45"/>
  <c r="AC42" i="45" a="1"/>
  <c r="DW42" i="45"/>
  <c r="AC43" i="45" a="1"/>
  <c r="DJ43" i="45"/>
  <c r="DZ43" i="45"/>
  <c r="FT43" i="45"/>
  <c r="EA44" i="45"/>
  <c r="EZ44" i="45"/>
  <c r="FU44" i="45"/>
  <c r="AB45" i="45" a="1"/>
  <c r="DZ45" i="45"/>
  <c r="FR45" i="45"/>
  <c r="GB45" i="45"/>
  <c r="DY46" i="45"/>
  <c r="FD46" i="45"/>
  <c r="FS46" i="45"/>
  <c r="DX47" i="45"/>
  <c r="FB47" i="45"/>
  <c r="FQ47" i="45"/>
  <c r="GA47" i="45"/>
  <c r="EB48" i="45"/>
  <c r="DR49" i="45"/>
  <c r="EB49" i="45"/>
  <c r="FB49" i="45"/>
  <c r="FJ49" i="45"/>
  <c r="FW49" i="45"/>
  <c r="DS50" i="45"/>
  <c r="EA50" i="45"/>
  <c r="DU51" i="45"/>
  <c r="EC51" i="45"/>
  <c r="AB52" i="45" a="1"/>
  <c r="DX52" i="45"/>
  <c r="FE52" i="45"/>
  <c r="FR52" i="45"/>
  <c r="FZ52" i="45"/>
  <c r="DW53" i="45"/>
  <c r="FF53" i="45"/>
  <c r="FS53" i="45"/>
  <c r="GA53" i="45"/>
  <c r="DY54" i="45"/>
  <c r="DU55" i="45"/>
  <c r="EC55" i="45"/>
  <c r="AB56" i="45" a="1"/>
  <c r="DX56" i="45"/>
  <c r="FE56" i="45"/>
  <c r="FR56" i="45"/>
  <c r="FZ56" i="45"/>
  <c r="FD41" i="45"/>
  <c r="GA41" i="45"/>
  <c r="DY42" i="45"/>
  <c r="AD43" i="45" a="1"/>
  <c r="EB43" i="45"/>
  <c r="FA43" i="45"/>
  <c r="FV43" i="45"/>
  <c r="FD44" i="45"/>
  <c r="FY44" i="45"/>
  <c r="AC45" i="45" a="1"/>
  <c r="FC45" i="45"/>
  <c r="FS45" i="45"/>
  <c r="AB46" i="45" a="1"/>
  <c r="EB46" i="45"/>
  <c r="FE46" i="45"/>
  <c r="FV46" i="45"/>
  <c r="AB47" i="45" a="1"/>
  <c r="EA47" i="45"/>
  <c r="FC47" i="45"/>
  <c r="FR47" i="45"/>
  <c r="AC48" i="45" a="1"/>
  <c r="EC48" i="45"/>
  <c r="Z49" i="45" a="1"/>
  <c r="DS49" i="45"/>
  <c r="EC49" i="45"/>
  <c r="FC49" i="45"/>
  <c r="FK49" i="45"/>
  <c r="FX49" i="45"/>
  <c r="Y50" i="45" a="1"/>
  <c r="AC50" i="45" a="1"/>
  <c r="DT50" i="45"/>
  <c r="EB50" i="45"/>
  <c r="Z51" i="45" a="1"/>
  <c r="AD51" i="45" a="1"/>
  <c r="DV51" i="45"/>
  <c r="DY52" i="45"/>
  <c r="FF52" i="45"/>
  <c r="FS52" i="45"/>
  <c r="GA52" i="45"/>
  <c r="AB53" i="45" a="1"/>
  <c r="DX53" i="45"/>
  <c r="AE54" i="45" a="1"/>
  <c r="FG53" i="45"/>
  <c r="FT53" i="45"/>
  <c r="GB53" i="45"/>
  <c r="AA54" i="45" a="1"/>
  <c r="DR54" i="45"/>
  <c r="DZ54" i="45"/>
  <c r="Y55" i="45" a="1"/>
  <c r="AC55" i="45" a="1"/>
  <c r="DV55" i="45"/>
  <c r="DY56" i="45"/>
  <c r="FF56" i="45"/>
  <c r="FS56" i="45"/>
  <c r="GA56" i="45"/>
  <c r="AB57" i="45" a="1"/>
  <c r="DX57" i="45"/>
  <c r="AC58" i="45" a="1"/>
  <c r="FG57" i="45"/>
  <c r="FT57" i="45"/>
  <c r="GB57" i="45"/>
  <c r="AA58" i="45" a="1"/>
  <c r="DR58" i="45"/>
  <c r="DZ58" i="45"/>
  <c r="Y59" i="45" a="1"/>
  <c r="AD59" i="45" a="1"/>
  <c r="DV59" i="45"/>
  <c r="DY60" i="45"/>
  <c r="FG60" i="45"/>
  <c r="FT60" i="45"/>
  <c r="GB60" i="45"/>
  <c r="AA61" i="45" a="1"/>
  <c r="DR61" i="45"/>
  <c r="DZ61" i="45"/>
  <c r="FJ41" i="45"/>
  <c r="EC42" i="45"/>
  <c r="FE43" i="45"/>
  <c r="FZ43" i="45"/>
  <c r="FE44" i="45"/>
  <c r="FZ44" i="45"/>
  <c r="AE45" i="45" a="1"/>
  <c r="FD45" i="45"/>
  <c r="FT45" i="45"/>
  <c r="EC46" i="45"/>
  <c r="FF46" i="45"/>
  <c r="FW46" i="45"/>
  <c r="EB47" i="45"/>
  <c r="FD47" i="45"/>
  <c r="FS47" i="45"/>
  <c r="DT48" i="45"/>
  <c r="DT49" i="45"/>
  <c r="FD49" i="45"/>
  <c r="FQ49" i="45"/>
  <c r="FY49" i="45"/>
  <c r="DU50" i="45"/>
  <c r="EC50" i="45"/>
  <c r="DW51" i="45"/>
  <c r="E52" i="45"/>
  <c r="Y52" i="45" a="1"/>
  <c r="AC52" i="45" a="1"/>
  <c r="DR52" i="45"/>
  <c r="DZ52" i="45"/>
  <c r="FG52" i="45"/>
  <c r="FT52" i="45"/>
  <c r="GB52" i="45"/>
  <c r="DY53" i="45"/>
  <c r="EZ53" i="45"/>
  <c r="FH53" i="45"/>
  <c r="FU53" i="45"/>
  <c r="DS54" i="45"/>
  <c r="EA54" i="45"/>
  <c r="DW55" i="45"/>
  <c r="E56" i="45"/>
  <c r="Y56" i="45" a="1"/>
  <c r="AC56" i="45" a="1"/>
  <c r="DR56" i="45"/>
  <c r="DZ56" i="45"/>
  <c r="FG56" i="45"/>
  <c r="FT56" i="45"/>
  <c r="GB56" i="45"/>
  <c r="DY57" i="45"/>
  <c r="EZ57" i="45"/>
  <c r="FH57" i="45"/>
  <c r="FU57" i="45"/>
  <c r="FK41" i="45"/>
  <c r="FF43" i="45"/>
  <c r="GA43" i="45"/>
  <c r="FF44" i="45"/>
  <c r="GA44" i="45"/>
  <c r="FE45" i="45"/>
  <c r="FW45" i="45"/>
  <c r="AD46" i="45" a="1"/>
  <c r="DT46" i="45"/>
  <c r="FI46" i="45"/>
  <c r="FX46" i="45"/>
  <c r="AD47" i="45" a="1"/>
  <c r="DS47" i="45"/>
  <c r="EC47" i="45"/>
  <c r="FE47" i="45"/>
  <c r="FV47" i="45"/>
  <c r="Y48" i="45" a="1"/>
  <c r="AE48" i="45" a="1"/>
  <c r="DU48" i="45"/>
  <c r="E49" i="45"/>
  <c r="AB49" i="45" a="1"/>
  <c r="DJ49" i="45"/>
  <c r="DU49" i="45"/>
  <c r="FE49" i="45"/>
  <c r="FR49" i="45"/>
  <c r="FZ49" i="45"/>
  <c r="Z50" i="45" a="1"/>
  <c r="AD50" i="45" a="1"/>
  <c r="DV50" i="45"/>
  <c r="AA51" i="45" a="1"/>
  <c r="AE51" i="45" a="1"/>
  <c r="DX51" i="45"/>
  <c r="DS52" i="45"/>
  <c r="EA52" i="45"/>
  <c r="EZ52" i="45"/>
  <c r="FH52" i="45"/>
  <c r="FU52" i="45"/>
  <c r="E53" i="45"/>
  <c r="Y53" i="45" a="1"/>
  <c r="AC53" i="45" a="1"/>
  <c r="DR53" i="45"/>
  <c r="DZ53" i="45"/>
  <c r="FA53" i="45"/>
  <c r="FI53" i="45"/>
  <c r="FV53" i="45"/>
  <c r="AB54" i="45" a="1"/>
  <c r="DT54" i="45"/>
  <c r="EB54" i="45"/>
  <c r="Z55" i="45" a="1"/>
  <c r="AD55" i="45" a="1"/>
  <c r="DX55" i="45"/>
  <c r="DS56" i="45"/>
  <c r="EA56" i="45"/>
  <c r="EZ56" i="45"/>
  <c r="FH56" i="45"/>
  <c r="FU56" i="45"/>
  <c r="E57" i="45"/>
  <c r="Y57" i="45" a="1"/>
  <c r="AC57" i="45" a="1"/>
  <c r="DR57" i="45"/>
  <c r="DZ57" i="45"/>
  <c r="FA57" i="45"/>
  <c r="FI57" i="45"/>
  <c r="FV57" i="45"/>
  <c r="AB58" i="45" a="1"/>
  <c r="DT58" i="45"/>
  <c r="EB58" i="45"/>
  <c r="Z59" i="45" a="1"/>
  <c r="AE59" i="45" a="1"/>
  <c r="DX59" i="45"/>
  <c r="DS60" i="45"/>
  <c r="EA60" i="45"/>
  <c r="FA60" i="45"/>
  <c r="FI60" i="45"/>
  <c r="FV60" i="45"/>
  <c r="AB61" i="45" a="1"/>
  <c r="DT61" i="45"/>
  <c r="EB61" i="45"/>
  <c r="DW62" i="45"/>
  <c r="FD62" i="45"/>
  <c r="FQ62" i="45"/>
  <c r="FY62" i="45"/>
  <c r="AA63" i="45" a="1"/>
  <c r="AE63" i="45" a="1"/>
  <c r="DV63" i="45"/>
  <c r="FC63" i="45"/>
  <c r="FK63" i="45"/>
  <c r="FX63" i="45"/>
  <c r="DU64" i="45"/>
  <c r="EC64" i="45"/>
  <c r="FB64" i="45"/>
  <c r="FJ64" i="45"/>
  <c r="FW64" i="45"/>
  <c r="Z65" i="45" a="1"/>
  <c r="AD65" i="45" a="1"/>
  <c r="DJ65" i="45"/>
  <c r="DT65" i="45"/>
  <c r="EB65" i="45"/>
  <c r="FB65" i="45"/>
  <c r="FJ65" i="45"/>
  <c r="FW65" i="45"/>
  <c r="FQ41" i="45"/>
  <c r="Y42" i="45" a="1"/>
  <c r="E43" i="45"/>
  <c r="Y43" i="45" a="1"/>
  <c r="DR43" i="45"/>
  <c r="FG43" i="45"/>
  <c r="GB43" i="45"/>
  <c r="DS44" i="45"/>
  <c r="FH44" i="45"/>
  <c r="E45" i="45"/>
  <c r="DR45" i="45"/>
  <c r="FF45" i="45"/>
  <c r="FX45" i="45"/>
  <c r="DU46" i="45"/>
  <c r="FJ46" i="45"/>
  <c r="FY46" i="45"/>
  <c r="DT47" i="45"/>
  <c r="FF47" i="45"/>
  <c r="FW47" i="45"/>
  <c r="DV48" i="45"/>
  <c r="DX49" i="45"/>
  <c r="FF49" i="45"/>
  <c r="FS49" i="45"/>
  <c r="GA49" i="45"/>
  <c r="DW50" i="45"/>
  <c r="DY51" i="45"/>
  <c r="Z52" i="45" a="1"/>
  <c r="AD52" i="45" a="1"/>
  <c r="DJ52" i="45"/>
  <c r="DT52" i="45"/>
  <c r="EB52" i="45"/>
  <c r="FA52" i="45"/>
  <c r="FI52" i="45"/>
  <c r="FV52" i="45"/>
  <c r="DS53" i="45"/>
  <c r="EA53" i="45"/>
  <c r="AE55" i="45" a="1"/>
  <c r="FB53" i="45"/>
  <c r="FJ53" i="45"/>
  <c r="FW53" i="45"/>
  <c r="DU54" i="45"/>
  <c r="EC54" i="45"/>
  <c r="DY55" i="45"/>
  <c r="Z56" i="45" a="1"/>
  <c r="AD56" i="45" a="1"/>
  <c r="DJ56" i="45"/>
  <c r="DT56" i="45"/>
  <c r="EB56" i="45"/>
  <c r="FA56" i="45"/>
  <c r="FI56" i="45"/>
  <c r="FV56" i="45"/>
  <c r="DS57" i="45"/>
  <c r="EA57" i="45"/>
  <c r="AC59" i="45" a="1"/>
  <c r="FB57" i="45"/>
  <c r="FJ57" i="45"/>
  <c r="FW57" i="45"/>
  <c r="DU58" i="45"/>
  <c r="EC58" i="45"/>
  <c r="DY59" i="45"/>
  <c r="Z60" i="45" a="1"/>
  <c r="AD60" i="45" a="1"/>
  <c r="DJ60" i="45"/>
  <c r="DT60" i="45"/>
  <c r="EB60" i="45"/>
  <c r="FB60" i="45"/>
  <c r="FJ60" i="45"/>
  <c r="FW60" i="45"/>
  <c r="DU61" i="45"/>
  <c r="EC61" i="45"/>
  <c r="AB62" i="45" a="1"/>
  <c r="DX62" i="45"/>
  <c r="FE62" i="45"/>
  <c r="FR62" i="45"/>
  <c r="FZ62" i="45"/>
  <c r="DW63" i="45"/>
  <c r="FD63" i="45"/>
  <c r="FQ63" i="45"/>
  <c r="FY63" i="45"/>
  <c r="AA64" i="45" a="1"/>
  <c r="AE64" i="45" a="1"/>
  <c r="DV64" i="45"/>
  <c r="FC64" i="45"/>
  <c r="FK64" i="45"/>
  <c r="FX64" i="45"/>
  <c r="DU65" i="45"/>
  <c r="EC65" i="45"/>
  <c r="FC65" i="45"/>
  <c r="FK65" i="45"/>
  <c r="FX65" i="45"/>
  <c r="Y66" i="45" a="1"/>
  <c r="AC66" i="45" a="1"/>
  <c r="DW58" i="45"/>
  <c r="E60" i="45"/>
  <c r="DR60" i="45"/>
  <c r="EZ60" i="45"/>
  <c r="FU60" i="45"/>
  <c r="Z61" i="45" a="1"/>
  <c r="AC62" i="45" a="1"/>
  <c r="DY62" i="45"/>
  <c r="FB62" i="45"/>
  <c r="FS62" i="45"/>
  <c r="E63" i="45"/>
  <c r="AB63" i="45" a="1"/>
  <c r="DT63" i="45"/>
  <c r="FI63" i="45"/>
  <c r="FZ63" i="45"/>
  <c r="DR64" i="45"/>
  <c r="EB64" i="45"/>
  <c r="FG64" i="45"/>
  <c r="FV64" i="45"/>
  <c r="EA65" i="45"/>
  <c r="FE65" i="45"/>
  <c r="FT65" i="45"/>
  <c r="DW66" i="45"/>
  <c r="E67" i="45"/>
  <c r="Y67" i="45" a="1"/>
  <c r="AC67" i="45" a="1"/>
  <c r="DR67" i="45"/>
  <c r="DZ67" i="45"/>
  <c r="FG67" i="45"/>
  <c r="FT67" i="45"/>
  <c r="GB67" i="45"/>
  <c r="Y68" i="45" a="1"/>
  <c r="AC68" i="45" a="1"/>
  <c r="DR68" i="45"/>
  <c r="DZ68" i="45"/>
  <c r="EZ68" i="45"/>
  <c r="FH68" i="45"/>
  <c r="FU68" i="45"/>
  <c r="DS69" i="45"/>
  <c r="EA69" i="45"/>
  <c r="AA70" i="45" a="1"/>
  <c r="AE70" i="45" a="1"/>
  <c r="DV70" i="45"/>
  <c r="FD70" i="45"/>
  <c r="FQ70" i="45"/>
  <c r="FY70" i="45"/>
  <c r="DW71" i="45"/>
  <c r="E72" i="45"/>
  <c r="Y72" i="45" a="1"/>
  <c r="AC72" i="45" a="1"/>
  <c r="DR72" i="45"/>
  <c r="DZ72" i="45"/>
  <c r="FG72" i="45"/>
  <c r="FT72" i="45"/>
  <c r="GB72" i="45"/>
  <c r="DY73" i="45"/>
  <c r="FF73" i="45"/>
  <c r="FS73" i="45"/>
  <c r="GA73" i="45"/>
  <c r="AB74" i="45" a="1"/>
  <c r="DX74" i="45"/>
  <c r="FE74" i="45"/>
  <c r="FR74" i="45"/>
  <c r="FZ74" i="45"/>
  <c r="DS75" i="45"/>
  <c r="EA75" i="45"/>
  <c r="EZ75" i="45"/>
  <c r="FH75" i="45"/>
  <c r="FU75" i="45"/>
  <c r="E76" i="45"/>
  <c r="DY76" i="45"/>
  <c r="FG76" i="45"/>
  <c r="FT76" i="45"/>
  <c r="GB76" i="45"/>
  <c r="AA77" i="45" a="1"/>
  <c r="DR77" i="45"/>
  <c r="DZ77" i="45"/>
  <c r="DS78" i="45"/>
  <c r="EA78" i="45"/>
  <c r="EM78" i="45"/>
  <c r="EZ78" i="45"/>
  <c r="FH78" i="45"/>
  <c r="FU78" i="45"/>
  <c r="E79" i="45"/>
  <c r="Y79" i="45" a="1"/>
  <c r="AC79" i="45" a="1"/>
  <c r="DX79" i="45"/>
  <c r="FE79" i="45"/>
  <c r="FR79" i="45"/>
  <c r="FZ79" i="45"/>
  <c r="DW80" i="45"/>
  <c r="FD80" i="45"/>
  <c r="FQ80" i="45"/>
  <c r="FY80" i="45"/>
  <c r="AA81" i="45" a="1"/>
  <c r="AE81" i="45" a="1"/>
  <c r="DV81" i="45"/>
  <c r="FC81" i="45"/>
  <c r="FK81" i="45"/>
  <c r="FX81" i="45"/>
  <c r="DU82" i="45"/>
  <c r="EC82" i="45"/>
  <c r="FE57" i="45"/>
  <c r="Z58" i="45" a="1"/>
  <c r="DX58" i="45"/>
  <c r="AB59" i="45" a="1"/>
  <c r="DS59" i="45"/>
  <c r="Y60" i="45" a="1"/>
  <c r="DV60" i="45"/>
  <c r="FD60" i="45"/>
  <c r="FY60" i="45"/>
  <c r="DS61" i="45"/>
  <c r="DZ62" i="45"/>
  <c r="FC62" i="45"/>
  <c r="FT62" i="45"/>
  <c r="DJ63" i="45"/>
  <c r="DU63" i="45"/>
  <c r="EZ63" i="45"/>
  <c r="FJ63" i="45"/>
  <c r="GA63" i="45"/>
  <c r="Z64" i="45" a="1"/>
  <c r="DS64" i="45"/>
  <c r="FH64" i="45"/>
  <c r="FY64" i="45"/>
  <c r="Y65" i="45" a="1"/>
  <c r="AE65" i="45" a="1"/>
  <c r="DR65" i="45"/>
  <c r="FF65" i="45"/>
  <c r="FU65" i="45"/>
  <c r="DX66" i="45"/>
  <c r="DS67" i="45"/>
  <c r="EA67" i="45"/>
  <c r="EZ67" i="45"/>
  <c r="FH67" i="45"/>
  <c r="FU67" i="45"/>
  <c r="DS68" i="45"/>
  <c r="EA68" i="45"/>
  <c r="FA68" i="45"/>
  <c r="FI68" i="45"/>
  <c r="FV68" i="45"/>
  <c r="AB69" i="45" a="1"/>
  <c r="DT69" i="45"/>
  <c r="EB69" i="45"/>
  <c r="DW70" i="45"/>
  <c r="FE70" i="45"/>
  <c r="FR70" i="45"/>
  <c r="FZ70" i="45"/>
  <c r="Z71" i="45" a="1"/>
  <c r="AE71" i="45" a="1"/>
  <c r="DX71" i="45"/>
  <c r="DS72" i="45"/>
  <c r="EA72" i="45"/>
  <c r="EZ72" i="45"/>
  <c r="FH72" i="45"/>
  <c r="FU72" i="45"/>
  <c r="E73" i="45"/>
  <c r="Y73" i="45" a="1"/>
  <c r="AC73" i="45" a="1"/>
  <c r="DR73" i="45"/>
  <c r="DZ73" i="45"/>
  <c r="FG73" i="45"/>
  <c r="FT73" i="45"/>
  <c r="GB73" i="45"/>
  <c r="DY74" i="45"/>
  <c r="FF74" i="45"/>
  <c r="FS74" i="45"/>
  <c r="GA74" i="45"/>
  <c r="AB75" i="45" a="1"/>
  <c r="DJ75" i="45"/>
  <c r="DT75" i="45"/>
  <c r="EB75" i="45"/>
  <c r="FA75" i="45"/>
  <c r="FI75" i="45"/>
  <c r="FV75" i="45"/>
  <c r="AB76" i="45" a="1"/>
  <c r="DR76" i="45"/>
  <c r="DZ76" i="45"/>
  <c r="EZ76" i="45"/>
  <c r="FH76" i="45"/>
  <c r="FU76" i="45"/>
  <c r="DS77" i="45"/>
  <c r="EA77" i="45"/>
  <c r="AA78" i="45" a="1"/>
  <c r="AE78" i="45" a="1"/>
  <c r="DJ78" i="45"/>
  <c r="DT78" i="45"/>
  <c r="EB78" i="45"/>
  <c r="FA78" i="45"/>
  <c r="FI78" i="45"/>
  <c r="FV78" i="45"/>
  <c r="DY79" i="45"/>
  <c r="EK79" i="45"/>
  <c r="ES79" i="45"/>
  <c r="FF79" i="45"/>
  <c r="FS79" i="45"/>
  <c r="GA79" i="45"/>
  <c r="AB80" i="45" a="1"/>
  <c r="DX80" i="45"/>
  <c r="FE80" i="45"/>
  <c r="FR80" i="45"/>
  <c r="FZ80" i="45"/>
  <c r="DW81" i="45"/>
  <c r="DW56" i="45"/>
  <c r="FF57" i="45"/>
  <c r="DY58" i="45"/>
  <c r="DT59" i="45"/>
  <c r="AA60" i="45" a="1"/>
  <c r="DW60" i="45"/>
  <c r="FE60" i="45"/>
  <c r="FZ60" i="45"/>
  <c r="DW61" i="45"/>
  <c r="Y62" i="45" a="1"/>
  <c r="AD62" i="45" a="1"/>
  <c r="EA62" i="45"/>
  <c r="FF62" i="45"/>
  <c r="FU62" i="45"/>
  <c r="AC63" i="45" a="1"/>
  <c r="DX63" i="45"/>
  <c r="FA63" i="45"/>
  <c r="FR63" i="45"/>
  <c r="GB63" i="45"/>
  <c r="DT64" i="45"/>
  <c r="FI64" i="45"/>
  <c r="FZ64" i="45"/>
  <c r="DS65" i="45"/>
  <c r="FG65" i="45"/>
  <c r="FV65" i="45"/>
  <c r="AE66" i="45" a="1"/>
  <c r="DY66" i="45"/>
  <c r="Z67" i="45" a="1"/>
  <c r="AD67" i="45" a="1"/>
  <c r="DJ67" i="45"/>
  <c r="DT67" i="45"/>
  <c r="EB67" i="45"/>
  <c r="FA67" i="45"/>
  <c r="FI67" i="45"/>
  <c r="FV67" i="45"/>
  <c r="Z68" i="45" a="1"/>
  <c r="AD68" i="45" a="1"/>
  <c r="DJ68" i="45"/>
  <c r="DT68" i="45"/>
  <c r="EB68" i="45"/>
  <c r="FB68" i="45"/>
  <c r="FJ68" i="45"/>
  <c r="FW68" i="45"/>
  <c r="DU69" i="45"/>
  <c r="EC69" i="45"/>
  <c r="AB70" i="45" a="1"/>
  <c r="DX70" i="45"/>
  <c r="AD71" i="45" a="1"/>
  <c r="FF70" i="45"/>
  <c r="FS70" i="45"/>
  <c r="GA70" i="45"/>
  <c r="DY71" i="45"/>
  <c r="Z72" i="45" a="1"/>
  <c r="AD72" i="45" a="1"/>
  <c r="DJ72" i="45"/>
  <c r="DT72" i="45"/>
  <c r="EB72" i="45"/>
  <c r="FA72" i="45"/>
  <c r="FI72" i="45"/>
  <c r="FV72" i="45"/>
  <c r="DS73" i="45"/>
  <c r="EA73" i="45"/>
  <c r="EZ73" i="45"/>
  <c r="FH73" i="45"/>
  <c r="FU73" i="45"/>
  <c r="E74" i="45"/>
  <c r="Y74" i="45" a="1"/>
  <c r="AC74" i="45" a="1"/>
  <c r="DR74" i="45"/>
  <c r="DZ74" i="45"/>
  <c r="FG74" i="45"/>
  <c r="FT74" i="45"/>
  <c r="GB74" i="45"/>
  <c r="DU75" i="45"/>
  <c r="EC75" i="45"/>
  <c r="FB75" i="45"/>
  <c r="FJ75" i="45"/>
  <c r="FW75" i="45"/>
  <c r="DS76" i="45"/>
  <c r="EA76" i="45"/>
  <c r="FA76" i="45"/>
  <c r="FI76" i="45"/>
  <c r="FV76" i="45"/>
  <c r="AB77" i="45" a="1"/>
  <c r="DT77" i="45"/>
  <c r="EB77" i="45"/>
  <c r="DU78" i="45"/>
  <c r="EC78" i="45"/>
  <c r="FB78" i="45"/>
  <c r="FJ78" i="45"/>
  <c r="FW78" i="45"/>
  <c r="Z79" i="45" a="1"/>
  <c r="AD79" i="45" a="1"/>
  <c r="DR79" i="45"/>
  <c r="DZ79" i="45"/>
  <c r="EL79" i="45"/>
  <c r="FG79" i="45"/>
  <c r="FT79" i="45"/>
  <c r="GB79" i="45"/>
  <c r="DY80" i="45"/>
  <c r="FR57" i="45"/>
  <c r="AE58" i="45" a="1"/>
  <c r="EA58" i="45"/>
  <c r="DU59" i="45"/>
  <c r="DX60" i="45"/>
  <c r="FF60" i="45"/>
  <c r="GA60" i="45"/>
  <c r="DX61" i="45"/>
  <c r="DR62" i="45"/>
  <c r="EB62" i="45"/>
  <c r="FG62" i="45"/>
  <c r="FV62" i="45"/>
  <c r="DY63" i="45"/>
  <c r="FB63" i="45"/>
  <c r="FS63" i="45"/>
  <c r="E64" i="45"/>
  <c r="AB64" i="45" a="1"/>
  <c r="DW64" i="45"/>
  <c r="EZ64" i="45"/>
  <c r="FQ64" i="45"/>
  <c r="GA64" i="45"/>
  <c r="AA65" i="45" a="1"/>
  <c r="DV65" i="45"/>
  <c r="AD66" i="45" a="1"/>
  <c r="FH65" i="45"/>
  <c r="FY65" i="45"/>
  <c r="Z66" i="45" a="1"/>
  <c r="DR66" i="45"/>
  <c r="DZ66" i="45"/>
  <c r="DU67" i="45"/>
  <c r="EC67" i="45"/>
  <c r="FB67" i="45"/>
  <c r="FJ67" i="45"/>
  <c r="FW67" i="45"/>
  <c r="DU68" i="45"/>
  <c r="EC68" i="45"/>
  <c r="FC68" i="45"/>
  <c r="FK68" i="45"/>
  <c r="FX68" i="45"/>
  <c r="Y69" i="45" a="1"/>
  <c r="AC69" i="45" a="1"/>
  <c r="DV69" i="45"/>
  <c r="DY70" i="45"/>
  <c r="FG70" i="45"/>
  <c r="FT70" i="45"/>
  <c r="GB70" i="45"/>
  <c r="AA71" i="45" a="1"/>
  <c r="DR71" i="45"/>
  <c r="DZ71" i="45"/>
  <c r="DU72" i="45"/>
  <c r="EC72" i="45"/>
  <c r="FB72" i="45"/>
  <c r="FJ72" i="45"/>
  <c r="FW72" i="45"/>
  <c r="Z73" i="45" a="1"/>
  <c r="AD73" i="45" a="1"/>
  <c r="DJ73" i="45"/>
  <c r="DT73" i="45"/>
  <c r="EB73" i="45"/>
  <c r="FA73" i="45"/>
  <c r="FI73" i="45"/>
  <c r="FV73" i="45"/>
  <c r="DS74" i="45"/>
  <c r="EA74" i="45"/>
  <c r="EZ74" i="45"/>
  <c r="FH74" i="45"/>
  <c r="FU74" i="45"/>
  <c r="E75" i="45"/>
  <c r="Y75" i="45" a="1"/>
  <c r="AC75" i="45" a="1"/>
  <c r="DV75" i="45"/>
  <c r="FC75" i="45"/>
  <c r="FK75" i="45"/>
  <c r="FX75" i="45"/>
  <c r="Y76" i="45" a="1"/>
  <c r="AC76" i="45" a="1"/>
  <c r="DJ76" i="45"/>
  <c r="DT76" i="45"/>
  <c r="EB76" i="45"/>
  <c r="FB76" i="45"/>
  <c r="FJ76" i="45"/>
  <c r="FW76" i="45"/>
  <c r="DU77" i="45"/>
  <c r="EC77" i="45"/>
  <c r="AB78" i="45" a="1"/>
  <c r="DV78" i="45"/>
  <c r="FC78" i="45"/>
  <c r="FK78" i="45"/>
  <c r="FX78" i="45"/>
  <c r="DS79" i="45"/>
  <c r="EA79" i="45"/>
  <c r="EZ79" i="45"/>
  <c r="FH79" i="45"/>
  <c r="FU79" i="45"/>
  <c r="E80" i="45"/>
  <c r="Y80" i="45" a="1"/>
  <c r="AC80" i="45" a="1"/>
  <c r="DR80" i="45"/>
  <c r="DZ80" i="45"/>
  <c r="FG80" i="45"/>
  <c r="FT80" i="45"/>
  <c r="GB80" i="45"/>
  <c r="AA57" i="45" a="1"/>
  <c r="DV57" i="45"/>
  <c r="FS57" i="45"/>
  <c r="DW59" i="45"/>
  <c r="AB60" i="45" a="1"/>
  <c r="DZ60" i="45"/>
  <c r="FH60" i="45"/>
  <c r="AE61" i="45" a="1"/>
  <c r="DY61" i="45"/>
  <c r="Z62" i="45" a="1"/>
  <c r="AE62" i="45" a="1"/>
  <c r="DS62" i="45"/>
  <c r="EC62" i="45"/>
  <c r="FH62" i="45"/>
  <c r="FW62" i="45"/>
  <c r="Y63" i="45" a="1"/>
  <c r="AD63" i="45" a="1"/>
  <c r="DZ63" i="45"/>
  <c r="FE63" i="45"/>
  <c r="FT63" i="45"/>
  <c r="DJ64" i="45"/>
  <c r="DX64" i="45"/>
  <c r="FA64" i="45"/>
  <c r="FR64" i="45"/>
  <c r="GB64" i="45"/>
  <c r="DW65" i="45"/>
  <c r="FI65" i="45"/>
  <c r="FZ65" i="45"/>
  <c r="DS66" i="45"/>
  <c r="EA66" i="45"/>
  <c r="AA67" i="45" a="1"/>
  <c r="AE67" i="45" a="1"/>
  <c r="DV67" i="45"/>
  <c r="FC67" i="45"/>
  <c r="FK67" i="45"/>
  <c r="FX67" i="45"/>
  <c r="AA68" i="45" a="1"/>
  <c r="AE68" i="45" a="1"/>
  <c r="DV68" i="45"/>
  <c r="FD68" i="45"/>
  <c r="FQ68" i="45"/>
  <c r="FY68" i="45"/>
  <c r="DW69" i="45"/>
  <c r="E70" i="45"/>
  <c r="Y70" i="45" a="1"/>
  <c r="AC70" i="45" a="1"/>
  <c r="DR70" i="45"/>
  <c r="DZ70" i="45"/>
  <c r="EZ70" i="45"/>
  <c r="FH70" i="45"/>
  <c r="FU70" i="45"/>
  <c r="DS71" i="45"/>
  <c r="EA71" i="45"/>
  <c r="AA72" i="45" a="1"/>
  <c r="AE72" i="45" a="1"/>
  <c r="DV72" i="45"/>
  <c r="FC72" i="45"/>
  <c r="FK72" i="45"/>
  <c r="FX72" i="45"/>
  <c r="DU73" i="45"/>
  <c r="EC73" i="45"/>
  <c r="FB73" i="45"/>
  <c r="FJ73" i="45"/>
  <c r="FW73" i="45"/>
  <c r="Z74" i="45" a="1"/>
  <c r="AD74" i="45" a="1"/>
  <c r="DJ74" i="45"/>
  <c r="DT74" i="45"/>
  <c r="EB74" i="45"/>
  <c r="FA74" i="45"/>
  <c r="FI74" i="45"/>
  <c r="FV74" i="45"/>
  <c r="DW75" i="45"/>
  <c r="FD75" i="45"/>
  <c r="FQ75" i="45"/>
  <c r="FY75" i="45"/>
  <c r="DU76" i="45"/>
  <c r="EC76" i="45"/>
  <c r="FC76" i="45"/>
  <c r="FK76" i="45"/>
  <c r="FX76" i="45"/>
  <c r="Y77" i="45" a="1"/>
  <c r="AC77" i="45" a="1"/>
  <c r="DV77" i="45"/>
  <c r="DW78" i="45"/>
  <c r="EQ78" i="45"/>
  <c r="FD78" i="45"/>
  <c r="FQ78" i="45"/>
  <c r="FY78" i="45"/>
  <c r="AA79" i="45" a="1"/>
  <c r="AE79" i="45" a="1"/>
  <c r="DJ79" i="45"/>
  <c r="DT79" i="45"/>
  <c r="EB79" i="45"/>
  <c r="FA79" i="45"/>
  <c r="FI79" i="45"/>
  <c r="FV79" i="45"/>
  <c r="DS80" i="45"/>
  <c r="EA80" i="45"/>
  <c r="EZ80" i="45"/>
  <c r="FH80" i="45"/>
  <c r="FU80" i="45"/>
  <c r="E81" i="45"/>
  <c r="Y81" i="45" a="1"/>
  <c r="AC81" i="45" a="1"/>
  <c r="DR81" i="45"/>
  <c r="DZ81" i="45"/>
  <c r="FG81" i="45"/>
  <c r="FT81" i="45"/>
  <c r="GB81" i="45"/>
  <c r="FD56" i="45"/>
  <c r="AE57" i="45" a="1"/>
  <c r="DW57" i="45"/>
  <c r="FZ57" i="45"/>
  <c r="EA59" i="45"/>
  <c r="AC60" i="45" a="1"/>
  <c r="FQ60" i="45"/>
  <c r="EA61" i="45"/>
  <c r="DJ62" i="45"/>
  <c r="DT62" i="45"/>
  <c r="FI62" i="45"/>
  <c r="FX62" i="45"/>
  <c r="EA63" i="45"/>
  <c r="FF63" i="45"/>
  <c r="FU63" i="45"/>
  <c r="AC64" i="45" a="1"/>
  <c r="DY64" i="45"/>
  <c r="FD64" i="45"/>
  <c r="FS64" i="45"/>
  <c r="E65" i="45"/>
  <c r="AB65" i="45" a="1"/>
  <c r="DX65" i="45"/>
  <c r="EZ65" i="45"/>
  <c r="FQ65" i="45"/>
  <c r="GA65" i="45"/>
  <c r="AA66" i="45" a="1"/>
  <c r="DT66" i="45"/>
  <c r="EB66" i="45"/>
  <c r="DW67" i="45"/>
  <c r="FD67" i="45"/>
  <c r="FQ67" i="45"/>
  <c r="FY67" i="45"/>
  <c r="DW68" i="45"/>
  <c r="FE68" i="45"/>
  <c r="FR68" i="45"/>
  <c r="FZ68" i="45"/>
  <c r="Z69" i="45" a="1"/>
  <c r="AE69" i="45" a="1"/>
  <c r="DX69" i="45"/>
  <c r="DS70" i="45"/>
  <c r="EA70" i="45"/>
  <c r="FA70" i="45"/>
  <c r="FI70" i="45"/>
  <c r="FV70" i="45"/>
  <c r="AB71" i="45" a="1"/>
  <c r="DT71" i="45"/>
  <c r="EB71" i="45"/>
  <c r="DW72" i="45"/>
  <c r="FD72" i="45"/>
  <c r="FQ72" i="45"/>
  <c r="FY72" i="45"/>
  <c r="AA73" i="45" a="1"/>
  <c r="AE73" i="45" a="1"/>
  <c r="DV73" i="45"/>
  <c r="FC73" i="45"/>
  <c r="FK73" i="45"/>
  <c r="FX73" i="45"/>
  <c r="DU74" i="45"/>
  <c r="EC74" i="45"/>
  <c r="FB74" i="45"/>
  <c r="FJ74" i="45"/>
  <c r="FW74" i="45"/>
  <c r="Z75" i="45" a="1"/>
  <c r="AD75" i="45" a="1"/>
  <c r="DX75" i="45"/>
  <c r="FE75" i="45"/>
  <c r="FR75" i="45"/>
  <c r="FZ75" i="45"/>
  <c r="Z76" i="45" a="1"/>
  <c r="AE76" i="45" a="1"/>
  <c r="DV76" i="45"/>
  <c r="FD76" i="45"/>
  <c r="FQ76" i="45"/>
  <c r="FY76" i="45"/>
  <c r="DW77" i="45"/>
  <c r="E78" i="45"/>
  <c r="Y78" i="45" a="1"/>
  <c r="AC78" i="45" a="1"/>
  <c r="DX78" i="45"/>
  <c r="FE78" i="45"/>
  <c r="FR78" i="45"/>
  <c r="FZ78" i="45"/>
  <c r="DU79" i="45"/>
  <c r="EC79" i="45"/>
  <c r="EO79" i="45"/>
  <c r="FB79" i="45"/>
  <c r="FJ79" i="45"/>
  <c r="FW79" i="45"/>
  <c r="Z80" i="45" a="1"/>
  <c r="AD80" i="45" a="1"/>
  <c r="DJ80" i="45"/>
  <c r="DT80" i="45"/>
  <c r="EB80" i="45"/>
  <c r="FA80" i="45"/>
  <c r="FI80" i="45"/>
  <c r="FV80" i="45"/>
  <c r="DS81" i="45"/>
  <c r="EA81" i="45"/>
  <c r="FQ56" i="45"/>
  <c r="GA57" i="45"/>
  <c r="EB59" i="45"/>
  <c r="AE60" i="45" a="1"/>
  <c r="FR60" i="45"/>
  <c r="E62" i="45"/>
  <c r="AA62" i="45" a="1"/>
  <c r="DU62" i="45"/>
  <c r="EZ62" i="45"/>
  <c r="FJ62" i="45"/>
  <c r="GA62" i="45"/>
  <c r="Z63" i="45" a="1"/>
  <c r="DR63" i="45"/>
  <c r="EB63" i="45"/>
  <c r="FG63" i="45"/>
  <c r="FV63" i="45"/>
  <c r="DZ64" i="45"/>
  <c r="FE64" i="45"/>
  <c r="FT64" i="45"/>
  <c r="DY65" i="45"/>
  <c r="FA65" i="45"/>
  <c r="FR65" i="45"/>
  <c r="GB65" i="45"/>
  <c r="DU66" i="45"/>
  <c r="EC66" i="45"/>
  <c r="AB67" i="45" a="1"/>
  <c r="DX67" i="45"/>
  <c r="FE67" i="45"/>
  <c r="FR67" i="45"/>
  <c r="FZ67" i="45"/>
  <c r="AB68" i="45" a="1"/>
  <c r="DX68" i="45"/>
  <c r="AD69" i="45" a="1"/>
  <c r="FF68" i="45"/>
  <c r="FS68" i="45"/>
  <c r="GA68" i="45"/>
  <c r="DY69" i="45"/>
  <c r="Z70" i="45" a="1"/>
  <c r="AD70" i="45" a="1"/>
  <c r="DJ70" i="45"/>
  <c r="DT70" i="45"/>
  <c r="EB70" i="45"/>
  <c r="FB70" i="45"/>
  <c r="FJ70" i="45"/>
  <c r="FW70" i="45"/>
  <c r="DU71" i="45"/>
  <c r="EC71" i="45"/>
  <c r="AB72" i="45" a="1"/>
  <c r="DX72" i="45"/>
  <c r="FE72" i="45"/>
  <c r="FR72" i="45"/>
  <c r="FZ72" i="45"/>
  <c r="DW73" i="45"/>
  <c r="FD73" i="45"/>
  <c r="FQ73" i="45"/>
  <c r="FY73" i="45"/>
  <c r="AA74" i="45" a="1"/>
  <c r="AE74" i="45" a="1"/>
  <c r="DV74" i="45"/>
  <c r="FC74" i="45"/>
  <c r="FK74" i="45"/>
  <c r="FX74" i="45"/>
  <c r="DY75" i="45"/>
  <c r="FF75" i="45"/>
  <c r="FS75" i="45"/>
  <c r="GA75" i="45"/>
  <c r="AD76" i="45" a="1"/>
  <c r="DW76" i="45"/>
  <c r="FE76" i="45"/>
  <c r="FR76" i="45"/>
  <c r="FZ76" i="45"/>
  <c r="Z77" i="45" a="1"/>
  <c r="AE77" i="45" a="1"/>
  <c r="DX77" i="45"/>
  <c r="DY78" i="45"/>
  <c r="EK78" i="45"/>
  <c r="ES78" i="45"/>
  <c r="FF78" i="45"/>
  <c r="FS78" i="45"/>
  <c r="GA78" i="45"/>
  <c r="AB79" i="45" a="1"/>
  <c r="DV79" i="45"/>
  <c r="FC79" i="45"/>
  <c r="FK79" i="45"/>
  <c r="FX79" i="45"/>
  <c r="DU80" i="45"/>
  <c r="EC80" i="45"/>
  <c r="FB80" i="45"/>
  <c r="FJ80" i="45"/>
  <c r="FW80" i="45"/>
  <c r="Z81" i="45" a="1"/>
  <c r="AD81" i="45" a="1"/>
  <c r="DJ81" i="45"/>
  <c r="DT81" i="45"/>
  <c r="EB81" i="45"/>
  <c r="FA81" i="45"/>
  <c r="FI81" i="45"/>
  <c r="FV81" i="45"/>
  <c r="DS82" i="45"/>
  <c r="EA82" i="45"/>
  <c r="FA82" i="45"/>
  <c r="FI82" i="45"/>
  <c r="FV82" i="45"/>
  <c r="AB83" i="45" a="1"/>
  <c r="DT83" i="45"/>
  <c r="EB83" i="45"/>
  <c r="DR84" i="45"/>
  <c r="DZ84" i="45"/>
  <c r="FG84" i="45"/>
  <c r="FT84" i="45"/>
  <c r="GB84" i="45"/>
  <c r="DY85" i="45"/>
  <c r="FF85" i="45"/>
  <c r="FS85" i="45"/>
  <c r="GA85" i="45"/>
  <c r="AB86" i="45" a="1"/>
  <c r="DS86" i="45"/>
  <c r="EA86" i="45"/>
  <c r="EZ86" i="45"/>
  <c r="FH86" i="45"/>
  <c r="FU86" i="45"/>
  <c r="E87" i="45"/>
  <c r="DY87" i="45"/>
  <c r="FF87" i="45"/>
  <c r="FS87" i="45"/>
  <c r="GA87" i="45"/>
  <c r="AB88" i="45" a="1"/>
  <c r="DX88" i="45"/>
  <c r="FE88" i="45"/>
  <c r="FR88" i="45"/>
  <c r="FZ88" i="45"/>
  <c r="FY56" i="45"/>
  <c r="DS58" i="45"/>
  <c r="EC59" i="45"/>
  <c r="AD61" i="45" a="1"/>
  <c r="FS60" i="45"/>
  <c r="DV62" i="45"/>
  <c r="FA62" i="45"/>
  <c r="FK62" i="45"/>
  <c r="GB62" i="45"/>
  <c r="DS63" i="45"/>
  <c r="EC63" i="45"/>
  <c r="FH63" i="45"/>
  <c r="FW63" i="45"/>
  <c r="Y64" i="45" a="1"/>
  <c r="AD64" i="45" a="1"/>
  <c r="EA64" i="45"/>
  <c r="FF64" i="45"/>
  <c r="FU64" i="45"/>
  <c r="AC65" i="45" a="1"/>
  <c r="DZ65" i="45"/>
  <c r="FD65" i="45"/>
  <c r="FS65" i="45"/>
  <c r="AB66" i="45" a="1"/>
  <c r="DV66" i="45"/>
  <c r="DY67" i="45"/>
  <c r="FF67" i="45"/>
  <c r="FS67" i="45"/>
  <c r="GA67" i="45"/>
  <c r="DY68" i="45"/>
  <c r="FG68" i="45"/>
  <c r="FT68" i="45"/>
  <c r="GB68" i="45"/>
  <c r="AA69" i="45" a="1"/>
  <c r="DR69" i="45"/>
  <c r="DZ69" i="45"/>
  <c r="DU70" i="45"/>
  <c r="EC70" i="45"/>
  <c r="FC70" i="45"/>
  <c r="FK70" i="45"/>
  <c r="FX70" i="45"/>
  <c r="Y71" i="45" a="1"/>
  <c r="AC71" i="45" a="1"/>
  <c r="DV71" i="45"/>
  <c r="DY72" i="45"/>
  <c r="FF72" i="45"/>
  <c r="FS72" i="45"/>
  <c r="GA72" i="45"/>
  <c r="AB73" i="45" a="1"/>
  <c r="DX73" i="45"/>
  <c r="FE73" i="45"/>
  <c r="FR73" i="45"/>
  <c r="FZ73" i="45"/>
  <c r="DW74" i="45"/>
  <c r="FD74" i="45"/>
  <c r="FQ74" i="45"/>
  <c r="FY74" i="45"/>
  <c r="AA75" i="45" a="1"/>
  <c r="AE75" i="45" a="1"/>
  <c r="DR75" i="45"/>
  <c r="DZ75" i="45"/>
  <c r="FG75" i="45"/>
  <c r="FT75" i="45"/>
  <c r="GB75" i="45"/>
  <c r="AA76" i="45" a="1"/>
  <c r="DX76" i="45"/>
  <c r="AD77" i="45" a="1"/>
  <c r="FF76" i="45"/>
  <c r="FS76" i="45"/>
  <c r="GA76" i="45"/>
  <c r="DY77" i="45"/>
  <c r="Z78" i="45" a="1"/>
  <c r="AD78" i="45" a="1"/>
  <c r="DR78" i="45"/>
  <c r="DZ78" i="45"/>
  <c r="EL78" i="45"/>
  <c r="ET78" i="45"/>
  <c r="FG78" i="45"/>
  <c r="FT78" i="45"/>
  <c r="GB78" i="45"/>
  <c r="DW79" i="45"/>
  <c r="EQ79" i="45"/>
  <c r="FD79" i="45"/>
  <c r="FQ79" i="45"/>
  <c r="FY79" i="45"/>
  <c r="AA80" i="45" a="1"/>
  <c r="AE80" i="45" a="1"/>
  <c r="DV80" i="45"/>
  <c r="FC80" i="45"/>
  <c r="FK80" i="45"/>
  <c r="FX80" i="45"/>
  <c r="DU81" i="45"/>
  <c r="EC81" i="45"/>
  <c r="FB81" i="45"/>
  <c r="FJ81" i="45"/>
  <c r="FW81" i="45"/>
  <c r="Z82" i="45" a="1"/>
  <c r="AD82" i="45" a="1"/>
  <c r="DJ82" i="45"/>
  <c r="DT82" i="45"/>
  <c r="EB82" i="45"/>
  <c r="FB82" i="45"/>
  <c r="FJ82" i="45"/>
  <c r="FW82" i="45"/>
  <c r="DU83" i="45"/>
  <c r="EC83" i="45"/>
  <c r="AB84" i="45" a="1"/>
  <c r="DS84" i="45"/>
  <c r="EA84" i="45"/>
  <c r="EM84" i="45"/>
  <c r="EZ84" i="45"/>
  <c r="FH84" i="45"/>
  <c r="FU84" i="45"/>
  <c r="E85" i="45"/>
  <c r="Y85" i="45" a="1"/>
  <c r="AC85" i="45" a="1"/>
  <c r="DR85" i="45"/>
  <c r="DZ85" i="45"/>
  <c r="FG85" i="45"/>
  <c r="FT85" i="45"/>
  <c r="GB85" i="45"/>
  <c r="DJ86" i="45"/>
  <c r="DT86" i="45"/>
  <c r="EB86" i="45"/>
  <c r="FA86" i="45"/>
  <c r="FI86" i="45"/>
  <c r="FV86" i="45"/>
  <c r="AB87" i="45" a="1"/>
  <c r="DR87" i="45"/>
  <c r="DZ87" i="45"/>
  <c r="FG87" i="45"/>
  <c r="FT87" i="45"/>
  <c r="GB87" i="45"/>
  <c r="DY88" i="45"/>
  <c r="FF88" i="45"/>
  <c r="FS88" i="45"/>
  <c r="GA88" i="45"/>
  <c r="AB89" i="45" a="1"/>
  <c r="GA80" i="45"/>
  <c r="FQ81" i="45"/>
  <c r="Y82" i="45" a="1"/>
  <c r="DX82" i="45"/>
  <c r="FK82" i="45"/>
  <c r="FZ82" i="45"/>
  <c r="Z83" i="45" a="1"/>
  <c r="DW83" i="45"/>
  <c r="DY84" i="45"/>
  <c r="EO84" i="45"/>
  <c r="FD84" i="45"/>
  <c r="FS84" i="45"/>
  <c r="DX85" i="45"/>
  <c r="FC85" i="45"/>
  <c r="FR85" i="45"/>
  <c r="DX86" i="45"/>
  <c r="FC86" i="45"/>
  <c r="FR86" i="45"/>
  <c r="GB86" i="45"/>
  <c r="DJ87" i="45"/>
  <c r="DU87" i="45"/>
  <c r="EZ87" i="45"/>
  <c r="FJ87" i="45"/>
  <c r="FY87" i="45"/>
  <c r="Y88" i="45" a="1"/>
  <c r="AD88" i="45" a="1"/>
  <c r="DR88" i="45"/>
  <c r="EB88" i="45"/>
  <c r="FG88" i="45"/>
  <c r="FV88" i="45"/>
  <c r="AC89" i="45" a="1"/>
  <c r="DU89" i="45"/>
  <c r="EC89" i="45"/>
  <c r="FB89" i="45"/>
  <c r="FJ89" i="45"/>
  <c r="FW89" i="45"/>
  <c r="Z90" i="45" a="1"/>
  <c r="AD90" i="45" a="1"/>
  <c r="DU90" i="45"/>
  <c r="EC90" i="45"/>
  <c r="FB90" i="45"/>
  <c r="FJ90" i="45"/>
  <c r="FW90" i="45"/>
  <c r="DS91" i="45"/>
  <c r="EA91" i="45"/>
  <c r="EZ91" i="45"/>
  <c r="FH91" i="45"/>
  <c r="FU91" i="45"/>
  <c r="E92" i="45"/>
  <c r="Y92" i="45" a="1"/>
  <c r="AC92" i="45" a="1"/>
  <c r="DX92" i="45"/>
  <c r="ER92" i="45"/>
  <c r="FE92" i="45"/>
  <c r="FR92" i="45"/>
  <c r="FZ92" i="45"/>
  <c r="DW93" i="45"/>
  <c r="FD93" i="45"/>
  <c r="FQ93" i="45"/>
  <c r="FY93" i="45"/>
  <c r="AA94" i="45" a="1"/>
  <c r="AE94" i="45" a="1"/>
  <c r="DS94" i="45"/>
  <c r="EA94" i="45"/>
  <c r="EZ94" i="45"/>
  <c r="FH94" i="45"/>
  <c r="FU94" i="45"/>
  <c r="E95" i="45"/>
  <c r="Y95" i="45" a="1"/>
  <c r="AC95" i="45" a="1"/>
  <c r="DW95" i="45"/>
  <c r="FD95" i="45"/>
  <c r="FQ95" i="45"/>
  <c r="FY95" i="45"/>
  <c r="AA96" i="45" a="1"/>
  <c r="AE96" i="45" a="1"/>
  <c r="DJ96" i="45"/>
  <c r="DT96" i="45"/>
  <c r="EB96" i="45"/>
  <c r="FA96" i="45"/>
  <c r="FI96" i="45"/>
  <c r="FV96" i="45"/>
  <c r="DW97" i="45"/>
  <c r="FD97" i="45"/>
  <c r="FQ97" i="45"/>
  <c r="FY97" i="45"/>
  <c r="AA98" i="45" a="1"/>
  <c r="AE98" i="45" a="1"/>
  <c r="DR98" i="45"/>
  <c r="DZ98" i="45"/>
  <c r="FC98" i="45"/>
  <c r="FK98" i="45"/>
  <c r="FX98" i="45"/>
  <c r="DV99" i="45"/>
  <c r="DV100" i="45"/>
  <c r="FG100" i="45"/>
  <c r="FT100" i="45"/>
  <c r="GB100" i="45"/>
  <c r="DS101" i="45"/>
  <c r="EA101" i="45"/>
  <c r="AA102" i="45" a="1"/>
  <c r="AE102" i="45" a="1"/>
  <c r="DV102" i="45"/>
  <c r="FC102" i="45"/>
  <c r="FK102" i="45"/>
  <c r="FX102" i="45"/>
  <c r="DU103" i="45"/>
  <c r="EC103" i="45"/>
  <c r="FB103" i="45"/>
  <c r="FJ103" i="45"/>
  <c r="FW103" i="45"/>
  <c r="DW104" i="45"/>
  <c r="EI104" i="45"/>
  <c r="EQ104" i="45"/>
  <c r="FD104" i="45"/>
  <c r="FQ104" i="45"/>
  <c r="FY104" i="45"/>
  <c r="AA105" i="45" a="1"/>
  <c r="AE105" i="45" a="1"/>
  <c r="DS105" i="45"/>
  <c r="EA105" i="45"/>
  <c r="FF105" i="45"/>
  <c r="FS105" i="45"/>
  <c r="GA105" i="45"/>
  <c r="AB106" i="45" a="1"/>
  <c r="DU106" i="45"/>
  <c r="EC106" i="45"/>
  <c r="EZ106" i="45"/>
  <c r="FH106" i="45"/>
  <c r="FU106" i="45"/>
  <c r="E107" i="45"/>
  <c r="Y107" i="45" a="1"/>
  <c r="AC107" i="45" a="1"/>
  <c r="DW107" i="45"/>
  <c r="FB107" i="45"/>
  <c r="FJ107" i="45"/>
  <c r="FW107" i="45"/>
  <c r="Z108" i="45" a="1"/>
  <c r="AD108" i="45" a="1"/>
  <c r="DY108" i="45"/>
  <c r="FG108" i="45"/>
  <c r="FQ108" i="45"/>
  <c r="FY108" i="45"/>
  <c r="AA109" i="45" a="1"/>
  <c r="AE109" i="45" a="1"/>
  <c r="DW109" i="45"/>
  <c r="FE109" i="45"/>
  <c r="FW109" i="45"/>
  <c r="Z110" i="45" a="1"/>
  <c r="AD110" i="45" a="1"/>
  <c r="DU110" i="45"/>
  <c r="EC110" i="45"/>
  <c r="FC110" i="45"/>
  <c r="FK110" i="45"/>
  <c r="FU110" i="45"/>
  <c r="E111" i="45"/>
  <c r="Y111" i="45" a="1"/>
  <c r="AC111" i="45" a="1"/>
  <c r="FR81" i="45"/>
  <c r="AA82" i="45" a="1"/>
  <c r="DY82" i="45"/>
  <c r="EZ82" i="45"/>
  <c r="FQ82" i="45"/>
  <c r="GA82" i="45"/>
  <c r="DX83" i="45"/>
  <c r="AA84" i="45" a="1"/>
  <c r="EB84" i="45"/>
  <c r="FE84" i="45"/>
  <c r="FV84" i="45"/>
  <c r="AB85" i="45" a="1"/>
  <c r="EA85" i="45"/>
  <c r="FD85" i="45"/>
  <c r="FU85" i="45"/>
  <c r="AA86" i="45" a="1"/>
  <c r="DY86" i="45"/>
  <c r="FD86" i="45"/>
  <c r="FS86" i="45"/>
  <c r="AA87" i="45" a="1"/>
  <c r="DV87" i="45"/>
  <c r="FA87" i="45"/>
  <c r="FK87" i="45"/>
  <c r="FZ87" i="45"/>
  <c r="DS88" i="45"/>
  <c r="EC88" i="45"/>
  <c r="FH88" i="45"/>
  <c r="FW88" i="45"/>
  <c r="DV89" i="45"/>
  <c r="FC89" i="45"/>
  <c r="FK89" i="45"/>
  <c r="FX89" i="45"/>
  <c r="DV90" i="45"/>
  <c r="FC90" i="45"/>
  <c r="FK90" i="45"/>
  <c r="FX90" i="45"/>
  <c r="Y91" i="45" a="1"/>
  <c r="AC91" i="45" a="1"/>
  <c r="DJ91" i="45"/>
  <c r="DT91" i="45"/>
  <c r="EB91" i="45"/>
  <c r="FA91" i="45"/>
  <c r="FI91" i="45"/>
  <c r="FV91" i="45"/>
  <c r="DY92" i="45"/>
  <c r="FF92" i="45"/>
  <c r="FS92" i="45"/>
  <c r="GA92" i="45"/>
  <c r="AB93" i="45" a="1"/>
  <c r="DX93" i="45"/>
  <c r="FE93" i="45"/>
  <c r="FR93" i="45"/>
  <c r="FZ93" i="45"/>
  <c r="DJ94" i="45"/>
  <c r="DT94" i="45"/>
  <c r="EB94" i="45"/>
  <c r="FA94" i="45"/>
  <c r="FI94" i="45"/>
  <c r="FV94" i="45"/>
  <c r="DX95" i="45"/>
  <c r="FE95" i="45"/>
  <c r="FR95" i="45"/>
  <c r="FZ95" i="45"/>
  <c r="DU96" i="45"/>
  <c r="EC96" i="45"/>
  <c r="FB96" i="45"/>
  <c r="FJ96" i="45"/>
  <c r="FW96" i="45"/>
  <c r="Z97" i="45" a="1"/>
  <c r="AD97" i="45" a="1"/>
  <c r="DX97" i="45"/>
  <c r="FE97" i="45"/>
  <c r="FR97" i="45"/>
  <c r="FZ97" i="45"/>
  <c r="DS98" i="45"/>
  <c r="EA98" i="45"/>
  <c r="FD98" i="45"/>
  <c r="FQ98" i="45"/>
  <c r="FY98" i="45"/>
  <c r="Y99" i="45" a="1"/>
  <c r="AC99" i="45" a="1"/>
  <c r="DW99" i="45"/>
  <c r="E100" i="45"/>
  <c r="Y100" i="45" a="1"/>
  <c r="AC100" i="45" a="1"/>
  <c r="DW100" i="45"/>
  <c r="EZ100" i="45"/>
  <c r="FH100" i="45"/>
  <c r="FU100" i="45"/>
  <c r="E101" i="45"/>
  <c r="AA101" i="45" a="1"/>
  <c r="AE101" i="45" a="1"/>
  <c r="DT101" i="45"/>
  <c r="EB101" i="45"/>
  <c r="DW102" i="45"/>
  <c r="FD102" i="45"/>
  <c r="FQ102" i="45"/>
  <c r="FY102" i="45"/>
  <c r="AA103" i="45" a="1"/>
  <c r="AE103" i="45" a="1"/>
  <c r="DV103" i="45"/>
  <c r="FC103" i="45"/>
  <c r="FK103" i="45"/>
  <c r="FX103" i="45"/>
  <c r="DX104" i="45"/>
  <c r="EJ104" i="45"/>
  <c r="ER104" i="45"/>
  <c r="FE104" i="45"/>
  <c r="FR104" i="45"/>
  <c r="FZ104" i="45"/>
  <c r="DJ105" i="45"/>
  <c r="DT105" i="45"/>
  <c r="EB105" i="45"/>
  <c r="FG105" i="45"/>
  <c r="FT105" i="45"/>
  <c r="GB105" i="45"/>
  <c r="DV106" i="45"/>
  <c r="FA106" i="45"/>
  <c r="FI106" i="45"/>
  <c r="FV106" i="45"/>
  <c r="DX107" i="45"/>
  <c r="FC107" i="45"/>
  <c r="FK107" i="45"/>
  <c r="FX107" i="45"/>
  <c r="DR108" i="45"/>
  <c r="DZ108" i="45"/>
  <c r="EZ108" i="45"/>
  <c r="FH108" i="45"/>
  <c r="FR108" i="45"/>
  <c r="FZ108" i="45"/>
  <c r="FS81" i="45"/>
  <c r="DZ82" i="45"/>
  <c r="FC82" i="45"/>
  <c r="FR82" i="45"/>
  <c r="GB82" i="45"/>
  <c r="AA83" i="45" a="1"/>
  <c r="DY83" i="45"/>
  <c r="EC84" i="45"/>
  <c r="FF84" i="45"/>
  <c r="FW84" i="45"/>
  <c r="EB85" i="45"/>
  <c r="FE85" i="45"/>
  <c r="FV85" i="45"/>
  <c r="DZ86" i="45"/>
  <c r="FE86" i="45"/>
  <c r="FT86" i="45"/>
  <c r="DW87" i="45"/>
  <c r="FB87" i="45"/>
  <c r="FQ87" i="45"/>
  <c r="E88" i="45"/>
  <c r="Z88" i="45" a="1"/>
  <c r="AE88" i="45" a="1"/>
  <c r="DJ88" i="45"/>
  <c r="DT88" i="45"/>
  <c r="FI88" i="45"/>
  <c r="FX88" i="45"/>
  <c r="Y89" i="45" a="1"/>
  <c r="AD89" i="45" a="1"/>
  <c r="DW89" i="45"/>
  <c r="FD89" i="45"/>
  <c r="FQ89" i="45"/>
  <c r="FY89" i="45"/>
  <c r="AA90" i="45" a="1"/>
  <c r="AE90" i="45" a="1"/>
  <c r="DW90" i="45"/>
  <c r="FD90" i="45"/>
  <c r="FQ90" i="45"/>
  <c r="FY90" i="45"/>
  <c r="DU91" i="45"/>
  <c r="EC91" i="45"/>
  <c r="FB91" i="45"/>
  <c r="FJ91" i="45"/>
  <c r="FW91" i="45"/>
  <c r="Z92" i="45" a="1"/>
  <c r="AD92" i="45" a="1"/>
  <c r="DR92" i="45"/>
  <c r="DZ92" i="45"/>
  <c r="ET92" i="45"/>
  <c r="FG92" i="45"/>
  <c r="FT92" i="45"/>
  <c r="GB92" i="45"/>
  <c r="DY93" i="45"/>
  <c r="FF93" i="45"/>
  <c r="FS93" i="45"/>
  <c r="GA93" i="45"/>
  <c r="AB94" i="45" a="1"/>
  <c r="DU94" i="45"/>
  <c r="EC94" i="45"/>
  <c r="FB94" i="45"/>
  <c r="FJ94" i="45"/>
  <c r="FW94" i="45"/>
  <c r="Z95" i="45" a="1"/>
  <c r="AD95" i="45" a="1"/>
  <c r="DY95" i="45"/>
  <c r="FF95" i="45"/>
  <c r="FS95" i="45"/>
  <c r="GA95" i="45"/>
  <c r="AB96" i="45" a="1"/>
  <c r="DV96" i="45"/>
  <c r="FC96" i="45"/>
  <c r="FK96" i="45"/>
  <c r="FX96" i="45"/>
  <c r="DY97" i="45"/>
  <c r="FF97" i="45"/>
  <c r="FS97" i="45"/>
  <c r="GA97" i="45"/>
  <c r="AB98" i="45" a="1"/>
  <c r="DJ98" i="45"/>
  <c r="DT98" i="45"/>
  <c r="EB98" i="45"/>
  <c r="FE98" i="45"/>
  <c r="FR98" i="45"/>
  <c r="FZ98" i="45"/>
  <c r="DX99" i="45"/>
  <c r="DX100" i="45"/>
  <c r="FA100" i="45"/>
  <c r="FI100" i="45"/>
  <c r="FV100" i="45"/>
  <c r="DU101" i="45"/>
  <c r="EC101" i="45"/>
  <c r="AB102" i="45" a="1"/>
  <c r="DX102" i="45"/>
  <c r="FE102" i="45"/>
  <c r="FR102" i="45"/>
  <c r="FZ102" i="45"/>
  <c r="DW103" i="45"/>
  <c r="FD103" i="45"/>
  <c r="FQ103" i="45"/>
  <c r="FY103" i="45"/>
  <c r="DY104" i="45"/>
  <c r="EK104" i="45"/>
  <c r="ES104" i="45"/>
  <c r="FF104" i="45"/>
  <c r="FS104" i="45"/>
  <c r="GA104" i="45"/>
  <c r="AB105" i="45" a="1"/>
  <c r="DU105" i="45"/>
  <c r="EC105" i="45"/>
  <c r="EZ105" i="45"/>
  <c r="FH105" i="45"/>
  <c r="FU105" i="45"/>
  <c r="E106" i="45"/>
  <c r="Y106" i="45" a="1"/>
  <c r="AC106" i="45" a="1"/>
  <c r="DW106" i="45"/>
  <c r="FB106" i="45"/>
  <c r="FJ106" i="45"/>
  <c r="FW106" i="45"/>
  <c r="Z107" i="45" a="1"/>
  <c r="AD107" i="45" a="1"/>
  <c r="DY107" i="45"/>
  <c r="FD107" i="45"/>
  <c r="FQ107" i="45"/>
  <c r="DX81" i="45"/>
  <c r="EZ81" i="45"/>
  <c r="FU81" i="45"/>
  <c r="AB82" i="45" a="1"/>
  <c r="FD82" i="45"/>
  <c r="FS82" i="45"/>
  <c r="DZ83" i="45"/>
  <c r="AC84" i="45" a="1"/>
  <c r="DT84" i="45"/>
  <c r="FI84" i="45"/>
  <c r="FX84" i="45"/>
  <c r="AD85" i="45" a="1"/>
  <c r="DS85" i="45"/>
  <c r="EC85" i="45"/>
  <c r="FH85" i="45"/>
  <c r="FW85" i="45"/>
  <c r="AC86" i="45" a="1"/>
  <c r="EC86" i="45"/>
  <c r="FF86" i="45"/>
  <c r="FW86" i="45"/>
  <c r="AD87" i="45" a="1"/>
  <c r="AC87" i="45" a="1"/>
  <c r="DX87" i="45"/>
  <c r="FC87" i="45"/>
  <c r="FR87" i="45"/>
  <c r="DU88" i="45"/>
  <c r="EZ88" i="45"/>
  <c r="FJ88" i="45"/>
  <c r="FY88" i="45"/>
  <c r="DX89" i="45"/>
  <c r="FE89" i="45"/>
  <c r="FR89" i="45"/>
  <c r="FZ89" i="45"/>
  <c r="DX90" i="45"/>
  <c r="FE90" i="45"/>
  <c r="FR90" i="45"/>
  <c r="FZ90" i="45"/>
  <c r="Z91" i="45" a="1"/>
  <c r="AE91" i="45" a="1"/>
  <c r="DV91" i="45"/>
  <c r="FC91" i="45"/>
  <c r="FK91" i="45"/>
  <c r="FX91" i="45"/>
  <c r="DS92" i="45"/>
  <c r="EA92" i="45"/>
  <c r="EZ92" i="45"/>
  <c r="FH92" i="45"/>
  <c r="FU92" i="45"/>
  <c r="E93" i="45"/>
  <c r="Y93" i="45" a="1"/>
  <c r="AC93" i="45" a="1"/>
  <c r="DR93" i="45"/>
  <c r="DZ93" i="45"/>
  <c r="FG93" i="45"/>
  <c r="FT93" i="45"/>
  <c r="GB93" i="45"/>
  <c r="DV94" i="45"/>
  <c r="FC94" i="45"/>
  <c r="FK94" i="45"/>
  <c r="FX94" i="45"/>
  <c r="DR95" i="45"/>
  <c r="DZ95" i="45"/>
  <c r="FG95" i="45"/>
  <c r="FT95" i="45"/>
  <c r="GB95" i="45"/>
  <c r="DW96" i="45"/>
  <c r="FD96" i="45"/>
  <c r="FQ96" i="45"/>
  <c r="FY96" i="45"/>
  <c r="AA97" i="45" a="1"/>
  <c r="AE97" i="45" a="1"/>
  <c r="DR97" i="45"/>
  <c r="DZ97" i="45"/>
  <c r="FG97" i="45"/>
  <c r="FT97" i="45"/>
  <c r="GB97" i="45"/>
  <c r="DU98" i="45"/>
  <c r="EC98" i="45"/>
  <c r="FF98" i="45"/>
  <c r="FS98" i="45"/>
  <c r="GA98" i="45"/>
  <c r="Z99" i="45" a="1"/>
  <c r="AD99" i="45" a="1"/>
  <c r="DY99" i="45"/>
  <c r="Z100" i="45" a="1"/>
  <c r="AD100" i="45" a="1"/>
  <c r="DY100" i="45"/>
  <c r="FB100" i="45"/>
  <c r="FJ100" i="45"/>
  <c r="FW100" i="45"/>
  <c r="AB101" i="45" a="1"/>
  <c r="DV101" i="45"/>
  <c r="DY102" i="45"/>
  <c r="FF102" i="45"/>
  <c r="FS102" i="45"/>
  <c r="GA102" i="45"/>
  <c r="AB103" i="45" a="1"/>
  <c r="DX103" i="45"/>
  <c r="FE103" i="45"/>
  <c r="FR103" i="45"/>
  <c r="FZ103" i="45"/>
  <c r="DR104" i="45"/>
  <c r="DZ104" i="45"/>
  <c r="EL104" i="45"/>
  <c r="ET104" i="45"/>
  <c r="FG104" i="45"/>
  <c r="FT104" i="45"/>
  <c r="GB104" i="45"/>
  <c r="DV105" i="45"/>
  <c r="FA105" i="45"/>
  <c r="FI105" i="45"/>
  <c r="FV105" i="45"/>
  <c r="DX106" i="45"/>
  <c r="FC106" i="45"/>
  <c r="FK106" i="45"/>
  <c r="FX106" i="45"/>
  <c r="DR107" i="45"/>
  <c r="DZ107" i="45"/>
  <c r="FE107" i="45"/>
  <c r="FR107" i="45"/>
  <c r="FZ107" i="45"/>
  <c r="DJ108" i="45"/>
  <c r="DT108" i="45"/>
  <c r="AB81" i="45" a="1"/>
  <c r="DY81" i="45"/>
  <c r="FD81" i="45"/>
  <c r="FY81" i="45"/>
  <c r="AC82" i="45" a="1"/>
  <c r="FE82" i="45"/>
  <c r="FT82" i="45"/>
  <c r="AC83" i="45" a="1"/>
  <c r="EA83" i="45"/>
  <c r="DU84" i="45"/>
  <c r="ES84" i="45"/>
  <c r="FJ84" i="45"/>
  <c r="FY84" i="45"/>
  <c r="DT85" i="45"/>
  <c r="FI85" i="45"/>
  <c r="FX85" i="45"/>
  <c r="DR86" i="45"/>
  <c r="FG86" i="45"/>
  <c r="FX86" i="45"/>
  <c r="EA87" i="45"/>
  <c r="FD87" i="45"/>
  <c r="FU87" i="45"/>
  <c r="AA88" i="45" a="1"/>
  <c r="DV88" i="45"/>
  <c r="FA88" i="45"/>
  <c r="FK88" i="45"/>
  <c r="GB88" i="45"/>
  <c r="Z89" i="45" a="1"/>
  <c r="AE89" i="45" a="1"/>
  <c r="DY89" i="45"/>
  <c r="FF89" i="45"/>
  <c r="FS89" i="45"/>
  <c r="GA89" i="45"/>
  <c r="AB90" i="45" a="1"/>
  <c r="DY90" i="45"/>
  <c r="FF90" i="45"/>
  <c r="FS90" i="45"/>
  <c r="GA90" i="45"/>
  <c r="AD91" i="45" a="1"/>
  <c r="DW91" i="45"/>
  <c r="FD91" i="45"/>
  <c r="FQ91" i="45"/>
  <c r="FY91" i="45"/>
  <c r="AA92" i="45" a="1"/>
  <c r="AE92" i="45" a="1"/>
  <c r="DJ92" i="45"/>
  <c r="DT92" i="45"/>
  <c r="EB92" i="45"/>
  <c r="FA92" i="45"/>
  <c r="FI92" i="45"/>
  <c r="FV92" i="45"/>
  <c r="DS93" i="45"/>
  <c r="EA93" i="45"/>
  <c r="EZ93" i="45"/>
  <c r="FH93" i="45"/>
  <c r="FU93" i="45"/>
  <c r="E94" i="45"/>
  <c r="Y94" i="45" a="1"/>
  <c r="AC94" i="45" a="1"/>
  <c r="DW94" i="45"/>
  <c r="FD94" i="45"/>
  <c r="FQ94" i="45"/>
  <c r="FY94" i="45"/>
  <c r="AA95" i="45" a="1"/>
  <c r="AE95" i="45" a="1"/>
  <c r="DS95" i="45"/>
  <c r="EA95" i="45"/>
  <c r="EZ95" i="45"/>
  <c r="FH95" i="45"/>
  <c r="FU95" i="45"/>
  <c r="E96" i="45"/>
  <c r="Y96" i="45" a="1"/>
  <c r="AC96" i="45" a="1"/>
  <c r="DX96" i="45"/>
  <c r="FE96" i="45"/>
  <c r="FR96" i="45"/>
  <c r="FZ96" i="45"/>
  <c r="DS97" i="45"/>
  <c r="EA97" i="45"/>
  <c r="EZ97" i="45"/>
  <c r="FH97" i="45"/>
  <c r="FU97" i="45"/>
  <c r="E98" i="45"/>
  <c r="Y98" i="45" a="1"/>
  <c r="AC98" i="45" a="1"/>
  <c r="DV98" i="45"/>
  <c r="FG98" i="45"/>
  <c r="FT98" i="45"/>
  <c r="GB98" i="45"/>
  <c r="DR99" i="45"/>
  <c r="DZ99" i="45"/>
  <c r="DR100" i="45"/>
  <c r="DZ100" i="45"/>
  <c r="FC100" i="45"/>
  <c r="FK100" i="45"/>
  <c r="FX100" i="45"/>
  <c r="DW101" i="45"/>
  <c r="E102" i="45"/>
  <c r="Y102" i="45" a="1"/>
  <c r="AC102" i="45" a="1"/>
  <c r="DR102" i="45"/>
  <c r="DZ102" i="45"/>
  <c r="FG102" i="45"/>
  <c r="FT102" i="45"/>
  <c r="GB102" i="45"/>
  <c r="DY103" i="45"/>
  <c r="FF103" i="45"/>
  <c r="FS103" i="45"/>
  <c r="GA103" i="45"/>
  <c r="DS104" i="45"/>
  <c r="EA104" i="45"/>
  <c r="EM104" i="45"/>
  <c r="EZ104" i="45"/>
  <c r="FH104" i="45"/>
  <c r="FU104" i="45"/>
  <c r="E105" i="45"/>
  <c r="Y105" i="45" a="1"/>
  <c r="AC105" i="45" a="1"/>
  <c r="DW105" i="45"/>
  <c r="FB105" i="45"/>
  <c r="FJ105" i="45"/>
  <c r="FW105" i="45"/>
  <c r="Z106" i="45" a="1"/>
  <c r="AD106" i="45" a="1"/>
  <c r="DY106" i="45"/>
  <c r="FD106" i="45"/>
  <c r="FQ106" i="45"/>
  <c r="FY106" i="45"/>
  <c r="AA107" i="45" a="1"/>
  <c r="AE107" i="45" a="1"/>
  <c r="DS107" i="45"/>
  <c r="EA107" i="45"/>
  <c r="FF107" i="45"/>
  <c r="FS107" i="45"/>
  <c r="GA107" i="45"/>
  <c r="AB108" i="45" a="1"/>
  <c r="DU108" i="45"/>
  <c r="EC108" i="45"/>
  <c r="FC108" i="45"/>
  <c r="FK108" i="45"/>
  <c r="FU108" i="45"/>
  <c r="E109" i="45"/>
  <c r="Y109" i="45" a="1"/>
  <c r="AC109" i="45" a="1"/>
  <c r="DS109" i="45"/>
  <c r="EA109" i="45"/>
  <c r="FA109" i="45"/>
  <c r="FI109" i="45"/>
  <c r="FS109" i="45"/>
  <c r="GA109" i="45"/>
  <c r="AB110" i="45" a="1"/>
  <c r="DY110" i="45"/>
  <c r="FE81" i="45"/>
  <c r="FZ81" i="45"/>
  <c r="AE82" i="45" a="1"/>
  <c r="DR82" i="45"/>
  <c r="AD83" i="45" a="1"/>
  <c r="FF82" i="45"/>
  <c r="FU82" i="45"/>
  <c r="DR83" i="45"/>
  <c r="Y84" i="45" a="1"/>
  <c r="AD84" i="45" a="1"/>
  <c r="DJ84" i="45"/>
  <c r="DV84" i="45"/>
  <c r="FA84" i="45"/>
  <c r="FK84" i="45"/>
  <c r="FZ84" i="45"/>
  <c r="Z85" i="45" a="1"/>
  <c r="AE85" i="45" a="1"/>
  <c r="DJ85" i="45"/>
  <c r="DU85" i="45"/>
  <c r="EZ85" i="45"/>
  <c r="FJ85" i="45"/>
  <c r="FY85" i="45"/>
  <c r="Y86" i="45" a="1"/>
  <c r="AD86" i="45" a="1"/>
  <c r="DU86" i="45"/>
  <c r="FJ86" i="45"/>
  <c r="FY86" i="45"/>
  <c r="Y87" i="45" a="1"/>
  <c r="AE87" i="45" a="1"/>
  <c r="EB87" i="45"/>
  <c r="FE87" i="45"/>
  <c r="FV87" i="45"/>
  <c r="DW88" i="45"/>
  <c r="FB88" i="45"/>
  <c r="FQ88" i="45"/>
  <c r="E89" i="45"/>
  <c r="DR89" i="45"/>
  <c r="DZ89" i="45"/>
  <c r="FG89" i="45"/>
  <c r="FT89" i="45"/>
  <c r="GB89" i="45"/>
  <c r="DR90" i="45"/>
  <c r="DZ90" i="45"/>
  <c r="FG90" i="45"/>
  <c r="FT90" i="45"/>
  <c r="GB90" i="45"/>
  <c r="AA91" i="45" a="1"/>
  <c r="DX91" i="45"/>
  <c r="FE91" i="45"/>
  <c r="FR91" i="45"/>
  <c r="FZ91" i="45"/>
  <c r="DU92" i="45"/>
  <c r="EC92" i="45"/>
  <c r="FB92" i="45"/>
  <c r="FJ92" i="45"/>
  <c r="FW92" i="45"/>
  <c r="Z93" i="45" a="1"/>
  <c r="AD93" i="45" a="1"/>
  <c r="DJ93" i="45"/>
  <c r="DT93" i="45"/>
  <c r="EB93" i="45"/>
  <c r="FA93" i="45"/>
  <c r="FI93" i="45"/>
  <c r="FV93" i="45"/>
  <c r="DX94" i="45"/>
  <c r="FE94" i="45"/>
  <c r="FR94" i="45"/>
  <c r="FZ94" i="45"/>
  <c r="DJ95" i="45"/>
  <c r="DT95" i="45"/>
  <c r="EB95" i="45"/>
  <c r="FA95" i="45"/>
  <c r="FI95" i="45"/>
  <c r="FV95" i="45"/>
  <c r="DY96" i="45"/>
  <c r="FF96" i="45"/>
  <c r="FS96" i="45"/>
  <c r="GA96" i="45"/>
  <c r="AB97" i="45" a="1"/>
  <c r="DJ97" i="45"/>
  <c r="DT97" i="45"/>
  <c r="EB97" i="45"/>
  <c r="FA97" i="45"/>
  <c r="FI97" i="45"/>
  <c r="FV97" i="45"/>
  <c r="DW98" i="45"/>
  <c r="EZ98" i="45"/>
  <c r="FH98" i="45"/>
  <c r="FU98" i="45"/>
  <c r="E99" i="45"/>
  <c r="AA99" i="45" a="1"/>
  <c r="AE99" i="45" a="1"/>
  <c r="DS99" i="45"/>
  <c r="EA99" i="45"/>
  <c r="AA100" i="45" a="1"/>
  <c r="AE100" i="45" a="1"/>
  <c r="DS100" i="45"/>
  <c r="EA100" i="45"/>
  <c r="FD100" i="45"/>
  <c r="FQ100" i="45"/>
  <c r="FY100" i="45"/>
  <c r="Y101" i="45" a="1"/>
  <c r="AC101" i="45" a="1"/>
  <c r="DX101" i="45"/>
  <c r="DS102" i="45"/>
  <c r="EA102" i="45"/>
  <c r="EZ102" i="45"/>
  <c r="FH102" i="45"/>
  <c r="FU102" i="45"/>
  <c r="E103" i="45"/>
  <c r="Y103" i="45" a="1"/>
  <c r="AC103" i="45" a="1"/>
  <c r="DR103" i="45"/>
  <c r="DZ103" i="45"/>
  <c r="FG103" i="45"/>
  <c r="FT103" i="45"/>
  <c r="GB103" i="45"/>
  <c r="DJ104" i="45"/>
  <c r="DT104" i="45"/>
  <c r="EB104" i="45"/>
  <c r="EN104" i="45"/>
  <c r="FA104" i="45"/>
  <c r="FI104" i="45"/>
  <c r="FV104" i="45"/>
  <c r="DX105" i="45"/>
  <c r="FC105" i="45"/>
  <c r="FK105" i="45"/>
  <c r="FX105" i="45"/>
  <c r="DR106" i="45"/>
  <c r="DZ106" i="45"/>
  <c r="FE106" i="45"/>
  <c r="FR106" i="45"/>
  <c r="FZ106" i="45"/>
  <c r="DJ107" i="45"/>
  <c r="DT107" i="45"/>
  <c r="EB107" i="45"/>
  <c r="FG107" i="45"/>
  <c r="FT107" i="45"/>
  <c r="GB107" i="45"/>
  <c r="DV108" i="45"/>
  <c r="FD108" i="45"/>
  <c r="FV108" i="45"/>
  <c r="FF80" i="45"/>
  <c r="FF81" i="45"/>
  <c r="GA81" i="45"/>
  <c r="DV82" i="45"/>
  <c r="FG82" i="45"/>
  <c r="FX82" i="45"/>
  <c r="Y83" i="45" a="1"/>
  <c r="AE83" i="45" a="1"/>
  <c r="DS83" i="45"/>
  <c r="E84" i="45"/>
  <c r="DW84" i="45"/>
  <c r="FB84" i="45"/>
  <c r="FQ84" i="45"/>
  <c r="GA84" i="45"/>
  <c r="DV85" i="45"/>
  <c r="FA85" i="45"/>
  <c r="FK85" i="45"/>
  <c r="FZ85" i="45"/>
  <c r="DV86" i="45"/>
  <c r="FK86" i="45"/>
  <c r="FZ86" i="45"/>
  <c r="DS87" i="45"/>
  <c r="EC87" i="45"/>
  <c r="FH87" i="45"/>
  <c r="FW87" i="45"/>
  <c r="AC88" i="45" a="1"/>
  <c r="DZ88" i="45"/>
  <c r="FC88" i="45"/>
  <c r="FT88" i="45"/>
  <c r="AA89" i="45" a="1"/>
  <c r="DS89" i="45"/>
  <c r="EA89" i="45"/>
  <c r="EZ89" i="45"/>
  <c r="FH89" i="45"/>
  <c r="FU89" i="45"/>
  <c r="E90" i="45"/>
  <c r="Y90" i="45" a="1"/>
  <c r="AC90" i="45" a="1"/>
  <c r="DS90" i="45"/>
  <c r="EA90" i="45"/>
  <c r="EZ90" i="45"/>
  <c r="FH90" i="45"/>
  <c r="FU90" i="45"/>
  <c r="E91" i="45"/>
  <c r="DY91" i="45"/>
  <c r="FF91" i="45"/>
  <c r="FS91" i="45"/>
  <c r="GA91" i="45"/>
  <c r="AB92" i="45" a="1"/>
  <c r="DV92" i="45"/>
  <c r="EP92" i="45"/>
  <c r="FC92" i="45"/>
  <c r="FK92" i="45"/>
  <c r="FX92" i="45"/>
  <c r="DU93" i="45"/>
  <c r="EC93" i="45"/>
  <c r="FB93" i="45"/>
  <c r="FJ93" i="45"/>
  <c r="FW93" i="45"/>
  <c r="Z94" i="45" a="1"/>
  <c r="AD94" i="45" a="1"/>
  <c r="DY94" i="45"/>
  <c r="FF94" i="45"/>
  <c r="FS94" i="45"/>
  <c r="GA94" i="45"/>
  <c r="AB95" i="45" a="1"/>
  <c r="DU95" i="45"/>
  <c r="EC95" i="45"/>
  <c r="FB95" i="45"/>
  <c r="FJ95" i="45"/>
  <c r="FW95" i="45"/>
  <c r="Z96" i="45" a="1"/>
  <c r="AD96" i="45" a="1"/>
  <c r="DR96" i="45"/>
  <c r="DZ96" i="45"/>
  <c r="FG96" i="45"/>
  <c r="FT96" i="45"/>
  <c r="GB96" i="45"/>
  <c r="DU97" i="45"/>
  <c r="EC97" i="45"/>
  <c r="FB97" i="45"/>
  <c r="FJ97" i="45"/>
  <c r="FW97" i="45"/>
  <c r="Z98" i="45" a="1"/>
  <c r="AD98" i="45" a="1"/>
  <c r="DX98" i="45"/>
  <c r="FA98" i="45"/>
  <c r="FI98" i="45"/>
  <c r="FV98" i="45"/>
  <c r="DT99" i="45"/>
  <c r="EB99" i="45"/>
  <c r="DJ100" i="45"/>
  <c r="DT100" i="45"/>
  <c r="EB100" i="45"/>
  <c r="FE100" i="45"/>
  <c r="FR100" i="45"/>
  <c r="FZ100" i="45"/>
  <c r="DY101" i="45"/>
  <c r="Z102" i="45" a="1"/>
  <c r="AD102" i="45" a="1"/>
  <c r="DJ102" i="45"/>
  <c r="DT102" i="45"/>
  <c r="EB102" i="45"/>
  <c r="FA102" i="45"/>
  <c r="FI102" i="45"/>
  <c r="FV102" i="45"/>
  <c r="DS103" i="45"/>
  <c r="EA103" i="45"/>
  <c r="EZ103" i="45"/>
  <c r="FH103" i="45"/>
  <c r="FU103" i="45"/>
  <c r="E104" i="45"/>
  <c r="DU104" i="45"/>
  <c r="EC104" i="45"/>
  <c r="EO104" i="45"/>
  <c r="FB104" i="45"/>
  <c r="FJ104" i="45"/>
  <c r="FW104" i="45"/>
  <c r="Z105" i="45" a="1"/>
  <c r="AD105" i="45" a="1"/>
  <c r="DY105" i="45"/>
  <c r="FD105" i="45"/>
  <c r="FQ105" i="45"/>
  <c r="FY105" i="45"/>
  <c r="AA106" i="45" a="1"/>
  <c r="AE106" i="45" a="1"/>
  <c r="DS106" i="45"/>
  <c r="EA106" i="45"/>
  <c r="FF106" i="45"/>
  <c r="FS106" i="45"/>
  <c r="GA106" i="45"/>
  <c r="AB107" i="45" a="1"/>
  <c r="DU107" i="45"/>
  <c r="EC107" i="45"/>
  <c r="EZ107" i="45"/>
  <c r="FH107" i="45"/>
  <c r="FU107" i="45"/>
  <c r="E108" i="45"/>
  <c r="Y108" i="45" a="1"/>
  <c r="AC108" i="45" a="1"/>
  <c r="DW108" i="45"/>
  <c r="FE108" i="45"/>
  <c r="FW108" i="45"/>
  <c r="Z109" i="45" a="1"/>
  <c r="AD109" i="45" a="1"/>
  <c r="DU109" i="45"/>
  <c r="EC109" i="45"/>
  <c r="FC109" i="45"/>
  <c r="FK109" i="45"/>
  <c r="FU109" i="45"/>
  <c r="E110" i="45"/>
  <c r="Y110" i="45" a="1"/>
  <c r="AC110" i="45" a="1"/>
  <c r="DS110" i="45"/>
  <c r="EA110" i="45"/>
  <c r="FA110" i="45"/>
  <c r="FI110" i="45"/>
  <c r="FS110" i="45"/>
  <c r="GA110" i="45"/>
  <c r="AB111" i="45" a="1"/>
  <c r="DJ111" i="45"/>
  <c r="DT111" i="45"/>
  <c r="EB111" i="45"/>
  <c r="FB111" i="45"/>
  <c r="FJ111" i="45"/>
  <c r="FT111" i="45"/>
  <c r="GB111" i="45"/>
  <c r="DY112" i="45"/>
  <c r="FG112" i="45"/>
  <c r="FQ112" i="45"/>
  <c r="FY112" i="45"/>
  <c r="DW113" i="45"/>
  <c r="FE113" i="45"/>
  <c r="FW113" i="45"/>
  <c r="DJ114" i="45"/>
  <c r="DU114" i="45"/>
  <c r="EC114" i="45"/>
  <c r="FC114" i="45"/>
  <c r="FK114" i="45"/>
  <c r="FU114" i="45"/>
  <c r="E115" i="45"/>
  <c r="DS115" i="45"/>
  <c r="EA115" i="45"/>
  <c r="FA115" i="45"/>
  <c r="FI115" i="45"/>
  <c r="FS115" i="45"/>
  <c r="GA115" i="45"/>
  <c r="DY116" i="45"/>
  <c r="FG116" i="45"/>
  <c r="FQ116" i="45"/>
  <c r="FY116" i="45"/>
  <c r="DV117" i="45"/>
  <c r="FD117" i="45"/>
  <c r="FV117" i="45"/>
  <c r="FS80" i="45"/>
  <c r="FH81" i="45"/>
  <c r="E82" i="45"/>
  <c r="DW82" i="45"/>
  <c r="FH82" i="45"/>
  <c r="FY82" i="45"/>
  <c r="DV83" i="45"/>
  <c r="Z84" i="45" a="1"/>
  <c r="DX84" i="45"/>
  <c r="EN84" i="45"/>
  <c r="FC84" i="45"/>
  <c r="FR84" i="45"/>
  <c r="AA85" i="45" a="1"/>
  <c r="DW85" i="45"/>
  <c r="FB85" i="45"/>
  <c r="FQ85" i="45"/>
  <c r="E86" i="45"/>
  <c r="Z86" i="45" a="1"/>
  <c r="AE86" i="45" a="1"/>
  <c r="DW86" i="45"/>
  <c r="FB86" i="45"/>
  <c r="FQ86" i="45"/>
  <c r="GA86" i="45"/>
  <c r="Z87" i="45" a="1"/>
  <c r="DT87" i="45"/>
  <c r="FI87" i="45"/>
  <c r="FX87" i="45"/>
  <c r="EA88" i="45"/>
  <c r="FD88" i="45"/>
  <c r="FU88" i="45"/>
  <c r="DJ89" i="45"/>
  <c r="DT89" i="45"/>
  <c r="EB89" i="45"/>
  <c r="FA89" i="45"/>
  <c r="FI89" i="45"/>
  <c r="FV89" i="45"/>
  <c r="DJ90" i="45"/>
  <c r="DT90" i="45"/>
  <c r="EB90" i="45"/>
  <c r="FA90" i="45"/>
  <c r="FI90" i="45"/>
  <c r="FV90" i="45"/>
  <c r="AB91" i="45" a="1"/>
  <c r="DR91" i="45"/>
  <c r="DZ91" i="45"/>
  <c r="FG91" i="45"/>
  <c r="FT91" i="45"/>
  <c r="GB91" i="45"/>
  <c r="DW92" i="45"/>
  <c r="EQ92" i="45"/>
  <c r="FD92" i="45"/>
  <c r="FQ92" i="45"/>
  <c r="FY92" i="45"/>
  <c r="AA93" i="45" a="1"/>
  <c r="AE93" i="45" a="1"/>
  <c r="DV93" i="45"/>
  <c r="FC93" i="45"/>
  <c r="FK93" i="45"/>
  <c r="FX93" i="45"/>
  <c r="DR94" i="45"/>
  <c r="DZ94" i="45"/>
  <c r="FG94" i="45"/>
  <c r="FT94" i="45"/>
  <c r="GB94" i="45"/>
  <c r="DV95" i="45"/>
  <c r="FC95" i="45"/>
  <c r="FK95" i="45"/>
  <c r="FX95" i="45"/>
  <c r="DS96" i="45"/>
  <c r="EA96" i="45"/>
  <c r="EZ96" i="45"/>
  <c r="FH96" i="45"/>
  <c r="FU96" i="45"/>
  <c r="E97" i="45"/>
  <c r="Y97" i="45" a="1"/>
  <c r="AC97" i="45" a="1"/>
  <c r="DV97" i="45"/>
  <c r="FC97" i="45"/>
  <c r="FK97" i="45"/>
  <c r="FX97" i="45"/>
  <c r="DY98" i="45"/>
  <c r="FB98" i="45"/>
  <c r="FJ98" i="45"/>
  <c r="FW98" i="45"/>
  <c r="AB99" i="45" a="1"/>
  <c r="DU99" i="45"/>
  <c r="EC99" i="45"/>
  <c r="AB100" i="45" a="1"/>
  <c r="DU100" i="45"/>
  <c r="EC100" i="45"/>
  <c r="FF100" i="45"/>
  <c r="FS100" i="45"/>
  <c r="GA100" i="45"/>
  <c r="Z101" i="45" a="1"/>
  <c r="AD101" i="45" a="1"/>
  <c r="DR101" i="45"/>
  <c r="DZ101" i="45"/>
  <c r="DU102" i="45"/>
  <c r="EC102" i="45"/>
  <c r="FB102" i="45"/>
  <c r="FJ102" i="45"/>
  <c r="FW102" i="45"/>
  <c r="Z103" i="45" a="1"/>
  <c r="AD103" i="45" a="1"/>
  <c r="DJ103" i="45"/>
  <c r="DT103" i="45"/>
  <c r="EB103" i="45"/>
  <c r="FA103" i="45"/>
  <c r="FI103" i="45"/>
  <c r="FV103" i="45"/>
  <c r="DV104" i="45"/>
  <c r="EP104" i="45"/>
  <c r="FC104" i="45"/>
  <c r="FK104" i="45"/>
  <c r="FX104" i="45"/>
  <c r="DR105" i="45"/>
  <c r="DZ105" i="45"/>
  <c r="FE105" i="45"/>
  <c r="FR105" i="45"/>
  <c r="FZ105" i="45"/>
  <c r="DJ106" i="45"/>
  <c r="DT106" i="45"/>
  <c r="EB106" i="45"/>
  <c r="FG106" i="45"/>
  <c r="FT106" i="45"/>
  <c r="GB106" i="45"/>
  <c r="DV107" i="45"/>
  <c r="FA107" i="45"/>
  <c r="FI107" i="45"/>
  <c r="FV107" i="45"/>
  <c r="DX108" i="45"/>
  <c r="FF108" i="45"/>
  <c r="FX108" i="45"/>
  <c r="DV109" i="45"/>
  <c r="FD109" i="45"/>
  <c r="FV109" i="45"/>
  <c r="DJ110" i="45"/>
  <c r="DT110" i="45"/>
  <c r="EB110" i="45"/>
  <c r="FB110" i="45"/>
  <c r="FJ110" i="45"/>
  <c r="FT110" i="45"/>
  <c r="GB110" i="45"/>
  <c r="DU111" i="45"/>
  <c r="EC111" i="45"/>
  <c r="FC111" i="45"/>
  <c r="FK111" i="45"/>
  <c r="FU111" i="45"/>
  <c r="E112" i="45"/>
  <c r="DR112" i="45"/>
  <c r="DZ112" i="45"/>
  <c r="EZ112" i="45"/>
  <c r="FH112" i="45"/>
  <c r="FR112" i="45"/>
  <c r="FZ112" i="45"/>
  <c r="DX113" i="45"/>
  <c r="FF113" i="45"/>
  <c r="FX113" i="45"/>
  <c r="DV114" i="45"/>
  <c r="FD114" i="45"/>
  <c r="FV114" i="45"/>
  <c r="DT115" i="45"/>
  <c r="EB115" i="45"/>
  <c r="FB115" i="45"/>
  <c r="FJ115" i="45"/>
  <c r="FT115" i="45"/>
  <c r="GB115" i="45"/>
  <c r="DR116" i="45"/>
  <c r="DZ116" i="45"/>
  <c r="EZ116" i="45"/>
  <c r="FH116" i="45"/>
  <c r="FR116" i="45"/>
  <c r="FZ116" i="45"/>
  <c r="DW117" i="45"/>
  <c r="FE117" i="45"/>
  <c r="FW117" i="45"/>
  <c r="I122" i="45"/>
  <c r="Q122" i="45"/>
  <c r="FC122" i="45"/>
  <c r="EA108" i="45"/>
  <c r="FJ108" i="45"/>
  <c r="AB109" i="45" a="1"/>
  <c r="FJ109" i="45"/>
  <c r="FY109" i="45"/>
  <c r="FY110" i="45"/>
  <c r="DW111" i="45"/>
  <c r="FI111" i="45"/>
  <c r="FW111" i="45"/>
  <c r="EA112" i="45"/>
  <c r="FB112" i="45"/>
  <c r="FX112" i="45"/>
  <c r="DY113" i="45"/>
  <c r="FI113" i="45"/>
  <c r="FS113" i="45"/>
  <c r="E114" i="45"/>
  <c r="DR114" i="45"/>
  <c r="EB114" i="45"/>
  <c r="FF114" i="45"/>
  <c r="FQ114" i="45"/>
  <c r="GA114" i="45"/>
  <c r="DZ115" i="45"/>
  <c r="FD115" i="45"/>
  <c r="FZ115" i="45"/>
  <c r="DW116" i="45"/>
  <c r="FJ116" i="45"/>
  <c r="FV116" i="45"/>
  <c r="DS117" i="45"/>
  <c r="EC117" i="45"/>
  <c r="FF117" i="45"/>
  <c r="FZ117" i="45"/>
  <c r="L122" i="45"/>
  <c r="FH122" i="45"/>
  <c r="FT122" i="45"/>
  <c r="GB122" i="45"/>
  <c r="L124" i="45"/>
  <c r="FB124" i="45"/>
  <c r="FJ124" i="45"/>
  <c r="FV124" i="45"/>
  <c r="FG129" i="45"/>
  <c r="FS129" i="45"/>
  <c r="GA129" i="45"/>
  <c r="AB101" i="43"/>
  <c r="W102" i="43"/>
  <c r="AE102" i="43"/>
  <c r="Z103" i="43"/>
  <c r="U104" i="43"/>
  <c r="AC104" i="43"/>
  <c r="X105" i="43"/>
  <c r="AF105" i="43"/>
  <c r="AA106" i="43"/>
  <c r="V107" i="43"/>
  <c r="AD107" i="43"/>
  <c r="Y108" i="43"/>
  <c r="T109" i="43"/>
  <c r="AB109" i="43"/>
  <c r="W110" i="43"/>
  <c r="AE110" i="43"/>
  <c r="Z111" i="43"/>
  <c r="U112" i="43"/>
  <c r="AC112" i="43"/>
  <c r="X113" i="43"/>
  <c r="AF113" i="43"/>
  <c r="AA114" i="43"/>
  <c r="V115" i="43"/>
  <c r="AD115" i="43"/>
  <c r="Y116" i="43"/>
  <c r="T117" i="43"/>
  <c r="AB117" i="43"/>
  <c r="W118" i="43"/>
  <c r="AE118" i="43"/>
  <c r="Z119" i="43"/>
  <c r="U120" i="43"/>
  <c r="AC120" i="43"/>
  <c r="X121" i="43"/>
  <c r="AF121" i="43"/>
  <c r="AA122" i="43"/>
  <c r="V123" i="43"/>
  <c r="AD123" i="43"/>
  <c r="Y124" i="43"/>
  <c r="T125" i="43"/>
  <c r="AB125" i="43"/>
  <c r="W126" i="43"/>
  <c r="AE126" i="43"/>
  <c r="Z127" i="43"/>
  <c r="U128" i="43"/>
  <c r="AC128" i="43"/>
  <c r="X129" i="43"/>
  <c r="AF129" i="43"/>
  <c r="AA130" i="43"/>
  <c r="V131" i="43"/>
  <c r="AD131" i="43"/>
  <c r="Y132" i="43"/>
  <c r="T133" i="43"/>
  <c r="AB133" i="43"/>
  <c r="W134" i="43"/>
  <c r="AE134" i="43"/>
  <c r="Z135" i="43"/>
  <c r="U136" i="43"/>
  <c r="AC136" i="43"/>
  <c r="X137" i="43"/>
  <c r="AF137" i="43"/>
  <c r="AA138" i="43"/>
  <c r="V139" i="43"/>
  <c r="AD139" i="43"/>
  <c r="Y140" i="43"/>
  <c r="T141" i="43"/>
  <c r="AB141" i="43"/>
  <c r="W142" i="43"/>
  <c r="AE142" i="43"/>
  <c r="Z143" i="43"/>
  <c r="U144" i="43"/>
  <c r="AC144" i="43"/>
  <c r="X145" i="43"/>
  <c r="AF145" i="43"/>
  <c r="AA146" i="43"/>
  <c r="V147" i="43"/>
  <c r="AD147" i="43"/>
  <c r="Y148" i="43"/>
  <c r="T149" i="43"/>
  <c r="AB149" i="43"/>
  <c r="W150" i="43"/>
  <c r="AE150" i="43"/>
  <c r="Z151" i="43"/>
  <c r="U152" i="43"/>
  <c r="AC152" i="43"/>
  <c r="X153" i="43"/>
  <c r="AF153" i="43"/>
  <c r="AA154" i="43"/>
  <c r="V155" i="43"/>
  <c r="AD155" i="43"/>
  <c r="Y156" i="43"/>
  <c r="T157" i="43"/>
  <c r="AB157" i="43"/>
  <c r="W158" i="43"/>
  <c r="AE158" i="43"/>
  <c r="Z159" i="43"/>
  <c r="U160" i="43"/>
  <c r="AC160" i="43"/>
  <c r="X161" i="43"/>
  <c r="AF161" i="43"/>
  <c r="AA162" i="43"/>
  <c r="V163" i="43"/>
  <c r="AD163" i="43"/>
  <c r="Y164" i="43"/>
  <c r="T165" i="43"/>
  <c r="AB165" i="43"/>
  <c r="W166" i="43"/>
  <c r="AE166" i="43"/>
  <c r="Z167" i="43"/>
  <c r="U168" i="43"/>
  <c r="AC168" i="43"/>
  <c r="X169" i="43"/>
  <c r="AF169" i="43"/>
  <c r="AA170" i="43"/>
  <c r="V171" i="43"/>
  <c r="AD171" i="43"/>
  <c r="Y172" i="43"/>
  <c r="T173" i="43"/>
  <c r="AB173" i="43"/>
  <c r="W174" i="43"/>
  <c r="AE174" i="43"/>
  <c r="EB108" i="45"/>
  <c r="FZ109" i="45"/>
  <c r="DR110" i="45"/>
  <c r="FZ110" i="45"/>
  <c r="AA111" i="45" a="1"/>
  <c r="DX111" i="45"/>
  <c r="EZ111" i="45"/>
  <c r="FX111" i="45"/>
  <c r="EB112" i="45"/>
  <c r="FC112" i="45"/>
  <c r="GA112" i="45"/>
  <c r="DZ113" i="45"/>
  <c r="EZ113" i="45"/>
  <c r="FJ113" i="45"/>
  <c r="FT113" i="45"/>
  <c r="DS114" i="45"/>
  <c r="FG114" i="45"/>
  <c r="FR114" i="45"/>
  <c r="GB114" i="45"/>
  <c r="EC115" i="45"/>
  <c r="FE115" i="45"/>
  <c r="FQ115" i="45"/>
  <c r="E116" i="45"/>
  <c r="DX116" i="45"/>
  <c r="FA116" i="45"/>
  <c r="FK116" i="45"/>
  <c r="FW116" i="45"/>
  <c r="DT117" i="45"/>
  <c r="FG117" i="45"/>
  <c r="FQ117" i="45"/>
  <c r="GA117" i="45"/>
  <c r="M122" i="45"/>
  <c r="EZ122" i="45"/>
  <c r="FI122" i="45"/>
  <c r="FU122" i="45"/>
  <c r="M124" i="45"/>
  <c r="FC124" i="45"/>
  <c r="FK124" i="45"/>
  <c r="FW124" i="45"/>
  <c r="EZ129" i="45"/>
  <c r="FH129" i="45"/>
  <c r="FT129" i="45"/>
  <c r="GB129" i="45"/>
  <c r="U101" i="43"/>
  <c r="AC101" i="43"/>
  <c r="X102" i="43"/>
  <c r="AF102" i="43"/>
  <c r="AA103" i="43"/>
  <c r="V104" i="43"/>
  <c r="AD104" i="43"/>
  <c r="Y105" i="43"/>
  <c r="T106" i="43"/>
  <c r="AB106" i="43"/>
  <c r="W107" i="43"/>
  <c r="AE107" i="43"/>
  <c r="Z108" i="43"/>
  <c r="U109" i="43"/>
  <c r="AC109" i="43"/>
  <c r="X110" i="43"/>
  <c r="AF110" i="43"/>
  <c r="AA111" i="43"/>
  <c r="V112" i="43"/>
  <c r="AD112" i="43"/>
  <c r="Y113" i="43"/>
  <c r="T114" i="43"/>
  <c r="AB114" i="43"/>
  <c r="W115" i="43"/>
  <c r="AE115" i="43"/>
  <c r="Z116" i="43"/>
  <c r="U117" i="43"/>
  <c r="AC117" i="43"/>
  <c r="X118" i="43"/>
  <c r="AF118" i="43"/>
  <c r="AA119" i="43"/>
  <c r="V120" i="43"/>
  <c r="AD120" i="43"/>
  <c r="Y121" i="43"/>
  <c r="T122" i="43"/>
  <c r="AB122" i="43"/>
  <c r="W123" i="43"/>
  <c r="AE123" i="43"/>
  <c r="Z124" i="43"/>
  <c r="U125" i="43"/>
  <c r="AC125" i="43"/>
  <c r="X126" i="43"/>
  <c r="AF126" i="43"/>
  <c r="AA127" i="43"/>
  <c r="V128" i="43"/>
  <c r="AD128" i="43"/>
  <c r="Y129" i="43"/>
  <c r="T130" i="43"/>
  <c r="AB130" i="43"/>
  <c r="W131" i="43"/>
  <c r="AE131" i="43"/>
  <c r="Z132" i="43"/>
  <c r="U133" i="43"/>
  <c r="AC133" i="43"/>
  <c r="X134" i="43"/>
  <c r="AF134" i="43"/>
  <c r="AA135" i="43"/>
  <c r="V136" i="43"/>
  <c r="AD136" i="43"/>
  <c r="Y137" i="43"/>
  <c r="T138" i="43"/>
  <c r="AB138" i="43"/>
  <c r="W139" i="43"/>
  <c r="AE139" i="43"/>
  <c r="Z140" i="43"/>
  <c r="U141" i="43"/>
  <c r="AC141" i="43"/>
  <c r="X142" i="43"/>
  <c r="AF142" i="43"/>
  <c r="AA143" i="43"/>
  <c r="V144" i="43"/>
  <c r="AD144" i="43"/>
  <c r="Y145" i="43"/>
  <c r="T146" i="43"/>
  <c r="AB146" i="43"/>
  <c r="W147" i="43"/>
  <c r="AE147" i="43"/>
  <c r="Z148" i="43"/>
  <c r="U149" i="43"/>
  <c r="AC149" i="43"/>
  <c r="X150" i="43"/>
  <c r="AF150" i="43"/>
  <c r="AA151" i="43"/>
  <c r="V152" i="43"/>
  <c r="AD152" i="43"/>
  <c r="Y153" i="43"/>
  <c r="T154" i="43"/>
  <c r="AB154" i="43"/>
  <c r="W155" i="43"/>
  <c r="AE155" i="43"/>
  <c r="Z156" i="43"/>
  <c r="U157" i="43"/>
  <c r="AC157" i="43"/>
  <c r="X158" i="43"/>
  <c r="AF158" i="43"/>
  <c r="AA159" i="43"/>
  <c r="V160" i="43"/>
  <c r="AD160" i="43"/>
  <c r="Y161" i="43"/>
  <c r="T162" i="43"/>
  <c r="AB162" i="43"/>
  <c r="W163" i="43"/>
  <c r="AE163" i="43"/>
  <c r="Z164" i="43"/>
  <c r="U165" i="43"/>
  <c r="AC165" i="43"/>
  <c r="X166" i="43"/>
  <c r="AF166" i="43"/>
  <c r="AA167" i="43"/>
  <c r="V168" i="43"/>
  <c r="AD168" i="43"/>
  <c r="Y169" i="43"/>
  <c r="T170" i="43"/>
  <c r="AB170" i="43"/>
  <c r="W171" i="43"/>
  <c r="AE171" i="43"/>
  <c r="Z172" i="43"/>
  <c r="U173" i="43"/>
  <c r="AC173" i="43"/>
  <c r="X174" i="43"/>
  <c r="AF174" i="43"/>
  <c r="AA108" i="45" a="1"/>
  <c r="DR109" i="45"/>
  <c r="GB109" i="45"/>
  <c r="AE110" i="45" a="1"/>
  <c r="DV110" i="45"/>
  <c r="EZ110" i="45"/>
  <c r="DY111" i="45"/>
  <c r="FA111" i="45"/>
  <c r="FY111" i="45"/>
  <c r="DS112" i="45"/>
  <c r="EC112" i="45"/>
  <c r="FD112" i="45"/>
  <c r="GB112" i="45"/>
  <c r="EA113" i="45"/>
  <c r="FA113" i="45"/>
  <c r="FK113" i="45"/>
  <c r="FU113" i="45"/>
  <c r="DT114" i="45"/>
  <c r="FH114" i="45"/>
  <c r="FS114" i="45"/>
  <c r="DR115" i="45"/>
  <c r="FF115" i="45"/>
  <c r="FR115" i="45"/>
  <c r="EA116" i="45"/>
  <c r="FB116" i="45"/>
  <c r="FX116" i="45"/>
  <c r="DU117" i="45"/>
  <c r="FH117" i="45"/>
  <c r="FR117" i="45"/>
  <c r="GB117" i="45"/>
  <c r="N122" i="45"/>
  <c r="FA122" i="45"/>
  <c r="FJ122" i="45"/>
  <c r="FV122" i="45"/>
  <c r="F124" i="45"/>
  <c r="N124" i="45"/>
  <c r="FD124" i="45"/>
  <c r="FX124" i="45"/>
  <c r="FA129" i="45"/>
  <c r="FI129" i="45"/>
  <c r="FU129" i="45"/>
  <c r="V101" i="43"/>
  <c r="AD101" i="43"/>
  <c r="Y102" i="43"/>
  <c r="T103" i="43"/>
  <c r="AB103" i="43"/>
  <c r="W104" i="43"/>
  <c r="AE104" i="43"/>
  <c r="Z105" i="43"/>
  <c r="U106" i="43"/>
  <c r="AC106" i="43"/>
  <c r="X107" i="43"/>
  <c r="AF107" i="43"/>
  <c r="AA108" i="43"/>
  <c r="V109" i="43"/>
  <c r="AD109" i="43"/>
  <c r="Y110" i="43"/>
  <c r="T111" i="43"/>
  <c r="AB111" i="43"/>
  <c r="W112" i="43"/>
  <c r="AE112" i="43"/>
  <c r="Z113" i="43"/>
  <c r="U114" i="43"/>
  <c r="AC114" i="43"/>
  <c r="X115" i="43"/>
  <c r="AF115" i="43"/>
  <c r="AA116" i="43"/>
  <c r="V117" i="43"/>
  <c r="AD117" i="43"/>
  <c r="Y118" i="43"/>
  <c r="T119" i="43"/>
  <c r="AB119" i="43"/>
  <c r="W120" i="43"/>
  <c r="AE120" i="43"/>
  <c r="Z121" i="43"/>
  <c r="U122" i="43"/>
  <c r="AC122" i="43"/>
  <c r="X123" i="43"/>
  <c r="AF123" i="43"/>
  <c r="AA124" i="43"/>
  <c r="V125" i="43"/>
  <c r="AD125" i="43"/>
  <c r="Y126" i="43"/>
  <c r="T127" i="43"/>
  <c r="AB127" i="43"/>
  <c r="W128" i="43"/>
  <c r="AE128" i="43"/>
  <c r="Z129" i="43"/>
  <c r="U130" i="43"/>
  <c r="AC130" i="43"/>
  <c r="X131" i="43"/>
  <c r="AF131" i="43"/>
  <c r="AA132" i="43"/>
  <c r="V133" i="43"/>
  <c r="AD133" i="43"/>
  <c r="Y134" i="43"/>
  <c r="T135" i="43"/>
  <c r="AB135" i="43"/>
  <c r="W136" i="43"/>
  <c r="AE136" i="43"/>
  <c r="Z137" i="43"/>
  <c r="U138" i="43"/>
  <c r="AC138" i="43"/>
  <c r="X139" i="43"/>
  <c r="AF139" i="43"/>
  <c r="AA140" i="43"/>
  <c r="V141" i="43"/>
  <c r="AD141" i="43"/>
  <c r="Y142" i="43"/>
  <c r="T143" i="43"/>
  <c r="AB143" i="43"/>
  <c r="W144" i="43"/>
  <c r="AE144" i="43"/>
  <c r="Z145" i="43"/>
  <c r="U146" i="43"/>
  <c r="AC146" i="43"/>
  <c r="X147" i="43"/>
  <c r="AF147" i="43"/>
  <c r="AA148" i="43"/>
  <c r="V149" i="43"/>
  <c r="AD149" i="43"/>
  <c r="Y150" i="43"/>
  <c r="T151" i="43"/>
  <c r="AB151" i="43"/>
  <c r="W152" i="43"/>
  <c r="AE152" i="43"/>
  <c r="Z153" i="43"/>
  <c r="U154" i="43"/>
  <c r="AC154" i="43"/>
  <c r="X155" i="43"/>
  <c r="AF155" i="43"/>
  <c r="AA156" i="43"/>
  <c r="V157" i="43"/>
  <c r="AD157" i="43"/>
  <c r="Y158" i="43"/>
  <c r="T159" i="43"/>
  <c r="AB159" i="43"/>
  <c r="W160" i="43"/>
  <c r="AE160" i="43"/>
  <c r="Z161" i="43"/>
  <c r="U162" i="43"/>
  <c r="AC162" i="43"/>
  <c r="X163" i="43"/>
  <c r="AF163" i="43"/>
  <c r="AA164" i="43"/>
  <c r="V165" i="43"/>
  <c r="AD165" i="43"/>
  <c r="Y166" i="43"/>
  <c r="T167" i="43"/>
  <c r="AB167" i="43"/>
  <c r="W168" i="43"/>
  <c r="AE168" i="43"/>
  <c r="Z169" i="43"/>
  <c r="U170" i="43"/>
  <c r="AC170" i="43"/>
  <c r="X171" i="43"/>
  <c r="AF171" i="43"/>
  <c r="AA172" i="43"/>
  <c r="V173" i="43"/>
  <c r="AD173" i="43"/>
  <c r="Y174" i="43"/>
  <c r="AE108" i="45" a="1"/>
  <c r="DT109" i="45"/>
  <c r="EZ109" i="45"/>
  <c r="DW110" i="45"/>
  <c r="FD110" i="45"/>
  <c r="FQ110" i="45"/>
  <c r="DZ111" i="45"/>
  <c r="FD111" i="45"/>
  <c r="FZ111" i="45"/>
  <c r="DT112" i="45"/>
  <c r="FE112" i="45"/>
  <c r="FS112" i="45"/>
  <c r="E113" i="45"/>
  <c r="DR113" i="45"/>
  <c r="EB113" i="45"/>
  <c r="FB113" i="45"/>
  <c r="FV113" i="45"/>
  <c r="DW114" i="45"/>
  <c r="FI114" i="45"/>
  <c r="FT114" i="45"/>
  <c r="DU115" i="45"/>
  <c r="FG115" i="45"/>
  <c r="FU115" i="45"/>
  <c r="EB116" i="45"/>
  <c r="FC116" i="45"/>
  <c r="GA116" i="45"/>
  <c r="DJ117" i="45"/>
  <c r="DX117" i="45"/>
  <c r="FI117" i="45"/>
  <c r="FS117" i="45"/>
  <c r="F122" i="45"/>
  <c r="O122" i="45"/>
  <c r="FB122" i="45"/>
  <c r="FK122" i="45"/>
  <c r="FW122" i="45"/>
  <c r="G124" i="45"/>
  <c r="O124" i="45"/>
  <c r="FE124" i="45"/>
  <c r="FQ124" i="45"/>
  <c r="FY124" i="45"/>
  <c r="FB129" i="45"/>
  <c r="FJ129" i="45"/>
  <c r="FV129" i="45"/>
  <c r="W101" i="43"/>
  <c r="AE101" i="43"/>
  <c r="Z102" i="43"/>
  <c r="U103" i="43"/>
  <c r="AC103" i="43"/>
  <c r="X104" i="43"/>
  <c r="AF104" i="43"/>
  <c r="AA105" i="43"/>
  <c r="V106" i="43"/>
  <c r="AD106" i="43"/>
  <c r="Y107" i="43"/>
  <c r="T108" i="43"/>
  <c r="AB108" i="43"/>
  <c r="W109" i="43"/>
  <c r="AE109" i="43"/>
  <c r="Z110" i="43"/>
  <c r="U111" i="43"/>
  <c r="AC111" i="43"/>
  <c r="X112" i="43"/>
  <c r="AF112" i="43"/>
  <c r="AA113" i="43"/>
  <c r="V114" i="43"/>
  <c r="AD114" i="43"/>
  <c r="Y115" i="43"/>
  <c r="T116" i="43"/>
  <c r="AB116" i="43"/>
  <c r="W117" i="43"/>
  <c r="AE117" i="43"/>
  <c r="Z118" i="43"/>
  <c r="U119" i="43"/>
  <c r="AC119" i="43"/>
  <c r="X120" i="43"/>
  <c r="AF120" i="43"/>
  <c r="AA121" i="43"/>
  <c r="V122" i="43"/>
  <c r="AD122" i="43"/>
  <c r="Y123" i="43"/>
  <c r="T124" i="43"/>
  <c r="AB124" i="43"/>
  <c r="W125" i="43"/>
  <c r="AE125" i="43"/>
  <c r="Z126" i="43"/>
  <c r="U127" i="43"/>
  <c r="AC127" i="43"/>
  <c r="X128" i="43"/>
  <c r="AF128" i="43"/>
  <c r="AA129" i="43"/>
  <c r="V130" i="43"/>
  <c r="AD130" i="43"/>
  <c r="Y131" i="43"/>
  <c r="T132" i="43"/>
  <c r="AB132" i="43"/>
  <c r="W133" i="43"/>
  <c r="AE133" i="43"/>
  <c r="Z134" i="43"/>
  <c r="U135" i="43"/>
  <c r="AC135" i="43"/>
  <c r="X136" i="43"/>
  <c r="AF136" i="43"/>
  <c r="AA137" i="43"/>
  <c r="V138" i="43"/>
  <c r="AD138" i="43"/>
  <c r="Y139" i="43"/>
  <c r="T140" i="43"/>
  <c r="AB140" i="43"/>
  <c r="W141" i="43"/>
  <c r="AE141" i="43"/>
  <c r="Z142" i="43"/>
  <c r="U143" i="43"/>
  <c r="AC143" i="43"/>
  <c r="X144" i="43"/>
  <c r="AF144" i="43"/>
  <c r="AA145" i="43"/>
  <c r="V146" i="43"/>
  <c r="AD146" i="43"/>
  <c r="Y147" i="43"/>
  <c r="T148" i="43"/>
  <c r="AB148" i="43"/>
  <c r="W149" i="43"/>
  <c r="AE149" i="43"/>
  <c r="Z150" i="43"/>
  <c r="U151" i="43"/>
  <c r="AC151" i="43"/>
  <c r="X152" i="43"/>
  <c r="AF152" i="43"/>
  <c r="AA153" i="43"/>
  <c r="V154" i="43"/>
  <c r="AD154" i="43"/>
  <c r="Y155" i="43"/>
  <c r="T156" i="43"/>
  <c r="AB156" i="43"/>
  <c r="W157" i="43"/>
  <c r="AE157" i="43"/>
  <c r="Z158" i="43"/>
  <c r="U159" i="43"/>
  <c r="AC159" i="43"/>
  <c r="X160" i="43"/>
  <c r="AF160" i="43"/>
  <c r="AA161" i="43"/>
  <c r="V162" i="43"/>
  <c r="AD162" i="43"/>
  <c r="Y163" i="43"/>
  <c r="T164" i="43"/>
  <c r="AB164" i="43"/>
  <c r="W165" i="43"/>
  <c r="AE165" i="43"/>
  <c r="Z166" i="43"/>
  <c r="U167" i="43"/>
  <c r="AC167" i="43"/>
  <c r="X168" i="43"/>
  <c r="AF168" i="43"/>
  <c r="AA169" i="43"/>
  <c r="V170" i="43"/>
  <c r="AD170" i="43"/>
  <c r="Y171" i="43"/>
  <c r="T172" i="43"/>
  <c r="AB172" i="43"/>
  <c r="W173" i="43"/>
  <c r="AE173" i="43"/>
  <c r="Z174" i="43"/>
  <c r="FS108" i="45"/>
  <c r="DX109" i="45"/>
  <c r="FB109" i="45"/>
  <c r="FQ109" i="45"/>
  <c r="DX110" i="45"/>
  <c r="FE110" i="45"/>
  <c r="FR110" i="45"/>
  <c r="AD111" i="45" a="1"/>
  <c r="EA111" i="45"/>
  <c r="FE111" i="45"/>
  <c r="FQ111" i="45"/>
  <c r="GA111" i="45"/>
  <c r="DU112" i="45"/>
  <c r="FF112" i="45"/>
  <c r="FT112" i="45"/>
  <c r="DS113" i="45"/>
  <c r="EC113" i="45"/>
  <c r="FC113" i="45"/>
  <c r="FY113" i="45"/>
  <c r="DX114" i="45"/>
  <c r="EZ114" i="45"/>
  <c r="FJ114" i="45"/>
  <c r="FW114" i="45"/>
  <c r="DV115" i="45"/>
  <c r="FH115" i="45"/>
  <c r="FV115" i="45"/>
  <c r="DS116" i="45"/>
  <c r="EC116" i="45"/>
  <c r="FD116" i="45"/>
  <c r="GB116" i="45"/>
  <c r="DY117" i="45"/>
  <c r="EZ117" i="45"/>
  <c r="FJ117" i="45"/>
  <c r="FT117" i="45"/>
  <c r="G122" i="45"/>
  <c r="P122" i="45"/>
  <c r="FD122" i="45"/>
  <c r="FX122" i="45"/>
  <c r="H124" i="45"/>
  <c r="P124" i="45"/>
  <c r="FF124" i="45"/>
  <c r="FR124" i="45"/>
  <c r="FZ124" i="45"/>
  <c r="FC129" i="45"/>
  <c r="FK129" i="45"/>
  <c r="FW129" i="45"/>
  <c r="X101" i="43"/>
  <c r="AF101" i="43"/>
  <c r="AA102" i="43"/>
  <c r="V103" i="43"/>
  <c r="AD103" i="43"/>
  <c r="Y104" i="43"/>
  <c r="T105" i="43"/>
  <c r="AB105" i="43"/>
  <c r="W106" i="43"/>
  <c r="AE106" i="43"/>
  <c r="Z107" i="43"/>
  <c r="U108" i="43"/>
  <c r="AC108" i="43"/>
  <c r="X109" i="43"/>
  <c r="AF109" i="43"/>
  <c r="AA110" i="43"/>
  <c r="V111" i="43"/>
  <c r="AD111" i="43"/>
  <c r="Y112" i="43"/>
  <c r="T113" i="43"/>
  <c r="AB113" i="43"/>
  <c r="W114" i="43"/>
  <c r="AE114" i="43"/>
  <c r="Z115" i="43"/>
  <c r="U116" i="43"/>
  <c r="AC116" i="43"/>
  <c r="X117" i="43"/>
  <c r="AF117" i="43"/>
  <c r="AA118" i="43"/>
  <c r="V119" i="43"/>
  <c r="AD119" i="43"/>
  <c r="Y120" i="43"/>
  <c r="T121" i="43"/>
  <c r="AB121" i="43"/>
  <c r="W122" i="43"/>
  <c r="AE122" i="43"/>
  <c r="Z123" i="43"/>
  <c r="U124" i="43"/>
  <c r="AC124" i="43"/>
  <c r="X125" i="43"/>
  <c r="AF125" i="43"/>
  <c r="AA126" i="43"/>
  <c r="V127" i="43"/>
  <c r="AD127" i="43"/>
  <c r="Y128" i="43"/>
  <c r="T129" i="43"/>
  <c r="AB129" i="43"/>
  <c r="W130" i="43"/>
  <c r="AE130" i="43"/>
  <c r="Z131" i="43"/>
  <c r="U132" i="43"/>
  <c r="AC132" i="43"/>
  <c r="X133" i="43"/>
  <c r="AF133" i="43"/>
  <c r="AA134" i="43"/>
  <c r="V135" i="43"/>
  <c r="AD135" i="43"/>
  <c r="Y136" i="43"/>
  <c r="T137" i="43"/>
  <c r="AB137" i="43"/>
  <c r="W138" i="43"/>
  <c r="AE138" i="43"/>
  <c r="Z139" i="43"/>
  <c r="U140" i="43"/>
  <c r="AC140" i="43"/>
  <c r="X141" i="43"/>
  <c r="AF141" i="43"/>
  <c r="AA142" i="43"/>
  <c r="V143" i="43"/>
  <c r="AD143" i="43"/>
  <c r="Y144" i="43"/>
  <c r="T145" i="43"/>
  <c r="AB145" i="43"/>
  <c r="W146" i="43"/>
  <c r="AE146" i="43"/>
  <c r="Z147" i="43"/>
  <c r="U148" i="43"/>
  <c r="AC148" i="43"/>
  <c r="X149" i="43"/>
  <c r="AF149" i="43"/>
  <c r="AA150" i="43"/>
  <c r="V151" i="43"/>
  <c r="AD151" i="43"/>
  <c r="Y152" i="43"/>
  <c r="T153" i="43"/>
  <c r="AB153" i="43"/>
  <c r="W154" i="43"/>
  <c r="AE154" i="43"/>
  <c r="Z155" i="43"/>
  <c r="U156" i="43"/>
  <c r="AC156" i="43"/>
  <c r="X157" i="43"/>
  <c r="AF157" i="43"/>
  <c r="AA158" i="43"/>
  <c r="V159" i="43"/>
  <c r="AD159" i="43"/>
  <c r="Y160" i="43"/>
  <c r="T161" i="43"/>
  <c r="AB161" i="43"/>
  <c r="W162" i="43"/>
  <c r="AE162" i="43"/>
  <c r="Z163" i="43"/>
  <c r="U164" i="43"/>
  <c r="AC164" i="43"/>
  <c r="X165" i="43"/>
  <c r="AF165" i="43"/>
  <c r="AA166" i="43"/>
  <c r="V167" i="43"/>
  <c r="AD167" i="43"/>
  <c r="Y168" i="43"/>
  <c r="T169" i="43"/>
  <c r="AB169" i="43"/>
  <c r="W170" i="43"/>
  <c r="AE170" i="43"/>
  <c r="Z171" i="43"/>
  <c r="U172" i="43"/>
  <c r="AC172" i="43"/>
  <c r="X173" i="43"/>
  <c r="AF173" i="43"/>
  <c r="AA174" i="43"/>
  <c r="FY107" i="45"/>
  <c r="FA108" i="45"/>
  <c r="FT108" i="45"/>
  <c r="DY109" i="45"/>
  <c r="FF109" i="45"/>
  <c r="FR109" i="45"/>
  <c r="DZ110" i="45"/>
  <c r="FF110" i="45"/>
  <c r="FV110" i="45"/>
  <c r="DR111" i="45"/>
  <c r="FF111" i="45"/>
  <c r="FR111" i="45"/>
  <c r="DJ112" i="45"/>
  <c r="DV112" i="45"/>
  <c r="FI112" i="45"/>
  <c r="FU112" i="45"/>
  <c r="DT113" i="45"/>
  <c r="FD113" i="45"/>
  <c r="FZ113" i="45"/>
  <c r="DY114" i="45"/>
  <c r="FA114" i="45"/>
  <c r="FX114" i="45"/>
  <c r="DJ115" i="45"/>
  <c r="DW115" i="45"/>
  <c r="FK115" i="45"/>
  <c r="FW115" i="45"/>
  <c r="DT116" i="45"/>
  <c r="FE116" i="45"/>
  <c r="FS116" i="45"/>
  <c r="E117" i="45"/>
  <c r="DZ117" i="45"/>
  <c r="FA117" i="45"/>
  <c r="FK117" i="45"/>
  <c r="FU117" i="45"/>
  <c r="H122" i="45"/>
  <c r="FE122" i="45"/>
  <c r="FQ122" i="45"/>
  <c r="FY122" i="45"/>
  <c r="I124" i="45"/>
  <c r="Q124" i="45"/>
  <c r="FG124" i="45"/>
  <c r="FS124" i="45"/>
  <c r="GA124" i="45"/>
  <c r="FD129" i="45"/>
  <c r="FX129" i="45"/>
  <c r="Y101" i="43"/>
  <c r="T102" i="43"/>
  <c r="AB102" i="43"/>
  <c r="W103" i="43"/>
  <c r="AE103" i="43"/>
  <c r="Z104" i="43"/>
  <c r="U105" i="43"/>
  <c r="AC105" i="43"/>
  <c r="X106" i="43"/>
  <c r="AF106" i="43"/>
  <c r="AA107" i="43"/>
  <c r="V108" i="43"/>
  <c r="AD108" i="43"/>
  <c r="Y109" i="43"/>
  <c r="T110" i="43"/>
  <c r="AB110" i="43"/>
  <c r="W111" i="43"/>
  <c r="AE111" i="43"/>
  <c r="Z112" i="43"/>
  <c r="U113" i="43"/>
  <c r="AC113" i="43"/>
  <c r="X114" i="43"/>
  <c r="AF114" i="43"/>
  <c r="AA115" i="43"/>
  <c r="V116" i="43"/>
  <c r="AD116" i="43"/>
  <c r="Y117" i="43"/>
  <c r="T118" i="43"/>
  <c r="AB118" i="43"/>
  <c r="W119" i="43"/>
  <c r="AE119" i="43"/>
  <c r="Z120" i="43"/>
  <c r="U121" i="43"/>
  <c r="AC121" i="43"/>
  <c r="X122" i="43"/>
  <c r="AF122" i="43"/>
  <c r="AA123" i="43"/>
  <c r="V124" i="43"/>
  <c r="AD124" i="43"/>
  <c r="Y125" i="43"/>
  <c r="T126" i="43"/>
  <c r="AB126" i="43"/>
  <c r="W127" i="43"/>
  <c r="AE127" i="43"/>
  <c r="Z128" i="43"/>
  <c r="U129" i="43"/>
  <c r="AC129" i="43"/>
  <c r="X130" i="43"/>
  <c r="AF130" i="43"/>
  <c r="AA131" i="43"/>
  <c r="V132" i="43"/>
  <c r="AD132" i="43"/>
  <c r="Y133" i="43"/>
  <c r="T134" i="43"/>
  <c r="AB134" i="43"/>
  <c r="W135" i="43"/>
  <c r="AE135" i="43"/>
  <c r="Z136" i="43"/>
  <c r="U137" i="43"/>
  <c r="AC137" i="43"/>
  <c r="X138" i="43"/>
  <c r="AF138" i="43"/>
  <c r="AA139" i="43"/>
  <c r="V140" i="43"/>
  <c r="AD140" i="43"/>
  <c r="Y141" i="43"/>
  <c r="T142" i="43"/>
  <c r="AB142" i="43"/>
  <c r="W143" i="43"/>
  <c r="AE143" i="43"/>
  <c r="Z144" i="43"/>
  <c r="U145" i="43"/>
  <c r="AC145" i="43"/>
  <c r="X146" i="43"/>
  <c r="AF146" i="43"/>
  <c r="AA147" i="43"/>
  <c r="V148" i="43"/>
  <c r="AD148" i="43"/>
  <c r="Y149" i="43"/>
  <c r="T150" i="43"/>
  <c r="AB150" i="43"/>
  <c r="W151" i="43"/>
  <c r="AE151" i="43"/>
  <c r="Z152" i="43"/>
  <c r="U153" i="43"/>
  <c r="AC153" i="43"/>
  <c r="X154" i="43"/>
  <c r="AF154" i="43"/>
  <c r="AA155" i="43"/>
  <c r="V156" i="43"/>
  <c r="AD156" i="43"/>
  <c r="Y157" i="43"/>
  <c r="T158" i="43"/>
  <c r="AB158" i="43"/>
  <c r="W159" i="43"/>
  <c r="AE159" i="43"/>
  <c r="Z160" i="43"/>
  <c r="U161" i="43"/>
  <c r="AC161" i="43"/>
  <c r="X162" i="43"/>
  <c r="AF162" i="43"/>
  <c r="AA163" i="43"/>
  <c r="V164" i="43"/>
  <c r="AD164" i="43"/>
  <c r="Y165" i="43"/>
  <c r="T166" i="43"/>
  <c r="AB166" i="43"/>
  <c r="W167" i="43"/>
  <c r="AE167" i="43"/>
  <c r="FB108" i="45"/>
  <c r="GA108" i="45"/>
  <c r="DJ109" i="45"/>
  <c r="DZ109" i="45"/>
  <c r="FG109" i="45"/>
  <c r="FT109" i="45"/>
  <c r="AA110" i="45" a="1"/>
  <c r="FG110" i="45"/>
  <c r="FW110" i="45"/>
  <c r="AE111" i="45" a="1"/>
  <c r="DS111" i="45"/>
  <c r="FG111" i="45"/>
  <c r="FS111" i="45"/>
  <c r="DW112" i="45"/>
  <c r="FJ112" i="45"/>
  <c r="FV112" i="45"/>
  <c r="DJ113" i="45"/>
  <c r="DU113" i="45"/>
  <c r="FG113" i="45"/>
  <c r="FQ113" i="45"/>
  <c r="GA113" i="45"/>
  <c r="DZ114" i="45"/>
  <c r="FB114" i="45"/>
  <c r="FY114" i="45"/>
  <c r="DX115" i="45"/>
  <c r="EZ115" i="45"/>
  <c r="FX115" i="45"/>
  <c r="DU116" i="45"/>
  <c r="FF116" i="45"/>
  <c r="FT116" i="45"/>
  <c r="EA117" i="45"/>
  <c r="FB117" i="45"/>
  <c r="FX117" i="45"/>
  <c r="J122" i="45"/>
  <c r="FF122" i="45"/>
  <c r="FR122" i="45"/>
  <c r="FZ122" i="45"/>
  <c r="J124" i="45"/>
  <c r="EZ124" i="45"/>
  <c r="FH124" i="45"/>
  <c r="FT124" i="45"/>
  <c r="GB124" i="45"/>
  <c r="FE129" i="45"/>
  <c r="FQ129" i="45"/>
  <c r="FY129" i="45"/>
  <c r="Z101" i="43"/>
  <c r="U102" i="43"/>
  <c r="AC102" i="43"/>
  <c r="X103" i="43"/>
  <c r="AF103" i="43"/>
  <c r="AA104" i="43"/>
  <c r="V105" i="43"/>
  <c r="AD105" i="43"/>
  <c r="Y106" i="43"/>
  <c r="T107" i="43"/>
  <c r="AB107" i="43"/>
  <c r="W108" i="43"/>
  <c r="AE108" i="43"/>
  <c r="Z109" i="43"/>
  <c r="U110" i="43"/>
  <c r="AC110" i="43"/>
  <c r="X111" i="43"/>
  <c r="AF111" i="43"/>
  <c r="AA112" i="43"/>
  <c r="V113" i="43"/>
  <c r="AD113" i="43"/>
  <c r="Y114" i="43"/>
  <c r="T115" i="43"/>
  <c r="AB115" i="43"/>
  <c r="W116" i="43"/>
  <c r="AE116" i="43"/>
  <c r="Z117" i="43"/>
  <c r="U118" i="43"/>
  <c r="AC118" i="43"/>
  <c r="X119" i="43"/>
  <c r="AF119" i="43"/>
  <c r="AA120" i="43"/>
  <c r="V121" i="43"/>
  <c r="AD121" i="43"/>
  <c r="Y122" i="43"/>
  <c r="T123" i="43"/>
  <c r="AB123" i="43"/>
  <c r="W124" i="43"/>
  <c r="AE124" i="43"/>
  <c r="Z125" i="43"/>
  <c r="U126" i="43"/>
  <c r="AC126" i="43"/>
  <c r="X127" i="43"/>
  <c r="AF127" i="43"/>
  <c r="AA128" i="43"/>
  <c r="V129" i="43"/>
  <c r="AD129" i="43"/>
  <c r="Y130" i="43"/>
  <c r="T131" i="43"/>
  <c r="AB131" i="43"/>
  <c r="W132" i="43"/>
  <c r="AE132" i="43"/>
  <c r="Z133" i="43"/>
  <c r="U134" i="43"/>
  <c r="AC134" i="43"/>
  <c r="X135" i="43"/>
  <c r="AF135" i="43"/>
  <c r="AA136" i="43"/>
  <c r="V137" i="43"/>
  <c r="AD137" i="43"/>
  <c r="Y138" i="43"/>
  <c r="T139" i="43"/>
  <c r="AB139" i="43"/>
  <c r="W140" i="43"/>
  <c r="AE140" i="43"/>
  <c r="Z141" i="43"/>
  <c r="U142" i="43"/>
  <c r="AC142" i="43"/>
  <c r="X143" i="43"/>
  <c r="AF143" i="43"/>
  <c r="AA144" i="43"/>
  <c r="V145" i="43"/>
  <c r="AD145" i="43"/>
  <c r="Y146" i="43"/>
  <c r="T147" i="43"/>
  <c r="AB147" i="43"/>
  <c r="W148" i="43"/>
  <c r="AE148" i="43"/>
  <c r="Z149" i="43"/>
  <c r="U150" i="43"/>
  <c r="AC150" i="43"/>
  <c r="X151" i="43"/>
  <c r="AF151" i="43"/>
  <c r="AA152" i="43"/>
  <c r="V153" i="43"/>
  <c r="AD153" i="43"/>
  <c r="Y154" i="43"/>
  <c r="T155" i="43"/>
  <c r="AB155" i="43"/>
  <c r="W156" i="43"/>
  <c r="AE156" i="43"/>
  <c r="Z157" i="43"/>
  <c r="U158" i="43"/>
  <c r="AC158" i="43"/>
  <c r="X159" i="43"/>
  <c r="AF159" i="43"/>
  <c r="AA160" i="43"/>
  <c r="V161" i="43"/>
  <c r="AD161" i="43"/>
  <c r="Y162" i="43"/>
  <c r="T163" i="43"/>
  <c r="AB163" i="43"/>
  <c r="W164" i="43"/>
  <c r="AE164" i="43"/>
  <c r="Z165" i="43"/>
  <c r="U166" i="43"/>
  <c r="AC166" i="43"/>
  <c r="X167" i="43"/>
  <c r="AF167" i="43"/>
  <c r="AA168" i="43"/>
  <c r="V169" i="43"/>
  <c r="AD169" i="43"/>
  <c r="Y170" i="43"/>
  <c r="T171" i="43"/>
  <c r="AB171" i="43"/>
  <c r="W172" i="43"/>
  <c r="AE172" i="43"/>
  <c r="Z173" i="43"/>
  <c r="U174" i="43"/>
  <c r="AC174" i="43"/>
  <c r="DS108" i="45"/>
  <c r="FI108" i="45"/>
  <c r="GB108" i="45"/>
  <c r="EB109" i="45"/>
  <c r="FH109" i="45"/>
  <c r="FX109" i="45"/>
  <c r="FH110" i="45"/>
  <c r="FX110" i="45"/>
  <c r="Z111" i="45" a="1"/>
  <c r="DV111" i="45"/>
  <c r="FH111" i="45"/>
  <c r="FV111" i="45"/>
  <c r="DX112" i="45"/>
  <c r="FA112" i="45"/>
  <c r="FK112" i="45"/>
  <c r="FW112" i="45"/>
  <c r="DV113" i="45"/>
  <c r="FH113" i="45"/>
  <c r="FR113" i="45"/>
  <c r="GB113" i="45"/>
  <c r="EA114" i="45"/>
  <c r="FE114" i="45"/>
  <c r="FZ114" i="45"/>
  <c r="DY115" i="45"/>
  <c r="FC115" i="45"/>
  <c r="FY115" i="45"/>
  <c r="DJ116" i="45"/>
  <c r="DV116" i="45"/>
  <c r="FI116" i="45"/>
  <c r="FU116" i="45"/>
  <c r="DR117" i="45"/>
  <c r="EB117" i="45"/>
  <c r="FC117" i="45"/>
  <c r="FY117" i="45"/>
  <c r="K122" i="45"/>
  <c r="FG122" i="45"/>
  <c r="FS122" i="45"/>
  <c r="GA122" i="45"/>
  <c r="K124" i="45"/>
  <c r="FA124" i="45"/>
  <c r="FI124" i="45"/>
  <c r="FU124" i="45"/>
  <c r="FF129" i="45"/>
  <c r="FR129" i="45"/>
  <c r="FZ129" i="45"/>
  <c r="AA101" i="43"/>
  <c r="V102" i="43"/>
  <c r="AD102" i="43"/>
  <c r="Y103" i="43"/>
  <c r="T104" i="43"/>
  <c r="AB104" i="43"/>
  <c r="W105" i="43"/>
  <c r="AE105" i="43"/>
  <c r="Z106" i="43"/>
  <c r="U107" i="43"/>
  <c r="AC107" i="43"/>
  <c r="X108" i="43"/>
  <c r="AF108" i="43"/>
  <c r="AA109" i="43"/>
  <c r="V110" i="43"/>
  <c r="AD110" i="43"/>
  <c r="Y111" i="43"/>
  <c r="T112" i="43"/>
  <c r="AB112" i="43"/>
  <c r="W113" i="43"/>
  <c r="AE113" i="43"/>
  <c r="Z114" i="43"/>
  <c r="U115" i="43"/>
  <c r="AC115" i="43"/>
  <c r="X116" i="43"/>
  <c r="AF116" i="43"/>
  <c r="AA117" i="43"/>
  <c r="V118" i="43"/>
  <c r="AD118" i="43"/>
  <c r="Y119" i="43"/>
  <c r="T120" i="43"/>
  <c r="AB120" i="43"/>
  <c r="W121" i="43"/>
  <c r="AE121" i="43"/>
  <c r="Z122" i="43"/>
  <c r="U123" i="43"/>
  <c r="AC123" i="43"/>
  <c r="X124" i="43"/>
  <c r="AF124" i="43"/>
  <c r="AA125" i="43"/>
  <c r="V126" i="43"/>
  <c r="AD126" i="43"/>
  <c r="Y127" i="43"/>
  <c r="T128" i="43"/>
  <c r="AB128" i="43"/>
  <c r="W129" i="43"/>
  <c r="AE129" i="43"/>
  <c r="Z130" i="43"/>
  <c r="U131" i="43"/>
  <c r="AC131" i="43"/>
  <c r="X132" i="43"/>
  <c r="AF132" i="43"/>
  <c r="AA133" i="43"/>
  <c r="V134" i="43"/>
  <c r="AD134" i="43"/>
  <c r="Y135" i="43"/>
  <c r="T136" i="43"/>
  <c r="AB136" i="43"/>
  <c r="W137" i="43"/>
  <c r="AE137" i="43"/>
  <c r="Z138" i="43"/>
  <c r="U139" i="43"/>
  <c r="AC139" i="43"/>
  <c r="X140" i="43"/>
  <c r="AF140" i="43"/>
  <c r="AA141" i="43"/>
  <c r="V142" i="43"/>
  <c r="AD142" i="43"/>
  <c r="Y143" i="43"/>
  <c r="T144" i="43"/>
  <c r="AB144" i="43"/>
  <c r="W145" i="43"/>
  <c r="AE145" i="43"/>
  <c r="Z146" i="43"/>
  <c r="U147" i="43"/>
  <c r="AC147" i="43"/>
  <c r="X148" i="43"/>
  <c r="AF148" i="43"/>
  <c r="AA149" i="43"/>
  <c r="V150" i="43"/>
  <c r="AD150" i="43"/>
  <c r="Y151" i="43"/>
  <c r="T152" i="43"/>
  <c r="AB152" i="43"/>
  <c r="W153" i="43"/>
  <c r="AE153" i="43"/>
  <c r="Z154" i="43"/>
  <c r="U155" i="43"/>
  <c r="AC155" i="43"/>
  <c r="X156" i="43"/>
  <c r="AF156" i="43"/>
  <c r="AA157" i="43"/>
  <c r="V158" i="43"/>
  <c r="AD158" i="43"/>
  <c r="Y159" i="43"/>
  <c r="T160" i="43"/>
  <c r="AB160" i="43"/>
  <c r="W161" i="43"/>
  <c r="AE161" i="43"/>
  <c r="Z162" i="43"/>
  <c r="U163" i="43"/>
  <c r="AC163" i="43"/>
  <c r="X164" i="43"/>
  <c r="AF164" i="43"/>
  <c r="AA165" i="43"/>
  <c r="V166" i="43"/>
  <c r="AD166" i="43"/>
  <c r="Y167" i="43"/>
  <c r="T168" i="43"/>
  <c r="AB168" i="43"/>
  <c r="W169" i="43"/>
  <c r="AE169" i="43"/>
  <c r="Z170" i="43"/>
  <c r="U171" i="43"/>
  <c r="AC171" i="43"/>
  <c r="X172" i="43"/>
  <c r="AF172" i="43"/>
  <c r="AA173" i="43"/>
  <c r="V174" i="43"/>
  <c r="AD174" i="43"/>
  <c r="AF170" i="43"/>
  <c r="AA171" i="43"/>
  <c r="V172" i="43"/>
  <c r="AD172" i="43"/>
  <c r="Z168" i="43"/>
  <c r="Y173" i="43"/>
  <c r="U169" i="43"/>
  <c r="T174" i="43"/>
  <c r="AC169" i="43"/>
  <c r="AB174" i="43"/>
  <c r="X170" i="43"/>
  <c r="U91" i="61" l="1"/>
  <c r="T91" i="61"/>
  <c r="U92" i="61"/>
  <c r="T92" i="61"/>
  <c r="U67" i="61"/>
  <c r="T66" i="61"/>
  <c r="X66" i="61" s="1"/>
  <c r="Y66" i="61" s="1"/>
  <c r="V16" i="61"/>
  <c r="Z71" i="61"/>
  <c r="AA71" i="61" s="1"/>
  <c r="Z98" i="61"/>
  <c r="AA98" i="61" s="1"/>
  <c r="X14" i="61"/>
  <c r="Y14" i="61" s="1"/>
  <c r="V98" i="61"/>
  <c r="U26" i="61"/>
  <c r="Z15" i="61"/>
  <c r="AA15" i="61" s="1"/>
  <c r="X101" i="61"/>
  <c r="Y101" i="61" s="1"/>
  <c r="X15" i="61"/>
  <c r="Y15" i="61" s="1"/>
  <c r="Z102" i="61"/>
  <c r="AA102" i="61" s="1"/>
  <c r="Z55" i="61"/>
  <c r="AA55" i="61" s="1"/>
  <c r="X49" i="61"/>
  <c r="Y49" i="61" s="1"/>
  <c r="V15" i="61"/>
  <c r="Z50" i="61"/>
  <c r="AA50" i="61" s="1"/>
  <c r="Z47" i="61"/>
  <c r="AA47" i="61" s="1"/>
  <c r="Z78" i="61"/>
  <c r="AA78" i="61" s="1"/>
  <c r="Z51" i="61"/>
  <c r="AA51" i="61" s="1"/>
  <c r="V50" i="61"/>
  <c r="V47" i="61"/>
  <c r="T90" i="61"/>
  <c r="CM33" i="60" s="1"/>
  <c r="Z72" i="61"/>
  <c r="AA72" i="61" s="1"/>
  <c r="Z45" i="61"/>
  <c r="AA45" i="61" s="1"/>
  <c r="X26" i="61"/>
  <c r="Y26" i="61" s="1"/>
  <c r="AM3" i="60"/>
  <c r="CS5" i="60"/>
  <c r="CT3" i="60"/>
  <c r="R78" i="45"/>
  <c r="W3" i="60"/>
  <c r="DE115" i="45"/>
  <c r="AU3" i="60"/>
  <c r="BS3" i="60"/>
  <c r="AY3" i="60"/>
  <c r="O3" i="60"/>
  <c r="R114" i="45"/>
  <c r="S47" i="60"/>
  <c r="Q27" i="45" s="1"/>
  <c r="AE14" i="60"/>
  <c r="G14" i="60"/>
  <c r="L13" i="60"/>
  <c r="L46" i="60" s="1"/>
  <c r="P20" i="45" s="1"/>
  <c r="DG20" i="45" s="1"/>
  <c r="ES20" i="45" s="1"/>
  <c r="CZ11" i="60"/>
  <c r="BW10" i="60"/>
  <c r="AE10" i="60"/>
  <c r="CZ9" i="60"/>
  <c r="BH8" i="60"/>
  <c r="AT8" i="60"/>
  <c r="G8" i="60"/>
  <c r="CK7" i="60"/>
  <c r="BC7" i="60"/>
  <c r="CM5" i="60"/>
  <c r="BH5" i="60"/>
  <c r="CS4" i="60"/>
  <c r="CY3" i="60"/>
  <c r="CE3" i="60"/>
  <c r="AI3" i="60"/>
  <c r="K3" i="60"/>
  <c r="AS44" i="60"/>
  <c r="N53" i="45" s="1"/>
  <c r="N42" i="60"/>
  <c r="L22" i="45" s="1"/>
  <c r="AT14" i="60"/>
  <c r="BW13" i="60"/>
  <c r="AJ13" i="60"/>
  <c r="CS12" i="60"/>
  <c r="BC12" i="60"/>
  <c r="CF11" i="60"/>
  <c r="AT11" i="60"/>
  <c r="G11" i="60"/>
  <c r="CK10" i="60"/>
  <c r="BH10" i="60"/>
  <c r="AT10" i="60"/>
  <c r="AJ9" i="60"/>
  <c r="BW8" i="60"/>
  <c r="AE8" i="60"/>
  <c r="BR7" i="60"/>
  <c r="CS6" i="60"/>
  <c r="BW4" i="60"/>
  <c r="CN3" i="60"/>
  <c r="CI3" i="60"/>
  <c r="BZ3" i="60"/>
  <c r="CZ21" i="45"/>
  <c r="EL21" i="45" s="1"/>
  <c r="BR14" i="60"/>
  <c r="AT13" i="60"/>
  <c r="CS11" i="60"/>
  <c r="BR11" i="60"/>
  <c r="BC11" i="60"/>
  <c r="CS9" i="60"/>
  <c r="AT9" i="60"/>
  <c r="G9" i="60"/>
  <c r="AJ7" i="60"/>
  <c r="U6" i="60"/>
  <c r="CK5" i="60"/>
  <c r="BR5" i="60"/>
  <c r="BC5" i="60"/>
  <c r="BC4" i="60"/>
  <c r="S3" i="60"/>
  <c r="R115" i="45"/>
  <c r="AM46" i="60"/>
  <c r="P47" i="45" s="1"/>
  <c r="CS14" i="60"/>
  <c r="BC14" i="60"/>
  <c r="BC13" i="60"/>
  <c r="U13" i="60"/>
  <c r="G13" i="60"/>
  <c r="BR10" i="60"/>
  <c r="BC8" i="60"/>
  <c r="CZ7" i="60"/>
  <c r="AT6" i="60"/>
  <c r="CI5" i="60"/>
  <c r="U5" i="60"/>
  <c r="CF4" i="60"/>
  <c r="CF37" i="60" s="1"/>
  <c r="G92" i="45" s="1"/>
  <c r="G4" i="60"/>
  <c r="BO3" i="60"/>
  <c r="BJ3" i="60"/>
  <c r="AQ3" i="60"/>
  <c r="D4" i="60"/>
  <c r="D3" i="60"/>
  <c r="D5" i="60"/>
  <c r="DH117" i="45"/>
  <c r="CZ117" i="45"/>
  <c r="DC115" i="45"/>
  <c r="DG92" i="45"/>
  <c r="ES92" i="45" s="1"/>
  <c r="DB79" i="45"/>
  <c r="EN79" i="45" s="1"/>
  <c r="CW78" i="45"/>
  <c r="EI78" i="45" s="1"/>
  <c r="BR13" i="60"/>
  <c r="CK12" i="60"/>
  <c r="CZ10" i="60"/>
  <c r="CK9" i="60"/>
  <c r="BW9" i="60"/>
  <c r="CF8" i="60"/>
  <c r="CF41" i="60" s="1"/>
  <c r="K92" i="45" s="1"/>
  <c r="BR8" i="60"/>
  <c r="BW6" i="60"/>
  <c r="BC6" i="60"/>
  <c r="AE6" i="60"/>
  <c r="G5" i="60"/>
  <c r="BR4" i="60"/>
  <c r="DG117" i="45"/>
  <c r="DC116" i="45"/>
  <c r="DB115" i="45"/>
  <c r="CS13" i="60"/>
  <c r="CF13" i="60"/>
  <c r="U12" i="60"/>
  <c r="BM11" i="60"/>
  <c r="CZ8" i="60"/>
  <c r="L8" i="60"/>
  <c r="L41" i="60" s="1"/>
  <c r="K20" i="45" s="1"/>
  <c r="DB20" i="45" s="1"/>
  <c r="EN20" i="45" s="1"/>
  <c r="BH7" i="60"/>
  <c r="AT7" i="60"/>
  <c r="G7" i="60"/>
  <c r="CZ5" i="60"/>
  <c r="R116" i="45"/>
  <c r="DF114" i="45"/>
  <c r="CX114" i="45"/>
  <c r="DE84" i="45"/>
  <c r="EQ84" i="45" s="1"/>
  <c r="CW84" i="45"/>
  <c r="EI84" i="45" s="1"/>
  <c r="R79" i="45"/>
  <c r="CZ12" i="60"/>
  <c r="G12" i="60"/>
  <c r="L11" i="60"/>
  <c r="L44" i="60" s="1"/>
  <c r="N20" i="45" s="1"/>
  <c r="DE20" i="45" s="1"/>
  <c r="EQ20" i="45" s="1"/>
  <c r="CS10" i="60"/>
  <c r="U10" i="60"/>
  <c r="G10" i="60"/>
  <c r="BR9" i="60"/>
  <c r="BC9" i="60"/>
  <c r="U8" i="60"/>
  <c r="CS7" i="60"/>
  <c r="CY5" i="60"/>
  <c r="AT4" i="60"/>
  <c r="AE4" i="60"/>
  <c r="CZ3" i="60"/>
  <c r="BW3" i="60"/>
  <c r="BH3" i="60"/>
  <c r="BC3" i="60"/>
  <c r="G3" i="60"/>
  <c r="Z101" i="61"/>
  <c r="AA101" i="61" s="1"/>
  <c r="X98" i="61"/>
  <c r="Y98" i="61" s="1"/>
  <c r="X50" i="61"/>
  <c r="Y50" i="61" s="1"/>
  <c r="X46" i="61"/>
  <c r="Y46" i="61" s="1"/>
  <c r="AY47" i="60"/>
  <c r="Q59" i="45" s="1"/>
  <c r="T28" i="61"/>
  <c r="Z28" i="61" s="1"/>
  <c r="AA28" i="61" s="1"/>
  <c r="X22" i="61"/>
  <c r="Y22" i="61" s="1"/>
  <c r="AY38" i="60"/>
  <c r="H59" i="45" s="1"/>
  <c r="Z81" i="61"/>
  <c r="AA81" i="61" s="1"/>
  <c r="Z56" i="61"/>
  <c r="AA56" i="61" s="1"/>
  <c r="X55" i="61"/>
  <c r="Y55" i="61" s="1"/>
  <c r="V48" i="61"/>
  <c r="Z44" i="61"/>
  <c r="AA44" i="61" s="1"/>
  <c r="V32" i="61"/>
  <c r="T29" i="61"/>
  <c r="AD33" i="60" s="1"/>
  <c r="Z7" i="61"/>
  <c r="AA7" i="61" s="1"/>
  <c r="BD33" i="60"/>
  <c r="BD42" i="60" s="1"/>
  <c r="L64" i="45" s="1"/>
  <c r="X72" i="61"/>
  <c r="Y72" i="61" s="1"/>
  <c r="X71" i="61"/>
  <c r="Y71" i="61" s="1"/>
  <c r="V44" i="61"/>
  <c r="U108" i="61"/>
  <c r="X4" i="61"/>
  <c r="Y4" i="61" s="1"/>
  <c r="V33" i="60"/>
  <c r="V43" i="60" s="1"/>
  <c r="M30" i="45" s="1"/>
  <c r="V72" i="61"/>
  <c r="V71" i="61"/>
  <c r="Z64" i="61"/>
  <c r="AA64" i="61" s="1"/>
  <c r="Z42" i="61"/>
  <c r="AA42" i="61" s="1"/>
  <c r="AY46" i="60"/>
  <c r="P59" i="45" s="1"/>
  <c r="AY41" i="60"/>
  <c r="K59" i="45" s="1"/>
  <c r="AG43" i="60"/>
  <c r="M41" i="45" s="1"/>
  <c r="X42" i="61"/>
  <c r="Y42" i="61" s="1"/>
  <c r="X13" i="61"/>
  <c r="Y13" i="61" s="1"/>
  <c r="AG41" i="60"/>
  <c r="K41" i="45" s="1"/>
  <c r="Z46" i="61"/>
  <c r="AA46" i="61" s="1"/>
  <c r="V42" i="61"/>
  <c r="Z17" i="61"/>
  <c r="AA17" i="61" s="1"/>
  <c r="X61" i="61"/>
  <c r="Y61" i="61" s="1"/>
  <c r="Z61" i="61"/>
  <c r="AA61" i="61" s="1"/>
  <c r="U89" i="61"/>
  <c r="Z79" i="61"/>
  <c r="AA79" i="61" s="1"/>
  <c r="Z76" i="61"/>
  <c r="AA76" i="61" s="1"/>
  <c r="Z57" i="61"/>
  <c r="AA57" i="61" s="1"/>
  <c r="V23" i="61"/>
  <c r="V19" i="61"/>
  <c r="X18" i="61"/>
  <c r="Y18" i="61" s="1"/>
  <c r="AH44" i="60"/>
  <c r="N42" i="45" s="1"/>
  <c r="AU33" i="60"/>
  <c r="AU37" i="60" s="1"/>
  <c r="G55" i="45" s="1"/>
  <c r="AG93" i="61"/>
  <c r="X47" i="61"/>
  <c r="Y47" i="61" s="1"/>
  <c r="X44" i="61"/>
  <c r="Y44" i="61" s="1"/>
  <c r="X38" i="61"/>
  <c r="Y38" i="61" s="1"/>
  <c r="X33" i="61"/>
  <c r="Y33" i="61" s="1"/>
  <c r="X32" i="61"/>
  <c r="Y32" i="61" s="1"/>
  <c r="X20" i="61"/>
  <c r="Y20" i="61" s="1"/>
  <c r="V18" i="61"/>
  <c r="Z13" i="61"/>
  <c r="AA13" i="61" s="1"/>
  <c r="S44" i="60"/>
  <c r="N27" i="45" s="1"/>
  <c r="DE27" i="45" s="1"/>
  <c r="AK33" i="60"/>
  <c r="AK42" i="60" s="1"/>
  <c r="L45" i="45" s="1"/>
  <c r="AG44" i="60"/>
  <c r="N41" i="45" s="1"/>
  <c r="AF93" i="61"/>
  <c r="S45" i="60"/>
  <c r="O27" i="45" s="1"/>
  <c r="DF27" i="45" s="1"/>
  <c r="S40" i="60"/>
  <c r="J27" i="45" s="1"/>
  <c r="AG39" i="60"/>
  <c r="I41" i="45" s="1"/>
  <c r="Z97" i="61"/>
  <c r="AA97" i="61" s="1"/>
  <c r="Z80" i="61"/>
  <c r="AA80" i="61" s="1"/>
  <c r="U61" i="61"/>
  <c r="T33" i="60"/>
  <c r="T40" i="60" s="1"/>
  <c r="J28" i="45" s="1"/>
  <c r="V92" i="61"/>
  <c r="X34" i="61"/>
  <c r="Y34" i="61" s="1"/>
  <c r="X21" i="61"/>
  <c r="Y21" i="61" s="1"/>
  <c r="Z16" i="61"/>
  <c r="AA16" i="61" s="1"/>
  <c r="V13" i="61"/>
  <c r="Q33" i="60"/>
  <c r="Q47" i="60" s="1"/>
  <c r="Q25" i="45" s="1"/>
  <c r="T87" i="61"/>
  <c r="Z87" i="61" s="1"/>
  <c r="AA87" i="61" s="1"/>
  <c r="Z19" i="61"/>
  <c r="AA19" i="61" s="1"/>
  <c r="Z18" i="61"/>
  <c r="AA18" i="61" s="1"/>
  <c r="U63" i="61"/>
  <c r="X35" i="61"/>
  <c r="Y35" i="61" s="1"/>
  <c r="Z32" i="61"/>
  <c r="AA32" i="61" s="1"/>
  <c r="V26" i="61"/>
  <c r="V22" i="61"/>
  <c r="AD205" i="43"/>
  <c r="V205" i="43"/>
  <c r="FU125" i="45"/>
  <c r="FI125" i="45"/>
  <c r="FA125" i="45"/>
  <c r="ED117" i="45"/>
  <c r="Z111" i="45"/>
  <c r="AC205" i="43"/>
  <c r="U205" i="43"/>
  <c r="GB125" i="45"/>
  <c r="FT125" i="45"/>
  <c r="FH125" i="45"/>
  <c r="EZ125" i="45"/>
  <c r="FZ123" i="45"/>
  <c r="AE111" i="45"/>
  <c r="AA110" i="45"/>
  <c r="AB205" i="43"/>
  <c r="GA125" i="45"/>
  <c r="FS125" i="45"/>
  <c r="FG125" i="45"/>
  <c r="ED111" i="45"/>
  <c r="AA205" i="43"/>
  <c r="FW130" i="45"/>
  <c r="FZ125" i="45"/>
  <c r="FR125" i="45"/>
  <c r="FF125" i="45"/>
  <c r="AD111" i="45"/>
  <c r="AF111" i="45" s="1"/>
  <c r="AG111" i="45" s="1"/>
  <c r="AH111" i="45" s="1"/>
  <c r="AI111" i="45" s="1"/>
  <c r="AJ111" i="45" s="1"/>
  <c r="Z205" i="43"/>
  <c r="FY125" i="45"/>
  <c r="FQ125" i="45"/>
  <c r="FE125" i="45"/>
  <c r="FW123" i="45"/>
  <c r="ED113" i="45"/>
  <c r="AE108" i="45"/>
  <c r="Y205" i="43"/>
  <c r="FX125" i="45"/>
  <c r="FD125" i="45"/>
  <c r="ED115" i="45"/>
  <c r="AE110" i="45"/>
  <c r="ED109" i="45"/>
  <c r="AA108" i="45"/>
  <c r="AF205" i="43"/>
  <c r="X205" i="43"/>
  <c r="FW125" i="45"/>
  <c r="FK125" i="45"/>
  <c r="FC125" i="45"/>
  <c r="AA111" i="45"/>
  <c r="ED110" i="45"/>
  <c r="AE205" i="43"/>
  <c r="W205" i="43"/>
  <c r="FV125" i="45"/>
  <c r="FJ125" i="45"/>
  <c r="FB125" i="45"/>
  <c r="GB123" i="45"/>
  <c r="ED114" i="45"/>
  <c r="AB109" i="45"/>
  <c r="ED116" i="45"/>
  <c r="ED112" i="45"/>
  <c r="ED105" i="45"/>
  <c r="FX126" i="45"/>
  <c r="FK126" i="45"/>
  <c r="FC126" i="45"/>
  <c r="AD103" i="45"/>
  <c r="AF103" i="45" s="1"/>
  <c r="AG103" i="45" s="1"/>
  <c r="AH103" i="45" s="1"/>
  <c r="AI103" i="45" s="1"/>
  <c r="AJ103" i="45" s="1"/>
  <c r="Z103" i="45"/>
  <c r="ED101" i="45"/>
  <c r="AD101" i="45"/>
  <c r="Z101" i="45"/>
  <c r="AB100" i="45"/>
  <c r="AB99" i="45"/>
  <c r="AC97" i="45"/>
  <c r="Y97" i="45"/>
  <c r="ED94" i="45"/>
  <c r="AE93" i="45"/>
  <c r="AA93" i="45"/>
  <c r="ED91" i="45"/>
  <c r="AB91" i="45"/>
  <c r="Z87" i="45"/>
  <c r="AE86" i="45"/>
  <c r="Z86" i="45"/>
  <c r="AA85" i="45"/>
  <c r="Z84" i="45"/>
  <c r="AB111" i="45"/>
  <c r="AC110" i="45"/>
  <c r="Y110" i="45"/>
  <c r="AD109" i="45"/>
  <c r="Z109" i="45"/>
  <c r="AC108" i="45"/>
  <c r="Y108" i="45"/>
  <c r="AB107" i="45"/>
  <c r="AE106" i="45"/>
  <c r="AA106" i="45"/>
  <c r="AD105" i="45"/>
  <c r="Z105" i="45"/>
  <c r="FW126" i="45"/>
  <c r="FJ126" i="45"/>
  <c r="FB126" i="45"/>
  <c r="AD102" i="45"/>
  <c r="AF102" i="45" s="1"/>
  <c r="AG102" i="45" s="1"/>
  <c r="AH102" i="45" s="1"/>
  <c r="AI102" i="45" s="1"/>
  <c r="AJ102" i="45" s="1"/>
  <c r="Z102" i="45"/>
  <c r="AD98" i="45"/>
  <c r="Z98" i="45"/>
  <c r="ED96" i="45"/>
  <c r="AD96" i="45"/>
  <c r="Z96" i="45"/>
  <c r="AB95" i="45"/>
  <c r="AD94" i="45"/>
  <c r="Z94" i="45"/>
  <c r="AB92" i="45"/>
  <c r="AC90" i="45"/>
  <c r="Y90" i="45"/>
  <c r="AA89" i="45"/>
  <c r="AC88" i="45"/>
  <c r="AE83" i="45"/>
  <c r="Y83" i="45"/>
  <c r="ED106" i="45"/>
  <c r="FV126" i="45"/>
  <c r="FI126" i="45"/>
  <c r="FA126" i="45"/>
  <c r="ED103" i="45"/>
  <c r="AC103" i="45"/>
  <c r="Y103" i="45"/>
  <c r="AC101" i="45"/>
  <c r="Y101" i="45"/>
  <c r="AE100" i="45"/>
  <c r="AA100" i="45"/>
  <c r="AE99" i="45"/>
  <c r="AA99" i="45"/>
  <c r="AB97" i="45"/>
  <c r="AF97" i="45" s="1"/>
  <c r="AG97" i="45" s="1"/>
  <c r="AH97" i="45" s="1"/>
  <c r="AI97" i="45" s="1"/>
  <c r="AJ97" i="45" s="1"/>
  <c r="AD93" i="45"/>
  <c r="AF93" i="45" s="1"/>
  <c r="AG93" i="45" s="1"/>
  <c r="AH93" i="45" s="1"/>
  <c r="AI93" i="45" s="1"/>
  <c r="AJ93" i="45" s="1"/>
  <c r="Z93" i="45"/>
  <c r="AA91" i="45"/>
  <c r="ED90" i="45"/>
  <c r="ED89" i="45"/>
  <c r="AE87" i="45"/>
  <c r="Y87" i="45"/>
  <c r="AD86" i="45"/>
  <c r="AF86" i="45" s="1"/>
  <c r="AG86" i="45" s="1"/>
  <c r="AH86" i="45" s="1"/>
  <c r="AI86" i="45" s="1"/>
  <c r="AJ86" i="45" s="1"/>
  <c r="Y86" i="45"/>
  <c r="AE85" i="45"/>
  <c r="Z85" i="45"/>
  <c r="AD84" i="45"/>
  <c r="Y84" i="45"/>
  <c r="ED83" i="45"/>
  <c r="AD83" i="45"/>
  <c r="AF83" i="45" s="1"/>
  <c r="AG83" i="45" s="1"/>
  <c r="AH83" i="45" s="1"/>
  <c r="AI83" i="45" s="1"/>
  <c r="AJ83" i="45" s="1"/>
  <c r="ED82" i="45"/>
  <c r="AE82" i="45"/>
  <c r="AB110" i="45"/>
  <c r="AC109" i="45"/>
  <c r="Y109" i="45"/>
  <c r="AB108" i="45"/>
  <c r="AE107" i="45"/>
  <c r="AA107" i="45"/>
  <c r="AD106" i="45"/>
  <c r="Z106" i="45"/>
  <c r="AC105" i="45"/>
  <c r="Y105" i="45"/>
  <c r="FU126" i="45"/>
  <c r="FH126" i="45"/>
  <c r="EZ126" i="45"/>
  <c r="ED102" i="45"/>
  <c r="AC102" i="45"/>
  <c r="Y102" i="45"/>
  <c r="ED100" i="45"/>
  <c r="ED99" i="45"/>
  <c r="AC98" i="45"/>
  <c r="AF98" i="45" s="1"/>
  <c r="AG98" i="45" s="1"/>
  <c r="AH98" i="45" s="1"/>
  <c r="AI98" i="45" s="1"/>
  <c r="AJ98" i="45" s="1"/>
  <c r="Y98" i="45"/>
  <c r="AC96" i="45"/>
  <c r="AF96" i="45" s="1"/>
  <c r="AG96" i="45" s="1"/>
  <c r="AH96" i="45" s="1"/>
  <c r="Y96" i="45"/>
  <c r="AE95" i="45"/>
  <c r="AA95" i="45"/>
  <c r="AC94" i="45"/>
  <c r="Y94" i="45"/>
  <c r="AE92" i="45"/>
  <c r="AA92" i="45"/>
  <c r="AD91" i="45"/>
  <c r="AF91" i="45" s="1"/>
  <c r="AG91" i="45" s="1"/>
  <c r="AH91" i="45" s="1"/>
  <c r="AI91" i="45" s="1"/>
  <c r="AJ91" i="45" s="1"/>
  <c r="AB90" i="45"/>
  <c r="AE89" i="45"/>
  <c r="Z89" i="45"/>
  <c r="AA88" i="45"/>
  <c r="ED86" i="45"/>
  <c r="AC83" i="45"/>
  <c r="AC82" i="45"/>
  <c r="AB81" i="45"/>
  <c r="ED107" i="45"/>
  <c r="GB126" i="45"/>
  <c r="FT126" i="45"/>
  <c r="FG126" i="45"/>
  <c r="ED104" i="45"/>
  <c r="AB103" i="45"/>
  <c r="AB101" i="45"/>
  <c r="AD100" i="45"/>
  <c r="Z100" i="45"/>
  <c r="AD99" i="45"/>
  <c r="Z99" i="45"/>
  <c r="ED97" i="45"/>
  <c r="AE97" i="45"/>
  <c r="AA97" i="45"/>
  <c r="ED95" i="45"/>
  <c r="ED93" i="45"/>
  <c r="AC93" i="45"/>
  <c r="Y93" i="45"/>
  <c r="AE91" i="45"/>
  <c r="Z91" i="45"/>
  <c r="AC87" i="45"/>
  <c r="AD87" i="45"/>
  <c r="AF87" i="45" s="1"/>
  <c r="AG87" i="45" s="1"/>
  <c r="AH87" i="45" s="1"/>
  <c r="AI87" i="45" s="1"/>
  <c r="AJ87" i="45" s="1"/>
  <c r="AC86" i="45"/>
  <c r="AD85" i="45"/>
  <c r="AF85" i="45" s="1"/>
  <c r="AG85" i="45" s="1"/>
  <c r="AH85" i="45" s="1"/>
  <c r="AI85" i="45" s="1"/>
  <c r="AJ85" i="45" s="1"/>
  <c r="AC84" i="45"/>
  <c r="AB82" i="45"/>
  <c r="AD107" i="45"/>
  <c r="Z107" i="45"/>
  <c r="AC106" i="45"/>
  <c r="Y106" i="45"/>
  <c r="AB105" i="45"/>
  <c r="GA126" i="45"/>
  <c r="FS126" i="45"/>
  <c r="FF126" i="45"/>
  <c r="AB102" i="45"/>
  <c r="AB98" i="45"/>
  <c r="AB96" i="45"/>
  <c r="AD95" i="45"/>
  <c r="Z95" i="45"/>
  <c r="AB94" i="45"/>
  <c r="ED92" i="45"/>
  <c r="AD92" i="45"/>
  <c r="AF92" i="45" s="1"/>
  <c r="AG92" i="45" s="1"/>
  <c r="AH92" i="45" s="1"/>
  <c r="AI92" i="45" s="1"/>
  <c r="AJ92" i="45" s="1"/>
  <c r="Z92" i="45"/>
  <c r="AE90" i="45"/>
  <c r="AA90" i="45"/>
  <c r="AD89" i="45"/>
  <c r="AF89" i="45" s="1"/>
  <c r="AG89" i="45" s="1"/>
  <c r="AH89" i="45" s="1"/>
  <c r="AI89" i="45" s="1"/>
  <c r="AJ89" i="45" s="1"/>
  <c r="Y89" i="45"/>
  <c r="AE88" i="45"/>
  <c r="Z88" i="45"/>
  <c r="AA83" i="45"/>
  <c r="ED108" i="45"/>
  <c r="FZ126" i="45"/>
  <c r="FR126" i="45"/>
  <c r="FE126" i="45"/>
  <c r="AE103" i="45"/>
  <c r="AA103" i="45"/>
  <c r="AE101" i="45"/>
  <c r="AA101" i="45"/>
  <c r="AC100" i="45"/>
  <c r="Y100" i="45"/>
  <c r="AC99" i="45"/>
  <c r="AF99" i="45" s="1"/>
  <c r="AG99" i="45" s="1"/>
  <c r="AH99" i="45" s="1"/>
  <c r="AI99" i="45" s="1"/>
  <c r="AJ99" i="45" s="1"/>
  <c r="Y99" i="45"/>
  <c r="AD97" i="45"/>
  <c r="Z97" i="45"/>
  <c r="AB93" i="45"/>
  <c r="AC91" i="45"/>
  <c r="Y91" i="45"/>
  <c r="AA87" i="45"/>
  <c r="AA86" i="45"/>
  <c r="AB85" i="45"/>
  <c r="AA84" i="45"/>
  <c r="AA82" i="45"/>
  <c r="AC111" i="45"/>
  <c r="Y111" i="45"/>
  <c r="AD110" i="45"/>
  <c r="Z110" i="45"/>
  <c r="AE109" i="45"/>
  <c r="AA109" i="45"/>
  <c r="AD108" i="45"/>
  <c r="Z108" i="45"/>
  <c r="AC107" i="45"/>
  <c r="Y107" i="45"/>
  <c r="AB106" i="45"/>
  <c r="AE105" i="45"/>
  <c r="AA105" i="45"/>
  <c r="FY126" i="45"/>
  <c r="FQ126" i="45"/>
  <c r="FD126" i="45"/>
  <c r="AE102" i="45"/>
  <c r="AA102" i="45"/>
  <c r="ED98" i="45"/>
  <c r="AE98" i="45"/>
  <c r="AA98" i="45"/>
  <c r="AE96" i="45"/>
  <c r="AA96" i="45"/>
  <c r="AC95" i="45"/>
  <c r="Y95" i="45"/>
  <c r="AE94" i="45"/>
  <c r="AA94" i="45"/>
  <c r="AC92" i="45"/>
  <c r="Y92" i="45"/>
  <c r="AD90" i="45"/>
  <c r="AF90" i="45" s="1"/>
  <c r="AG90" i="45" s="1"/>
  <c r="AH90" i="45" s="1"/>
  <c r="AI90" i="45" s="1"/>
  <c r="AJ90" i="45" s="1"/>
  <c r="Z90" i="45"/>
  <c r="AC89" i="45"/>
  <c r="ED88" i="45"/>
  <c r="AD88" i="45"/>
  <c r="Y88" i="45"/>
  <c r="Z83" i="45"/>
  <c r="Y82" i="45"/>
  <c r="AB89" i="45"/>
  <c r="ED87" i="45"/>
  <c r="AB87" i="45"/>
  <c r="ED85" i="45"/>
  <c r="AC85" i="45"/>
  <c r="Y85" i="45"/>
  <c r="AB84" i="45"/>
  <c r="AD82" i="45"/>
  <c r="AF82" i="45" s="1"/>
  <c r="AG82" i="45" s="1"/>
  <c r="AH82" i="45" s="1"/>
  <c r="AI82" i="45" s="1"/>
  <c r="AJ82" i="45" s="1"/>
  <c r="Z82" i="45"/>
  <c r="AE80" i="45"/>
  <c r="AA80" i="45"/>
  <c r="ED78" i="45"/>
  <c r="AD78" i="45"/>
  <c r="AF78" i="45" s="1"/>
  <c r="Z78" i="45"/>
  <c r="AD77" i="45"/>
  <c r="AF77" i="45" s="1"/>
  <c r="AG77" i="45" s="1"/>
  <c r="AH77" i="45" s="1"/>
  <c r="AI77" i="45" s="1"/>
  <c r="AJ77" i="45" s="1"/>
  <c r="AA76" i="45"/>
  <c r="ED75" i="45"/>
  <c r="AE75" i="45"/>
  <c r="AA75" i="45"/>
  <c r="AB73" i="45"/>
  <c r="AC71" i="45"/>
  <c r="Y71" i="45"/>
  <c r="ED69" i="45"/>
  <c r="AA69" i="45"/>
  <c r="AB66" i="45"/>
  <c r="AC65" i="45"/>
  <c r="AD64" i="45"/>
  <c r="AF64" i="45" s="1"/>
  <c r="AG64" i="45" s="1"/>
  <c r="AH64" i="45" s="1"/>
  <c r="AI64" i="45" s="1"/>
  <c r="AJ64" i="45" s="1"/>
  <c r="Y64" i="45"/>
  <c r="AD61" i="45"/>
  <c r="AF61" i="45" s="1"/>
  <c r="AG61" i="45" s="1"/>
  <c r="AH61" i="45" s="1"/>
  <c r="AI61" i="45" s="1"/>
  <c r="AJ61" i="45" s="1"/>
  <c r="AB88" i="45"/>
  <c r="AF88" i="45" s="1"/>
  <c r="AG88" i="45" s="1"/>
  <c r="AH88" i="45" s="1"/>
  <c r="AI88" i="45" s="1"/>
  <c r="AJ88" i="45" s="1"/>
  <c r="AB86" i="45"/>
  <c r="ED84" i="45"/>
  <c r="AB83" i="45"/>
  <c r="AD81" i="45"/>
  <c r="AF81" i="45" s="1"/>
  <c r="AG81" i="45" s="1"/>
  <c r="AH81" i="45" s="1"/>
  <c r="AI81" i="45" s="1"/>
  <c r="AJ81" i="45" s="1"/>
  <c r="Z81" i="45"/>
  <c r="AB79" i="45"/>
  <c r="AE77" i="45"/>
  <c r="Z77" i="45"/>
  <c r="AD76" i="45"/>
  <c r="AF76" i="45" s="1"/>
  <c r="AG76" i="45" s="1"/>
  <c r="AH76" i="45" s="1"/>
  <c r="AI76" i="45" s="1"/>
  <c r="AJ76" i="45" s="1"/>
  <c r="AE74" i="45"/>
  <c r="AA74" i="45"/>
  <c r="AB72" i="45"/>
  <c r="AD70" i="45"/>
  <c r="AF70" i="45" s="1"/>
  <c r="AG70" i="45" s="1"/>
  <c r="AH70" i="45" s="1"/>
  <c r="AI70" i="45" s="1"/>
  <c r="AJ70" i="45" s="1"/>
  <c r="Z70" i="45"/>
  <c r="AD69" i="45"/>
  <c r="AF69" i="45" s="1"/>
  <c r="AG69" i="45" s="1"/>
  <c r="AH69" i="45" s="1"/>
  <c r="AI69" i="45" s="1"/>
  <c r="AJ69" i="45" s="1"/>
  <c r="AB68" i="45"/>
  <c r="AB67" i="45"/>
  <c r="ED63" i="45"/>
  <c r="Z63" i="45"/>
  <c r="AA62" i="45"/>
  <c r="AE60" i="45"/>
  <c r="AD80" i="45"/>
  <c r="AF80" i="45" s="1"/>
  <c r="AG80" i="45" s="1"/>
  <c r="AH80" i="45" s="1"/>
  <c r="AI80" i="45" s="1"/>
  <c r="AJ80" i="45" s="1"/>
  <c r="Z80" i="45"/>
  <c r="AC78" i="45"/>
  <c r="Y78" i="45"/>
  <c r="AE76" i="45"/>
  <c r="Z76" i="45"/>
  <c r="AD75" i="45"/>
  <c r="AF75" i="45" s="1"/>
  <c r="AG75" i="45" s="1"/>
  <c r="AH75" i="45" s="1"/>
  <c r="AI75" i="45" s="1"/>
  <c r="AJ75" i="45" s="1"/>
  <c r="Z75" i="45"/>
  <c r="AE73" i="45"/>
  <c r="AA73" i="45"/>
  <c r="AB71" i="45"/>
  <c r="AE69" i="45"/>
  <c r="Z69" i="45"/>
  <c r="AA66" i="45"/>
  <c r="AB65" i="45"/>
  <c r="AC64" i="45"/>
  <c r="AC60" i="45"/>
  <c r="AE57" i="45"/>
  <c r="ED81" i="45"/>
  <c r="AC81" i="45"/>
  <c r="Y81" i="45"/>
  <c r="AE79" i="45"/>
  <c r="AA79" i="45"/>
  <c r="AC77" i="45"/>
  <c r="Y77" i="45"/>
  <c r="AD74" i="45"/>
  <c r="AF74" i="45" s="1"/>
  <c r="AG74" i="45" s="1"/>
  <c r="AH74" i="45" s="1"/>
  <c r="AI74" i="45" s="1"/>
  <c r="AJ74" i="45" s="1"/>
  <c r="Z74" i="45"/>
  <c r="AE72" i="45"/>
  <c r="AA72" i="45"/>
  <c r="ED70" i="45"/>
  <c r="AC70" i="45"/>
  <c r="Y70" i="45"/>
  <c r="AE68" i="45"/>
  <c r="AA68" i="45"/>
  <c r="AE67" i="45"/>
  <c r="AA67" i="45"/>
  <c r="AD63" i="45"/>
  <c r="AF63" i="45" s="1"/>
  <c r="AG63" i="45" s="1"/>
  <c r="AH63" i="45" s="1"/>
  <c r="AI63" i="45" s="1"/>
  <c r="AJ63" i="45" s="1"/>
  <c r="Y63" i="45"/>
  <c r="AE62" i="45"/>
  <c r="Z62" i="45"/>
  <c r="AE61" i="45"/>
  <c r="AB60" i="45"/>
  <c r="AA57" i="45"/>
  <c r="ED80" i="45"/>
  <c r="AC80" i="45"/>
  <c r="Y80" i="45"/>
  <c r="AB78" i="45"/>
  <c r="AC76" i="45"/>
  <c r="Y76" i="45"/>
  <c r="AC75" i="45"/>
  <c r="Y75" i="45"/>
  <c r="AD73" i="45"/>
  <c r="AF73" i="45" s="1"/>
  <c r="AG73" i="45" s="1"/>
  <c r="AH73" i="45" s="1"/>
  <c r="AI73" i="45" s="1"/>
  <c r="AJ73" i="45" s="1"/>
  <c r="Z73" i="45"/>
  <c r="ED71" i="45"/>
  <c r="AA71" i="45"/>
  <c r="AC69" i="45"/>
  <c r="Y69" i="45"/>
  <c r="ED66" i="45"/>
  <c r="Z66" i="45"/>
  <c r="AD66" i="45"/>
  <c r="AF66" i="45" s="1"/>
  <c r="AG66" i="45" s="1"/>
  <c r="AH66" i="45" s="1"/>
  <c r="AI66" i="45" s="1"/>
  <c r="AJ66" i="45" s="1"/>
  <c r="AA65" i="45"/>
  <c r="AB64" i="45"/>
  <c r="ED62" i="45"/>
  <c r="AE58" i="45"/>
  <c r="ED79" i="45"/>
  <c r="AD79" i="45"/>
  <c r="AF79" i="45" s="1"/>
  <c r="Z79" i="45"/>
  <c r="AB77" i="45"/>
  <c r="ED74" i="45"/>
  <c r="AC74" i="45"/>
  <c r="Y74" i="45"/>
  <c r="AD72" i="45"/>
  <c r="AF72" i="45" s="1"/>
  <c r="AG72" i="45" s="1"/>
  <c r="AH72" i="45" s="1"/>
  <c r="AI72" i="45" s="1"/>
  <c r="AJ72" i="45" s="1"/>
  <c r="Z72" i="45"/>
  <c r="AD71" i="45"/>
  <c r="AF71" i="45" s="1"/>
  <c r="AG71" i="45" s="1"/>
  <c r="AH71" i="45" s="1"/>
  <c r="AI71" i="45" s="1"/>
  <c r="AJ71" i="45" s="1"/>
  <c r="AB70" i="45"/>
  <c r="AD68" i="45"/>
  <c r="AF68" i="45" s="1"/>
  <c r="AG68" i="45" s="1"/>
  <c r="AH68" i="45" s="1"/>
  <c r="AI68" i="45" s="1"/>
  <c r="AJ68" i="45" s="1"/>
  <c r="Z68" i="45"/>
  <c r="AD67" i="45"/>
  <c r="AF67" i="45" s="1"/>
  <c r="AG67" i="45" s="1"/>
  <c r="AH67" i="45" s="1"/>
  <c r="AI67" i="45" s="1"/>
  <c r="AJ67" i="45" s="1"/>
  <c r="Z67" i="45"/>
  <c r="AE66" i="45"/>
  <c r="AC63" i="45"/>
  <c r="AD62" i="45"/>
  <c r="AF62" i="45" s="1"/>
  <c r="AG62" i="45" s="1"/>
  <c r="AH62" i="45" s="1"/>
  <c r="AI62" i="45" s="1"/>
  <c r="AJ62" i="45" s="1"/>
  <c r="Y62" i="45"/>
  <c r="AA60" i="45"/>
  <c r="AB80" i="45"/>
  <c r="AE78" i="45"/>
  <c r="AA78" i="45"/>
  <c r="ED76" i="45"/>
  <c r="AB76" i="45"/>
  <c r="AB75" i="45"/>
  <c r="ED73" i="45"/>
  <c r="AC73" i="45"/>
  <c r="Y73" i="45"/>
  <c r="AE71" i="45"/>
  <c r="Z71" i="45"/>
  <c r="AB69" i="45"/>
  <c r="ED65" i="45"/>
  <c r="AE65" i="45"/>
  <c r="Y65" i="45"/>
  <c r="Z64" i="45"/>
  <c r="Y60" i="45"/>
  <c r="AB59" i="45"/>
  <c r="Z58" i="45"/>
  <c r="AE81" i="45"/>
  <c r="AA81" i="45"/>
  <c r="AC79" i="45"/>
  <c r="Y79" i="45"/>
  <c r="ED77" i="45"/>
  <c r="AA77" i="45"/>
  <c r="AB74" i="45"/>
  <c r="ED72" i="45"/>
  <c r="AC72" i="45"/>
  <c r="Y72" i="45"/>
  <c r="AE70" i="45"/>
  <c r="AA70" i="45"/>
  <c r="ED68" i="45"/>
  <c r="AC68" i="45"/>
  <c r="Y68" i="45"/>
  <c r="ED67" i="45"/>
  <c r="AC67" i="45"/>
  <c r="Y67" i="45"/>
  <c r="ED64" i="45"/>
  <c r="AB63" i="45"/>
  <c r="AC62" i="45"/>
  <c r="Z61" i="45"/>
  <c r="ED60" i="45"/>
  <c r="AC66" i="45"/>
  <c r="Y66" i="45"/>
  <c r="AE64" i="45"/>
  <c r="AA64" i="45"/>
  <c r="AB62" i="45"/>
  <c r="AD60" i="45"/>
  <c r="AF60" i="45" s="1"/>
  <c r="AG60" i="45" s="1"/>
  <c r="AH60" i="45" s="1"/>
  <c r="AI60" i="45" s="1"/>
  <c r="AJ60" i="45" s="1"/>
  <c r="Z60" i="45"/>
  <c r="AC59" i="45"/>
  <c r="AF59" i="45" s="1"/>
  <c r="AG59" i="45" s="1"/>
  <c r="AH59" i="45" s="1"/>
  <c r="AI59" i="45" s="1"/>
  <c r="AJ59" i="45" s="1"/>
  <c r="AD56" i="45"/>
  <c r="AF56" i="45" s="1"/>
  <c r="AG56" i="45" s="1"/>
  <c r="AH56" i="45" s="1"/>
  <c r="AI56" i="45" s="1"/>
  <c r="AJ56" i="45" s="1"/>
  <c r="Z56" i="45"/>
  <c r="AE55" i="45"/>
  <c r="AF55" i="45" s="1"/>
  <c r="AG55" i="45" s="1"/>
  <c r="AH55" i="45" s="1"/>
  <c r="AI55" i="45" s="1"/>
  <c r="AJ55" i="45" s="1"/>
  <c r="AD52" i="45"/>
  <c r="AF52" i="45" s="1"/>
  <c r="AG52" i="45" s="1"/>
  <c r="AH52" i="45" s="1"/>
  <c r="AI52" i="45" s="1"/>
  <c r="AJ52" i="45" s="1"/>
  <c r="Z52" i="45"/>
  <c r="ED45" i="45"/>
  <c r="ED43" i="45"/>
  <c r="Y43" i="45"/>
  <c r="Y42" i="45"/>
  <c r="AD65" i="45"/>
  <c r="AF65" i="45" s="1"/>
  <c r="AG65" i="45" s="1"/>
  <c r="AH65" i="45" s="1"/>
  <c r="AI65" i="45" s="1"/>
  <c r="AJ65" i="45" s="1"/>
  <c r="Z65" i="45"/>
  <c r="AE63" i="45"/>
  <c r="AA63" i="45"/>
  <c r="AB61" i="45"/>
  <c r="AE59" i="45"/>
  <c r="Z59" i="45"/>
  <c r="AB58" i="45"/>
  <c r="ED57" i="45"/>
  <c r="AC57" i="45"/>
  <c r="AF57" i="45" s="1"/>
  <c r="AG57" i="45" s="1"/>
  <c r="AH57" i="45" s="1"/>
  <c r="AI57" i="45" s="1"/>
  <c r="AJ57" i="45" s="1"/>
  <c r="Y57" i="45"/>
  <c r="AD55" i="45"/>
  <c r="Z55" i="45"/>
  <c r="AB54" i="45"/>
  <c r="ED53" i="45"/>
  <c r="AC53" i="45"/>
  <c r="Y53" i="45"/>
  <c r="AE51" i="45"/>
  <c r="AA51" i="45"/>
  <c r="AD50" i="45"/>
  <c r="Z50" i="45"/>
  <c r="AB49" i="45"/>
  <c r="AE48" i="45"/>
  <c r="Y48" i="45"/>
  <c r="AD47" i="45"/>
  <c r="AF47" i="45" s="1"/>
  <c r="AG47" i="45" s="1"/>
  <c r="AH47" i="45" s="1"/>
  <c r="AI47" i="45" s="1"/>
  <c r="AJ47" i="45" s="1"/>
  <c r="AD46" i="45"/>
  <c r="ED56" i="45"/>
  <c r="AC56" i="45"/>
  <c r="Y56" i="45"/>
  <c r="ED52" i="45"/>
  <c r="AC52" i="45"/>
  <c r="Y52" i="45"/>
  <c r="AE45" i="45"/>
  <c r="ED61" i="45"/>
  <c r="AA61" i="45"/>
  <c r="AD59" i="45"/>
  <c r="Y59" i="45"/>
  <c r="ED58" i="45"/>
  <c r="AA58" i="45"/>
  <c r="AC58" i="45"/>
  <c r="AF58" i="45" s="1"/>
  <c r="AG58" i="45" s="1"/>
  <c r="AH58" i="45" s="1"/>
  <c r="AI58" i="45" s="1"/>
  <c r="AJ58" i="45" s="1"/>
  <c r="AB57" i="45"/>
  <c r="AC55" i="45"/>
  <c r="Y55" i="45"/>
  <c r="ED54" i="45"/>
  <c r="AA54" i="45"/>
  <c r="AE54" i="45"/>
  <c r="AF54" i="45" s="1"/>
  <c r="AG54" i="45" s="1"/>
  <c r="AH54" i="45" s="1"/>
  <c r="AI54" i="45" s="1"/>
  <c r="AJ54" i="45" s="1"/>
  <c r="AB53" i="45"/>
  <c r="AD51" i="45"/>
  <c r="Z51" i="45"/>
  <c r="AC50" i="45"/>
  <c r="Y50" i="45"/>
  <c r="Z49" i="45"/>
  <c r="AC48" i="45"/>
  <c r="AB47" i="45"/>
  <c r="AB46" i="45"/>
  <c r="AC45" i="45"/>
  <c r="AF45" i="45" s="1"/>
  <c r="AG45" i="45" s="1"/>
  <c r="AH45" i="45" s="1"/>
  <c r="AI45" i="45" s="1"/>
  <c r="AJ45" i="45" s="1"/>
  <c r="AD43" i="45"/>
  <c r="AF43" i="45" s="1"/>
  <c r="AG43" i="45" s="1"/>
  <c r="AH43" i="45" s="1"/>
  <c r="AI43" i="45" s="1"/>
  <c r="AJ43" i="45" s="1"/>
  <c r="AB56" i="45"/>
  <c r="AB52" i="45"/>
  <c r="ED49" i="45"/>
  <c r="AB45" i="45"/>
  <c r="AC43" i="45"/>
  <c r="AC42" i="45"/>
  <c r="AB55" i="45"/>
  <c r="AD54" i="45"/>
  <c r="Z54" i="45"/>
  <c r="AE53" i="45"/>
  <c r="AF53" i="45" s="1"/>
  <c r="AG53" i="45" s="1"/>
  <c r="AH53" i="45" s="1"/>
  <c r="AI53" i="45" s="1"/>
  <c r="AJ53" i="45" s="1"/>
  <c r="AA53" i="45"/>
  <c r="AC51" i="45"/>
  <c r="Y51" i="45"/>
  <c r="ED50" i="45"/>
  <c r="AB50" i="45"/>
  <c r="AD49" i="45"/>
  <c r="Y49" i="45"/>
  <c r="AB48" i="45"/>
  <c r="AA47" i="45"/>
  <c r="AA46" i="45"/>
  <c r="AB44" i="45"/>
  <c r="AE56" i="45"/>
  <c r="AA56" i="45"/>
  <c r="AE52" i="45"/>
  <c r="AA52" i="45"/>
  <c r="AD48" i="45"/>
  <c r="AF48" i="45" s="1"/>
  <c r="AG48" i="45" s="1"/>
  <c r="AH48" i="45" s="1"/>
  <c r="AI48" i="45" s="1"/>
  <c r="AJ48" i="45" s="1"/>
  <c r="AA45" i="45"/>
  <c r="AB43" i="45"/>
  <c r="AC61" i="45"/>
  <c r="Y61" i="45"/>
  <c r="ED59" i="45"/>
  <c r="AA59" i="45"/>
  <c r="AD58" i="45"/>
  <c r="Y58" i="45"/>
  <c r="AD57" i="45"/>
  <c r="Z57" i="45"/>
  <c r="ED55" i="45"/>
  <c r="AA55" i="45"/>
  <c r="AC54" i="45"/>
  <c r="Y54" i="45"/>
  <c r="AD53" i="45"/>
  <c r="Z53" i="45"/>
  <c r="ED51" i="45"/>
  <c r="AB51" i="45"/>
  <c r="AE50" i="45"/>
  <c r="AA50" i="45"/>
  <c r="AC49" i="45"/>
  <c r="Z48" i="45"/>
  <c r="AE47" i="45"/>
  <c r="Z47" i="45"/>
  <c r="AE46" i="45"/>
  <c r="Z46" i="45"/>
  <c r="Y45" i="45"/>
  <c r="Z43" i="45"/>
  <c r="AE49" i="45"/>
  <c r="AA49" i="45"/>
  <c r="ED47" i="45"/>
  <c r="AC47" i="45"/>
  <c r="Y47" i="45"/>
  <c r="AD45" i="45"/>
  <c r="Z45" i="45"/>
  <c r="AE43" i="45"/>
  <c r="AA43" i="45"/>
  <c r="ED41" i="45"/>
  <c r="AC41" i="45"/>
  <c r="Y41" i="45"/>
  <c r="AE39" i="45"/>
  <c r="AA39" i="45"/>
  <c r="AB38" i="45"/>
  <c r="ED37" i="45"/>
  <c r="AB37" i="45"/>
  <c r="ED34" i="45"/>
  <c r="ED48" i="45"/>
  <c r="AA48" i="45"/>
  <c r="ED46" i="45"/>
  <c r="AC46" i="45"/>
  <c r="AF46" i="45" s="1"/>
  <c r="AG46" i="45" s="1"/>
  <c r="AH46" i="45" s="1"/>
  <c r="AI46" i="45" s="1"/>
  <c r="AJ46" i="45" s="1"/>
  <c r="Y46" i="45"/>
  <c r="AD44" i="45"/>
  <c r="Z44" i="45"/>
  <c r="ED42" i="45"/>
  <c r="AA42" i="45"/>
  <c r="AC40" i="45"/>
  <c r="Y40" i="45"/>
  <c r="AA37" i="45"/>
  <c r="Z36" i="45"/>
  <c r="AD42" i="45"/>
  <c r="AF42" i="45" s="1"/>
  <c r="AG42" i="45" s="1"/>
  <c r="AH42" i="45" s="1"/>
  <c r="AI42" i="45" s="1"/>
  <c r="AJ42" i="45" s="1"/>
  <c r="AB41" i="45"/>
  <c r="AD39" i="45"/>
  <c r="AF39" i="45" s="1"/>
  <c r="AG39" i="45" s="1"/>
  <c r="AH39" i="45" s="1"/>
  <c r="AI39" i="45" s="1"/>
  <c r="AJ39" i="45" s="1"/>
  <c r="Z39" i="45"/>
  <c r="ED38" i="45"/>
  <c r="Z37" i="45"/>
  <c r="Y36" i="45"/>
  <c r="ED44" i="45"/>
  <c r="AC44" i="45"/>
  <c r="AF44" i="45" s="1"/>
  <c r="AG44" i="45" s="1"/>
  <c r="AH44" i="45" s="1"/>
  <c r="AI44" i="45" s="1"/>
  <c r="AJ44" i="45" s="1"/>
  <c r="Y44" i="45"/>
  <c r="AE42" i="45"/>
  <c r="Z42" i="45"/>
  <c r="AB40" i="45"/>
  <c r="ED33" i="45"/>
  <c r="AE41" i="45"/>
  <c r="AA41" i="45"/>
  <c r="ED39" i="45"/>
  <c r="AC39" i="45"/>
  <c r="Y39" i="45"/>
  <c r="Y38" i="45"/>
  <c r="Y37" i="45"/>
  <c r="AD35" i="45"/>
  <c r="AF35" i="45" s="1"/>
  <c r="AG35" i="45" s="1"/>
  <c r="AH35" i="45" s="1"/>
  <c r="AI35" i="45" s="1"/>
  <c r="AJ35" i="45" s="1"/>
  <c r="ED40" i="45"/>
  <c r="AA40" i="45"/>
  <c r="AE37" i="45"/>
  <c r="AD41" i="45"/>
  <c r="AF41" i="45" s="1"/>
  <c r="AG41" i="45" s="1"/>
  <c r="AH41" i="45" s="1"/>
  <c r="AI41" i="45" s="1"/>
  <c r="AJ41" i="45" s="1"/>
  <c r="Z41" i="45"/>
  <c r="AD40" i="45"/>
  <c r="AF40" i="45" s="1"/>
  <c r="AG40" i="45" s="1"/>
  <c r="AH40" i="45" s="1"/>
  <c r="AI40" i="45" s="1"/>
  <c r="AJ40" i="45" s="1"/>
  <c r="AB39" i="45"/>
  <c r="AC38" i="45"/>
  <c r="AE36" i="45"/>
  <c r="Z35" i="45"/>
  <c r="AE44" i="45"/>
  <c r="AA44" i="45"/>
  <c r="AB42" i="45"/>
  <c r="AE40" i="45"/>
  <c r="Z40" i="45"/>
  <c r="AC37" i="45"/>
  <c r="ED36" i="45"/>
  <c r="AC36" i="45"/>
  <c r="AD38" i="45"/>
  <c r="AF38" i="45" s="1"/>
  <c r="AG38" i="45" s="1"/>
  <c r="AH38" i="45" s="1"/>
  <c r="AI38" i="45" s="1"/>
  <c r="AJ38" i="45" s="1"/>
  <c r="Z38" i="45"/>
  <c r="AD37" i="45"/>
  <c r="AF37" i="45" s="1"/>
  <c r="AG37" i="45" s="1"/>
  <c r="AH37" i="45" s="1"/>
  <c r="AI37" i="45" s="1"/>
  <c r="AJ37" i="45" s="1"/>
  <c r="AD34" i="45"/>
  <c r="AF34" i="45" s="1"/>
  <c r="AG34" i="45" s="1"/>
  <c r="AH34" i="45" s="1"/>
  <c r="AI34" i="45" s="1"/>
  <c r="AJ34" i="45" s="1"/>
  <c r="Z34" i="45"/>
  <c r="AC30" i="45"/>
  <c r="Y30" i="45"/>
  <c r="AE28" i="45"/>
  <c r="AA28" i="45"/>
  <c r="AD27" i="45"/>
  <c r="Z27" i="45"/>
  <c r="ED23" i="45"/>
  <c r="Y23" i="45"/>
  <c r="AB36" i="45"/>
  <c r="ED35" i="45"/>
  <c r="AC35" i="45"/>
  <c r="Y35" i="45"/>
  <c r="AE33" i="45"/>
  <c r="AA33" i="45"/>
  <c r="AD32" i="45"/>
  <c r="Z32" i="45"/>
  <c r="AC31" i="45"/>
  <c r="Y31" i="45"/>
  <c r="ED30" i="45"/>
  <c r="ED29" i="45"/>
  <c r="AC29" i="45"/>
  <c r="AF29" i="45" s="1"/>
  <c r="AG29" i="45" s="1"/>
  <c r="AH29" i="45" s="1"/>
  <c r="AI29" i="45" s="1"/>
  <c r="AJ29" i="45" s="1"/>
  <c r="Y29" i="45"/>
  <c r="AC26" i="45"/>
  <c r="ED25" i="45"/>
  <c r="AD25" i="45"/>
  <c r="AF25" i="45" s="1"/>
  <c r="AG25" i="45" s="1"/>
  <c r="AH25" i="45" s="1"/>
  <c r="AI25" i="45" s="1"/>
  <c r="AJ25" i="45" s="1"/>
  <c r="Y25" i="45"/>
  <c r="AB24" i="45"/>
  <c r="AC22" i="45"/>
  <c r="AC34" i="45"/>
  <c r="Y34" i="45"/>
  <c r="AB30" i="45"/>
  <c r="AD28" i="45"/>
  <c r="Z28" i="45"/>
  <c r="AC27" i="45"/>
  <c r="Y27" i="45"/>
  <c r="ED22" i="45"/>
  <c r="AA36" i="45"/>
  <c r="AD36" i="45"/>
  <c r="AF36" i="45" s="1"/>
  <c r="AG36" i="45" s="1"/>
  <c r="AH36" i="45" s="1"/>
  <c r="AI36" i="45" s="1"/>
  <c r="AJ36" i="45" s="1"/>
  <c r="AB35" i="45"/>
  <c r="AD33" i="45"/>
  <c r="Z33" i="45"/>
  <c r="AC32" i="45"/>
  <c r="Y32" i="45"/>
  <c r="ED31" i="45"/>
  <c r="AB31" i="45"/>
  <c r="AB29" i="45"/>
  <c r="AA26" i="45"/>
  <c r="AC25" i="45"/>
  <c r="Y24" i="45"/>
  <c r="Y22" i="45"/>
  <c r="AB34" i="45"/>
  <c r="AE30" i="45"/>
  <c r="AA30" i="45"/>
  <c r="AC28" i="45"/>
  <c r="Y28" i="45"/>
  <c r="ED27" i="45"/>
  <c r="AB27" i="45"/>
  <c r="AE35" i="45"/>
  <c r="AA35" i="45"/>
  <c r="AC33" i="45"/>
  <c r="Y33" i="45"/>
  <c r="ED32" i="45"/>
  <c r="AB32" i="45"/>
  <c r="AE31" i="45"/>
  <c r="AA31" i="45"/>
  <c r="AE29" i="45"/>
  <c r="AA29" i="45"/>
  <c r="AE26" i="45"/>
  <c r="Z26" i="45"/>
  <c r="AA25" i="45"/>
  <c r="AE38" i="45"/>
  <c r="AA38" i="45"/>
  <c r="AE34" i="45"/>
  <c r="AA34" i="45"/>
  <c r="AD30" i="45"/>
  <c r="Z30" i="45"/>
  <c r="ED28" i="45"/>
  <c r="AB28" i="45"/>
  <c r="AE27" i="45"/>
  <c r="AA27" i="45"/>
  <c r="AC23" i="45"/>
  <c r="AB33" i="45"/>
  <c r="AE32" i="45"/>
  <c r="AA32" i="45"/>
  <c r="AD31" i="45"/>
  <c r="Z31" i="45"/>
  <c r="AD29" i="45"/>
  <c r="Z29" i="45"/>
  <c r="AD26" i="45"/>
  <c r="Y26" i="45"/>
  <c r="AE25" i="45"/>
  <c r="Z25" i="45"/>
  <c r="AC24" i="45"/>
  <c r="AB19" i="45"/>
  <c r="ED17" i="45"/>
  <c r="AC17" i="45"/>
  <c r="AF17" i="45" s="1"/>
  <c r="AG17" i="45" s="1"/>
  <c r="AH17" i="45" s="1"/>
  <c r="AI17" i="45" s="1"/>
  <c r="AJ17" i="45" s="1"/>
  <c r="Y17" i="45"/>
  <c r="AD15" i="45"/>
  <c r="AF15" i="45" s="1"/>
  <c r="AG15" i="45" s="1"/>
  <c r="AH15" i="45" s="1"/>
  <c r="AI15" i="45" s="1"/>
  <c r="AJ15" i="45" s="1"/>
  <c r="Z15" i="45"/>
  <c r="AE13" i="45"/>
  <c r="AA13" i="45"/>
  <c r="FW119" i="45"/>
  <c r="FI119" i="45"/>
  <c r="FI123" i="45" s="1"/>
  <c r="DT119" i="45"/>
  <c r="AB18" i="45"/>
  <c r="ED16" i="45"/>
  <c r="AC16" i="45"/>
  <c r="Y16" i="45"/>
  <c r="AD14" i="45"/>
  <c r="AF14" i="45" s="1"/>
  <c r="AG14" i="45" s="1"/>
  <c r="AH14" i="45" s="1"/>
  <c r="AI14" i="45" s="1"/>
  <c r="AJ14" i="45" s="1"/>
  <c r="Z14" i="45"/>
  <c r="FV119" i="45"/>
  <c r="FV130" i="45" s="1"/>
  <c r="FH119" i="45"/>
  <c r="FH123" i="45" s="1"/>
  <c r="EC119" i="45"/>
  <c r="DS119" i="45"/>
  <c r="AA12" i="45"/>
  <c r="AB23" i="45"/>
  <c r="ED21" i="45"/>
  <c r="AE19" i="45"/>
  <c r="AA19" i="45"/>
  <c r="AB17" i="45"/>
  <c r="ED15" i="45"/>
  <c r="AC15" i="45"/>
  <c r="Y15" i="45"/>
  <c r="AD13" i="45"/>
  <c r="AF13" i="45" s="1"/>
  <c r="Z13" i="45"/>
  <c r="FU119" i="45"/>
  <c r="FU123" i="45" s="1"/>
  <c r="FE119" i="45"/>
  <c r="FE130" i="45" s="1"/>
  <c r="EB119" i="45"/>
  <c r="AE24" i="45"/>
  <c r="AA24" i="45"/>
  <c r="AB22" i="45"/>
  <c r="AE18" i="45"/>
  <c r="AA18" i="45"/>
  <c r="AB16" i="45"/>
  <c r="ED14" i="45"/>
  <c r="AC14" i="45"/>
  <c r="Y14" i="45"/>
  <c r="FT119" i="45"/>
  <c r="FT130" i="45" s="1"/>
  <c r="FD119" i="45"/>
  <c r="FD130" i="45" s="1"/>
  <c r="EA119" i="45"/>
  <c r="AE12" i="45"/>
  <c r="Y12" i="45"/>
  <c r="AE23" i="45"/>
  <c r="AA23" i="45"/>
  <c r="ED20" i="45"/>
  <c r="AD19" i="45"/>
  <c r="AF19" i="45" s="1"/>
  <c r="AG19" i="45" s="1"/>
  <c r="AH19" i="45" s="1"/>
  <c r="AI19" i="45" s="1"/>
  <c r="AJ19" i="45" s="1"/>
  <c r="Z19" i="45"/>
  <c r="AE17" i="45"/>
  <c r="AA17" i="45"/>
  <c r="AB15" i="45"/>
  <c r="ED13" i="45"/>
  <c r="AC13" i="45"/>
  <c r="Y13" i="45"/>
  <c r="GB119" i="45"/>
  <c r="GB130" i="45" s="1"/>
  <c r="FR119" i="45"/>
  <c r="FR130" i="45" s="1"/>
  <c r="FC119" i="45"/>
  <c r="FC130" i="45" s="1"/>
  <c r="DX119" i="45"/>
  <c r="ED26" i="45"/>
  <c r="ED24" i="45"/>
  <c r="AD24" i="45"/>
  <c r="AF24" i="45" s="1"/>
  <c r="AG24" i="45" s="1"/>
  <c r="AH24" i="45" s="1"/>
  <c r="AI24" i="45" s="1"/>
  <c r="AJ24" i="45" s="1"/>
  <c r="Z24" i="45"/>
  <c r="AE22" i="45"/>
  <c r="AA22" i="45"/>
  <c r="AD18" i="45"/>
  <c r="AF18" i="45" s="1"/>
  <c r="AG18" i="45" s="1"/>
  <c r="AH18" i="45" s="1"/>
  <c r="AI18" i="45" s="1"/>
  <c r="AJ18" i="45" s="1"/>
  <c r="Z18" i="45"/>
  <c r="AE16" i="45"/>
  <c r="AA16" i="45"/>
  <c r="AB14" i="45"/>
  <c r="FZ119" i="45"/>
  <c r="FZ130" i="45" s="1"/>
  <c r="FQ119" i="45"/>
  <c r="FQ130" i="45" s="1"/>
  <c r="FB119" i="45"/>
  <c r="FB123" i="45" s="1"/>
  <c r="DW119" i="45"/>
  <c r="AC12" i="45"/>
  <c r="AB26" i="45"/>
  <c r="AB25" i="45"/>
  <c r="AD23" i="45"/>
  <c r="Z23" i="45"/>
  <c r="ED19" i="45"/>
  <c r="AC19" i="45"/>
  <c r="Y19" i="45"/>
  <c r="AD17" i="45"/>
  <c r="Z17" i="45"/>
  <c r="AE15" i="45"/>
  <c r="AA15" i="45"/>
  <c r="AB13" i="45"/>
  <c r="FY119" i="45"/>
  <c r="FY123" i="45" s="1"/>
  <c r="FK119" i="45"/>
  <c r="FK130" i="45" s="1"/>
  <c r="FA119" i="45"/>
  <c r="FA123" i="45" s="1"/>
  <c r="DV119" i="45"/>
  <c r="AD22" i="45"/>
  <c r="AF22" i="45" s="1"/>
  <c r="AG22" i="45" s="1"/>
  <c r="AH22" i="45" s="1"/>
  <c r="AI22" i="45" s="1"/>
  <c r="AJ22" i="45" s="1"/>
  <c r="Z22" i="45"/>
  <c r="ED18" i="45"/>
  <c r="AC18" i="45"/>
  <c r="Y18" i="45"/>
  <c r="AD16" i="45"/>
  <c r="AF16" i="45" s="1"/>
  <c r="AG16" i="45" s="1"/>
  <c r="AH16" i="45" s="1"/>
  <c r="AI16" i="45" s="1"/>
  <c r="AJ16" i="45" s="1"/>
  <c r="Z16" i="45"/>
  <c r="AE14" i="45"/>
  <c r="AA14" i="45"/>
  <c r="FX119" i="45"/>
  <c r="FX130" i="45" s="1"/>
  <c r="FJ119" i="45"/>
  <c r="FJ130" i="45" s="1"/>
  <c r="EZ119" i="45"/>
  <c r="EZ123" i="45" s="1"/>
  <c r="DU119" i="45"/>
  <c r="DJ119" i="45"/>
  <c r="AB12" i="45"/>
  <c r="AB119" i="45" s="1"/>
  <c r="E119" i="45"/>
  <c r="FG119" i="45"/>
  <c r="FG123" i="45" s="1"/>
  <c r="DZ119" i="45"/>
  <c r="ED12" i="45"/>
  <c r="DR119" i="45"/>
  <c r="GA119" i="45"/>
  <c r="GA123" i="45" s="1"/>
  <c r="FS119" i="45"/>
  <c r="FS123" i="45" s="1"/>
  <c r="FF119" i="45"/>
  <c r="FF123" i="45" s="1"/>
  <c r="DY119" i="45"/>
  <c r="AD12" i="45"/>
  <c r="Z12" i="45"/>
  <c r="AG956" i="49"/>
  <c r="Y957" i="49"/>
  <c r="Y904" i="49"/>
  <c r="AG903" i="49"/>
  <c r="AG808" i="65"/>
  <c r="Y809" i="65"/>
  <c r="AG567" i="65"/>
  <c r="Y568" i="65"/>
  <c r="AG687" i="65"/>
  <c r="Y688" i="65"/>
  <c r="AG945" i="49"/>
  <c r="Y946" i="49"/>
  <c r="AG615" i="65"/>
  <c r="Y616" i="65"/>
  <c r="AG651" i="49"/>
  <c r="Y652" i="49"/>
  <c r="AG972" i="65"/>
  <c r="Y973" i="65"/>
  <c r="AG973" i="65" s="1"/>
  <c r="Y858" i="65"/>
  <c r="AG857" i="65"/>
  <c r="AG795" i="65"/>
  <c r="Y796" i="65"/>
  <c r="Y929" i="49"/>
  <c r="AG928" i="49"/>
  <c r="AG544" i="49"/>
  <c r="Y545" i="49"/>
  <c r="AG956" i="65"/>
  <c r="Y957" i="65"/>
  <c r="Y848" i="65"/>
  <c r="AG847" i="65"/>
  <c r="AG663" i="65"/>
  <c r="Y664" i="65"/>
  <c r="Y89" i="65"/>
  <c r="AG88" i="65"/>
  <c r="AG945" i="65"/>
  <c r="Y946" i="65"/>
  <c r="Y906" i="65"/>
  <c r="AG905" i="65"/>
  <c r="AG832" i="65"/>
  <c r="Y833" i="65"/>
  <c r="AG591" i="65"/>
  <c r="Y592" i="65"/>
  <c r="AG149" i="65"/>
  <c r="Y150" i="65"/>
  <c r="AG711" i="65"/>
  <c r="Y712" i="65"/>
  <c r="AG293" i="65"/>
  <c r="Y294" i="65"/>
  <c r="Y857" i="49"/>
  <c r="AG856" i="49"/>
  <c r="AG687" i="49"/>
  <c r="Y688" i="49"/>
  <c r="AG972" i="49"/>
  <c r="Y973" i="49"/>
  <c r="AG973" i="49" s="1"/>
  <c r="Y848" i="49"/>
  <c r="AG847" i="49"/>
  <c r="AG819" i="65"/>
  <c r="Y820" i="65"/>
  <c r="AG639" i="65"/>
  <c r="Y640" i="65"/>
  <c r="AG723" i="65"/>
  <c r="Y724" i="65"/>
  <c r="AG699" i="65"/>
  <c r="Y700" i="65"/>
  <c r="AG675" i="65"/>
  <c r="Y676" i="65"/>
  <c r="AG651" i="65"/>
  <c r="Y652" i="65"/>
  <c r="AG627" i="65"/>
  <c r="Y628" i="65"/>
  <c r="AG603" i="65"/>
  <c r="Y604" i="65"/>
  <c r="AG579" i="65"/>
  <c r="Y580" i="65"/>
  <c r="AG927" i="49"/>
  <c r="AG855" i="49"/>
  <c r="Y834" i="49"/>
  <c r="Y640" i="49"/>
  <c r="AG614" i="49"/>
  <c r="Y558" i="49"/>
  <c r="AG482" i="49"/>
  <c r="Y896" i="65"/>
  <c r="AG895" i="65"/>
  <c r="AG818" i="65"/>
  <c r="AG794" i="65"/>
  <c r="Y749" i="65"/>
  <c r="AG542" i="65"/>
  <c r="AG494" i="65"/>
  <c r="AG446" i="65"/>
  <c r="AG398" i="65"/>
  <c r="AG350" i="65"/>
  <c r="AG316" i="65"/>
  <c r="AG305" i="65"/>
  <c r="Y306" i="65"/>
  <c r="AG268" i="65"/>
  <c r="AG257" i="65"/>
  <c r="Y258" i="65"/>
  <c r="AG231" i="65"/>
  <c r="Y232" i="65"/>
  <c r="AG146" i="65"/>
  <c r="AG135" i="65"/>
  <c r="AG62" i="65"/>
  <c r="AG41" i="65"/>
  <c r="Y42" i="65"/>
  <c r="AG36" i="65"/>
  <c r="AG26" i="65"/>
  <c r="AG387" i="65"/>
  <c r="Y388" i="65"/>
  <c r="AG125" i="65"/>
  <c r="Y126" i="65"/>
  <c r="Y664" i="49"/>
  <c r="C2" i="49"/>
  <c r="D2" i="49" s="1"/>
  <c r="E2" i="49" s="1"/>
  <c r="F2" i="49" s="1"/>
  <c r="G2" i="49" s="1"/>
  <c r="H2" i="49" s="1"/>
  <c r="I2" i="49" s="1"/>
  <c r="J2" i="49" s="1"/>
  <c r="K2" i="49" s="1"/>
  <c r="L2" i="49" s="1"/>
  <c r="M2" i="49" s="1"/>
  <c r="N2" i="49" s="1"/>
  <c r="AG770" i="65"/>
  <c r="AG530" i="65"/>
  <c r="AG482" i="65"/>
  <c r="AG434" i="65"/>
  <c r="AG386" i="65"/>
  <c r="AG338" i="65"/>
  <c r="AG304" i="65"/>
  <c r="AG256" i="65"/>
  <c r="AG207" i="65"/>
  <c r="Y208" i="65"/>
  <c r="AG134" i="65"/>
  <c r="AG123" i="65"/>
  <c r="AG38" i="65"/>
  <c r="AG31" i="65"/>
  <c r="AG531" i="65"/>
  <c r="Y532" i="65"/>
  <c r="AG483" i="65"/>
  <c r="Y484" i="65"/>
  <c r="AG339" i="65"/>
  <c r="Y340" i="65"/>
  <c r="AG831" i="65"/>
  <c r="AG710" i="65"/>
  <c r="AG662" i="65"/>
  <c r="AG614" i="65"/>
  <c r="AG590" i="65"/>
  <c r="AG566" i="65"/>
  <c r="AG519" i="65"/>
  <c r="Y520" i="65"/>
  <c r="AG471" i="65"/>
  <c r="Y472" i="65"/>
  <c r="AG423" i="65"/>
  <c r="Y424" i="65"/>
  <c r="AG375" i="65"/>
  <c r="Y376" i="65"/>
  <c r="AG302" i="65"/>
  <c r="AG291" i="65"/>
  <c r="AG254" i="65"/>
  <c r="AG206" i="65"/>
  <c r="AG161" i="65"/>
  <c r="Y162" i="65"/>
  <c r="AG124" i="65"/>
  <c r="AG87" i="65"/>
  <c r="AG74" i="65"/>
  <c r="AG33" i="65"/>
  <c r="AG904" i="65"/>
  <c r="AG890" i="65"/>
  <c r="AG807" i="65"/>
  <c r="AG686" i="65"/>
  <c r="AG830" i="49"/>
  <c r="AG554" i="49"/>
  <c r="AG806" i="65"/>
  <c r="AG746" i="65"/>
  <c r="AG470" i="65"/>
  <c r="AG422" i="65"/>
  <c r="AG195" i="65"/>
  <c r="Y196" i="65"/>
  <c r="AG122" i="65"/>
  <c r="AG29" i="65"/>
  <c r="AG435" i="65"/>
  <c r="Y436" i="65"/>
  <c r="AG856" i="65"/>
  <c r="AG638" i="65"/>
  <c r="Y675" i="49"/>
  <c r="Y605" i="49"/>
  <c r="AG543" i="49"/>
  <c r="AG930" i="65"/>
  <c r="Y917" i="65"/>
  <c r="AG882" i="65"/>
  <c r="Y869" i="65"/>
  <c r="AG830" i="65"/>
  <c r="Y760" i="65"/>
  <c r="AG518" i="65"/>
  <c r="AG374" i="65"/>
  <c r="AG292" i="65"/>
  <c r="Y281" i="65"/>
  <c r="AG159" i="65"/>
  <c r="AG831" i="49"/>
  <c r="Y592" i="49"/>
  <c r="AG555" i="49"/>
  <c r="AG929" i="65"/>
  <c r="AG902" i="65"/>
  <c r="AG881" i="65"/>
  <c r="AG854" i="65"/>
  <c r="Y737" i="65"/>
  <c r="AG555" i="65"/>
  <c r="Y556" i="65"/>
  <c r="AG507" i="65"/>
  <c r="Y508" i="65"/>
  <c r="AG459" i="65"/>
  <c r="Y460" i="65"/>
  <c r="AG411" i="65"/>
  <c r="Y412" i="65"/>
  <c r="AG363" i="65"/>
  <c r="Y364" i="65"/>
  <c r="AG290" i="65"/>
  <c r="AG279" i="65"/>
  <c r="AG194" i="65"/>
  <c r="AG160" i="65"/>
  <c r="AG86" i="65"/>
  <c r="AG50" i="65"/>
  <c r="Y37" i="65"/>
  <c r="AG37" i="65" s="1"/>
  <c r="AG28" i="65"/>
  <c r="AG14" i="65"/>
  <c r="Y15" i="65"/>
  <c r="Y932" i="65"/>
  <c r="AG931" i="65"/>
  <c r="Y884" i="65"/>
  <c r="AG883" i="65"/>
  <c r="AG317" i="65"/>
  <c r="Y318" i="65"/>
  <c r="AG269" i="65"/>
  <c r="Y270" i="65"/>
  <c r="AG183" i="65"/>
  <c r="Y184" i="65"/>
  <c r="Y616" i="49"/>
  <c r="AG602" i="49"/>
  <c r="Y484" i="49"/>
  <c r="AG914" i="65"/>
  <c r="AG893" i="65"/>
  <c r="AG866" i="65"/>
  <c r="AG758" i="65"/>
  <c r="AG722" i="65"/>
  <c r="AG698" i="65"/>
  <c r="AG674" i="65"/>
  <c r="AG650" i="65"/>
  <c r="AG626" i="65"/>
  <c r="AG602" i="65"/>
  <c r="AG578" i="65"/>
  <c r="AG543" i="65"/>
  <c r="Y544" i="65"/>
  <c r="AG495" i="65"/>
  <c r="Y496" i="65"/>
  <c r="AG447" i="65"/>
  <c r="Y448" i="65"/>
  <c r="AG399" i="65"/>
  <c r="Y400" i="65"/>
  <c r="AG351" i="65"/>
  <c r="Y352" i="65"/>
  <c r="AG315" i="65"/>
  <c r="AG278" i="65"/>
  <c r="AG267" i="65"/>
  <c r="AG182" i="65"/>
  <c r="AG148" i="65"/>
  <c r="Y137" i="65"/>
  <c r="Y64" i="65"/>
  <c r="AG63" i="65"/>
  <c r="AG40" i="65"/>
  <c r="AG34" i="65"/>
  <c r="AG30" i="65"/>
  <c r="C587" i="44"/>
  <c r="L506" i="44"/>
  <c r="AG927" i="65"/>
  <c r="AG915" i="65"/>
  <c r="AG903" i="65"/>
  <c r="AG891" i="65"/>
  <c r="AG879" i="65"/>
  <c r="AG867" i="65"/>
  <c r="AG855" i="65"/>
  <c r="L838" i="44"/>
  <c r="C919" i="44"/>
  <c r="L919" i="44" s="1"/>
  <c r="L632" i="44"/>
  <c r="C713" i="44"/>
  <c r="Y75" i="65"/>
  <c r="Y51" i="65"/>
  <c r="L161" i="44"/>
  <c r="K943" i="46"/>
  <c r="K600" i="46"/>
  <c r="K612" i="46" s="1"/>
  <c r="K660" i="46"/>
  <c r="K860" i="46"/>
  <c r="K944" i="46"/>
  <c r="K908" i="46"/>
  <c r="C654" i="44"/>
  <c r="L573" i="44"/>
  <c r="K755" i="46"/>
  <c r="K599" i="46"/>
  <c r="K611" i="46" s="1"/>
  <c r="K659" i="46"/>
  <c r="K939" i="46"/>
  <c r="K951" i="46"/>
  <c r="K895" i="46"/>
  <c r="K907" i="46"/>
  <c r="C619" i="44"/>
  <c r="L538" i="44"/>
  <c r="C502" i="44"/>
  <c r="L421" i="44"/>
  <c r="L332" i="44"/>
  <c r="C413" i="44"/>
  <c r="K859" i="46"/>
  <c r="K958" i="46"/>
  <c r="K598" i="46"/>
  <c r="K610" i="46" s="1"/>
  <c r="K658" i="46"/>
  <c r="K754" i="46"/>
  <c r="K938" i="46"/>
  <c r="K950" i="46"/>
  <c r="K590" i="46"/>
  <c r="K602" i="46" s="1"/>
  <c r="K914" i="46"/>
  <c r="K926" i="46" s="1"/>
  <c r="K894" i="46"/>
  <c r="K870" i="46"/>
  <c r="K942" i="46"/>
  <c r="K858" i="46"/>
  <c r="L425" i="44"/>
  <c r="L684" i="44"/>
  <c r="C765" i="44"/>
  <c r="C640" i="44"/>
  <c r="L559" i="44"/>
  <c r="L662" i="44"/>
  <c r="C743" i="44"/>
  <c r="AG27" i="65"/>
  <c r="K591" i="46"/>
  <c r="K603" i="46" s="1"/>
  <c r="L396" i="44"/>
  <c r="C477" i="44"/>
  <c r="L364" i="44"/>
  <c r="C445" i="44"/>
  <c r="K909" i="46"/>
  <c r="K864" i="46"/>
  <c r="K960" i="46"/>
  <c r="C570" i="44"/>
  <c r="C548" i="44"/>
  <c r="L522" i="44"/>
  <c r="C511" i="44"/>
  <c r="C480" i="44"/>
  <c r="C472" i="44"/>
  <c r="L411" i="44"/>
  <c r="C337" i="44"/>
  <c r="L260" i="44"/>
  <c r="K226" i="44"/>
  <c r="L207" i="44"/>
  <c r="C288" i="44"/>
  <c r="K917" i="46"/>
  <c r="K929" i="46" s="1"/>
  <c r="C870" i="44"/>
  <c r="L753" i="44"/>
  <c r="C665" i="44"/>
  <c r="L551" i="44"/>
  <c r="C437" i="44"/>
  <c r="C296" i="44"/>
  <c r="C309" i="44"/>
  <c r="L228" i="44"/>
  <c r="K878" i="46"/>
  <c r="K902" i="46"/>
  <c r="L495" i="44"/>
  <c r="L419" i="44"/>
  <c r="L183" i="44"/>
  <c r="C264" i="44"/>
  <c r="K921" i="46"/>
  <c r="K933" i="46" s="1"/>
  <c r="K861" i="46"/>
  <c r="K945" i="46"/>
  <c r="K877" i="46"/>
  <c r="K853" i="46"/>
  <c r="K589" i="46"/>
  <c r="L163" i="44"/>
  <c r="C244" i="44"/>
  <c r="L394" i="44"/>
  <c r="C475" i="44"/>
  <c r="C466" i="44"/>
  <c r="L385" i="44"/>
  <c r="C434" i="44"/>
  <c r="L353" i="44"/>
  <c r="L218" i="44"/>
  <c r="C299" i="44"/>
  <c r="C579" i="44"/>
  <c r="L498" i="44"/>
  <c r="C442" i="44"/>
  <c r="L361" i="44"/>
  <c r="C410" i="44"/>
  <c r="L329" i="44"/>
  <c r="K922" i="46"/>
  <c r="K934" i="46" s="1"/>
  <c r="K898" i="46"/>
  <c r="K865" i="46"/>
  <c r="K614" i="46"/>
  <c r="K626" i="46" s="1"/>
  <c r="K638" i="46" s="1"/>
  <c r="K650" i="46" s="1"/>
  <c r="K662" i="46" s="1"/>
  <c r="K674" i="46" s="1"/>
  <c r="K686" i="46" s="1"/>
  <c r="K698" i="46" s="1"/>
  <c r="K710" i="46" s="1"/>
  <c r="K722" i="46" s="1"/>
  <c r="K734" i="46" s="1"/>
  <c r="K746" i="46" s="1"/>
  <c r="K758" i="46" s="1"/>
  <c r="K770" i="46" s="1"/>
  <c r="K782" i="46" s="1"/>
  <c r="K794" i="46" s="1"/>
  <c r="K806" i="46" s="1"/>
  <c r="K818" i="46" s="1"/>
  <c r="K830" i="46" s="1"/>
  <c r="K842" i="46" s="1"/>
  <c r="L550" i="44"/>
  <c r="C631" i="44"/>
  <c r="L372" i="44"/>
  <c r="C453" i="44"/>
  <c r="C253" i="44"/>
  <c r="L172" i="44"/>
  <c r="L160" i="44"/>
  <c r="C241" i="44"/>
  <c r="E77" i="44"/>
  <c r="E78" i="44" s="1"/>
  <c r="E79" i="44" s="1"/>
  <c r="E80" i="44" s="1"/>
  <c r="E81" i="44" s="1"/>
  <c r="E82" i="44" s="1"/>
  <c r="E83" i="44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C238" i="44"/>
  <c r="L157" i="44"/>
  <c r="D77" i="44"/>
  <c r="D78" i="44" s="1"/>
  <c r="D79" i="44" s="1"/>
  <c r="D80" i="44" s="1"/>
  <c r="D81" i="44" s="1"/>
  <c r="D82" i="44" s="1"/>
  <c r="D83" i="44"/>
  <c r="D84" i="44" s="1"/>
  <c r="D85" i="44" s="1"/>
  <c r="D86" i="44" s="1"/>
  <c r="D87" i="44" s="1"/>
  <c r="D88" i="44" s="1"/>
  <c r="D89" i="44" s="1"/>
  <c r="D90" i="44" s="1"/>
  <c r="D91" i="44" s="1"/>
  <c r="D92" i="44" s="1"/>
  <c r="D93" i="44" s="1"/>
  <c r="D94" i="44" s="1"/>
  <c r="D95" i="44" s="1"/>
  <c r="D96" i="44" s="1"/>
  <c r="D97" i="44" s="1"/>
  <c r="D98" i="44" s="1"/>
  <c r="D99" i="44" s="1"/>
  <c r="D100" i="44" s="1"/>
  <c r="D101" i="44" s="1"/>
  <c r="D102" i="44" s="1"/>
  <c r="D103" i="44" s="1"/>
  <c r="D104" i="44" s="1"/>
  <c r="D105" i="44" s="1"/>
  <c r="D106" i="44" s="1"/>
  <c r="D107" i="44" s="1"/>
  <c r="D108" i="44" s="1"/>
  <c r="D109" i="44" s="1"/>
  <c r="D110" i="44" s="1"/>
  <c r="D111" i="44" s="1"/>
  <c r="D112" i="44" s="1"/>
  <c r="D113" i="44" s="1"/>
  <c r="D114" i="44" s="1"/>
  <c r="D115" i="44" s="1"/>
  <c r="D116" i="44" s="1"/>
  <c r="D117" i="44" s="1"/>
  <c r="D118" i="44" s="1"/>
  <c r="D119" i="44" s="1"/>
  <c r="D120" i="44" s="1"/>
  <c r="D121" i="44" s="1"/>
  <c r="D122" i="44" s="1"/>
  <c r="D123" i="44" s="1"/>
  <c r="D124" i="44" s="1"/>
  <c r="D125" i="44" s="1"/>
  <c r="D126" i="44" s="1"/>
  <c r="D127" i="44" s="1"/>
  <c r="D128" i="44" s="1"/>
  <c r="D129" i="44" s="1"/>
  <c r="D130" i="44" s="1"/>
  <c r="D131" i="44" s="1"/>
  <c r="D132" i="44" s="1"/>
  <c r="D133" i="44" s="1"/>
  <c r="D134" i="44" s="1"/>
  <c r="D135" i="44" s="1"/>
  <c r="D136" i="44" s="1"/>
  <c r="D137" i="44" s="1"/>
  <c r="D138" i="44" s="1"/>
  <c r="D139" i="44" s="1"/>
  <c r="D140" i="44" s="1"/>
  <c r="D141" i="44" s="1"/>
  <c r="D142" i="44" s="1"/>
  <c r="D143" i="44" s="1"/>
  <c r="D144" i="44" s="1"/>
  <c r="D145" i="44" s="1"/>
  <c r="D146" i="44" s="1"/>
  <c r="D147" i="44" s="1"/>
  <c r="D148" i="44" s="1"/>
  <c r="D149" i="44" s="1"/>
  <c r="D150" i="44" s="1"/>
  <c r="D151" i="44" s="1"/>
  <c r="D152" i="44" s="1"/>
  <c r="D153" i="44" s="1"/>
  <c r="D154" i="44" s="1"/>
  <c r="D155" i="44" s="1"/>
  <c r="D156" i="44" s="1"/>
  <c r="D157" i="44" s="1"/>
  <c r="C317" i="44"/>
  <c r="L236" i="44"/>
  <c r="K167" i="44"/>
  <c r="C245" i="44"/>
  <c r="L164" i="44"/>
  <c r="L144" i="44"/>
  <c r="C225" i="44"/>
  <c r="L79" i="44"/>
  <c r="L80" i="44"/>
  <c r="K231" i="44"/>
  <c r="L152" i="44"/>
  <c r="C233" i="44"/>
  <c r="L138" i="44"/>
  <c r="C219" i="44"/>
  <c r="K215" i="44"/>
  <c r="C230" i="44"/>
  <c r="L149" i="44"/>
  <c r="L242" i="44"/>
  <c r="C323" i="44"/>
  <c r="C206" i="44"/>
  <c r="C203" i="44"/>
  <c r="K230" i="44"/>
  <c r="K222" i="44"/>
  <c r="K219" i="44"/>
  <c r="K214" i="44"/>
  <c r="K211" i="44"/>
  <c r="K187" i="44"/>
  <c r="K182" i="44"/>
  <c r="K174" i="44"/>
  <c r="K166" i="44"/>
  <c r="L159" i="44"/>
  <c r="C240" i="44"/>
  <c r="C162" i="44"/>
  <c r="L81" i="44"/>
  <c r="L50" i="44"/>
  <c r="C131" i="44"/>
  <c r="L34" i="44"/>
  <c r="C115" i="44"/>
  <c r="L23" i="44"/>
  <c r="C104" i="44"/>
  <c r="L82" i="44"/>
  <c r="L59" i="44"/>
  <c r="C140" i="44"/>
  <c r="L43" i="44"/>
  <c r="C124" i="44"/>
  <c r="L30" i="44"/>
  <c r="C111" i="44"/>
  <c r="L19" i="44"/>
  <c r="C100" i="44"/>
  <c r="L15" i="44"/>
  <c r="C96" i="44"/>
  <c r="L46" i="44"/>
  <c r="C127" i="44"/>
  <c r="L26" i="44"/>
  <c r="C107" i="44"/>
  <c r="L55" i="44"/>
  <c r="C136" i="44"/>
  <c r="L39" i="44"/>
  <c r="C120" i="44"/>
  <c r="L22" i="44"/>
  <c r="C103" i="44"/>
  <c r="L58" i="44"/>
  <c r="C139" i="44"/>
  <c r="L42" i="44"/>
  <c r="C123" i="44"/>
  <c r="L18" i="44"/>
  <c r="C99" i="44"/>
  <c r="L51" i="44"/>
  <c r="C132" i="44"/>
  <c r="L35" i="44"/>
  <c r="C116" i="44"/>
  <c r="L54" i="44"/>
  <c r="C135" i="44"/>
  <c r="L38" i="44"/>
  <c r="C119" i="44"/>
  <c r="L31" i="44"/>
  <c r="C112" i="44"/>
  <c r="DI117" i="45"/>
  <c r="DK117" i="45" s="1"/>
  <c r="DK112" i="45"/>
  <c r="L47" i="44"/>
  <c r="C128" i="44"/>
  <c r="L27" i="44"/>
  <c r="C108" i="44"/>
  <c r="L11" i="44"/>
  <c r="C92" i="44"/>
  <c r="H8" i="43"/>
  <c r="H12" i="43"/>
  <c r="K171" i="44" s="1"/>
  <c r="H16" i="43"/>
  <c r="K175" i="44" s="1"/>
  <c r="H20" i="43"/>
  <c r="K179" i="44" s="1"/>
  <c r="H24" i="43"/>
  <c r="K183" i="44" s="1"/>
  <c r="H33" i="43"/>
  <c r="K192" i="44" s="1"/>
  <c r="H42" i="43"/>
  <c r="K201" i="44" s="1"/>
  <c r="H46" i="43"/>
  <c r="K205" i="44" s="1"/>
  <c r="H71" i="43"/>
  <c r="H77" i="43"/>
  <c r="K235" i="44" s="1"/>
  <c r="H85" i="43"/>
  <c r="K243" i="44" s="1"/>
  <c r="H30" i="43"/>
  <c r="K189" i="44" s="1"/>
  <c r="H38" i="43"/>
  <c r="K197" i="44" s="1"/>
  <c r="H52" i="43"/>
  <c r="H55" i="43"/>
  <c r="H59" i="43"/>
  <c r="K218" i="44" s="1"/>
  <c r="H63" i="43"/>
  <c r="H67" i="43"/>
  <c r="H74" i="43"/>
  <c r="K232" i="44" s="1"/>
  <c r="H82" i="43"/>
  <c r="K240" i="44" s="1"/>
  <c r="H7" i="43"/>
  <c r="H11" i="43"/>
  <c r="K170" i="44" s="1"/>
  <c r="H15" i="43"/>
  <c r="H19" i="43"/>
  <c r="K178" i="44" s="1"/>
  <c r="H23" i="43"/>
  <c r="H27" i="43"/>
  <c r="K186" i="44" s="1"/>
  <c r="H35" i="43"/>
  <c r="K194" i="44" s="1"/>
  <c r="H41" i="43"/>
  <c r="K200" i="44" s="1"/>
  <c r="H45" i="43"/>
  <c r="K204" i="44" s="1"/>
  <c r="H49" i="43"/>
  <c r="K208" i="44" s="1"/>
  <c r="H70" i="43"/>
  <c r="K229" i="44" s="1"/>
  <c r="H79" i="43"/>
  <c r="K237" i="44" s="1"/>
  <c r="H32" i="43"/>
  <c r="K191" i="44" s="1"/>
  <c r="H54" i="43"/>
  <c r="K213" i="44" s="1"/>
  <c r="H58" i="43"/>
  <c r="K217" i="44" s="1"/>
  <c r="H62" i="43"/>
  <c r="K221" i="44" s="1"/>
  <c r="H66" i="43"/>
  <c r="K225" i="44" s="1"/>
  <c r="H76" i="43"/>
  <c r="K234" i="44" s="1"/>
  <c r="H84" i="43"/>
  <c r="K242" i="44" s="1"/>
  <c r="H6" i="43"/>
  <c r="K165" i="44" s="1"/>
  <c r="H10" i="43"/>
  <c r="K169" i="44" s="1"/>
  <c r="H14" i="43"/>
  <c r="K173" i="44" s="1"/>
  <c r="H18" i="43"/>
  <c r="K177" i="44" s="1"/>
  <c r="H22" i="43"/>
  <c r="K181" i="44" s="1"/>
  <c r="H26" i="43"/>
  <c r="K185" i="44" s="1"/>
  <c r="H29" i="43"/>
  <c r="K188" i="44" s="1"/>
  <c r="H37" i="43"/>
  <c r="K196" i="44" s="1"/>
  <c r="H40" i="43"/>
  <c r="K199" i="44" s="1"/>
  <c r="H44" i="43"/>
  <c r="K203" i="44" s="1"/>
  <c r="H48" i="43"/>
  <c r="K207" i="44" s="1"/>
  <c r="H51" i="43"/>
  <c r="K210" i="44" s="1"/>
  <c r="H73" i="43"/>
  <c r="H81" i="43"/>
  <c r="K239" i="44" s="1"/>
  <c r="H34" i="43"/>
  <c r="K193" i="44" s="1"/>
  <c r="H57" i="43"/>
  <c r="K216" i="44" s="1"/>
  <c r="H61" i="43"/>
  <c r="K220" i="44" s="1"/>
  <c r="H65" i="43"/>
  <c r="K224" i="44" s="1"/>
  <c r="H69" i="43"/>
  <c r="K228" i="44" s="1"/>
  <c r="H78" i="43"/>
  <c r="K236" i="44" s="1"/>
  <c r="H86" i="43"/>
  <c r="K244" i="44" s="1"/>
  <c r="H5" i="43"/>
  <c r="H9" i="43"/>
  <c r="K168" i="44" s="1"/>
  <c r="H13" i="43"/>
  <c r="K172" i="44" s="1"/>
  <c r="H17" i="43"/>
  <c r="K176" i="44" s="1"/>
  <c r="H21" i="43"/>
  <c r="K180" i="44" s="1"/>
  <c r="H25" i="43"/>
  <c r="K184" i="44" s="1"/>
  <c r="H31" i="43"/>
  <c r="K190" i="44" s="1"/>
  <c r="H39" i="43"/>
  <c r="K198" i="44" s="1"/>
  <c r="H43" i="43"/>
  <c r="K202" i="44" s="1"/>
  <c r="H47" i="43"/>
  <c r="K206" i="44" s="1"/>
  <c r="H53" i="43"/>
  <c r="K212" i="44" s="1"/>
  <c r="H72" i="43"/>
  <c r="H75" i="43"/>
  <c r="K233" i="44" s="1"/>
  <c r="H83" i="43"/>
  <c r="K241" i="44" s="1"/>
  <c r="I2" i="43"/>
  <c r="H28" i="43"/>
  <c r="H36" i="43"/>
  <c r="K195" i="44" s="1"/>
  <c r="H50" i="43"/>
  <c r="K209" i="44" s="1"/>
  <c r="H56" i="43"/>
  <c r="H60" i="43"/>
  <c r="H64" i="43"/>
  <c r="K223" i="44" s="1"/>
  <c r="H68" i="43"/>
  <c r="K227" i="44" s="1"/>
  <c r="H80" i="43"/>
  <c r="K238" i="44" s="1"/>
  <c r="G16" i="43"/>
  <c r="K94" i="44" s="1"/>
  <c r="G12" i="43"/>
  <c r="K90" i="44" s="1"/>
  <c r="G8" i="43"/>
  <c r="DC114" i="45"/>
  <c r="DI114" i="45" s="1"/>
  <c r="DK114" i="45" s="1"/>
  <c r="C88" i="44"/>
  <c r="R117" i="45"/>
  <c r="CW116" i="45"/>
  <c r="DI116" i="45" s="1"/>
  <c r="DK116" i="45" s="1"/>
  <c r="DA115" i="45"/>
  <c r="DI115" i="45" s="1"/>
  <c r="DK115" i="45" s="1"/>
  <c r="DG116" i="45"/>
  <c r="CY116" i="45"/>
  <c r="DI104" i="45"/>
  <c r="DI78" i="45"/>
  <c r="CW79" i="45"/>
  <c r="EI79" i="45" s="1"/>
  <c r="BM51" i="45"/>
  <c r="CF51" i="45" s="1"/>
  <c r="BN51" i="45"/>
  <c r="CG51" i="45" s="1"/>
  <c r="BP51" i="45"/>
  <c r="CI51" i="45" s="1"/>
  <c r="BQ51" i="45"/>
  <c r="CJ51" i="45" s="1"/>
  <c r="BO51" i="45"/>
  <c r="CH51" i="45" s="1"/>
  <c r="BR51" i="45"/>
  <c r="CK51" i="45" s="1"/>
  <c r="BS51" i="45"/>
  <c r="CL51" i="45" s="1"/>
  <c r="BT51" i="45"/>
  <c r="BL51" i="45"/>
  <c r="CE51" i="45" s="1"/>
  <c r="BK51" i="45"/>
  <c r="CD51" i="45" s="1"/>
  <c r="BN50" i="45"/>
  <c r="CG50" i="45" s="1"/>
  <c r="BK50" i="45"/>
  <c r="CD50" i="45" s="1"/>
  <c r="BM50" i="45"/>
  <c r="CF50" i="45" s="1"/>
  <c r="BL50" i="45"/>
  <c r="CE50" i="45" s="1"/>
  <c r="BQ50" i="45"/>
  <c r="CJ50" i="45" s="1"/>
  <c r="BR50" i="45"/>
  <c r="CK50" i="45" s="1"/>
  <c r="BP50" i="45"/>
  <c r="CI50" i="45" s="1"/>
  <c r="BS50" i="45"/>
  <c r="CL50" i="45" s="1"/>
  <c r="BO50" i="45"/>
  <c r="CH50" i="45" s="1"/>
  <c r="BT50" i="45"/>
  <c r="BO49" i="45"/>
  <c r="CH49" i="45" s="1"/>
  <c r="BP49" i="45"/>
  <c r="CI49" i="45" s="1"/>
  <c r="BR49" i="45"/>
  <c r="CK49" i="45" s="1"/>
  <c r="BS49" i="45"/>
  <c r="CL49" i="45" s="1"/>
  <c r="BT49" i="45"/>
  <c r="BK49" i="45"/>
  <c r="CD49" i="45" s="1"/>
  <c r="BL49" i="45"/>
  <c r="CE49" i="45" s="1"/>
  <c r="BM49" i="45"/>
  <c r="CF49" i="45" s="1"/>
  <c r="BN49" i="45"/>
  <c r="CG49" i="45" s="1"/>
  <c r="BQ49" i="45"/>
  <c r="CJ49" i="45" s="1"/>
  <c r="BK32" i="45"/>
  <c r="CD32" i="45" s="1"/>
  <c r="BO32" i="45"/>
  <c r="CH32" i="45" s="1"/>
  <c r="BL32" i="45"/>
  <c r="CE32" i="45" s="1"/>
  <c r="BT32" i="45"/>
  <c r="BQ32" i="45"/>
  <c r="CJ32" i="45" s="1"/>
  <c r="BN32" i="45"/>
  <c r="CG32" i="45" s="1"/>
  <c r="BS32" i="45"/>
  <c r="CL32" i="45" s="1"/>
  <c r="BP32" i="45"/>
  <c r="CI32" i="45" s="1"/>
  <c r="BM32" i="45"/>
  <c r="CF32" i="45" s="1"/>
  <c r="BR32" i="45"/>
  <c r="CK32" i="45" s="1"/>
  <c r="BK31" i="45"/>
  <c r="CD31" i="45" s="1"/>
  <c r="BS31" i="45"/>
  <c r="CL31" i="45" s="1"/>
  <c r="BP31" i="45"/>
  <c r="CI31" i="45" s="1"/>
  <c r="BM31" i="45"/>
  <c r="CF31" i="45" s="1"/>
  <c r="BR31" i="45"/>
  <c r="CK31" i="45" s="1"/>
  <c r="BO31" i="45"/>
  <c r="CH31" i="45" s="1"/>
  <c r="BL31" i="45"/>
  <c r="CE31" i="45" s="1"/>
  <c r="BT31" i="45"/>
  <c r="BQ31" i="45"/>
  <c r="CJ31" i="45" s="1"/>
  <c r="BN31" i="45"/>
  <c r="CG31" i="45" s="1"/>
  <c r="BR26" i="45"/>
  <c r="CK26" i="45" s="1"/>
  <c r="BK26" i="45"/>
  <c r="CD26" i="45" s="1"/>
  <c r="BS26" i="45"/>
  <c r="CL26" i="45" s="1"/>
  <c r="BQ26" i="45"/>
  <c r="CJ26" i="45" s="1"/>
  <c r="BT26" i="45"/>
  <c r="BL26" i="45"/>
  <c r="CE26" i="45" s="1"/>
  <c r="BM26" i="45"/>
  <c r="CF26" i="45" s="1"/>
  <c r="BN26" i="45"/>
  <c r="CG26" i="45" s="1"/>
  <c r="BO26" i="45"/>
  <c r="CH26" i="45" s="1"/>
  <c r="BP26" i="45"/>
  <c r="CI26" i="45" s="1"/>
  <c r="BM30" i="45"/>
  <c r="CF30" i="45" s="1"/>
  <c r="BN30" i="45"/>
  <c r="CG30" i="45" s="1"/>
  <c r="BO30" i="45"/>
  <c r="CH30" i="45" s="1"/>
  <c r="BP30" i="45"/>
  <c r="CI30" i="45" s="1"/>
  <c r="BQ30" i="45"/>
  <c r="CJ30" i="45" s="1"/>
  <c r="BR30" i="45"/>
  <c r="CK30" i="45" s="1"/>
  <c r="BK30" i="45"/>
  <c r="CD30" i="45" s="1"/>
  <c r="BS30" i="45"/>
  <c r="CL30" i="45" s="1"/>
  <c r="BL30" i="45"/>
  <c r="CE30" i="45" s="1"/>
  <c r="BT30" i="45"/>
  <c r="BK33" i="45"/>
  <c r="CD33" i="45" s="1"/>
  <c r="BS33" i="45"/>
  <c r="CL33" i="45" s="1"/>
  <c r="BP33" i="45"/>
  <c r="CI33" i="45" s="1"/>
  <c r="BM33" i="45"/>
  <c r="CF33" i="45" s="1"/>
  <c r="BR33" i="45"/>
  <c r="CK33" i="45" s="1"/>
  <c r="BO33" i="45"/>
  <c r="CH33" i="45" s="1"/>
  <c r="BL33" i="45"/>
  <c r="CE33" i="45" s="1"/>
  <c r="BT33" i="45"/>
  <c r="BQ33" i="45"/>
  <c r="CJ33" i="45" s="1"/>
  <c r="BN33" i="45"/>
  <c r="CG33" i="45" s="1"/>
  <c r="BO28" i="45"/>
  <c r="CH28" i="45" s="1"/>
  <c r="X103" i="61"/>
  <c r="Y103" i="61" s="1"/>
  <c r="CZ33" i="60"/>
  <c r="Z103" i="61"/>
  <c r="AA103" i="61" s="1"/>
  <c r="CF34" i="60"/>
  <c r="V83" i="61"/>
  <c r="X83" i="61"/>
  <c r="Y83" i="61" s="1"/>
  <c r="Z83" i="61"/>
  <c r="AA83" i="61" s="1"/>
  <c r="BV28" i="45"/>
  <c r="CO28" i="45" s="1"/>
  <c r="CM36" i="60"/>
  <c r="CM38" i="60"/>
  <c r="H99" i="45" s="1"/>
  <c r="CY99" i="45" s="1"/>
  <c r="CM46" i="60"/>
  <c r="P99" i="45" s="1"/>
  <c r="DG99" i="45" s="1"/>
  <c r="BL28" i="45"/>
  <c r="CE28" i="45" s="1"/>
  <c r="Z73" i="61"/>
  <c r="AA73" i="61" s="1"/>
  <c r="BV33" i="60"/>
  <c r="X73" i="61"/>
  <c r="Y73" i="61" s="1"/>
  <c r="V73" i="61"/>
  <c r="BS28" i="45"/>
  <c r="CL28" i="45" s="1"/>
  <c r="BO27" i="45"/>
  <c r="CH27" i="45" s="1"/>
  <c r="DA27" i="45" s="1"/>
  <c r="BK28" i="45"/>
  <c r="CD28" i="45" s="1"/>
  <c r="X82" i="61"/>
  <c r="Y82" i="61" s="1"/>
  <c r="CE33" i="60"/>
  <c r="V82" i="61"/>
  <c r="Z82" i="61"/>
  <c r="AA82" i="61" s="1"/>
  <c r="BU27" i="45"/>
  <c r="CV40" i="60"/>
  <c r="J108" i="45" s="1"/>
  <c r="DA108" i="45" s="1"/>
  <c r="CV45" i="60"/>
  <c r="O108" i="45" s="1"/>
  <c r="DF108" i="45" s="1"/>
  <c r="CV46" i="60"/>
  <c r="P108" i="45" s="1"/>
  <c r="DG108" i="45" s="1"/>
  <c r="CV42" i="60"/>
  <c r="L108" i="45" s="1"/>
  <c r="DC108" i="45" s="1"/>
  <c r="CV47" i="60"/>
  <c r="Q108" i="45" s="1"/>
  <c r="DH108" i="45" s="1"/>
  <c r="CP33" i="60"/>
  <c r="X93" i="61"/>
  <c r="Y93" i="61" s="1"/>
  <c r="V87" i="61"/>
  <c r="CJ33" i="60"/>
  <c r="BN33" i="60"/>
  <c r="V65" i="61"/>
  <c r="U60" i="61"/>
  <c r="BE42" i="60"/>
  <c r="L65" i="45" s="1"/>
  <c r="BE45" i="60"/>
  <c r="O65" i="45" s="1"/>
  <c r="BE47" i="60"/>
  <c r="Q65" i="45" s="1"/>
  <c r="BE40" i="60"/>
  <c r="J65" i="45" s="1"/>
  <c r="BE37" i="60"/>
  <c r="G65" i="45" s="1"/>
  <c r="CU4" i="60"/>
  <c r="CU37" i="60" s="1"/>
  <c r="G107" i="45" s="1"/>
  <c r="CX107" i="45" s="1"/>
  <c r="EJ107" i="45" s="1"/>
  <c r="CU5" i="60"/>
  <c r="CU6" i="60"/>
  <c r="CU39" i="60" s="1"/>
  <c r="I107" i="45" s="1"/>
  <c r="CZ107" i="45" s="1"/>
  <c r="EL107" i="45" s="1"/>
  <c r="CU7" i="60"/>
  <c r="CU8" i="60"/>
  <c r="CU41" i="60" s="1"/>
  <c r="K107" i="45" s="1"/>
  <c r="DB107" i="45" s="1"/>
  <c r="EN107" i="45" s="1"/>
  <c r="CU9" i="60"/>
  <c r="CU10" i="60"/>
  <c r="CU43" i="60" s="1"/>
  <c r="M107" i="45" s="1"/>
  <c r="DD107" i="45" s="1"/>
  <c r="EP107" i="45" s="1"/>
  <c r="CU11" i="60"/>
  <c r="CU44" i="60" s="1"/>
  <c r="N107" i="45" s="1"/>
  <c r="DE107" i="45" s="1"/>
  <c r="EQ107" i="45" s="1"/>
  <c r="CU12" i="60"/>
  <c r="CU45" i="60" s="1"/>
  <c r="O107" i="45" s="1"/>
  <c r="DF107" i="45" s="1"/>
  <c r="ER107" i="45" s="1"/>
  <c r="CU13" i="60"/>
  <c r="CU46" i="60" s="1"/>
  <c r="P107" i="45" s="1"/>
  <c r="DG107" i="45" s="1"/>
  <c r="ES107" i="45" s="1"/>
  <c r="CU14" i="60"/>
  <c r="CU47" i="60" s="1"/>
  <c r="Q107" i="45" s="1"/>
  <c r="DH107" i="45" s="1"/>
  <c r="ET107" i="45" s="1"/>
  <c r="CU3" i="60"/>
  <c r="CU36" i="60" s="1"/>
  <c r="DB34" i="60"/>
  <c r="DB48" i="60" s="1"/>
  <c r="X105" i="61"/>
  <c r="Y105" i="61" s="1"/>
  <c r="CW33" i="60"/>
  <c r="X100" i="61"/>
  <c r="Y100" i="61" s="1"/>
  <c r="Z100" i="61"/>
  <c r="AA100" i="61" s="1"/>
  <c r="X90" i="61"/>
  <c r="Y90" i="61" s="1"/>
  <c r="Z90" i="61"/>
  <c r="AA90" i="61" s="1"/>
  <c r="BA33" i="60"/>
  <c r="V52" i="61"/>
  <c r="Z52" i="61"/>
  <c r="AA52" i="61" s="1"/>
  <c r="T39" i="61"/>
  <c r="U39" i="61"/>
  <c r="DA34" i="60"/>
  <c r="DA48" i="60" s="1"/>
  <c r="Z104" i="61"/>
  <c r="AA104" i="61" s="1"/>
  <c r="CU40" i="60"/>
  <c r="J107" i="45" s="1"/>
  <c r="DA107" i="45" s="1"/>
  <c r="EM107" i="45" s="1"/>
  <c r="CU42" i="60"/>
  <c r="L107" i="45" s="1"/>
  <c r="DC107" i="45" s="1"/>
  <c r="EO107" i="45" s="1"/>
  <c r="CU38" i="60"/>
  <c r="H107" i="45" s="1"/>
  <c r="CY107" i="45" s="1"/>
  <c r="EK107" i="45" s="1"/>
  <c r="T94" i="61"/>
  <c r="AG94" i="61"/>
  <c r="V63" i="61"/>
  <c r="X63" i="61"/>
  <c r="Y63" i="61" s="1"/>
  <c r="BL33" i="60"/>
  <c r="Z63" i="61"/>
  <c r="AA63" i="61" s="1"/>
  <c r="V53" i="61"/>
  <c r="Z53" i="61"/>
  <c r="AA53" i="61" s="1"/>
  <c r="BB33" i="60"/>
  <c r="BE44" i="60"/>
  <c r="N65" i="45" s="1"/>
  <c r="AF4" i="60"/>
  <c r="AF5" i="60"/>
  <c r="AF6" i="60"/>
  <c r="AF7" i="60"/>
  <c r="AF8" i="60"/>
  <c r="AF9" i="60"/>
  <c r="AF10" i="60"/>
  <c r="AF11" i="60"/>
  <c r="AF12" i="60"/>
  <c r="AF13" i="60"/>
  <c r="AF14" i="60"/>
  <c r="AF3" i="60"/>
  <c r="K108" i="61"/>
  <c r="DC34" i="60"/>
  <c r="DC48" i="60" s="1"/>
  <c r="Z106" i="61"/>
  <c r="AA106" i="61" s="1"/>
  <c r="CO33" i="60"/>
  <c r="Z92" i="61"/>
  <c r="AA92" i="61" s="1"/>
  <c r="X89" i="61"/>
  <c r="Y89" i="61" s="1"/>
  <c r="V89" i="61"/>
  <c r="CL33" i="60"/>
  <c r="X87" i="61"/>
  <c r="Y87" i="61" s="1"/>
  <c r="F108" i="61"/>
  <c r="AG43" i="61"/>
  <c r="T43" i="61"/>
  <c r="BC33" i="60"/>
  <c r="J108" i="61"/>
  <c r="X107" i="61"/>
  <c r="Y107" i="61" s="1"/>
  <c r="DD34" i="60"/>
  <c r="DD48" i="60" s="1"/>
  <c r="AG104" i="61"/>
  <c r="X102" i="61"/>
  <c r="Y102" i="61" s="1"/>
  <c r="CX36" i="60"/>
  <c r="CX38" i="60"/>
  <c r="H110" i="45" s="1"/>
  <c r="CY110" i="45" s="1"/>
  <c r="CX45" i="60"/>
  <c r="O110" i="45" s="1"/>
  <c r="DF110" i="45" s="1"/>
  <c r="CX46" i="60"/>
  <c r="P110" i="45" s="1"/>
  <c r="DG110" i="45" s="1"/>
  <c r="CX44" i="60"/>
  <c r="N110" i="45" s="1"/>
  <c r="DE110" i="45" s="1"/>
  <c r="CX43" i="60"/>
  <c r="M110" i="45" s="1"/>
  <c r="DD110" i="45" s="1"/>
  <c r="CX47" i="60"/>
  <c r="Q110" i="45" s="1"/>
  <c r="DH110" i="45" s="1"/>
  <c r="CX37" i="60"/>
  <c r="G110" i="45" s="1"/>
  <c r="CX110" i="45" s="1"/>
  <c r="CX39" i="60"/>
  <c r="I110" i="45" s="1"/>
  <c r="CZ110" i="45" s="1"/>
  <c r="CX40" i="60"/>
  <c r="J110" i="45" s="1"/>
  <c r="DA110" i="45" s="1"/>
  <c r="CX42" i="60"/>
  <c r="L110" i="45" s="1"/>
  <c r="DC110" i="45" s="1"/>
  <c r="X88" i="61"/>
  <c r="Y88" i="61" s="1"/>
  <c r="Z88" i="61"/>
  <c r="AA88" i="61" s="1"/>
  <c r="CK33" i="60"/>
  <c r="U87" i="61"/>
  <c r="X84" i="61"/>
  <c r="Y84" i="61" s="1"/>
  <c r="CG33" i="60"/>
  <c r="Z84" i="61"/>
  <c r="AA84" i="61" s="1"/>
  <c r="CA43" i="60"/>
  <c r="M87" i="45" s="1"/>
  <c r="CA37" i="60"/>
  <c r="G87" i="45" s="1"/>
  <c r="CA36" i="60"/>
  <c r="CA41" i="60"/>
  <c r="K87" i="45" s="1"/>
  <c r="CA42" i="60"/>
  <c r="L87" i="45" s="1"/>
  <c r="CA47" i="60"/>
  <c r="Q87" i="45" s="1"/>
  <c r="CA40" i="60"/>
  <c r="J87" i="45" s="1"/>
  <c r="CA38" i="60"/>
  <c r="H87" i="45" s="1"/>
  <c r="CA44" i="60"/>
  <c r="N87" i="45" s="1"/>
  <c r="CA45" i="60"/>
  <c r="O87" i="45" s="1"/>
  <c r="X74" i="61"/>
  <c r="Y74" i="61" s="1"/>
  <c r="BW33" i="60"/>
  <c r="V74" i="61"/>
  <c r="Z74" i="61"/>
  <c r="AA74" i="61" s="1"/>
  <c r="Z66" i="61"/>
  <c r="AA66" i="61" s="1"/>
  <c r="E42" i="60"/>
  <c r="L13" i="45" s="1"/>
  <c r="E44" i="60"/>
  <c r="N13" i="45" s="1"/>
  <c r="E46" i="60"/>
  <c r="P13" i="45" s="1"/>
  <c r="E39" i="60"/>
  <c r="I13" i="45" s="1"/>
  <c r="E47" i="60"/>
  <c r="Q13" i="45" s="1"/>
  <c r="E36" i="60"/>
  <c r="E37" i="60"/>
  <c r="G13" i="45" s="1"/>
  <c r="AO5" i="60"/>
  <c r="AO7" i="60"/>
  <c r="AO9" i="60"/>
  <c r="AO11" i="60"/>
  <c r="AO13" i="60"/>
  <c r="AO3" i="60"/>
  <c r="AO4" i="60"/>
  <c r="AO6" i="60"/>
  <c r="AO14" i="60"/>
  <c r="AO8" i="60"/>
  <c r="AO10" i="60"/>
  <c r="AO12" i="60"/>
  <c r="CW21" i="45"/>
  <c r="AG107" i="61"/>
  <c r="AG106" i="61"/>
  <c r="AF104" i="61"/>
  <c r="Z99" i="61"/>
  <c r="AA99" i="61" s="1"/>
  <c r="AF94" i="61"/>
  <c r="Z93" i="61"/>
  <c r="AA93" i="61" s="1"/>
  <c r="T85" i="61"/>
  <c r="V70" i="61"/>
  <c r="BS34" i="60"/>
  <c r="BS48" i="60" s="1"/>
  <c r="X70" i="61"/>
  <c r="Y70" i="61" s="1"/>
  <c r="T67" i="61"/>
  <c r="Z65" i="61"/>
  <c r="AA65" i="61" s="1"/>
  <c r="Z58" i="61"/>
  <c r="AA58" i="61" s="1"/>
  <c r="X58" i="61"/>
  <c r="Y58" i="61" s="1"/>
  <c r="BG33" i="60"/>
  <c r="N47" i="60"/>
  <c r="Q22" i="45" s="1"/>
  <c r="N37" i="60"/>
  <c r="G22" i="45" s="1"/>
  <c r="N40" i="60"/>
  <c r="J22" i="45" s="1"/>
  <c r="N44" i="60"/>
  <c r="N22" i="45" s="1"/>
  <c r="N36" i="60"/>
  <c r="N41" i="60"/>
  <c r="K22" i="45" s="1"/>
  <c r="N38" i="60"/>
  <c r="H22" i="45" s="1"/>
  <c r="N43" i="60"/>
  <c r="M22" i="45" s="1"/>
  <c r="N45" i="60"/>
  <c r="O22" i="45" s="1"/>
  <c r="N39" i="60"/>
  <c r="I22" i="45" s="1"/>
  <c r="N46" i="60"/>
  <c r="P22" i="45" s="1"/>
  <c r="BL4" i="60"/>
  <c r="BL5" i="60"/>
  <c r="BL6" i="60"/>
  <c r="BL7" i="60"/>
  <c r="BL8" i="60"/>
  <c r="BL9" i="60"/>
  <c r="BL10" i="60"/>
  <c r="BL11" i="60"/>
  <c r="BL12" i="60"/>
  <c r="BL13" i="60"/>
  <c r="BL14" i="60"/>
  <c r="BL3" i="60"/>
  <c r="AF107" i="61"/>
  <c r="AF106" i="61"/>
  <c r="X99" i="61"/>
  <c r="Y99" i="61" s="1"/>
  <c r="V93" i="61"/>
  <c r="X92" i="61"/>
  <c r="Y92" i="61" s="1"/>
  <c r="CI33" i="60"/>
  <c r="V86" i="61"/>
  <c r="Z86" i="61"/>
  <c r="AA86" i="61" s="1"/>
  <c r="U82" i="61"/>
  <c r="V69" i="61"/>
  <c r="X69" i="61"/>
  <c r="Y69" i="61" s="1"/>
  <c r="X65" i="61"/>
  <c r="Y65" i="61" s="1"/>
  <c r="X54" i="61"/>
  <c r="Y54" i="61" s="1"/>
  <c r="Z54" i="61"/>
  <c r="AA54" i="61" s="1"/>
  <c r="X52" i="61"/>
  <c r="Y52" i="61" s="1"/>
  <c r="AS42" i="60"/>
  <c r="L53" i="45" s="1"/>
  <c r="AS45" i="60"/>
  <c r="O53" i="45" s="1"/>
  <c r="AS46" i="60"/>
  <c r="P53" i="45" s="1"/>
  <c r="AS40" i="60"/>
  <c r="J53" i="45" s="1"/>
  <c r="BR34" i="60"/>
  <c r="BR48" i="60" s="1"/>
  <c r="AK45" i="60"/>
  <c r="O45" i="45" s="1"/>
  <c r="Z105" i="61"/>
  <c r="AA105" i="61" s="1"/>
  <c r="X104" i="61"/>
  <c r="Y104" i="61" s="1"/>
  <c r="V90" i="61"/>
  <c r="AF83" i="61"/>
  <c r="AG83" i="61"/>
  <c r="T75" i="61"/>
  <c r="AG75" i="61"/>
  <c r="V66" i="61"/>
  <c r="BO33" i="60"/>
  <c r="U59" i="61"/>
  <c r="V40" i="60"/>
  <c r="J30" i="45" s="1"/>
  <c r="BU4" i="60"/>
  <c r="BU37" i="60" s="1"/>
  <c r="G81" i="45" s="1"/>
  <c r="BU6" i="60"/>
  <c r="BU39" i="60" s="1"/>
  <c r="I81" i="45" s="1"/>
  <c r="BU8" i="60"/>
  <c r="BU41" i="60" s="1"/>
  <c r="K81" i="45" s="1"/>
  <c r="BU10" i="60"/>
  <c r="BU43" i="60" s="1"/>
  <c r="M81" i="45" s="1"/>
  <c r="BU12" i="60"/>
  <c r="BU45" i="60" s="1"/>
  <c r="O81" i="45" s="1"/>
  <c r="BU14" i="60"/>
  <c r="BU3" i="60"/>
  <c r="BU36" i="60" s="1"/>
  <c r="BU5" i="60"/>
  <c r="BU38" i="60" s="1"/>
  <c r="H81" i="45" s="1"/>
  <c r="BU7" i="60"/>
  <c r="BU40" i="60" s="1"/>
  <c r="J81" i="45" s="1"/>
  <c r="BU9" i="60"/>
  <c r="BU42" i="60" s="1"/>
  <c r="L81" i="45" s="1"/>
  <c r="BU13" i="60"/>
  <c r="BU46" i="60" s="1"/>
  <c r="P81" i="45" s="1"/>
  <c r="BU11" i="60"/>
  <c r="BU44" i="60" s="1"/>
  <c r="N81" i="45" s="1"/>
  <c r="AM41" i="60"/>
  <c r="K47" i="45" s="1"/>
  <c r="AM40" i="60"/>
  <c r="J47" i="45" s="1"/>
  <c r="AM36" i="60"/>
  <c r="AM43" i="60"/>
  <c r="M47" i="45" s="1"/>
  <c r="AM39" i="60"/>
  <c r="I47" i="45" s="1"/>
  <c r="AM42" i="60"/>
  <c r="L47" i="45" s="1"/>
  <c r="AH39" i="60"/>
  <c r="I42" i="45" s="1"/>
  <c r="AH46" i="60"/>
  <c r="P42" i="45" s="1"/>
  <c r="AH38" i="60"/>
  <c r="H42" i="45" s="1"/>
  <c r="AH47" i="60"/>
  <c r="Q42" i="45" s="1"/>
  <c r="AH37" i="60"/>
  <c r="G42" i="45" s="1"/>
  <c r="AH45" i="60"/>
  <c r="O42" i="45" s="1"/>
  <c r="X28" i="61"/>
  <c r="Y28" i="61" s="1"/>
  <c r="AC33" i="60"/>
  <c r="V21" i="61"/>
  <c r="V6" i="61"/>
  <c r="G33" i="60"/>
  <c r="X5" i="61"/>
  <c r="Y5" i="61" s="1"/>
  <c r="F33" i="60"/>
  <c r="D33" i="60"/>
  <c r="Z3" i="61"/>
  <c r="AA3" i="61" s="1"/>
  <c r="BY47" i="60"/>
  <c r="Q85" i="45" s="1"/>
  <c r="AH40" i="60"/>
  <c r="J42" i="45" s="1"/>
  <c r="AQ39" i="60"/>
  <c r="I51" i="45" s="1"/>
  <c r="CZ51" i="45" s="1"/>
  <c r="AM38" i="60"/>
  <c r="H47" i="45" s="1"/>
  <c r="AJ33" i="60"/>
  <c r="BM4" i="60"/>
  <c r="BY5" i="60"/>
  <c r="BY38" i="60" s="1"/>
  <c r="H85" i="45" s="1"/>
  <c r="BY7" i="60"/>
  <c r="BY40" i="60" s="1"/>
  <c r="J85" i="45" s="1"/>
  <c r="BY9" i="60"/>
  <c r="BY42" i="60" s="1"/>
  <c r="L85" i="45" s="1"/>
  <c r="BY11" i="60"/>
  <c r="BY44" i="60" s="1"/>
  <c r="N85" i="45" s="1"/>
  <c r="BY13" i="60"/>
  <c r="BY3" i="60"/>
  <c r="BY36" i="60" s="1"/>
  <c r="BY6" i="60"/>
  <c r="BY8" i="60"/>
  <c r="BY41" i="60" s="1"/>
  <c r="K85" i="45" s="1"/>
  <c r="BY10" i="60"/>
  <c r="BY43" i="60" s="1"/>
  <c r="M85" i="45" s="1"/>
  <c r="BP5" i="60"/>
  <c r="BP7" i="60"/>
  <c r="BP9" i="60"/>
  <c r="BP11" i="60"/>
  <c r="BP13" i="60"/>
  <c r="BP4" i="60"/>
  <c r="BP6" i="60"/>
  <c r="BP8" i="60"/>
  <c r="BP10" i="60"/>
  <c r="AS4" i="60"/>
  <c r="AS37" i="60" s="1"/>
  <c r="G53" i="45" s="1"/>
  <c r="AS6" i="60"/>
  <c r="AS39" i="60" s="1"/>
  <c r="I53" i="45" s="1"/>
  <c r="AS8" i="60"/>
  <c r="AS41" i="60" s="1"/>
  <c r="K53" i="45" s="1"/>
  <c r="AS10" i="60"/>
  <c r="AS43" i="60" s="1"/>
  <c r="M53" i="45" s="1"/>
  <c r="AS12" i="60"/>
  <c r="AS14" i="60"/>
  <c r="AS47" i="60" s="1"/>
  <c r="Q53" i="45" s="1"/>
  <c r="AS3" i="60"/>
  <c r="AS36" i="60" s="1"/>
  <c r="AS5" i="60"/>
  <c r="AS38" i="60" s="1"/>
  <c r="H53" i="45" s="1"/>
  <c r="AS7" i="60"/>
  <c r="AJ4" i="60"/>
  <c r="AJ6" i="60"/>
  <c r="AJ8" i="60"/>
  <c r="AJ10" i="60"/>
  <c r="AJ12" i="60"/>
  <c r="AJ14" i="60"/>
  <c r="AJ5" i="60"/>
  <c r="D7" i="60"/>
  <c r="D9" i="60"/>
  <c r="D11" i="60"/>
  <c r="D13" i="60"/>
  <c r="D10" i="60"/>
  <c r="D12" i="60"/>
  <c r="D14" i="60"/>
  <c r="T31" i="61"/>
  <c r="U31" i="61"/>
  <c r="X30" i="61"/>
  <c r="Y30" i="61" s="1"/>
  <c r="V30" i="61"/>
  <c r="AE33" i="60"/>
  <c r="U29" i="61"/>
  <c r="Z10" i="61"/>
  <c r="AA10" i="61" s="1"/>
  <c r="Z8" i="61"/>
  <c r="AA8" i="61" s="1"/>
  <c r="CD44" i="60"/>
  <c r="N90" i="45" s="1"/>
  <c r="AQ44" i="60"/>
  <c r="N51" i="45" s="1"/>
  <c r="DE51" i="45" s="1"/>
  <c r="AH42" i="60"/>
  <c r="L42" i="45" s="1"/>
  <c r="AH41" i="60"/>
  <c r="K42" i="45" s="1"/>
  <c r="AM37" i="60"/>
  <c r="G47" i="45" s="1"/>
  <c r="AQ36" i="60"/>
  <c r="AV36" i="60"/>
  <c r="AI33" i="60"/>
  <c r="CC3" i="60"/>
  <c r="CC9" i="60"/>
  <c r="CC11" i="60"/>
  <c r="CC4" i="60"/>
  <c r="CC13" i="60"/>
  <c r="CC6" i="60"/>
  <c r="BT4" i="60"/>
  <c r="BT37" i="60" s="1"/>
  <c r="G80" i="45" s="1"/>
  <c r="BT5" i="60"/>
  <c r="BT38" i="60" s="1"/>
  <c r="H80" i="45" s="1"/>
  <c r="BT6" i="60"/>
  <c r="BT39" i="60" s="1"/>
  <c r="I80" i="45" s="1"/>
  <c r="BT7" i="60"/>
  <c r="BT40" i="60" s="1"/>
  <c r="J80" i="45" s="1"/>
  <c r="BT8" i="60"/>
  <c r="BT41" i="60" s="1"/>
  <c r="K80" i="45" s="1"/>
  <c r="BT9" i="60"/>
  <c r="BT42" i="60" s="1"/>
  <c r="L80" i="45" s="1"/>
  <c r="BT10" i="60"/>
  <c r="BT43" i="60" s="1"/>
  <c r="M80" i="45" s="1"/>
  <c r="BT11" i="60"/>
  <c r="BT44" i="60" s="1"/>
  <c r="N80" i="45" s="1"/>
  <c r="BT12" i="60"/>
  <c r="BT45" i="60" s="1"/>
  <c r="O80" i="45" s="1"/>
  <c r="BT13" i="60"/>
  <c r="BT14" i="60"/>
  <c r="BT47" i="60" s="1"/>
  <c r="Q80" i="45" s="1"/>
  <c r="AW3" i="60"/>
  <c r="AW4" i="60"/>
  <c r="AW11" i="60"/>
  <c r="AW6" i="60"/>
  <c r="AW13" i="60"/>
  <c r="AW8" i="60"/>
  <c r="AW10" i="60"/>
  <c r="AN4" i="60"/>
  <c r="AN5" i="60"/>
  <c r="AN6" i="60"/>
  <c r="AN7" i="60"/>
  <c r="AN8" i="60"/>
  <c r="AN9" i="60"/>
  <c r="AN10" i="60"/>
  <c r="AN11" i="60"/>
  <c r="AN12" i="60"/>
  <c r="AN13" i="60"/>
  <c r="AN14" i="60"/>
  <c r="H4" i="60"/>
  <c r="H37" i="60" s="1"/>
  <c r="G16" i="45" s="1"/>
  <c r="H5" i="60"/>
  <c r="H38" i="60" s="1"/>
  <c r="H16" i="45" s="1"/>
  <c r="H6" i="60"/>
  <c r="H39" i="60" s="1"/>
  <c r="I16" i="45" s="1"/>
  <c r="H7" i="60"/>
  <c r="H40" i="60" s="1"/>
  <c r="J16" i="45" s="1"/>
  <c r="H8" i="60"/>
  <c r="H41" i="60" s="1"/>
  <c r="K16" i="45" s="1"/>
  <c r="H9" i="60"/>
  <c r="H42" i="60" s="1"/>
  <c r="L16" i="45" s="1"/>
  <c r="H10" i="60"/>
  <c r="H43" i="60" s="1"/>
  <c r="M16" i="45" s="1"/>
  <c r="H11" i="60"/>
  <c r="H44" i="60" s="1"/>
  <c r="N16" i="45" s="1"/>
  <c r="H12" i="60"/>
  <c r="H45" i="60" s="1"/>
  <c r="O16" i="45" s="1"/>
  <c r="H13" i="60"/>
  <c r="H46" i="60" s="1"/>
  <c r="P16" i="45" s="1"/>
  <c r="H14" i="60"/>
  <c r="H47" i="60" s="1"/>
  <c r="Q16" i="45" s="1"/>
  <c r="V61" i="61"/>
  <c r="BJ33" i="60"/>
  <c r="AW33" i="60"/>
  <c r="Z48" i="61"/>
  <c r="AA48" i="61" s="1"/>
  <c r="Z20" i="61"/>
  <c r="AA20" i="61" s="1"/>
  <c r="U33" i="60"/>
  <c r="Z9" i="61"/>
  <c r="AA9" i="61" s="1"/>
  <c r="AM45" i="60"/>
  <c r="O47" i="45" s="1"/>
  <c r="CD43" i="60"/>
  <c r="M90" i="45" s="1"/>
  <c r="BM33" i="60"/>
  <c r="P36" i="60"/>
  <c r="CG3" i="60"/>
  <c r="CG8" i="60"/>
  <c r="CG10" i="60"/>
  <c r="CG5" i="60"/>
  <c r="CG12" i="60"/>
  <c r="CG7" i="60"/>
  <c r="BX8" i="60"/>
  <c r="BX10" i="60"/>
  <c r="BX12" i="60"/>
  <c r="BX5" i="60"/>
  <c r="BX38" i="60" s="1"/>
  <c r="BA3" i="60"/>
  <c r="BA12" i="60"/>
  <c r="BA5" i="60"/>
  <c r="BA14" i="60"/>
  <c r="BA7" i="60"/>
  <c r="BA9" i="60"/>
  <c r="BA4" i="60"/>
  <c r="AR10" i="60"/>
  <c r="AR5" i="60"/>
  <c r="AR12" i="60"/>
  <c r="AR7" i="60"/>
  <c r="AR14" i="60"/>
  <c r="AR9" i="60"/>
  <c r="L5" i="60"/>
  <c r="L38" i="60" s="1"/>
  <c r="H20" i="45" s="1"/>
  <c r="CY20" i="45" s="1"/>
  <c r="EK20" i="45" s="1"/>
  <c r="L14" i="60"/>
  <c r="L47" i="60" s="1"/>
  <c r="Q20" i="45" s="1"/>
  <c r="DH20" i="45" s="1"/>
  <c r="ET20" i="45" s="1"/>
  <c r="L7" i="60"/>
  <c r="L40" i="60" s="1"/>
  <c r="J20" i="45" s="1"/>
  <c r="DA20" i="45" s="1"/>
  <c r="EM20" i="45" s="1"/>
  <c r="L9" i="60"/>
  <c r="L42" i="60" s="1"/>
  <c r="L20" i="45" s="1"/>
  <c r="DC20" i="45" s="1"/>
  <c r="L4" i="60"/>
  <c r="L37" i="60" s="1"/>
  <c r="X96" i="61"/>
  <c r="Y96" i="61" s="1"/>
  <c r="CS33" i="60"/>
  <c r="X81" i="61"/>
  <c r="Y81" i="61" s="1"/>
  <c r="X78" i="61"/>
  <c r="Y78" i="61" s="1"/>
  <c r="X77" i="61"/>
  <c r="Y77" i="61" s="1"/>
  <c r="X76" i="61"/>
  <c r="Y76" i="61" s="1"/>
  <c r="BU47" i="60"/>
  <c r="Q81" i="45" s="1"/>
  <c r="T68" i="61"/>
  <c r="X64" i="61"/>
  <c r="Y64" i="61" s="1"/>
  <c r="T62" i="61"/>
  <c r="X56" i="61"/>
  <c r="Y56" i="61" s="1"/>
  <c r="AX33" i="60"/>
  <c r="Z49" i="61"/>
  <c r="AA49" i="61" s="1"/>
  <c r="Z41" i="61"/>
  <c r="AA41" i="61" s="1"/>
  <c r="X40" i="61"/>
  <c r="Y40" i="61" s="1"/>
  <c r="Z38" i="61"/>
  <c r="AA38" i="61" s="1"/>
  <c r="Z33" i="61"/>
  <c r="AA33" i="61" s="1"/>
  <c r="T27" i="61"/>
  <c r="S36" i="60"/>
  <c r="S37" i="60"/>
  <c r="G27" i="45" s="1"/>
  <c r="CX27" i="45" s="1"/>
  <c r="S43" i="60"/>
  <c r="M27" i="45" s="1"/>
  <c r="DD27" i="45" s="1"/>
  <c r="S39" i="60"/>
  <c r="I27" i="45" s="1"/>
  <c r="CZ27" i="45" s="1"/>
  <c r="S42" i="60"/>
  <c r="L27" i="45" s="1"/>
  <c r="DC27" i="45" s="1"/>
  <c r="R33" i="60"/>
  <c r="V17" i="61"/>
  <c r="O33" i="60"/>
  <c r="Z14" i="61"/>
  <c r="AA14" i="61" s="1"/>
  <c r="X10" i="61"/>
  <c r="Y10" i="61" s="1"/>
  <c r="X9" i="61"/>
  <c r="Y9" i="61" s="1"/>
  <c r="AM47" i="60"/>
  <c r="Q47" i="45" s="1"/>
  <c r="BY45" i="60"/>
  <c r="O85" i="45" s="1"/>
  <c r="AQ42" i="60"/>
  <c r="L51" i="45" s="1"/>
  <c r="AQ41" i="60"/>
  <c r="K51" i="45" s="1"/>
  <c r="CD39" i="60"/>
  <c r="I90" i="45" s="1"/>
  <c r="S38" i="60"/>
  <c r="H27" i="45" s="1"/>
  <c r="CY27" i="45" s="1"/>
  <c r="Q37" i="60"/>
  <c r="G25" i="45" s="1"/>
  <c r="CC33" i="60"/>
  <c r="AT33" i="60"/>
  <c r="BX13" i="60"/>
  <c r="BM13" i="60"/>
  <c r="CV11" i="60"/>
  <c r="CV44" i="60" s="1"/>
  <c r="N108" i="45" s="1"/>
  <c r="DE108" i="45" s="1"/>
  <c r="AJ11" i="60"/>
  <c r="CC10" i="60"/>
  <c r="BA10" i="60"/>
  <c r="CC8" i="60"/>
  <c r="BM8" i="60"/>
  <c r="BA8" i="60"/>
  <c r="CC5" i="60"/>
  <c r="CG4" i="60"/>
  <c r="CK3" i="60"/>
  <c r="CK11" i="60"/>
  <c r="CK4" i="60"/>
  <c r="CK13" i="60"/>
  <c r="CK6" i="60"/>
  <c r="CK8" i="60"/>
  <c r="CB4" i="60"/>
  <c r="CB5" i="60"/>
  <c r="CB6" i="60"/>
  <c r="CB7" i="60"/>
  <c r="CB8" i="60"/>
  <c r="CB9" i="60"/>
  <c r="CB10" i="60"/>
  <c r="CB11" i="60"/>
  <c r="CB12" i="60"/>
  <c r="CB13" i="60"/>
  <c r="CB14" i="60"/>
  <c r="BE3" i="60"/>
  <c r="BE36" i="60" s="1"/>
  <c r="BE6" i="60"/>
  <c r="BE39" i="60" s="1"/>
  <c r="I65" i="45" s="1"/>
  <c r="BE13" i="60"/>
  <c r="BE46" i="60" s="1"/>
  <c r="P65" i="45" s="1"/>
  <c r="BE8" i="60"/>
  <c r="BE41" i="60" s="1"/>
  <c r="K65" i="45" s="1"/>
  <c r="BE10" i="60"/>
  <c r="BE43" i="60" s="1"/>
  <c r="M65" i="45" s="1"/>
  <c r="BE5" i="60"/>
  <c r="BE38" i="60" s="1"/>
  <c r="H65" i="45" s="1"/>
  <c r="AV4" i="60"/>
  <c r="AV37" i="60" s="1"/>
  <c r="G56" i="45" s="1"/>
  <c r="AV5" i="60"/>
  <c r="AV38" i="60" s="1"/>
  <c r="H56" i="45" s="1"/>
  <c r="AV6" i="60"/>
  <c r="AV39" i="60" s="1"/>
  <c r="I56" i="45" s="1"/>
  <c r="AV7" i="60"/>
  <c r="AV40" i="60" s="1"/>
  <c r="J56" i="45" s="1"/>
  <c r="AV8" i="60"/>
  <c r="AV41" i="60" s="1"/>
  <c r="K56" i="45" s="1"/>
  <c r="AV9" i="60"/>
  <c r="AV42" i="60" s="1"/>
  <c r="L56" i="45" s="1"/>
  <c r="AV10" i="60"/>
  <c r="AV43" i="60" s="1"/>
  <c r="M56" i="45" s="1"/>
  <c r="AV11" i="60"/>
  <c r="AV44" i="60" s="1"/>
  <c r="N56" i="45" s="1"/>
  <c r="AV12" i="60"/>
  <c r="AV45" i="60" s="1"/>
  <c r="O56" i="45" s="1"/>
  <c r="AV13" i="60"/>
  <c r="AV46" i="60" s="1"/>
  <c r="P56" i="45" s="1"/>
  <c r="AV14" i="60"/>
  <c r="P4" i="60"/>
  <c r="P37" i="60" s="1"/>
  <c r="G24" i="45" s="1"/>
  <c r="P5" i="60"/>
  <c r="P38" i="60" s="1"/>
  <c r="H24" i="45" s="1"/>
  <c r="P6" i="60"/>
  <c r="P39" i="60" s="1"/>
  <c r="I24" i="45" s="1"/>
  <c r="P7" i="60"/>
  <c r="P40" i="60" s="1"/>
  <c r="J24" i="45" s="1"/>
  <c r="P8" i="60"/>
  <c r="P41" i="60" s="1"/>
  <c r="K24" i="45" s="1"/>
  <c r="P9" i="60"/>
  <c r="P42" i="60" s="1"/>
  <c r="L24" i="45" s="1"/>
  <c r="DC24" i="45" s="1"/>
  <c r="EO24" i="45" s="1"/>
  <c r="P10" i="60"/>
  <c r="P43" i="60" s="1"/>
  <c r="M24" i="45" s="1"/>
  <c r="DD24" i="45" s="1"/>
  <c r="EP24" i="45" s="1"/>
  <c r="P11" i="60"/>
  <c r="P44" i="60" s="1"/>
  <c r="N24" i="45" s="1"/>
  <c r="DE24" i="45" s="1"/>
  <c r="EQ24" i="45" s="1"/>
  <c r="P12" i="60"/>
  <c r="P45" i="60" s="1"/>
  <c r="O24" i="45" s="1"/>
  <c r="DF24" i="45" s="1"/>
  <c r="ER24" i="45" s="1"/>
  <c r="P13" i="60"/>
  <c r="P46" i="60" s="1"/>
  <c r="P24" i="45" s="1"/>
  <c r="DG24" i="45" s="1"/>
  <c r="ES24" i="45" s="1"/>
  <c r="P14" i="60"/>
  <c r="P47" i="60" s="1"/>
  <c r="Q24" i="45" s="1"/>
  <c r="DH24" i="45" s="1"/>
  <c r="ET24" i="45" s="1"/>
  <c r="F17" i="63"/>
  <c r="K109" i="61"/>
  <c r="V97" i="61"/>
  <c r="CT33" i="60"/>
  <c r="V81" i="61"/>
  <c r="X80" i="61"/>
  <c r="Y80" i="61" s="1"/>
  <c r="V79" i="61"/>
  <c r="V78" i="61"/>
  <c r="V77" i="61"/>
  <c r="V76" i="61"/>
  <c r="BT46" i="60"/>
  <c r="P80" i="45" s="1"/>
  <c r="BT36" i="60"/>
  <c r="V56" i="61"/>
  <c r="AZ33" i="60"/>
  <c r="X51" i="61"/>
  <c r="Y51" i="61" s="1"/>
  <c r="AY43" i="60"/>
  <c r="M59" i="45" s="1"/>
  <c r="AY45" i="60"/>
  <c r="O59" i="45" s="1"/>
  <c r="AY36" i="60"/>
  <c r="AY40" i="60"/>
  <c r="J59" i="45" s="1"/>
  <c r="AY44" i="60"/>
  <c r="N59" i="45" s="1"/>
  <c r="Z37" i="61"/>
  <c r="AA37" i="61" s="1"/>
  <c r="Z36" i="61"/>
  <c r="AA36" i="61" s="1"/>
  <c r="Z35" i="61"/>
  <c r="AA35" i="61" s="1"/>
  <c r="V28" i="61"/>
  <c r="X33" i="60"/>
  <c r="Z23" i="61"/>
  <c r="AA23" i="61" s="1"/>
  <c r="Z6" i="61"/>
  <c r="AA6" i="61" s="1"/>
  <c r="Z5" i="61"/>
  <c r="AA5" i="61" s="1"/>
  <c r="Z4" i="61"/>
  <c r="AA4" i="61" s="1"/>
  <c r="CD47" i="60"/>
  <c r="Q90" i="45" s="1"/>
  <c r="DH90" i="45" s="1"/>
  <c r="ET90" i="45" s="1"/>
  <c r="AV47" i="60"/>
  <c r="Q56" i="45" s="1"/>
  <c r="CD42" i="60"/>
  <c r="L90" i="45" s="1"/>
  <c r="S41" i="60"/>
  <c r="K27" i="45" s="1"/>
  <c r="DB27" i="45" s="1"/>
  <c r="CD40" i="60"/>
  <c r="J90" i="45" s="1"/>
  <c r="AY39" i="60"/>
  <c r="I59" i="45" s="1"/>
  <c r="CB33" i="60"/>
  <c r="AA33" i="60"/>
  <c r="K33" i="60"/>
  <c r="BP14" i="60"/>
  <c r="AW12" i="60"/>
  <c r="L12" i="60"/>
  <c r="L45" i="60" s="1"/>
  <c r="O20" i="45" s="1"/>
  <c r="DF20" i="45" s="1"/>
  <c r="L10" i="60"/>
  <c r="L43" i="60" s="1"/>
  <c r="M20" i="45" s="1"/>
  <c r="DD20" i="45" s="1"/>
  <c r="EP20" i="45" s="1"/>
  <c r="BM9" i="60"/>
  <c r="AW9" i="60"/>
  <c r="CC7" i="60"/>
  <c r="L6" i="60"/>
  <c r="L39" i="60" s="1"/>
  <c r="I20" i="45" s="1"/>
  <c r="CZ20" i="45" s="1"/>
  <c r="AW5" i="60"/>
  <c r="CO3" i="60"/>
  <c r="CO12" i="60"/>
  <c r="CO5" i="60"/>
  <c r="CO14" i="60"/>
  <c r="CO7" i="60"/>
  <c r="CO9" i="60"/>
  <c r="CO4" i="60"/>
  <c r="CF10" i="60"/>
  <c r="CF5" i="60"/>
  <c r="CF38" i="60" s="1"/>
  <c r="CF12" i="60"/>
  <c r="CF7" i="60"/>
  <c r="CF40" i="60" s="1"/>
  <c r="J92" i="45" s="1"/>
  <c r="CF14" i="60"/>
  <c r="CF9" i="60"/>
  <c r="BI3" i="60"/>
  <c r="BI7" i="60"/>
  <c r="BI14" i="60"/>
  <c r="BI9" i="60"/>
  <c r="BI11" i="60"/>
  <c r="BI4" i="60"/>
  <c r="AZ5" i="60"/>
  <c r="AZ14" i="60"/>
  <c r="AZ7" i="60"/>
  <c r="AZ9" i="60"/>
  <c r="AZ4" i="60"/>
  <c r="T9" i="60"/>
  <c r="T42" i="60" s="1"/>
  <c r="L28" i="45" s="1"/>
  <c r="DC28" i="45" s="1"/>
  <c r="T11" i="60"/>
  <c r="T44" i="60" s="1"/>
  <c r="N28" i="45" s="1"/>
  <c r="DE28" i="45" s="1"/>
  <c r="T4" i="60"/>
  <c r="T37" i="60" s="1"/>
  <c r="T13" i="60"/>
  <c r="T46" i="60" s="1"/>
  <c r="P28" i="45" s="1"/>
  <c r="DG28" i="45" s="1"/>
  <c r="T6" i="60"/>
  <c r="T39" i="60" s="1"/>
  <c r="I28" i="45" s="1"/>
  <c r="CZ28" i="45" s="1"/>
  <c r="X24" i="61"/>
  <c r="Y24" i="61" s="1"/>
  <c r="Z24" i="61"/>
  <c r="AA24" i="61" s="1"/>
  <c r="X8" i="61"/>
  <c r="Y8" i="61" s="1"/>
  <c r="I33" i="60"/>
  <c r="AH36" i="60"/>
  <c r="Y33" i="60"/>
  <c r="J33" i="60"/>
  <c r="CV3" i="60"/>
  <c r="CV36" i="60" s="1"/>
  <c r="CV6" i="60"/>
  <c r="CV39" i="60" s="1"/>
  <c r="I108" i="45" s="1"/>
  <c r="CZ108" i="45" s="1"/>
  <c r="CV8" i="60"/>
  <c r="CV41" i="60" s="1"/>
  <c r="K108" i="45" s="1"/>
  <c r="DB108" i="45" s="1"/>
  <c r="CV10" i="60"/>
  <c r="CV43" i="60" s="1"/>
  <c r="M108" i="45" s="1"/>
  <c r="DD108" i="45" s="1"/>
  <c r="CV5" i="60"/>
  <c r="CV38" i="60" s="1"/>
  <c r="H108" i="45" s="1"/>
  <c r="CY108" i="45" s="1"/>
  <c r="CJ4" i="60"/>
  <c r="CJ5" i="60"/>
  <c r="CJ6" i="60"/>
  <c r="CJ7" i="60"/>
  <c r="CJ8" i="60"/>
  <c r="CJ9" i="60"/>
  <c r="CJ10" i="60"/>
  <c r="CJ11" i="60"/>
  <c r="CJ12" i="60"/>
  <c r="CJ13" i="60"/>
  <c r="CJ14" i="60"/>
  <c r="BM3" i="60"/>
  <c r="BM10" i="60"/>
  <c r="BM12" i="60"/>
  <c r="BM5" i="60"/>
  <c r="BM14" i="60"/>
  <c r="BM7" i="60"/>
  <c r="BD4" i="60"/>
  <c r="BD5" i="60"/>
  <c r="BD6" i="60"/>
  <c r="BD7" i="60"/>
  <c r="BD8" i="60"/>
  <c r="BD41" i="60" s="1"/>
  <c r="K64" i="45" s="1"/>
  <c r="BD9" i="60"/>
  <c r="BD10" i="60"/>
  <c r="BD11" i="60"/>
  <c r="BD44" i="60" s="1"/>
  <c r="N64" i="45" s="1"/>
  <c r="BD12" i="60"/>
  <c r="BD13" i="60"/>
  <c r="BD14" i="60"/>
  <c r="X4" i="60"/>
  <c r="X5" i="60"/>
  <c r="X6" i="60"/>
  <c r="X7" i="60"/>
  <c r="X8" i="60"/>
  <c r="X9" i="60"/>
  <c r="X10" i="60"/>
  <c r="X11" i="60"/>
  <c r="X12" i="60"/>
  <c r="X13" i="60"/>
  <c r="X14" i="60"/>
  <c r="CD41" i="60"/>
  <c r="K90" i="45" s="1"/>
  <c r="CD38" i="60"/>
  <c r="H90" i="45" s="1"/>
  <c r="CD36" i="60"/>
  <c r="CD45" i="60"/>
  <c r="O90" i="45" s="1"/>
  <c r="CD46" i="60"/>
  <c r="P90" i="45" s="1"/>
  <c r="BY46" i="60"/>
  <c r="P85" i="45" s="1"/>
  <c r="BY37" i="60"/>
  <c r="G85" i="45" s="1"/>
  <c r="BY39" i="60"/>
  <c r="I85" i="45" s="1"/>
  <c r="BF33" i="60"/>
  <c r="X57" i="61"/>
  <c r="Y57" i="61" s="1"/>
  <c r="AQ43" i="60"/>
  <c r="M51" i="45" s="1"/>
  <c r="AQ38" i="60"/>
  <c r="H51" i="45" s="1"/>
  <c r="CY51" i="45" s="1"/>
  <c r="AQ37" i="60"/>
  <c r="G51" i="45" s="1"/>
  <c r="CX51" i="45" s="1"/>
  <c r="AQ46" i="60"/>
  <c r="P51" i="45" s="1"/>
  <c r="AQ45" i="60"/>
  <c r="O51" i="45" s="1"/>
  <c r="AP33" i="60"/>
  <c r="V41" i="61"/>
  <c r="Z40" i="61"/>
  <c r="AA40" i="61" s="1"/>
  <c r="AO33" i="60"/>
  <c r="V38" i="61"/>
  <c r="X37" i="61"/>
  <c r="Y37" i="61" s="1"/>
  <c r="V36" i="61"/>
  <c r="V34" i="61"/>
  <c r="V33" i="61"/>
  <c r="Z30" i="61"/>
  <c r="AA30" i="61" s="1"/>
  <c r="Z33" i="60"/>
  <c r="V25" i="61"/>
  <c r="Z25" i="61"/>
  <c r="AA25" i="61" s="1"/>
  <c r="X6" i="61"/>
  <c r="Y6" i="61" s="1"/>
  <c r="V5" i="61"/>
  <c r="V4" i="61"/>
  <c r="V3" i="61"/>
  <c r="BZ33" i="60"/>
  <c r="BD36" i="60"/>
  <c r="AL33" i="60"/>
  <c r="W33" i="60"/>
  <c r="AW7" i="60"/>
  <c r="CV4" i="60"/>
  <c r="CV37" i="60" s="1"/>
  <c r="G108" i="45" s="1"/>
  <c r="CX108" i="45" s="1"/>
  <c r="CN5" i="60"/>
  <c r="CN14" i="60"/>
  <c r="CN7" i="60"/>
  <c r="CN9" i="60"/>
  <c r="CN4" i="60"/>
  <c r="BQ3" i="60"/>
  <c r="BQ11" i="60"/>
  <c r="BQ4" i="60"/>
  <c r="BQ13" i="60"/>
  <c r="BQ6" i="60"/>
  <c r="BQ8" i="60"/>
  <c r="BH9" i="60"/>
  <c r="BH11" i="60"/>
  <c r="BH4" i="60"/>
  <c r="BH13" i="60"/>
  <c r="BH6" i="60"/>
  <c r="AB4" i="60"/>
  <c r="AB11" i="60"/>
  <c r="AB6" i="60"/>
  <c r="AB13" i="60"/>
  <c r="AB8" i="60"/>
  <c r="AB10" i="60"/>
  <c r="AK5" i="60"/>
  <c r="AG4" i="60"/>
  <c r="AG37" i="60" s="1"/>
  <c r="G41" i="45" s="1"/>
  <c r="AC8" i="60"/>
  <c r="Y7" i="60"/>
  <c r="E7" i="60"/>
  <c r="E40" i="60" s="1"/>
  <c r="J13" i="45" s="1"/>
  <c r="Q5" i="60"/>
  <c r="U4" i="60"/>
  <c r="CT5" i="60"/>
  <c r="CT7" i="60"/>
  <c r="CT9" i="60"/>
  <c r="CT11" i="60"/>
  <c r="CT13" i="60"/>
  <c r="CM4" i="60"/>
  <c r="CM37" i="60" s="1"/>
  <c r="G99" i="45" s="1"/>
  <c r="CX99" i="45" s="1"/>
  <c r="CM6" i="60"/>
  <c r="CM39" i="60" s="1"/>
  <c r="I99" i="45" s="1"/>
  <c r="CZ99" i="45" s="1"/>
  <c r="CM8" i="60"/>
  <c r="CM41" i="60" s="1"/>
  <c r="K99" i="45" s="1"/>
  <c r="DB99" i="45" s="1"/>
  <c r="CM10" i="60"/>
  <c r="CM43" i="60" s="1"/>
  <c r="M99" i="45" s="1"/>
  <c r="DD99" i="45" s="1"/>
  <c r="CM12" i="60"/>
  <c r="CM45" i="60" s="1"/>
  <c r="O99" i="45" s="1"/>
  <c r="DF99" i="45" s="1"/>
  <c r="CM14" i="60"/>
  <c r="CM47" i="60" s="1"/>
  <c r="Q99" i="45" s="1"/>
  <c r="DH99" i="45" s="1"/>
  <c r="BK4" i="60"/>
  <c r="BK6" i="60"/>
  <c r="BK8" i="60"/>
  <c r="BK10" i="60"/>
  <c r="BK12" i="60"/>
  <c r="BK14" i="60"/>
  <c r="BG5" i="60"/>
  <c r="BG7" i="60"/>
  <c r="BG9" i="60"/>
  <c r="BG11" i="60"/>
  <c r="BG13" i="60"/>
  <c r="AE5" i="60"/>
  <c r="AE7" i="60"/>
  <c r="AE9" i="60"/>
  <c r="AE11" i="60"/>
  <c r="AE13" i="60"/>
  <c r="AA4" i="60"/>
  <c r="AA6" i="60"/>
  <c r="AA8" i="60"/>
  <c r="AA10" i="60"/>
  <c r="AA12" i="60"/>
  <c r="AA14" i="60"/>
  <c r="AC13" i="60"/>
  <c r="CT12" i="60"/>
  <c r="Y12" i="60"/>
  <c r="E12" i="60"/>
  <c r="E45" i="60" s="1"/>
  <c r="O13" i="45" s="1"/>
  <c r="CM11" i="60"/>
  <c r="CM44" i="60" s="1"/>
  <c r="N99" i="45" s="1"/>
  <c r="DE99" i="45" s="1"/>
  <c r="U11" i="60"/>
  <c r="AK10" i="60"/>
  <c r="Q10" i="60"/>
  <c r="CE9" i="60"/>
  <c r="AG9" i="60"/>
  <c r="AG42" i="60" s="1"/>
  <c r="L41" i="45" s="1"/>
  <c r="CI8" i="60"/>
  <c r="BK7" i="60"/>
  <c r="CZ6" i="60"/>
  <c r="CA6" i="60"/>
  <c r="CA39" i="60" s="1"/>
  <c r="I87" i="45" s="1"/>
  <c r="BG6" i="60"/>
  <c r="AC6" i="60"/>
  <c r="BW5" i="60"/>
  <c r="Y5" i="60"/>
  <c r="E5" i="60"/>
  <c r="E38" i="60" s="1"/>
  <c r="H13" i="45" s="1"/>
  <c r="AY4" i="60"/>
  <c r="AY37" i="60" s="1"/>
  <c r="G59" i="45" s="1"/>
  <c r="AG46" i="60"/>
  <c r="P41" i="45" s="1"/>
  <c r="T38" i="60"/>
  <c r="H28" i="45" s="1"/>
  <c r="CY28" i="45" s="1"/>
  <c r="CE14" i="60"/>
  <c r="AQ14" i="60"/>
  <c r="AQ47" i="60" s="1"/>
  <c r="Q51" i="45" s="1"/>
  <c r="AG14" i="60"/>
  <c r="AG47" i="60" s="1"/>
  <c r="Q41" i="45" s="1"/>
  <c r="M14" i="60"/>
  <c r="M47" i="60" s="1"/>
  <c r="Q21" i="45" s="1"/>
  <c r="DH21" i="45" s="1"/>
  <c r="ET21" i="45" s="1"/>
  <c r="CZ13" i="60"/>
  <c r="CA13" i="60"/>
  <c r="CA46" i="60" s="1"/>
  <c r="P87" i="45" s="1"/>
  <c r="S13" i="60"/>
  <c r="S46" i="60" s="1"/>
  <c r="P27" i="45" s="1"/>
  <c r="I13" i="60"/>
  <c r="W12" i="60"/>
  <c r="AM11" i="60"/>
  <c r="AM44" i="60" s="1"/>
  <c r="N47" i="45" s="1"/>
  <c r="AC11" i="60"/>
  <c r="CT10" i="60"/>
  <c r="Y10" i="60"/>
  <c r="E10" i="60"/>
  <c r="E43" i="60" s="1"/>
  <c r="M13" i="45" s="1"/>
  <c r="CM9" i="60"/>
  <c r="CM42" i="60" s="1"/>
  <c r="L99" i="45" s="1"/>
  <c r="DC99" i="45" s="1"/>
  <c r="BS9" i="60"/>
  <c r="U9" i="60"/>
  <c r="BO8" i="60"/>
  <c r="AK8" i="60"/>
  <c r="Q8" i="60"/>
  <c r="CE7" i="60"/>
  <c r="AQ7" i="60"/>
  <c r="AQ40" i="60" s="1"/>
  <c r="J51" i="45" s="1"/>
  <c r="DA51" i="45" s="1"/>
  <c r="AG7" i="60"/>
  <c r="AG40" i="60" s="1"/>
  <c r="CI6" i="60"/>
  <c r="BK5" i="60"/>
  <c r="BG4" i="60"/>
  <c r="AC4" i="60"/>
  <c r="U14" i="60"/>
  <c r="AK13" i="60"/>
  <c r="AK46" i="60" s="1"/>
  <c r="P45" i="45" s="1"/>
  <c r="AG12" i="60"/>
  <c r="AG45" i="60" s="1"/>
  <c r="O41" i="45" s="1"/>
  <c r="M12" i="60"/>
  <c r="M45" i="60" s="1"/>
  <c r="O21" i="45" s="1"/>
  <c r="DF21" i="45" s="1"/>
  <c r="I11" i="60"/>
  <c r="AC9" i="60"/>
  <c r="CT8" i="60"/>
  <c r="Y8" i="60"/>
  <c r="E8" i="60"/>
  <c r="E41" i="60" s="1"/>
  <c r="K13" i="45" s="1"/>
  <c r="CM7" i="60"/>
  <c r="CM40" i="60" s="1"/>
  <c r="J99" i="45" s="1"/>
  <c r="DA99" i="45" s="1"/>
  <c r="U7" i="60"/>
  <c r="AK6" i="60"/>
  <c r="Q6" i="60"/>
  <c r="AG5" i="60"/>
  <c r="AG38" i="60" s="1"/>
  <c r="H41" i="45" s="1"/>
  <c r="M5" i="60"/>
  <c r="M38" i="60" s="1"/>
  <c r="H21" i="45" s="1"/>
  <c r="CY21" i="45" s="1"/>
  <c r="EK21" i="45" s="1"/>
  <c r="M7" i="60"/>
  <c r="M40" i="60" s="1"/>
  <c r="J21" i="45" s="1"/>
  <c r="DA21" i="45" s="1"/>
  <c r="M9" i="60"/>
  <c r="M42" i="60" s="1"/>
  <c r="L21" i="45" s="1"/>
  <c r="DC21" i="45" s="1"/>
  <c r="EO21" i="45" s="1"/>
  <c r="M11" i="60"/>
  <c r="M44" i="60" s="1"/>
  <c r="N21" i="45" s="1"/>
  <c r="DE21" i="45" s="1"/>
  <c r="EQ21" i="45" s="1"/>
  <c r="M13" i="60"/>
  <c r="M46" i="60" s="1"/>
  <c r="P21" i="45" s="1"/>
  <c r="DG21" i="45" s="1"/>
  <c r="ES21" i="45" s="1"/>
  <c r="I4" i="60"/>
  <c r="I6" i="60"/>
  <c r="I8" i="60"/>
  <c r="I10" i="60"/>
  <c r="I12" i="60"/>
  <c r="I14" i="60"/>
  <c r="H36" i="60"/>
  <c r="EI21" i="45"/>
  <c r="EL20" i="45"/>
  <c r="ER20" i="45"/>
  <c r="EO20" i="45"/>
  <c r="EM21" i="45"/>
  <c r="ER21" i="45"/>
  <c r="BD40" i="60" l="1"/>
  <c r="J64" i="45" s="1"/>
  <c r="BD47" i="60"/>
  <c r="Q64" i="45" s="1"/>
  <c r="BD39" i="60"/>
  <c r="I64" i="45" s="1"/>
  <c r="BD38" i="60"/>
  <c r="H64" i="45" s="1"/>
  <c r="BD46" i="60"/>
  <c r="P64" i="45" s="1"/>
  <c r="Q39" i="60"/>
  <c r="I25" i="45" s="1"/>
  <c r="CZ25" i="45" s="1"/>
  <c r="EL25" i="45" s="1"/>
  <c r="Q38" i="60"/>
  <c r="H25" i="45" s="1"/>
  <c r="BD45" i="60"/>
  <c r="O64" i="45" s="1"/>
  <c r="BD37" i="60"/>
  <c r="G64" i="45" s="1"/>
  <c r="BD43" i="60"/>
  <c r="M64" i="45" s="1"/>
  <c r="AU36" i="60"/>
  <c r="F55" i="45" s="1"/>
  <c r="V38" i="60"/>
  <c r="H30" i="45" s="1"/>
  <c r="V41" i="60"/>
  <c r="K30" i="45" s="1"/>
  <c r="DB30" i="45" s="1"/>
  <c r="V44" i="60"/>
  <c r="N30" i="45" s="1"/>
  <c r="DE30" i="45" s="1"/>
  <c r="V42" i="60"/>
  <c r="L30" i="45" s="1"/>
  <c r="DC30" i="45" s="1"/>
  <c r="V37" i="60"/>
  <c r="G30" i="45" s="1"/>
  <c r="X29" i="61"/>
  <c r="Y29" i="61" s="1"/>
  <c r="V46" i="60"/>
  <c r="P30" i="45" s="1"/>
  <c r="V47" i="60"/>
  <c r="Q30" i="45" s="1"/>
  <c r="AU42" i="60"/>
  <c r="L55" i="45" s="1"/>
  <c r="V36" i="60"/>
  <c r="AU38" i="60"/>
  <c r="H55" i="45" s="1"/>
  <c r="AU39" i="60"/>
  <c r="I55" i="45" s="1"/>
  <c r="V39" i="60"/>
  <c r="I30" i="45" s="1"/>
  <c r="CZ30" i="45" s="1"/>
  <c r="V29" i="61"/>
  <c r="AU41" i="60"/>
  <c r="K55" i="45" s="1"/>
  <c r="V45" i="60"/>
  <c r="O30" i="45" s="1"/>
  <c r="Z29" i="61"/>
  <c r="AA29" i="61" s="1"/>
  <c r="AK36" i="60"/>
  <c r="Q41" i="60"/>
  <c r="K25" i="45" s="1"/>
  <c r="Q42" i="60"/>
  <c r="L25" i="45" s="1"/>
  <c r="AK37" i="60"/>
  <c r="G45" i="45" s="1"/>
  <c r="AK41" i="60"/>
  <c r="K45" i="45" s="1"/>
  <c r="AK38" i="60"/>
  <c r="H45" i="45" s="1"/>
  <c r="CY45" i="45" s="1"/>
  <c r="EK45" i="45" s="1"/>
  <c r="Q36" i="60"/>
  <c r="AK47" i="60"/>
  <c r="Q45" i="45" s="1"/>
  <c r="Q44" i="60"/>
  <c r="N25" i="45" s="1"/>
  <c r="Q43" i="60"/>
  <c r="M25" i="45" s="1"/>
  <c r="DD25" i="45" s="1"/>
  <c r="EP25" i="45" s="1"/>
  <c r="AK44" i="60"/>
  <c r="N45" i="45" s="1"/>
  <c r="AK43" i="60"/>
  <c r="M45" i="45" s="1"/>
  <c r="AK40" i="60"/>
  <c r="J45" i="45" s="1"/>
  <c r="DA45" i="45" s="1"/>
  <c r="EM45" i="45" s="1"/>
  <c r="AK39" i="60"/>
  <c r="I45" i="45" s="1"/>
  <c r="D38" i="60"/>
  <c r="H12" i="45" s="1"/>
  <c r="T41" i="60"/>
  <c r="K28" i="45" s="1"/>
  <c r="DB28" i="45" s="1"/>
  <c r="T43" i="60"/>
  <c r="M28" i="45" s="1"/>
  <c r="DD28" i="45" s="1"/>
  <c r="T36" i="60"/>
  <c r="F28" i="45" s="1"/>
  <c r="CW28" i="45" s="1"/>
  <c r="AU44" i="60"/>
  <c r="N55" i="45" s="1"/>
  <c r="AU43" i="60"/>
  <c r="M55" i="45" s="1"/>
  <c r="AU40" i="60"/>
  <c r="J55" i="45" s="1"/>
  <c r="AU46" i="60"/>
  <c r="P55" i="45" s="1"/>
  <c r="AU47" i="60"/>
  <c r="Q55" i="45" s="1"/>
  <c r="AU45" i="60"/>
  <c r="O55" i="45" s="1"/>
  <c r="DA28" i="45"/>
  <c r="T47" i="60"/>
  <c r="Q28" i="45" s="1"/>
  <c r="DH28" i="45" s="1"/>
  <c r="T45" i="60"/>
  <c r="O28" i="45" s="1"/>
  <c r="DF28" i="45" s="1"/>
  <c r="Q40" i="60"/>
  <c r="J25" i="45" s="1"/>
  <c r="Q45" i="60"/>
  <c r="O25" i="45" s="1"/>
  <c r="Q46" i="60"/>
  <c r="P25" i="45" s="1"/>
  <c r="BY48" i="60"/>
  <c r="F85" i="45"/>
  <c r="J41" i="45"/>
  <c r="AG48" i="60"/>
  <c r="CV48" i="60"/>
  <c r="F108" i="45"/>
  <c r="H48" i="60"/>
  <c r="F16" i="45"/>
  <c r="K43" i="60"/>
  <c r="M19" i="45" s="1"/>
  <c r="K37" i="60"/>
  <c r="G19" i="45" s="1"/>
  <c r="K39" i="60"/>
  <c r="I19" i="45" s="1"/>
  <c r="K42" i="60"/>
  <c r="L19" i="45" s="1"/>
  <c r="K44" i="60"/>
  <c r="N19" i="45" s="1"/>
  <c r="K45" i="60"/>
  <c r="O19" i="45" s="1"/>
  <c r="K40" i="60"/>
  <c r="J19" i="45" s="1"/>
  <c r="K46" i="60"/>
  <c r="P19" i="45" s="1"/>
  <c r="K36" i="60"/>
  <c r="K41" i="60"/>
  <c r="K19" i="45" s="1"/>
  <c r="K47" i="60"/>
  <c r="Q19" i="45" s="1"/>
  <c r="K38" i="60"/>
  <c r="H19" i="45" s="1"/>
  <c r="CE40" i="60"/>
  <c r="J91" i="45" s="1"/>
  <c r="CE44" i="60"/>
  <c r="N91" i="45" s="1"/>
  <c r="CE38" i="60"/>
  <c r="H91" i="45" s="1"/>
  <c r="CE47" i="60"/>
  <c r="Q91" i="45" s="1"/>
  <c r="CE36" i="60"/>
  <c r="CE45" i="60"/>
  <c r="O91" i="45" s="1"/>
  <c r="CE37" i="60"/>
  <c r="G91" i="45" s="1"/>
  <c r="CE41" i="60"/>
  <c r="K91" i="45" s="1"/>
  <c r="CE42" i="60"/>
  <c r="L91" i="45" s="1"/>
  <c r="CE39" i="60"/>
  <c r="I91" i="45" s="1"/>
  <c r="CE43" i="60"/>
  <c r="M91" i="45" s="1"/>
  <c r="CE46" i="60"/>
  <c r="P91" i="45" s="1"/>
  <c r="CM50" i="45"/>
  <c r="BU50" i="45"/>
  <c r="C556" i="44"/>
  <c r="L475" i="44"/>
  <c r="AG412" i="65"/>
  <c r="Y413" i="65"/>
  <c r="AG848" i="65"/>
  <c r="Y849" i="65"/>
  <c r="BK18" i="45"/>
  <c r="CD18" i="45" s="1"/>
  <c r="BS18" i="45"/>
  <c r="CL18" i="45" s="1"/>
  <c r="BL18" i="45"/>
  <c r="CE18" i="45" s="1"/>
  <c r="BT18" i="45"/>
  <c r="CM18" i="45" s="1"/>
  <c r="BM18" i="45"/>
  <c r="CF18" i="45" s="1"/>
  <c r="BU18" i="45"/>
  <c r="CN18" i="45" s="1"/>
  <c r="BN18" i="45"/>
  <c r="CG18" i="45" s="1"/>
  <c r="BV18" i="45"/>
  <c r="CO18" i="45" s="1"/>
  <c r="BO18" i="45"/>
  <c r="CH18" i="45" s="1"/>
  <c r="BP18" i="45"/>
  <c r="CI18" i="45" s="1"/>
  <c r="BQ18" i="45"/>
  <c r="CJ18" i="45" s="1"/>
  <c r="BR18" i="45"/>
  <c r="CK18" i="45" s="1"/>
  <c r="BM59" i="45"/>
  <c r="CF59" i="45" s="1"/>
  <c r="CY59" i="45" s="1"/>
  <c r="BN59" i="45"/>
  <c r="CG59" i="45" s="1"/>
  <c r="BQ59" i="45"/>
  <c r="CJ59" i="45" s="1"/>
  <c r="DC59" i="45" s="1"/>
  <c r="BR59" i="45"/>
  <c r="CK59" i="45" s="1"/>
  <c r="BK59" i="45"/>
  <c r="CD59" i="45" s="1"/>
  <c r="BS59" i="45"/>
  <c r="CL59" i="45" s="1"/>
  <c r="BL59" i="45"/>
  <c r="CE59" i="45" s="1"/>
  <c r="BT59" i="45"/>
  <c r="BP59" i="45"/>
  <c r="CI59" i="45" s="1"/>
  <c r="DB59" i="45" s="1"/>
  <c r="BO59" i="45"/>
  <c r="CH59" i="45" s="1"/>
  <c r="FA130" i="45"/>
  <c r="AO40" i="60"/>
  <c r="J49" i="45" s="1"/>
  <c r="DA49" i="45" s="1"/>
  <c r="AO44" i="60"/>
  <c r="N49" i="45" s="1"/>
  <c r="DE49" i="45" s="1"/>
  <c r="AO36" i="60"/>
  <c r="AO38" i="60"/>
  <c r="H49" i="45" s="1"/>
  <c r="CY49" i="45" s="1"/>
  <c r="AO41" i="60"/>
  <c r="K49" i="45" s="1"/>
  <c r="DB49" i="45" s="1"/>
  <c r="AO42" i="60"/>
  <c r="L49" i="45" s="1"/>
  <c r="DC49" i="45" s="1"/>
  <c r="AO46" i="60"/>
  <c r="P49" i="45" s="1"/>
  <c r="AO43" i="60"/>
  <c r="M49" i="45" s="1"/>
  <c r="DD49" i="45" s="1"/>
  <c r="AO39" i="60"/>
  <c r="I49" i="45" s="1"/>
  <c r="CZ49" i="45" s="1"/>
  <c r="AO47" i="60"/>
  <c r="Q49" i="45" s="1"/>
  <c r="AO45" i="60"/>
  <c r="O49" i="45" s="1"/>
  <c r="AO37" i="60"/>
  <c r="G49" i="45" s="1"/>
  <c r="CX49" i="45" s="1"/>
  <c r="CS42" i="60"/>
  <c r="L105" i="45" s="1"/>
  <c r="DC105" i="45" s="1"/>
  <c r="EO105" i="45" s="1"/>
  <c r="CS39" i="60"/>
  <c r="I105" i="45" s="1"/>
  <c r="CZ105" i="45" s="1"/>
  <c r="EL105" i="45" s="1"/>
  <c r="CS37" i="60"/>
  <c r="G105" i="45" s="1"/>
  <c r="CX105" i="45" s="1"/>
  <c r="CS41" i="60"/>
  <c r="K105" i="45" s="1"/>
  <c r="DB105" i="45" s="1"/>
  <c r="CS38" i="60"/>
  <c r="H105" i="45" s="1"/>
  <c r="CY105" i="45" s="1"/>
  <c r="EK105" i="45" s="1"/>
  <c r="CS40" i="60"/>
  <c r="J105" i="45" s="1"/>
  <c r="DA105" i="45" s="1"/>
  <c r="EM105" i="45" s="1"/>
  <c r="CS47" i="60"/>
  <c r="Q105" i="45" s="1"/>
  <c r="DH105" i="45" s="1"/>
  <c r="CS43" i="60"/>
  <c r="M105" i="45" s="1"/>
  <c r="DD105" i="45" s="1"/>
  <c r="CS44" i="60"/>
  <c r="N105" i="45" s="1"/>
  <c r="DE105" i="45" s="1"/>
  <c r="CS36" i="60"/>
  <c r="CS46" i="60"/>
  <c r="P105" i="45" s="1"/>
  <c r="DG105" i="45" s="1"/>
  <c r="CS45" i="60"/>
  <c r="O105" i="45" s="1"/>
  <c r="DF105" i="45" s="1"/>
  <c r="ER105" i="45" s="1"/>
  <c r="W41" i="60"/>
  <c r="K31" i="45" s="1"/>
  <c r="DB31" i="45" s="1"/>
  <c r="W37" i="60"/>
  <c r="G31" i="45" s="1"/>
  <c r="CX31" i="45" s="1"/>
  <c r="W40" i="60"/>
  <c r="J31" i="45" s="1"/>
  <c r="DA31" i="45" s="1"/>
  <c r="W44" i="60"/>
  <c r="N31" i="45" s="1"/>
  <c r="DE31" i="45" s="1"/>
  <c r="W45" i="60"/>
  <c r="O31" i="45" s="1"/>
  <c r="W39" i="60"/>
  <c r="I31" i="45" s="1"/>
  <c r="CZ31" i="45" s="1"/>
  <c r="W36" i="60"/>
  <c r="W46" i="60"/>
  <c r="P31" i="45" s="1"/>
  <c r="W42" i="60"/>
  <c r="L31" i="45" s="1"/>
  <c r="DC31" i="45" s="1"/>
  <c r="W38" i="60"/>
  <c r="H31" i="45" s="1"/>
  <c r="CY31" i="45" s="1"/>
  <c r="W43" i="60"/>
  <c r="M31" i="45" s="1"/>
  <c r="DD31" i="45" s="1"/>
  <c r="W47" i="60"/>
  <c r="Q31" i="45" s="1"/>
  <c r="CF48" i="60"/>
  <c r="H92" i="45"/>
  <c r="AL37" i="60"/>
  <c r="G46" i="45" s="1"/>
  <c r="AL47" i="60"/>
  <c r="Q46" i="45" s="1"/>
  <c r="AL36" i="60"/>
  <c r="AL39" i="60"/>
  <c r="I46" i="45" s="1"/>
  <c r="AL42" i="60"/>
  <c r="L46" i="45" s="1"/>
  <c r="AL40" i="60"/>
  <c r="J46" i="45" s="1"/>
  <c r="AL43" i="60"/>
  <c r="M46" i="45" s="1"/>
  <c r="AL44" i="60"/>
  <c r="N46" i="45" s="1"/>
  <c r="AL45" i="60"/>
  <c r="O46" i="45" s="1"/>
  <c r="AL38" i="60"/>
  <c r="H46" i="45" s="1"/>
  <c r="AL46" i="60"/>
  <c r="P46" i="45" s="1"/>
  <c r="AL41" i="60"/>
  <c r="K46" i="45" s="1"/>
  <c r="AZ37" i="60"/>
  <c r="G60" i="45" s="1"/>
  <c r="AZ38" i="60"/>
  <c r="H60" i="45" s="1"/>
  <c r="AZ46" i="60"/>
  <c r="P60" i="45" s="1"/>
  <c r="AZ47" i="60"/>
  <c r="Q60" i="45" s="1"/>
  <c r="AZ45" i="60"/>
  <c r="O60" i="45" s="1"/>
  <c r="AZ40" i="60"/>
  <c r="J60" i="45" s="1"/>
  <c r="AZ36" i="60"/>
  <c r="AZ41" i="60"/>
  <c r="K60" i="45" s="1"/>
  <c r="AZ42" i="60"/>
  <c r="L60" i="45" s="1"/>
  <c r="AZ43" i="60"/>
  <c r="M60" i="45" s="1"/>
  <c r="AZ39" i="60"/>
  <c r="I60" i="45" s="1"/>
  <c r="AZ44" i="60"/>
  <c r="N60" i="45" s="1"/>
  <c r="AT36" i="60"/>
  <c r="AT47" i="60"/>
  <c r="Q54" i="45" s="1"/>
  <c r="AT39" i="60"/>
  <c r="I54" i="45" s="1"/>
  <c r="AT38" i="60"/>
  <c r="H54" i="45" s="1"/>
  <c r="AT37" i="60"/>
  <c r="G54" i="45" s="1"/>
  <c r="AT44" i="60"/>
  <c r="N54" i="45" s="1"/>
  <c r="AT45" i="60"/>
  <c r="O54" i="45" s="1"/>
  <c r="AT41" i="60"/>
  <c r="K54" i="45" s="1"/>
  <c r="AT46" i="60"/>
  <c r="P54" i="45" s="1"/>
  <c r="AT42" i="60"/>
  <c r="L54" i="45" s="1"/>
  <c r="AT40" i="60"/>
  <c r="J54" i="45" s="1"/>
  <c r="AT43" i="60"/>
  <c r="M54" i="45" s="1"/>
  <c r="R39" i="60"/>
  <c r="I26" i="45" s="1"/>
  <c r="CZ26" i="45" s="1"/>
  <c r="EL26" i="45" s="1"/>
  <c r="R46" i="60"/>
  <c r="P26" i="45" s="1"/>
  <c r="R36" i="60"/>
  <c r="R38" i="60"/>
  <c r="H26" i="45" s="1"/>
  <c r="CY26" i="45" s="1"/>
  <c r="EK26" i="45" s="1"/>
  <c r="R41" i="60"/>
  <c r="K26" i="45" s="1"/>
  <c r="DB26" i="45" s="1"/>
  <c r="R42" i="60"/>
  <c r="L26" i="45" s="1"/>
  <c r="DC26" i="45" s="1"/>
  <c r="EO26" i="45" s="1"/>
  <c r="R47" i="60"/>
  <c r="Q26" i="45" s="1"/>
  <c r="R37" i="60"/>
  <c r="G26" i="45" s="1"/>
  <c r="CX26" i="45" s="1"/>
  <c r="R43" i="60"/>
  <c r="M26" i="45" s="1"/>
  <c r="DD26" i="45" s="1"/>
  <c r="R44" i="60"/>
  <c r="N26" i="45" s="1"/>
  <c r="DE26" i="45" s="1"/>
  <c r="R40" i="60"/>
  <c r="J26" i="45" s="1"/>
  <c r="DA26" i="45" s="1"/>
  <c r="R45" i="60"/>
  <c r="O26" i="45" s="1"/>
  <c r="V68" i="61"/>
  <c r="X68" i="61"/>
  <c r="Y68" i="61" s="1"/>
  <c r="BQ33" i="60"/>
  <c r="Z68" i="61"/>
  <c r="AA68" i="61" s="1"/>
  <c r="AI43" i="60"/>
  <c r="M43" i="45" s="1"/>
  <c r="AI38" i="60"/>
  <c r="H43" i="45" s="1"/>
  <c r="AI41" i="60"/>
  <c r="K43" i="45" s="1"/>
  <c r="AI44" i="60"/>
  <c r="N43" i="45" s="1"/>
  <c r="AI47" i="60"/>
  <c r="Q43" i="45" s="1"/>
  <c r="AI45" i="60"/>
  <c r="O43" i="45" s="1"/>
  <c r="AI36" i="60"/>
  <c r="AI39" i="60"/>
  <c r="I43" i="45" s="1"/>
  <c r="AI37" i="60"/>
  <c r="G43" i="45" s="1"/>
  <c r="AI46" i="60"/>
  <c r="P43" i="45" s="1"/>
  <c r="AI42" i="60"/>
  <c r="L43" i="45" s="1"/>
  <c r="AI40" i="60"/>
  <c r="J43" i="45" s="1"/>
  <c r="F30" i="45"/>
  <c r="BH33" i="60"/>
  <c r="X59" i="61"/>
  <c r="Y59" i="61" s="1"/>
  <c r="Z59" i="61"/>
  <c r="AA59" i="61" s="1"/>
  <c r="V59" i="61"/>
  <c r="BW36" i="60"/>
  <c r="BW37" i="60"/>
  <c r="G83" i="45" s="1"/>
  <c r="BW39" i="60"/>
  <c r="I83" i="45" s="1"/>
  <c r="BW38" i="60"/>
  <c r="H83" i="45" s="1"/>
  <c r="BW41" i="60"/>
  <c r="K83" i="45" s="1"/>
  <c r="BW43" i="60"/>
  <c r="M83" i="45" s="1"/>
  <c r="BW44" i="60"/>
  <c r="N83" i="45" s="1"/>
  <c r="BW46" i="60"/>
  <c r="P83" i="45" s="1"/>
  <c r="BW45" i="60"/>
  <c r="O83" i="45" s="1"/>
  <c r="BW47" i="60"/>
  <c r="Q83" i="45" s="1"/>
  <c r="BW40" i="60"/>
  <c r="J83" i="45" s="1"/>
  <c r="BW42" i="60"/>
  <c r="L83" i="45" s="1"/>
  <c r="CY37" i="60"/>
  <c r="G111" i="45" s="1"/>
  <c r="CX111" i="45" s="1"/>
  <c r="CY36" i="60"/>
  <c r="CY38" i="60"/>
  <c r="H111" i="45" s="1"/>
  <c r="CY111" i="45" s="1"/>
  <c r="CY46" i="60"/>
  <c r="P111" i="45" s="1"/>
  <c r="DG111" i="45" s="1"/>
  <c r="CY41" i="60"/>
  <c r="K111" i="45" s="1"/>
  <c r="DB111" i="45" s="1"/>
  <c r="CY47" i="60"/>
  <c r="Q111" i="45" s="1"/>
  <c r="DH111" i="45" s="1"/>
  <c r="CY45" i="60"/>
  <c r="O111" i="45" s="1"/>
  <c r="DF111" i="45" s="1"/>
  <c r="CY43" i="60"/>
  <c r="M111" i="45" s="1"/>
  <c r="DD111" i="45" s="1"/>
  <c r="CY44" i="60"/>
  <c r="N111" i="45" s="1"/>
  <c r="DE111" i="45" s="1"/>
  <c r="CY39" i="60"/>
  <c r="I111" i="45" s="1"/>
  <c r="CZ111" i="45" s="1"/>
  <c r="CY42" i="60"/>
  <c r="L111" i="45" s="1"/>
  <c r="DC111" i="45" s="1"/>
  <c r="CY40" i="60"/>
  <c r="J111" i="45" s="1"/>
  <c r="DA111" i="45" s="1"/>
  <c r="Z43" i="61"/>
  <c r="AA43" i="61" s="1"/>
  <c r="AR33" i="60"/>
  <c r="V43" i="61"/>
  <c r="X43" i="61"/>
  <c r="Y43" i="61" s="1"/>
  <c r="BE48" i="60"/>
  <c r="F65" i="45"/>
  <c r="CP37" i="60"/>
  <c r="G102" i="45" s="1"/>
  <c r="CP38" i="60"/>
  <c r="H102" i="45" s="1"/>
  <c r="CP46" i="60"/>
  <c r="P102" i="45" s="1"/>
  <c r="CP39" i="60"/>
  <c r="I102" i="45" s="1"/>
  <c r="CP36" i="60"/>
  <c r="CP41" i="60"/>
  <c r="K102" i="45" s="1"/>
  <c r="CP40" i="60"/>
  <c r="J102" i="45" s="1"/>
  <c r="CP42" i="60"/>
  <c r="L102" i="45" s="1"/>
  <c r="CP47" i="60"/>
  <c r="Q102" i="45" s="1"/>
  <c r="CP43" i="60"/>
  <c r="M102" i="45" s="1"/>
  <c r="CP44" i="60"/>
  <c r="N102" i="45" s="1"/>
  <c r="CP45" i="60"/>
  <c r="O102" i="45" s="1"/>
  <c r="BU30" i="45"/>
  <c r="CM30" i="45"/>
  <c r="DK78" i="45"/>
  <c r="DM78" i="45"/>
  <c r="L128" i="44"/>
  <c r="C209" i="44"/>
  <c r="C216" i="44"/>
  <c r="L135" i="44"/>
  <c r="L123" i="44"/>
  <c r="C204" i="44"/>
  <c r="L136" i="44"/>
  <c r="C217" i="44"/>
  <c r="L96" i="44"/>
  <c r="C177" i="44"/>
  <c r="L140" i="44"/>
  <c r="C221" i="44"/>
  <c r="C284" i="44"/>
  <c r="L203" i="44"/>
  <c r="C306" i="44"/>
  <c r="L225" i="44"/>
  <c r="L442" i="44"/>
  <c r="C523" i="44"/>
  <c r="L665" i="44"/>
  <c r="C746" i="44"/>
  <c r="AG484" i="49"/>
  <c r="Y485" i="49"/>
  <c r="Y870" i="65"/>
  <c r="AG869" i="65"/>
  <c r="Y835" i="49"/>
  <c r="AG834" i="49"/>
  <c r="AG712" i="65"/>
  <c r="Y713" i="65"/>
  <c r="AG796" i="65"/>
  <c r="Y797" i="65"/>
  <c r="AG616" i="65"/>
  <c r="Y617" i="65"/>
  <c r="AG809" i="65"/>
  <c r="Y810" i="65"/>
  <c r="Y811" i="65" s="1"/>
  <c r="Y812" i="65" s="1"/>
  <c r="Y813" i="65" s="1"/>
  <c r="Y814" i="65" s="1"/>
  <c r="Y815" i="65" s="1"/>
  <c r="Y816" i="65" s="1"/>
  <c r="Y817" i="65" s="1"/>
  <c r="AC119" i="45"/>
  <c r="AE119" i="45"/>
  <c r="BO14" i="45"/>
  <c r="CH14" i="45" s="1"/>
  <c r="BP14" i="45"/>
  <c r="CI14" i="45" s="1"/>
  <c r="BQ14" i="45"/>
  <c r="CJ14" i="45" s="1"/>
  <c r="BR14" i="45"/>
  <c r="CK14" i="45" s="1"/>
  <c r="BK14" i="45"/>
  <c r="CD14" i="45" s="1"/>
  <c r="BS14" i="45"/>
  <c r="CL14" i="45" s="1"/>
  <c r="BL14" i="45"/>
  <c r="CE14" i="45" s="1"/>
  <c r="BT14" i="45"/>
  <c r="CM14" i="45" s="1"/>
  <c r="BM14" i="45"/>
  <c r="CF14" i="45" s="1"/>
  <c r="BU14" i="45"/>
  <c r="CN14" i="45" s="1"/>
  <c r="BN14" i="45"/>
  <c r="CG14" i="45" s="1"/>
  <c r="BV14" i="45"/>
  <c r="CO14" i="45" s="1"/>
  <c r="BM29" i="45"/>
  <c r="CF29" i="45" s="1"/>
  <c r="BN29" i="45"/>
  <c r="CG29" i="45" s="1"/>
  <c r="BO29" i="45"/>
  <c r="CH29" i="45" s="1"/>
  <c r="BP29" i="45"/>
  <c r="CI29" i="45" s="1"/>
  <c r="BQ29" i="45"/>
  <c r="CJ29" i="45" s="1"/>
  <c r="BR29" i="45"/>
  <c r="CK29" i="45" s="1"/>
  <c r="BK29" i="45"/>
  <c r="CD29" i="45" s="1"/>
  <c r="BS29" i="45"/>
  <c r="CL29" i="45" s="1"/>
  <c r="BL29" i="45"/>
  <c r="CE29" i="45" s="1"/>
  <c r="BT29" i="45"/>
  <c r="BL41" i="45"/>
  <c r="CE41" i="45" s="1"/>
  <c r="BT41" i="45"/>
  <c r="BM41" i="45"/>
  <c r="CF41" i="45" s="1"/>
  <c r="BN41" i="45"/>
  <c r="CG41" i="45" s="1"/>
  <c r="CZ41" i="45" s="1"/>
  <c r="BO41" i="45"/>
  <c r="CH41" i="45" s="1"/>
  <c r="BP41" i="45"/>
  <c r="CI41" i="45" s="1"/>
  <c r="DB41" i="45" s="1"/>
  <c r="BQ41" i="45"/>
  <c r="CJ41" i="45" s="1"/>
  <c r="BR41" i="45"/>
  <c r="CK41" i="45" s="1"/>
  <c r="DD41" i="45" s="1"/>
  <c r="BK41" i="45"/>
  <c r="CD41" i="45" s="1"/>
  <c r="CW41" i="45" s="1"/>
  <c r="BS41" i="45"/>
  <c r="CL41" i="45" s="1"/>
  <c r="DE41" i="45" s="1"/>
  <c r="BN45" i="45"/>
  <c r="CG45" i="45" s="1"/>
  <c r="BR45" i="45"/>
  <c r="CK45" i="45" s="1"/>
  <c r="DD45" i="45" s="1"/>
  <c r="BL45" i="45"/>
  <c r="CE45" i="45" s="1"/>
  <c r="BT45" i="45"/>
  <c r="BM45" i="45"/>
  <c r="CF45" i="45" s="1"/>
  <c r="BQ45" i="45"/>
  <c r="CJ45" i="45" s="1"/>
  <c r="BS45" i="45"/>
  <c r="CL45" i="45" s="1"/>
  <c r="BK45" i="45"/>
  <c r="CD45" i="45" s="1"/>
  <c r="BO45" i="45"/>
  <c r="CH45" i="45" s="1"/>
  <c r="BP45" i="45"/>
  <c r="CI45" i="45" s="1"/>
  <c r="BQ58" i="45"/>
  <c r="CJ58" i="45" s="1"/>
  <c r="BR58" i="45"/>
  <c r="CK58" i="45" s="1"/>
  <c r="BM58" i="45"/>
  <c r="CF58" i="45" s="1"/>
  <c r="BN58" i="45"/>
  <c r="CG58" i="45" s="1"/>
  <c r="BO58" i="45"/>
  <c r="CH58" i="45" s="1"/>
  <c r="BP58" i="45"/>
  <c r="CI58" i="45" s="1"/>
  <c r="BT58" i="45"/>
  <c r="BK58" i="45"/>
  <c r="CD58" i="45" s="1"/>
  <c r="BL58" i="45"/>
  <c r="CE58" i="45" s="1"/>
  <c r="BS58" i="45"/>
  <c r="CL58" i="45" s="1"/>
  <c r="BN56" i="45"/>
  <c r="CG56" i="45" s="1"/>
  <c r="BO56" i="45"/>
  <c r="CH56" i="45" s="1"/>
  <c r="DA56" i="45" s="1"/>
  <c r="BQ56" i="45"/>
  <c r="CJ56" i="45" s="1"/>
  <c r="BR56" i="45"/>
  <c r="CK56" i="45" s="1"/>
  <c r="DD56" i="45" s="1"/>
  <c r="BK56" i="45"/>
  <c r="CD56" i="45" s="1"/>
  <c r="BS56" i="45"/>
  <c r="CL56" i="45" s="1"/>
  <c r="BL56" i="45"/>
  <c r="CE56" i="45" s="1"/>
  <c r="BT56" i="45"/>
  <c r="BM56" i="45"/>
  <c r="CF56" i="45" s="1"/>
  <c r="CY56" i="45" s="1"/>
  <c r="EK56" i="45" s="1"/>
  <c r="BP56" i="45"/>
  <c r="CI56" i="45" s="1"/>
  <c r="BO81" i="45"/>
  <c r="CH81" i="45" s="1"/>
  <c r="BP81" i="45"/>
  <c r="CI81" i="45" s="1"/>
  <c r="DB81" i="45" s="1"/>
  <c r="EN81" i="45" s="1"/>
  <c r="BK81" i="45"/>
  <c r="CD81" i="45" s="1"/>
  <c r="BS81" i="45"/>
  <c r="CL81" i="45" s="1"/>
  <c r="BL81" i="45"/>
  <c r="CE81" i="45" s="1"/>
  <c r="BT81" i="45"/>
  <c r="BM81" i="45"/>
  <c r="CF81" i="45" s="1"/>
  <c r="CY81" i="45" s="1"/>
  <c r="EK81" i="45" s="1"/>
  <c r="BN81" i="45"/>
  <c r="CG81" i="45" s="1"/>
  <c r="CZ81" i="45" s="1"/>
  <c r="BQ81" i="45"/>
  <c r="CJ81" i="45" s="1"/>
  <c r="DC81" i="45" s="1"/>
  <c r="BR81" i="45"/>
  <c r="CK81" i="45" s="1"/>
  <c r="DD81" i="45" s="1"/>
  <c r="EP81" i="45" s="1"/>
  <c r="FT123" i="45"/>
  <c r="FK123" i="45"/>
  <c r="FR123" i="45"/>
  <c r="FY130" i="45"/>
  <c r="DB56" i="45"/>
  <c r="EN56" i="45" s="1"/>
  <c r="CC36" i="60"/>
  <c r="CC47" i="60"/>
  <c r="Q89" i="45" s="1"/>
  <c r="CC40" i="60"/>
  <c r="J89" i="45" s="1"/>
  <c r="CC44" i="60"/>
  <c r="N89" i="45" s="1"/>
  <c r="CC37" i="60"/>
  <c r="G89" i="45" s="1"/>
  <c r="CC42" i="60"/>
  <c r="L89" i="45" s="1"/>
  <c r="CC39" i="60"/>
  <c r="I89" i="45" s="1"/>
  <c r="CC41" i="60"/>
  <c r="K89" i="45" s="1"/>
  <c r="CC43" i="60"/>
  <c r="M89" i="45" s="1"/>
  <c r="CC38" i="60"/>
  <c r="H89" i="45" s="1"/>
  <c r="CC46" i="60"/>
  <c r="P89" i="45" s="1"/>
  <c r="CC45" i="60"/>
  <c r="O89" i="45" s="1"/>
  <c r="AS48" i="60"/>
  <c r="F53" i="45"/>
  <c r="L241" i="44"/>
  <c r="C322" i="44"/>
  <c r="L570" i="44"/>
  <c r="C651" i="44"/>
  <c r="AG737" i="65"/>
  <c r="Y738" i="65"/>
  <c r="AG436" i="65"/>
  <c r="Y437" i="65"/>
  <c r="AG652" i="65"/>
  <c r="Y653" i="65"/>
  <c r="Y907" i="65"/>
  <c r="AG906" i="65"/>
  <c r="AG13" i="45"/>
  <c r="BO44" i="45"/>
  <c r="CH44" i="45" s="1"/>
  <c r="BK44" i="45"/>
  <c r="CD44" i="45" s="1"/>
  <c r="BS44" i="45"/>
  <c r="CL44" i="45" s="1"/>
  <c r="BM44" i="45"/>
  <c r="CF44" i="45" s="1"/>
  <c r="BN44" i="45"/>
  <c r="CG44" i="45" s="1"/>
  <c r="BR44" i="45"/>
  <c r="CK44" i="45" s="1"/>
  <c r="BT44" i="45"/>
  <c r="BL44" i="45"/>
  <c r="CE44" i="45" s="1"/>
  <c r="BP44" i="45"/>
  <c r="CI44" i="45" s="1"/>
  <c r="BQ44" i="45"/>
  <c r="CJ44" i="45" s="1"/>
  <c r="CX81" i="45"/>
  <c r="EJ81" i="45" s="1"/>
  <c r="L116" i="44"/>
  <c r="C197" i="44"/>
  <c r="L139" i="44"/>
  <c r="C220" i="44"/>
  <c r="L107" i="44"/>
  <c r="C188" i="44"/>
  <c r="L100" i="44"/>
  <c r="C181" i="44"/>
  <c r="L162" i="44"/>
  <c r="C243" i="44"/>
  <c r="C321" i="44"/>
  <c r="L240" i="44"/>
  <c r="C300" i="44"/>
  <c r="L219" i="44"/>
  <c r="D158" i="44"/>
  <c r="D159" i="44" s="1"/>
  <c r="D160" i="44" s="1"/>
  <c r="D161" i="44" s="1"/>
  <c r="D162" i="44" s="1"/>
  <c r="D163" i="44" s="1"/>
  <c r="D164" i="44"/>
  <c r="D165" i="44" s="1"/>
  <c r="D166" i="44" s="1"/>
  <c r="D167" i="44" s="1"/>
  <c r="D168" i="44" s="1"/>
  <c r="D169" i="44" s="1"/>
  <c r="D170" i="44" s="1"/>
  <c r="D171" i="44" s="1"/>
  <c r="D172" i="44" s="1"/>
  <c r="D173" i="44" s="1"/>
  <c r="D174" i="44" s="1"/>
  <c r="D175" i="44" s="1"/>
  <c r="D176" i="44" s="1"/>
  <c r="D177" i="44" s="1"/>
  <c r="D178" i="44" s="1"/>
  <c r="D179" i="44" s="1"/>
  <c r="D180" i="44" s="1"/>
  <c r="D181" i="44" s="1"/>
  <c r="D182" i="44" s="1"/>
  <c r="D183" i="44" s="1"/>
  <c r="D184" i="44" s="1"/>
  <c r="D185" i="44" s="1"/>
  <c r="D186" i="44" s="1"/>
  <c r="D187" i="44" s="1"/>
  <c r="D188" i="44" s="1"/>
  <c r="D189" i="44" s="1"/>
  <c r="D190" i="44" s="1"/>
  <c r="D191" i="44" s="1"/>
  <c r="D192" i="44" s="1"/>
  <c r="D193" i="44" s="1"/>
  <c r="D194" i="44" s="1"/>
  <c r="D195" i="44" s="1"/>
  <c r="D196" i="44" s="1"/>
  <c r="D197" i="44" s="1"/>
  <c r="D198" i="44" s="1"/>
  <c r="D199" i="44" s="1"/>
  <c r="D200" i="44" s="1"/>
  <c r="D201" i="44" s="1"/>
  <c r="D202" i="44" s="1"/>
  <c r="D203" i="44" s="1"/>
  <c r="D204" i="44" s="1"/>
  <c r="D205" i="44" s="1"/>
  <c r="D206" i="44" s="1"/>
  <c r="D207" i="44" s="1"/>
  <c r="D208" i="44" s="1"/>
  <c r="D209" i="44" s="1"/>
  <c r="D210" i="44" s="1"/>
  <c r="D211" i="44" s="1"/>
  <c r="D212" i="44" s="1"/>
  <c r="D213" i="44" s="1"/>
  <c r="D214" i="44" s="1"/>
  <c r="D215" i="44" s="1"/>
  <c r="D216" i="44" s="1"/>
  <c r="D217" i="44" s="1"/>
  <c r="D218" i="44" s="1"/>
  <c r="D219" i="44" s="1"/>
  <c r="D220" i="44" s="1"/>
  <c r="D221" i="44" s="1"/>
  <c r="D222" i="44" s="1"/>
  <c r="D223" i="44" s="1"/>
  <c r="D224" i="44" s="1"/>
  <c r="D225" i="44" s="1"/>
  <c r="D226" i="44" s="1"/>
  <c r="D227" i="44" s="1"/>
  <c r="D228" i="44" s="1"/>
  <c r="D229" i="44" s="1"/>
  <c r="D230" i="44" s="1"/>
  <c r="D231" i="44" s="1"/>
  <c r="D232" i="44" s="1"/>
  <c r="D233" i="44" s="1"/>
  <c r="D234" i="44" s="1"/>
  <c r="D235" i="44" s="1"/>
  <c r="D236" i="44" s="1"/>
  <c r="D237" i="44" s="1"/>
  <c r="D238" i="44" s="1"/>
  <c r="L453" i="44"/>
  <c r="C534" i="44"/>
  <c r="C553" i="44"/>
  <c r="L472" i="44"/>
  <c r="C721" i="44"/>
  <c r="L640" i="44"/>
  <c r="C583" i="44"/>
  <c r="L502" i="44"/>
  <c r="AG75" i="65"/>
  <c r="Y76" i="65"/>
  <c r="Y617" i="49"/>
  <c r="AG616" i="49"/>
  <c r="AG884" i="65"/>
  <c r="Y885" i="65"/>
  <c r="AG281" i="65"/>
  <c r="Y282" i="65"/>
  <c r="Y918" i="65"/>
  <c r="AG917" i="65"/>
  <c r="AG232" i="65"/>
  <c r="Y233" i="65"/>
  <c r="AG640" i="65"/>
  <c r="Y641" i="65"/>
  <c r="Y689" i="49"/>
  <c r="AG688" i="49"/>
  <c r="AG150" i="65"/>
  <c r="Y151" i="65"/>
  <c r="AG946" i="65"/>
  <c r="Y947" i="65"/>
  <c r="AG957" i="65"/>
  <c r="Y958" i="65"/>
  <c r="AG946" i="49"/>
  <c r="Y947" i="49"/>
  <c r="BM16" i="45"/>
  <c r="CF16" i="45" s="1"/>
  <c r="CY16" i="45" s="1"/>
  <c r="EK16" i="45" s="1"/>
  <c r="BU16" i="45"/>
  <c r="CN16" i="45" s="1"/>
  <c r="DG16" i="45" s="1"/>
  <c r="ES16" i="45" s="1"/>
  <c r="BN16" i="45"/>
  <c r="CG16" i="45" s="1"/>
  <c r="BV16" i="45"/>
  <c r="CO16" i="45" s="1"/>
  <c r="BO16" i="45"/>
  <c r="CH16" i="45" s="1"/>
  <c r="BP16" i="45"/>
  <c r="CI16" i="45" s="1"/>
  <c r="BQ16" i="45"/>
  <c r="CJ16" i="45" s="1"/>
  <c r="BR16" i="45"/>
  <c r="CK16" i="45" s="1"/>
  <c r="DD16" i="45" s="1"/>
  <c r="EP16" i="45" s="1"/>
  <c r="BK16" i="45"/>
  <c r="CD16" i="45" s="1"/>
  <c r="BS16" i="45"/>
  <c r="CL16" i="45" s="1"/>
  <c r="DE16" i="45" s="1"/>
  <c r="EQ16" i="45" s="1"/>
  <c r="BL16" i="45"/>
  <c r="CE16" i="45" s="1"/>
  <c r="CX16" i="45" s="1"/>
  <c r="BT16" i="45"/>
  <c r="CM16" i="45" s="1"/>
  <c r="AA119" i="45"/>
  <c r="BQ54" i="45"/>
  <c r="CJ54" i="45" s="1"/>
  <c r="BR54" i="45"/>
  <c r="CK54" i="45" s="1"/>
  <c r="BS54" i="45"/>
  <c r="CL54" i="45" s="1"/>
  <c r="BK54" i="45"/>
  <c r="CD54" i="45" s="1"/>
  <c r="BL54" i="45"/>
  <c r="CE54" i="45" s="1"/>
  <c r="BT54" i="45"/>
  <c r="BM54" i="45"/>
  <c r="CF54" i="45" s="1"/>
  <c r="BN54" i="45"/>
  <c r="CG54" i="45" s="1"/>
  <c r="BO54" i="45"/>
  <c r="CH54" i="45" s="1"/>
  <c r="BP54" i="45"/>
  <c r="CI54" i="45" s="1"/>
  <c r="BO63" i="45"/>
  <c r="CH63" i="45" s="1"/>
  <c r="BP63" i="45"/>
  <c r="CI63" i="45" s="1"/>
  <c r="BM63" i="45"/>
  <c r="CF63" i="45" s="1"/>
  <c r="BN63" i="45"/>
  <c r="CG63" i="45" s="1"/>
  <c r="BQ63" i="45"/>
  <c r="CJ63" i="45" s="1"/>
  <c r="BR63" i="45"/>
  <c r="CK63" i="45" s="1"/>
  <c r="BS63" i="45"/>
  <c r="CL63" i="45" s="1"/>
  <c r="BT63" i="45"/>
  <c r="BK63" i="45"/>
  <c r="CD63" i="45" s="1"/>
  <c r="BL63" i="45"/>
  <c r="CE63" i="45" s="1"/>
  <c r="BN82" i="45"/>
  <c r="CG82" i="45" s="1"/>
  <c r="BL82" i="45"/>
  <c r="CE82" i="45" s="1"/>
  <c r="BT82" i="45"/>
  <c r="BM82" i="45"/>
  <c r="CF82" i="45" s="1"/>
  <c r="BP82" i="45"/>
  <c r="CI82" i="45" s="1"/>
  <c r="BQ82" i="45"/>
  <c r="CJ82" i="45" s="1"/>
  <c r="BR82" i="45"/>
  <c r="CK82" i="45" s="1"/>
  <c r="BS82" i="45"/>
  <c r="CL82" i="45" s="1"/>
  <c r="BK82" i="45"/>
  <c r="CD82" i="45" s="1"/>
  <c r="BO82" i="45"/>
  <c r="CH82" i="45" s="1"/>
  <c r="EZ130" i="45"/>
  <c r="FI130" i="45"/>
  <c r="FD123" i="45"/>
  <c r="U42" i="60"/>
  <c r="L29" i="45" s="1"/>
  <c r="DC29" i="45" s="1"/>
  <c r="U45" i="60"/>
  <c r="O29" i="45" s="1"/>
  <c r="U40" i="60"/>
  <c r="J29" i="45" s="1"/>
  <c r="DA29" i="45" s="1"/>
  <c r="EM29" i="45" s="1"/>
  <c r="U43" i="60"/>
  <c r="M29" i="45" s="1"/>
  <c r="DD29" i="45" s="1"/>
  <c r="EP29" i="45" s="1"/>
  <c r="U39" i="60"/>
  <c r="I29" i="45" s="1"/>
  <c r="CZ29" i="45" s="1"/>
  <c r="U44" i="60"/>
  <c r="N29" i="45" s="1"/>
  <c r="DE29" i="45" s="1"/>
  <c r="U36" i="60"/>
  <c r="U46" i="60"/>
  <c r="P29" i="45" s="1"/>
  <c r="U38" i="60"/>
  <c r="H29" i="45" s="1"/>
  <c r="CY29" i="45" s="1"/>
  <c r="U41" i="60"/>
  <c r="K29" i="45" s="1"/>
  <c r="DB29" i="45" s="1"/>
  <c r="EN29" i="45" s="1"/>
  <c r="U37" i="60"/>
  <c r="G29" i="45" s="1"/>
  <c r="CX29" i="45" s="1"/>
  <c r="EJ29" i="45" s="1"/>
  <c r="U47" i="60"/>
  <c r="Q29" i="45" s="1"/>
  <c r="DC56" i="45"/>
  <c r="BG43" i="60"/>
  <c r="M67" i="45" s="1"/>
  <c r="BG36" i="60"/>
  <c r="BG40" i="60"/>
  <c r="J67" i="45" s="1"/>
  <c r="BG44" i="60"/>
  <c r="N67" i="45" s="1"/>
  <c r="BG38" i="60"/>
  <c r="H67" i="45" s="1"/>
  <c r="BG45" i="60"/>
  <c r="O67" i="45" s="1"/>
  <c r="BG47" i="60"/>
  <c r="Q67" i="45" s="1"/>
  <c r="BG41" i="60"/>
  <c r="K67" i="45" s="1"/>
  <c r="BG42" i="60"/>
  <c r="L67" i="45" s="1"/>
  <c r="BG39" i="60"/>
  <c r="I67" i="45" s="1"/>
  <c r="BG46" i="60"/>
  <c r="P67" i="45" s="1"/>
  <c r="BG37" i="60"/>
  <c r="G67" i="45" s="1"/>
  <c r="CU48" i="60"/>
  <c r="F107" i="45"/>
  <c r="C398" i="44"/>
  <c r="L317" i="44"/>
  <c r="BO42" i="45"/>
  <c r="CH42" i="45" s="1"/>
  <c r="DA42" i="45" s="1"/>
  <c r="BL42" i="45"/>
  <c r="CE42" i="45" s="1"/>
  <c r="BT42" i="45"/>
  <c r="BK42" i="45"/>
  <c r="CD42" i="45" s="1"/>
  <c r="BS42" i="45"/>
  <c r="CL42" i="45" s="1"/>
  <c r="DE42" i="45" s="1"/>
  <c r="BP42" i="45"/>
  <c r="CI42" i="45" s="1"/>
  <c r="DB42" i="45" s="1"/>
  <c r="BM42" i="45"/>
  <c r="CF42" i="45" s="1"/>
  <c r="BR42" i="45"/>
  <c r="CK42" i="45" s="1"/>
  <c r="DD42" i="45" s="1"/>
  <c r="BQ42" i="45"/>
  <c r="CJ42" i="45" s="1"/>
  <c r="BN42" i="45"/>
  <c r="CG42" i="45" s="1"/>
  <c r="BM90" i="45"/>
  <c r="CF90" i="45" s="1"/>
  <c r="BN90" i="45"/>
  <c r="CG90" i="45" s="1"/>
  <c r="BO90" i="45"/>
  <c r="CH90" i="45" s="1"/>
  <c r="DA90" i="45" s="1"/>
  <c r="BP90" i="45"/>
  <c r="CI90" i="45" s="1"/>
  <c r="BQ90" i="45"/>
  <c r="CJ90" i="45" s="1"/>
  <c r="DC90" i="45" s="1"/>
  <c r="EO90" i="45" s="1"/>
  <c r="BR90" i="45"/>
  <c r="CK90" i="45" s="1"/>
  <c r="DD90" i="45" s="1"/>
  <c r="BK90" i="45"/>
  <c r="CD90" i="45" s="1"/>
  <c r="BS90" i="45"/>
  <c r="CL90" i="45" s="1"/>
  <c r="BL90" i="45"/>
  <c r="CE90" i="45" s="1"/>
  <c r="CX90" i="45" s="1"/>
  <c r="EJ90" i="45" s="1"/>
  <c r="BT90" i="45"/>
  <c r="BO87" i="45"/>
  <c r="CH87" i="45" s="1"/>
  <c r="BP87" i="45"/>
  <c r="CI87" i="45" s="1"/>
  <c r="DB87" i="45" s="1"/>
  <c r="EN87" i="45" s="1"/>
  <c r="BT87" i="45"/>
  <c r="BR87" i="45"/>
  <c r="CK87" i="45" s="1"/>
  <c r="DD87" i="45" s="1"/>
  <c r="BS87" i="45"/>
  <c r="CL87" i="45" s="1"/>
  <c r="BK87" i="45"/>
  <c r="CD87" i="45" s="1"/>
  <c r="BL87" i="45"/>
  <c r="CE87" i="45" s="1"/>
  <c r="BM87" i="45"/>
  <c r="CF87" i="45" s="1"/>
  <c r="BN87" i="45"/>
  <c r="CG87" i="45" s="1"/>
  <c r="BQ87" i="45"/>
  <c r="CJ87" i="45" s="1"/>
  <c r="DC87" i="45" s="1"/>
  <c r="EO87" i="45" s="1"/>
  <c r="CZ56" i="45"/>
  <c r="EL56" i="45" s="1"/>
  <c r="AE41" i="60"/>
  <c r="K39" i="45" s="1"/>
  <c r="AE40" i="60"/>
  <c r="J39" i="45" s="1"/>
  <c r="AE44" i="60"/>
  <c r="N39" i="45" s="1"/>
  <c r="AE43" i="60"/>
  <c r="M39" i="45" s="1"/>
  <c r="AE46" i="60"/>
  <c r="P39" i="45" s="1"/>
  <c r="AE37" i="60"/>
  <c r="G39" i="45" s="1"/>
  <c r="AE38" i="60"/>
  <c r="H39" i="45" s="1"/>
  <c r="AE42" i="60"/>
  <c r="L39" i="45" s="1"/>
  <c r="AE47" i="60"/>
  <c r="Q39" i="45" s="1"/>
  <c r="AE45" i="60"/>
  <c r="O39" i="45" s="1"/>
  <c r="AE36" i="60"/>
  <c r="AE39" i="60"/>
  <c r="I39" i="45" s="1"/>
  <c r="BO43" i="60"/>
  <c r="M75" i="45" s="1"/>
  <c r="DD75" i="45" s="1"/>
  <c r="BO39" i="60"/>
  <c r="I75" i="45" s="1"/>
  <c r="CZ75" i="45" s="1"/>
  <c r="EL75" i="45" s="1"/>
  <c r="BO36" i="60"/>
  <c r="BO47" i="60"/>
  <c r="Q75" i="45" s="1"/>
  <c r="DH75" i="45" s="1"/>
  <c r="ET75" i="45" s="1"/>
  <c r="BO37" i="60"/>
  <c r="G75" i="45" s="1"/>
  <c r="CX75" i="45" s="1"/>
  <c r="BO41" i="60"/>
  <c r="K75" i="45" s="1"/>
  <c r="DB75" i="45" s="1"/>
  <c r="BO42" i="60"/>
  <c r="L75" i="45" s="1"/>
  <c r="DC75" i="45" s="1"/>
  <c r="EO75" i="45" s="1"/>
  <c r="BO40" i="60"/>
  <c r="J75" i="45" s="1"/>
  <c r="DA75" i="45" s="1"/>
  <c r="EM75" i="45" s="1"/>
  <c r="BO46" i="60"/>
  <c r="P75" i="45" s="1"/>
  <c r="DG75" i="45" s="1"/>
  <c r="ES75" i="45" s="1"/>
  <c r="BO38" i="60"/>
  <c r="H75" i="45" s="1"/>
  <c r="CY75" i="45" s="1"/>
  <c r="BO44" i="60"/>
  <c r="N75" i="45" s="1"/>
  <c r="DE75" i="45" s="1"/>
  <c r="EQ75" i="45" s="1"/>
  <c r="BO45" i="60"/>
  <c r="O75" i="45" s="1"/>
  <c r="DF75" i="45" s="1"/>
  <c r="ER75" i="45" s="1"/>
  <c r="CZ87" i="45"/>
  <c r="CK36" i="60"/>
  <c r="CK42" i="60"/>
  <c r="L97" i="45" s="1"/>
  <c r="DC97" i="45" s="1"/>
  <c r="EO97" i="45" s="1"/>
  <c r="CK45" i="60"/>
  <c r="O97" i="45" s="1"/>
  <c r="DF97" i="45" s="1"/>
  <c r="ER97" i="45" s="1"/>
  <c r="CK40" i="60"/>
  <c r="J97" i="45" s="1"/>
  <c r="DA97" i="45" s="1"/>
  <c r="CK43" i="60"/>
  <c r="M97" i="45" s="1"/>
  <c r="DD97" i="45" s="1"/>
  <c r="EP97" i="45" s="1"/>
  <c r="CK37" i="60"/>
  <c r="G97" i="45" s="1"/>
  <c r="CX97" i="45" s="1"/>
  <c r="EJ97" i="45" s="1"/>
  <c r="CK38" i="60"/>
  <c r="H97" i="45" s="1"/>
  <c r="CY97" i="45" s="1"/>
  <c r="CK44" i="60"/>
  <c r="N97" i="45" s="1"/>
  <c r="DE97" i="45" s="1"/>
  <c r="CK46" i="60"/>
  <c r="P97" i="45" s="1"/>
  <c r="DG97" i="45" s="1"/>
  <c r="CK39" i="60"/>
  <c r="I97" i="45" s="1"/>
  <c r="CZ97" i="45" s="1"/>
  <c r="EL97" i="45" s="1"/>
  <c r="CK41" i="60"/>
  <c r="K97" i="45" s="1"/>
  <c r="DB97" i="45" s="1"/>
  <c r="EN97" i="45" s="1"/>
  <c r="CK47" i="60"/>
  <c r="Q97" i="45" s="1"/>
  <c r="DH97" i="45" s="1"/>
  <c r="Z39" i="60"/>
  <c r="I34" i="45" s="1"/>
  <c r="Z46" i="60"/>
  <c r="P34" i="45" s="1"/>
  <c r="Z38" i="60"/>
  <c r="H34" i="45" s="1"/>
  <c r="Z41" i="60"/>
  <c r="K34" i="45" s="1"/>
  <c r="Z42" i="60"/>
  <c r="L34" i="45" s="1"/>
  <c r="Z47" i="60"/>
  <c r="Q34" i="45" s="1"/>
  <c r="Z40" i="60"/>
  <c r="J34" i="45" s="1"/>
  <c r="Z43" i="60"/>
  <c r="M34" i="45" s="1"/>
  <c r="Z44" i="60"/>
  <c r="N34" i="45" s="1"/>
  <c r="Z45" i="60"/>
  <c r="O34" i="45" s="1"/>
  <c r="Z36" i="60"/>
  <c r="Z37" i="60"/>
  <c r="G34" i="45" s="1"/>
  <c r="DD51" i="45"/>
  <c r="J36" i="60"/>
  <c r="J37" i="60"/>
  <c r="G18" i="45" s="1"/>
  <c r="CX18" i="45" s="1"/>
  <c r="J39" i="60"/>
  <c r="I18" i="45" s="1"/>
  <c r="CZ18" i="45" s="1"/>
  <c r="J46" i="60"/>
  <c r="P18" i="45" s="1"/>
  <c r="DG18" i="45" s="1"/>
  <c r="ES18" i="45" s="1"/>
  <c r="J42" i="60"/>
  <c r="L18" i="45" s="1"/>
  <c r="DC18" i="45" s="1"/>
  <c r="EO18" i="45" s="1"/>
  <c r="J43" i="60"/>
  <c r="M18" i="45" s="1"/>
  <c r="DD18" i="45" s="1"/>
  <c r="J44" i="60"/>
  <c r="N18" i="45" s="1"/>
  <c r="DE18" i="45" s="1"/>
  <c r="J45" i="60"/>
  <c r="O18" i="45" s="1"/>
  <c r="DF18" i="45" s="1"/>
  <c r="J40" i="60"/>
  <c r="J18" i="45" s="1"/>
  <c r="DA18" i="45" s="1"/>
  <c r="EM18" i="45" s="1"/>
  <c r="J41" i="60"/>
  <c r="K18" i="45" s="1"/>
  <c r="DB18" i="45" s="1"/>
  <c r="EN18" i="45" s="1"/>
  <c r="J47" i="60"/>
  <c r="Q18" i="45" s="1"/>
  <c r="DH18" i="45" s="1"/>
  <c r="J38" i="60"/>
  <c r="H18" i="45" s="1"/>
  <c r="CY18" i="45" s="1"/>
  <c r="EK18" i="45" s="1"/>
  <c r="CB42" i="60"/>
  <c r="L88" i="45" s="1"/>
  <c r="CB45" i="60"/>
  <c r="O88" i="45" s="1"/>
  <c r="CB36" i="60"/>
  <c r="CB40" i="60"/>
  <c r="J88" i="45" s="1"/>
  <c r="DA88" i="45" s="1"/>
  <c r="CB44" i="60"/>
  <c r="N88" i="45" s="1"/>
  <c r="CB43" i="60"/>
  <c r="M88" i="45" s="1"/>
  <c r="CB39" i="60"/>
  <c r="I88" i="45" s="1"/>
  <c r="CB41" i="60"/>
  <c r="K88" i="45" s="1"/>
  <c r="CB47" i="60"/>
  <c r="Q88" i="45" s="1"/>
  <c r="CB38" i="60"/>
  <c r="H88" i="45" s="1"/>
  <c r="CB46" i="60"/>
  <c r="P88" i="45" s="1"/>
  <c r="CB37" i="60"/>
  <c r="G88" i="45" s="1"/>
  <c r="CX88" i="45" s="1"/>
  <c r="DA59" i="45"/>
  <c r="BM36" i="60"/>
  <c r="BM37" i="60"/>
  <c r="G73" i="45" s="1"/>
  <c r="BM39" i="60"/>
  <c r="I73" i="45" s="1"/>
  <c r="BM42" i="60"/>
  <c r="L73" i="45" s="1"/>
  <c r="BM41" i="60"/>
  <c r="K73" i="45" s="1"/>
  <c r="BM40" i="60"/>
  <c r="J73" i="45" s="1"/>
  <c r="BM46" i="60"/>
  <c r="P73" i="45" s="1"/>
  <c r="BM38" i="60"/>
  <c r="H73" i="45" s="1"/>
  <c r="BM43" i="60"/>
  <c r="M73" i="45" s="1"/>
  <c r="BM44" i="60"/>
  <c r="N73" i="45" s="1"/>
  <c r="BM45" i="60"/>
  <c r="O73" i="45" s="1"/>
  <c r="BM47" i="60"/>
  <c r="Q73" i="45" s="1"/>
  <c r="DC42" i="45"/>
  <c r="AJ37" i="60"/>
  <c r="G44" i="45" s="1"/>
  <c r="CX44" i="45" s="1"/>
  <c r="AJ38" i="60"/>
  <c r="H44" i="45" s="1"/>
  <c r="CY44" i="45" s="1"/>
  <c r="AJ41" i="60"/>
  <c r="K44" i="45" s="1"/>
  <c r="DB44" i="45" s="1"/>
  <c r="EN44" i="45" s="1"/>
  <c r="AJ40" i="60"/>
  <c r="J44" i="45" s="1"/>
  <c r="DA44" i="45" s="1"/>
  <c r="EM44" i="45" s="1"/>
  <c r="AJ43" i="60"/>
  <c r="M44" i="45" s="1"/>
  <c r="DD44" i="45" s="1"/>
  <c r="AJ44" i="60"/>
  <c r="N44" i="45" s="1"/>
  <c r="DE44" i="45" s="1"/>
  <c r="EQ44" i="45" s="1"/>
  <c r="AJ47" i="60"/>
  <c r="Q44" i="45" s="1"/>
  <c r="AJ45" i="60"/>
  <c r="O44" i="45" s="1"/>
  <c r="AJ36" i="60"/>
  <c r="AJ39" i="60"/>
  <c r="I44" i="45" s="1"/>
  <c r="CZ44" i="45" s="1"/>
  <c r="AJ46" i="60"/>
  <c r="P44" i="45" s="1"/>
  <c r="AJ42" i="60"/>
  <c r="L44" i="45" s="1"/>
  <c r="DC44" i="45" s="1"/>
  <c r="EO44" i="45" s="1"/>
  <c r="DD30" i="45"/>
  <c r="CI43" i="60"/>
  <c r="M95" i="45" s="1"/>
  <c r="DD95" i="45" s="1"/>
  <c r="EP95" i="45" s="1"/>
  <c r="CI37" i="60"/>
  <c r="G95" i="45" s="1"/>
  <c r="CX95" i="45" s="1"/>
  <c r="EJ95" i="45" s="1"/>
  <c r="CI42" i="60"/>
  <c r="L95" i="45" s="1"/>
  <c r="DC95" i="45" s="1"/>
  <c r="CI39" i="60"/>
  <c r="I95" i="45" s="1"/>
  <c r="CZ95" i="45" s="1"/>
  <c r="CI44" i="60"/>
  <c r="N95" i="45" s="1"/>
  <c r="DE95" i="45" s="1"/>
  <c r="CI46" i="60"/>
  <c r="P95" i="45" s="1"/>
  <c r="DG95" i="45" s="1"/>
  <c r="ES95" i="45" s="1"/>
  <c r="CI45" i="60"/>
  <c r="O95" i="45" s="1"/>
  <c r="DF95" i="45" s="1"/>
  <c r="CI36" i="60"/>
  <c r="CI41" i="60"/>
  <c r="K95" i="45" s="1"/>
  <c r="DB95" i="45" s="1"/>
  <c r="EN95" i="45" s="1"/>
  <c r="CI47" i="60"/>
  <c r="Q95" i="45" s="1"/>
  <c r="DH95" i="45" s="1"/>
  <c r="ET95" i="45" s="1"/>
  <c r="CI40" i="60"/>
  <c r="J95" i="45" s="1"/>
  <c r="DA95" i="45" s="1"/>
  <c r="CI38" i="60"/>
  <c r="H95" i="45" s="1"/>
  <c r="CY95" i="45" s="1"/>
  <c r="N48" i="60"/>
  <c r="F22" i="45"/>
  <c r="CH33" i="60"/>
  <c r="X85" i="61"/>
  <c r="Y85" i="61" s="1"/>
  <c r="Z85" i="61"/>
  <c r="AA85" i="61" s="1"/>
  <c r="V85" i="61"/>
  <c r="E48" i="60"/>
  <c r="F13" i="45"/>
  <c r="DE87" i="45"/>
  <c r="CA48" i="60"/>
  <c r="F87" i="45"/>
  <c r="BB47" i="60"/>
  <c r="Q62" i="45" s="1"/>
  <c r="BB37" i="60"/>
  <c r="G62" i="45" s="1"/>
  <c r="BB38" i="60"/>
  <c r="H62" i="45" s="1"/>
  <c r="BB41" i="60"/>
  <c r="K62" i="45" s="1"/>
  <c r="BB40" i="60"/>
  <c r="J62" i="45" s="1"/>
  <c r="BB42" i="60"/>
  <c r="L62" i="45" s="1"/>
  <c r="BB46" i="60"/>
  <c r="P62" i="45" s="1"/>
  <c r="BB36" i="60"/>
  <c r="BB43" i="60"/>
  <c r="M62" i="45" s="1"/>
  <c r="BB39" i="60"/>
  <c r="I62" i="45" s="1"/>
  <c r="BB44" i="60"/>
  <c r="N62" i="45" s="1"/>
  <c r="BB45" i="60"/>
  <c r="O62" i="45" s="1"/>
  <c r="V94" i="61"/>
  <c r="CQ33" i="60"/>
  <c r="Z94" i="61"/>
  <c r="AA94" i="61" s="1"/>
  <c r="X94" i="61"/>
  <c r="Y94" i="61" s="1"/>
  <c r="AN33" i="60"/>
  <c r="Z39" i="61"/>
  <c r="AA39" i="61" s="1"/>
  <c r="V39" i="61"/>
  <c r="X39" i="61"/>
  <c r="Y39" i="61" s="1"/>
  <c r="CW39" i="60"/>
  <c r="I109" i="45" s="1"/>
  <c r="CZ109" i="45" s="1"/>
  <c r="CW44" i="60"/>
  <c r="N109" i="45" s="1"/>
  <c r="DE109" i="45" s="1"/>
  <c r="CW38" i="60"/>
  <c r="H109" i="45" s="1"/>
  <c r="CY109" i="45" s="1"/>
  <c r="CW40" i="60"/>
  <c r="J109" i="45" s="1"/>
  <c r="DA109" i="45" s="1"/>
  <c r="CW37" i="60"/>
  <c r="G109" i="45" s="1"/>
  <c r="CX109" i="45" s="1"/>
  <c r="CW36" i="60"/>
  <c r="CW45" i="60"/>
  <c r="O109" i="45" s="1"/>
  <c r="DF109" i="45" s="1"/>
  <c r="CW46" i="60"/>
  <c r="P109" i="45" s="1"/>
  <c r="DG109" i="45" s="1"/>
  <c r="CW42" i="60"/>
  <c r="L109" i="45" s="1"/>
  <c r="DC109" i="45" s="1"/>
  <c r="CW41" i="60"/>
  <c r="K109" i="45" s="1"/>
  <c r="DB109" i="45" s="1"/>
  <c r="CW43" i="60"/>
  <c r="M109" i="45" s="1"/>
  <c r="DD109" i="45" s="1"/>
  <c r="CW47" i="60"/>
  <c r="Q109" i="45" s="1"/>
  <c r="DH109" i="45" s="1"/>
  <c r="BN39" i="60"/>
  <c r="I74" i="45" s="1"/>
  <c r="BN46" i="60"/>
  <c r="P74" i="45" s="1"/>
  <c r="BN43" i="60"/>
  <c r="M74" i="45" s="1"/>
  <c r="BN37" i="60"/>
  <c r="G74" i="45" s="1"/>
  <c r="BN42" i="60"/>
  <c r="L74" i="45" s="1"/>
  <c r="BN36" i="60"/>
  <c r="BN47" i="60"/>
  <c r="Q74" i="45" s="1"/>
  <c r="BN41" i="60"/>
  <c r="K74" i="45" s="1"/>
  <c r="BN40" i="60"/>
  <c r="J74" i="45" s="1"/>
  <c r="BN38" i="60"/>
  <c r="H74" i="45" s="1"/>
  <c r="BN44" i="60"/>
  <c r="N74" i="45" s="1"/>
  <c r="BN45" i="60"/>
  <c r="O74" i="45" s="1"/>
  <c r="R21" i="45"/>
  <c r="BU49" i="45"/>
  <c r="CM49" i="45"/>
  <c r="DK104" i="45"/>
  <c r="DM104" i="45"/>
  <c r="DI124" i="45"/>
  <c r="L88" i="44"/>
  <c r="C169" i="44"/>
  <c r="L104" i="44"/>
  <c r="C185" i="44"/>
  <c r="C326" i="44"/>
  <c r="L245" i="44"/>
  <c r="L480" i="44"/>
  <c r="C561" i="44"/>
  <c r="AG352" i="65"/>
  <c r="Y353" i="65"/>
  <c r="AG544" i="65"/>
  <c r="Y545" i="65"/>
  <c r="AG184" i="65"/>
  <c r="Y185" i="65"/>
  <c r="AG460" i="65"/>
  <c r="Y461" i="65"/>
  <c r="AG376" i="65"/>
  <c r="Y377" i="65"/>
  <c r="AG484" i="65"/>
  <c r="Y485" i="65"/>
  <c r="AG208" i="65"/>
  <c r="Y209" i="65"/>
  <c r="AG896" i="65"/>
  <c r="Y897" i="65"/>
  <c r="AG580" i="65"/>
  <c r="Y581" i="65"/>
  <c r="AG676" i="65"/>
  <c r="Y677" i="65"/>
  <c r="Y859" i="65"/>
  <c r="AG858" i="65"/>
  <c r="Y905" i="49"/>
  <c r="AG904" i="49"/>
  <c r="BR19" i="45"/>
  <c r="CK19" i="45" s="1"/>
  <c r="BK19" i="45"/>
  <c r="CD19" i="45" s="1"/>
  <c r="BS19" i="45"/>
  <c r="CL19" i="45" s="1"/>
  <c r="BL19" i="45"/>
  <c r="CE19" i="45" s="1"/>
  <c r="BT19" i="45"/>
  <c r="CM19" i="45" s="1"/>
  <c r="BM19" i="45"/>
  <c r="CF19" i="45" s="1"/>
  <c r="BU19" i="45"/>
  <c r="CN19" i="45" s="1"/>
  <c r="BN19" i="45"/>
  <c r="CG19" i="45" s="1"/>
  <c r="BV19" i="45"/>
  <c r="CO19" i="45" s="1"/>
  <c r="BO19" i="45"/>
  <c r="CH19" i="45" s="1"/>
  <c r="BP19" i="45"/>
  <c r="CI19" i="45" s="1"/>
  <c r="BQ19" i="45"/>
  <c r="CJ19" i="45" s="1"/>
  <c r="BN15" i="45"/>
  <c r="CG15" i="45" s="1"/>
  <c r="BV15" i="45"/>
  <c r="CO15" i="45" s="1"/>
  <c r="BO15" i="45"/>
  <c r="CH15" i="45" s="1"/>
  <c r="BP15" i="45"/>
  <c r="CI15" i="45" s="1"/>
  <c r="BQ15" i="45"/>
  <c r="CJ15" i="45" s="1"/>
  <c r="BR15" i="45"/>
  <c r="CK15" i="45" s="1"/>
  <c r="BK15" i="45"/>
  <c r="CD15" i="45" s="1"/>
  <c r="BS15" i="45"/>
  <c r="CL15" i="45" s="1"/>
  <c r="BL15" i="45"/>
  <c r="CE15" i="45" s="1"/>
  <c r="BT15" i="45"/>
  <c r="CM15" i="45" s="1"/>
  <c r="BM15" i="45"/>
  <c r="CF15" i="45" s="1"/>
  <c r="BU15" i="45"/>
  <c r="CN15" i="45" s="1"/>
  <c r="BK46" i="45"/>
  <c r="CD46" i="45" s="1"/>
  <c r="BS46" i="45"/>
  <c r="CL46" i="45" s="1"/>
  <c r="BL46" i="45"/>
  <c r="CE46" i="45" s="1"/>
  <c r="BT46" i="45"/>
  <c r="BM46" i="45"/>
  <c r="CF46" i="45" s="1"/>
  <c r="BN46" i="45"/>
  <c r="CG46" i="45" s="1"/>
  <c r="BO46" i="45"/>
  <c r="CH46" i="45" s="1"/>
  <c r="BP46" i="45"/>
  <c r="CI46" i="45" s="1"/>
  <c r="BQ46" i="45"/>
  <c r="CJ46" i="45" s="1"/>
  <c r="BR46" i="45"/>
  <c r="CK46" i="45" s="1"/>
  <c r="BN60" i="45"/>
  <c r="CG60" i="45" s="1"/>
  <c r="BR60" i="45"/>
  <c r="CK60" i="45" s="1"/>
  <c r="BL60" i="45"/>
  <c r="CE60" i="45" s="1"/>
  <c r="BT60" i="45"/>
  <c r="BM60" i="45"/>
  <c r="CF60" i="45" s="1"/>
  <c r="BP60" i="45"/>
  <c r="CI60" i="45" s="1"/>
  <c r="BQ60" i="45"/>
  <c r="CJ60" i="45" s="1"/>
  <c r="BS60" i="45"/>
  <c r="CL60" i="45" s="1"/>
  <c r="BK60" i="45"/>
  <c r="CD60" i="45" s="1"/>
  <c r="BO60" i="45"/>
  <c r="CH60" i="45" s="1"/>
  <c r="BK68" i="45"/>
  <c r="CD68" i="45" s="1"/>
  <c r="BS68" i="45"/>
  <c r="CL68" i="45" s="1"/>
  <c r="BL68" i="45"/>
  <c r="CE68" i="45" s="1"/>
  <c r="BT68" i="45"/>
  <c r="BM68" i="45"/>
  <c r="CF68" i="45" s="1"/>
  <c r="BN68" i="45"/>
  <c r="CG68" i="45" s="1"/>
  <c r="BO68" i="45"/>
  <c r="CH68" i="45" s="1"/>
  <c r="BP68" i="45"/>
  <c r="CI68" i="45" s="1"/>
  <c r="BQ68" i="45"/>
  <c r="CJ68" i="45" s="1"/>
  <c r="BR68" i="45"/>
  <c r="CK68" i="45" s="1"/>
  <c r="BL66" i="45"/>
  <c r="CE66" i="45" s="1"/>
  <c r="BT66" i="45"/>
  <c r="BQ66" i="45"/>
  <c r="CJ66" i="45" s="1"/>
  <c r="BK66" i="45"/>
  <c r="CD66" i="45" s="1"/>
  <c r="BM66" i="45"/>
  <c r="CF66" i="45" s="1"/>
  <c r="BO66" i="45"/>
  <c r="CH66" i="45" s="1"/>
  <c r="BN66" i="45"/>
  <c r="CG66" i="45" s="1"/>
  <c r="BP66" i="45"/>
  <c r="CI66" i="45" s="1"/>
  <c r="BR66" i="45"/>
  <c r="CK66" i="45" s="1"/>
  <c r="BS66" i="45"/>
  <c r="CL66" i="45" s="1"/>
  <c r="BR73" i="45"/>
  <c r="CK73" i="45" s="1"/>
  <c r="BK73" i="45"/>
  <c r="CD73" i="45" s="1"/>
  <c r="BS73" i="45"/>
  <c r="CL73" i="45" s="1"/>
  <c r="BL73" i="45"/>
  <c r="CE73" i="45" s="1"/>
  <c r="BT73" i="45"/>
  <c r="BM73" i="45"/>
  <c r="CF73" i="45" s="1"/>
  <c r="BN73" i="45"/>
  <c r="CG73" i="45" s="1"/>
  <c r="BO73" i="45"/>
  <c r="CH73" i="45" s="1"/>
  <c r="BP73" i="45"/>
  <c r="CI73" i="45" s="1"/>
  <c r="BQ73" i="45"/>
  <c r="CJ73" i="45" s="1"/>
  <c r="BO76" i="45"/>
  <c r="CH76" i="45" s="1"/>
  <c r="BP76" i="45"/>
  <c r="CI76" i="45" s="1"/>
  <c r="BQ76" i="45"/>
  <c r="CJ76" i="45" s="1"/>
  <c r="BR76" i="45"/>
  <c r="CK76" i="45" s="1"/>
  <c r="BK76" i="45"/>
  <c r="CD76" i="45" s="1"/>
  <c r="BS76" i="45"/>
  <c r="CL76" i="45" s="1"/>
  <c r="BT76" i="45"/>
  <c r="BL76" i="45"/>
  <c r="CE76" i="45" s="1"/>
  <c r="BM76" i="45"/>
  <c r="CF76" i="45" s="1"/>
  <c r="BN76" i="45"/>
  <c r="CG76" i="45" s="1"/>
  <c r="BM77" i="45"/>
  <c r="CF77" i="45" s="1"/>
  <c r="BR77" i="45"/>
  <c r="CK77" i="45" s="1"/>
  <c r="BO77" i="45"/>
  <c r="CH77" i="45" s="1"/>
  <c r="BL77" i="45"/>
  <c r="CE77" i="45" s="1"/>
  <c r="BT77" i="45"/>
  <c r="BQ77" i="45"/>
  <c r="CJ77" i="45" s="1"/>
  <c r="BN77" i="45"/>
  <c r="CG77" i="45" s="1"/>
  <c r="BK77" i="45"/>
  <c r="CD77" i="45" s="1"/>
  <c r="BS77" i="45"/>
  <c r="CL77" i="45" s="1"/>
  <c r="BP77" i="45"/>
  <c r="CI77" i="45" s="1"/>
  <c r="BO102" i="45"/>
  <c r="CH102" i="45" s="1"/>
  <c r="BP102" i="45"/>
  <c r="CI102" i="45" s="1"/>
  <c r="BQ102" i="45"/>
  <c r="CJ102" i="45" s="1"/>
  <c r="BR102" i="45"/>
  <c r="CK102" i="45" s="1"/>
  <c r="BK102" i="45"/>
  <c r="CD102" i="45" s="1"/>
  <c r="BS102" i="45"/>
  <c r="CL102" i="45" s="1"/>
  <c r="BL102" i="45"/>
  <c r="CE102" i="45" s="1"/>
  <c r="BT102" i="45"/>
  <c r="BM102" i="45"/>
  <c r="CF102" i="45" s="1"/>
  <c r="BN102" i="45"/>
  <c r="CG102" i="45" s="1"/>
  <c r="FH130" i="45"/>
  <c r="FU130" i="45"/>
  <c r="FX123" i="45"/>
  <c r="FF130" i="45"/>
  <c r="C287" i="44"/>
  <c r="L206" i="44"/>
  <c r="Y52" i="65"/>
  <c r="AG51" i="65"/>
  <c r="BO38" i="45"/>
  <c r="CH38" i="45" s="1"/>
  <c r="BM38" i="45"/>
  <c r="CF38" i="45" s="1"/>
  <c r="BP38" i="45"/>
  <c r="CI38" i="45" s="1"/>
  <c r="BQ38" i="45"/>
  <c r="CJ38" i="45" s="1"/>
  <c r="BR38" i="45"/>
  <c r="CK38" i="45" s="1"/>
  <c r="BS38" i="45"/>
  <c r="CL38" i="45" s="1"/>
  <c r="BT38" i="45"/>
  <c r="BK38" i="45"/>
  <c r="CD38" i="45" s="1"/>
  <c r="BL38" i="45"/>
  <c r="CE38" i="45" s="1"/>
  <c r="BN38" i="45"/>
  <c r="CG38" i="45" s="1"/>
  <c r="BK67" i="45"/>
  <c r="CD67" i="45" s="1"/>
  <c r="BS67" i="45"/>
  <c r="CL67" i="45" s="1"/>
  <c r="BL67" i="45"/>
  <c r="CE67" i="45" s="1"/>
  <c r="BT67" i="45"/>
  <c r="BM67" i="45"/>
  <c r="CF67" i="45" s="1"/>
  <c r="BN67" i="45"/>
  <c r="CG67" i="45" s="1"/>
  <c r="BO67" i="45"/>
  <c r="CH67" i="45" s="1"/>
  <c r="BP67" i="45"/>
  <c r="CI67" i="45" s="1"/>
  <c r="BQ67" i="45"/>
  <c r="CJ67" i="45" s="1"/>
  <c r="BR67" i="45"/>
  <c r="CK67" i="45" s="1"/>
  <c r="AA43" i="60"/>
  <c r="M35" i="45" s="1"/>
  <c r="AA36" i="60"/>
  <c r="AA38" i="60"/>
  <c r="H35" i="45" s="1"/>
  <c r="CY35" i="45" s="1"/>
  <c r="AA41" i="60"/>
  <c r="K35" i="45" s="1"/>
  <c r="AA37" i="60"/>
  <c r="G35" i="45" s="1"/>
  <c r="AA42" i="60"/>
  <c r="L35" i="45" s="1"/>
  <c r="AA47" i="60"/>
  <c r="Q35" i="45" s="1"/>
  <c r="AA40" i="60"/>
  <c r="J35" i="45" s="1"/>
  <c r="AA44" i="60"/>
  <c r="N35" i="45" s="1"/>
  <c r="AA45" i="60"/>
  <c r="O35" i="45" s="1"/>
  <c r="AA46" i="60"/>
  <c r="P35" i="45" s="1"/>
  <c r="AA39" i="60"/>
  <c r="I35" i="45" s="1"/>
  <c r="CZ35" i="45" s="1"/>
  <c r="AC37" i="60"/>
  <c r="G37" i="45" s="1"/>
  <c r="AC42" i="60"/>
  <c r="L37" i="45" s="1"/>
  <c r="AC45" i="60"/>
  <c r="O37" i="45" s="1"/>
  <c r="AC36" i="60"/>
  <c r="AC39" i="60"/>
  <c r="I37" i="45" s="1"/>
  <c r="AC38" i="60"/>
  <c r="H37" i="45" s="1"/>
  <c r="AC41" i="60"/>
  <c r="K37" i="45" s="1"/>
  <c r="AC43" i="60"/>
  <c r="M37" i="45" s="1"/>
  <c r="AC47" i="60"/>
  <c r="Q37" i="45" s="1"/>
  <c r="AC40" i="60"/>
  <c r="J37" i="45" s="1"/>
  <c r="AC44" i="60"/>
  <c r="N37" i="45" s="1"/>
  <c r="AC46" i="60"/>
  <c r="P37" i="45" s="1"/>
  <c r="DC41" i="45"/>
  <c r="AX39" i="60"/>
  <c r="I58" i="45" s="1"/>
  <c r="CZ58" i="45" s="1"/>
  <c r="AX46" i="60"/>
  <c r="P58" i="45" s="1"/>
  <c r="AX36" i="60"/>
  <c r="AX40" i="60"/>
  <c r="J58" i="45" s="1"/>
  <c r="DA58" i="45" s="1"/>
  <c r="AX44" i="60"/>
  <c r="N58" i="45" s="1"/>
  <c r="DE58" i="45" s="1"/>
  <c r="AX43" i="60"/>
  <c r="M58" i="45" s="1"/>
  <c r="DD58" i="45" s="1"/>
  <c r="AX37" i="60"/>
  <c r="G58" i="45" s="1"/>
  <c r="CX58" i="45" s="1"/>
  <c r="AX45" i="60"/>
  <c r="O58" i="45" s="1"/>
  <c r="AX47" i="60"/>
  <c r="Q58" i="45" s="1"/>
  <c r="AX38" i="60"/>
  <c r="H58" i="45" s="1"/>
  <c r="CY58" i="45" s="1"/>
  <c r="AX41" i="60"/>
  <c r="K58" i="45" s="1"/>
  <c r="DB58" i="45" s="1"/>
  <c r="AX42" i="60"/>
  <c r="L58" i="45" s="1"/>
  <c r="DC58" i="45" s="1"/>
  <c r="CX87" i="45"/>
  <c r="CM32" i="45"/>
  <c r="BU32" i="45"/>
  <c r="L92" i="44"/>
  <c r="C173" i="44"/>
  <c r="L112" i="44"/>
  <c r="C193" i="44"/>
  <c r="L132" i="44"/>
  <c r="C213" i="44"/>
  <c r="L103" i="44"/>
  <c r="C184" i="44"/>
  <c r="L127" i="44"/>
  <c r="C208" i="44"/>
  <c r="L111" i="44"/>
  <c r="C192" i="44"/>
  <c r="C314" i="44"/>
  <c r="L233" i="44"/>
  <c r="L434" i="44"/>
  <c r="C515" i="44"/>
  <c r="C592" i="44"/>
  <c r="L511" i="44"/>
  <c r="C526" i="44"/>
  <c r="L445" i="44"/>
  <c r="L743" i="44"/>
  <c r="C824" i="44"/>
  <c r="L765" i="44"/>
  <c r="C846" i="44"/>
  <c r="C700" i="44"/>
  <c r="L619" i="44"/>
  <c r="L654" i="44"/>
  <c r="C735" i="44"/>
  <c r="C794" i="44"/>
  <c r="L713" i="44"/>
  <c r="Y65" i="65"/>
  <c r="AG64" i="65"/>
  <c r="AG932" i="65"/>
  <c r="Y933" i="65"/>
  <c r="AG258" i="65"/>
  <c r="Y259" i="65"/>
  <c r="AG820" i="65"/>
  <c r="Y821" i="65"/>
  <c r="AG592" i="65"/>
  <c r="Y593" i="65"/>
  <c r="AG545" i="49"/>
  <c r="Y546" i="49"/>
  <c r="AG688" i="65"/>
  <c r="Y689" i="65"/>
  <c r="AG957" i="49"/>
  <c r="Y958" i="49"/>
  <c r="AI23" i="45"/>
  <c r="AJ23" i="45"/>
  <c r="AF23" i="45"/>
  <c r="AF119" i="45" s="1"/>
  <c r="AG23" i="45"/>
  <c r="AH23" i="45"/>
  <c r="BQ25" i="45"/>
  <c r="CJ25" i="45" s="1"/>
  <c r="BR25" i="45"/>
  <c r="CK25" i="45" s="1"/>
  <c r="BK25" i="45"/>
  <c r="CD25" i="45" s="1"/>
  <c r="BL25" i="45"/>
  <c r="CE25" i="45" s="1"/>
  <c r="CX25" i="45" s="1"/>
  <c r="BM25" i="45"/>
  <c r="CF25" i="45" s="1"/>
  <c r="BN25" i="45"/>
  <c r="CG25" i="45" s="1"/>
  <c r="BO25" i="45"/>
  <c r="CH25" i="45" s="1"/>
  <c r="DA25" i="45" s="1"/>
  <c r="EM25" i="45" s="1"/>
  <c r="BP25" i="45"/>
  <c r="CI25" i="45" s="1"/>
  <c r="BS25" i="45"/>
  <c r="CL25" i="45" s="1"/>
  <c r="DE25" i="45" s="1"/>
  <c r="EQ25" i="45" s="1"/>
  <c r="BT25" i="45"/>
  <c r="BN35" i="45"/>
  <c r="CG35" i="45" s="1"/>
  <c r="BO35" i="45"/>
  <c r="CH35" i="45" s="1"/>
  <c r="BP35" i="45"/>
  <c r="CI35" i="45" s="1"/>
  <c r="BQ35" i="45"/>
  <c r="CJ35" i="45" s="1"/>
  <c r="BK35" i="45"/>
  <c r="CD35" i="45" s="1"/>
  <c r="BS35" i="45"/>
  <c r="CL35" i="45" s="1"/>
  <c r="BL35" i="45"/>
  <c r="CE35" i="45" s="1"/>
  <c r="BT35" i="45"/>
  <c r="BM35" i="45"/>
  <c r="CF35" i="45" s="1"/>
  <c r="BR35" i="45"/>
  <c r="CK35" i="45" s="1"/>
  <c r="BQ88" i="45"/>
  <c r="CJ88" i="45" s="1"/>
  <c r="BR88" i="45"/>
  <c r="CK88" i="45" s="1"/>
  <c r="BS88" i="45"/>
  <c r="CL88" i="45" s="1"/>
  <c r="BT88" i="45"/>
  <c r="BK88" i="45"/>
  <c r="CD88" i="45" s="1"/>
  <c r="BL88" i="45"/>
  <c r="CE88" i="45" s="1"/>
  <c r="BM88" i="45"/>
  <c r="CF88" i="45" s="1"/>
  <c r="BN88" i="45"/>
  <c r="CG88" i="45" s="1"/>
  <c r="BO88" i="45"/>
  <c r="CH88" i="45" s="1"/>
  <c r="BP88" i="45"/>
  <c r="CI88" i="45" s="1"/>
  <c r="BP93" i="45"/>
  <c r="CI93" i="45" s="1"/>
  <c r="BQ93" i="45"/>
  <c r="CJ93" i="45" s="1"/>
  <c r="BR93" i="45"/>
  <c r="CK93" i="45" s="1"/>
  <c r="BK93" i="45"/>
  <c r="CD93" i="45" s="1"/>
  <c r="BS93" i="45"/>
  <c r="CL93" i="45" s="1"/>
  <c r="BL93" i="45"/>
  <c r="CE93" i="45" s="1"/>
  <c r="BT93" i="45"/>
  <c r="BM93" i="45"/>
  <c r="CF93" i="45" s="1"/>
  <c r="BN93" i="45"/>
  <c r="CG93" i="45" s="1"/>
  <c r="BO93" i="45"/>
  <c r="CH93" i="45" s="1"/>
  <c r="FC123" i="45"/>
  <c r="FE123" i="45"/>
  <c r="CO36" i="60"/>
  <c r="CO41" i="60"/>
  <c r="K101" i="45" s="1"/>
  <c r="DB101" i="45" s="1"/>
  <c r="CO47" i="60"/>
  <c r="Q101" i="45" s="1"/>
  <c r="DH101" i="45" s="1"/>
  <c r="CO38" i="60"/>
  <c r="H101" i="45" s="1"/>
  <c r="CY101" i="45" s="1"/>
  <c r="CO45" i="60"/>
  <c r="O101" i="45" s="1"/>
  <c r="DF101" i="45" s="1"/>
  <c r="CO39" i="60"/>
  <c r="I101" i="45" s="1"/>
  <c r="CZ101" i="45" s="1"/>
  <c r="CO40" i="60"/>
  <c r="J101" i="45" s="1"/>
  <c r="DA101" i="45" s="1"/>
  <c r="CO42" i="60"/>
  <c r="L101" i="45" s="1"/>
  <c r="DC101" i="45" s="1"/>
  <c r="CO43" i="60"/>
  <c r="M101" i="45" s="1"/>
  <c r="DD101" i="45" s="1"/>
  <c r="CO44" i="60"/>
  <c r="N101" i="45" s="1"/>
  <c r="DE101" i="45" s="1"/>
  <c r="CO46" i="60"/>
  <c r="P101" i="45" s="1"/>
  <c r="DG101" i="45" s="1"/>
  <c r="CO37" i="60"/>
  <c r="G101" i="45" s="1"/>
  <c r="CX101" i="45" s="1"/>
  <c r="BP89" i="45"/>
  <c r="CI89" i="45" s="1"/>
  <c r="BQ89" i="45"/>
  <c r="CJ89" i="45" s="1"/>
  <c r="BO89" i="45"/>
  <c r="CH89" i="45" s="1"/>
  <c r="BR89" i="45"/>
  <c r="CK89" i="45" s="1"/>
  <c r="BS89" i="45"/>
  <c r="CL89" i="45" s="1"/>
  <c r="BT89" i="45"/>
  <c r="BK89" i="45"/>
  <c r="CD89" i="45" s="1"/>
  <c r="BL89" i="45"/>
  <c r="CE89" i="45" s="1"/>
  <c r="BM89" i="45"/>
  <c r="CF89" i="45" s="1"/>
  <c r="BN89" i="45"/>
  <c r="CG89" i="45" s="1"/>
  <c r="CX59" i="45"/>
  <c r="DE81" i="45"/>
  <c r="CD48" i="60"/>
  <c r="F90" i="45"/>
  <c r="Y38" i="60"/>
  <c r="H33" i="45" s="1"/>
  <c r="CY33" i="45" s="1"/>
  <c r="Y47" i="60"/>
  <c r="Q33" i="45" s="1"/>
  <c r="Y45" i="60"/>
  <c r="O33" i="45" s="1"/>
  <c r="Y46" i="60"/>
  <c r="P33" i="45" s="1"/>
  <c r="Y40" i="60"/>
  <c r="J33" i="45" s="1"/>
  <c r="DA33" i="45" s="1"/>
  <c r="Y43" i="60"/>
  <c r="M33" i="45" s="1"/>
  <c r="DD33" i="45" s="1"/>
  <c r="Y44" i="60"/>
  <c r="N33" i="45" s="1"/>
  <c r="DE33" i="45" s="1"/>
  <c r="Y36" i="60"/>
  <c r="Y39" i="60"/>
  <c r="I33" i="45" s="1"/>
  <c r="CZ33" i="45" s="1"/>
  <c r="Y37" i="60"/>
  <c r="G33" i="45" s="1"/>
  <c r="CX33" i="45" s="1"/>
  <c r="Y42" i="60"/>
  <c r="L33" i="45" s="1"/>
  <c r="DC33" i="45" s="1"/>
  <c r="Y41" i="60"/>
  <c r="K33" i="45" s="1"/>
  <c r="DB33" i="45" s="1"/>
  <c r="CT36" i="60"/>
  <c r="CT42" i="60"/>
  <c r="L106" i="45" s="1"/>
  <c r="DC106" i="45" s="1"/>
  <c r="CT45" i="60"/>
  <c r="O106" i="45" s="1"/>
  <c r="DF106" i="45" s="1"/>
  <c r="ER106" i="45" s="1"/>
  <c r="CT37" i="60"/>
  <c r="G106" i="45" s="1"/>
  <c r="CX106" i="45" s="1"/>
  <c r="CT46" i="60"/>
  <c r="P106" i="45" s="1"/>
  <c r="DG106" i="45" s="1"/>
  <c r="CT39" i="60"/>
  <c r="I106" i="45" s="1"/>
  <c r="CZ106" i="45" s="1"/>
  <c r="EL106" i="45" s="1"/>
  <c r="CT41" i="60"/>
  <c r="K106" i="45" s="1"/>
  <c r="DB106" i="45" s="1"/>
  <c r="EN106" i="45" s="1"/>
  <c r="CT38" i="60"/>
  <c r="H106" i="45" s="1"/>
  <c r="CY106" i="45" s="1"/>
  <c r="EK106" i="45" s="1"/>
  <c r="CT40" i="60"/>
  <c r="J106" i="45" s="1"/>
  <c r="DA106" i="45" s="1"/>
  <c r="EM106" i="45" s="1"/>
  <c r="CT47" i="60"/>
  <c r="Q106" i="45" s="1"/>
  <c r="DH106" i="45" s="1"/>
  <c r="CT43" i="60"/>
  <c r="M106" i="45" s="1"/>
  <c r="DD106" i="45" s="1"/>
  <c r="CT44" i="60"/>
  <c r="N106" i="45" s="1"/>
  <c r="DE106" i="45" s="1"/>
  <c r="AW36" i="60"/>
  <c r="AW40" i="60"/>
  <c r="J57" i="45" s="1"/>
  <c r="AW43" i="60"/>
  <c r="M57" i="45" s="1"/>
  <c r="AW39" i="60"/>
  <c r="I57" i="45" s="1"/>
  <c r="AW37" i="60"/>
  <c r="G57" i="45" s="1"/>
  <c r="AW44" i="60"/>
  <c r="N57" i="45" s="1"/>
  <c r="AW45" i="60"/>
  <c r="O57" i="45" s="1"/>
  <c r="AW47" i="60"/>
  <c r="Q57" i="45" s="1"/>
  <c r="AW38" i="60"/>
  <c r="H57" i="45" s="1"/>
  <c r="AW41" i="60"/>
  <c r="K57" i="45" s="1"/>
  <c r="AW42" i="60"/>
  <c r="L57" i="45" s="1"/>
  <c r="AW46" i="60"/>
  <c r="P57" i="45" s="1"/>
  <c r="DE56" i="45"/>
  <c r="EQ56" i="45" s="1"/>
  <c r="D37" i="60"/>
  <c r="G12" i="45" s="1"/>
  <c r="D40" i="60"/>
  <c r="J12" i="45" s="1"/>
  <c r="D44" i="60"/>
  <c r="N12" i="45" s="1"/>
  <c r="D43" i="60"/>
  <c r="M12" i="45" s="1"/>
  <c r="D39" i="60"/>
  <c r="I12" i="45" s="1"/>
  <c r="D41" i="60"/>
  <c r="K12" i="45" s="1"/>
  <c r="D42" i="60"/>
  <c r="L12" i="45" s="1"/>
  <c r="D47" i="60"/>
  <c r="Q12" i="45" s="1"/>
  <c r="D36" i="60"/>
  <c r="D45" i="60"/>
  <c r="O12" i="45" s="1"/>
  <c r="D46" i="60"/>
  <c r="P12" i="45" s="1"/>
  <c r="CL41" i="60"/>
  <c r="K98" i="45" s="1"/>
  <c r="DB98" i="45" s="1"/>
  <c r="EN98" i="45" s="1"/>
  <c r="CL47" i="60"/>
  <c r="Q98" i="45" s="1"/>
  <c r="DH98" i="45" s="1"/>
  <c r="ET98" i="45" s="1"/>
  <c r="CL44" i="60"/>
  <c r="N98" i="45" s="1"/>
  <c r="DE98" i="45" s="1"/>
  <c r="EQ98" i="45" s="1"/>
  <c r="CL40" i="60"/>
  <c r="J98" i="45" s="1"/>
  <c r="DA98" i="45" s="1"/>
  <c r="EM98" i="45" s="1"/>
  <c r="CL43" i="60"/>
  <c r="M98" i="45" s="1"/>
  <c r="DD98" i="45" s="1"/>
  <c r="EP98" i="45" s="1"/>
  <c r="CL38" i="60"/>
  <c r="H98" i="45" s="1"/>
  <c r="CY98" i="45" s="1"/>
  <c r="CL45" i="60"/>
  <c r="O98" i="45" s="1"/>
  <c r="DF98" i="45" s="1"/>
  <c r="CL46" i="60"/>
  <c r="P98" i="45" s="1"/>
  <c r="DG98" i="45" s="1"/>
  <c r="CL37" i="60"/>
  <c r="G98" i="45" s="1"/>
  <c r="CX98" i="45" s="1"/>
  <c r="EJ98" i="45" s="1"/>
  <c r="CL36" i="60"/>
  <c r="CL42" i="60"/>
  <c r="L98" i="45" s="1"/>
  <c r="DC98" i="45" s="1"/>
  <c r="EO98" i="45" s="1"/>
  <c r="CL39" i="60"/>
  <c r="I98" i="45" s="1"/>
  <c r="CZ98" i="45" s="1"/>
  <c r="EL98" i="45" s="1"/>
  <c r="AD47" i="60"/>
  <c r="Q38" i="45" s="1"/>
  <c r="AD40" i="60"/>
  <c r="J38" i="45" s="1"/>
  <c r="DA38" i="45" s="1"/>
  <c r="AD43" i="60"/>
  <c r="M38" i="45" s="1"/>
  <c r="DD38" i="45" s="1"/>
  <c r="EP38" i="45" s="1"/>
  <c r="AD36" i="60"/>
  <c r="AD39" i="60"/>
  <c r="I38" i="45" s="1"/>
  <c r="CZ38" i="45" s="1"/>
  <c r="EL38" i="45" s="1"/>
  <c r="AD42" i="60"/>
  <c r="L38" i="45" s="1"/>
  <c r="DC38" i="45" s="1"/>
  <c r="EO38" i="45" s="1"/>
  <c r="AD46" i="60"/>
  <c r="P38" i="45" s="1"/>
  <c r="AD37" i="60"/>
  <c r="G38" i="45" s="1"/>
  <c r="CX38" i="45" s="1"/>
  <c r="EJ38" i="45" s="1"/>
  <c r="AD38" i="60"/>
  <c r="H38" i="45" s="1"/>
  <c r="CY38" i="45" s="1"/>
  <c r="EK38" i="45" s="1"/>
  <c r="AD41" i="60"/>
  <c r="K38" i="45" s="1"/>
  <c r="DB38" i="45" s="1"/>
  <c r="AD44" i="60"/>
  <c r="N38" i="45" s="1"/>
  <c r="DE38" i="45" s="1"/>
  <c r="EQ38" i="45" s="1"/>
  <c r="AD45" i="60"/>
  <c r="O38" i="45" s="1"/>
  <c r="CY41" i="45"/>
  <c r="AP39" i="60"/>
  <c r="I50" i="45" s="1"/>
  <c r="CZ50" i="45" s="1"/>
  <c r="AP46" i="60"/>
  <c r="P50" i="45" s="1"/>
  <c r="AP37" i="60"/>
  <c r="G50" i="45" s="1"/>
  <c r="CX50" i="45" s="1"/>
  <c r="EJ49" i="45" s="1"/>
  <c r="AP45" i="60"/>
  <c r="O50" i="45" s="1"/>
  <c r="DF50" i="45" s="1"/>
  <c r="AP40" i="60"/>
  <c r="J50" i="45" s="1"/>
  <c r="DA50" i="45" s="1"/>
  <c r="AP44" i="60"/>
  <c r="N50" i="45" s="1"/>
  <c r="DE50" i="45" s="1"/>
  <c r="AP38" i="60"/>
  <c r="H50" i="45" s="1"/>
  <c r="CY50" i="45" s="1"/>
  <c r="AP41" i="60"/>
  <c r="K50" i="45" s="1"/>
  <c r="DB50" i="45" s="1"/>
  <c r="AP42" i="60"/>
  <c r="L50" i="45" s="1"/>
  <c r="DC50" i="45" s="1"/>
  <c r="AP36" i="60"/>
  <c r="AP43" i="60"/>
  <c r="M50" i="45" s="1"/>
  <c r="DD50" i="45" s="1"/>
  <c r="EP49" i="45" s="1"/>
  <c r="AP47" i="60"/>
  <c r="Q50" i="45" s="1"/>
  <c r="BF39" i="60"/>
  <c r="I66" i="45" s="1"/>
  <c r="CZ66" i="45" s="1"/>
  <c r="BF46" i="60"/>
  <c r="P66" i="45" s="1"/>
  <c r="BF43" i="60"/>
  <c r="M66" i="45" s="1"/>
  <c r="BF44" i="60"/>
  <c r="N66" i="45" s="1"/>
  <c r="BF38" i="60"/>
  <c r="H66" i="45" s="1"/>
  <c r="CY66" i="45" s="1"/>
  <c r="BF45" i="60"/>
  <c r="O66" i="45" s="1"/>
  <c r="BF47" i="60"/>
  <c r="Q66" i="45" s="1"/>
  <c r="BF41" i="60"/>
  <c r="K66" i="45" s="1"/>
  <c r="DB66" i="45" s="1"/>
  <c r="BF42" i="60"/>
  <c r="L66" i="45" s="1"/>
  <c r="DC66" i="45" s="1"/>
  <c r="BF36" i="60"/>
  <c r="BF40" i="60"/>
  <c r="J66" i="45" s="1"/>
  <c r="DA66" i="45" s="1"/>
  <c r="BF37" i="60"/>
  <c r="G66" i="45" s="1"/>
  <c r="CX66" i="45" s="1"/>
  <c r="CY90" i="45"/>
  <c r="AH48" i="60"/>
  <c r="F42" i="45"/>
  <c r="X36" i="60"/>
  <c r="X40" i="60"/>
  <c r="J32" i="45" s="1"/>
  <c r="DA32" i="45" s="1"/>
  <c r="X44" i="60"/>
  <c r="N32" i="45" s="1"/>
  <c r="DE32" i="45" s="1"/>
  <c r="X45" i="60"/>
  <c r="O32" i="45" s="1"/>
  <c r="DF32" i="45" s="1"/>
  <c r="X46" i="60"/>
  <c r="P32" i="45" s="1"/>
  <c r="X37" i="60"/>
  <c r="G32" i="45" s="1"/>
  <c r="CX32" i="45" s="1"/>
  <c r="X43" i="60"/>
  <c r="M32" i="45" s="1"/>
  <c r="DD32" i="45" s="1"/>
  <c r="X47" i="60"/>
  <c r="Q32" i="45" s="1"/>
  <c r="X39" i="60"/>
  <c r="I32" i="45" s="1"/>
  <c r="CZ32" i="45" s="1"/>
  <c r="X41" i="60"/>
  <c r="K32" i="45" s="1"/>
  <c r="DB32" i="45" s="1"/>
  <c r="X42" i="60"/>
  <c r="L32" i="45" s="1"/>
  <c r="DC32" i="45" s="1"/>
  <c r="X38" i="60"/>
  <c r="H32" i="45" s="1"/>
  <c r="CY32" i="45" s="1"/>
  <c r="CX56" i="45"/>
  <c r="CZ90" i="45"/>
  <c r="EL90" i="45" s="1"/>
  <c r="S48" i="60"/>
  <c r="F27" i="45"/>
  <c r="BU48" i="60"/>
  <c r="F81" i="45"/>
  <c r="BJ47" i="60"/>
  <c r="Q70" i="45" s="1"/>
  <c r="BJ38" i="60"/>
  <c r="H70" i="45" s="1"/>
  <c r="BJ41" i="60"/>
  <c r="K70" i="45" s="1"/>
  <c r="BJ45" i="60"/>
  <c r="O70" i="45" s="1"/>
  <c r="BJ46" i="60"/>
  <c r="P70" i="45" s="1"/>
  <c r="BJ37" i="60"/>
  <c r="G70" i="45" s="1"/>
  <c r="BJ39" i="60"/>
  <c r="I70" i="45" s="1"/>
  <c r="BJ43" i="60"/>
  <c r="M70" i="45" s="1"/>
  <c r="BJ44" i="60"/>
  <c r="N70" i="45" s="1"/>
  <c r="BJ36" i="60"/>
  <c r="BJ40" i="60"/>
  <c r="J70" i="45" s="1"/>
  <c r="BJ42" i="60"/>
  <c r="L70" i="45" s="1"/>
  <c r="DB16" i="45"/>
  <c r="EN16" i="45" s="1"/>
  <c r="F47" i="60"/>
  <c r="Q14" i="45" s="1"/>
  <c r="DH14" i="45" s="1"/>
  <c r="ET14" i="45" s="1"/>
  <c r="F36" i="60"/>
  <c r="F45" i="60"/>
  <c r="O14" i="45" s="1"/>
  <c r="DF14" i="45" s="1"/>
  <c r="F46" i="60"/>
  <c r="P14" i="45" s="1"/>
  <c r="DG14" i="45" s="1"/>
  <c r="ES14" i="45" s="1"/>
  <c r="F39" i="60"/>
  <c r="I14" i="45" s="1"/>
  <c r="CZ14" i="45" s="1"/>
  <c r="F42" i="60"/>
  <c r="L14" i="45" s="1"/>
  <c r="DC14" i="45" s="1"/>
  <c r="EO14" i="45" s="1"/>
  <c r="F41" i="60"/>
  <c r="K14" i="45" s="1"/>
  <c r="DB14" i="45" s="1"/>
  <c r="EN14" i="45" s="1"/>
  <c r="F43" i="60"/>
  <c r="M14" i="45" s="1"/>
  <c r="DD14" i="45" s="1"/>
  <c r="EP14" i="45" s="1"/>
  <c r="F37" i="60"/>
  <c r="G14" i="45" s="1"/>
  <c r="CX14" i="45" s="1"/>
  <c r="EJ14" i="45" s="1"/>
  <c r="F38" i="60"/>
  <c r="H14" i="45" s="1"/>
  <c r="CY14" i="45" s="1"/>
  <c r="EK14" i="45" s="1"/>
  <c r="F44" i="60"/>
  <c r="N14" i="45" s="1"/>
  <c r="DE14" i="45" s="1"/>
  <c r="EQ14" i="45" s="1"/>
  <c r="F40" i="60"/>
  <c r="J14" i="45" s="1"/>
  <c r="DA14" i="45" s="1"/>
  <c r="EM14" i="45" s="1"/>
  <c r="CX42" i="45"/>
  <c r="AM48" i="60"/>
  <c r="F47" i="45"/>
  <c r="CY30" i="45"/>
  <c r="DA30" i="45"/>
  <c r="BX34" i="60"/>
  <c r="BX48" i="60" s="1"/>
  <c r="X75" i="61"/>
  <c r="Y75" i="61" s="1"/>
  <c r="V75" i="61"/>
  <c r="Z75" i="61"/>
  <c r="AA75" i="61" s="1"/>
  <c r="CX45" i="45"/>
  <c r="EJ45" i="45" s="1"/>
  <c r="DC45" i="45"/>
  <c r="Z67" i="61"/>
  <c r="AA67" i="61" s="1"/>
  <c r="V67" i="61"/>
  <c r="X67" i="61"/>
  <c r="Y67" i="61" s="1"/>
  <c r="BP33" i="60"/>
  <c r="CY87" i="45"/>
  <c r="CJ37" i="60"/>
  <c r="G96" i="45" s="1"/>
  <c r="CX96" i="45" s="1"/>
  <c r="CJ42" i="60"/>
  <c r="L96" i="45" s="1"/>
  <c r="DC96" i="45" s="1"/>
  <c r="EO96" i="45" s="1"/>
  <c r="CJ38" i="60"/>
  <c r="H96" i="45" s="1"/>
  <c r="CY96" i="45" s="1"/>
  <c r="CJ43" i="60"/>
  <c r="M96" i="45" s="1"/>
  <c r="DD96" i="45" s="1"/>
  <c r="EP96" i="45" s="1"/>
  <c r="CJ44" i="60"/>
  <c r="N96" i="45" s="1"/>
  <c r="DE96" i="45" s="1"/>
  <c r="EQ96" i="45" s="1"/>
  <c r="CJ46" i="60"/>
  <c r="P96" i="45" s="1"/>
  <c r="DG96" i="45" s="1"/>
  <c r="ES96" i="45" s="1"/>
  <c r="CJ45" i="60"/>
  <c r="O96" i="45" s="1"/>
  <c r="DF96" i="45" s="1"/>
  <c r="ER96" i="45" s="1"/>
  <c r="CJ36" i="60"/>
  <c r="CJ39" i="60"/>
  <c r="I96" i="45" s="1"/>
  <c r="CZ96" i="45" s="1"/>
  <c r="CJ41" i="60"/>
  <c r="K96" i="45" s="1"/>
  <c r="DB96" i="45" s="1"/>
  <c r="EN96" i="45" s="1"/>
  <c r="CJ47" i="60"/>
  <c r="Q96" i="45" s="1"/>
  <c r="DH96" i="45" s="1"/>
  <c r="ET96" i="45" s="1"/>
  <c r="CJ40" i="60"/>
  <c r="J96" i="45" s="1"/>
  <c r="DA96" i="45" s="1"/>
  <c r="EM96" i="45" s="1"/>
  <c r="CM51" i="45"/>
  <c r="BU51" i="45"/>
  <c r="L115" i="44"/>
  <c r="C196" i="44"/>
  <c r="L323" i="44"/>
  <c r="C404" i="44"/>
  <c r="C319" i="44"/>
  <c r="L238" i="44"/>
  <c r="C334" i="44"/>
  <c r="L253" i="44"/>
  <c r="L410" i="44"/>
  <c r="C491" i="44"/>
  <c r="L437" i="44"/>
  <c r="C518" i="44"/>
  <c r="C418" i="44"/>
  <c r="L337" i="44"/>
  <c r="L413" i="44"/>
  <c r="C494" i="44"/>
  <c r="AG137" i="65"/>
  <c r="Y138" i="65"/>
  <c r="AG400" i="65"/>
  <c r="Y401" i="65"/>
  <c r="AG270" i="65"/>
  <c r="Y271" i="65"/>
  <c r="AG15" i="65"/>
  <c r="Y16" i="65"/>
  <c r="AG508" i="65"/>
  <c r="Y509" i="65"/>
  <c r="AG605" i="49"/>
  <c r="Y606" i="49"/>
  <c r="AG196" i="65"/>
  <c r="Y197" i="65"/>
  <c r="AG162" i="65"/>
  <c r="Y163" i="65"/>
  <c r="AG424" i="65"/>
  <c r="Y425" i="65"/>
  <c r="AG532" i="65"/>
  <c r="Y533" i="65"/>
  <c r="AG42" i="65"/>
  <c r="Y43" i="65"/>
  <c r="Y559" i="49"/>
  <c r="AG558" i="49"/>
  <c r="AG604" i="65"/>
  <c r="Y605" i="65"/>
  <c r="AG700" i="65"/>
  <c r="Y701" i="65"/>
  <c r="AG857" i="49"/>
  <c r="Y858" i="49"/>
  <c r="Y90" i="65"/>
  <c r="AG89" i="65"/>
  <c r="BL24" i="45"/>
  <c r="CE24" i="45" s="1"/>
  <c r="CX24" i="45" s="1"/>
  <c r="EJ24" i="45" s="1"/>
  <c r="BM24" i="45"/>
  <c r="CF24" i="45" s="1"/>
  <c r="CY24" i="45" s="1"/>
  <c r="EK24" i="45" s="1"/>
  <c r="BN24" i="45"/>
  <c r="CG24" i="45" s="1"/>
  <c r="CZ24" i="45" s="1"/>
  <c r="EL24" i="45" s="1"/>
  <c r="BK24" i="45"/>
  <c r="CD24" i="45" s="1"/>
  <c r="BO24" i="45"/>
  <c r="CH24" i="45" s="1"/>
  <c r="DA24" i="45" s="1"/>
  <c r="EM24" i="45" s="1"/>
  <c r="BP24" i="45"/>
  <c r="CI24" i="45" s="1"/>
  <c r="BL17" i="45"/>
  <c r="CE17" i="45" s="1"/>
  <c r="BT17" i="45"/>
  <c r="CM17" i="45" s="1"/>
  <c r="BM17" i="45"/>
  <c r="CF17" i="45" s="1"/>
  <c r="BU17" i="45"/>
  <c r="CN17" i="45" s="1"/>
  <c r="BN17" i="45"/>
  <c r="CG17" i="45" s="1"/>
  <c r="BV17" i="45"/>
  <c r="CO17" i="45" s="1"/>
  <c r="BO17" i="45"/>
  <c r="CH17" i="45" s="1"/>
  <c r="BP17" i="45"/>
  <c r="CI17" i="45" s="1"/>
  <c r="BQ17" i="45"/>
  <c r="CJ17" i="45" s="1"/>
  <c r="BR17" i="45"/>
  <c r="CK17" i="45" s="1"/>
  <c r="BK17" i="45"/>
  <c r="CD17" i="45" s="1"/>
  <c r="BS17" i="45"/>
  <c r="CL17" i="45" s="1"/>
  <c r="BM48" i="45"/>
  <c r="CF48" i="45" s="1"/>
  <c r="BR48" i="45"/>
  <c r="CK48" i="45" s="1"/>
  <c r="BL48" i="45"/>
  <c r="CE48" i="45" s="1"/>
  <c r="BN48" i="45"/>
  <c r="CG48" i="45" s="1"/>
  <c r="BP48" i="45"/>
  <c r="CI48" i="45" s="1"/>
  <c r="BO48" i="45"/>
  <c r="CH48" i="45" s="1"/>
  <c r="BQ48" i="45"/>
  <c r="CJ48" i="45" s="1"/>
  <c r="BS48" i="45"/>
  <c r="CL48" i="45" s="1"/>
  <c r="BK48" i="45"/>
  <c r="CD48" i="45" s="1"/>
  <c r="BT48" i="45"/>
  <c r="BM53" i="45"/>
  <c r="CF53" i="45" s="1"/>
  <c r="BN53" i="45"/>
  <c r="CG53" i="45" s="1"/>
  <c r="CZ53" i="45" s="1"/>
  <c r="BO53" i="45"/>
  <c r="CH53" i="45" s="1"/>
  <c r="DA53" i="45" s="1"/>
  <c r="BP53" i="45"/>
  <c r="CI53" i="45" s="1"/>
  <c r="DB53" i="45" s="1"/>
  <c r="BQ53" i="45"/>
  <c r="CJ53" i="45" s="1"/>
  <c r="DC53" i="45" s="1"/>
  <c r="BR53" i="45"/>
  <c r="CK53" i="45" s="1"/>
  <c r="DD53" i="45" s="1"/>
  <c r="BK53" i="45"/>
  <c r="CD53" i="45" s="1"/>
  <c r="BS53" i="45"/>
  <c r="CL53" i="45" s="1"/>
  <c r="DE53" i="45" s="1"/>
  <c r="BL53" i="45"/>
  <c r="CE53" i="45" s="1"/>
  <c r="CX53" i="45" s="1"/>
  <c r="BT53" i="45"/>
  <c r="BN52" i="45"/>
  <c r="CG52" i="45" s="1"/>
  <c r="BO52" i="45"/>
  <c r="CH52" i="45" s="1"/>
  <c r="BP52" i="45"/>
  <c r="CI52" i="45" s="1"/>
  <c r="BQ52" i="45"/>
  <c r="CJ52" i="45" s="1"/>
  <c r="BR52" i="45"/>
  <c r="CK52" i="45" s="1"/>
  <c r="BK52" i="45"/>
  <c r="CD52" i="45" s="1"/>
  <c r="BS52" i="45"/>
  <c r="CL52" i="45" s="1"/>
  <c r="BL52" i="45"/>
  <c r="CE52" i="45" s="1"/>
  <c r="BT52" i="45"/>
  <c r="BM52" i="45"/>
  <c r="CF52" i="45" s="1"/>
  <c r="BP62" i="45"/>
  <c r="CI62" i="45" s="1"/>
  <c r="BQ62" i="45"/>
  <c r="CJ62" i="45" s="1"/>
  <c r="BO62" i="45"/>
  <c r="CH62" i="45" s="1"/>
  <c r="BR62" i="45"/>
  <c r="CK62" i="45" s="1"/>
  <c r="BS62" i="45"/>
  <c r="CL62" i="45" s="1"/>
  <c r="BT62" i="45"/>
  <c r="BK62" i="45"/>
  <c r="CD62" i="45" s="1"/>
  <c r="BL62" i="45"/>
  <c r="CE62" i="45" s="1"/>
  <c r="BM62" i="45"/>
  <c r="CF62" i="45" s="1"/>
  <c r="BN62" i="45"/>
  <c r="CG62" i="45" s="1"/>
  <c r="BN71" i="45"/>
  <c r="CG71" i="45" s="1"/>
  <c r="BK71" i="45"/>
  <c r="CD71" i="45" s="1"/>
  <c r="BS71" i="45"/>
  <c r="CL71" i="45" s="1"/>
  <c r="BP71" i="45"/>
  <c r="CI71" i="45" s="1"/>
  <c r="BM71" i="45"/>
  <c r="CF71" i="45" s="1"/>
  <c r="BR71" i="45"/>
  <c r="CK71" i="45" s="1"/>
  <c r="BO71" i="45"/>
  <c r="CH71" i="45" s="1"/>
  <c r="BL71" i="45"/>
  <c r="CE71" i="45" s="1"/>
  <c r="BT71" i="45"/>
  <c r="BQ71" i="45"/>
  <c r="CJ71" i="45" s="1"/>
  <c r="BQ74" i="45"/>
  <c r="CJ74" i="45" s="1"/>
  <c r="BR74" i="45"/>
  <c r="CK74" i="45" s="1"/>
  <c r="BK74" i="45"/>
  <c r="CD74" i="45" s="1"/>
  <c r="BS74" i="45"/>
  <c r="CL74" i="45" s="1"/>
  <c r="BL74" i="45"/>
  <c r="CE74" i="45" s="1"/>
  <c r="BT74" i="45"/>
  <c r="BM74" i="45"/>
  <c r="CF74" i="45" s="1"/>
  <c r="BN74" i="45"/>
  <c r="CG74" i="45" s="1"/>
  <c r="BO74" i="45"/>
  <c r="CH74" i="45" s="1"/>
  <c r="BP74" i="45"/>
  <c r="CI74" i="45" s="1"/>
  <c r="BR69" i="45"/>
  <c r="CK69" i="45" s="1"/>
  <c r="BO69" i="45"/>
  <c r="CH69" i="45" s="1"/>
  <c r="BL69" i="45"/>
  <c r="CE69" i="45" s="1"/>
  <c r="BT69" i="45"/>
  <c r="BQ69" i="45"/>
  <c r="CJ69" i="45" s="1"/>
  <c r="BN69" i="45"/>
  <c r="CG69" i="45" s="1"/>
  <c r="BK69" i="45"/>
  <c r="CD69" i="45" s="1"/>
  <c r="BS69" i="45"/>
  <c r="CL69" i="45" s="1"/>
  <c r="BP69" i="45"/>
  <c r="CI69" i="45" s="1"/>
  <c r="BM69" i="45"/>
  <c r="CF69" i="45" s="1"/>
  <c r="BQ61" i="45"/>
  <c r="CJ61" i="45" s="1"/>
  <c r="BM61" i="45"/>
  <c r="CF61" i="45" s="1"/>
  <c r="BO61" i="45"/>
  <c r="CH61" i="45" s="1"/>
  <c r="BL61" i="45"/>
  <c r="CE61" i="45" s="1"/>
  <c r="BT61" i="45"/>
  <c r="BN61" i="45"/>
  <c r="CG61" i="45" s="1"/>
  <c r="BK61" i="45"/>
  <c r="CD61" i="45" s="1"/>
  <c r="BR61" i="45"/>
  <c r="CK61" i="45" s="1"/>
  <c r="BS61" i="45"/>
  <c r="CL61" i="45" s="1"/>
  <c r="BP61" i="45"/>
  <c r="CI61" i="45" s="1"/>
  <c r="BK92" i="45"/>
  <c r="CD92" i="45" s="1"/>
  <c r="CW92" i="45" s="1"/>
  <c r="BL92" i="45"/>
  <c r="CE92" i="45" s="1"/>
  <c r="CX92" i="45" s="1"/>
  <c r="BM92" i="45"/>
  <c r="CF92" i="45" s="1"/>
  <c r="BN92" i="45"/>
  <c r="CG92" i="45" s="1"/>
  <c r="CZ92" i="45" s="1"/>
  <c r="EL92" i="45" s="1"/>
  <c r="BO92" i="45"/>
  <c r="CH92" i="45" s="1"/>
  <c r="DA92" i="45" s="1"/>
  <c r="BP92" i="45"/>
  <c r="CI92" i="45" s="1"/>
  <c r="DB92" i="45" s="1"/>
  <c r="BQ86" i="45"/>
  <c r="CJ86" i="45" s="1"/>
  <c r="BR86" i="45"/>
  <c r="CK86" i="45" s="1"/>
  <c r="BL86" i="45"/>
  <c r="CE86" i="45" s="1"/>
  <c r="BM86" i="45"/>
  <c r="CF86" i="45" s="1"/>
  <c r="BN86" i="45"/>
  <c r="CG86" i="45" s="1"/>
  <c r="BO86" i="45"/>
  <c r="CH86" i="45" s="1"/>
  <c r="BP86" i="45"/>
  <c r="CI86" i="45" s="1"/>
  <c r="BS86" i="45"/>
  <c r="CL86" i="45" s="1"/>
  <c r="BK86" i="45"/>
  <c r="CD86" i="45" s="1"/>
  <c r="BN103" i="45"/>
  <c r="CG103" i="45" s="1"/>
  <c r="BO103" i="45"/>
  <c r="CH103" i="45" s="1"/>
  <c r="BP103" i="45"/>
  <c r="CI103" i="45" s="1"/>
  <c r="BQ103" i="45"/>
  <c r="CJ103" i="45" s="1"/>
  <c r="BR103" i="45"/>
  <c r="CK103" i="45" s="1"/>
  <c r="BK103" i="45"/>
  <c r="CD103" i="45" s="1"/>
  <c r="BS103" i="45"/>
  <c r="CL103" i="45" s="1"/>
  <c r="BL103" i="45"/>
  <c r="CE103" i="45" s="1"/>
  <c r="BT103" i="45"/>
  <c r="BM103" i="45"/>
  <c r="CF103" i="45" s="1"/>
  <c r="FG130" i="45"/>
  <c r="FJ123" i="45"/>
  <c r="FB130" i="45"/>
  <c r="FQ123" i="45"/>
  <c r="DA81" i="45"/>
  <c r="EM81" i="45" s="1"/>
  <c r="CZ42" i="45"/>
  <c r="EL41" i="45" s="1"/>
  <c r="J2" i="43"/>
  <c r="I28" i="43"/>
  <c r="K268" i="44" s="1"/>
  <c r="I36" i="43"/>
  <c r="K276" i="44" s="1"/>
  <c r="I50" i="43"/>
  <c r="K290" i="44" s="1"/>
  <c r="I56" i="43"/>
  <c r="K296" i="44" s="1"/>
  <c r="I60" i="43"/>
  <c r="K300" i="44" s="1"/>
  <c r="I64" i="43"/>
  <c r="K304" i="44" s="1"/>
  <c r="I68" i="43"/>
  <c r="K308" i="44" s="1"/>
  <c r="I80" i="43"/>
  <c r="K319" i="44" s="1"/>
  <c r="I8" i="43"/>
  <c r="K248" i="44" s="1"/>
  <c r="I12" i="43"/>
  <c r="K252" i="44" s="1"/>
  <c r="I16" i="43"/>
  <c r="K256" i="44" s="1"/>
  <c r="I20" i="43"/>
  <c r="K260" i="44" s="1"/>
  <c r="I24" i="43"/>
  <c r="K264" i="44" s="1"/>
  <c r="I33" i="43"/>
  <c r="K273" i="44" s="1"/>
  <c r="I42" i="43"/>
  <c r="K282" i="44" s="1"/>
  <c r="I46" i="43"/>
  <c r="K286" i="44" s="1"/>
  <c r="I71" i="43"/>
  <c r="K311" i="44" s="1"/>
  <c r="I77" i="43"/>
  <c r="K316" i="44" s="1"/>
  <c r="I85" i="43"/>
  <c r="K324" i="44" s="1"/>
  <c r="I30" i="43"/>
  <c r="K270" i="44" s="1"/>
  <c r="I38" i="43"/>
  <c r="K278" i="44" s="1"/>
  <c r="I52" i="43"/>
  <c r="K292" i="44" s="1"/>
  <c r="I55" i="43"/>
  <c r="K295" i="44" s="1"/>
  <c r="I59" i="43"/>
  <c r="K299" i="44" s="1"/>
  <c r="I63" i="43"/>
  <c r="K303" i="44" s="1"/>
  <c r="I67" i="43"/>
  <c r="K307" i="44" s="1"/>
  <c r="I74" i="43"/>
  <c r="K313" i="44" s="1"/>
  <c r="I82" i="43"/>
  <c r="K321" i="44" s="1"/>
  <c r="I7" i="43"/>
  <c r="K247" i="44" s="1"/>
  <c r="I11" i="43"/>
  <c r="K251" i="44" s="1"/>
  <c r="I15" i="43"/>
  <c r="K255" i="44" s="1"/>
  <c r="I19" i="43"/>
  <c r="K259" i="44" s="1"/>
  <c r="I23" i="43"/>
  <c r="K263" i="44" s="1"/>
  <c r="I27" i="43"/>
  <c r="K267" i="44" s="1"/>
  <c r="I35" i="43"/>
  <c r="K275" i="44" s="1"/>
  <c r="I41" i="43"/>
  <c r="K281" i="44" s="1"/>
  <c r="I45" i="43"/>
  <c r="K285" i="44" s="1"/>
  <c r="I49" i="43"/>
  <c r="K289" i="44" s="1"/>
  <c r="I70" i="43"/>
  <c r="K310" i="44" s="1"/>
  <c r="I79" i="43"/>
  <c r="K318" i="44" s="1"/>
  <c r="I32" i="43"/>
  <c r="K272" i="44" s="1"/>
  <c r="I54" i="43"/>
  <c r="K294" i="44" s="1"/>
  <c r="I58" i="43"/>
  <c r="K298" i="44" s="1"/>
  <c r="I62" i="43"/>
  <c r="K302" i="44" s="1"/>
  <c r="I66" i="43"/>
  <c r="K306" i="44" s="1"/>
  <c r="I76" i="43"/>
  <c r="K315" i="44" s="1"/>
  <c r="I84" i="43"/>
  <c r="K323" i="44" s="1"/>
  <c r="I6" i="43"/>
  <c r="K246" i="44" s="1"/>
  <c r="I10" i="43"/>
  <c r="K250" i="44" s="1"/>
  <c r="I14" i="43"/>
  <c r="K254" i="44" s="1"/>
  <c r="I18" i="43"/>
  <c r="K258" i="44" s="1"/>
  <c r="I22" i="43"/>
  <c r="K262" i="44" s="1"/>
  <c r="I26" i="43"/>
  <c r="K266" i="44" s="1"/>
  <c r="I29" i="43"/>
  <c r="K269" i="44" s="1"/>
  <c r="I37" i="43"/>
  <c r="K277" i="44" s="1"/>
  <c r="I40" i="43"/>
  <c r="K280" i="44" s="1"/>
  <c r="I44" i="43"/>
  <c r="K284" i="44" s="1"/>
  <c r="I48" i="43"/>
  <c r="K288" i="44" s="1"/>
  <c r="I51" i="43"/>
  <c r="K291" i="44" s="1"/>
  <c r="I73" i="43"/>
  <c r="I81" i="43"/>
  <c r="K320" i="44" s="1"/>
  <c r="I34" i="43"/>
  <c r="K274" i="44" s="1"/>
  <c r="I57" i="43"/>
  <c r="K297" i="44" s="1"/>
  <c r="I61" i="43"/>
  <c r="K301" i="44" s="1"/>
  <c r="I65" i="43"/>
  <c r="K305" i="44" s="1"/>
  <c r="I69" i="43"/>
  <c r="K309" i="44" s="1"/>
  <c r="I78" i="43"/>
  <c r="K317" i="44" s="1"/>
  <c r="I86" i="43"/>
  <c r="K325" i="44" s="1"/>
  <c r="I5" i="43"/>
  <c r="I9" i="43"/>
  <c r="K249" i="44" s="1"/>
  <c r="I13" i="43"/>
  <c r="K253" i="44" s="1"/>
  <c r="I17" i="43"/>
  <c r="K257" i="44" s="1"/>
  <c r="I21" i="43"/>
  <c r="K261" i="44" s="1"/>
  <c r="I25" i="43"/>
  <c r="K265" i="44" s="1"/>
  <c r="I31" i="43"/>
  <c r="K271" i="44" s="1"/>
  <c r="I39" i="43"/>
  <c r="K279" i="44" s="1"/>
  <c r="I43" i="43"/>
  <c r="K283" i="44" s="1"/>
  <c r="I47" i="43"/>
  <c r="K287" i="44" s="1"/>
  <c r="I53" i="43"/>
  <c r="K293" i="44" s="1"/>
  <c r="I72" i="43"/>
  <c r="K312" i="44" s="1"/>
  <c r="I75" i="43"/>
  <c r="K314" i="44" s="1"/>
  <c r="I83" i="43"/>
  <c r="K322" i="44" s="1"/>
  <c r="L296" i="44"/>
  <c r="C377" i="44"/>
  <c r="AG496" i="65"/>
  <c r="Y497" i="65"/>
  <c r="AG520" i="65"/>
  <c r="Y521" i="65"/>
  <c r="AG340" i="65"/>
  <c r="Y341" i="65"/>
  <c r="AG388" i="65"/>
  <c r="Y389" i="65"/>
  <c r="DE59" i="45"/>
  <c r="AY48" i="60"/>
  <c r="F59" i="45"/>
  <c r="L48" i="60"/>
  <c r="G20" i="45"/>
  <c r="DC16" i="45"/>
  <c r="EO16" i="45" s="1"/>
  <c r="CY65" i="45"/>
  <c r="EK65" i="45" s="1"/>
  <c r="BD48" i="60"/>
  <c r="F64" i="45"/>
  <c r="DF51" i="45"/>
  <c r="DB90" i="45"/>
  <c r="EN90" i="45" s="1"/>
  <c r="CZ59" i="45"/>
  <c r="DD59" i="45"/>
  <c r="DB24" i="45"/>
  <c r="EN24" i="45" s="1"/>
  <c r="DB51" i="45"/>
  <c r="O41" i="60"/>
  <c r="K23" i="45" s="1"/>
  <c r="O45" i="60"/>
  <c r="O23" i="45" s="1"/>
  <c r="O46" i="60"/>
  <c r="P23" i="45" s="1"/>
  <c r="O42" i="60"/>
  <c r="L23" i="45" s="1"/>
  <c r="O36" i="60"/>
  <c r="O37" i="60"/>
  <c r="G23" i="45" s="1"/>
  <c r="O47" i="60"/>
  <c r="Q23" i="45" s="1"/>
  <c r="O38" i="60"/>
  <c r="H23" i="45" s="1"/>
  <c r="O43" i="60"/>
  <c r="M23" i="45" s="1"/>
  <c r="O44" i="60"/>
  <c r="N23" i="45" s="1"/>
  <c r="O40" i="60"/>
  <c r="J23" i="45" s="1"/>
  <c r="O39" i="60"/>
  <c r="I23" i="45" s="1"/>
  <c r="Z27" i="61"/>
  <c r="AA27" i="61" s="1"/>
  <c r="X27" i="61"/>
  <c r="Y27" i="61" s="1"/>
  <c r="AB33" i="60"/>
  <c r="V27" i="61"/>
  <c r="T108" i="61"/>
  <c r="V108" i="61" s="1"/>
  <c r="BK33" i="60"/>
  <c r="X62" i="61"/>
  <c r="Y62" i="61" s="1"/>
  <c r="Z62" i="61"/>
  <c r="AA62" i="61" s="1"/>
  <c r="V62" i="61"/>
  <c r="H84" i="45"/>
  <c r="F24" i="45"/>
  <c r="P48" i="60"/>
  <c r="AV48" i="60"/>
  <c r="F56" i="45"/>
  <c r="DE90" i="45"/>
  <c r="EQ90" i="45" s="1"/>
  <c r="Z31" i="61"/>
  <c r="AA31" i="61" s="1"/>
  <c r="AF33" i="60"/>
  <c r="V31" i="61"/>
  <c r="X31" i="61"/>
  <c r="Y31" i="61" s="1"/>
  <c r="CX30" i="45"/>
  <c r="F45" i="45"/>
  <c r="DA87" i="45"/>
  <c r="EM87" i="45" s="1"/>
  <c r="BC36" i="60"/>
  <c r="BC41" i="60"/>
  <c r="K63" i="45" s="1"/>
  <c r="DB63" i="45" s="1"/>
  <c r="EN63" i="45" s="1"/>
  <c r="BC39" i="60"/>
  <c r="I63" i="45" s="1"/>
  <c r="CZ63" i="45" s="1"/>
  <c r="EL63" i="45" s="1"/>
  <c r="BC37" i="60"/>
  <c r="G63" i="45" s="1"/>
  <c r="CX63" i="45" s="1"/>
  <c r="EJ63" i="45" s="1"/>
  <c r="BC38" i="60"/>
  <c r="H63" i="45" s="1"/>
  <c r="CY63" i="45" s="1"/>
  <c r="EK63" i="45" s="1"/>
  <c r="BC40" i="60"/>
  <c r="J63" i="45" s="1"/>
  <c r="DA63" i="45" s="1"/>
  <c r="EM63" i="45" s="1"/>
  <c r="BC42" i="60"/>
  <c r="L63" i="45" s="1"/>
  <c r="DC63" i="45" s="1"/>
  <c r="EO63" i="45" s="1"/>
  <c r="BC46" i="60"/>
  <c r="P63" i="45" s="1"/>
  <c r="BC43" i="60"/>
  <c r="M63" i="45" s="1"/>
  <c r="DD63" i="45" s="1"/>
  <c r="BC44" i="60"/>
  <c r="N63" i="45" s="1"/>
  <c r="DE63" i="45" s="1"/>
  <c r="EQ63" i="45" s="1"/>
  <c r="BC45" i="60"/>
  <c r="O63" i="45" s="1"/>
  <c r="BC47" i="60"/>
  <c r="Q63" i="45" s="1"/>
  <c r="BA42" i="60"/>
  <c r="L61" i="45" s="1"/>
  <c r="DC61" i="45" s="1"/>
  <c r="BA45" i="60"/>
  <c r="O61" i="45" s="1"/>
  <c r="BA37" i="60"/>
  <c r="G61" i="45" s="1"/>
  <c r="CX61" i="45" s="1"/>
  <c r="BA38" i="60"/>
  <c r="H61" i="45" s="1"/>
  <c r="CY61" i="45" s="1"/>
  <c r="BA41" i="60"/>
  <c r="K61" i="45" s="1"/>
  <c r="DB61" i="45" s="1"/>
  <c r="BA40" i="60"/>
  <c r="J61" i="45" s="1"/>
  <c r="DA61" i="45" s="1"/>
  <c r="BA46" i="60"/>
  <c r="P61" i="45" s="1"/>
  <c r="BA36" i="60"/>
  <c r="BA43" i="60"/>
  <c r="M61" i="45" s="1"/>
  <c r="DD61" i="45" s="1"/>
  <c r="BA39" i="60"/>
  <c r="I61" i="45" s="1"/>
  <c r="BA44" i="60"/>
  <c r="N61" i="45" s="1"/>
  <c r="DE61" i="45" s="1"/>
  <c r="BA47" i="60"/>
  <c r="Q61" i="45" s="1"/>
  <c r="CN27" i="45"/>
  <c r="DG27" i="45" s="1"/>
  <c r="BV27" i="45"/>
  <c r="CO27" i="45" s="1"/>
  <c r="DH27" i="45" s="1"/>
  <c r="BU33" i="45"/>
  <c r="CM33" i="45"/>
  <c r="BU31" i="45"/>
  <c r="CM31" i="45"/>
  <c r="G88" i="43"/>
  <c r="G89" i="43" s="1"/>
  <c r="K86" i="44"/>
  <c r="L108" i="44"/>
  <c r="C189" i="44"/>
  <c r="C200" i="44"/>
  <c r="L119" i="44"/>
  <c r="L99" i="44"/>
  <c r="C180" i="44"/>
  <c r="L120" i="44"/>
  <c r="C201" i="44"/>
  <c r="L124" i="44"/>
  <c r="C205" i="44"/>
  <c r="C311" i="44"/>
  <c r="L230" i="44"/>
  <c r="E164" i="44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E227" i="44" s="1"/>
  <c r="E228" i="44" s="1"/>
  <c r="E229" i="44" s="1"/>
  <c r="E230" i="44" s="1"/>
  <c r="E231" i="44" s="1"/>
  <c r="E232" i="44" s="1"/>
  <c r="E233" i="44" s="1"/>
  <c r="E234" i="44" s="1"/>
  <c r="E235" i="44" s="1"/>
  <c r="E236" i="44" s="1"/>
  <c r="E237" i="44" s="1"/>
  <c r="E238" i="44" s="1"/>
  <c r="E158" i="44"/>
  <c r="E159" i="44" s="1"/>
  <c r="E160" i="44" s="1"/>
  <c r="E161" i="44" s="1"/>
  <c r="E162" i="44" s="1"/>
  <c r="E163" i="44" s="1"/>
  <c r="L299" i="44"/>
  <c r="C380" i="44"/>
  <c r="L244" i="44"/>
  <c r="C325" i="44"/>
  <c r="L264" i="44"/>
  <c r="C345" i="44"/>
  <c r="L870" i="44"/>
  <c r="C951" i="44"/>
  <c r="L951" i="44" s="1"/>
  <c r="L477" i="44"/>
  <c r="C558" i="44"/>
  <c r="AG760" i="65"/>
  <c r="Y761" i="65"/>
  <c r="AG675" i="49"/>
  <c r="Y676" i="49"/>
  <c r="Y665" i="49"/>
  <c r="AG664" i="49"/>
  <c r="AG294" i="65"/>
  <c r="Y295" i="65"/>
  <c r="AG833" i="65"/>
  <c r="Y834" i="65"/>
  <c r="AG664" i="65"/>
  <c r="Y665" i="65"/>
  <c r="Y653" i="49"/>
  <c r="AG652" i="49"/>
  <c r="AG568" i="65"/>
  <c r="Y569" i="65"/>
  <c r="Z119" i="45"/>
  <c r="BO34" i="45"/>
  <c r="CH34" i="45" s="1"/>
  <c r="BP34" i="45"/>
  <c r="CI34" i="45" s="1"/>
  <c r="BQ34" i="45"/>
  <c r="CJ34" i="45" s="1"/>
  <c r="BR34" i="45"/>
  <c r="CK34" i="45" s="1"/>
  <c r="BK34" i="45"/>
  <c r="CD34" i="45" s="1"/>
  <c r="BL34" i="45"/>
  <c r="CE34" i="45" s="1"/>
  <c r="BT34" i="45"/>
  <c r="BM34" i="45"/>
  <c r="CF34" i="45" s="1"/>
  <c r="BN34" i="45"/>
  <c r="CG34" i="45" s="1"/>
  <c r="BS34" i="45"/>
  <c r="CL34" i="45" s="1"/>
  <c r="BK40" i="45"/>
  <c r="CD40" i="45" s="1"/>
  <c r="BS40" i="45"/>
  <c r="CL40" i="45" s="1"/>
  <c r="BP40" i="45"/>
  <c r="CI40" i="45" s="1"/>
  <c r="BM40" i="45"/>
  <c r="CF40" i="45" s="1"/>
  <c r="BR40" i="45"/>
  <c r="CK40" i="45" s="1"/>
  <c r="BO40" i="45"/>
  <c r="CH40" i="45" s="1"/>
  <c r="BL40" i="45"/>
  <c r="CE40" i="45" s="1"/>
  <c r="BT40" i="45"/>
  <c r="BQ40" i="45"/>
  <c r="CJ40" i="45" s="1"/>
  <c r="BN40" i="45"/>
  <c r="CG40" i="45" s="1"/>
  <c r="BM57" i="45"/>
  <c r="CF57" i="45" s="1"/>
  <c r="BN57" i="45"/>
  <c r="CG57" i="45" s="1"/>
  <c r="BP57" i="45"/>
  <c r="CI57" i="45" s="1"/>
  <c r="BQ57" i="45"/>
  <c r="CJ57" i="45" s="1"/>
  <c r="BR57" i="45"/>
  <c r="CK57" i="45" s="1"/>
  <c r="BK57" i="45"/>
  <c r="CD57" i="45" s="1"/>
  <c r="BS57" i="45"/>
  <c r="CL57" i="45" s="1"/>
  <c r="BL57" i="45"/>
  <c r="CE57" i="45" s="1"/>
  <c r="BT57" i="45"/>
  <c r="BO57" i="45"/>
  <c r="CH57" i="45" s="1"/>
  <c r="BM55" i="45"/>
  <c r="CF55" i="45" s="1"/>
  <c r="BN55" i="45"/>
  <c r="CG55" i="45" s="1"/>
  <c r="BO55" i="45"/>
  <c r="CH55" i="45" s="1"/>
  <c r="BP55" i="45"/>
  <c r="CI55" i="45" s="1"/>
  <c r="BQ55" i="45"/>
  <c r="CJ55" i="45" s="1"/>
  <c r="BR55" i="45"/>
  <c r="CK55" i="45" s="1"/>
  <c r="DD55" i="45" s="1"/>
  <c r="BK55" i="45"/>
  <c r="CD55" i="45" s="1"/>
  <c r="BS55" i="45"/>
  <c r="CL55" i="45" s="1"/>
  <c r="BL55" i="45"/>
  <c r="CE55" i="45" s="1"/>
  <c r="BT55" i="45"/>
  <c r="BP80" i="45"/>
  <c r="CI80" i="45" s="1"/>
  <c r="DB80" i="45" s="1"/>
  <c r="BQ80" i="45"/>
  <c r="CJ80" i="45" s="1"/>
  <c r="DC80" i="45" s="1"/>
  <c r="EO80" i="45" s="1"/>
  <c r="BR80" i="45"/>
  <c r="CK80" i="45" s="1"/>
  <c r="DD80" i="45" s="1"/>
  <c r="EP80" i="45" s="1"/>
  <c r="BK80" i="45"/>
  <c r="CD80" i="45" s="1"/>
  <c r="BS80" i="45"/>
  <c r="CL80" i="45" s="1"/>
  <c r="BL80" i="45"/>
  <c r="CE80" i="45" s="1"/>
  <c r="CX80" i="45" s="1"/>
  <c r="EJ80" i="45" s="1"/>
  <c r="BT80" i="45"/>
  <c r="BM80" i="45"/>
  <c r="CF80" i="45" s="1"/>
  <c r="CY80" i="45" s="1"/>
  <c r="EK80" i="45" s="1"/>
  <c r="BN80" i="45"/>
  <c r="CG80" i="45" s="1"/>
  <c r="CZ80" i="45" s="1"/>
  <c r="EL80" i="45" s="1"/>
  <c r="BO80" i="45"/>
  <c r="CH80" i="45" s="1"/>
  <c r="DA80" i="45" s="1"/>
  <c r="EM80" i="45" s="1"/>
  <c r="BQ83" i="45"/>
  <c r="CJ83" i="45" s="1"/>
  <c r="BO83" i="45"/>
  <c r="CH83" i="45" s="1"/>
  <c r="BL83" i="45"/>
  <c r="CE83" i="45" s="1"/>
  <c r="BT83" i="45"/>
  <c r="BM83" i="45"/>
  <c r="CF83" i="45" s="1"/>
  <c r="BR83" i="45"/>
  <c r="CK83" i="45" s="1"/>
  <c r="BK83" i="45"/>
  <c r="CD83" i="45" s="1"/>
  <c r="BP83" i="45"/>
  <c r="CI83" i="45" s="1"/>
  <c r="BN83" i="45"/>
  <c r="CG83" i="45" s="1"/>
  <c r="BS83" i="45"/>
  <c r="CL83" i="45" s="1"/>
  <c r="FS130" i="45"/>
  <c r="FV123" i="45"/>
  <c r="DF16" i="45"/>
  <c r="ER16" i="45" s="1"/>
  <c r="BI33" i="60"/>
  <c r="Z60" i="61"/>
  <c r="AA60" i="61" s="1"/>
  <c r="X60" i="61"/>
  <c r="Y60" i="61" s="1"/>
  <c r="V60" i="61"/>
  <c r="BV40" i="60"/>
  <c r="J82" i="45" s="1"/>
  <c r="DA82" i="45" s="1"/>
  <c r="BV44" i="60"/>
  <c r="N82" i="45" s="1"/>
  <c r="DE82" i="45" s="1"/>
  <c r="BV38" i="60"/>
  <c r="H82" i="45" s="1"/>
  <c r="CY82" i="45" s="1"/>
  <c r="BV41" i="60"/>
  <c r="K82" i="45" s="1"/>
  <c r="DB82" i="45" s="1"/>
  <c r="BV43" i="60"/>
  <c r="M82" i="45" s="1"/>
  <c r="DD82" i="45" s="1"/>
  <c r="BV46" i="60"/>
  <c r="P82" i="45" s="1"/>
  <c r="BV45" i="60"/>
  <c r="O82" i="45" s="1"/>
  <c r="BV36" i="60"/>
  <c r="BV47" i="60"/>
  <c r="Q82" i="45" s="1"/>
  <c r="BV37" i="60"/>
  <c r="G82" i="45" s="1"/>
  <c r="CX82" i="45" s="1"/>
  <c r="BV42" i="60"/>
  <c r="L82" i="45" s="1"/>
  <c r="DC82" i="45" s="1"/>
  <c r="BV39" i="60"/>
  <c r="I82" i="45" s="1"/>
  <c r="CZ82" i="45" s="1"/>
  <c r="BT48" i="60"/>
  <c r="F80" i="45"/>
  <c r="CX55" i="45"/>
  <c r="DF30" i="45"/>
  <c r="DI21" i="45"/>
  <c r="DA16" i="45"/>
  <c r="EM16" i="45" s="1"/>
  <c r="G28" i="45"/>
  <c r="BZ37" i="60"/>
  <c r="G86" i="45" s="1"/>
  <c r="CX86" i="45" s="1"/>
  <c r="EJ86" i="45" s="1"/>
  <c r="BZ38" i="60"/>
  <c r="H86" i="45" s="1"/>
  <c r="CY86" i="45" s="1"/>
  <c r="EK86" i="45" s="1"/>
  <c r="BZ43" i="60"/>
  <c r="M86" i="45" s="1"/>
  <c r="DD86" i="45" s="1"/>
  <c r="EP86" i="45" s="1"/>
  <c r="BZ39" i="60"/>
  <c r="I86" i="45" s="1"/>
  <c r="CZ86" i="45" s="1"/>
  <c r="EL86" i="45" s="1"/>
  <c r="BZ42" i="60"/>
  <c r="L86" i="45" s="1"/>
  <c r="DC86" i="45" s="1"/>
  <c r="EO86" i="45" s="1"/>
  <c r="BZ40" i="60"/>
  <c r="J86" i="45" s="1"/>
  <c r="DA86" i="45" s="1"/>
  <c r="BZ46" i="60"/>
  <c r="P86" i="45" s="1"/>
  <c r="DG86" i="45" s="1"/>
  <c r="ES86" i="45" s="1"/>
  <c r="BZ44" i="60"/>
  <c r="N86" i="45" s="1"/>
  <c r="DE86" i="45" s="1"/>
  <c r="EQ86" i="45" s="1"/>
  <c r="BZ45" i="60"/>
  <c r="O86" i="45" s="1"/>
  <c r="DF86" i="45" s="1"/>
  <c r="ER86" i="45" s="1"/>
  <c r="BZ36" i="60"/>
  <c r="BZ41" i="60"/>
  <c r="K86" i="45" s="1"/>
  <c r="DB86" i="45" s="1"/>
  <c r="EN86" i="45" s="1"/>
  <c r="BZ47" i="60"/>
  <c r="Q86" i="45" s="1"/>
  <c r="DH86" i="45" s="1"/>
  <c r="ET86" i="45" s="1"/>
  <c r="I39" i="60"/>
  <c r="I17" i="45" s="1"/>
  <c r="CZ17" i="45" s="1"/>
  <c r="EL17" i="45" s="1"/>
  <c r="I36" i="60"/>
  <c r="I38" i="60"/>
  <c r="H17" i="45" s="1"/>
  <c r="CY17" i="45" s="1"/>
  <c r="EK17" i="45" s="1"/>
  <c r="I41" i="60"/>
  <c r="K17" i="45" s="1"/>
  <c r="DB17" i="45" s="1"/>
  <c r="EN17" i="45" s="1"/>
  <c r="I37" i="60"/>
  <c r="G17" i="45" s="1"/>
  <c r="CX17" i="45" s="1"/>
  <c r="EJ17" i="45" s="1"/>
  <c r="I45" i="60"/>
  <c r="O17" i="45" s="1"/>
  <c r="DF17" i="45" s="1"/>
  <c r="ER17" i="45" s="1"/>
  <c r="I40" i="60"/>
  <c r="J17" i="45" s="1"/>
  <c r="DA17" i="45" s="1"/>
  <c r="EM17" i="45" s="1"/>
  <c r="I46" i="60"/>
  <c r="P17" i="45" s="1"/>
  <c r="DG17" i="45" s="1"/>
  <c r="ES17" i="45" s="1"/>
  <c r="I47" i="60"/>
  <c r="Q17" i="45" s="1"/>
  <c r="DH17" i="45" s="1"/>
  <c r="ET17" i="45" s="1"/>
  <c r="I42" i="60"/>
  <c r="L17" i="45" s="1"/>
  <c r="DC17" i="45" s="1"/>
  <c r="EO17" i="45" s="1"/>
  <c r="I43" i="60"/>
  <c r="M17" i="45" s="1"/>
  <c r="DD17" i="45" s="1"/>
  <c r="EP17" i="45" s="1"/>
  <c r="I44" i="60"/>
  <c r="N17" i="45" s="1"/>
  <c r="DE17" i="45" s="1"/>
  <c r="EQ17" i="45" s="1"/>
  <c r="DC51" i="45"/>
  <c r="DH16" i="45"/>
  <c r="ET16" i="45" s="1"/>
  <c r="CZ16" i="45"/>
  <c r="EL16" i="45" s="1"/>
  <c r="DE80" i="45"/>
  <c r="EQ80" i="45" s="1"/>
  <c r="AQ48" i="60"/>
  <c r="F51" i="45"/>
  <c r="CX41" i="45"/>
  <c r="EJ41" i="45" s="1"/>
  <c r="G41" i="60"/>
  <c r="K15" i="45" s="1"/>
  <c r="DB15" i="45" s="1"/>
  <c r="EN15" i="45" s="1"/>
  <c r="G38" i="60"/>
  <c r="H15" i="45" s="1"/>
  <c r="CY15" i="45" s="1"/>
  <c r="EK15" i="45" s="1"/>
  <c r="G36" i="60"/>
  <c r="G47" i="60"/>
  <c r="Q15" i="45" s="1"/>
  <c r="DH15" i="45" s="1"/>
  <c r="ET15" i="45" s="1"/>
  <c r="G45" i="60"/>
  <c r="O15" i="45" s="1"/>
  <c r="DF15" i="45" s="1"/>
  <c r="ER15" i="45" s="1"/>
  <c r="G46" i="60"/>
  <c r="P15" i="45" s="1"/>
  <c r="DG15" i="45" s="1"/>
  <c r="ES15" i="45" s="1"/>
  <c r="G40" i="60"/>
  <c r="J15" i="45" s="1"/>
  <c r="DA15" i="45" s="1"/>
  <c r="EM15" i="45" s="1"/>
  <c r="G39" i="60"/>
  <c r="I15" i="45" s="1"/>
  <c r="CZ15" i="45" s="1"/>
  <c r="EL15" i="45" s="1"/>
  <c r="G42" i="60"/>
  <c r="L15" i="45" s="1"/>
  <c r="DC15" i="45" s="1"/>
  <c r="EO15" i="45" s="1"/>
  <c r="G43" i="60"/>
  <c r="M15" i="45" s="1"/>
  <c r="DD15" i="45" s="1"/>
  <c r="EP15" i="45" s="1"/>
  <c r="G37" i="60"/>
  <c r="G15" i="45" s="1"/>
  <c r="CX15" i="45" s="1"/>
  <c r="EJ15" i="45" s="1"/>
  <c r="G44" i="60"/>
  <c r="N15" i="45" s="1"/>
  <c r="DE15" i="45" s="1"/>
  <c r="EQ15" i="45" s="1"/>
  <c r="CY42" i="45"/>
  <c r="EK41" i="45" s="1"/>
  <c r="DE45" i="45"/>
  <c r="EQ45" i="45" s="1"/>
  <c r="CY53" i="45"/>
  <c r="M48" i="60"/>
  <c r="CG37" i="60"/>
  <c r="G93" i="45" s="1"/>
  <c r="CX93" i="45" s="1"/>
  <c r="EJ93" i="45" s="1"/>
  <c r="CG39" i="60"/>
  <c r="I93" i="45" s="1"/>
  <c r="CZ93" i="45" s="1"/>
  <c r="EL93" i="45" s="1"/>
  <c r="CG41" i="60"/>
  <c r="K93" i="45" s="1"/>
  <c r="DB93" i="45" s="1"/>
  <c r="EN93" i="45" s="1"/>
  <c r="CG36" i="60"/>
  <c r="CG47" i="60"/>
  <c r="Q93" i="45" s="1"/>
  <c r="CG40" i="60"/>
  <c r="J93" i="45" s="1"/>
  <c r="DA93" i="45" s="1"/>
  <c r="EM93" i="45" s="1"/>
  <c r="CG42" i="60"/>
  <c r="L93" i="45" s="1"/>
  <c r="DC93" i="45" s="1"/>
  <c r="EO93" i="45" s="1"/>
  <c r="CG38" i="60"/>
  <c r="H93" i="45" s="1"/>
  <c r="CY93" i="45" s="1"/>
  <c r="EK93" i="45" s="1"/>
  <c r="CG43" i="60"/>
  <c r="M93" i="45" s="1"/>
  <c r="DD93" i="45" s="1"/>
  <c r="EP93" i="45" s="1"/>
  <c r="CG44" i="60"/>
  <c r="N93" i="45" s="1"/>
  <c r="DE93" i="45" s="1"/>
  <c r="EQ93" i="45" s="1"/>
  <c r="CG46" i="60"/>
  <c r="P93" i="45" s="1"/>
  <c r="CG45" i="60"/>
  <c r="O93" i="45" s="1"/>
  <c r="CX48" i="60"/>
  <c r="F110" i="45"/>
  <c r="CN33" i="60"/>
  <c r="V91" i="61"/>
  <c r="X91" i="61"/>
  <c r="Y91" i="61" s="1"/>
  <c r="Z91" i="61"/>
  <c r="AA91" i="61" s="1"/>
  <c r="BL36" i="60"/>
  <c r="BL40" i="60"/>
  <c r="J72" i="45" s="1"/>
  <c r="DA72" i="45" s="1"/>
  <c r="EM72" i="45" s="1"/>
  <c r="BL44" i="60"/>
  <c r="N72" i="45" s="1"/>
  <c r="BL39" i="60"/>
  <c r="I72" i="45" s="1"/>
  <c r="BL37" i="60"/>
  <c r="G72" i="45" s="1"/>
  <c r="BL38" i="60"/>
  <c r="H72" i="45" s="1"/>
  <c r="CY72" i="45" s="1"/>
  <c r="EK72" i="45" s="1"/>
  <c r="BL41" i="60"/>
  <c r="K72" i="45" s="1"/>
  <c r="BL42" i="60"/>
  <c r="L72" i="45" s="1"/>
  <c r="BL46" i="60"/>
  <c r="P72" i="45" s="1"/>
  <c r="BL43" i="60"/>
  <c r="M72" i="45" s="1"/>
  <c r="DD72" i="45" s="1"/>
  <c r="EP72" i="45" s="1"/>
  <c r="BL45" i="60"/>
  <c r="O72" i="45" s="1"/>
  <c r="BL47" i="60"/>
  <c r="Q72" i="45" s="1"/>
  <c r="CM48" i="60"/>
  <c r="F99" i="45"/>
  <c r="CZ43" i="60"/>
  <c r="M113" i="45" s="1"/>
  <c r="DD113" i="45" s="1"/>
  <c r="CZ39" i="60"/>
  <c r="I113" i="45" s="1"/>
  <c r="CZ113" i="45" s="1"/>
  <c r="CZ36" i="60"/>
  <c r="CZ38" i="60"/>
  <c r="H113" i="45" s="1"/>
  <c r="CY113" i="45" s="1"/>
  <c r="CZ41" i="60"/>
  <c r="K113" i="45" s="1"/>
  <c r="DB113" i="45" s="1"/>
  <c r="CZ40" i="60"/>
  <c r="J113" i="45" s="1"/>
  <c r="DA113" i="45" s="1"/>
  <c r="CZ42" i="60"/>
  <c r="L113" i="45" s="1"/>
  <c r="DC113" i="45" s="1"/>
  <c r="CZ47" i="60"/>
  <c r="Q113" i="45" s="1"/>
  <c r="DH113" i="45" s="1"/>
  <c r="CZ44" i="60"/>
  <c r="N113" i="45" s="1"/>
  <c r="DE113" i="45" s="1"/>
  <c r="CZ37" i="60"/>
  <c r="G113" i="45" s="1"/>
  <c r="CX113" i="45" s="1"/>
  <c r="CZ45" i="60"/>
  <c r="O113" i="45" s="1"/>
  <c r="DF113" i="45" s="1"/>
  <c r="CZ46" i="60"/>
  <c r="P113" i="45" s="1"/>
  <c r="DG113" i="45" s="1"/>
  <c r="CM26" i="45"/>
  <c r="BU26" i="45"/>
  <c r="DI79" i="45"/>
  <c r="H88" i="43"/>
  <c r="H89" i="43" s="1"/>
  <c r="K164" i="44"/>
  <c r="L131" i="44"/>
  <c r="C212" i="44"/>
  <c r="L631" i="44"/>
  <c r="C712" i="44"/>
  <c r="L579" i="44"/>
  <c r="C660" i="44"/>
  <c r="L466" i="44"/>
  <c r="C547" i="44"/>
  <c r="C390" i="44"/>
  <c r="L309" i="44"/>
  <c r="L288" i="44"/>
  <c r="C369" i="44"/>
  <c r="L548" i="44"/>
  <c r="C629" i="44"/>
  <c r="L587" i="44"/>
  <c r="C668" i="44"/>
  <c r="AG448" i="65"/>
  <c r="Y449" i="65"/>
  <c r="AG318" i="65"/>
  <c r="Y319" i="65"/>
  <c r="AG364" i="65"/>
  <c r="Y365" i="65"/>
  <c r="AG556" i="65"/>
  <c r="Y557" i="65"/>
  <c r="AG592" i="49"/>
  <c r="Y593" i="49"/>
  <c r="AG472" i="65"/>
  <c r="Y473" i="65"/>
  <c r="AG126" i="65"/>
  <c r="Y127" i="65"/>
  <c r="AG306" i="65"/>
  <c r="Y307" i="65"/>
  <c r="AG749" i="65"/>
  <c r="Y750" i="65"/>
  <c r="Y641" i="49"/>
  <c r="AG640" i="49"/>
  <c r="AG628" i="65"/>
  <c r="Y629" i="65"/>
  <c r="AG724" i="65"/>
  <c r="Y725" i="65"/>
  <c r="Y849" i="49"/>
  <c r="AG848" i="49"/>
  <c r="AG929" i="49"/>
  <c r="Y930" i="49"/>
  <c r="AD119" i="45"/>
  <c r="BM22" i="45"/>
  <c r="CF22" i="45" s="1"/>
  <c r="CY22" i="45" s="1"/>
  <c r="EK22" i="45" s="1"/>
  <c r="BN22" i="45"/>
  <c r="CG22" i="45" s="1"/>
  <c r="CZ22" i="45" s="1"/>
  <c r="EL22" i="45" s="1"/>
  <c r="BO22" i="45"/>
  <c r="CH22" i="45" s="1"/>
  <c r="DA22" i="45" s="1"/>
  <c r="EM22" i="45" s="1"/>
  <c r="BP22" i="45"/>
  <c r="CI22" i="45" s="1"/>
  <c r="DB22" i="45" s="1"/>
  <c r="EN22" i="45" s="1"/>
  <c r="BQ22" i="45"/>
  <c r="CJ22" i="45" s="1"/>
  <c r="DC22" i="45" s="1"/>
  <c r="EO22" i="45" s="1"/>
  <c r="BR22" i="45"/>
  <c r="CK22" i="45" s="1"/>
  <c r="DD22" i="45" s="1"/>
  <c r="EP22" i="45" s="1"/>
  <c r="BK22" i="45"/>
  <c r="CD22" i="45" s="1"/>
  <c r="BL22" i="45"/>
  <c r="CE22" i="45" s="1"/>
  <c r="CX22" i="45" s="1"/>
  <c r="EJ22" i="45" s="1"/>
  <c r="BS22" i="45"/>
  <c r="CL22" i="45" s="1"/>
  <c r="DE22" i="45" s="1"/>
  <c r="EQ22" i="45" s="1"/>
  <c r="BT22" i="45"/>
  <c r="Y119" i="45"/>
  <c r="BR36" i="45"/>
  <c r="CK36" i="45" s="1"/>
  <c r="BK36" i="45"/>
  <c r="CD36" i="45" s="1"/>
  <c r="BL36" i="45"/>
  <c r="CE36" i="45" s="1"/>
  <c r="BT36" i="45"/>
  <c r="BM36" i="45"/>
  <c r="CF36" i="45" s="1"/>
  <c r="BO36" i="45"/>
  <c r="CH36" i="45" s="1"/>
  <c r="BP36" i="45"/>
  <c r="CI36" i="45" s="1"/>
  <c r="BS36" i="45"/>
  <c r="CL36" i="45" s="1"/>
  <c r="BQ36" i="45"/>
  <c r="CJ36" i="45" s="1"/>
  <c r="BN36" i="45"/>
  <c r="CG36" i="45" s="1"/>
  <c r="BN37" i="45"/>
  <c r="CG37" i="45" s="1"/>
  <c r="BO37" i="45"/>
  <c r="CH37" i="45" s="1"/>
  <c r="BP37" i="45"/>
  <c r="CI37" i="45" s="1"/>
  <c r="BQ37" i="45"/>
  <c r="CJ37" i="45" s="1"/>
  <c r="BK37" i="45"/>
  <c r="CD37" i="45" s="1"/>
  <c r="BS37" i="45"/>
  <c r="CL37" i="45" s="1"/>
  <c r="BL37" i="45"/>
  <c r="CE37" i="45" s="1"/>
  <c r="BT37" i="45"/>
  <c r="BR37" i="45"/>
  <c r="CK37" i="45" s="1"/>
  <c r="BM37" i="45"/>
  <c r="CF37" i="45" s="1"/>
  <c r="BP39" i="45"/>
  <c r="CI39" i="45" s="1"/>
  <c r="BQ39" i="45"/>
  <c r="CJ39" i="45" s="1"/>
  <c r="BR39" i="45"/>
  <c r="CK39" i="45" s="1"/>
  <c r="BK39" i="45"/>
  <c r="CD39" i="45" s="1"/>
  <c r="BS39" i="45"/>
  <c r="CL39" i="45" s="1"/>
  <c r="BL39" i="45"/>
  <c r="CE39" i="45" s="1"/>
  <c r="BT39" i="45"/>
  <c r="BM39" i="45"/>
  <c r="CF39" i="45" s="1"/>
  <c r="BN39" i="45"/>
  <c r="CG39" i="45" s="1"/>
  <c r="BO39" i="45"/>
  <c r="CH39" i="45" s="1"/>
  <c r="BP43" i="45"/>
  <c r="CI43" i="45" s="1"/>
  <c r="BL43" i="45"/>
  <c r="CE43" i="45" s="1"/>
  <c r="BT43" i="45"/>
  <c r="BN43" i="45"/>
  <c r="CG43" i="45" s="1"/>
  <c r="BO43" i="45"/>
  <c r="CH43" i="45" s="1"/>
  <c r="BS43" i="45"/>
  <c r="CL43" i="45" s="1"/>
  <c r="BK43" i="45"/>
  <c r="CD43" i="45" s="1"/>
  <c r="BM43" i="45"/>
  <c r="CF43" i="45" s="1"/>
  <c r="BQ43" i="45"/>
  <c r="CJ43" i="45" s="1"/>
  <c r="BR43" i="45"/>
  <c r="CK43" i="45" s="1"/>
  <c r="BR47" i="45"/>
  <c r="CK47" i="45" s="1"/>
  <c r="DD47" i="45" s="1"/>
  <c r="BK47" i="45"/>
  <c r="CD47" i="45" s="1"/>
  <c r="BS47" i="45"/>
  <c r="CL47" i="45" s="1"/>
  <c r="DE47" i="45" s="1"/>
  <c r="BL47" i="45"/>
  <c r="CE47" i="45" s="1"/>
  <c r="CX47" i="45" s="1"/>
  <c r="BM47" i="45"/>
  <c r="CF47" i="45" s="1"/>
  <c r="CY47" i="45" s="1"/>
  <c r="BN47" i="45"/>
  <c r="CG47" i="45" s="1"/>
  <c r="CZ47" i="45" s="1"/>
  <c r="BO47" i="45"/>
  <c r="CH47" i="45" s="1"/>
  <c r="DA47" i="45" s="1"/>
  <c r="BP47" i="45"/>
  <c r="CI47" i="45" s="1"/>
  <c r="DB47" i="45" s="1"/>
  <c r="BQ47" i="45"/>
  <c r="CJ47" i="45" s="1"/>
  <c r="DC47" i="45" s="1"/>
  <c r="BT47" i="45"/>
  <c r="BM65" i="45"/>
  <c r="CF65" i="45" s="1"/>
  <c r="BN65" i="45"/>
  <c r="CG65" i="45" s="1"/>
  <c r="CZ65" i="45" s="1"/>
  <c r="EL65" i="45" s="1"/>
  <c r="BQ65" i="45"/>
  <c r="CJ65" i="45" s="1"/>
  <c r="DC65" i="45" s="1"/>
  <c r="EO65" i="45" s="1"/>
  <c r="BR65" i="45"/>
  <c r="CK65" i="45" s="1"/>
  <c r="DD65" i="45" s="1"/>
  <c r="BS65" i="45"/>
  <c r="CL65" i="45" s="1"/>
  <c r="DE65" i="45" s="1"/>
  <c r="BT65" i="45"/>
  <c r="BK65" i="45"/>
  <c r="CD65" i="45" s="1"/>
  <c r="BL65" i="45"/>
  <c r="CE65" i="45" s="1"/>
  <c r="CX65" i="45" s="1"/>
  <c r="BO65" i="45"/>
  <c r="CH65" i="45" s="1"/>
  <c r="DA65" i="45" s="1"/>
  <c r="EM65" i="45" s="1"/>
  <c r="BP65" i="45"/>
  <c r="CI65" i="45" s="1"/>
  <c r="DB65" i="45" s="1"/>
  <c r="BK72" i="45"/>
  <c r="CD72" i="45" s="1"/>
  <c r="BS72" i="45"/>
  <c r="CL72" i="45" s="1"/>
  <c r="BL72" i="45"/>
  <c r="CE72" i="45" s="1"/>
  <c r="BT72" i="45"/>
  <c r="BM72" i="45"/>
  <c r="CF72" i="45" s="1"/>
  <c r="BN72" i="45"/>
  <c r="CG72" i="45" s="1"/>
  <c r="BO72" i="45"/>
  <c r="CH72" i="45" s="1"/>
  <c r="BP72" i="45"/>
  <c r="CI72" i="45" s="1"/>
  <c r="BQ72" i="45"/>
  <c r="CJ72" i="45" s="1"/>
  <c r="BR72" i="45"/>
  <c r="CK72" i="45" s="1"/>
  <c r="BO70" i="45"/>
  <c r="CH70" i="45" s="1"/>
  <c r="BP70" i="45"/>
  <c r="CI70" i="45" s="1"/>
  <c r="BQ70" i="45"/>
  <c r="CJ70" i="45" s="1"/>
  <c r="BR70" i="45"/>
  <c r="CK70" i="45" s="1"/>
  <c r="BK70" i="45"/>
  <c r="CD70" i="45" s="1"/>
  <c r="BS70" i="45"/>
  <c r="CL70" i="45" s="1"/>
  <c r="BL70" i="45"/>
  <c r="CE70" i="45" s="1"/>
  <c r="BT70" i="45"/>
  <c r="BM70" i="45"/>
  <c r="CF70" i="45" s="1"/>
  <c r="BN70" i="45"/>
  <c r="CG70" i="45" s="1"/>
  <c r="BN64" i="45"/>
  <c r="CG64" i="45" s="1"/>
  <c r="CZ64" i="45" s="1"/>
  <c r="EL64" i="45" s="1"/>
  <c r="BO64" i="45"/>
  <c r="CH64" i="45" s="1"/>
  <c r="DA64" i="45" s="1"/>
  <c r="EM64" i="45" s="1"/>
  <c r="BS64" i="45"/>
  <c r="CL64" i="45" s="1"/>
  <c r="DE64" i="45" s="1"/>
  <c r="EQ64" i="45" s="1"/>
  <c r="BT64" i="45"/>
  <c r="BK64" i="45"/>
  <c r="CD64" i="45" s="1"/>
  <c r="BL64" i="45"/>
  <c r="CE64" i="45" s="1"/>
  <c r="CX64" i="45" s="1"/>
  <c r="EJ64" i="45" s="1"/>
  <c r="BM64" i="45"/>
  <c r="CF64" i="45" s="1"/>
  <c r="CY64" i="45" s="1"/>
  <c r="EK64" i="45" s="1"/>
  <c r="BP64" i="45"/>
  <c r="CI64" i="45" s="1"/>
  <c r="DB64" i="45" s="1"/>
  <c r="EN64" i="45" s="1"/>
  <c r="BQ64" i="45"/>
  <c r="CJ64" i="45" s="1"/>
  <c r="DC64" i="45" s="1"/>
  <c r="EO64" i="45" s="1"/>
  <c r="BR64" i="45"/>
  <c r="CK64" i="45" s="1"/>
  <c r="DD64" i="45" s="1"/>
  <c r="EP64" i="45" s="1"/>
  <c r="BR85" i="45"/>
  <c r="CK85" i="45" s="1"/>
  <c r="DD85" i="45" s="1"/>
  <c r="EP85" i="45" s="1"/>
  <c r="BK85" i="45"/>
  <c r="CD85" i="45" s="1"/>
  <c r="BS85" i="45"/>
  <c r="CL85" i="45" s="1"/>
  <c r="DE85" i="45" s="1"/>
  <c r="EQ85" i="45" s="1"/>
  <c r="BN85" i="45"/>
  <c r="CG85" i="45" s="1"/>
  <c r="CZ85" i="45" s="1"/>
  <c r="EL85" i="45" s="1"/>
  <c r="BO85" i="45"/>
  <c r="CH85" i="45" s="1"/>
  <c r="DA85" i="45" s="1"/>
  <c r="EM85" i="45" s="1"/>
  <c r="BP85" i="45"/>
  <c r="CI85" i="45" s="1"/>
  <c r="DB85" i="45" s="1"/>
  <c r="EN85" i="45" s="1"/>
  <c r="BQ85" i="45"/>
  <c r="CJ85" i="45" s="1"/>
  <c r="DC85" i="45" s="1"/>
  <c r="EO85" i="45" s="1"/>
  <c r="BT85" i="45"/>
  <c r="BL85" i="45"/>
  <c r="CE85" i="45" s="1"/>
  <c r="CX85" i="45" s="1"/>
  <c r="EJ85" i="45" s="1"/>
  <c r="BM85" i="45"/>
  <c r="CF85" i="45" s="1"/>
  <c r="CY85" i="45" s="1"/>
  <c r="EK85" i="45" s="1"/>
  <c r="BQ91" i="45"/>
  <c r="CJ91" i="45" s="1"/>
  <c r="BR91" i="45"/>
  <c r="CK91" i="45" s="1"/>
  <c r="BK91" i="45"/>
  <c r="CD91" i="45" s="1"/>
  <c r="BS91" i="45"/>
  <c r="CL91" i="45" s="1"/>
  <c r="BT91" i="45"/>
  <c r="BL91" i="45"/>
  <c r="CE91" i="45" s="1"/>
  <c r="BM91" i="45"/>
  <c r="CF91" i="45" s="1"/>
  <c r="BN91" i="45"/>
  <c r="CG91" i="45" s="1"/>
  <c r="BO91" i="45"/>
  <c r="CH91" i="45" s="1"/>
  <c r="BP91" i="45"/>
  <c r="CI91" i="45" s="1"/>
  <c r="GA130" i="45"/>
  <c r="EP41" i="45"/>
  <c r="EM97" i="45"/>
  <c r="ET97" i="45"/>
  <c r="EP18" i="45"/>
  <c r="EO41" i="45"/>
  <c r="ES106" i="45"/>
  <c r="ER14" i="45"/>
  <c r="EJ92" i="45"/>
  <c r="EQ18" i="45"/>
  <c r="EJ56" i="45"/>
  <c r="EK96" i="45"/>
  <c r="EP63" i="45"/>
  <c r="EK49" i="45"/>
  <c r="ET105" i="45"/>
  <c r="EO29" i="45"/>
  <c r="EK29" i="45"/>
  <c r="EJ75" i="45"/>
  <c r="ER18" i="45"/>
  <c r="EM88" i="45"/>
  <c r="EJ88" i="45"/>
  <c r="EK98" i="45"/>
  <c r="EM38" i="45"/>
  <c r="EN38" i="45"/>
  <c r="EL14" i="45"/>
  <c r="EP105" i="45"/>
  <c r="EQ26" i="45"/>
  <c r="EN75" i="45"/>
  <c r="EK97" i="45"/>
  <c r="EJ44" i="45"/>
  <c r="EO95" i="45"/>
  <c r="EM95" i="45"/>
  <c r="ER98" i="45"/>
  <c r="EQ105" i="45"/>
  <c r="EM26" i="45"/>
  <c r="EL87" i="45"/>
  <c r="EQ97" i="45"/>
  <c r="EJ18" i="45"/>
  <c r="EK44" i="45"/>
  <c r="EL44" i="45"/>
  <c r="EL95" i="45"/>
  <c r="EK95" i="45"/>
  <c r="EJ87" i="45"/>
  <c r="ES98" i="45"/>
  <c r="EO45" i="45"/>
  <c r="EK87" i="45"/>
  <c r="EN92" i="45"/>
  <c r="EM86" i="45"/>
  <c r="ES97" i="45"/>
  <c r="EL18" i="45"/>
  <c r="ET18" i="45"/>
  <c r="EQ95" i="45"/>
  <c r="EQ87" i="45"/>
  <c r="EQ81" i="45"/>
  <c r="EO106" i="45"/>
  <c r="ET106" i="45"/>
  <c r="EJ105" i="45"/>
  <c r="ES105" i="45"/>
  <c r="EN26" i="45"/>
  <c r="EL29" i="45"/>
  <c r="EO56" i="45"/>
  <c r="EP75" i="45"/>
  <c r="EP106" i="45"/>
  <c r="EK90" i="45"/>
  <c r="EM49" i="45"/>
  <c r="EN105" i="45"/>
  <c r="EQ29" i="45"/>
  <c r="EK75" i="45"/>
  <c r="EP44" i="45"/>
  <c r="ER95" i="45"/>
  <c r="EJ106" i="45"/>
  <c r="EQ106" i="45"/>
  <c r="EJ96" i="45"/>
  <c r="EL96" i="45"/>
  <c r="EI92" i="45"/>
  <c r="EN80" i="45"/>
  <c r="EM56" i="45"/>
  <c r="EL81" i="45"/>
  <c r="EJ16" i="45"/>
  <c r="EP90" i="45"/>
  <c r="EP87" i="45"/>
  <c r="EM92" i="45"/>
  <c r="EO81" i="45"/>
  <c r="EP56" i="45"/>
  <c r="EJ25" i="45"/>
  <c r="EP45" i="45"/>
  <c r="EM90" i="45"/>
  <c r="EQ30" i="45" l="1"/>
  <c r="DE55" i="45"/>
  <c r="CY25" i="45"/>
  <c r="EK25" i="45" s="1"/>
  <c r="CZ55" i="45"/>
  <c r="EO49" i="45"/>
  <c r="CY55" i="45"/>
  <c r="DC25" i="45"/>
  <c r="EO25" i="45" s="1"/>
  <c r="DB25" i="45"/>
  <c r="EN25" i="45" s="1"/>
  <c r="EQ41" i="45"/>
  <c r="EL30" i="45"/>
  <c r="EN49" i="45"/>
  <c r="AK48" i="60"/>
  <c r="EN65" i="45"/>
  <c r="EM30" i="45"/>
  <c r="EO30" i="45"/>
  <c r="DA55" i="45"/>
  <c r="DB55" i="45"/>
  <c r="EL49" i="45"/>
  <c r="DB45" i="45"/>
  <c r="EN45" i="45" s="1"/>
  <c r="CZ45" i="45"/>
  <c r="EL45" i="45" s="1"/>
  <c r="AG248" i="65"/>
  <c r="V48" i="60"/>
  <c r="DC55" i="45"/>
  <c r="EP26" i="45"/>
  <c r="Q48" i="60"/>
  <c r="EK30" i="45"/>
  <c r="EP30" i="45"/>
  <c r="T48" i="60"/>
  <c r="F25" i="45"/>
  <c r="R25" i="45" s="1"/>
  <c r="EJ65" i="45"/>
  <c r="EN30" i="45"/>
  <c r="EN41" i="45"/>
  <c r="EJ30" i="45"/>
  <c r="EQ49" i="45"/>
  <c r="AU48" i="60"/>
  <c r="AG247" i="65"/>
  <c r="AG245" i="65"/>
  <c r="DF33" i="60"/>
  <c r="CZ72" i="45"/>
  <c r="EL72" i="45" s="1"/>
  <c r="R110" i="45"/>
  <c r="CW110" i="45"/>
  <c r="DI110" i="45" s="1"/>
  <c r="R80" i="45"/>
  <c r="CW80" i="45"/>
  <c r="EI80" i="45" s="1"/>
  <c r="BU57" i="45"/>
  <c r="CM57" i="45"/>
  <c r="C261" i="44"/>
  <c r="L180" i="44"/>
  <c r="BU71" i="45"/>
  <c r="CM71" i="45"/>
  <c r="F48" i="60"/>
  <c r="F14" i="45"/>
  <c r="DD70" i="45"/>
  <c r="AP48" i="60"/>
  <c r="F50" i="45"/>
  <c r="D48" i="60"/>
  <c r="F12" i="45"/>
  <c r="DA12" i="45"/>
  <c r="EM12" i="45" s="1"/>
  <c r="Y48" i="60"/>
  <c r="F33" i="45"/>
  <c r="CW90" i="45"/>
  <c r="R90" i="45"/>
  <c r="C781" i="44"/>
  <c r="L700" i="44"/>
  <c r="L592" i="44"/>
  <c r="C673" i="44"/>
  <c r="AC48" i="60"/>
  <c r="F37" i="45"/>
  <c r="DA35" i="45"/>
  <c r="C368" i="44"/>
  <c r="L287" i="44"/>
  <c r="CM73" i="45"/>
  <c r="BU73" i="45"/>
  <c r="Y860" i="65"/>
  <c r="AG859" i="65"/>
  <c r="C407" i="44"/>
  <c r="L326" i="44"/>
  <c r="BB48" i="60"/>
  <c r="F62" i="45"/>
  <c r="R87" i="45"/>
  <c r="CW87" i="45"/>
  <c r="EI87" i="45" s="1"/>
  <c r="CH37" i="60"/>
  <c r="G94" i="45" s="1"/>
  <c r="CX94" i="45" s="1"/>
  <c r="EJ94" i="45" s="1"/>
  <c r="CH38" i="60"/>
  <c r="H94" i="45" s="1"/>
  <c r="CY94" i="45" s="1"/>
  <c r="CH46" i="60"/>
  <c r="P94" i="45" s="1"/>
  <c r="DG94" i="45" s="1"/>
  <c r="ES94" i="45" s="1"/>
  <c r="CH39" i="60"/>
  <c r="I94" i="45" s="1"/>
  <c r="CZ94" i="45" s="1"/>
  <c r="CH45" i="60"/>
  <c r="O94" i="45" s="1"/>
  <c r="DF94" i="45" s="1"/>
  <c r="ER94" i="45" s="1"/>
  <c r="CH36" i="60"/>
  <c r="CH41" i="60"/>
  <c r="K94" i="45" s="1"/>
  <c r="DB94" i="45" s="1"/>
  <c r="CH47" i="60"/>
  <c r="Q94" i="45" s="1"/>
  <c r="DH94" i="45" s="1"/>
  <c r="ET94" i="45" s="1"/>
  <c r="CH40" i="60"/>
  <c r="J94" i="45" s="1"/>
  <c r="DA94" i="45" s="1"/>
  <c r="CH42" i="60"/>
  <c r="L94" i="45" s="1"/>
  <c r="DC94" i="45" s="1"/>
  <c r="CH43" i="60"/>
  <c r="M94" i="45" s="1"/>
  <c r="DD94" i="45" s="1"/>
  <c r="CH44" i="60"/>
  <c r="N94" i="45" s="1"/>
  <c r="DE94" i="45" s="1"/>
  <c r="DF73" i="45"/>
  <c r="ER73" i="45" s="1"/>
  <c r="CZ73" i="45"/>
  <c r="EL73" i="45" s="1"/>
  <c r="DC88" i="45"/>
  <c r="DC34" i="45"/>
  <c r="EO34" i="45" s="1"/>
  <c r="CX39" i="45"/>
  <c r="AG958" i="65"/>
  <c r="Y959" i="65"/>
  <c r="Y642" i="65"/>
  <c r="AG641" i="65"/>
  <c r="Y886" i="65"/>
  <c r="AG885" i="65"/>
  <c r="C269" i="44"/>
  <c r="L188" i="44"/>
  <c r="BU44" i="45"/>
  <c r="CM44" i="45"/>
  <c r="AH13" i="45"/>
  <c r="AG119" i="45"/>
  <c r="R53" i="45"/>
  <c r="CW53" i="45"/>
  <c r="CZ89" i="45"/>
  <c r="EL89" i="45" s="1"/>
  <c r="AG835" i="49"/>
  <c r="Y836" i="49"/>
  <c r="CX102" i="45"/>
  <c r="EJ102" i="45" s="1"/>
  <c r="CY43" i="45"/>
  <c r="AG176" i="65"/>
  <c r="DC54" i="45"/>
  <c r="AZ48" i="60"/>
  <c r="F60" i="45"/>
  <c r="DC46" i="45"/>
  <c r="EO46" i="45" s="1"/>
  <c r="DF31" i="45"/>
  <c r="AG329" i="65"/>
  <c r="AG330" i="65"/>
  <c r="CE48" i="60"/>
  <c r="F91" i="45"/>
  <c r="DF19" i="45"/>
  <c r="ER19" i="45" s="1"/>
  <c r="R16" i="45"/>
  <c r="CW16" i="45"/>
  <c r="EI16" i="45" s="1"/>
  <c r="BU64" i="45"/>
  <c r="CM64" i="45"/>
  <c r="DF64" i="45" s="1"/>
  <c r="ER64" i="45" s="1"/>
  <c r="CM36" i="45"/>
  <c r="BU36" i="45"/>
  <c r="AG930" i="49"/>
  <c r="Y931" i="49"/>
  <c r="Y474" i="65"/>
  <c r="AG473" i="65"/>
  <c r="Y320" i="65"/>
  <c r="AG319" i="65"/>
  <c r="C450" i="44"/>
  <c r="L369" i="44"/>
  <c r="L712" i="44"/>
  <c r="C793" i="44"/>
  <c r="CM39" i="45"/>
  <c r="BU39" i="45"/>
  <c r="AG641" i="49"/>
  <c r="Y642" i="49"/>
  <c r="DE72" i="45"/>
  <c r="R28" i="45"/>
  <c r="CX28" i="45"/>
  <c r="EJ26" i="45" s="1"/>
  <c r="BI42" i="60"/>
  <c r="L69" i="45" s="1"/>
  <c r="DC69" i="45" s="1"/>
  <c r="BI45" i="60"/>
  <c r="O69" i="45" s="1"/>
  <c r="BI46" i="60"/>
  <c r="P69" i="45" s="1"/>
  <c r="BI47" i="60"/>
  <c r="Q69" i="45" s="1"/>
  <c r="BI36" i="60"/>
  <c r="BI37" i="60"/>
  <c r="G69" i="45" s="1"/>
  <c r="CX69" i="45" s="1"/>
  <c r="BI39" i="60"/>
  <c r="I69" i="45" s="1"/>
  <c r="CZ69" i="45" s="1"/>
  <c r="BI43" i="60"/>
  <c r="M69" i="45" s="1"/>
  <c r="DD69" i="45" s="1"/>
  <c r="BI44" i="60"/>
  <c r="N69" i="45" s="1"/>
  <c r="DE69" i="45" s="1"/>
  <c r="BI38" i="60"/>
  <c r="H69" i="45" s="1"/>
  <c r="CY69" i="45" s="1"/>
  <c r="BI40" i="60"/>
  <c r="J69" i="45" s="1"/>
  <c r="DA69" i="45" s="1"/>
  <c r="BI41" i="60"/>
  <c r="K69" i="45" s="1"/>
  <c r="DB69" i="45" s="1"/>
  <c r="AG653" i="49"/>
  <c r="Y654" i="49"/>
  <c r="AG665" i="49"/>
  <c r="Y666" i="49"/>
  <c r="E239" i="44"/>
  <c r="E240" i="44" s="1"/>
  <c r="E241" i="44" s="1"/>
  <c r="E242" i="44" s="1"/>
  <c r="E243" i="44" s="1"/>
  <c r="E244" i="44" s="1"/>
  <c r="E245" i="44"/>
  <c r="E246" i="44" s="1"/>
  <c r="E247" i="44" s="1"/>
  <c r="E248" i="44" s="1"/>
  <c r="E249" i="44" s="1"/>
  <c r="E250" i="44" s="1"/>
  <c r="E251" i="44" s="1"/>
  <c r="E252" i="44" s="1"/>
  <c r="E253" i="44" s="1"/>
  <c r="E254" i="44" s="1"/>
  <c r="E255" i="44" s="1"/>
  <c r="E256" i="44" s="1"/>
  <c r="E257" i="44" s="1"/>
  <c r="E258" i="44" s="1"/>
  <c r="E259" i="44" s="1"/>
  <c r="E260" i="44" s="1"/>
  <c r="E261" i="44" s="1"/>
  <c r="E262" i="44" s="1"/>
  <c r="E263" i="44" s="1"/>
  <c r="E264" i="44" s="1"/>
  <c r="E265" i="44" s="1"/>
  <c r="E266" i="44" s="1"/>
  <c r="E267" i="44" s="1"/>
  <c r="E268" i="44" s="1"/>
  <c r="E269" i="44" s="1"/>
  <c r="E270" i="44" s="1"/>
  <c r="E271" i="44" s="1"/>
  <c r="E272" i="44" s="1"/>
  <c r="E273" i="44" s="1"/>
  <c r="E274" i="44" s="1"/>
  <c r="E275" i="44" s="1"/>
  <c r="E276" i="44" s="1"/>
  <c r="E277" i="44" s="1"/>
  <c r="E278" i="44" s="1"/>
  <c r="E279" i="44" s="1"/>
  <c r="E280" i="44" s="1"/>
  <c r="E281" i="44" s="1"/>
  <c r="E282" i="44" s="1"/>
  <c r="E283" i="44" s="1"/>
  <c r="E284" i="44" s="1"/>
  <c r="E285" i="44" s="1"/>
  <c r="E286" i="44" s="1"/>
  <c r="E287" i="44" s="1"/>
  <c r="E288" i="44" s="1"/>
  <c r="E289" i="44" s="1"/>
  <c r="E290" i="44" s="1"/>
  <c r="E291" i="44" s="1"/>
  <c r="E292" i="44" s="1"/>
  <c r="E293" i="44" s="1"/>
  <c r="E294" i="44" s="1"/>
  <c r="E295" i="44" s="1"/>
  <c r="E296" i="44" s="1"/>
  <c r="E297" i="44" s="1"/>
  <c r="E298" i="44" s="1"/>
  <c r="E299" i="44" s="1"/>
  <c r="E300" i="44" s="1"/>
  <c r="E301" i="44" s="1"/>
  <c r="E302" i="44" s="1"/>
  <c r="E303" i="44" s="1"/>
  <c r="E304" i="44" s="1"/>
  <c r="E305" i="44" s="1"/>
  <c r="E306" i="44" s="1"/>
  <c r="E307" i="44" s="1"/>
  <c r="E308" i="44" s="1"/>
  <c r="E309" i="44" s="1"/>
  <c r="E310" i="44" s="1"/>
  <c r="E311" i="44" s="1"/>
  <c r="E312" i="44" s="1"/>
  <c r="E313" i="44" s="1"/>
  <c r="E314" i="44" s="1"/>
  <c r="E315" i="44" s="1"/>
  <c r="E316" i="44" s="1"/>
  <c r="E317" i="44" s="1"/>
  <c r="E318" i="44" s="1"/>
  <c r="E319" i="44" s="1"/>
  <c r="CN31" i="45"/>
  <c r="BV31" i="45"/>
  <c r="CO31" i="45" s="1"/>
  <c r="CZ61" i="45"/>
  <c r="R24" i="45"/>
  <c r="CW24" i="45"/>
  <c r="EI24" i="45" s="1"/>
  <c r="CY23" i="45"/>
  <c r="EK23" i="45" s="1"/>
  <c r="CW64" i="45"/>
  <c r="EI64" i="45" s="1"/>
  <c r="R64" i="45"/>
  <c r="CX20" i="45"/>
  <c r="R20" i="45"/>
  <c r="Y498" i="65"/>
  <c r="AG497" i="65"/>
  <c r="CM103" i="45"/>
  <c r="BU103" i="45"/>
  <c r="CM69" i="45"/>
  <c r="BU69" i="45"/>
  <c r="CM74" i="45"/>
  <c r="BU74" i="45"/>
  <c r="AG605" i="65"/>
  <c r="Y606" i="65"/>
  <c r="Y426" i="65"/>
  <c r="AG425" i="65"/>
  <c r="Y510" i="65"/>
  <c r="AG509" i="65"/>
  <c r="AG138" i="65"/>
  <c r="Y139" i="65"/>
  <c r="L491" i="44"/>
  <c r="C572" i="44"/>
  <c r="C277" i="44"/>
  <c r="L196" i="44"/>
  <c r="CJ48" i="60"/>
  <c r="F96" i="45"/>
  <c r="AG246" i="65"/>
  <c r="CZ70" i="45"/>
  <c r="R81" i="45"/>
  <c r="CW81" i="45"/>
  <c r="CL48" i="60"/>
  <c r="F98" i="45"/>
  <c r="CY12" i="45"/>
  <c r="DF57" i="45"/>
  <c r="BU89" i="45"/>
  <c r="CM89" i="45"/>
  <c r="CM93" i="45"/>
  <c r="BU93" i="45"/>
  <c r="BL23" i="45"/>
  <c r="CE23" i="45" s="1"/>
  <c r="BT23" i="45"/>
  <c r="CM23" i="45" s="1"/>
  <c r="BM23" i="45"/>
  <c r="CF23" i="45" s="1"/>
  <c r="BU23" i="45"/>
  <c r="CN23" i="45" s="1"/>
  <c r="BN23" i="45"/>
  <c r="CG23" i="45" s="1"/>
  <c r="BV23" i="45"/>
  <c r="CO23" i="45" s="1"/>
  <c r="BO23" i="45"/>
  <c r="CH23" i="45" s="1"/>
  <c r="BP23" i="45"/>
  <c r="CI23" i="45" s="1"/>
  <c r="DB23" i="45" s="1"/>
  <c r="BQ23" i="45"/>
  <c r="CJ23" i="45" s="1"/>
  <c r="BS23" i="45"/>
  <c r="CL23" i="45" s="1"/>
  <c r="BK23" i="45"/>
  <c r="CD23" i="45" s="1"/>
  <c r="BR23" i="45"/>
  <c r="CK23" i="45" s="1"/>
  <c r="DD23" i="45" s="1"/>
  <c r="EP23" i="45" s="1"/>
  <c r="Y594" i="65"/>
  <c r="AG593" i="65"/>
  <c r="L846" i="44"/>
  <c r="C927" i="44"/>
  <c r="L927" i="44" s="1"/>
  <c r="L515" i="44"/>
  <c r="C596" i="44"/>
  <c r="C265" i="44"/>
  <c r="L184" i="44"/>
  <c r="BV32" i="45"/>
  <c r="CO32" i="45" s="1"/>
  <c r="CN32" i="45"/>
  <c r="DE37" i="45"/>
  <c r="BU46" i="45"/>
  <c r="CM46" i="45"/>
  <c r="AG677" i="65"/>
  <c r="Y678" i="65"/>
  <c r="Y486" i="65"/>
  <c r="AG485" i="65"/>
  <c r="Y546" i="65"/>
  <c r="AG545" i="65"/>
  <c r="C266" i="44"/>
  <c r="L185" i="44"/>
  <c r="BV49" i="45"/>
  <c r="CO49" i="45" s="1"/>
  <c r="CN49" i="45"/>
  <c r="BN48" i="60"/>
  <c r="F74" i="45"/>
  <c r="R22" i="45"/>
  <c r="CW22" i="45"/>
  <c r="EI22" i="45" s="1"/>
  <c r="DE73" i="45"/>
  <c r="CX73" i="45"/>
  <c r="DB88" i="45"/>
  <c r="CX34" i="45"/>
  <c r="DB34" i="45"/>
  <c r="EN34" i="45" s="1"/>
  <c r="BU90" i="45"/>
  <c r="CN90" i="45" s="1"/>
  <c r="DG90" i="45" s="1"/>
  <c r="ES90" i="45" s="1"/>
  <c r="CM90" i="45"/>
  <c r="DF90" i="45" s="1"/>
  <c r="ER90" i="45" s="1"/>
  <c r="BU82" i="45"/>
  <c r="CM82" i="45"/>
  <c r="C802" i="44"/>
  <c r="L721" i="44"/>
  <c r="C381" i="44"/>
  <c r="L300" i="44"/>
  <c r="L651" i="44"/>
  <c r="C732" i="44"/>
  <c r="DC89" i="45"/>
  <c r="EO89" i="45" s="1"/>
  <c r="BU81" i="45"/>
  <c r="CM81" i="45"/>
  <c r="DF81" i="45" s="1"/>
  <c r="ER81" i="45" s="1"/>
  <c r="CM56" i="45"/>
  <c r="DF56" i="45" s="1"/>
  <c r="ER56" i="45" s="1"/>
  <c r="BU56" i="45"/>
  <c r="CM45" i="45"/>
  <c r="DF45" i="45" s="1"/>
  <c r="ER45" i="45" s="1"/>
  <c r="BU45" i="45"/>
  <c r="Y618" i="65"/>
  <c r="AG617" i="65"/>
  <c r="C298" i="44"/>
  <c r="L217" i="44"/>
  <c r="DC102" i="45"/>
  <c r="EO102" i="45" s="1"/>
  <c r="CW65" i="45"/>
  <c r="R65" i="45"/>
  <c r="CY48" i="60"/>
  <c r="F111" i="45"/>
  <c r="DE83" i="45"/>
  <c r="EQ82" i="45" s="1"/>
  <c r="CX43" i="45"/>
  <c r="DD43" i="45"/>
  <c r="EP43" i="45" s="1"/>
  <c r="AG175" i="65"/>
  <c r="AT48" i="60"/>
  <c r="F54" i="45"/>
  <c r="DA60" i="45"/>
  <c r="EM60" i="45" s="1"/>
  <c r="DB46" i="45"/>
  <c r="CZ46" i="45"/>
  <c r="EL46" i="45" s="1"/>
  <c r="DH31" i="45"/>
  <c r="AG333" i="65"/>
  <c r="Y850" i="65"/>
  <c r="AG849" i="65"/>
  <c r="DE19" i="45"/>
  <c r="EQ19" i="45" s="1"/>
  <c r="CM47" i="45"/>
  <c r="DF47" i="45" s="1"/>
  <c r="BU47" i="45"/>
  <c r="CM37" i="45"/>
  <c r="DF37" i="45" s="1"/>
  <c r="BU37" i="45"/>
  <c r="AG750" i="65"/>
  <c r="Y751" i="65"/>
  <c r="AG593" i="49"/>
  <c r="Y594" i="49"/>
  <c r="Y450" i="65"/>
  <c r="AG449" i="65"/>
  <c r="C293" i="44"/>
  <c r="L212" i="44"/>
  <c r="CZ48" i="60"/>
  <c r="F113" i="45"/>
  <c r="DF93" i="45"/>
  <c r="CG48" i="60"/>
  <c r="F93" i="45"/>
  <c r="G48" i="60"/>
  <c r="F15" i="45"/>
  <c r="Y666" i="65"/>
  <c r="AG665" i="65"/>
  <c r="Y677" i="49"/>
  <c r="AG676" i="49"/>
  <c r="C426" i="44"/>
  <c r="L345" i="44"/>
  <c r="CW45" i="45"/>
  <c r="EI45" i="45" s="1"/>
  <c r="R45" i="45"/>
  <c r="CY84" i="45"/>
  <c r="R84" i="45"/>
  <c r="AB37" i="60"/>
  <c r="G36" i="45" s="1"/>
  <c r="CX36" i="45" s="1"/>
  <c r="AB36" i="60"/>
  <c r="AB38" i="60"/>
  <c r="H36" i="45" s="1"/>
  <c r="CY36" i="45" s="1"/>
  <c r="AB39" i="60"/>
  <c r="I36" i="45" s="1"/>
  <c r="CZ36" i="45" s="1"/>
  <c r="AB42" i="60"/>
  <c r="L36" i="45" s="1"/>
  <c r="DC36" i="45" s="1"/>
  <c r="AB41" i="60"/>
  <c r="K36" i="45" s="1"/>
  <c r="DB36" i="45" s="1"/>
  <c r="AB43" i="60"/>
  <c r="M36" i="45" s="1"/>
  <c r="DD36" i="45" s="1"/>
  <c r="AB47" i="60"/>
  <c r="Q36" i="45" s="1"/>
  <c r="AB40" i="60"/>
  <c r="J36" i="45" s="1"/>
  <c r="DA36" i="45" s="1"/>
  <c r="AB44" i="60"/>
  <c r="N36" i="45" s="1"/>
  <c r="DE36" i="45" s="1"/>
  <c r="AB45" i="60"/>
  <c r="O36" i="45" s="1"/>
  <c r="DF36" i="45" s="1"/>
  <c r="AB46" i="60"/>
  <c r="P36" i="45" s="1"/>
  <c r="DH23" i="45"/>
  <c r="ET23" i="45" s="1"/>
  <c r="I88" i="43"/>
  <c r="I89" i="43" s="1"/>
  <c r="K245" i="44"/>
  <c r="AG244" i="65"/>
  <c r="CX70" i="45"/>
  <c r="DE66" i="45"/>
  <c r="EQ65" i="45" s="1"/>
  <c r="DH12" i="45"/>
  <c r="ET12" i="45" s="1"/>
  <c r="CX12" i="45"/>
  <c r="EJ12" i="45" s="1"/>
  <c r="DE57" i="45"/>
  <c r="CO48" i="60"/>
  <c r="F101" i="45"/>
  <c r="AG65" i="65"/>
  <c r="Y66" i="65"/>
  <c r="AX48" i="60"/>
  <c r="F58" i="45"/>
  <c r="DA37" i="45"/>
  <c r="DC37" i="45"/>
  <c r="DC35" i="45"/>
  <c r="DC74" i="45"/>
  <c r="CQ37" i="60"/>
  <c r="G103" i="45" s="1"/>
  <c r="CX103" i="45" s="1"/>
  <c r="CQ43" i="60"/>
  <c r="M103" i="45" s="1"/>
  <c r="DD103" i="45" s="1"/>
  <c r="EP103" i="45" s="1"/>
  <c r="CQ39" i="60"/>
  <c r="I103" i="45" s="1"/>
  <c r="CZ103" i="45" s="1"/>
  <c r="CQ41" i="60"/>
  <c r="K103" i="45" s="1"/>
  <c r="DB103" i="45" s="1"/>
  <c r="EN103" i="45" s="1"/>
  <c r="CQ38" i="60"/>
  <c r="H103" i="45" s="1"/>
  <c r="CY103" i="45" s="1"/>
  <c r="EK103" i="45" s="1"/>
  <c r="CQ40" i="60"/>
  <c r="J103" i="45" s="1"/>
  <c r="DA103" i="45" s="1"/>
  <c r="EM103" i="45" s="1"/>
  <c r="CQ42" i="60"/>
  <c r="L103" i="45" s="1"/>
  <c r="DC103" i="45" s="1"/>
  <c r="EO103" i="45" s="1"/>
  <c r="CQ47" i="60"/>
  <c r="Q103" i="45" s="1"/>
  <c r="CQ44" i="60"/>
  <c r="N103" i="45" s="1"/>
  <c r="DE103" i="45" s="1"/>
  <c r="EQ103" i="45" s="1"/>
  <c r="CQ36" i="60"/>
  <c r="CQ45" i="60"/>
  <c r="O103" i="45" s="1"/>
  <c r="DF103" i="45" s="1"/>
  <c r="ER103" i="45" s="1"/>
  <c r="CQ46" i="60"/>
  <c r="P103" i="45" s="1"/>
  <c r="DC62" i="45"/>
  <c r="EO62" i="45" s="1"/>
  <c r="DD73" i="45"/>
  <c r="BM48" i="60"/>
  <c r="F73" i="45"/>
  <c r="CZ88" i="45"/>
  <c r="EL88" i="45" s="1"/>
  <c r="Z48" i="60"/>
  <c r="F34" i="45"/>
  <c r="CY34" i="45"/>
  <c r="EK34" i="45" s="1"/>
  <c r="CK48" i="60"/>
  <c r="F97" i="45"/>
  <c r="CZ39" i="45"/>
  <c r="DD39" i="45"/>
  <c r="BU42" i="45"/>
  <c r="CM42" i="45"/>
  <c r="DF42" i="45" s="1"/>
  <c r="CY67" i="45"/>
  <c r="CM54" i="45"/>
  <c r="BU54" i="45"/>
  <c r="AG947" i="65"/>
  <c r="Y948" i="65"/>
  <c r="Y234" i="65"/>
  <c r="AG233" i="65"/>
  <c r="C301" i="44"/>
  <c r="L220" i="44"/>
  <c r="Y908" i="65"/>
  <c r="AG907" i="65"/>
  <c r="CX89" i="45"/>
  <c r="Y871" i="65"/>
  <c r="AG870" i="65"/>
  <c r="C387" i="44"/>
  <c r="L306" i="44"/>
  <c r="DA102" i="45"/>
  <c r="EM102" i="45" s="1"/>
  <c r="DD83" i="45"/>
  <c r="EP82" i="45" s="1"/>
  <c r="CZ43" i="45"/>
  <c r="EL43" i="45" s="1"/>
  <c r="DF26" i="45"/>
  <c r="AG172" i="65"/>
  <c r="DB54" i="45"/>
  <c r="AL48" i="60"/>
  <c r="F46" i="45"/>
  <c r="CS48" i="60"/>
  <c r="F105" i="45"/>
  <c r="DG49" i="45"/>
  <c r="DD91" i="45"/>
  <c r="EP91" i="45" s="1"/>
  <c r="CY91" i="45"/>
  <c r="EK91" i="45" s="1"/>
  <c r="CY19" i="45"/>
  <c r="DC19" i="45"/>
  <c r="EO19" i="45" s="1"/>
  <c r="BU91" i="45"/>
  <c r="CM91" i="45"/>
  <c r="BU43" i="45"/>
  <c r="CM43" i="45"/>
  <c r="AG849" i="49"/>
  <c r="Y850" i="49"/>
  <c r="L390" i="44"/>
  <c r="C471" i="44"/>
  <c r="BL48" i="60"/>
  <c r="F72" i="45"/>
  <c r="I48" i="60"/>
  <c r="F17" i="45"/>
  <c r="BU40" i="45"/>
  <c r="CM40" i="45"/>
  <c r="C392" i="44"/>
  <c r="L311" i="44"/>
  <c r="L200" i="44"/>
  <c r="C281" i="44"/>
  <c r="CN33" i="45"/>
  <c r="BV33" i="45"/>
  <c r="CO33" i="45" s="1"/>
  <c r="BA48" i="60"/>
  <c r="F61" i="45"/>
  <c r="AF36" i="60"/>
  <c r="AF40" i="60"/>
  <c r="J40" i="45" s="1"/>
  <c r="DA40" i="45" s="1"/>
  <c r="AF44" i="60"/>
  <c r="N40" i="45" s="1"/>
  <c r="DE40" i="45" s="1"/>
  <c r="AF37" i="60"/>
  <c r="G40" i="45" s="1"/>
  <c r="CX40" i="45" s="1"/>
  <c r="EJ39" i="45" s="1"/>
  <c r="AF39" i="60"/>
  <c r="I40" i="45" s="1"/>
  <c r="CZ40" i="45" s="1"/>
  <c r="AF45" i="60"/>
  <c r="O40" i="45" s="1"/>
  <c r="DF40" i="45" s="1"/>
  <c r="AF46" i="60"/>
  <c r="P40" i="45" s="1"/>
  <c r="AF38" i="60"/>
  <c r="H40" i="45" s="1"/>
  <c r="CY40" i="45" s="1"/>
  <c r="AF41" i="60"/>
  <c r="K40" i="45" s="1"/>
  <c r="DB40" i="45" s="1"/>
  <c r="AF42" i="60"/>
  <c r="L40" i="45" s="1"/>
  <c r="DC40" i="45" s="1"/>
  <c r="AF43" i="60"/>
  <c r="M40" i="45" s="1"/>
  <c r="DD40" i="45" s="1"/>
  <c r="AF47" i="60"/>
  <c r="Q40" i="45" s="1"/>
  <c r="CX23" i="45"/>
  <c r="EJ23" i="45" s="1"/>
  <c r="Y390" i="65"/>
  <c r="AG389" i="65"/>
  <c r="C458" i="44"/>
  <c r="L377" i="44"/>
  <c r="Y164" i="65"/>
  <c r="AG163" i="65"/>
  <c r="AG16" i="65"/>
  <c r="Y17" i="65"/>
  <c r="L494" i="44"/>
  <c r="C575" i="44"/>
  <c r="CN51" i="45"/>
  <c r="DG51" i="45" s="1"/>
  <c r="BV51" i="45"/>
  <c r="CO51" i="45" s="1"/>
  <c r="DH51" i="45" s="1"/>
  <c r="R47" i="45"/>
  <c r="CW47" i="45"/>
  <c r="R27" i="45"/>
  <c r="CW27" i="45"/>
  <c r="DI27" i="45" s="1"/>
  <c r="X48" i="60"/>
  <c r="F32" i="45"/>
  <c r="DD66" i="45"/>
  <c r="EP65" i="45" s="1"/>
  <c r="AD48" i="60"/>
  <c r="F38" i="45"/>
  <c r="DC12" i="45"/>
  <c r="EO12" i="45" s="1"/>
  <c r="CX57" i="45"/>
  <c r="EJ57" i="45" s="1"/>
  <c r="CT48" i="60"/>
  <c r="F106" i="45"/>
  <c r="AG958" i="49"/>
  <c r="Y959" i="49"/>
  <c r="AG821" i="65"/>
  <c r="Y822" i="65"/>
  <c r="C905" i="44"/>
  <c r="L905" i="44" s="1"/>
  <c r="L824" i="44"/>
  <c r="L213" i="44"/>
  <c r="C294" i="44"/>
  <c r="CX37" i="45"/>
  <c r="CX35" i="45"/>
  <c r="AG581" i="65"/>
  <c r="Y582" i="65"/>
  <c r="Y378" i="65"/>
  <c r="AG377" i="65"/>
  <c r="Y354" i="65"/>
  <c r="AG353" i="65"/>
  <c r="C250" i="44"/>
  <c r="L169" i="44"/>
  <c r="DF74" i="45"/>
  <c r="CX74" i="45"/>
  <c r="EJ74" i="45" s="1"/>
  <c r="DA62" i="45"/>
  <c r="EM62" i="45" s="1"/>
  <c r="R13" i="45"/>
  <c r="CY73" i="45"/>
  <c r="EK73" i="45" s="1"/>
  <c r="DD88" i="45"/>
  <c r="EP88" i="45" s="1"/>
  <c r="AE48" i="60"/>
  <c r="F39" i="45"/>
  <c r="DE39" i="45"/>
  <c r="CX67" i="45"/>
  <c r="DE67" i="45"/>
  <c r="AG617" i="49"/>
  <c r="Y618" i="49"/>
  <c r="C634" i="44"/>
  <c r="L553" i="44"/>
  <c r="L321" i="44"/>
  <c r="C402" i="44"/>
  <c r="AG653" i="65"/>
  <c r="Y654" i="65"/>
  <c r="L322" i="44"/>
  <c r="C403" i="44"/>
  <c r="DF89" i="45"/>
  <c r="ER89" i="45" s="1"/>
  <c r="DE89" i="45"/>
  <c r="EQ89" i="45" s="1"/>
  <c r="AG797" i="65"/>
  <c r="Y798" i="65"/>
  <c r="AG485" i="49"/>
  <c r="Y486" i="49"/>
  <c r="C285" i="44"/>
  <c r="L204" i="44"/>
  <c r="DB102" i="45"/>
  <c r="DB83" i="45"/>
  <c r="EN82" i="45" s="1"/>
  <c r="AI48" i="60"/>
  <c r="F43" i="45"/>
  <c r="AG174" i="65"/>
  <c r="R48" i="60"/>
  <c r="F26" i="45"/>
  <c r="DF54" i="45"/>
  <c r="DE60" i="45"/>
  <c r="EQ60" i="45" s="1"/>
  <c r="CY46" i="45"/>
  <c r="EK46" i="45" s="1"/>
  <c r="AG332" i="65"/>
  <c r="Y414" i="65"/>
  <c r="AG413" i="65"/>
  <c r="CZ91" i="45"/>
  <c r="DE91" i="45"/>
  <c r="DH19" i="45"/>
  <c r="ET19" i="45" s="1"/>
  <c r="CZ19" i="45"/>
  <c r="EL19" i="45" s="1"/>
  <c r="DA41" i="45"/>
  <c r="EM41" i="45" s="1"/>
  <c r="R41" i="45"/>
  <c r="CM85" i="45"/>
  <c r="DF85" i="45" s="1"/>
  <c r="BU85" i="45"/>
  <c r="BU72" i="45"/>
  <c r="CM72" i="45"/>
  <c r="DF72" i="45" s="1"/>
  <c r="ER72" i="45" s="1"/>
  <c r="BU65" i="45"/>
  <c r="CM65" i="45"/>
  <c r="DF65" i="45" s="1"/>
  <c r="AG725" i="65"/>
  <c r="Y726" i="65"/>
  <c r="Y308" i="65"/>
  <c r="AG307" i="65"/>
  <c r="Y558" i="65"/>
  <c r="AG557" i="65"/>
  <c r="C749" i="44"/>
  <c r="L668" i="44"/>
  <c r="L547" i="44"/>
  <c r="C628" i="44"/>
  <c r="DC72" i="45"/>
  <c r="EO72" i="45" s="1"/>
  <c r="DK21" i="45"/>
  <c r="DM21" i="45"/>
  <c r="Y835" i="65"/>
  <c r="AG834" i="65"/>
  <c r="AG761" i="65"/>
  <c r="Y762" i="65"/>
  <c r="L325" i="44"/>
  <c r="C406" i="44"/>
  <c r="L205" i="44"/>
  <c r="C286" i="44"/>
  <c r="L189" i="44"/>
  <c r="C270" i="44"/>
  <c r="O48" i="60"/>
  <c r="F23" i="45"/>
  <c r="CW59" i="45"/>
  <c r="R59" i="45"/>
  <c r="CM52" i="45"/>
  <c r="BU52" i="45"/>
  <c r="AG90" i="65"/>
  <c r="Y91" i="65"/>
  <c r="AG559" i="49"/>
  <c r="Y560" i="49"/>
  <c r="C415" i="44"/>
  <c r="L334" i="44"/>
  <c r="DC70" i="45"/>
  <c r="DH32" i="45"/>
  <c r="BF48" i="60"/>
  <c r="F66" i="45"/>
  <c r="DB12" i="45"/>
  <c r="EN12" i="45" s="1"/>
  <c r="CZ57" i="45"/>
  <c r="EL57" i="45" s="1"/>
  <c r="DG33" i="45"/>
  <c r="CM35" i="45"/>
  <c r="DF35" i="45" s="1"/>
  <c r="BU35" i="45"/>
  <c r="CM25" i="45"/>
  <c r="DF25" i="45" s="1"/>
  <c r="ER25" i="45" s="1"/>
  <c r="BU25" i="45"/>
  <c r="L794" i="44"/>
  <c r="C875" i="44"/>
  <c r="C395" i="44"/>
  <c r="L314" i="44"/>
  <c r="DD37" i="45"/>
  <c r="DB35" i="45"/>
  <c r="BU77" i="45"/>
  <c r="CM77" i="45"/>
  <c r="CM76" i="45"/>
  <c r="BU76" i="45"/>
  <c r="DE74" i="45"/>
  <c r="EQ74" i="45" s="1"/>
  <c r="DD74" i="45"/>
  <c r="EP74" i="45" s="1"/>
  <c r="DB62" i="45"/>
  <c r="AJ48" i="60"/>
  <c r="F44" i="45"/>
  <c r="DE88" i="45"/>
  <c r="EQ88" i="45" s="1"/>
  <c r="J48" i="60"/>
  <c r="F18" i="45"/>
  <c r="DE34" i="45"/>
  <c r="EQ34" i="45" s="1"/>
  <c r="CZ34" i="45"/>
  <c r="EL34" i="45" s="1"/>
  <c r="DF39" i="45"/>
  <c r="DA39" i="45"/>
  <c r="EM39" i="45" s="1"/>
  <c r="DA67" i="45"/>
  <c r="EM67" i="45" s="1"/>
  <c r="Y152" i="65"/>
  <c r="AG151" i="65"/>
  <c r="Y77" i="65"/>
  <c r="AG76" i="65"/>
  <c r="L534" i="44"/>
  <c r="C615" i="44"/>
  <c r="L243" i="44"/>
  <c r="C324" i="44"/>
  <c r="L197" i="44"/>
  <c r="C278" i="44"/>
  <c r="DA89" i="45"/>
  <c r="EM89" i="45" s="1"/>
  <c r="CM58" i="45"/>
  <c r="BU58" i="45"/>
  <c r="C365" i="44"/>
  <c r="L284" i="44"/>
  <c r="BV30" i="45"/>
  <c r="CO30" i="45" s="1"/>
  <c r="DH30" i="45" s="1"/>
  <c r="CN30" i="45"/>
  <c r="DG30" i="45" s="1"/>
  <c r="CP48" i="60"/>
  <c r="F102" i="45"/>
  <c r="DC83" i="45"/>
  <c r="EO82" i="45" s="1"/>
  <c r="CY83" i="45"/>
  <c r="EK82" i="45" s="1"/>
  <c r="DF43" i="45"/>
  <c r="ER43" i="45" s="1"/>
  <c r="AG178" i="65"/>
  <c r="DG26" i="45"/>
  <c r="ES26" i="45" s="1"/>
  <c r="DE54" i="45"/>
  <c r="EQ53" i="45" s="1"/>
  <c r="CZ60" i="45"/>
  <c r="DF46" i="45"/>
  <c r="ER46" i="45" s="1"/>
  <c r="CX46" i="45"/>
  <c r="EJ46" i="45" s="1"/>
  <c r="AG331" i="65"/>
  <c r="DC91" i="45"/>
  <c r="DA91" i="45"/>
  <c r="EM91" i="45" s="1"/>
  <c r="DB19" i="45"/>
  <c r="EN19" i="45" s="1"/>
  <c r="CX19" i="45"/>
  <c r="EJ19" i="45" s="1"/>
  <c r="BU22" i="45"/>
  <c r="CM22" i="45"/>
  <c r="DF22" i="45" s="1"/>
  <c r="ER22" i="45" s="1"/>
  <c r="R99" i="45"/>
  <c r="CW99" i="45"/>
  <c r="DI99" i="45" s="1"/>
  <c r="DB72" i="45"/>
  <c r="EN72" i="45" s="1"/>
  <c r="CW55" i="45"/>
  <c r="R55" i="45"/>
  <c r="CM55" i="45"/>
  <c r="DF55" i="45" s="1"/>
  <c r="BU55" i="45"/>
  <c r="AG243" i="65"/>
  <c r="CZ23" i="45"/>
  <c r="EL23" i="45" s="1"/>
  <c r="DC23" i="45"/>
  <c r="EO23" i="45" s="1"/>
  <c r="Y342" i="65"/>
  <c r="AG341" i="65"/>
  <c r="BU62" i="45"/>
  <c r="CM62" i="45"/>
  <c r="DF62" i="45" s="1"/>
  <c r="ER62" i="45" s="1"/>
  <c r="BU53" i="45"/>
  <c r="CM53" i="45"/>
  <c r="DF53" i="45" s="1"/>
  <c r="AG858" i="49"/>
  <c r="Y859" i="49"/>
  <c r="Y44" i="65"/>
  <c r="AG43" i="65"/>
  <c r="Y198" i="65"/>
  <c r="AG197" i="65"/>
  <c r="Y272" i="65"/>
  <c r="AG271" i="65"/>
  <c r="BP37" i="60"/>
  <c r="G76" i="45" s="1"/>
  <c r="CX76" i="45" s="1"/>
  <c r="BP38" i="60"/>
  <c r="H76" i="45" s="1"/>
  <c r="CY76" i="45" s="1"/>
  <c r="BP40" i="60"/>
  <c r="J76" i="45" s="1"/>
  <c r="DA76" i="45" s="1"/>
  <c r="BP44" i="60"/>
  <c r="N76" i="45" s="1"/>
  <c r="DE76" i="45" s="1"/>
  <c r="BP43" i="60"/>
  <c r="M76" i="45" s="1"/>
  <c r="DD76" i="45" s="1"/>
  <c r="BP45" i="60"/>
  <c r="O76" i="45" s="1"/>
  <c r="DF76" i="45" s="1"/>
  <c r="BP36" i="60"/>
  <c r="BP47" i="60"/>
  <c r="Q76" i="45" s="1"/>
  <c r="BP39" i="60"/>
  <c r="I76" i="45" s="1"/>
  <c r="CZ76" i="45" s="1"/>
  <c r="BP41" i="60"/>
  <c r="K76" i="45" s="1"/>
  <c r="DB76" i="45" s="1"/>
  <c r="BP42" i="60"/>
  <c r="L76" i="45" s="1"/>
  <c r="DC76" i="45" s="1"/>
  <c r="BP46" i="60"/>
  <c r="P76" i="45" s="1"/>
  <c r="DA70" i="45"/>
  <c r="DB70" i="45"/>
  <c r="CZ12" i="45"/>
  <c r="EL12" i="45" s="1"/>
  <c r="DC57" i="45"/>
  <c r="EO57" i="45" s="1"/>
  <c r="DD57" i="45"/>
  <c r="EP57" i="45" s="1"/>
  <c r="DF33" i="45"/>
  <c r="Y690" i="65"/>
  <c r="AG689" i="65"/>
  <c r="Y260" i="65"/>
  <c r="AG259" i="65"/>
  <c r="L735" i="44"/>
  <c r="C816" i="44"/>
  <c r="L192" i="44"/>
  <c r="C273" i="44"/>
  <c r="C274" i="44"/>
  <c r="L193" i="44"/>
  <c r="DF58" i="45"/>
  <c r="DB37" i="45"/>
  <c r="CM66" i="45"/>
  <c r="DF66" i="45" s="1"/>
  <c r="BU66" i="45"/>
  <c r="BU68" i="45"/>
  <c r="CM68" i="45"/>
  <c r="Y898" i="65"/>
  <c r="AG897" i="65"/>
  <c r="Y462" i="65"/>
  <c r="AG461" i="65"/>
  <c r="C642" i="44"/>
  <c r="L561" i="44"/>
  <c r="CY74" i="45"/>
  <c r="EK74" i="45" s="1"/>
  <c r="DE62" i="45"/>
  <c r="EQ62" i="45" s="1"/>
  <c r="CY62" i="45"/>
  <c r="EK62" i="45" s="1"/>
  <c r="DF44" i="45"/>
  <c r="ER44" i="45" s="1"/>
  <c r="DA73" i="45"/>
  <c r="EM73" i="45" s="1"/>
  <c r="DD34" i="45"/>
  <c r="EP34" i="45" s="1"/>
  <c r="DB39" i="45"/>
  <c r="EN39" i="45" s="1"/>
  <c r="CZ67" i="45"/>
  <c r="EL67" i="45" s="1"/>
  <c r="BG48" i="60"/>
  <c r="F67" i="45"/>
  <c r="Y919" i="65"/>
  <c r="AG918" i="65"/>
  <c r="Y438" i="65"/>
  <c r="AG437" i="65"/>
  <c r="CY89" i="45"/>
  <c r="EK89" i="45" s="1"/>
  <c r="BU41" i="45"/>
  <c r="CM41" i="45"/>
  <c r="DF41" i="45" s="1"/>
  <c r="Y714" i="65"/>
  <c r="AG713" i="65"/>
  <c r="L746" i="44"/>
  <c r="C827" i="44"/>
  <c r="L221" i="44"/>
  <c r="C302" i="44"/>
  <c r="CZ102" i="45"/>
  <c r="EL102" i="45" s="1"/>
  <c r="AR37" i="60"/>
  <c r="G52" i="45" s="1"/>
  <c r="CX52" i="45" s="1"/>
  <c r="EJ52" i="45" s="1"/>
  <c r="AR38" i="60"/>
  <c r="H52" i="45" s="1"/>
  <c r="CY52" i="45" s="1"/>
  <c r="EK52" i="45" s="1"/>
  <c r="AR41" i="60"/>
  <c r="K52" i="45" s="1"/>
  <c r="DB52" i="45" s="1"/>
  <c r="EN52" i="45" s="1"/>
  <c r="AR46" i="60"/>
  <c r="P52" i="45" s="1"/>
  <c r="AR40" i="60"/>
  <c r="J52" i="45" s="1"/>
  <c r="DA52" i="45" s="1"/>
  <c r="EM52" i="45" s="1"/>
  <c r="AR42" i="60"/>
  <c r="L52" i="45" s="1"/>
  <c r="DC52" i="45" s="1"/>
  <c r="EO52" i="45" s="1"/>
  <c r="AR43" i="60"/>
  <c r="M52" i="45" s="1"/>
  <c r="DD52" i="45" s="1"/>
  <c r="EP52" i="45" s="1"/>
  <c r="AR36" i="60"/>
  <c r="AR44" i="60"/>
  <c r="N52" i="45" s="1"/>
  <c r="DE52" i="45" s="1"/>
  <c r="EQ52" i="45" s="1"/>
  <c r="AR45" i="60"/>
  <c r="O52" i="45" s="1"/>
  <c r="DF52" i="45" s="1"/>
  <c r="AR39" i="60"/>
  <c r="I52" i="45" s="1"/>
  <c r="CZ52" i="45" s="1"/>
  <c r="EL52" i="45" s="1"/>
  <c r="AR47" i="60"/>
  <c r="Q52" i="45" s="1"/>
  <c r="DA83" i="45"/>
  <c r="CZ83" i="45"/>
  <c r="EL82" i="45" s="1"/>
  <c r="AG177" i="65"/>
  <c r="AG173" i="65"/>
  <c r="CX54" i="45"/>
  <c r="EJ53" i="45" s="1"/>
  <c r="DD60" i="45"/>
  <c r="EP60" i="45" s="1"/>
  <c r="CY60" i="45"/>
  <c r="DE46" i="45"/>
  <c r="EQ46" i="45" s="1"/>
  <c r="DG31" i="45"/>
  <c r="AG327" i="65"/>
  <c r="AG328" i="65"/>
  <c r="CM59" i="45"/>
  <c r="DF59" i="45" s="1"/>
  <c r="BU59" i="45"/>
  <c r="DB91" i="45"/>
  <c r="EN91" i="45" s="1"/>
  <c r="K48" i="60"/>
  <c r="F19" i="45"/>
  <c r="DD19" i="45"/>
  <c r="EP19" i="45" s="1"/>
  <c r="R108" i="45"/>
  <c r="CW108" i="45"/>
  <c r="DI108" i="45" s="1"/>
  <c r="CM70" i="45"/>
  <c r="DF70" i="45" s="1"/>
  <c r="BU70" i="45"/>
  <c r="AG629" i="65"/>
  <c r="Y630" i="65"/>
  <c r="Y128" i="65"/>
  <c r="AG127" i="65"/>
  <c r="Y366" i="65"/>
  <c r="AG365" i="65"/>
  <c r="L629" i="44"/>
  <c r="C710" i="44"/>
  <c r="L660" i="44"/>
  <c r="C741" i="44"/>
  <c r="DK79" i="45"/>
  <c r="DM79" i="45"/>
  <c r="CW51" i="45"/>
  <c r="R51" i="45"/>
  <c r="BV48" i="60"/>
  <c r="F82" i="45"/>
  <c r="CM80" i="45"/>
  <c r="DF80" i="45" s="1"/>
  <c r="ER80" i="45" s="1"/>
  <c r="BU80" i="45"/>
  <c r="CM34" i="45"/>
  <c r="DF34" i="45" s="1"/>
  <c r="ER34" i="45" s="1"/>
  <c r="BU34" i="45"/>
  <c r="Y570" i="65"/>
  <c r="AG569" i="65"/>
  <c r="Y296" i="65"/>
  <c r="AG295" i="65"/>
  <c r="L558" i="44"/>
  <c r="C639" i="44"/>
  <c r="L380" i="44"/>
  <c r="C461" i="44"/>
  <c r="C282" i="44"/>
  <c r="L201" i="44"/>
  <c r="BC48" i="60"/>
  <c r="F63" i="45"/>
  <c r="R56" i="45"/>
  <c r="CW56" i="45"/>
  <c r="EI56" i="45" s="1"/>
  <c r="DA23" i="45"/>
  <c r="EM23" i="45" s="1"/>
  <c r="DG23" i="45"/>
  <c r="CM61" i="45"/>
  <c r="DF61" i="45" s="1"/>
  <c r="BU61" i="45"/>
  <c r="L418" i="44"/>
  <c r="C499" i="44"/>
  <c r="C400" i="44"/>
  <c r="L319" i="44"/>
  <c r="BJ48" i="60"/>
  <c r="F70" i="45"/>
  <c r="CY70" i="45"/>
  <c r="DG12" i="45"/>
  <c r="ES12" i="45" s="1"/>
  <c r="DD12" i="45"/>
  <c r="EP12" i="45" s="1"/>
  <c r="DB57" i="45"/>
  <c r="EN57" i="45" s="1"/>
  <c r="DA57" i="45"/>
  <c r="EM57" i="45" s="1"/>
  <c r="DH33" i="45"/>
  <c r="CM88" i="45"/>
  <c r="BU88" i="45"/>
  <c r="C607" i="44"/>
  <c r="L526" i="44"/>
  <c r="AG250" i="65"/>
  <c r="CY37" i="45"/>
  <c r="AA48" i="60"/>
  <c r="F35" i="45"/>
  <c r="BU38" i="45"/>
  <c r="CM38" i="45"/>
  <c r="DF38" i="45" s="1"/>
  <c r="ER38" i="45" s="1"/>
  <c r="Y53" i="65"/>
  <c r="AG52" i="65"/>
  <c r="Y906" i="49"/>
  <c r="AG905" i="49"/>
  <c r="DA74" i="45"/>
  <c r="EM74" i="45" s="1"/>
  <c r="CZ74" i="45"/>
  <c r="EL74" i="45" s="1"/>
  <c r="CW48" i="60"/>
  <c r="F109" i="45"/>
  <c r="CZ62" i="45"/>
  <c r="EL62" i="45" s="1"/>
  <c r="CX62" i="45"/>
  <c r="EJ62" i="45" s="1"/>
  <c r="DB73" i="45"/>
  <c r="EN73" i="45" s="1"/>
  <c r="CB48" i="60"/>
  <c r="F88" i="45"/>
  <c r="DA34" i="45"/>
  <c r="DC39" i="45"/>
  <c r="EO39" i="45" s="1"/>
  <c r="CM87" i="45"/>
  <c r="DF87" i="45" s="1"/>
  <c r="ER87" i="45" s="1"/>
  <c r="BU87" i="45"/>
  <c r="C479" i="44"/>
  <c r="L398" i="44"/>
  <c r="DC67" i="45"/>
  <c r="EO67" i="45" s="1"/>
  <c r="DD67" i="45"/>
  <c r="EP67" i="45" s="1"/>
  <c r="CM63" i="45"/>
  <c r="DF63" i="45" s="1"/>
  <c r="ER63" i="45" s="1"/>
  <c r="BU63" i="45"/>
  <c r="AG947" i="49"/>
  <c r="Y948" i="49"/>
  <c r="AG282" i="65"/>
  <c r="Y283" i="65"/>
  <c r="D245" i="44"/>
  <c r="D246" i="44" s="1"/>
  <c r="D247" i="44" s="1"/>
  <c r="D248" i="44" s="1"/>
  <c r="D249" i="44" s="1"/>
  <c r="D250" i="44" s="1"/>
  <c r="D251" i="44" s="1"/>
  <c r="D252" i="44" s="1"/>
  <c r="D253" i="44" s="1"/>
  <c r="D254" i="44" s="1"/>
  <c r="D255" i="44" s="1"/>
  <c r="D256" i="44" s="1"/>
  <c r="D257" i="44" s="1"/>
  <c r="D258" i="44" s="1"/>
  <c r="D259" i="44" s="1"/>
  <c r="D260" i="44" s="1"/>
  <c r="D261" i="44" s="1"/>
  <c r="D262" i="44" s="1"/>
  <c r="D263" i="44" s="1"/>
  <c r="D264" i="44" s="1"/>
  <c r="D265" i="44" s="1"/>
  <c r="D266" i="44" s="1"/>
  <c r="D267" i="44" s="1"/>
  <c r="D268" i="44" s="1"/>
  <c r="D269" i="44" s="1"/>
  <c r="D270" i="44" s="1"/>
  <c r="D271" i="44" s="1"/>
  <c r="D272" i="44" s="1"/>
  <c r="D273" i="44" s="1"/>
  <c r="D274" i="44" s="1"/>
  <c r="D275" i="44" s="1"/>
  <c r="D276" i="44" s="1"/>
  <c r="D277" i="44" s="1"/>
  <c r="D278" i="44" s="1"/>
  <c r="D279" i="44" s="1"/>
  <c r="D280" i="44" s="1"/>
  <c r="D281" i="44" s="1"/>
  <c r="D282" i="44" s="1"/>
  <c r="D283" i="44" s="1"/>
  <c r="D284" i="44" s="1"/>
  <c r="D285" i="44" s="1"/>
  <c r="D286" i="44" s="1"/>
  <c r="D287" i="44" s="1"/>
  <c r="D288" i="44" s="1"/>
  <c r="D289" i="44" s="1"/>
  <c r="D290" i="44" s="1"/>
  <c r="D291" i="44" s="1"/>
  <c r="D292" i="44" s="1"/>
  <c r="D293" i="44" s="1"/>
  <c r="D294" i="44" s="1"/>
  <c r="D295" i="44" s="1"/>
  <c r="D296" i="44" s="1"/>
  <c r="D297" i="44" s="1"/>
  <c r="D298" i="44" s="1"/>
  <c r="D299" i="44" s="1"/>
  <c r="D300" i="44" s="1"/>
  <c r="D301" i="44" s="1"/>
  <c r="D302" i="44" s="1"/>
  <c r="D303" i="44" s="1"/>
  <c r="D304" i="44" s="1"/>
  <c r="D305" i="44" s="1"/>
  <c r="D306" i="44" s="1"/>
  <c r="D307" i="44" s="1"/>
  <c r="D308" i="44" s="1"/>
  <c r="D309" i="44" s="1"/>
  <c r="D310" i="44" s="1"/>
  <c r="D311" i="44" s="1"/>
  <c r="D312" i="44" s="1"/>
  <c r="D313" i="44" s="1"/>
  <c r="D314" i="44" s="1"/>
  <c r="D315" i="44" s="1"/>
  <c r="D316" i="44" s="1"/>
  <c r="D317" i="44" s="1"/>
  <c r="D318" i="44" s="1"/>
  <c r="D319" i="44" s="1"/>
  <c r="D239" i="44"/>
  <c r="D240" i="44" s="1"/>
  <c r="D241" i="44" s="1"/>
  <c r="D242" i="44" s="1"/>
  <c r="D243" i="44" s="1"/>
  <c r="D244" i="44" s="1"/>
  <c r="L181" i="44"/>
  <c r="C262" i="44"/>
  <c r="DD89" i="45"/>
  <c r="EP89" i="45" s="1"/>
  <c r="CC48" i="60"/>
  <c r="F89" i="45"/>
  <c r="C297" i="44"/>
  <c r="L216" i="44"/>
  <c r="DE102" i="45"/>
  <c r="EQ102" i="45" s="1"/>
  <c r="CX83" i="45"/>
  <c r="BH37" i="60"/>
  <c r="G68" i="45" s="1"/>
  <c r="CX68" i="45" s="1"/>
  <c r="EJ68" i="45" s="1"/>
  <c r="BH38" i="60"/>
  <c r="H68" i="45" s="1"/>
  <c r="CY68" i="45" s="1"/>
  <c r="BH36" i="60"/>
  <c r="BH45" i="60"/>
  <c r="O68" i="45" s="1"/>
  <c r="DF68" i="45" s="1"/>
  <c r="BH40" i="60"/>
  <c r="J68" i="45" s="1"/>
  <c r="DA68" i="45" s="1"/>
  <c r="EM68" i="45" s="1"/>
  <c r="BH44" i="60"/>
  <c r="N68" i="45" s="1"/>
  <c r="DE68" i="45" s="1"/>
  <c r="BH47" i="60"/>
  <c r="Q68" i="45" s="1"/>
  <c r="BH41" i="60"/>
  <c r="K68" i="45" s="1"/>
  <c r="DB68" i="45" s="1"/>
  <c r="BH42" i="60"/>
  <c r="L68" i="45" s="1"/>
  <c r="DC68" i="45" s="1"/>
  <c r="EO68" i="45" s="1"/>
  <c r="BH39" i="60"/>
  <c r="I68" i="45" s="1"/>
  <c r="CZ68" i="45" s="1"/>
  <c r="BH43" i="60"/>
  <c r="M68" i="45" s="1"/>
  <c r="DD68" i="45" s="1"/>
  <c r="BH46" i="60"/>
  <c r="P68" i="45" s="1"/>
  <c r="DA43" i="45"/>
  <c r="EM43" i="45" s="1"/>
  <c r="DE43" i="45"/>
  <c r="EQ43" i="45" s="1"/>
  <c r="DD54" i="45"/>
  <c r="EP53" i="45" s="1"/>
  <c r="CY54" i="45"/>
  <c r="EK53" i="45" s="1"/>
  <c r="DC60" i="45"/>
  <c r="EO60" i="45" s="1"/>
  <c r="CX60" i="45"/>
  <c r="EJ60" i="45" s="1"/>
  <c r="DD46" i="45"/>
  <c r="EP46" i="45" s="1"/>
  <c r="CY92" i="45"/>
  <c r="R92" i="45"/>
  <c r="W48" i="60"/>
  <c r="F31" i="45"/>
  <c r="DF49" i="45"/>
  <c r="ER49" i="45" s="1"/>
  <c r="AO48" i="60"/>
  <c r="F49" i="45"/>
  <c r="C637" i="44"/>
  <c r="L556" i="44"/>
  <c r="CX91" i="45"/>
  <c r="EJ91" i="45" s="1"/>
  <c r="DG19" i="45"/>
  <c r="ES19" i="45" s="1"/>
  <c r="CN26" i="45"/>
  <c r="BV26" i="45"/>
  <c r="CO26" i="45" s="1"/>
  <c r="CX72" i="45"/>
  <c r="EJ72" i="45" s="1"/>
  <c r="CN39" i="60"/>
  <c r="I100" i="45" s="1"/>
  <c r="CZ100" i="45" s="1"/>
  <c r="EL100" i="45" s="1"/>
  <c r="CN44" i="60"/>
  <c r="N100" i="45" s="1"/>
  <c r="DE100" i="45" s="1"/>
  <c r="EQ100" i="45" s="1"/>
  <c r="CN36" i="60"/>
  <c r="CN38" i="60"/>
  <c r="H100" i="45" s="1"/>
  <c r="CY100" i="45" s="1"/>
  <c r="EK100" i="45" s="1"/>
  <c r="CN45" i="60"/>
  <c r="O100" i="45" s="1"/>
  <c r="DF100" i="45" s="1"/>
  <c r="ER100" i="45" s="1"/>
  <c r="CN46" i="60"/>
  <c r="P100" i="45" s="1"/>
  <c r="DG100" i="45" s="1"/>
  <c r="ES100" i="45" s="1"/>
  <c r="CN40" i="60"/>
  <c r="J100" i="45" s="1"/>
  <c r="DA100" i="45" s="1"/>
  <c r="EM100" i="45" s="1"/>
  <c r="CN42" i="60"/>
  <c r="L100" i="45" s="1"/>
  <c r="DC100" i="45" s="1"/>
  <c r="EO100" i="45" s="1"/>
  <c r="CN41" i="60"/>
  <c r="K100" i="45" s="1"/>
  <c r="DB100" i="45" s="1"/>
  <c r="EN100" i="45" s="1"/>
  <c r="CN47" i="60"/>
  <c r="Q100" i="45" s="1"/>
  <c r="DH100" i="45" s="1"/>
  <c r="ET100" i="45" s="1"/>
  <c r="CN43" i="60"/>
  <c r="M100" i="45" s="1"/>
  <c r="DD100" i="45" s="1"/>
  <c r="EP100" i="45" s="1"/>
  <c r="CN37" i="60"/>
  <c r="G100" i="45" s="1"/>
  <c r="CX100" i="45" s="1"/>
  <c r="EJ100" i="45" s="1"/>
  <c r="BZ48" i="60"/>
  <c r="F86" i="45"/>
  <c r="DF82" i="45"/>
  <c r="BU83" i="45"/>
  <c r="CM83" i="45"/>
  <c r="BK41" i="60"/>
  <c r="K71" i="45" s="1"/>
  <c r="DB71" i="45" s="1"/>
  <c r="BK37" i="60"/>
  <c r="G71" i="45" s="1"/>
  <c r="CX71" i="45" s="1"/>
  <c r="BK38" i="60"/>
  <c r="H71" i="45" s="1"/>
  <c r="CY71" i="45" s="1"/>
  <c r="BK40" i="60"/>
  <c r="J71" i="45" s="1"/>
  <c r="DA71" i="45" s="1"/>
  <c r="BK42" i="60"/>
  <c r="L71" i="45" s="1"/>
  <c r="DC71" i="45" s="1"/>
  <c r="BK46" i="60"/>
  <c r="P71" i="45" s="1"/>
  <c r="BK39" i="60"/>
  <c r="I71" i="45" s="1"/>
  <c r="CZ71" i="45" s="1"/>
  <c r="EL70" i="45" s="1"/>
  <c r="BK43" i="60"/>
  <c r="M71" i="45" s="1"/>
  <c r="DD71" i="45" s="1"/>
  <c r="EP70" i="45" s="1"/>
  <c r="BK44" i="60"/>
  <c r="N71" i="45" s="1"/>
  <c r="DE71" i="45" s="1"/>
  <c r="BK45" i="60"/>
  <c r="O71" i="45" s="1"/>
  <c r="DF71" i="45" s="1"/>
  <c r="BK47" i="60"/>
  <c r="Q71" i="45" s="1"/>
  <c r="BK36" i="60"/>
  <c r="DE23" i="45"/>
  <c r="EQ23" i="45" s="1"/>
  <c r="DF23" i="45"/>
  <c r="ER23" i="45" s="1"/>
  <c r="Y522" i="65"/>
  <c r="AG521" i="65"/>
  <c r="J5" i="43"/>
  <c r="J9" i="43"/>
  <c r="K330" i="44" s="1"/>
  <c r="J13" i="43"/>
  <c r="K334" i="44" s="1"/>
  <c r="J17" i="43"/>
  <c r="K338" i="44" s="1"/>
  <c r="J21" i="43"/>
  <c r="K342" i="44" s="1"/>
  <c r="J25" i="43"/>
  <c r="K346" i="44" s="1"/>
  <c r="J31" i="43"/>
  <c r="K352" i="44" s="1"/>
  <c r="J39" i="43"/>
  <c r="K360" i="44" s="1"/>
  <c r="J43" i="43"/>
  <c r="K364" i="44" s="1"/>
  <c r="J47" i="43"/>
  <c r="K368" i="44" s="1"/>
  <c r="J53" i="43"/>
  <c r="K374" i="44" s="1"/>
  <c r="J72" i="43"/>
  <c r="K393" i="44" s="1"/>
  <c r="J75" i="43"/>
  <c r="K395" i="44" s="1"/>
  <c r="J83" i="43"/>
  <c r="K403" i="44" s="1"/>
  <c r="K2" i="43"/>
  <c r="J28" i="43"/>
  <c r="K349" i="44" s="1"/>
  <c r="J36" i="43"/>
  <c r="K357" i="44" s="1"/>
  <c r="J50" i="43"/>
  <c r="K371" i="44" s="1"/>
  <c r="J56" i="43"/>
  <c r="K377" i="44" s="1"/>
  <c r="J60" i="43"/>
  <c r="K381" i="44" s="1"/>
  <c r="J64" i="43"/>
  <c r="K385" i="44" s="1"/>
  <c r="J68" i="43"/>
  <c r="K389" i="44" s="1"/>
  <c r="J80" i="43"/>
  <c r="K400" i="44" s="1"/>
  <c r="J8" i="43"/>
  <c r="K329" i="44" s="1"/>
  <c r="J12" i="43"/>
  <c r="K333" i="44" s="1"/>
  <c r="J16" i="43"/>
  <c r="K337" i="44" s="1"/>
  <c r="J20" i="43"/>
  <c r="K341" i="44" s="1"/>
  <c r="J24" i="43"/>
  <c r="K345" i="44" s="1"/>
  <c r="J33" i="43"/>
  <c r="K354" i="44" s="1"/>
  <c r="J42" i="43"/>
  <c r="K363" i="44" s="1"/>
  <c r="J46" i="43"/>
  <c r="K367" i="44" s="1"/>
  <c r="J71" i="43"/>
  <c r="K392" i="44" s="1"/>
  <c r="J77" i="43"/>
  <c r="K397" i="44" s="1"/>
  <c r="J85" i="43"/>
  <c r="K405" i="44" s="1"/>
  <c r="J30" i="43"/>
  <c r="K351" i="44" s="1"/>
  <c r="J38" i="43"/>
  <c r="K359" i="44" s="1"/>
  <c r="J52" i="43"/>
  <c r="K373" i="44" s="1"/>
  <c r="J55" i="43"/>
  <c r="K376" i="44" s="1"/>
  <c r="J59" i="43"/>
  <c r="K380" i="44" s="1"/>
  <c r="J63" i="43"/>
  <c r="K384" i="44" s="1"/>
  <c r="J67" i="43"/>
  <c r="K388" i="44" s="1"/>
  <c r="J74" i="43"/>
  <c r="K394" i="44" s="1"/>
  <c r="J82" i="43"/>
  <c r="K402" i="44" s="1"/>
  <c r="J7" i="43"/>
  <c r="K328" i="44" s="1"/>
  <c r="J11" i="43"/>
  <c r="K332" i="44" s="1"/>
  <c r="J15" i="43"/>
  <c r="K336" i="44" s="1"/>
  <c r="J19" i="43"/>
  <c r="K340" i="44" s="1"/>
  <c r="J23" i="43"/>
  <c r="K344" i="44" s="1"/>
  <c r="J27" i="43"/>
  <c r="K348" i="44" s="1"/>
  <c r="J35" i="43"/>
  <c r="K356" i="44" s="1"/>
  <c r="J41" i="43"/>
  <c r="K362" i="44" s="1"/>
  <c r="J45" i="43"/>
  <c r="K366" i="44" s="1"/>
  <c r="J49" i="43"/>
  <c r="K370" i="44" s="1"/>
  <c r="J70" i="43"/>
  <c r="K391" i="44" s="1"/>
  <c r="J79" i="43"/>
  <c r="K399" i="44" s="1"/>
  <c r="J32" i="43"/>
  <c r="K353" i="44" s="1"/>
  <c r="J54" i="43"/>
  <c r="K375" i="44" s="1"/>
  <c r="J58" i="43"/>
  <c r="K379" i="44" s="1"/>
  <c r="J62" i="43"/>
  <c r="K383" i="44" s="1"/>
  <c r="J66" i="43"/>
  <c r="K387" i="44" s="1"/>
  <c r="J76" i="43"/>
  <c r="K396" i="44" s="1"/>
  <c r="J84" i="43"/>
  <c r="K404" i="44" s="1"/>
  <c r="J6" i="43"/>
  <c r="K327" i="44" s="1"/>
  <c r="J10" i="43"/>
  <c r="K331" i="44" s="1"/>
  <c r="J14" i="43"/>
  <c r="K335" i="44" s="1"/>
  <c r="J18" i="43"/>
  <c r="K339" i="44" s="1"/>
  <c r="J22" i="43"/>
  <c r="K343" i="44" s="1"/>
  <c r="J26" i="43"/>
  <c r="K347" i="44" s="1"/>
  <c r="J29" i="43"/>
  <c r="K350" i="44" s="1"/>
  <c r="J37" i="43"/>
  <c r="K358" i="44" s="1"/>
  <c r="J40" i="43"/>
  <c r="K361" i="44" s="1"/>
  <c r="J44" i="43"/>
  <c r="K365" i="44" s="1"/>
  <c r="J48" i="43"/>
  <c r="K369" i="44" s="1"/>
  <c r="J51" i="43"/>
  <c r="K372" i="44" s="1"/>
  <c r="J73" i="43"/>
  <c r="J81" i="43"/>
  <c r="K401" i="44" s="1"/>
  <c r="J34" i="43"/>
  <c r="K355" i="44" s="1"/>
  <c r="J57" i="43"/>
  <c r="K378" i="44" s="1"/>
  <c r="J61" i="43"/>
  <c r="K382" i="44" s="1"/>
  <c r="J65" i="43"/>
  <c r="K386" i="44" s="1"/>
  <c r="J69" i="43"/>
  <c r="K390" i="44" s="1"/>
  <c r="J78" i="43"/>
  <c r="K398" i="44" s="1"/>
  <c r="J86" i="43"/>
  <c r="K406" i="44" s="1"/>
  <c r="BU48" i="45"/>
  <c r="CM48" i="45"/>
  <c r="AG701" i="65"/>
  <c r="Y702" i="65"/>
  <c r="Y534" i="65"/>
  <c r="AG533" i="65"/>
  <c r="Y607" i="49"/>
  <c r="AG606" i="49"/>
  <c r="Y402" i="65"/>
  <c r="AG401" i="65"/>
  <c r="C599" i="44"/>
  <c r="L518" i="44"/>
  <c r="L404" i="44"/>
  <c r="C485" i="44"/>
  <c r="DE70" i="45"/>
  <c r="DG32" i="45"/>
  <c r="CW42" i="45"/>
  <c r="EI41" i="45" s="1"/>
  <c r="R42" i="45"/>
  <c r="DF12" i="45"/>
  <c r="ER12" i="45" s="1"/>
  <c r="DE12" i="45"/>
  <c r="EQ12" i="45" s="1"/>
  <c r="CY57" i="45"/>
  <c r="EK57" i="45" s="1"/>
  <c r="AW48" i="60"/>
  <c r="F57" i="45"/>
  <c r="Y547" i="49"/>
  <c r="AG546" i="49"/>
  <c r="Y934" i="65"/>
  <c r="AG933" i="65"/>
  <c r="L208" i="44"/>
  <c r="C289" i="44"/>
  <c r="L173" i="44"/>
  <c r="C254" i="44"/>
  <c r="CZ37" i="45"/>
  <c r="EL35" i="45" s="1"/>
  <c r="DE35" i="45"/>
  <c r="DD35" i="45"/>
  <c r="EP35" i="45" s="1"/>
  <c r="BU67" i="45"/>
  <c r="CM67" i="45"/>
  <c r="DF67" i="45" s="1"/>
  <c r="ER67" i="45" s="1"/>
  <c r="CM102" i="45"/>
  <c r="DF102" i="45" s="1"/>
  <c r="ER102" i="45" s="1"/>
  <c r="BU102" i="45"/>
  <c r="CM60" i="45"/>
  <c r="DF60" i="45" s="1"/>
  <c r="BU60" i="45"/>
  <c r="Y210" i="65"/>
  <c r="AG209" i="65"/>
  <c r="Y186" i="65"/>
  <c r="AG185" i="65"/>
  <c r="DB74" i="45"/>
  <c r="EN74" i="45" s="1"/>
  <c r="AN36" i="60"/>
  <c r="AN40" i="60"/>
  <c r="J48" i="45" s="1"/>
  <c r="DA48" i="45" s="1"/>
  <c r="EM47" i="45" s="1"/>
  <c r="AN44" i="60"/>
  <c r="N48" i="45" s="1"/>
  <c r="DE48" i="45" s="1"/>
  <c r="EQ47" i="45" s="1"/>
  <c r="AN43" i="60"/>
  <c r="M48" i="45" s="1"/>
  <c r="DD48" i="45" s="1"/>
  <c r="EP47" i="45" s="1"/>
  <c r="AN41" i="60"/>
  <c r="K48" i="45" s="1"/>
  <c r="DB48" i="45" s="1"/>
  <c r="EN47" i="45" s="1"/>
  <c r="AN42" i="60"/>
  <c r="L48" i="45" s="1"/>
  <c r="DC48" i="45" s="1"/>
  <c r="EO47" i="45" s="1"/>
  <c r="AN46" i="60"/>
  <c r="P48" i="45" s="1"/>
  <c r="AN39" i="60"/>
  <c r="I48" i="45" s="1"/>
  <c r="CZ48" i="45" s="1"/>
  <c r="EL47" i="45" s="1"/>
  <c r="AN47" i="60"/>
  <c r="Q48" i="45" s="1"/>
  <c r="AN45" i="60"/>
  <c r="O48" i="45" s="1"/>
  <c r="DF48" i="45" s="1"/>
  <c r="AN37" i="60"/>
  <c r="G48" i="45" s="1"/>
  <c r="CX48" i="45" s="1"/>
  <c r="EJ47" i="45" s="1"/>
  <c r="AN38" i="60"/>
  <c r="H48" i="45" s="1"/>
  <c r="CY48" i="45" s="1"/>
  <c r="EK47" i="45" s="1"/>
  <c r="DD62" i="45"/>
  <c r="EP62" i="45" s="1"/>
  <c r="CI48" i="60"/>
  <c r="F95" i="45"/>
  <c r="AG249" i="65"/>
  <c r="DC73" i="45"/>
  <c r="EO73" i="45" s="1"/>
  <c r="CY88" i="45"/>
  <c r="EK88" i="45" s="1"/>
  <c r="DF88" i="45"/>
  <c r="ER88" i="45" s="1"/>
  <c r="BO48" i="60"/>
  <c r="F75" i="45"/>
  <c r="CY39" i="45"/>
  <c r="CW107" i="45"/>
  <c r="EI107" i="45" s="1"/>
  <c r="R107" i="45"/>
  <c r="DB67" i="45"/>
  <c r="EN67" i="45" s="1"/>
  <c r="U48" i="60"/>
  <c r="F29" i="45"/>
  <c r="AG689" i="49"/>
  <c r="Y690" i="49"/>
  <c r="L583" i="44"/>
  <c r="C664" i="44"/>
  <c r="AG738" i="65"/>
  <c r="Y739" i="65"/>
  <c r="DB89" i="45"/>
  <c r="EN89" i="45" s="1"/>
  <c r="BU29" i="45"/>
  <c r="CM29" i="45"/>
  <c r="DF29" i="45" s="1"/>
  <c r="ER29" i="45" s="1"/>
  <c r="L523" i="44"/>
  <c r="C604" i="44"/>
  <c r="C258" i="44"/>
  <c r="L177" i="44"/>
  <c r="C290" i="44"/>
  <c r="L209" i="44"/>
  <c r="DD102" i="45"/>
  <c r="EP102" i="45" s="1"/>
  <c r="CY102" i="45"/>
  <c r="EK102" i="45" s="1"/>
  <c r="DF83" i="45"/>
  <c r="BW48" i="60"/>
  <c r="F83" i="45"/>
  <c r="CW30" i="45"/>
  <c r="R30" i="45"/>
  <c r="DC43" i="45"/>
  <c r="EO43" i="45" s="1"/>
  <c r="DB43" i="45"/>
  <c r="EN43" i="45" s="1"/>
  <c r="BQ42" i="60"/>
  <c r="L77" i="45" s="1"/>
  <c r="DC77" i="45" s="1"/>
  <c r="BQ45" i="60"/>
  <c r="O77" i="45" s="1"/>
  <c r="DF77" i="45" s="1"/>
  <c r="BQ36" i="60"/>
  <c r="BQ40" i="60"/>
  <c r="J77" i="45" s="1"/>
  <c r="DA77" i="45" s="1"/>
  <c r="BQ44" i="60"/>
  <c r="N77" i="45" s="1"/>
  <c r="DE77" i="45" s="1"/>
  <c r="BQ37" i="60"/>
  <c r="G77" i="45" s="1"/>
  <c r="CX77" i="45" s="1"/>
  <c r="BQ47" i="60"/>
  <c r="Q77" i="45" s="1"/>
  <c r="BQ39" i="60"/>
  <c r="I77" i="45" s="1"/>
  <c r="CZ77" i="45" s="1"/>
  <c r="BQ41" i="60"/>
  <c r="K77" i="45" s="1"/>
  <c r="DB77" i="45" s="1"/>
  <c r="BQ43" i="60"/>
  <c r="M77" i="45" s="1"/>
  <c r="DD77" i="45" s="1"/>
  <c r="BQ46" i="60"/>
  <c r="P77" i="45" s="1"/>
  <c r="BQ38" i="60"/>
  <c r="H77" i="45" s="1"/>
  <c r="CY77" i="45" s="1"/>
  <c r="EK76" i="45" s="1"/>
  <c r="DH26" i="45"/>
  <c r="ET26" i="45" s="1"/>
  <c r="DA54" i="45"/>
  <c r="CZ54" i="45"/>
  <c r="EL53" i="45" s="1"/>
  <c r="DB60" i="45"/>
  <c r="EN60" i="45" s="1"/>
  <c r="DA46" i="45"/>
  <c r="EM46" i="45" s="1"/>
  <c r="DH49" i="45"/>
  <c r="AG334" i="65"/>
  <c r="CN50" i="45"/>
  <c r="DG50" i="45" s="1"/>
  <c r="BV50" i="45"/>
  <c r="CO50" i="45" s="1"/>
  <c r="DH50" i="45" s="1"/>
  <c r="DF91" i="45"/>
  <c r="ER91" i="45" s="1"/>
  <c r="DA19" i="45"/>
  <c r="EM19" i="45" s="1"/>
  <c r="R85" i="45"/>
  <c r="CW85" i="45"/>
  <c r="EI85" i="45" s="1"/>
  <c r="EI90" i="45"/>
  <c r="EK94" i="45"/>
  <c r="EO94" i="45"/>
  <c r="EQ73" i="45"/>
  <c r="ER93" i="45"/>
  <c r="EJ103" i="45"/>
  <c r="EQ67" i="45"/>
  <c r="ER85" i="45"/>
  <c r="EM82" i="45"/>
  <c r="EP94" i="45"/>
  <c r="EJ20" i="45"/>
  <c r="EJ73" i="45"/>
  <c r="EN46" i="45"/>
  <c r="EN53" i="45"/>
  <c r="EN62" i="45"/>
  <c r="ES23" i="45"/>
  <c r="EL94" i="45"/>
  <c r="EQ94" i="45"/>
  <c r="EQ72" i="45"/>
  <c r="EN88" i="45"/>
  <c r="EJ43" i="45"/>
  <c r="EL103" i="45"/>
  <c r="EL91" i="45"/>
  <c r="ER39" i="45"/>
  <c r="EJ82" i="45"/>
  <c r="EN68" i="45"/>
  <c r="EJ34" i="45"/>
  <c r="EK67" i="45"/>
  <c r="EK19" i="45"/>
  <c r="ER74" i="45"/>
  <c r="EN102" i="45"/>
  <c r="EQ91" i="45"/>
  <c r="EI81" i="45"/>
  <c r="EN94" i="45"/>
  <c r="EK84" i="45"/>
  <c r="EQ57" i="45"/>
  <c r="ER52" i="45"/>
  <c r="EO88" i="45"/>
  <c r="EP73" i="45"/>
  <c r="EO91" i="45"/>
  <c r="EM34" i="45"/>
  <c r="EM94" i="45"/>
  <c r="EK43" i="45"/>
  <c r="EK12" i="45"/>
  <c r="EO74" i="45"/>
  <c r="EJ89" i="45"/>
  <c r="ER26" i="45"/>
  <c r="EJ67" i="45"/>
  <c r="EK60" i="45"/>
  <c r="EK92" i="45"/>
  <c r="EN23" i="45"/>
  <c r="EM53" i="45" l="1"/>
  <c r="EQ68" i="45"/>
  <c r="EO53" i="45"/>
  <c r="ER47" i="45"/>
  <c r="ER70" i="45"/>
  <c r="AG251" i="65"/>
  <c r="EO35" i="45"/>
  <c r="EP39" i="45"/>
  <c r="EN76" i="45"/>
  <c r="EQ35" i="45"/>
  <c r="EL60" i="45"/>
  <c r="EL39" i="45"/>
  <c r="ER30" i="45"/>
  <c r="EK39" i="45"/>
  <c r="EL76" i="45"/>
  <c r="ER65" i="45"/>
  <c r="EM70" i="45"/>
  <c r="EQ39" i="45"/>
  <c r="EJ35" i="45"/>
  <c r="EQ70" i="45"/>
  <c r="EP68" i="45"/>
  <c r="EO70" i="45"/>
  <c r="EL68" i="45"/>
  <c r="EP76" i="45"/>
  <c r="ET30" i="45"/>
  <c r="AG171" i="65"/>
  <c r="ER41" i="45"/>
  <c r="EJ70" i="45"/>
  <c r="ES30" i="45"/>
  <c r="ES49" i="45"/>
  <c r="EM35" i="45"/>
  <c r="CW25" i="45"/>
  <c r="EI25" i="45" s="1"/>
  <c r="ET49" i="45"/>
  <c r="EJ76" i="45"/>
  <c r="ER60" i="45"/>
  <c r="EQ76" i="45"/>
  <c r="EN35" i="45"/>
  <c r="ER82" i="45"/>
  <c r="ER53" i="45"/>
  <c r="ER35" i="45"/>
  <c r="EK35" i="45"/>
  <c r="EK68" i="45"/>
  <c r="EK70" i="45"/>
  <c r="EN70" i="45"/>
  <c r="ER76" i="45"/>
  <c r="EO76" i="45"/>
  <c r="EM76" i="45"/>
  <c r="ER57" i="45"/>
  <c r="P119" i="45"/>
  <c r="P128" i="45" s="1"/>
  <c r="CN48" i="60"/>
  <c r="F100" i="45"/>
  <c r="AG53" i="65"/>
  <c r="Y54" i="65"/>
  <c r="L639" i="44"/>
  <c r="C720" i="44"/>
  <c r="CN80" i="45"/>
  <c r="DG80" i="45" s="1"/>
  <c r="ES80" i="45" s="1"/>
  <c r="BV80" i="45"/>
  <c r="CO80" i="45" s="1"/>
  <c r="DH80" i="45" s="1"/>
  <c r="L741" i="44"/>
  <c r="C822" i="44"/>
  <c r="AG630" i="65"/>
  <c r="Y631" i="65"/>
  <c r="L827" i="44"/>
  <c r="C908" i="44"/>
  <c r="L908" i="44" s="1"/>
  <c r="BV66" i="45"/>
  <c r="CO66" i="45" s="1"/>
  <c r="DH66" i="45" s="1"/>
  <c r="CN66" i="45"/>
  <c r="DG66" i="45" s="1"/>
  <c r="Y860" i="49"/>
  <c r="AG859" i="49"/>
  <c r="AG180" i="65"/>
  <c r="AG253" i="65"/>
  <c r="AG152" i="65"/>
  <c r="Y153" i="65"/>
  <c r="R18" i="45"/>
  <c r="CW18" i="45"/>
  <c r="L628" i="44"/>
  <c r="C709" i="44"/>
  <c r="AG726" i="65"/>
  <c r="Y727" i="65"/>
  <c r="AG354" i="65"/>
  <c r="Y355" i="65"/>
  <c r="AG164" i="65"/>
  <c r="Y165" i="65"/>
  <c r="R72" i="45"/>
  <c r="CW72" i="45"/>
  <c r="BV43" i="45"/>
  <c r="CO43" i="45" s="1"/>
  <c r="DH43" i="45" s="1"/>
  <c r="ET43" i="45" s="1"/>
  <c r="CN43" i="45"/>
  <c r="DG43" i="45" s="1"/>
  <c r="ES43" i="45" s="1"/>
  <c r="R105" i="45"/>
  <c r="CW105" i="45"/>
  <c r="EI105" i="45" s="1"/>
  <c r="AG179" i="65"/>
  <c r="R101" i="45"/>
  <c r="CW101" i="45"/>
  <c r="DI101" i="45" s="1"/>
  <c r="AG677" i="49"/>
  <c r="Y678" i="49"/>
  <c r="R113" i="45"/>
  <c r="CW113" i="45"/>
  <c r="DI113" i="45" s="1"/>
  <c r="DK113" i="45" s="1"/>
  <c r="AG751" i="65"/>
  <c r="Y752" i="65"/>
  <c r="CW54" i="45"/>
  <c r="R54" i="45"/>
  <c r="BV45" i="45"/>
  <c r="CO45" i="45" s="1"/>
  <c r="DH45" i="45" s="1"/>
  <c r="CN45" i="45"/>
  <c r="DG45" i="45" s="1"/>
  <c r="C347" i="44"/>
  <c r="L266" i="44"/>
  <c r="CN46" i="45"/>
  <c r="DG46" i="45" s="1"/>
  <c r="ES46" i="45" s="1"/>
  <c r="BV46" i="45"/>
  <c r="CO46" i="45" s="1"/>
  <c r="DH46" i="45" s="1"/>
  <c r="ET46" i="45" s="1"/>
  <c r="C677" i="44"/>
  <c r="L596" i="44"/>
  <c r="AG510" i="65"/>
  <c r="Y511" i="65"/>
  <c r="E320" i="44"/>
  <c r="E321" i="44" s="1"/>
  <c r="E322" i="44" s="1"/>
  <c r="E323" i="44" s="1"/>
  <c r="E324" i="44" s="1"/>
  <c r="E325" i="44" s="1"/>
  <c r="E326" i="44"/>
  <c r="E327" i="44" s="1"/>
  <c r="E328" i="44" s="1"/>
  <c r="E329" i="44" s="1"/>
  <c r="E330" i="44" s="1"/>
  <c r="E331" i="44" s="1"/>
  <c r="E332" i="44" s="1"/>
  <c r="E333" i="44" s="1"/>
  <c r="E334" i="44" s="1"/>
  <c r="E335" i="44" s="1"/>
  <c r="E336" i="44" s="1"/>
  <c r="E337" i="44" s="1"/>
  <c r="E338" i="44" s="1"/>
  <c r="E339" i="44" s="1"/>
  <c r="E340" i="44" s="1"/>
  <c r="E341" i="44" s="1"/>
  <c r="E342" i="44" s="1"/>
  <c r="E343" i="44" s="1"/>
  <c r="E344" i="44" s="1"/>
  <c r="E345" i="44" s="1"/>
  <c r="E346" i="44" s="1"/>
  <c r="E347" i="44" s="1"/>
  <c r="E348" i="44" s="1"/>
  <c r="E349" i="44" s="1"/>
  <c r="E350" i="44" s="1"/>
  <c r="E351" i="44" s="1"/>
  <c r="E352" i="44" s="1"/>
  <c r="E353" i="44" s="1"/>
  <c r="E354" i="44" s="1"/>
  <c r="E355" i="44" s="1"/>
  <c r="E356" i="44" s="1"/>
  <c r="E357" i="44" s="1"/>
  <c r="E358" i="44" s="1"/>
  <c r="E359" i="44" s="1"/>
  <c r="E360" i="44" s="1"/>
  <c r="E361" i="44" s="1"/>
  <c r="E362" i="44" s="1"/>
  <c r="E363" i="44" s="1"/>
  <c r="E364" i="44" s="1"/>
  <c r="E365" i="44" s="1"/>
  <c r="E366" i="44" s="1"/>
  <c r="E367" i="44" s="1"/>
  <c r="E368" i="44" s="1"/>
  <c r="E369" i="44" s="1"/>
  <c r="E370" i="44" s="1"/>
  <c r="E371" i="44" s="1"/>
  <c r="E372" i="44" s="1"/>
  <c r="E373" i="44" s="1"/>
  <c r="E374" i="44" s="1"/>
  <c r="E375" i="44" s="1"/>
  <c r="E376" i="44" s="1"/>
  <c r="E377" i="44" s="1"/>
  <c r="E378" i="44" s="1"/>
  <c r="E379" i="44" s="1"/>
  <c r="E380" i="44" s="1"/>
  <c r="E381" i="44" s="1"/>
  <c r="E382" i="44" s="1"/>
  <c r="E383" i="44" s="1"/>
  <c r="E384" i="44" s="1"/>
  <c r="E385" i="44" s="1"/>
  <c r="E386" i="44" s="1"/>
  <c r="E387" i="44" s="1"/>
  <c r="E388" i="44" s="1"/>
  <c r="E389" i="44" s="1"/>
  <c r="E390" i="44" s="1"/>
  <c r="E391" i="44" s="1"/>
  <c r="E392" i="44" s="1"/>
  <c r="E393" i="44" s="1"/>
  <c r="E394" i="44" s="1"/>
  <c r="E395" i="44" s="1"/>
  <c r="E396" i="44" s="1"/>
  <c r="E397" i="44" s="1"/>
  <c r="E398" i="44" s="1"/>
  <c r="E399" i="44" s="1"/>
  <c r="E400" i="44" s="1"/>
  <c r="DF69" i="45"/>
  <c r="ER68" i="45" s="1"/>
  <c r="CW33" i="45"/>
  <c r="DI33" i="45" s="1"/>
  <c r="R33" i="45"/>
  <c r="BV71" i="45"/>
  <c r="CO71" i="45" s="1"/>
  <c r="CN71" i="45"/>
  <c r="BV60" i="45"/>
  <c r="CO60" i="45" s="1"/>
  <c r="DH60" i="45" s="1"/>
  <c r="CN60" i="45"/>
  <c r="DG60" i="45" s="1"/>
  <c r="AG547" i="49"/>
  <c r="Y548" i="49"/>
  <c r="K34" i="43"/>
  <c r="K436" i="44" s="1"/>
  <c r="K57" i="43"/>
  <c r="K459" i="44" s="1"/>
  <c r="K61" i="43"/>
  <c r="K463" i="44" s="1"/>
  <c r="K65" i="43"/>
  <c r="K467" i="44" s="1"/>
  <c r="K69" i="43"/>
  <c r="K471" i="44" s="1"/>
  <c r="K78" i="43"/>
  <c r="K479" i="44" s="1"/>
  <c r="K86" i="43"/>
  <c r="K487" i="44" s="1"/>
  <c r="K5" i="43"/>
  <c r="K9" i="43"/>
  <c r="K411" i="44" s="1"/>
  <c r="K13" i="43"/>
  <c r="K415" i="44" s="1"/>
  <c r="K17" i="43"/>
  <c r="K419" i="44" s="1"/>
  <c r="K21" i="43"/>
  <c r="K423" i="44" s="1"/>
  <c r="K25" i="43"/>
  <c r="K427" i="44" s="1"/>
  <c r="K31" i="43"/>
  <c r="K433" i="44" s="1"/>
  <c r="K39" i="43"/>
  <c r="K441" i="44" s="1"/>
  <c r="K43" i="43"/>
  <c r="K445" i="44" s="1"/>
  <c r="K47" i="43"/>
  <c r="K449" i="44" s="1"/>
  <c r="K53" i="43"/>
  <c r="K455" i="44" s="1"/>
  <c r="K72" i="43"/>
  <c r="K474" i="44" s="1"/>
  <c r="K75" i="43"/>
  <c r="K476" i="44" s="1"/>
  <c r="K83" i="43"/>
  <c r="K484" i="44" s="1"/>
  <c r="L2" i="43"/>
  <c r="K28" i="43"/>
  <c r="K430" i="44" s="1"/>
  <c r="K36" i="43"/>
  <c r="K438" i="44" s="1"/>
  <c r="K50" i="43"/>
  <c r="K452" i="44" s="1"/>
  <c r="K56" i="43"/>
  <c r="K458" i="44" s="1"/>
  <c r="K60" i="43"/>
  <c r="K462" i="44" s="1"/>
  <c r="K64" i="43"/>
  <c r="K466" i="44" s="1"/>
  <c r="K68" i="43"/>
  <c r="K470" i="44" s="1"/>
  <c r="K80" i="43"/>
  <c r="K481" i="44" s="1"/>
  <c r="K8" i="43"/>
  <c r="K410" i="44" s="1"/>
  <c r="K12" i="43"/>
  <c r="K414" i="44" s="1"/>
  <c r="K16" i="43"/>
  <c r="K418" i="44" s="1"/>
  <c r="K20" i="43"/>
  <c r="K422" i="44" s="1"/>
  <c r="K24" i="43"/>
  <c r="K426" i="44" s="1"/>
  <c r="K33" i="43"/>
  <c r="K435" i="44" s="1"/>
  <c r="K42" i="43"/>
  <c r="K444" i="44" s="1"/>
  <c r="K46" i="43"/>
  <c r="K448" i="44" s="1"/>
  <c r="K71" i="43"/>
  <c r="K473" i="44" s="1"/>
  <c r="K77" i="43"/>
  <c r="K478" i="44" s="1"/>
  <c r="K85" i="43"/>
  <c r="K486" i="44" s="1"/>
  <c r="K30" i="43"/>
  <c r="K432" i="44" s="1"/>
  <c r="K38" i="43"/>
  <c r="K440" i="44" s="1"/>
  <c r="K52" i="43"/>
  <c r="K454" i="44" s="1"/>
  <c r="K55" i="43"/>
  <c r="K457" i="44" s="1"/>
  <c r="K59" i="43"/>
  <c r="K461" i="44" s="1"/>
  <c r="K63" i="43"/>
  <c r="K465" i="44" s="1"/>
  <c r="K67" i="43"/>
  <c r="K469" i="44" s="1"/>
  <c r="K74" i="43"/>
  <c r="K475" i="44" s="1"/>
  <c r="K82" i="43"/>
  <c r="K483" i="44" s="1"/>
  <c r="K7" i="43"/>
  <c r="K409" i="44" s="1"/>
  <c r="K11" i="43"/>
  <c r="K413" i="44" s="1"/>
  <c r="K15" i="43"/>
  <c r="K417" i="44" s="1"/>
  <c r="K19" i="43"/>
  <c r="K421" i="44" s="1"/>
  <c r="K23" i="43"/>
  <c r="K425" i="44" s="1"/>
  <c r="K27" i="43"/>
  <c r="K429" i="44" s="1"/>
  <c r="K35" i="43"/>
  <c r="K437" i="44" s="1"/>
  <c r="K41" i="43"/>
  <c r="K443" i="44" s="1"/>
  <c r="K45" i="43"/>
  <c r="K447" i="44" s="1"/>
  <c r="K49" i="43"/>
  <c r="K451" i="44" s="1"/>
  <c r="K70" i="43"/>
  <c r="K472" i="44" s="1"/>
  <c r="K79" i="43"/>
  <c r="K480" i="44" s="1"/>
  <c r="K32" i="43"/>
  <c r="K434" i="44" s="1"/>
  <c r="K54" i="43"/>
  <c r="K456" i="44" s="1"/>
  <c r="K58" i="43"/>
  <c r="K460" i="44" s="1"/>
  <c r="K62" i="43"/>
  <c r="K464" i="44" s="1"/>
  <c r="K66" i="43"/>
  <c r="K468" i="44" s="1"/>
  <c r="K76" i="43"/>
  <c r="K477" i="44" s="1"/>
  <c r="K84" i="43"/>
  <c r="K485" i="44" s="1"/>
  <c r="K6" i="43"/>
  <c r="K408" i="44" s="1"/>
  <c r="K10" i="43"/>
  <c r="K412" i="44" s="1"/>
  <c r="K14" i="43"/>
  <c r="K416" i="44" s="1"/>
  <c r="K18" i="43"/>
  <c r="K420" i="44" s="1"/>
  <c r="K22" i="43"/>
  <c r="K424" i="44" s="1"/>
  <c r="K26" i="43"/>
  <c r="K428" i="44" s="1"/>
  <c r="K29" i="43"/>
  <c r="K431" i="44" s="1"/>
  <c r="K37" i="43"/>
  <c r="K439" i="44" s="1"/>
  <c r="K40" i="43"/>
  <c r="K442" i="44" s="1"/>
  <c r="K44" i="43"/>
  <c r="K446" i="44" s="1"/>
  <c r="K48" i="43"/>
  <c r="K450" i="44" s="1"/>
  <c r="K51" i="43"/>
  <c r="K453" i="44" s="1"/>
  <c r="K73" i="43"/>
  <c r="K81" i="43"/>
  <c r="K482" i="44" s="1"/>
  <c r="AG522" i="65"/>
  <c r="Y523" i="65"/>
  <c r="C718" i="44"/>
  <c r="L637" i="44"/>
  <c r="CW109" i="45"/>
  <c r="DI109" i="45" s="1"/>
  <c r="R109" i="45"/>
  <c r="L607" i="44"/>
  <c r="C688" i="44"/>
  <c r="C481" i="44"/>
  <c r="L400" i="44"/>
  <c r="AG438" i="65"/>
  <c r="Y439" i="65"/>
  <c r="L642" i="44"/>
  <c r="C723" i="44"/>
  <c r="C897" i="44"/>
  <c r="L897" i="44" s="1"/>
  <c r="L816" i="44"/>
  <c r="C405" i="44"/>
  <c r="L324" i="44"/>
  <c r="AG91" i="65"/>
  <c r="Y92" i="65"/>
  <c r="AG762" i="65"/>
  <c r="Y763" i="65"/>
  <c r="R43" i="45"/>
  <c r="CW43" i="45"/>
  <c r="AG798" i="65"/>
  <c r="Y799" i="65"/>
  <c r="L402" i="44"/>
  <c r="C483" i="44"/>
  <c r="L294" i="44"/>
  <c r="C375" i="44"/>
  <c r="CW106" i="45"/>
  <c r="R106" i="45"/>
  <c r="AF48" i="60"/>
  <c r="F40" i="45"/>
  <c r="CN54" i="45"/>
  <c r="DG54" i="45" s="1"/>
  <c r="BV54" i="45"/>
  <c r="CO54" i="45" s="1"/>
  <c r="DH54" i="45" s="1"/>
  <c r="CW97" i="45"/>
  <c r="EI97" i="45" s="1"/>
  <c r="R97" i="45"/>
  <c r="R98" i="45"/>
  <c r="CW98" i="45"/>
  <c r="BV103" i="45"/>
  <c r="CO103" i="45" s="1"/>
  <c r="DH103" i="45" s="1"/>
  <c r="ET103" i="45" s="1"/>
  <c r="CN103" i="45"/>
  <c r="CN39" i="45"/>
  <c r="DG39" i="45" s="1"/>
  <c r="BV39" i="45"/>
  <c r="CO39" i="45" s="1"/>
  <c r="DH39" i="45" s="1"/>
  <c r="AG320" i="65"/>
  <c r="Y321" i="65"/>
  <c r="BV64" i="45"/>
  <c r="CO64" i="45" s="1"/>
  <c r="DH64" i="45" s="1"/>
  <c r="CN64" i="45"/>
  <c r="DG64" i="45" s="1"/>
  <c r="Y887" i="65"/>
  <c r="AG886" i="65"/>
  <c r="AG860" i="65"/>
  <c r="Y861" i="65"/>
  <c r="CW50" i="45"/>
  <c r="DI50" i="45" s="1"/>
  <c r="R50" i="45"/>
  <c r="DI92" i="45"/>
  <c r="AG181" i="65"/>
  <c r="CW83" i="45"/>
  <c r="EI82" i="45" s="1"/>
  <c r="R83" i="45"/>
  <c r="C339" i="44"/>
  <c r="L258" i="44"/>
  <c r="L664" i="44"/>
  <c r="C745" i="44"/>
  <c r="DI107" i="45"/>
  <c r="C335" i="44"/>
  <c r="L254" i="44"/>
  <c r="L599" i="44"/>
  <c r="C680" i="44"/>
  <c r="DG71" i="45"/>
  <c r="CW49" i="45"/>
  <c r="EI49" i="45" s="1"/>
  <c r="R49" i="45"/>
  <c r="BH48" i="60"/>
  <c r="F68" i="45"/>
  <c r="C378" i="44"/>
  <c r="L297" i="44"/>
  <c r="D320" i="44"/>
  <c r="D321" i="44" s="1"/>
  <c r="D322" i="44" s="1"/>
  <c r="D323" i="44" s="1"/>
  <c r="D324" i="44" s="1"/>
  <c r="D325" i="44" s="1"/>
  <c r="D326" i="44"/>
  <c r="D327" i="44" s="1"/>
  <c r="D328" i="44" s="1"/>
  <c r="D329" i="44" s="1"/>
  <c r="D330" i="44" s="1"/>
  <c r="D331" i="44" s="1"/>
  <c r="D332" i="44" s="1"/>
  <c r="D333" i="44" s="1"/>
  <c r="D334" i="44" s="1"/>
  <c r="D335" i="44" s="1"/>
  <c r="D336" i="44" s="1"/>
  <c r="D337" i="44" s="1"/>
  <c r="D338" i="44" s="1"/>
  <c r="D339" i="44" s="1"/>
  <c r="D340" i="44" s="1"/>
  <c r="D341" i="44" s="1"/>
  <c r="D342" i="44" s="1"/>
  <c r="D343" i="44" s="1"/>
  <c r="D344" i="44" s="1"/>
  <c r="D345" i="44" s="1"/>
  <c r="D346" i="44" s="1"/>
  <c r="D347" i="44" s="1"/>
  <c r="D348" i="44" s="1"/>
  <c r="D349" i="44" s="1"/>
  <c r="D350" i="44" s="1"/>
  <c r="D351" i="44" s="1"/>
  <c r="D352" i="44" s="1"/>
  <c r="D353" i="44" s="1"/>
  <c r="D354" i="44" s="1"/>
  <c r="D355" i="44" s="1"/>
  <c r="D356" i="44" s="1"/>
  <c r="D357" i="44" s="1"/>
  <c r="D358" i="44" s="1"/>
  <c r="D359" i="44" s="1"/>
  <c r="D360" i="44" s="1"/>
  <c r="D361" i="44" s="1"/>
  <c r="D362" i="44" s="1"/>
  <c r="D363" i="44" s="1"/>
  <c r="D364" i="44" s="1"/>
  <c r="D365" i="44" s="1"/>
  <c r="D366" i="44" s="1"/>
  <c r="D367" i="44" s="1"/>
  <c r="D368" i="44" s="1"/>
  <c r="D369" i="44" s="1"/>
  <c r="D370" i="44" s="1"/>
  <c r="D371" i="44" s="1"/>
  <c r="D372" i="44" s="1"/>
  <c r="D373" i="44" s="1"/>
  <c r="D374" i="44" s="1"/>
  <c r="D375" i="44" s="1"/>
  <c r="D376" i="44" s="1"/>
  <c r="D377" i="44" s="1"/>
  <c r="D378" i="44" s="1"/>
  <c r="D379" i="44" s="1"/>
  <c r="D380" i="44" s="1"/>
  <c r="D381" i="44" s="1"/>
  <c r="D382" i="44" s="1"/>
  <c r="D383" i="44" s="1"/>
  <c r="D384" i="44" s="1"/>
  <c r="D385" i="44" s="1"/>
  <c r="D386" i="44" s="1"/>
  <c r="D387" i="44" s="1"/>
  <c r="D388" i="44" s="1"/>
  <c r="D389" i="44" s="1"/>
  <c r="D390" i="44" s="1"/>
  <c r="D391" i="44" s="1"/>
  <c r="D392" i="44" s="1"/>
  <c r="D393" i="44" s="1"/>
  <c r="D394" i="44" s="1"/>
  <c r="D395" i="44" s="1"/>
  <c r="D396" i="44" s="1"/>
  <c r="D397" i="44" s="1"/>
  <c r="D398" i="44" s="1"/>
  <c r="D399" i="44" s="1"/>
  <c r="D400" i="44" s="1"/>
  <c r="CW88" i="45"/>
  <c r="EI88" i="45" s="1"/>
  <c r="R88" i="45"/>
  <c r="CN38" i="45"/>
  <c r="DG38" i="45" s="1"/>
  <c r="BV38" i="45"/>
  <c r="CO38" i="45" s="1"/>
  <c r="DH38" i="45" s="1"/>
  <c r="BV88" i="45"/>
  <c r="CO88" i="45" s="1"/>
  <c r="DH88" i="45" s="1"/>
  <c r="CN88" i="45"/>
  <c r="DG88" i="45" s="1"/>
  <c r="ES88" i="45" s="1"/>
  <c r="L499" i="44"/>
  <c r="C580" i="44"/>
  <c r="R63" i="45"/>
  <c r="CW63" i="45"/>
  <c r="CW82" i="45"/>
  <c r="R82" i="45"/>
  <c r="L710" i="44"/>
  <c r="C791" i="44"/>
  <c r="CN70" i="45"/>
  <c r="DG70" i="45" s="1"/>
  <c r="BV70" i="45"/>
  <c r="CO70" i="45" s="1"/>
  <c r="DH70" i="45" s="1"/>
  <c r="CN59" i="45"/>
  <c r="DG59" i="45" s="1"/>
  <c r="BV59" i="45"/>
  <c r="CO59" i="45" s="1"/>
  <c r="DH59" i="45" s="1"/>
  <c r="I119" i="45"/>
  <c r="I128" i="45" s="1"/>
  <c r="DH76" i="45"/>
  <c r="DM99" i="45"/>
  <c r="DK99" i="45"/>
  <c r="C446" i="44"/>
  <c r="L365" i="44"/>
  <c r="BV76" i="45"/>
  <c r="CO76" i="45" s="1"/>
  <c r="CN76" i="45"/>
  <c r="U76" i="45" s="1"/>
  <c r="L395" i="44"/>
  <c r="C476" i="44"/>
  <c r="R39" i="45"/>
  <c r="CW39" i="45"/>
  <c r="AG378" i="65"/>
  <c r="Y379" i="65"/>
  <c r="R32" i="45"/>
  <c r="CW32" i="45"/>
  <c r="DI32" i="45" s="1"/>
  <c r="L458" i="44"/>
  <c r="C539" i="44"/>
  <c r="C473" i="44"/>
  <c r="L392" i="44"/>
  <c r="BV91" i="45"/>
  <c r="CO91" i="45" s="1"/>
  <c r="DH91" i="45" s="1"/>
  <c r="ET91" i="45" s="1"/>
  <c r="CN91" i="45"/>
  <c r="R46" i="45"/>
  <c r="CW46" i="45"/>
  <c r="EI46" i="45" s="1"/>
  <c r="AG908" i="65"/>
  <c r="Y909" i="65"/>
  <c r="DI84" i="45"/>
  <c r="AG666" i="65"/>
  <c r="Y667" i="65"/>
  <c r="CN37" i="45"/>
  <c r="DG37" i="45" s="1"/>
  <c r="BV37" i="45"/>
  <c r="CO37" i="45" s="1"/>
  <c r="DH37" i="45" s="1"/>
  <c r="Y851" i="65"/>
  <c r="AG850" i="65"/>
  <c r="BV56" i="45"/>
  <c r="CO56" i="45" s="1"/>
  <c r="DH56" i="45" s="1"/>
  <c r="CN56" i="45"/>
  <c r="DG56" i="45" s="1"/>
  <c r="ES56" i="45" s="1"/>
  <c r="L381" i="44"/>
  <c r="C462" i="44"/>
  <c r="AG546" i="65"/>
  <c r="Y547" i="65"/>
  <c r="CN93" i="45"/>
  <c r="DG93" i="45" s="1"/>
  <c r="ES93" i="45" s="1"/>
  <c r="BV93" i="45"/>
  <c r="CO93" i="45" s="1"/>
  <c r="DH93" i="45" s="1"/>
  <c r="ET93" i="45" s="1"/>
  <c r="C358" i="44"/>
  <c r="L277" i="44"/>
  <c r="AG426" i="65"/>
  <c r="Y427" i="65"/>
  <c r="DI24" i="45"/>
  <c r="AG666" i="49"/>
  <c r="Y667" i="49"/>
  <c r="DI28" i="45"/>
  <c r="DI16" i="45"/>
  <c r="CN73" i="45"/>
  <c r="DG73" i="45" s="1"/>
  <c r="ES73" i="45" s="1"/>
  <c r="BV73" i="45"/>
  <c r="CO73" i="45" s="1"/>
  <c r="DH73" i="45" s="1"/>
  <c r="ET73" i="45" s="1"/>
  <c r="C754" i="44"/>
  <c r="L673" i="44"/>
  <c r="AG702" i="65"/>
  <c r="Y703" i="65"/>
  <c r="R57" i="45"/>
  <c r="CW57" i="45"/>
  <c r="BQ48" i="60"/>
  <c r="F77" i="45"/>
  <c r="L604" i="44"/>
  <c r="C685" i="44"/>
  <c r="DH48" i="45"/>
  <c r="AN48" i="60"/>
  <c r="F48" i="45"/>
  <c r="CN102" i="45"/>
  <c r="DG102" i="45" s="1"/>
  <c r="BV102" i="45"/>
  <c r="CO102" i="45" s="1"/>
  <c r="DH102" i="45" s="1"/>
  <c r="ET102" i="45" s="1"/>
  <c r="CN83" i="45"/>
  <c r="DG83" i="45" s="1"/>
  <c r="BV83" i="45"/>
  <c r="CO83" i="45" s="1"/>
  <c r="DH83" i="45" s="1"/>
  <c r="Y284" i="65"/>
  <c r="AG283" i="65"/>
  <c r="R35" i="45"/>
  <c r="CW35" i="45"/>
  <c r="AG296" i="65"/>
  <c r="Y297" i="65"/>
  <c r="AG714" i="65"/>
  <c r="Y715" i="65"/>
  <c r="Y920" i="65"/>
  <c r="AG919" i="65"/>
  <c r="AG462" i="65"/>
  <c r="Y463" i="65"/>
  <c r="BP48" i="60"/>
  <c r="F76" i="45"/>
  <c r="AG272" i="65"/>
  <c r="Y273" i="65"/>
  <c r="BV53" i="45"/>
  <c r="CO53" i="45" s="1"/>
  <c r="DH53" i="45" s="1"/>
  <c r="CN53" i="45"/>
  <c r="DG53" i="45" s="1"/>
  <c r="CN55" i="45"/>
  <c r="DG55" i="45" s="1"/>
  <c r="BV55" i="45"/>
  <c r="CO55" i="45" s="1"/>
  <c r="DH55" i="45" s="1"/>
  <c r="CN58" i="45"/>
  <c r="DG58" i="45" s="1"/>
  <c r="BV58" i="45"/>
  <c r="CO58" i="45" s="1"/>
  <c r="DH58" i="45" s="1"/>
  <c r="L615" i="44"/>
  <c r="C696" i="44"/>
  <c r="L875" i="44"/>
  <c r="C956" i="44"/>
  <c r="L956" i="44" s="1"/>
  <c r="BV52" i="45"/>
  <c r="CO52" i="45" s="1"/>
  <c r="DH52" i="45" s="1"/>
  <c r="ET52" i="45" s="1"/>
  <c r="CN52" i="45"/>
  <c r="DG52" i="45" s="1"/>
  <c r="C351" i="44"/>
  <c r="L270" i="44"/>
  <c r="L749" i="44"/>
  <c r="C830" i="44"/>
  <c r="BV65" i="45"/>
  <c r="CO65" i="45" s="1"/>
  <c r="DH65" i="45" s="1"/>
  <c r="CN65" i="45"/>
  <c r="DG65" i="45" s="1"/>
  <c r="ES65" i="45" s="1"/>
  <c r="AG582" i="65"/>
  <c r="Y583" i="65"/>
  <c r="L575" i="44"/>
  <c r="C656" i="44"/>
  <c r="DG40" i="45"/>
  <c r="CW61" i="45"/>
  <c r="R61" i="45"/>
  <c r="L471" i="44"/>
  <c r="C552" i="44"/>
  <c r="G119" i="45"/>
  <c r="G128" i="45" s="1"/>
  <c r="R15" i="45"/>
  <c r="CW15" i="45"/>
  <c r="EI15" i="45" s="1"/>
  <c r="C374" i="44"/>
  <c r="L293" i="44"/>
  <c r="R74" i="45"/>
  <c r="CW74" i="45"/>
  <c r="EI74" i="45" s="1"/>
  <c r="L572" i="44"/>
  <c r="C653" i="44"/>
  <c r="AG606" i="65"/>
  <c r="Y607" i="65"/>
  <c r="AG474" i="65"/>
  <c r="Y475" i="65"/>
  <c r="CW60" i="45"/>
  <c r="R60" i="45"/>
  <c r="AI13" i="45"/>
  <c r="AH119" i="45"/>
  <c r="AG642" i="65"/>
  <c r="Y643" i="65"/>
  <c r="CH48" i="60"/>
  <c r="F94" i="45"/>
  <c r="R62" i="45"/>
  <c r="CW62" i="45"/>
  <c r="EI62" i="45" s="1"/>
  <c r="J119" i="45"/>
  <c r="J128" i="45" s="1"/>
  <c r="AG210" i="65"/>
  <c r="Y211" i="65"/>
  <c r="AG337" i="65"/>
  <c r="AG690" i="49"/>
  <c r="Y691" i="49"/>
  <c r="R75" i="45"/>
  <c r="CW75" i="45"/>
  <c r="EI75" i="45" s="1"/>
  <c r="CW95" i="45"/>
  <c r="EI95" i="45" s="1"/>
  <c r="R95" i="45"/>
  <c r="C370" i="44"/>
  <c r="L289" i="44"/>
  <c r="AG402" i="65"/>
  <c r="Y403" i="65"/>
  <c r="CN48" i="45"/>
  <c r="BV48" i="45"/>
  <c r="CO48" i="45" s="1"/>
  <c r="BK48" i="60"/>
  <c r="F71" i="45"/>
  <c r="AG335" i="65"/>
  <c r="R89" i="45"/>
  <c r="CW89" i="45"/>
  <c r="EI89" i="45" s="1"/>
  <c r="CN61" i="45"/>
  <c r="DG61" i="45" s="1"/>
  <c r="BV61" i="45"/>
  <c r="CO61" i="45" s="1"/>
  <c r="DH61" i="45" s="1"/>
  <c r="DK108" i="45"/>
  <c r="DM108" i="45"/>
  <c r="AR48" i="60"/>
  <c r="F52" i="45"/>
  <c r="R67" i="45"/>
  <c r="CW67" i="45"/>
  <c r="EI67" i="45" s="1"/>
  <c r="AG260" i="65"/>
  <c r="Y261" i="65"/>
  <c r="CW44" i="45"/>
  <c r="EI44" i="45" s="1"/>
  <c r="R44" i="45"/>
  <c r="K119" i="45"/>
  <c r="K128" i="45" s="1"/>
  <c r="AG835" i="65"/>
  <c r="Y836" i="65"/>
  <c r="L634" i="44"/>
  <c r="C715" i="44"/>
  <c r="L119" i="45"/>
  <c r="L128" i="45" s="1"/>
  <c r="DK27" i="45"/>
  <c r="DM27" i="45"/>
  <c r="AG390" i="65"/>
  <c r="Y391" i="65"/>
  <c r="CN40" i="45"/>
  <c r="BV40" i="45"/>
  <c r="CO40" i="45" s="1"/>
  <c r="C382" i="44"/>
  <c r="L301" i="44"/>
  <c r="R34" i="45"/>
  <c r="CW34" i="45"/>
  <c r="EI34" i="45" s="1"/>
  <c r="DG103" i="45"/>
  <c r="CW58" i="45"/>
  <c r="EI57" i="45" s="1"/>
  <c r="R58" i="45"/>
  <c r="CN47" i="45"/>
  <c r="DG47" i="45" s="1"/>
  <c r="BV47" i="45"/>
  <c r="CO47" i="45" s="1"/>
  <c r="DH47" i="45" s="1"/>
  <c r="L802" i="44"/>
  <c r="C883" i="44"/>
  <c r="AG486" i="65"/>
  <c r="Y487" i="65"/>
  <c r="AG498" i="65"/>
  <c r="Y499" i="65"/>
  <c r="Y655" i="49"/>
  <c r="AG654" i="49"/>
  <c r="C874" i="44"/>
  <c r="L793" i="44"/>
  <c r="Y932" i="49"/>
  <c r="AG931" i="49"/>
  <c r="AG959" i="65"/>
  <c r="Y960" i="65"/>
  <c r="AG739" i="65"/>
  <c r="Y740" i="65"/>
  <c r="AG534" i="65"/>
  <c r="Y535" i="65"/>
  <c r="DI30" i="45"/>
  <c r="DG48" i="45"/>
  <c r="N119" i="45"/>
  <c r="N128" i="45" s="1"/>
  <c r="DH71" i="45"/>
  <c r="R86" i="45"/>
  <c r="CW86" i="45"/>
  <c r="EI86" i="45" s="1"/>
  <c r="CW31" i="45"/>
  <c r="R31" i="45"/>
  <c r="AG948" i="49"/>
  <c r="Y949" i="49"/>
  <c r="AG949" i="49" s="1"/>
  <c r="L479" i="44"/>
  <c r="C560" i="44"/>
  <c r="C363" i="44"/>
  <c r="L282" i="44"/>
  <c r="AG570" i="65"/>
  <c r="Y571" i="65"/>
  <c r="DI51" i="45"/>
  <c r="AG366" i="65"/>
  <c r="Y367" i="65"/>
  <c r="BV41" i="45"/>
  <c r="CO41" i="45" s="1"/>
  <c r="DH41" i="45" s="1"/>
  <c r="CN41" i="45"/>
  <c r="DG41" i="45" s="1"/>
  <c r="Y899" i="65"/>
  <c r="AG898" i="65"/>
  <c r="AG198" i="65"/>
  <c r="Y199" i="65"/>
  <c r="BV62" i="45"/>
  <c r="CO62" i="45" s="1"/>
  <c r="DH62" i="45" s="1"/>
  <c r="ET62" i="45" s="1"/>
  <c r="CN62" i="45"/>
  <c r="DG62" i="45" s="1"/>
  <c r="ES62" i="45" s="1"/>
  <c r="BV22" i="45"/>
  <c r="CO22" i="45" s="1"/>
  <c r="DH22" i="45" s="1"/>
  <c r="CN22" i="45"/>
  <c r="DG22" i="45" s="1"/>
  <c r="ES22" i="45" s="1"/>
  <c r="R102" i="45"/>
  <c r="CW102" i="45"/>
  <c r="EI102" i="45" s="1"/>
  <c r="CN77" i="45"/>
  <c r="DG77" i="45" s="1"/>
  <c r="BV77" i="45"/>
  <c r="CO77" i="45" s="1"/>
  <c r="BV25" i="45"/>
  <c r="CO25" i="45" s="1"/>
  <c r="DH25" i="45" s="1"/>
  <c r="ET25" i="45" s="1"/>
  <c r="CN25" i="45"/>
  <c r="DG25" i="45" s="1"/>
  <c r="ES25" i="45" s="1"/>
  <c r="L415" i="44"/>
  <c r="C496" i="44"/>
  <c r="C367" i="44"/>
  <c r="L286" i="44"/>
  <c r="AG558" i="65"/>
  <c r="Y559" i="65"/>
  <c r="CN72" i="45"/>
  <c r="DG72" i="45" s="1"/>
  <c r="ES72" i="45" s="1"/>
  <c r="BV72" i="45"/>
  <c r="CO72" i="45" s="1"/>
  <c r="DH72" i="45" s="1"/>
  <c r="ET72" i="45" s="1"/>
  <c r="L403" i="44"/>
  <c r="C484" i="44"/>
  <c r="Y619" i="49"/>
  <c r="AG618" i="49"/>
  <c r="AG822" i="65"/>
  <c r="Y823" i="65"/>
  <c r="AG17" i="65"/>
  <c r="Y18" i="65"/>
  <c r="R17" i="45"/>
  <c r="CW17" i="45"/>
  <c r="EI17" i="45" s="1"/>
  <c r="Y851" i="49"/>
  <c r="AG850" i="49"/>
  <c r="C468" i="44"/>
  <c r="L387" i="44"/>
  <c r="Q119" i="45"/>
  <c r="Q128" i="45" s="1"/>
  <c r="DG36" i="45"/>
  <c r="R93" i="45"/>
  <c r="CW93" i="45"/>
  <c r="EI93" i="45" s="1"/>
  <c r="AG450" i="65"/>
  <c r="Y451" i="65"/>
  <c r="C379" i="44"/>
  <c r="L298" i="44"/>
  <c r="CN81" i="45"/>
  <c r="DG81" i="45" s="1"/>
  <c r="ES81" i="45" s="1"/>
  <c r="BV81" i="45"/>
  <c r="CO81" i="45" s="1"/>
  <c r="DH81" i="45" s="1"/>
  <c r="ET81" i="45" s="1"/>
  <c r="AG678" i="65"/>
  <c r="Y679" i="65"/>
  <c r="AG594" i="65"/>
  <c r="Y595" i="65"/>
  <c r="BV89" i="45"/>
  <c r="CO89" i="45" s="1"/>
  <c r="DH89" i="45" s="1"/>
  <c r="ET89" i="45" s="1"/>
  <c r="CN89" i="45"/>
  <c r="DG89" i="45" s="1"/>
  <c r="ES89" i="45" s="1"/>
  <c r="Y140" i="65"/>
  <c r="AG139" i="65"/>
  <c r="CN74" i="45"/>
  <c r="DG74" i="45" s="1"/>
  <c r="ES74" i="45" s="1"/>
  <c r="BV74" i="45"/>
  <c r="CO74" i="45" s="1"/>
  <c r="DH74" i="45" s="1"/>
  <c r="ET74" i="45" s="1"/>
  <c r="BI48" i="60"/>
  <c r="F69" i="45"/>
  <c r="R91" i="45"/>
  <c r="CW91" i="45"/>
  <c r="EI91" i="45" s="1"/>
  <c r="AG836" i="49"/>
  <c r="Y837" i="49"/>
  <c r="CN44" i="45"/>
  <c r="DG44" i="45" s="1"/>
  <c r="BV44" i="45"/>
  <c r="CO44" i="45" s="1"/>
  <c r="DH44" i="45" s="1"/>
  <c r="ET44" i="45" s="1"/>
  <c r="L368" i="44"/>
  <c r="C449" i="44"/>
  <c r="C862" i="44"/>
  <c r="L781" i="44"/>
  <c r="R12" i="45"/>
  <c r="CW12" i="45"/>
  <c r="EI12" i="45" s="1"/>
  <c r="R14" i="45"/>
  <c r="CW14" i="45"/>
  <c r="EI14" i="45" s="1"/>
  <c r="C342" i="44"/>
  <c r="L261" i="44"/>
  <c r="DK110" i="45"/>
  <c r="DM110" i="45"/>
  <c r="C371" i="44"/>
  <c r="L290" i="44"/>
  <c r="CN87" i="45"/>
  <c r="BV87" i="45"/>
  <c r="CO87" i="45" s="1"/>
  <c r="DH87" i="45" s="1"/>
  <c r="ET87" i="45" s="1"/>
  <c r="Y907" i="49"/>
  <c r="AG906" i="49"/>
  <c r="R70" i="45"/>
  <c r="CW70" i="45"/>
  <c r="L461" i="44"/>
  <c r="C542" i="44"/>
  <c r="BV34" i="45"/>
  <c r="CO34" i="45" s="1"/>
  <c r="DH34" i="45" s="1"/>
  <c r="ET34" i="45" s="1"/>
  <c r="CN34" i="45"/>
  <c r="DG34" i="45" s="1"/>
  <c r="ES34" i="45" s="1"/>
  <c r="C383" i="44"/>
  <c r="L302" i="44"/>
  <c r="C355" i="44"/>
  <c r="L274" i="44"/>
  <c r="AG690" i="65"/>
  <c r="Y691" i="65"/>
  <c r="DG76" i="45"/>
  <c r="Y78" i="65"/>
  <c r="AG77" i="65"/>
  <c r="CN85" i="45"/>
  <c r="DG85" i="45" s="1"/>
  <c r="ES85" i="45" s="1"/>
  <c r="BV85" i="45"/>
  <c r="CO85" i="45" s="1"/>
  <c r="DH85" i="45" s="1"/>
  <c r="ET85" i="45" s="1"/>
  <c r="CW26" i="45"/>
  <c r="EI26" i="45" s="1"/>
  <c r="R26" i="45"/>
  <c r="C366" i="44"/>
  <c r="L285" i="44"/>
  <c r="C331" i="44"/>
  <c r="L250" i="44"/>
  <c r="R38" i="45"/>
  <c r="CW38" i="45"/>
  <c r="EI38" i="45" s="1"/>
  <c r="DH40" i="45"/>
  <c r="ET39" i="45" s="1"/>
  <c r="AG234" i="65"/>
  <c r="Y235" i="65"/>
  <c r="CN42" i="45"/>
  <c r="DG42" i="45" s="1"/>
  <c r="BV42" i="45"/>
  <c r="CO42" i="45" s="1"/>
  <c r="DH42" i="45" s="1"/>
  <c r="ET41" i="45" s="1"/>
  <c r="CQ48" i="60"/>
  <c r="F103" i="45"/>
  <c r="Y67" i="65"/>
  <c r="AG66" i="65"/>
  <c r="L426" i="44"/>
  <c r="C507" i="44"/>
  <c r="Y595" i="49"/>
  <c r="AG594" i="49"/>
  <c r="BV82" i="45"/>
  <c r="CO82" i="45" s="1"/>
  <c r="DH82" i="45" s="1"/>
  <c r="ET82" i="45" s="1"/>
  <c r="CN82" i="45"/>
  <c r="DG82" i="45" s="1"/>
  <c r="DI20" i="45"/>
  <c r="DH69" i="45"/>
  <c r="CN36" i="45"/>
  <c r="BV36" i="45"/>
  <c r="CO36" i="45" s="1"/>
  <c r="DH36" i="45" s="1"/>
  <c r="BV29" i="45"/>
  <c r="CO29" i="45" s="1"/>
  <c r="DH29" i="45" s="1"/>
  <c r="CN29" i="45"/>
  <c r="DG29" i="45" s="1"/>
  <c r="ES29" i="45" s="1"/>
  <c r="R29" i="45"/>
  <c r="CW29" i="45"/>
  <c r="EI29" i="45" s="1"/>
  <c r="AG186" i="65"/>
  <c r="Y187" i="65"/>
  <c r="CN67" i="45"/>
  <c r="DG67" i="45" s="1"/>
  <c r="ES67" i="45" s="1"/>
  <c r="BV67" i="45"/>
  <c r="CO67" i="45" s="1"/>
  <c r="DH67" i="45" s="1"/>
  <c r="ET67" i="45" s="1"/>
  <c r="AG607" i="49"/>
  <c r="Y608" i="49"/>
  <c r="DH77" i="45"/>
  <c r="ET76" i="45" s="1"/>
  <c r="Y935" i="65"/>
  <c r="AG934" i="65"/>
  <c r="O119" i="45"/>
  <c r="O128" i="45" s="1"/>
  <c r="L485" i="44"/>
  <c r="C566" i="44"/>
  <c r="J88" i="43"/>
  <c r="J89" i="43" s="1"/>
  <c r="K326" i="44"/>
  <c r="L262" i="44"/>
  <c r="C343" i="44"/>
  <c r="CN63" i="45"/>
  <c r="DG63" i="45" s="1"/>
  <c r="ES63" i="45" s="1"/>
  <c r="BV63" i="45"/>
  <c r="CO63" i="45" s="1"/>
  <c r="DH63" i="45" s="1"/>
  <c r="ET63" i="45" s="1"/>
  <c r="M119" i="45"/>
  <c r="M128" i="45" s="1"/>
  <c r="AG128" i="65"/>
  <c r="Y129" i="65"/>
  <c r="R19" i="45"/>
  <c r="CW19" i="45"/>
  <c r="EI19" i="45" s="1"/>
  <c r="CN68" i="45"/>
  <c r="DG68" i="45" s="1"/>
  <c r="BV68" i="45"/>
  <c r="CO68" i="45" s="1"/>
  <c r="DH68" i="45" s="1"/>
  <c r="L273" i="44"/>
  <c r="C354" i="44"/>
  <c r="AG44" i="65"/>
  <c r="Y45" i="65"/>
  <c r="AG342" i="65"/>
  <c r="Y343" i="65"/>
  <c r="AG252" i="65"/>
  <c r="C359" i="44"/>
  <c r="L278" i="44"/>
  <c r="BV35" i="45"/>
  <c r="CO35" i="45" s="1"/>
  <c r="DH35" i="45" s="1"/>
  <c r="CN35" i="45"/>
  <c r="DG35" i="45" s="1"/>
  <c r="CW66" i="45"/>
  <c r="EI65" i="45" s="1"/>
  <c r="R66" i="45"/>
  <c r="AG560" i="49"/>
  <c r="Y561" i="49"/>
  <c r="R23" i="45"/>
  <c r="CW23" i="45"/>
  <c r="EI23" i="45" s="1"/>
  <c r="L406" i="44"/>
  <c r="C487" i="44"/>
  <c r="AG308" i="65"/>
  <c r="Y309" i="65"/>
  <c r="AG414" i="65"/>
  <c r="Y415" i="65"/>
  <c r="Y487" i="49"/>
  <c r="AG486" i="49"/>
  <c r="AG654" i="65"/>
  <c r="Y655" i="65"/>
  <c r="AG959" i="49"/>
  <c r="Y960" i="49"/>
  <c r="L281" i="44"/>
  <c r="C362" i="44"/>
  <c r="AG336" i="65"/>
  <c r="Y872" i="65"/>
  <c r="AG871" i="65"/>
  <c r="AG948" i="65"/>
  <c r="Y949" i="65"/>
  <c r="AG949" i="65" s="1"/>
  <c r="R73" i="45"/>
  <c r="CW73" i="45"/>
  <c r="EI73" i="45" s="1"/>
  <c r="AB48" i="60"/>
  <c r="F36" i="45"/>
  <c r="R111" i="45"/>
  <c r="CW111" i="45"/>
  <c r="DI111" i="45" s="1"/>
  <c r="AG618" i="65"/>
  <c r="Y619" i="65"/>
  <c r="C813" i="44"/>
  <c r="L732" i="44"/>
  <c r="L265" i="44"/>
  <c r="C346" i="44"/>
  <c r="H119" i="45"/>
  <c r="H128" i="45" s="1"/>
  <c r="R96" i="45"/>
  <c r="CW96" i="45"/>
  <c r="EI96" i="45" s="1"/>
  <c r="CN69" i="45"/>
  <c r="DG69" i="45" s="1"/>
  <c r="BV69" i="45"/>
  <c r="CO69" i="45" s="1"/>
  <c r="AG642" i="49"/>
  <c r="Y643" i="49"/>
  <c r="L450" i="44"/>
  <c r="C531" i="44"/>
  <c r="C350" i="44"/>
  <c r="L269" i="44"/>
  <c r="L407" i="44"/>
  <c r="C488" i="44"/>
  <c r="R37" i="45"/>
  <c r="CW37" i="45"/>
  <c r="DI90" i="45"/>
  <c r="BV57" i="45"/>
  <c r="CO57" i="45" s="1"/>
  <c r="DH57" i="45" s="1"/>
  <c r="CN57" i="45"/>
  <c r="DG57" i="45" s="1"/>
  <c r="EI72" i="45"/>
  <c r="ET38" i="45"/>
  <c r="ES103" i="45"/>
  <c r="ET45" i="45"/>
  <c r="ET88" i="45"/>
  <c r="ES44" i="45"/>
  <c r="ET56" i="45"/>
  <c r="ES102" i="45"/>
  <c r="ET80" i="45"/>
  <c r="EI106" i="45"/>
  <c r="EI43" i="45"/>
  <c r="ET64" i="45"/>
  <c r="EI18" i="45"/>
  <c r="EI98" i="45"/>
  <c r="ES64" i="45"/>
  <c r="EI53" i="45"/>
  <c r="ES38" i="45"/>
  <c r="EI63" i="45"/>
  <c r="ET22" i="45"/>
  <c r="ET29" i="45"/>
  <c r="ES52" i="45"/>
  <c r="EI30" i="45" l="1"/>
  <c r="ET65" i="45"/>
  <c r="EI60" i="45"/>
  <c r="DI45" i="45"/>
  <c r="ET47" i="45"/>
  <c r="ES60" i="45"/>
  <c r="DI37" i="45"/>
  <c r="ET53" i="45"/>
  <c r="ET70" i="45"/>
  <c r="ES70" i="45"/>
  <c r="ES57" i="45"/>
  <c r="DI47" i="45"/>
  <c r="DM47" i="45" s="1"/>
  <c r="ES39" i="45"/>
  <c r="ES35" i="45"/>
  <c r="ES45" i="45"/>
  <c r="DI55" i="45"/>
  <c r="DK55" i="45" s="1"/>
  <c r="DI59" i="45"/>
  <c r="ES53" i="45"/>
  <c r="ES68" i="45"/>
  <c r="AG242" i="65"/>
  <c r="ET35" i="45"/>
  <c r="ES76" i="45"/>
  <c r="ET68" i="45"/>
  <c r="DI80" i="45"/>
  <c r="DK80" i="45" s="1"/>
  <c r="ES41" i="45"/>
  <c r="DI22" i="45"/>
  <c r="DM22" i="45" s="1"/>
  <c r="ET60" i="45"/>
  <c r="ET57" i="45"/>
  <c r="ES47" i="45"/>
  <c r="ES82" i="45"/>
  <c r="DI42" i="45"/>
  <c r="DK42" i="45" s="1"/>
  <c r="DI58" i="45"/>
  <c r="DK58" i="45" s="1"/>
  <c r="DI85" i="45"/>
  <c r="DK85" i="45" s="1"/>
  <c r="DK22" i="45"/>
  <c r="DI66" i="45"/>
  <c r="AG129" i="65"/>
  <c r="Y130" i="65"/>
  <c r="AG595" i="49"/>
  <c r="Y596" i="49"/>
  <c r="C412" i="44"/>
  <c r="L331" i="44"/>
  <c r="AG140" i="65"/>
  <c r="Y141" i="65"/>
  <c r="C641" i="44"/>
  <c r="L560" i="44"/>
  <c r="AG740" i="65"/>
  <c r="Y741" i="65"/>
  <c r="C955" i="44"/>
  <c r="L955" i="44" s="1"/>
  <c r="L874" i="44"/>
  <c r="DI34" i="45"/>
  <c r="DI95" i="45"/>
  <c r="DI15" i="45"/>
  <c r="L656" i="44"/>
  <c r="C737" i="44"/>
  <c r="R76" i="45"/>
  <c r="CW76" i="45"/>
  <c r="L685" i="44"/>
  <c r="C766" i="44"/>
  <c r="AG547" i="65"/>
  <c r="Y548" i="65"/>
  <c r="Y852" i="65"/>
  <c r="AG851" i="65"/>
  <c r="DI46" i="45"/>
  <c r="DK32" i="45"/>
  <c r="DM32" i="45"/>
  <c r="DI63" i="45"/>
  <c r="DK107" i="45"/>
  <c r="DM107" i="45"/>
  <c r="Y888" i="65"/>
  <c r="AG887" i="65"/>
  <c r="CW40" i="45"/>
  <c r="R40" i="45"/>
  <c r="AG799" i="65"/>
  <c r="Y800" i="65"/>
  <c r="L718" i="44"/>
  <c r="C799" i="44"/>
  <c r="L6" i="43"/>
  <c r="K489" i="44" s="1"/>
  <c r="L10" i="43"/>
  <c r="K493" i="44" s="1"/>
  <c r="L14" i="43"/>
  <c r="K497" i="44" s="1"/>
  <c r="L18" i="43"/>
  <c r="K501" i="44" s="1"/>
  <c r="L22" i="43"/>
  <c r="K505" i="44" s="1"/>
  <c r="L26" i="43"/>
  <c r="K509" i="44" s="1"/>
  <c r="L29" i="43"/>
  <c r="K512" i="44" s="1"/>
  <c r="L37" i="43"/>
  <c r="K520" i="44" s="1"/>
  <c r="L40" i="43"/>
  <c r="K523" i="44" s="1"/>
  <c r="L44" i="43"/>
  <c r="K527" i="44" s="1"/>
  <c r="L48" i="43"/>
  <c r="K531" i="44" s="1"/>
  <c r="L51" i="43"/>
  <c r="K534" i="44" s="1"/>
  <c r="L73" i="43"/>
  <c r="L81" i="43"/>
  <c r="K563" i="44" s="1"/>
  <c r="L34" i="43"/>
  <c r="K517" i="44" s="1"/>
  <c r="L57" i="43"/>
  <c r="K540" i="44" s="1"/>
  <c r="L61" i="43"/>
  <c r="K544" i="44" s="1"/>
  <c r="L65" i="43"/>
  <c r="K548" i="44" s="1"/>
  <c r="L69" i="43"/>
  <c r="K552" i="44" s="1"/>
  <c r="L78" i="43"/>
  <c r="K560" i="44" s="1"/>
  <c r="L86" i="43"/>
  <c r="K568" i="44" s="1"/>
  <c r="L5" i="43"/>
  <c r="L9" i="43"/>
  <c r="K492" i="44" s="1"/>
  <c r="L13" i="43"/>
  <c r="K496" i="44" s="1"/>
  <c r="L17" i="43"/>
  <c r="K500" i="44" s="1"/>
  <c r="L21" i="43"/>
  <c r="K504" i="44" s="1"/>
  <c r="L25" i="43"/>
  <c r="K508" i="44" s="1"/>
  <c r="L31" i="43"/>
  <c r="K514" i="44" s="1"/>
  <c r="L39" i="43"/>
  <c r="K522" i="44" s="1"/>
  <c r="L43" i="43"/>
  <c r="K526" i="44" s="1"/>
  <c r="L47" i="43"/>
  <c r="K530" i="44" s="1"/>
  <c r="L53" i="43"/>
  <c r="K536" i="44" s="1"/>
  <c r="L72" i="43"/>
  <c r="K555" i="44" s="1"/>
  <c r="L75" i="43"/>
  <c r="K557" i="44" s="1"/>
  <c r="L83" i="43"/>
  <c r="K565" i="44" s="1"/>
  <c r="M2" i="43"/>
  <c r="L28" i="43"/>
  <c r="K511" i="44" s="1"/>
  <c r="L36" i="43"/>
  <c r="K519" i="44" s="1"/>
  <c r="L50" i="43"/>
  <c r="K533" i="44" s="1"/>
  <c r="L56" i="43"/>
  <c r="K539" i="44" s="1"/>
  <c r="L60" i="43"/>
  <c r="K543" i="44" s="1"/>
  <c r="L64" i="43"/>
  <c r="K547" i="44" s="1"/>
  <c r="L68" i="43"/>
  <c r="K551" i="44" s="1"/>
  <c r="L80" i="43"/>
  <c r="K562" i="44" s="1"/>
  <c r="L8" i="43"/>
  <c r="K491" i="44" s="1"/>
  <c r="L12" i="43"/>
  <c r="K495" i="44" s="1"/>
  <c r="L16" i="43"/>
  <c r="K499" i="44" s="1"/>
  <c r="L20" i="43"/>
  <c r="K503" i="44" s="1"/>
  <c r="L24" i="43"/>
  <c r="K507" i="44" s="1"/>
  <c r="L33" i="43"/>
  <c r="K516" i="44" s="1"/>
  <c r="L42" i="43"/>
  <c r="K525" i="44" s="1"/>
  <c r="L46" i="43"/>
  <c r="K529" i="44" s="1"/>
  <c r="L71" i="43"/>
  <c r="K554" i="44" s="1"/>
  <c r="L77" i="43"/>
  <c r="K559" i="44" s="1"/>
  <c r="L85" i="43"/>
  <c r="K567" i="44" s="1"/>
  <c r="L30" i="43"/>
  <c r="K513" i="44" s="1"/>
  <c r="L38" i="43"/>
  <c r="K521" i="44" s="1"/>
  <c r="L52" i="43"/>
  <c r="K535" i="44" s="1"/>
  <c r="L55" i="43"/>
  <c r="K538" i="44" s="1"/>
  <c r="L59" i="43"/>
  <c r="K542" i="44" s="1"/>
  <c r="L63" i="43"/>
  <c r="K546" i="44" s="1"/>
  <c r="L67" i="43"/>
  <c r="K550" i="44" s="1"/>
  <c r="L74" i="43"/>
  <c r="K556" i="44" s="1"/>
  <c r="L82" i="43"/>
  <c r="K564" i="44" s="1"/>
  <c r="L7" i="43"/>
  <c r="K490" i="44" s="1"/>
  <c r="L11" i="43"/>
  <c r="K494" i="44" s="1"/>
  <c r="L15" i="43"/>
  <c r="K498" i="44" s="1"/>
  <c r="L19" i="43"/>
  <c r="K502" i="44" s="1"/>
  <c r="L23" i="43"/>
  <c r="K506" i="44" s="1"/>
  <c r="L27" i="43"/>
  <c r="K510" i="44" s="1"/>
  <c r="L35" i="43"/>
  <c r="K518" i="44" s="1"/>
  <c r="L41" i="43"/>
  <c r="K524" i="44" s="1"/>
  <c r="L45" i="43"/>
  <c r="K528" i="44" s="1"/>
  <c r="L49" i="43"/>
  <c r="K532" i="44" s="1"/>
  <c r="L70" i="43"/>
  <c r="K553" i="44" s="1"/>
  <c r="L79" i="43"/>
  <c r="K561" i="44" s="1"/>
  <c r="L32" i="43"/>
  <c r="K515" i="44" s="1"/>
  <c r="L54" i="43"/>
  <c r="K537" i="44" s="1"/>
  <c r="L58" i="43"/>
  <c r="K541" i="44" s="1"/>
  <c r="L62" i="43"/>
  <c r="K545" i="44" s="1"/>
  <c r="L66" i="43"/>
  <c r="K549" i="44" s="1"/>
  <c r="L76" i="43"/>
  <c r="K558" i="44" s="1"/>
  <c r="L84" i="43"/>
  <c r="K566" i="44" s="1"/>
  <c r="E401" i="44"/>
  <c r="E402" i="44" s="1"/>
  <c r="E403" i="44" s="1"/>
  <c r="E404" i="44" s="1"/>
  <c r="E405" i="44" s="1"/>
  <c r="E406" i="44" s="1"/>
  <c r="E407" i="44"/>
  <c r="E408" i="44" s="1"/>
  <c r="E409" i="44" s="1"/>
  <c r="E410" i="44" s="1"/>
  <c r="E411" i="44" s="1"/>
  <c r="E412" i="44" s="1"/>
  <c r="E413" i="44" s="1"/>
  <c r="E414" i="44" s="1"/>
  <c r="E415" i="44" s="1"/>
  <c r="E416" i="44" s="1"/>
  <c r="E417" i="44" s="1"/>
  <c r="E418" i="44" s="1"/>
  <c r="E419" i="44" s="1"/>
  <c r="E420" i="44" s="1"/>
  <c r="E421" i="44" s="1"/>
  <c r="E422" i="44" s="1"/>
  <c r="E423" i="44" s="1"/>
  <c r="E424" i="44" s="1"/>
  <c r="E425" i="44" s="1"/>
  <c r="E426" i="44" s="1"/>
  <c r="E427" i="44" s="1"/>
  <c r="E428" i="44" s="1"/>
  <c r="E429" i="44" s="1"/>
  <c r="E430" i="44" s="1"/>
  <c r="E431" i="44" s="1"/>
  <c r="E432" i="44" s="1"/>
  <c r="E433" i="44" s="1"/>
  <c r="E434" i="44" s="1"/>
  <c r="E435" i="44" s="1"/>
  <c r="E436" i="44" s="1"/>
  <c r="E437" i="44" s="1"/>
  <c r="E438" i="44" s="1"/>
  <c r="E439" i="44" s="1"/>
  <c r="E440" i="44" s="1"/>
  <c r="E441" i="44" s="1"/>
  <c r="E442" i="44" s="1"/>
  <c r="E443" i="44" s="1"/>
  <c r="E444" i="44" s="1"/>
  <c r="E445" i="44" s="1"/>
  <c r="E446" i="44" s="1"/>
  <c r="E447" i="44" s="1"/>
  <c r="E448" i="44" s="1"/>
  <c r="E449" i="44" s="1"/>
  <c r="E450" i="44" s="1"/>
  <c r="E451" i="44" s="1"/>
  <c r="E452" i="44" s="1"/>
  <c r="E453" i="44" s="1"/>
  <c r="E454" i="44" s="1"/>
  <c r="E455" i="44" s="1"/>
  <c r="E456" i="44" s="1"/>
  <c r="E457" i="44" s="1"/>
  <c r="E458" i="44" s="1"/>
  <c r="E459" i="44" s="1"/>
  <c r="E460" i="44" s="1"/>
  <c r="E461" i="44" s="1"/>
  <c r="E462" i="44" s="1"/>
  <c r="E463" i="44" s="1"/>
  <c r="E464" i="44" s="1"/>
  <c r="E465" i="44" s="1"/>
  <c r="E466" i="44" s="1"/>
  <c r="E467" i="44" s="1"/>
  <c r="E468" i="44" s="1"/>
  <c r="E469" i="44" s="1"/>
  <c r="E470" i="44" s="1"/>
  <c r="E471" i="44" s="1"/>
  <c r="E472" i="44" s="1"/>
  <c r="E473" i="44" s="1"/>
  <c r="E474" i="44" s="1"/>
  <c r="E475" i="44" s="1"/>
  <c r="E476" i="44" s="1"/>
  <c r="E477" i="44" s="1"/>
  <c r="E478" i="44" s="1"/>
  <c r="E479" i="44" s="1"/>
  <c r="E480" i="44" s="1"/>
  <c r="E481" i="44" s="1"/>
  <c r="DI54" i="45"/>
  <c r="Y861" i="49"/>
  <c r="AG860" i="49"/>
  <c r="AG655" i="65"/>
  <c r="Y656" i="65"/>
  <c r="L487" i="44"/>
  <c r="C568" i="44"/>
  <c r="L566" i="44"/>
  <c r="C647" i="44"/>
  <c r="L507" i="44"/>
  <c r="C588" i="44"/>
  <c r="AG78" i="65"/>
  <c r="Y79" i="65"/>
  <c r="L383" i="44"/>
  <c r="C464" i="44"/>
  <c r="AG907" i="49"/>
  <c r="Y908" i="49"/>
  <c r="AG367" i="65"/>
  <c r="Y368" i="65"/>
  <c r="DI44" i="45"/>
  <c r="DI75" i="45"/>
  <c r="DI25" i="45"/>
  <c r="C734" i="44"/>
  <c r="L653" i="44"/>
  <c r="L351" i="44"/>
  <c r="C432" i="44"/>
  <c r="AG297" i="65"/>
  <c r="Y298" i="65"/>
  <c r="DK24" i="45"/>
  <c r="DM24" i="45"/>
  <c r="C826" i="44"/>
  <c r="L745" i="44"/>
  <c r="DK92" i="45"/>
  <c r="DM92" i="45"/>
  <c r="DI98" i="45"/>
  <c r="L405" i="44"/>
  <c r="C486" i="44"/>
  <c r="C562" i="44"/>
  <c r="L481" i="44"/>
  <c r="AG523" i="65"/>
  <c r="Y524" i="65"/>
  <c r="AG752" i="65"/>
  <c r="Y753" i="65"/>
  <c r="AG165" i="65"/>
  <c r="Y166" i="65"/>
  <c r="DI18" i="45"/>
  <c r="C903" i="44"/>
  <c r="L903" i="44" s="1"/>
  <c r="L822" i="44"/>
  <c r="Y55" i="65"/>
  <c r="AG54" i="65"/>
  <c r="AG45" i="65"/>
  <c r="Y46" i="65"/>
  <c r="L531" i="44"/>
  <c r="C612" i="44"/>
  <c r="DK111" i="45"/>
  <c r="DM111" i="45"/>
  <c r="DK90" i="45"/>
  <c r="DM90" i="45"/>
  <c r="AG872" i="65"/>
  <c r="Y873" i="65"/>
  <c r="L354" i="44"/>
  <c r="C435" i="44"/>
  <c r="AG235" i="65"/>
  <c r="Y236" i="65"/>
  <c r="C447" i="44"/>
  <c r="L366" i="44"/>
  <c r="DM55" i="45"/>
  <c r="L862" i="44"/>
  <c r="C943" i="44"/>
  <c r="L943" i="44" s="1"/>
  <c r="C460" i="44"/>
  <c r="L379" i="44"/>
  <c r="C549" i="44"/>
  <c r="L468" i="44"/>
  <c r="AG823" i="65"/>
  <c r="Y824" i="65"/>
  <c r="AG559" i="65"/>
  <c r="Y560" i="65"/>
  <c r="AG655" i="49"/>
  <c r="Y656" i="49"/>
  <c r="AG261" i="65"/>
  <c r="Y262" i="65"/>
  <c r="AJ13" i="45"/>
  <c r="AI119" i="45"/>
  <c r="AG583" i="65"/>
  <c r="Y584" i="65"/>
  <c r="CW77" i="45"/>
  <c r="DI77" i="45" s="1"/>
  <c r="R77" i="45"/>
  <c r="L754" i="44"/>
  <c r="C835" i="44"/>
  <c r="AG427" i="65"/>
  <c r="Y428" i="65"/>
  <c r="C543" i="44"/>
  <c r="L462" i="44"/>
  <c r="U91" i="45"/>
  <c r="DG91" i="45"/>
  <c r="DI91" i="45" s="1"/>
  <c r="AG379" i="65"/>
  <c r="Y380" i="65"/>
  <c r="L580" i="44"/>
  <c r="C661" i="44"/>
  <c r="DI88" i="45"/>
  <c r="DI49" i="45"/>
  <c r="AG326" i="65"/>
  <c r="DI43" i="45"/>
  <c r="L688" i="44"/>
  <c r="C769" i="44"/>
  <c r="DI64" i="45"/>
  <c r="DI96" i="45"/>
  <c r="DK37" i="45"/>
  <c r="DM37" i="45"/>
  <c r="AG643" i="49"/>
  <c r="Y644" i="49"/>
  <c r="L346" i="44"/>
  <c r="C427" i="44"/>
  <c r="R36" i="45"/>
  <c r="CW36" i="45"/>
  <c r="EI35" i="45" s="1"/>
  <c r="DI23" i="45"/>
  <c r="AG187" i="65"/>
  <c r="Y188" i="65"/>
  <c r="U87" i="45"/>
  <c r="DG87" i="45"/>
  <c r="ES87" i="45" s="1"/>
  <c r="C423" i="44"/>
  <c r="L342" i="44"/>
  <c r="L449" i="44"/>
  <c r="C530" i="44"/>
  <c r="R69" i="45"/>
  <c r="CW69" i="45"/>
  <c r="DI69" i="45" s="1"/>
  <c r="AG595" i="65"/>
  <c r="Y596" i="65"/>
  <c r="AG451" i="65"/>
  <c r="Y452" i="65"/>
  <c r="AG199" i="65"/>
  <c r="Y200" i="65"/>
  <c r="DK51" i="45"/>
  <c r="DM51" i="45"/>
  <c r="AG960" i="65"/>
  <c r="Y961" i="65"/>
  <c r="AG961" i="65" s="1"/>
  <c r="AG499" i="65"/>
  <c r="Y500" i="65"/>
  <c r="DK45" i="45"/>
  <c r="DM45" i="45"/>
  <c r="L382" i="44"/>
  <c r="C463" i="44"/>
  <c r="L715" i="44"/>
  <c r="C796" i="44"/>
  <c r="AG403" i="65"/>
  <c r="Y404" i="65"/>
  <c r="AG691" i="49"/>
  <c r="Y692" i="49"/>
  <c r="DI62" i="45"/>
  <c r="DI81" i="45"/>
  <c r="C633" i="44"/>
  <c r="L552" i="44"/>
  <c r="AG463" i="65"/>
  <c r="Y464" i="65"/>
  <c r="DI35" i="45"/>
  <c r="AG667" i="65"/>
  <c r="Y668" i="65"/>
  <c r="C527" i="44"/>
  <c r="L446" i="44"/>
  <c r="D407" i="44"/>
  <c r="D408" i="44" s="1"/>
  <c r="D409" i="44" s="1"/>
  <c r="D410" i="44" s="1"/>
  <c r="D411" i="44" s="1"/>
  <c r="D412" i="44" s="1"/>
  <c r="D413" i="44" s="1"/>
  <c r="D414" i="44" s="1"/>
  <c r="D415" i="44" s="1"/>
  <c r="D416" i="44" s="1"/>
  <c r="D417" i="44" s="1"/>
  <c r="D418" i="44" s="1"/>
  <c r="D419" i="44" s="1"/>
  <c r="D420" i="44" s="1"/>
  <c r="D421" i="44" s="1"/>
  <c r="D422" i="44" s="1"/>
  <c r="D423" i="44" s="1"/>
  <c r="D424" i="44" s="1"/>
  <c r="D425" i="44" s="1"/>
  <c r="D426" i="44" s="1"/>
  <c r="D427" i="44" s="1"/>
  <c r="D428" i="44" s="1"/>
  <c r="D429" i="44" s="1"/>
  <c r="D430" i="44" s="1"/>
  <c r="D431" i="44" s="1"/>
  <c r="D432" i="44" s="1"/>
  <c r="D433" i="44" s="1"/>
  <c r="D434" i="44" s="1"/>
  <c r="D435" i="44" s="1"/>
  <c r="D436" i="44" s="1"/>
  <c r="D437" i="44" s="1"/>
  <c r="D438" i="44" s="1"/>
  <c r="D439" i="44" s="1"/>
  <c r="D440" i="44" s="1"/>
  <c r="D441" i="44" s="1"/>
  <c r="D442" i="44" s="1"/>
  <c r="D443" i="44" s="1"/>
  <c r="D444" i="44" s="1"/>
  <c r="D445" i="44" s="1"/>
  <c r="D446" i="44" s="1"/>
  <c r="D447" i="44" s="1"/>
  <c r="D448" i="44" s="1"/>
  <c r="D449" i="44" s="1"/>
  <c r="D450" i="44" s="1"/>
  <c r="D451" i="44" s="1"/>
  <c r="D452" i="44" s="1"/>
  <c r="D453" i="44" s="1"/>
  <c r="D454" i="44" s="1"/>
  <c r="D455" i="44" s="1"/>
  <c r="D456" i="44" s="1"/>
  <c r="D457" i="44" s="1"/>
  <c r="D458" i="44" s="1"/>
  <c r="D459" i="44" s="1"/>
  <c r="D460" i="44" s="1"/>
  <c r="D461" i="44" s="1"/>
  <c r="D462" i="44" s="1"/>
  <c r="D463" i="44" s="1"/>
  <c r="D464" i="44" s="1"/>
  <c r="D465" i="44" s="1"/>
  <c r="D466" i="44" s="1"/>
  <c r="D467" i="44" s="1"/>
  <c r="D468" i="44" s="1"/>
  <c r="D469" i="44" s="1"/>
  <c r="D470" i="44" s="1"/>
  <c r="D471" i="44" s="1"/>
  <c r="D472" i="44" s="1"/>
  <c r="D473" i="44" s="1"/>
  <c r="D474" i="44" s="1"/>
  <c r="D475" i="44" s="1"/>
  <c r="D476" i="44" s="1"/>
  <c r="D477" i="44" s="1"/>
  <c r="D478" i="44" s="1"/>
  <c r="D479" i="44" s="1"/>
  <c r="D480" i="44" s="1"/>
  <c r="D481" i="44" s="1"/>
  <c r="D401" i="44"/>
  <c r="D402" i="44" s="1"/>
  <c r="D403" i="44" s="1"/>
  <c r="D404" i="44" s="1"/>
  <c r="D405" i="44" s="1"/>
  <c r="D406" i="44" s="1"/>
  <c r="DK50" i="45"/>
  <c r="DM50" i="45"/>
  <c r="AG321" i="65"/>
  <c r="Y322" i="65"/>
  <c r="DI106" i="45"/>
  <c r="AG511" i="65"/>
  <c r="Y512" i="65"/>
  <c r="C428" i="44"/>
  <c r="L347" i="44"/>
  <c r="DI105" i="45"/>
  <c r="AG355" i="65"/>
  <c r="Y356" i="65"/>
  <c r="AG153" i="65"/>
  <c r="Y154" i="65"/>
  <c r="CW100" i="45"/>
  <c r="EI100" i="45" s="1"/>
  <c r="R100" i="45"/>
  <c r="AG619" i="65"/>
  <c r="Y620" i="65"/>
  <c r="C431" i="44"/>
  <c r="L350" i="44"/>
  <c r="L362" i="44"/>
  <c r="C443" i="44"/>
  <c r="Y852" i="49"/>
  <c r="AG851" i="49"/>
  <c r="AG571" i="65"/>
  <c r="Y572" i="65"/>
  <c r="DI67" i="45"/>
  <c r="DI89" i="45"/>
  <c r="DI60" i="45"/>
  <c r="DI74" i="45"/>
  <c r="DI39" i="45"/>
  <c r="L791" i="44"/>
  <c r="C872" i="44"/>
  <c r="L680" i="44"/>
  <c r="C761" i="44"/>
  <c r="C420" i="44"/>
  <c r="L339" i="44"/>
  <c r="Y862" i="65"/>
  <c r="AG861" i="65"/>
  <c r="L375" i="44"/>
  <c r="C456" i="44"/>
  <c r="AG763" i="65"/>
  <c r="Y764" i="65"/>
  <c r="L723" i="44"/>
  <c r="C804" i="44"/>
  <c r="AG487" i="49"/>
  <c r="Y488" i="49"/>
  <c r="L359" i="44"/>
  <c r="C440" i="44"/>
  <c r="DM20" i="45"/>
  <c r="DK20" i="45"/>
  <c r="DI26" i="45"/>
  <c r="AG170" i="65"/>
  <c r="L542" i="44"/>
  <c r="C623" i="44"/>
  <c r="DI14" i="45"/>
  <c r="DI73" i="45"/>
  <c r="AG415" i="65"/>
  <c r="Y416" i="65"/>
  <c r="Y936" i="65"/>
  <c r="AG935" i="65"/>
  <c r="DI29" i="45"/>
  <c r="Y68" i="65"/>
  <c r="AG67" i="65"/>
  <c r="DI38" i="45"/>
  <c r="AG679" i="65"/>
  <c r="Y680" i="65"/>
  <c r="DI93" i="45"/>
  <c r="DI17" i="45"/>
  <c r="AG619" i="49"/>
  <c r="Y620" i="49"/>
  <c r="L367" i="44"/>
  <c r="C448" i="44"/>
  <c r="DI102" i="45"/>
  <c r="DI31" i="45"/>
  <c r="DK30" i="45"/>
  <c r="DM30" i="45"/>
  <c r="AG487" i="65"/>
  <c r="Y488" i="65"/>
  <c r="AG836" i="65"/>
  <c r="Y837" i="65"/>
  <c r="R94" i="45"/>
  <c r="CW94" i="45"/>
  <c r="EI94" i="45" s="1"/>
  <c r="AG475" i="65"/>
  <c r="Y476" i="65"/>
  <c r="CW48" i="45"/>
  <c r="EI47" i="45" s="1"/>
  <c r="R48" i="45"/>
  <c r="DI57" i="45"/>
  <c r="DK16" i="45"/>
  <c r="DM16" i="45"/>
  <c r="C439" i="44"/>
  <c r="L358" i="44"/>
  <c r="DK84" i="45"/>
  <c r="DM84" i="45"/>
  <c r="C554" i="44"/>
  <c r="L473" i="44"/>
  <c r="DI97" i="45"/>
  <c r="DK109" i="45"/>
  <c r="DM109" i="45"/>
  <c r="DK33" i="45"/>
  <c r="DM33" i="45"/>
  <c r="Y679" i="49"/>
  <c r="AG678" i="49"/>
  <c r="AG727" i="65"/>
  <c r="Y728" i="65"/>
  <c r="Y729" i="65" s="1"/>
  <c r="Y730" i="65" s="1"/>
  <c r="Y731" i="65" s="1"/>
  <c r="Y732" i="65" s="1"/>
  <c r="Y733" i="65" s="1"/>
  <c r="L720" i="44"/>
  <c r="C801" i="44"/>
  <c r="AG691" i="65"/>
  <c r="Y692" i="65"/>
  <c r="C569" i="44"/>
  <c r="L488" i="44"/>
  <c r="AG561" i="49"/>
  <c r="Y562" i="49"/>
  <c r="L343" i="44"/>
  <c r="C424" i="44"/>
  <c r="L813" i="44"/>
  <c r="C894" i="44"/>
  <c r="L894" i="44" s="1"/>
  <c r="DK47" i="45"/>
  <c r="AG343" i="65"/>
  <c r="Y344" i="65"/>
  <c r="DI19" i="45"/>
  <c r="R103" i="45"/>
  <c r="CW103" i="45"/>
  <c r="DI70" i="45"/>
  <c r="F119" i="45"/>
  <c r="L484" i="44"/>
  <c r="C565" i="44"/>
  <c r="C577" i="44"/>
  <c r="L496" i="44"/>
  <c r="R124" i="45"/>
  <c r="Y900" i="65"/>
  <c r="AG899" i="65"/>
  <c r="DI86" i="45"/>
  <c r="AG535" i="65"/>
  <c r="Y536" i="65"/>
  <c r="Y933" i="49"/>
  <c r="AG932" i="49"/>
  <c r="DM58" i="45"/>
  <c r="AG391" i="65"/>
  <c r="Y392" i="65"/>
  <c r="R52" i="45"/>
  <c r="CW52" i="45"/>
  <c r="EI52" i="45" s="1"/>
  <c r="L370" i="44"/>
  <c r="C451" i="44"/>
  <c r="DI61" i="45"/>
  <c r="C911" i="44"/>
  <c r="L911" i="44" s="1"/>
  <c r="L830" i="44"/>
  <c r="L696" i="44"/>
  <c r="C777" i="44"/>
  <c r="AG273" i="65"/>
  <c r="Y274" i="65"/>
  <c r="AG920" i="65"/>
  <c r="Y921" i="65"/>
  <c r="AG284" i="65"/>
  <c r="Y285" i="65"/>
  <c r="DK28" i="45"/>
  <c r="DM28" i="45"/>
  <c r="DI65" i="45"/>
  <c r="Y910" i="65"/>
  <c r="AG909" i="65"/>
  <c r="L539" i="44"/>
  <c r="C620" i="44"/>
  <c r="C557" i="44"/>
  <c r="L476" i="44"/>
  <c r="L378" i="44"/>
  <c r="C459" i="44"/>
  <c r="DI83" i="45"/>
  <c r="L483" i="44"/>
  <c r="C564" i="44"/>
  <c r="Y93" i="65"/>
  <c r="AG92" i="65"/>
  <c r="AG439" i="65"/>
  <c r="Y440" i="65"/>
  <c r="K88" i="43"/>
  <c r="K89" i="43" s="1"/>
  <c r="K407" i="44"/>
  <c r="AG548" i="49"/>
  <c r="Y549" i="49"/>
  <c r="DI53" i="45"/>
  <c r="AG960" i="49"/>
  <c r="Y961" i="49"/>
  <c r="AG961" i="49" s="1"/>
  <c r="AG309" i="65"/>
  <c r="Y310" i="65"/>
  <c r="Y609" i="49"/>
  <c r="AG608" i="49"/>
  <c r="DM59" i="45"/>
  <c r="DK59" i="45"/>
  <c r="C436" i="44"/>
  <c r="L355" i="44"/>
  <c r="C452" i="44"/>
  <c r="L371" i="44"/>
  <c r="DI12" i="45"/>
  <c r="AG837" i="49"/>
  <c r="Y838" i="49"/>
  <c r="AG18" i="65"/>
  <c r="Y19" i="65"/>
  <c r="C444" i="44"/>
  <c r="L363" i="44"/>
  <c r="L883" i="44"/>
  <c r="C964" i="44"/>
  <c r="L964" i="44" s="1"/>
  <c r="CW71" i="45"/>
  <c r="EI70" i="45" s="1"/>
  <c r="R71" i="45"/>
  <c r="AG211" i="65"/>
  <c r="Y212" i="65"/>
  <c r="AG643" i="65"/>
  <c r="Y644" i="65"/>
  <c r="AG607" i="65"/>
  <c r="Y608" i="65"/>
  <c r="C455" i="44"/>
  <c r="L374" i="44"/>
  <c r="AG715" i="65"/>
  <c r="Y716" i="65"/>
  <c r="DI41" i="45"/>
  <c r="AG703" i="65"/>
  <c r="Y704" i="65"/>
  <c r="AG667" i="49"/>
  <c r="Y668" i="49"/>
  <c r="DI82" i="45"/>
  <c r="R68" i="45"/>
  <c r="CW68" i="45"/>
  <c r="EI68" i="45" s="1"/>
  <c r="L335" i="44"/>
  <c r="C416" i="44"/>
  <c r="L677" i="44"/>
  <c r="C758" i="44"/>
  <c r="DK101" i="45"/>
  <c r="DM101" i="45"/>
  <c r="DI72" i="45"/>
  <c r="L709" i="44"/>
  <c r="C790" i="44"/>
  <c r="AG631" i="65"/>
  <c r="Y632" i="65"/>
  <c r="DI56" i="45"/>
  <c r="ES91" i="45"/>
  <c r="EI76" i="45"/>
  <c r="EI39" i="45"/>
  <c r="EI103" i="45"/>
  <c r="DM80" i="45" l="1"/>
  <c r="DM85" i="45"/>
  <c r="DM42" i="45"/>
  <c r="AG644" i="65"/>
  <c r="Y645" i="65"/>
  <c r="DK41" i="45"/>
  <c r="DM41" i="45"/>
  <c r="C525" i="44"/>
  <c r="L444" i="44"/>
  <c r="C533" i="44"/>
  <c r="L452" i="44"/>
  <c r="DK72" i="45"/>
  <c r="DM72" i="45"/>
  <c r="DK106" i="45"/>
  <c r="DM106" i="45"/>
  <c r="L527" i="44"/>
  <c r="C608" i="44"/>
  <c r="DK69" i="45"/>
  <c r="DM69" i="45"/>
  <c r="DK77" i="45"/>
  <c r="DM77" i="45"/>
  <c r="C907" i="44"/>
  <c r="L907" i="44" s="1"/>
  <c r="L826" i="44"/>
  <c r="DK82" i="45"/>
  <c r="DM82" i="45"/>
  <c r="Y839" i="49"/>
  <c r="AG838" i="49"/>
  <c r="DK53" i="45"/>
  <c r="DM53" i="45"/>
  <c r="Y94" i="65"/>
  <c r="AG93" i="65"/>
  <c r="L620" i="44"/>
  <c r="C701" i="44"/>
  <c r="AG900" i="65"/>
  <c r="Y901" i="65"/>
  <c r="AG901" i="65" s="1"/>
  <c r="DI103" i="45"/>
  <c r="DI122" i="45" s="1"/>
  <c r="DK93" i="45"/>
  <c r="DM93" i="45"/>
  <c r="AG936" i="65"/>
  <c r="Y937" i="65"/>
  <c r="AG937" i="65" s="1"/>
  <c r="DK26" i="45"/>
  <c r="DM26" i="45"/>
  <c r="C501" i="44"/>
  <c r="L420" i="44"/>
  <c r="DK89" i="45"/>
  <c r="DM89" i="45"/>
  <c r="AG356" i="65"/>
  <c r="Y357" i="65"/>
  <c r="AG322" i="65"/>
  <c r="Y323" i="65"/>
  <c r="AG668" i="65"/>
  <c r="Y669" i="65"/>
  <c r="DK62" i="45"/>
  <c r="DM62" i="45"/>
  <c r="DM49" i="45"/>
  <c r="DK49" i="45"/>
  <c r="AG584" i="65"/>
  <c r="Y585" i="65"/>
  <c r="AG560" i="65"/>
  <c r="Y561" i="65"/>
  <c r="C516" i="44"/>
  <c r="L435" i="44"/>
  <c r="L612" i="44"/>
  <c r="C693" i="44"/>
  <c r="DK18" i="45"/>
  <c r="DM18" i="45"/>
  <c r="C643" i="44"/>
  <c r="L562" i="44"/>
  <c r="DK25" i="45"/>
  <c r="DM25" i="45"/>
  <c r="L464" i="44"/>
  <c r="C545" i="44"/>
  <c r="L568" i="44"/>
  <c r="C649" i="44"/>
  <c r="M32" i="43"/>
  <c r="K596" i="44" s="1"/>
  <c r="M54" i="43"/>
  <c r="K618" i="44" s="1"/>
  <c r="M58" i="43"/>
  <c r="K622" i="44" s="1"/>
  <c r="M62" i="43"/>
  <c r="K626" i="44" s="1"/>
  <c r="M66" i="43"/>
  <c r="K630" i="44" s="1"/>
  <c r="M76" i="43"/>
  <c r="K639" i="44" s="1"/>
  <c r="M84" i="43"/>
  <c r="K647" i="44" s="1"/>
  <c r="M6" i="43"/>
  <c r="K570" i="44" s="1"/>
  <c r="M10" i="43"/>
  <c r="K574" i="44" s="1"/>
  <c r="M14" i="43"/>
  <c r="K578" i="44" s="1"/>
  <c r="M18" i="43"/>
  <c r="K582" i="44" s="1"/>
  <c r="M22" i="43"/>
  <c r="K586" i="44" s="1"/>
  <c r="M26" i="43"/>
  <c r="K590" i="44" s="1"/>
  <c r="M29" i="43"/>
  <c r="K593" i="44" s="1"/>
  <c r="M37" i="43"/>
  <c r="K601" i="44" s="1"/>
  <c r="M40" i="43"/>
  <c r="K604" i="44" s="1"/>
  <c r="M44" i="43"/>
  <c r="K608" i="44" s="1"/>
  <c r="M48" i="43"/>
  <c r="K612" i="44" s="1"/>
  <c r="M51" i="43"/>
  <c r="K615" i="44" s="1"/>
  <c r="M73" i="43"/>
  <c r="M81" i="43"/>
  <c r="K644" i="44" s="1"/>
  <c r="M34" i="43"/>
  <c r="K598" i="44" s="1"/>
  <c r="M57" i="43"/>
  <c r="K621" i="44" s="1"/>
  <c r="M61" i="43"/>
  <c r="K625" i="44" s="1"/>
  <c r="M65" i="43"/>
  <c r="K629" i="44" s="1"/>
  <c r="M69" i="43"/>
  <c r="K633" i="44" s="1"/>
  <c r="M78" i="43"/>
  <c r="K641" i="44" s="1"/>
  <c r="M86" i="43"/>
  <c r="K649" i="44" s="1"/>
  <c r="M5" i="43"/>
  <c r="M9" i="43"/>
  <c r="K573" i="44" s="1"/>
  <c r="M13" i="43"/>
  <c r="K577" i="44" s="1"/>
  <c r="M17" i="43"/>
  <c r="K581" i="44" s="1"/>
  <c r="M21" i="43"/>
  <c r="K585" i="44" s="1"/>
  <c r="M25" i="43"/>
  <c r="K589" i="44" s="1"/>
  <c r="M31" i="43"/>
  <c r="K595" i="44" s="1"/>
  <c r="M39" i="43"/>
  <c r="K603" i="44" s="1"/>
  <c r="M43" i="43"/>
  <c r="K607" i="44" s="1"/>
  <c r="M47" i="43"/>
  <c r="K611" i="44" s="1"/>
  <c r="M53" i="43"/>
  <c r="K617" i="44" s="1"/>
  <c r="M72" i="43"/>
  <c r="K636" i="44" s="1"/>
  <c r="M75" i="43"/>
  <c r="K638" i="44" s="1"/>
  <c r="M83" i="43"/>
  <c r="K646" i="44" s="1"/>
  <c r="N2" i="43"/>
  <c r="M28" i="43"/>
  <c r="K592" i="44" s="1"/>
  <c r="M36" i="43"/>
  <c r="K600" i="44" s="1"/>
  <c r="M50" i="43"/>
  <c r="K614" i="44" s="1"/>
  <c r="M56" i="43"/>
  <c r="K620" i="44" s="1"/>
  <c r="M60" i="43"/>
  <c r="K624" i="44" s="1"/>
  <c r="M64" i="43"/>
  <c r="K628" i="44" s="1"/>
  <c r="M68" i="43"/>
  <c r="K632" i="44" s="1"/>
  <c r="M80" i="43"/>
  <c r="K643" i="44" s="1"/>
  <c r="M8" i="43"/>
  <c r="K572" i="44" s="1"/>
  <c r="M12" i="43"/>
  <c r="K576" i="44" s="1"/>
  <c r="M16" i="43"/>
  <c r="K580" i="44" s="1"/>
  <c r="M20" i="43"/>
  <c r="K584" i="44" s="1"/>
  <c r="M24" i="43"/>
  <c r="K588" i="44" s="1"/>
  <c r="M33" i="43"/>
  <c r="K597" i="44" s="1"/>
  <c r="M42" i="43"/>
  <c r="K606" i="44" s="1"/>
  <c r="M46" i="43"/>
  <c r="K610" i="44" s="1"/>
  <c r="M71" i="43"/>
  <c r="K635" i="44" s="1"/>
  <c r="M77" i="43"/>
  <c r="K640" i="44" s="1"/>
  <c r="M85" i="43"/>
  <c r="K648" i="44" s="1"/>
  <c r="M30" i="43"/>
  <c r="K594" i="44" s="1"/>
  <c r="M38" i="43"/>
  <c r="K602" i="44" s="1"/>
  <c r="M52" i="43"/>
  <c r="K616" i="44" s="1"/>
  <c r="M55" i="43"/>
  <c r="K619" i="44" s="1"/>
  <c r="M59" i="43"/>
  <c r="K623" i="44" s="1"/>
  <c r="M63" i="43"/>
  <c r="K627" i="44" s="1"/>
  <c r="M67" i="43"/>
  <c r="K631" i="44" s="1"/>
  <c r="M74" i="43"/>
  <c r="K637" i="44" s="1"/>
  <c r="M82" i="43"/>
  <c r="K645" i="44" s="1"/>
  <c r="M7" i="43"/>
  <c r="K571" i="44" s="1"/>
  <c r="M11" i="43"/>
  <c r="K575" i="44" s="1"/>
  <c r="M15" i="43"/>
  <c r="K579" i="44" s="1"/>
  <c r="M19" i="43"/>
  <c r="K583" i="44" s="1"/>
  <c r="M23" i="43"/>
  <c r="K587" i="44" s="1"/>
  <c r="M27" i="43"/>
  <c r="K591" i="44" s="1"/>
  <c r="M35" i="43"/>
  <c r="K599" i="44" s="1"/>
  <c r="M41" i="43"/>
  <c r="K605" i="44" s="1"/>
  <c r="M45" i="43"/>
  <c r="K609" i="44" s="1"/>
  <c r="M49" i="43"/>
  <c r="K613" i="44" s="1"/>
  <c r="M70" i="43"/>
  <c r="K634" i="44" s="1"/>
  <c r="M79" i="43"/>
  <c r="K642" i="44" s="1"/>
  <c r="DM63" i="45"/>
  <c r="DK63" i="45"/>
  <c r="L766" i="44"/>
  <c r="C847" i="44"/>
  <c r="DM34" i="45"/>
  <c r="DK34" i="45"/>
  <c r="AG141" i="65"/>
  <c r="Y142" i="65"/>
  <c r="DK66" i="45"/>
  <c r="DM66" i="45"/>
  <c r="Y693" i="49"/>
  <c r="AG692" i="49"/>
  <c r="AG200" i="65"/>
  <c r="Y201" i="65"/>
  <c r="C611" i="44"/>
  <c r="L530" i="44"/>
  <c r="DK23" i="45"/>
  <c r="DM23" i="45"/>
  <c r="DK88" i="45"/>
  <c r="DM88" i="45"/>
  <c r="L543" i="44"/>
  <c r="C624" i="44"/>
  <c r="AG166" i="65"/>
  <c r="Y167" i="65"/>
  <c r="L486" i="44"/>
  <c r="C567" i="44"/>
  <c r="DK75" i="45"/>
  <c r="DM75" i="45"/>
  <c r="DI40" i="45"/>
  <c r="DK19" i="45"/>
  <c r="DM19" i="45"/>
  <c r="DM102" i="45"/>
  <c r="DK102" i="45"/>
  <c r="AG572" i="65"/>
  <c r="Y573" i="65"/>
  <c r="AG620" i="65"/>
  <c r="Y621" i="65"/>
  <c r="DK105" i="45"/>
  <c r="DM105" i="45"/>
  <c r="DK35" i="45"/>
  <c r="DM35" i="45"/>
  <c r="DI36" i="45"/>
  <c r="DK96" i="45"/>
  <c r="DM96" i="45"/>
  <c r="L661" i="44"/>
  <c r="C742" i="44"/>
  <c r="AG428" i="65"/>
  <c r="Y429" i="65"/>
  <c r="AG824" i="65"/>
  <c r="Y825" i="65"/>
  <c r="Y874" i="65"/>
  <c r="AG873" i="65"/>
  <c r="Y47" i="65"/>
  <c r="AG46" i="65"/>
  <c r="AG298" i="65"/>
  <c r="Y299" i="65"/>
  <c r="DM44" i="45"/>
  <c r="DK44" i="45"/>
  <c r="AG79" i="65"/>
  <c r="Y80" i="65"/>
  <c r="AG656" i="65"/>
  <c r="Y657" i="65"/>
  <c r="DI76" i="45"/>
  <c r="DK56" i="45"/>
  <c r="DM56" i="45"/>
  <c r="L758" i="44"/>
  <c r="C839" i="44"/>
  <c r="AG608" i="65"/>
  <c r="Y609" i="65"/>
  <c r="C532" i="44"/>
  <c r="L451" i="44"/>
  <c r="AG632" i="65"/>
  <c r="Y633" i="65"/>
  <c r="AG704" i="65"/>
  <c r="Y705" i="65"/>
  <c r="DK12" i="45"/>
  <c r="DM12" i="45"/>
  <c r="AG609" i="49"/>
  <c r="Y610" i="49"/>
  <c r="DK83" i="45"/>
  <c r="DM83" i="45"/>
  <c r="Y911" i="65"/>
  <c r="AG910" i="65"/>
  <c r="AG274" i="65"/>
  <c r="Y275" i="65"/>
  <c r="AG933" i="49"/>
  <c r="Y934" i="49"/>
  <c r="C658" i="44"/>
  <c r="L577" i="44"/>
  <c r="AG344" i="65"/>
  <c r="Y345" i="65"/>
  <c r="Y563" i="49"/>
  <c r="AG562" i="49"/>
  <c r="DK97" i="45"/>
  <c r="DM97" i="45"/>
  <c r="AG837" i="65"/>
  <c r="Y838" i="65"/>
  <c r="L448" i="44"/>
  <c r="C529" i="44"/>
  <c r="DM38" i="45"/>
  <c r="DK38" i="45"/>
  <c r="DK73" i="45"/>
  <c r="DM73" i="45"/>
  <c r="L440" i="44"/>
  <c r="C521" i="44"/>
  <c r="L456" i="44"/>
  <c r="C537" i="44"/>
  <c r="L872" i="44"/>
  <c r="C953" i="44"/>
  <c r="L953" i="44" s="1"/>
  <c r="AG464" i="65"/>
  <c r="Y465" i="65"/>
  <c r="AG404" i="65"/>
  <c r="Y405" i="65"/>
  <c r="AG500" i="65"/>
  <c r="Y501" i="65"/>
  <c r="AG452" i="65"/>
  <c r="Y453" i="65"/>
  <c r="DK64" i="45"/>
  <c r="DM64" i="45"/>
  <c r="BP13" i="45"/>
  <c r="CI13" i="45" s="1"/>
  <c r="DB13" i="45" s="1"/>
  <c r="BQ13" i="45"/>
  <c r="CJ13" i="45" s="1"/>
  <c r="DC13" i="45" s="1"/>
  <c r="EO13" i="45" s="1"/>
  <c r="BR13" i="45"/>
  <c r="CK13" i="45" s="1"/>
  <c r="DD13" i="45" s="1"/>
  <c r="EP13" i="45" s="1"/>
  <c r="BK13" i="45"/>
  <c r="CD13" i="45" s="1"/>
  <c r="CW13" i="45" s="1"/>
  <c r="EI13" i="45" s="1"/>
  <c r="BS13" i="45"/>
  <c r="CL13" i="45" s="1"/>
  <c r="DE13" i="45" s="1"/>
  <c r="EQ13" i="45" s="1"/>
  <c r="BL13" i="45"/>
  <c r="CE13" i="45" s="1"/>
  <c r="CX13" i="45" s="1"/>
  <c r="BT13" i="45"/>
  <c r="BM13" i="45"/>
  <c r="CF13" i="45" s="1"/>
  <c r="CY13" i="45" s="1"/>
  <c r="BN13" i="45"/>
  <c r="CG13" i="45" s="1"/>
  <c r="CZ13" i="45" s="1"/>
  <c r="EL13" i="45" s="1"/>
  <c r="BO13" i="45"/>
  <c r="CH13" i="45" s="1"/>
  <c r="DA13" i="45" s="1"/>
  <c r="AJ119" i="45"/>
  <c r="AG753" i="65"/>
  <c r="Y754" i="65"/>
  <c r="DK98" i="45"/>
  <c r="DM98" i="45"/>
  <c r="AG368" i="65"/>
  <c r="Y369" i="65"/>
  <c r="AG888" i="65"/>
  <c r="Y889" i="65"/>
  <c r="AG889" i="65" s="1"/>
  <c r="DK46" i="45"/>
  <c r="DM46" i="45"/>
  <c r="AG741" i="65"/>
  <c r="Y742" i="65"/>
  <c r="C493" i="44"/>
  <c r="L412" i="44"/>
  <c r="DI71" i="45"/>
  <c r="AG310" i="65"/>
  <c r="Y311" i="65"/>
  <c r="DK65" i="45"/>
  <c r="DM65" i="45"/>
  <c r="DK57" i="45"/>
  <c r="DM57" i="45"/>
  <c r="DM14" i="45"/>
  <c r="DK14" i="45"/>
  <c r="C509" i="44"/>
  <c r="L428" i="44"/>
  <c r="L423" i="44"/>
  <c r="C504" i="44"/>
  <c r="C508" i="44"/>
  <c r="L427" i="44"/>
  <c r="L769" i="44"/>
  <c r="C850" i="44"/>
  <c r="AG380" i="65"/>
  <c r="Y381" i="65"/>
  <c r="L835" i="44"/>
  <c r="C916" i="44"/>
  <c r="L916" i="44" s="1"/>
  <c r="AG262" i="65"/>
  <c r="Y263" i="65"/>
  <c r="L432" i="44"/>
  <c r="C513" i="44"/>
  <c r="L588" i="44"/>
  <c r="C669" i="44"/>
  <c r="L799" i="44"/>
  <c r="C880" i="44"/>
  <c r="L737" i="44"/>
  <c r="C818" i="44"/>
  <c r="AG596" i="49"/>
  <c r="Y597" i="49"/>
  <c r="AG549" i="49"/>
  <c r="Y550" i="49"/>
  <c r="L564" i="44"/>
  <c r="C645" i="44"/>
  <c r="Y922" i="65"/>
  <c r="AG921" i="65"/>
  <c r="L424" i="44"/>
  <c r="C505" i="44"/>
  <c r="DI94" i="45"/>
  <c r="DM31" i="45"/>
  <c r="DK31" i="45"/>
  <c r="AG416" i="65"/>
  <c r="Y417" i="65"/>
  <c r="AG764" i="65"/>
  <c r="Y765" i="65"/>
  <c r="DK67" i="45"/>
  <c r="DM67" i="45"/>
  <c r="L431" i="44"/>
  <c r="C512" i="44"/>
  <c r="L416" i="44"/>
  <c r="C497" i="44"/>
  <c r="L459" i="44"/>
  <c r="C540" i="44"/>
  <c r="AG440" i="65"/>
  <c r="Y441" i="65"/>
  <c r="C858" i="44"/>
  <c r="L777" i="44"/>
  <c r="C635" i="44"/>
  <c r="L554" i="44"/>
  <c r="AG488" i="65"/>
  <c r="Y489" i="65"/>
  <c r="AG620" i="49"/>
  <c r="Y621" i="49"/>
  <c r="AG68" i="65"/>
  <c r="Y69" i="65"/>
  <c r="L623" i="44"/>
  <c r="C704" i="44"/>
  <c r="AG488" i="49"/>
  <c r="Y489" i="49"/>
  <c r="DK39" i="45"/>
  <c r="DM39" i="45"/>
  <c r="Y853" i="49"/>
  <c r="AG853" i="49" s="1"/>
  <c r="AG852" i="49"/>
  <c r="DI100" i="45"/>
  <c r="AG512" i="65"/>
  <c r="Y513" i="65"/>
  <c r="D482" i="44"/>
  <c r="D483" i="44" s="1"/>
  <c r="D484" i="44" s="1"/>
  <c r="D485" i="44" s="1"/>
  <c r="D486" i="44" s="1"/>
  <c r="D487" i="44" s="1"/>
  <c r="D488" i="44"/>
  <c r="D489" i="44" s="1"/>
  <c r="D490" i="44" s="1"/>
  <c r="D491" i="44" s="1"/>
  <c r="D492" i="44" s="1"/>
  <c r="D493" i="44" s="1"/>
  <c r="D494" i="44" s="1"/>
  <c r="D495" i="44" s="1"/>
  <c r="D496" i="44" s="1"/>
  <c r="D497" i="44" s="1"/>
  <c r="D498" i="44" s="1"/>
  <c r="D499" i="44" s="1"/>
  <c r="D500" i="44" s="1"/>
  <c r="D501" i="44" s="1"/>
  <c r="D502" i="44" s="1"/>
  <c r="D503" i="44" s="1"/>
  <c r="D504" i="44" s="1"/>
  <c r="D505" i="44" s="1"/>
  <c r="D506" i="44" s="1"/>
  <c r="D507" i="44" s="1"/>
  <c r="D508" i="44" s="1"/>
  <c r="D509" i="44" s="1"/>
  <c r="D510" i="44" s="1"/>
  <c r="D511" i="44" s="1"/>
  <c r="D512" i="44" s="1"/>
  <c r="D513" i="44" s="1"/>
  <c r="D514" i="44" s="1"/>
  <c r="D515" i="44" s="1"/>
  <c r="D516" i="44" s="1"/>
  <c r="D517" i="44" s="1"/>
  <c r="D518" i="44" s="1"/>
  <c r="D519" i="44" s="1"/>
  <c r="D520" i="44" s="1"/>
  <c r="D521" i="44" s="1"/>
  <c r="D522" i="44" s="1"/>
  <c r="D523" i="44" s="1"/>
  <c r="D524" i="44" s="1"/>
  <c r="D525" i="44" s="1"/>
  <c r="D526" i="44" s="1"/>
  <c r="D527" i="44" s="1"/>
  <c r="D528" i="44" s="1"/>
  <c r="D529" i="44" s="1"/>
  <c r="D530" i="44" s="1"/>
  <c r="D531" i="44" s="1"/>
  <c r="D532" i="44" s="1"/>
  <c r="D533" i="44" s="1"/>
  <c r="D534" i="44" s="1"/>
  <c r="D535" i="44" s="1"/>
  <c r="D536" i="44" s="1"/>
  <c r="D537" i="44" s="1"/>
  <c r="D538" i="44" s="1"/>
  <c r="D539" i="44" s="1"/>
  <c r="D540" i="44" s="1"/>
  <c r="D541" i="44" s="1"/>
  <c r="D542" i="44" s="1"/>
  <c r="D543" i="44" s="1"/>
  <c r="D544" i="44" s="1"/>
  <c r="D545" i="44" s="1"/>
  <c r="D546" i="44" s="1"/>
  <c r="D547" i="44" s="1"/>
  <c r="D548" i="44" s="1"/>
  <c r="D549" i="44" s="1"/>
  <c r="D550" i="44" s="1"/>
  <c r="D551" i="44" s="1"/>
  <c r="D552" i="44" s="1"/>
  <c r="D553" i="44" s="1"/>
  <c r="D554" i="44" s="1"/>
  <c r="D555" i="44" s="1"/>
  <c r="D556" i="44" s="1"/>
  <c r="D557" i="44" s="1"/>
  <c r="D558" i="44" s="1"/>
  <c r="D559" i="44" s="1"/>
  <c r="D560" i="44" s="1"/>
  <c r="D561" i="44" s="1"/>
  <c r="D562" i="44" s="1"/>
  <c r="C877" i="44"/>
  <c r="L796" i="44"/>
  <c r="AG596" i="65"/>
  <c r="Y597" i="65"/>
  <c r="DI87" i="45"/>
  <c r="C630" i="44"/>
  <c r="L549" i="44"/>
  <c r="L447" i="44"/>
  <c r="C528" i="44"/>
  <c r="Y56" i="65"/>
  <c r="AG55" i="65"/>
  <c r="AG524" i="65"/>
  <c r="Y525" i="65"/>
  <c r="DK91" i="45"/>
  <c r="DM91" i="45"/>
  <c r="AG861" i="49"/>
  <c r="Y862" i="49"/>
  <c r="AG852" i="65"/>
  <c r="Y853" i="65"/>
  <c r="AG853" i="65" s="1"/>
  <c r="Y669" i="49"/>
  <c r="AG668" i="49"/>
  <c r="L455" i="44"/>
  <c r="C536" i="44"/>
  <c r="DM61" i="45"/>
  <c r="DK61" i="45"/>
  <c r="L801" i="44"/>
  <c r="C882" i="44"/>
  <c r="L439" i="44"/>
  <c r="C520" i="44"/>
  <c r="AG680" i="65"/>
  <c r="Y681" i="65"/>
  <c r="C842" i="44"/>
  <c r="L761" i="44"/>
  <c r="L790" i="44"/>
  <c r="C871" i="44"/>
  <c r="AG716" i="65"/>
  <c r="Y717" i="65"/>
  <c r="AG212" i="65"/>
  <c r="Y213" i="65"/>
  <c r="Y20" i="65"/>
  <c r="AG19" i="65"/>
  <c r="AG392" i="65"/>
  <c r="Y393" i="65"/>
  <c r="DM86" i="45"/>
  <c r="DK86" i="45"/>
  <c r="F128" i="45"/>
  <c r="R119" i="45"/>
  <c r="C650" i="44"/>
  <c r="L569" i="44"/>
  <c r="AG679" i="49"/>
  <c r="Y680" i="49"/>
  <c r="DI48" i="45"/>
  <c r="DK29" i="45"/>
  <c r="DM29" i="45"/>
  <c r="Y863" i="65"/>
  <c r="AG862" i="65"/>
  <c r="DK74" i="45"/>
  <c r="DM74" i="45"/>
  <c r="L443" i="44"/>
  <c r="C524" i="44"/>
  <c r="AG154" i="65"/>
  <c r="Y155" i="65"/>
  <c r="C714" i="44"/>
  <c r="L633" i="44"/>
  <c r="Y645" i="49"/>
  <c r="AG644" i="49"/>
  <c r="DK43" i="45"/>
  <c r="DM43" i="45"/>
  <c r="Y657" i="49"/>
  <c r="AG656" i="49"/>
  <c r="AG236" i="65"/>
  <c r="Y237" i="65"/>
  <c r="Y909" i="49"/>
  <c r="AG908" i="49"/>
  <c r="L647" i="44"/>
  <c r="C728" i="44"/>
  <c r="DM54" i="45"/>
  <c r="DK54" i="45"/>
  <c r="L88" i="43"/>
  <c r="L89" i="43" s="1"/>
  <c r="K488" i="44"/>
  <c r="AG800" i="65"/>
  <c r="Y801" i="65"/>
  <c r="AG548" i="65"/>
  <c r="Y549" i="65"/>
  <c r="DK15" i="45"/>
  <c r="DM15" i="45"/>
  <c r="L641" i="44"/>
  <c r="C722" i="44"/>
  <c r="AG130" i="65"/>
  <c r="Y131" i="65"/>
  <c r="DI52" i="45"/>
  <c r="AG536" i="65"/>
  <c r="Y537" i="65"/>
  <c r="L565" i="44"/>
  <c r="C646" i="44"/>
  <c r="DI68" i="45"/>
  <c r="C517" i="44"/>
  <c r="L436" i="44"/>
  <c r="L557" i="44"/>
  <c r="C638" i="44"/>
  <c r="AG285" i="65"/>
  <c r="Y286" i="65"/>
  <c r="DM70" i="45"/>
  <c r="DK70" i="45"/>
  <c r="AG692" i="65"/>
  <c r="Y693" i="65"/>
  <c r="AG476" i="65"/>
  <c r="Y477" i="65"/>
  <c r="DK17" i="45"/>
  <c r="DM17" i="45"/>
  <c r="C885" i="44"/>
  <c r="L804" i="44"/>
  <c r="DK60" i="45"/>
  <c r="DM60" i="45"/>
  <c r="DM81" i="45"/>
  <c r="DK81" i="45"/>
  <c r="L463" i="44"/>
  <c r="C544" i="44"/>
  <c r="AG188" i="65"/>
  <c r="Y189" i="65"/>
  <c r="C541" i="44"/>
  <c r="L460" i="44"/>
  <c r="L734" i="44"/>
  <c r="C815" i="44"/>
  <c r="E488" i="44"/>
  <c r="E489" i="44" s="1"/>
  <c r="E490" i="44" s="1"/>
  <c r="E491" i="44" s="1"/>
  <c r="E492" i="44" s="1"/>
  <c r="E493" i="44" s="1"/>
  <c r="E494" i="44" s="1"/>
  <c r="E495" i="44" s="1"/>
  <c r="E496" i="44" s="1"/>
  <c r="E497" i="44" s="1"/>
  <c r="E498" i="44" s="1"/>
  <c r="E499" i="44" s="1"/>
  <c r="E500" i="44" s="1"/>
  <c r="E501" i="44" s="1"/>
  <c r="E502" i="44" s="1"/>
  <c r="E503" i="44" s="1"/>
  <c r="E504" i="44" s="1"/>
  <c r="E505" i="44" s="1"/>
  <c r="E506" i="44" s="1"/>
  <c r="E507" i="44" s="1"/>
  <c r="E508" i="44" s="1"/>
  <c r="E509" i="44" s="1"/>
  <c r="E510" i="44" s="1"/>
  <c r="E511" i="44" s="1"/>
  <c r="E512" i="44" s="1"/>
  <c r="E513" i="44" s="1"/>
  <c r="E514" i="44" s="1"/>
  <c r="E515" i="44" s="1"/>
  <c r="E516" i="44" s="1"/>
  <c r="E517" i="44" s="1"/>
  <c r="E518" i="44" s="1"/>
  <c r="E519" i="44" s="1"/>
  <c r="E520" i="44" s="1"/>
  <c r="E521" i="44" s="1"/>
  <c r="E522" i="44" s="1"/>
  <c r="E523" i="44" s="1"/>
  <c r="E524" i="44" s="1"/>
  <c r="E525" i="44" s="1"/>
  <c r="E526" i="44" s="1"/>
  <c r="E527" i="44" s="1"/>
  <c r="E528" i="44" s="1"/>
  <c r="E529" i="44" s="1"/>
  <c r="E530" i="44" s="1"/>
  <c r="E531" i="44" s="1"/>
  <c r="E532" i="44" s="1"/>
  <c r="E533" i="44" s="1"/>
  <c r="E534" i="44" s="1"/>
  <c r="E535" i="44" s="1"/>
  <c r="E536" i="44" s="1"/>
  <c r="E537" i="44" s="1"/>
  <c r="E538" i="44" s="1"/>
  <c r="E539" i="44" s="1"/>
  <c r="E540" i="44" s="1"/>
  <c r="E541" i="44" s="1"/>
  <c r="E542" i="44" s="1"/>
  <c r="E543" i="44" s="1"/>
  <c r="E544" i="44" s="1"/>
  <c r="E545" i="44" s="1"/>
  <c r="E546" i="44" s="1"/>
  <c r="E547" i="44" s="1"/>
  <c r="E548" i="44" s="1"/>
  <c r="E549" i="44" s="1"/>
  <c r="E550" i="44" s="1"/>
  <c r="E551" i="44" s="1"/>
  <c r="E552" i="44" s="1"/>
  <c r="E553" i="44" s="1"/>
  <c r="E554" i="44" s="1"/>
  <c r="E555" i="44" s="1"/>
  <c r="E556" i="44" s="1"/>
  <c r="E557" i="44" s="1"/>
  <c r="E558" i="44" s="1"/>
  <c r="E559" i="44" s="1"/>
  <c r="E560" i="44" s="1"/>
  <c r="E561" i="44" s="1"/>
  <c r="E562" i="44" s="1"/>
  <c r="E482" i="44"/>
  <c r="E483" i="44" s="1"/>
  <c r="E484" i="44" s="1"/>
  <c r="E485" i="44" s="1"/>
  <c r="E486" i="44" s="1"/>
  <c r="E487" i="44" s="1"/>
  <c r="DK95" i="45"/>
  <c r="DM95" i="45"/>
  <c r="EJ13" i="45"/>
  <c r="EK13" i="45"/>
  <c r="EN13" i="45"/>
  <c r="EM13" i="45"/>
  <c r="EQ119" i="45" l="1"/>
  <c r="EI119" i="45"/>
  <c r="EP119" i="45"/>
  <c r="EM119" i="45"/>
  <c r="EO119" i="45"/>
  <c r="EL119" i="45"/>
  <c r="EN119" i="45"/>
  <c r="EK119" i="45"/>
  <c r="EJ119" i="45"/>
  <c r="DE119" i="45"/>
  <c r="L649" i="44"/>
  <c r="C730" i="44"/>
  <c r="Y324" i="65"/>
  <c r="AG323" i="65"/>
  <c r="AG839" i="49"/>
  <c r="Y840" i="49"/>
  <c r="L533" i="44"/>
  <c r="C614" i="44"/>
  <c r="AG693" i="65"/>
  <c r="Y694" i="65"/>
  <c r="Y132" i="65"/>
  <c r="AG131" i="65"/>
  <c r="AG801" i="65"/>
  <c r="Y802" i="65"/>
  <c r="AG56" i="65"/>
  <c r="Y57" i="65"/>
  <c r="C939" i="44"/>
  <c r="L939" i="44" s="1"/>
  <c r="L858" i="44"/>
  <c r="Y551" i="49"/>
  <c r="AG550" i="49"/>
  <c r="L669" i="44"/>
  <c r="C750" i="44"/>
  <c r="Y382" i="65"/>
  <c r="AG381" i="65"/>
  <c r="Y312" i="65"/>
  <c r="AG311" i="65"/>
  <c r="CW119" i="45"/>
  <c r="Y502" i="65"/>
  <c r="AG501" i="65"/>
  <c r="L537" i="44"/>
  <c r="C618" i="44"/>
  <c r="L529" i="44"/>
  <c r="C610" i="44"/>
  <c r="Y346" i="65"/>
  <c r="AG345" i="65"/>
  <c r="Y706" i="65"/>
  <c r="AG705" i="65"/>
  <c r="L839" i="44"/>
  <c r="C920" i="44"/>
  <c r="L920" i="44" s="1"/>
  <c r="Y875" i="65"/>
  <c r="AG874" i="65"/>
  <c r="AG573" i="65"/>
  <c r="Y574" i="65"/>
  <c r="C928" i="44"/>
  <c r="L928" i="44" s="1"/>
  <c r="L847" i="44"/>
  <c r="C782" i="44"/>
  <c r="L701" i="44"/>
  <c r="L608" i="44"/>
  <c r="C689" i="44"/>
  <c r="Y394" i="65"/>
  <c r="AG393" i="65"/>
  <c r="C963" i="44"/>
  <c r="L963" i="44" s="1"/>
  <c r="L882" i="44"/>
  <c r="AG754" i="65"/>
  <c r="Y755" i="65"/>
  <c r="AG563" i="49"/>
  <c r="Y564" i="49"/>
  <c r="DD119" i="45"/>
  <c r="Y912" i="65"/>
  <c r="AG911" i="65"/>
  <c r="AG825" i="65"/>
  <c r="Y826" i="65"/>
  <c r="DK36" i="45"/>
  <c r="DM36" i="45"/>
  <c r="AG693" i="49"/>
  <c r="Y694" i="49"/>
  <c r="C626" i="44"/>
  <c r="L545" i="44"/>
  <c r="L693" i="44"/>
  <c r="C774" i="44"/>
  <c r="Y358" i="65"/>
  <c r="AG357" i="65"/>
  <c r="L525" i="44"/>
  <c r="C606" i="44"/>
  <c r="L512" i="44"/>
  <c r="C593" i="44"/>
  <c r="Y81" i="65"/>
  <c r="AG80" i="65"/>
  <c r="L517" i="44"/>
  <c r="C598" i="44"/>
  <c r="L528" i="44"/>
  <c r="C609" i="44"/>
  <c r="AG621" i="49"/>
  <c r="Y622" i="49"/>
  <c r="L509" i="44"/>
  <c r="C590" i="44"/>
  <c r="Y190" i="65"/>
  <c r="AG189" i="65"/>
  <c r="DK68" i="45"/>
  <c r="DM68" i="45"/>
  <c r="L722" i="44"/>
  <c r="C803" i="44"/>
  <c r="Y238" i="65"/>
  <c r="AG237" i="65"/>
  <c r="C731" i="44"/>
  <c r="L650" i="44"/>
  <c r="Y21" i="65"/>
  <c r="AG20" i="65"/>
  <c r="C923" i="44"/>
  <c r="L923" i="44" s="1"/>
  <c r="L842" i="44"/>
  <c r="D569" i="44"/>
  <c r="D570" i="44" s="1"/>
  <c r="D571" i="44" s="1"/>
  <c r="D572" i="44" s="1"/>
  <c r="D573" i="44" s="1"/>
  <c r="D574" i="44" s="1"/>
  <c r="D575" i="44" s="1"/>
  <c r="D576" i="44" s="1"/>
  <c r="D577" i="44" s="1"/>
  <c r="D578" i="44" s="1"/>
  <c r="D579" i="44" s="1"/>
  <c r="D580" i="44" s="1"/>
  <c r="D581" i="44" s="1"/>
  <c r="D582" i="44" s="1"/>
  <c r="D583" i="44" s="1"/>
  <c r="D584" i="44" s="1"/>
  <c r="D585" i="44" s="1"/>
  <c r="D586" i="44" s="1"/>
  <c r="D587" i="44" s="1"/>
  <c r="D588" i="44" s="1"/>
  <c r="D589" i="44" s="1"/>
  <c r="D590" i="44" s="1"/>
  <c r="D591" i="44" s="1"/>
  <c r="D592" i="44" s="1"/>
  <c r="D593" i="44" s="1"/>
  <c r="D594" i="44" s="1"/>
  <c r="D595" i="44" s="1"/>
  <c r="D596" i="44" s="1"/>
  <c r="D597" i="44" s="1"/>
  <c r="D598" i="44" s="1"/>
  <c r="D599" i="44" s="1"/>
  <c r="D600" i="44" s="1"/>
  <c r="D601" i="44" s="1"/>
  <c r="D602" i="44" s="1"/>
  <c r="D603" i="44" s="1"/>
  <c r="D604" i="44" s="1"/>
  <c r="D605" i="44" s="1"/>
  <c r="D606" i="44" s="1"/>
  <c r="D607" i="44" s="1"/>
  <c r="D608" i="44" s="1"/>
  <c r="D609" i="44" s="1"/>
  <c r="D610" i="44" s="1"/>
  <c r="D611" i="44" s="1"/>
  <c r="D612" i="44" s="1"/>
  <c r="D613" i="44" s="1"/>
  <c r="D614" i="44" s="1"/>
  <c r="D615" i="44" s="1"/>
  <c r="D616" i="44" s="1"/>
  <c r="D617" i="44" s="1"/>
  <c r="D618" i="44" s="1"/>
  <c r="D619" i="44" s="1"/>
  <c r="D620" i="44" s="1"/>
  <c r="D621" i="44" s="1"/>
  <c r="D622" i="44" s="1"/>
  <c r="D623" i="44" s="1"/>
  <c r="D624" i="44" s="1"/>
  <c r="D625" i="44" s="1"/>
  <c r="D626" i="44" s="1"/>
  <c r="D627" i="44" s="1"/>
  <c r="D628" i="44" s="1"/>
  <c r="D629" i="44" s="1"/>
  <c r="D630" i="44" s="1"/>
  <c r="D631" i="44" s="1"/>
  <c r="D632" i="44" s="1"/>
  <c r="D633" i="44" s="1"/>
  <c r="D634" i="44" s="1"/>
  <c r="D635" i="44" s="1"/>
  <c r="D636" i="44" s="1"/>
  <c r="D637" i="44" s="1"/>
  <c r="D638" i="44" s="1"/>
  <c r="D639" i="44" s="1"/>
  <c r="D640" i="44" s="1"/>
  <c r="D641" i="44" s="1"/>
  <c r="D642" i="44" s="1"/>
  <c r="D643" i="44" s="1"/>
  <c r="D563" i="44"/>
  <c r="D564" i="44" s="1"/>
  <c r="D565" i="44" s="1"/>
  <c r="D566" i="44" s="1"/>
  <c r="D567" i="44" s="1"/>
  <c r="D568" i="44" s="1"/>
  <c r="L505" i="44"/>
  <c r="C586" i="44"/>
  <c r="AG597" i="49"/>
  <c r="Y598" i="49"/>
  <c r="L513" i="44"/>
  <c r="C594" i="44"/>
  <c r="C931" i="44"/>
  <c r="L931" i="44" s="1"/>
  <c r="L850" i="44"/>
  <c r="DK71" i="45"/>
  <c r="DM71" i="45"/>
  <c r="DA119" i="45"/>
  <c r="DC119" i="45"/>
  <c r="Y406" i="65"/>
  <c r="AG405" i="65"/>
  <c r="L521" i="44"/>
  <c r="C602" i="44"/>
  <c r="Y839" i="65"/>
  <c r="AG838" i="65"/>
  <c r="Y634" i="65"/>
  <c r="AG633" i="65"/>
  <c r="L567" i="44"/>
  <c r="C648" i="44"/>
  <c r="M88" i="43"/>
  <c r="M89" i="43" s="1"/>
  <c r="K569" i="44"/>
  <c r="Y910" i="49"/>
  <c r="AG909" i="49"/>
  <c r="Y863" i="49"/>
  <c r="AG862" i="49"/>
  <c r="Y442" i="65"/>
  <c r="AG441" i="65"/>
  <c r="DK94" i="45"/>
  <c r="DM94" i="45"/>
  <c r="S119" i="45"/>
  <c r="R134" i="45"/>
  <c r="R138" i="45"/>
  <c r="AG88" i="43"/>
  <c r="R122" i="45"/>
  <c r="Y370" i="65"/>
  <c r="AG369" i="65"/>
  <c r="CZ119" i="45"/>
  <c r="DB119" i="45"/>
  <c r="C739" i="44"/>
  <c r="L658" i="44"/>
  <c r="Y300" i="65"/>
  <c r="AG299" i="65"/>
  <c r="Y430" i="65"/>
  <c r="AG429" i="65"/>
  <c r="AG94" i="65"/>
  <c r="Y95" i="65"/>
  <c r="DK52" i="45"/>
  <c r="DM52" i="45"/>
  <c r="Y681" i="49"/>
  <c r="AG680" i="49"/>
  <c r="Y70" i="65"/>
  <c r="AG69" i="65"/>
  <c r="DK40" i="45"/>
  <c r="DM40" i="45"/>
  <c r="L541" i="44"/>
  <c r="C622" i="44"/>
  <c r="L885" i="44"/>
  <c r="C966" i="44"/>
  <c r="L966" i="44" s="1"/>
  <c r="L646" i="44"/>
  <c r="C727" i="44"/>
  <c r="C795" i="44"/>
  <c r="L714" i="44"/>
  <c r="Y864" i="65"/>
  <c r="AG863" i="65"/>
  <c r="Y214" i="65"/>
  <c r="AG213" i="65"/>
  <c r="Y682" i="65"/>
  <c r="AG681" i="65"/>
  <c r="L536" i="44"/>
  <c r="C617" i="44"/>
  <c r="AG489" i="49"/>
  <c r="Y490" i="49"/>
  <c r="Y490" i="65"/>
  <c r="AG489" i="65"/>
  <c r="L540" i="44"/>
  <c r="C621" i="44"/>
  <c r="AG765" i="65"/>
  <c r="Y766" i="65"/>
  <c r="C625" i="44"/>
  <c r="L544" i="44"/>
  <c r="AG286" i="65"/>
  <c r="Y287" i="65"/>
  <c r="Y156" i="65"/>
  <c r="AG155" i="65"/>
  <c r="C711" i="44"/>
  <c r="L630" i="44"/>
  <c r="Y514" i="65"/>
  <c r="AG513" i="65"/>
  <c r="C899" i="44"/>
  <c r="L899" i="44" s="1"/>
  <c r="L818" i="44"/>
  <c r="Y264" i="65"/>
  <c r="AG263" i="65"/>
  <c r="L493" i="44"/>
  <c r="C574" i="44"/>
  <c r="CY119" i="45"/>
  <c r="Y466" i="65"/>
  <c r="AG465" i="65"/>
  <c r="AG934" i="49"/>
  <c r="Y935" i="49"/>
  <c r="Y611" i="49"/>
  <c r="AG610" i="49"/>
  <c r="DK76" i="45"/>
  <c r="DM76" i="45"/>
  <c r="Y168" i="65"/>
  <c r="AG167" i="65"/>
  <c r="AG142" i="65"/>
  <c r="Y143" i="65"/>
  <c r="N7" i="43"/>
  <c r="K652" i="44" s="1"/>
  <c r="N11" i="43"/>
  <c r="K656" i="44" s="1"/>
  <c r="N15" i="43"/>
  <c r="K660" i="44" s="1"/>
  <c r="N19" i="43"/>
  <c r="K664" i="44" s="1"/>
  <c r="N23" i="43"/>
  <c r="K668" i="44" s="1"/>
  <c r="N27" i="43"/>
  <c r="K672" i="44" s="1"/>
  <c r="N35" i="43"/>
  <c r="K680" i="44" s="1"/>
  <c r="N41" i="43"/>
  <c r="K686" i="44" s="1"/>
  <c r="N45" i="43"/>
  <c r="K690" i="44" s="1"/>
  <c r="N49" i="43"/>
  <c r="K694" i="44" s="1"/>
  <c r="N70" i="43"/>
  <c r="K715" i="44" s="1"/>
  <c r="N79" i="43"/>
  <c r="K723" i="44" s="1"/>
  <c r="N32" i="43"/>
  <c r="K677" i="44" s="1"/>
  <c r="N54" i="43"/>
  <c r="K699" i="44" s="1"/>
  <c r="N58" i="43"/>
  <c r="K703" i="44" s="1"/>
  <c r="N62" i="43"/>
  <c r="K707" i="44" s="1"/>
  <c r="N66" i="43"/>
  <c r="K711" i="44" s="1"/>
  <c r="N76" i="43"/>
  <c r="K720" i="44" s="1"/>
  <c r="N84" i="43"/>
  <c r="K728" i="44" s="1"/>
  <c r="N6" i="43"/>
  <c r="K651" i="44" s="1"/>
  <c r="N10" i="43"/>
  <c r="K655" i="44" s="1"/>
  <c r="N14" i="43"/>
  <c r="K659" i="44" s="1"/>
  <c r="N18" i="43"/>
  <c r="K663" i="44" s="1"/>
  <c r="N22" i="43"/>
  <c r="K667" i="44" s="1"/>
  <c r="N26" i="43"/>
  <c r="K671" i="44" s="1"/>
  <c r="N29" i="43"/>
  <c r="K674" i="44" s="1"/>
  <c r="N37" i="43"/>
  <c r="K682" i="44" s="1"/>
  <c r="N40" i="43"/>
  <c r="K685" i="44" s="1"/>
  <c r="N44" i="43"/>
  <c r="K689" i="44" s="1"/>
  <c r="N48" i="43"/>
  <c r="K693" i="44" s="1"/>
  <c r="N51" i="43"/>
  <c r="K696" i="44" s="1"/>
  <c r="N73" i="43"/>
  <c r="N81" i="43"/>
  <c r="K725" i="44" s="1"/>
  <c r="N34" i="43"/>
  <c r="K679" i="44" s="1"/>
  <c r="N57" i="43"/>
  <c r="K702" i="44" s="1"/>
  <c r="N61" i="43"/>
  <c r="K706" i="44" s="1"/>
  <c r="N65" i="43"/>
  <c r="K710" i="44" s="1"/>
  <c r="N69" i="43"/>
  <c r="K714" i="44" s="1"/>
  <c r="N78" i="43"/>
  <c r="K722" i="44" s="1"/>
  <c r="N86" i="43"/>
  <c r="K730" i="44" s="1"/>
  <c r="N5" i="43"/>
  <c r="N9" i="43"/>
  <c r="K654" i="44" s="1"/>
  <c r="N13" i="43"/>
  <c r="K658" i="44" s="1"/>
  <c r="N17" i="43"/>
  <c r="K662" i="44" s="1"/>
  <c r="N21" i="43"/>
  <c r="K666" i="44" s="1"/>
  <c r="N25" i="43"/>
  <c r="K670" i="44" s="1"/>
  <c r="N31" i="43"/>
  <c r="K676" i="44" s="1"/>
  <c r="N39" i="43"/>
  <c r="K684" i="44" s="1"/>
  <c r="N43" i="43"/>
  <c r="K688" i="44" s="1"/>
  <c r="N47" i="43"/>
  <c r="K692" i="44" s="1"/>
  <c r="N53" i="43"/>
  <c r="K698" i="44" s="1"/>
  <c r="N72" i="43"/>
  <c r="K717" i="44" s="1"/>
  <c r="N75" i="43"/>
  <c r="K719" i="44" s="1"/>
  <c r="N83" i="43"/>
  <c r="K727" i="44" s="1"/>
  <c r="O2" i="43"/>
  <c r="N28" i="43"/>
  <c r="K673" i="44" s="1"/>
  <c r="N36" i="43"/>
  <c r="K681" i="44" s="1"/>
  <c r="N50" i="43"/>
  <c r="K695" i="44" s="1"/>
  <c r="N56" i="43"/>
  <c r="K701" i="44" s="1"/>
  <c r="N60" i="43"/>
  <c r="K705" i="44" s="1"/>
  <c r="N64" i="43"/>
  <c r="K709" i="44" s="1"/>
  <c r="N68" i="43"/>
  <c r="K713" i="44" s="1"/>
  <c r="N80" i="43"/>
  <c r="K724" i="44" s="1"/>
  <c r="N8" i="43"/>
  <c r="K653" i="44" s="1"/>
  <c r="N12" i="43"/>
  <c r="K657" i="44" s="1"/>
  <c r="N16" i="43"/>
  <c r="K661" i="44" s="1"/>
  <c r="N20" i="43"/>
  <c r="K665" i="44" s="1"/>
  <c r="N24" i="43"/>
  <c r="K669" i="44" s="1"/>
  <c r="N33" i="43"/>
  <c r="K678" i="44" s="1"/>
  <c r="N42" i="43"/>
  <c r="K687" i="44" s="1"/>
  <c r="N46" i="43"/>
  <c r="K691" i="44" s="1"/>
  <c r="N71" i="43"/>
  <c r="K716" i="44" s="1"/>
  <c r="N77" i="43"/>
  <c r="K721" i="44" s="1"/>
  <c r="N85" i="43"/>
  <c r="K729" i="44" s="1"/>
  <c r="N30" i="43"/>
  <c r="K675" i="44" s="1"/>
  <c r="N38" i="43"/>
  <c r="K683" i="44" s="1"/>
  <c r="N52" i="43"/>
  <c r="K697" i="44" s="1"/>
  <c r="N55" i="43"/>
  <c r="K700" i="44" s="1"/>
  <c r="N59" i="43"/>
  <c r="K704" i="44" s="1"/>
  <c r="N63" i="43"/>
  <c r="K708" i="44" s="1"/>
  <c r="N67" i="43"/>
  <c r="K712" i="44" s="1"/>
  <c r="N74" i="43"/>
  <c r="K718" i="44" s="1"/>
  <c r="N82" i="43"/>
  <c r="K726" i="44" s="1"/>
  <c r="C597" i="44"/>
  <c r="L516" i="44"/>
  <c r="AG645" i="65"/>
  <c r="Y646" i="65"/>
  <c r="Y586" i="65"/>
  <c r="AG585" i="65"/>
  <c r="E569" i="44"/>
  <c r="E570" i="44" s="1"/>
  <c r="E571" i="44" s="1"/>
  <c r="E572" i="44" s="1"/>
  <c r="E573" i="44" s="1"/>
  <c r="E574" i="44" s="1"/>
  <c r="E575" i="44" s="1"/>
  <c r="E576" i="44" s="1"/>
  <c r="E577" i="44" s="1"/>
  <c r="E578" i="44" s="1"/>
  <c r="E579" i="44" s="1"/>
  <c r="E580" i="44" s="1"/>
  <c r="E581" i="44" s="1"/>
  <c r="E582" i="44" s="1"/>
  <c r="E583" i="44" s="1"/>
  <c r="E584" i="44" s="1"/>
  <c r="E585" i="44" s="1"/>
  <c r="E586" i="44" s="1"/>
  <c r="E587" i="44" s="1"/>
  <c r="E588" i="44" s="1"/>
  <c r="E589" i="44" s="1"/>
  <c r="E590" i="44" s="1"/>
  <c r="E591" i="44" s="1"/>
  <c r="E592" i="44" s="1"/>
  <c r="E593" i="44" s="1"/>
  <c r="E594" i="44" s="1"/>
  <c r="E595" i="44" s="1"/>
  <c r="E596" i="44" s="1"/>
  <c r="E597" i="44" s="1"/>
  <c r="E598" i="44" s="1"/>
  <c r="E599" i="44" s="1"/>
  <c r="E600" i="44" s="1"/>
  <c r="E601" i="44" s="1"/>
  <c r="E602" i="44" s="1"/>
  <c r="E603" i="44" s="1"/>
  <c r="E604" i="44" s="1"/>
  <c r="E605" i="44" s="1"/>
  <c r="E606" i="44" s="1"/>
  <c r="E607" i="44" s="1"/>
  <c r="E608" i="44" s="1"/>
  <c r="E609" i="44" s="1"/>
  <c r="E610" i="44" s="1"/>
  <c r="E611" i="44" s="1"/>
  <c r="E612" i="44" s="1"/>
  <c r="E613" i="44" s="1"/>
  <c r="E614" i="44" s="1"/>
  <c r="E615" i="44" s="1"/>
  <c r="E616" i="44" s="1"/>
  <c r="E617" i="44" s="1"/>
  <c r="E618" i="44" s="1"/>
  <c r="E619" i="44" s="1"/>
  <c r="E620" i="44" s="1"/>
  <c r="E621" i="44" s="1"/>
  <c r="E622" i="44" s="1"/>
  <c r="E623" i="44" s="1"/>
  <c r="E624" i="44" s="1"/>
  <c r="E625" i="44" s="1"/>
  <c r="E626" i="44" s="1"/>
  <c r="E627" i="44" s="1"/>
  <c r="E628" i="44" s="1"/>
  <c r="E629" i="44" s="1"/>
  <c r="E630" i="44" s="1"/>
  <c r="E631" i="44" s="1"/>
  <c r="E632" i="44" s="1"/>
  <c r="E633" i="44" s="1"/>
  <c r="E634" i="44" s="1"/>
  <c r="E635" i="44" s="1"/>
  <c r="E636" i="44" s="1"/>
  <c r="E637" i="44" s="1"/>
  <c r="E638" i="44" s="1"/>
  <c r="E639" i="44" s="1"/>
  <c r="E640" i="44" s="1"/>
  <c r="E641" i="44" s="1"/>
  <c r="E642" i="44" s="1"/>
  <c r="E643" i="44" s="1"/>
  <c r="E563" i="44"/>
  <c r="E564" i="44" s="1"/>
  <c r="E565" i="44" s="1"/>
  <c r="E566" i="44" s="1"/>
  <c r="E567" i="44" s="1"/>
  <c r="E568" i="44" s="1"/>
  <c r="Y538" i="65"/>
  <c r="AG537" i="65"/>
  <c r="AG657" i="49"/>
  <c r="Y658" i="49"/>
  <c r="AG717" i="65"/>
  <c r="Y718" i="65"/>
  <c r="L520" i="44"/>
  <c r="C601" i="44"/>
  <c r="Y526" i="65"/>
  <c r="AG525" i="65"/>
  <c r="DK87" i="45"/>
  <c r="DM87" i="45"/>
  <c r="L704" i="44"/>
  <c r="C785" i="44"/>
  <c r="C578" i="44"/>
  <c r="L497" i="44"/>
  <c r="Y418" i="65"/>
  <c r="AG417" i="65"/>
  <c r="Y923" i="65"/>
  <c r="AG922" i="65"/>
  <c r="C589" i="44"/>
  <c r="L508" i="44"/>
  <c r="AG742" i="65"/>
  <c r="Y743" i="65"/>
  <c r="CM13" i="45"/>
  <c r="DF13" i="45" s="1"/>
  <c r="BU13" i="45"/>
  <c r="L532" i="44"/>
  <c r="C613" i="44"/>
  <c r="Y658" i="65"/>
  <c r="AG657" i="65"/>
  <c r="C823" i="44"/>
  <c r="L742" i="44"/>
  <c r="C692" i="44"/>
  <c r="L611" i="44"/>
  <c r="Y562" i="65"/>
  <c r="AG561" i="65"/>
  <c r="AG669" i="65"/>
  <c r="Y670" i="65"/>
  <c r="DK103" i="45"/>
  <c r="DM103" i="45"/>
  <c r="L871" i="44"/>
  <c r="C952" i="44"/>
  <c r="L952" i="44" s="1"/>
  <c r="AG645" i="49"/>
  <c r="Y646" i="49"/>
  <c r="L877" i="44"/>
  <c r="C958" i="44"/>
  <c r="L958" i="44" s="1"/>
  <c r="C896" i="44"/>
  <c r="L896" i="44" s="1"/>
  <c r="L815" i="44"/>
  <c r="Y478" i="65"/>
  <c r="AG477" i="65"/>
  <c r="L638" i="44"/>
  <c r="C719" i="44"/>
  <c r="Y550" i="65"/>
  <c r="AG549" i="65"/>
  <c r="L728" i="44"/>
  <c r="C809" i="44"/>
  <c r="L524" i="44"/>
  <c r="C605" i="44"/>
  <c r="DK48" i="45"/>
  <c r="DM48" i="45"/>
  <c r="AG669" i="49"/>
  <c r="Y670" i="49"/>
  <c r="AG597" i="65"/>
  <c r="Y598" i="65"/>
  <c r="DM100" i="45"/>
  <c r="DK100" i="45"/>
  <c r="L635" i="44"/>
  <c r="C716" i="44"/>
  <c r="L645" i="44"/>
  <c r="C726" i="44"/>
  <c r="C961" i="44"/>
  <c r="L961" i="44" s="1"/>
  <c r="L880" i="44"/>
  <c r="C585" i="44"/>
  <c r="L504" i="44"/>
  <c r="CX119" i="45"/>
  <c r="Y454" i="65"/>
  <c r="AG453" i="65"/>
  <c r="Y276" i="65"/>
  <c r="AG275" i="65"/>
  <c r="Y610" i="65"/>
  <c r="AG609" i="65"/>
  <c r="AG47" i="65"/>
  <c r="Y48" i="65"/>
  <c r="AG621" i="65"/>
  <c r="Y622" i="65"/>
  <c r="L624" i="44"/>
  <c r="C705" i="44"/>
  <c r="Y202" i="65"/>
  <c r="AG201" i="65"/>
  <c r="L643" i="44"/>
  <c r="C724" i="44"/>
  <c r="C582" i="44"/>
  <c r="L501" i="44"/>
  <c r="ER13" i="45"/>
  <c r="ER119" i="45" l="1"/>
  <c r="AG550" i="65"/>
  <c r="Y551" i="65"/>
  <c r="AG658" i="65"/>
  <c r="Y659" i="65"/>
  <c r="L589" i="44"/>
  <c r="C670" i="44"/>
  <c r="AG586" i="65"/>
  <c r="Y587" i="65"/>
  <c r="Y144" i="65"/>
  <c r="AG143" i="65"/>
  <c r="Y936" i="49"/>
  <c r="AG935" i="49"/>
  <c r="AG264" i="65"/>
  <c r="Y265" i="65"/>
  <c r="AG265" i="65" s="1"/>
  <c r="AG156" i="65"/>
  <c r="Y157" i="65"/>
  <c r="AG157" i="65" s="1"/>
  <c r="AG682" i="65"/>
  <c r="Y683" i="65"/>
  <c r="Y71" i="65"/>
  <c r="AG70" i="65"/>
  <c r="AG430" i="65"/>
  <c r="Y431" i="65"/>
  <c r="AG370" i="65"/>
  <c r="Y371" i="65"/>
  <c r="C729" i="44"/>
  <c r="L648" i="44"/>
  <c r="C675" i="44"/>
  <c r="L594" i="44"/>
  <c r="L803" i="44"/>
  <c r="C884" i="44"/>
  <c r="Y623" i="49"/>
  <c r="AG622" i="49"/>
  <c r="L593" i="44"/>
  <c r="C674" i="44"/>
  <c r="AG706" i="65"/>
  <c r="Y707" i="65"/>
  <c r="AG502" i="65"/>
  <c r="Y503" i="65"/>
  <c r="AG658" i="49"/>
  <c r="Y659" i="49"/>
  <c r="AG646" i="65"/>
  <c r="Y647" i="65"/>
  <c r="O30" i="43"/>
  <c r="K756" i="44" s="1"/>
  <c r="O38" i="43"/>
  <c r="K764" i="44" s="1"/>
  <c r="O52" i="43"/>
  <c r="K778" i="44" s="1"/>
  <c r="O55" i="43"/>
  <c r="K781" i="44" s="1"/>
  <c r="O59" i="43"/>
  <c r="K785" i="44" s="1"/>
  <c r="O63" i="43"/>
  <c r="K789" i="44" s="1"/>
  <c r="O67" i="43"/>
  <c r="K793" i="44" s="1"/>
  <c r="O74" i="43"/>
  <c r="K799" i="44" s="1"/>
  <c r="O82" i="43"/>
  <c r="K807" i="44" s="1"/>
  <c r="O7" i="43"/>
  <c r="K733" i="44" s="1"/>
  <c r="O11" i="43"/>
  <c r="K737" i="44" s="1"/>
  <c r="O15" i="43"/>
  <c r="K741" i="44" s="1"/>
  <c r="O19" i="43"/>
  <c r="K745" i="44" s="1"/>
  <c r="O23" i="43"/>
  <c r="K749" i="44" s="1"/>
  <c r="O27" i="43"/>
  <c r="K753" i="44" s="1"/>
  <c r="O35" i="43"/>
  <c r="K761" i="44" s="1"/>
  <c r="O41" i="43"/>
  <c r="K767" i="44" s="1"/>
  <c r="O45" i="43"/>
  <c r="K771" i="44" s="1"/>
  <c r="O49" i="43"/>
  <c r="K775" i="44" s="1"/>
  <c r="O70" i="43"/>
  <c r="K796" i="44" s="1"/>
  <c r="O79" i="43"/>
  <c r="K804" i="44" s="1"/>
  <c r="O32" i="43"/>
  <c r="K758" i="44" s="1"/>
  <c r="O54" i="43"/>
  <c r="K780" i="44" s="1"/>
  <c r="O58" i="43"/>
  <c r="K784" i="44" s="1"/>
  <c r="O62" i="43"/>
  <c r="K788" i="44" s="1"/>
  <c r="O66" i="43"/>
  <c r="K792" i="44" s="1"/>
  <c r="O76" i="43"/>
  <c r="K801" i="44" s="1"/>
  <c r="O84" i="43"/>
  <c r="K809" i="44" s="1"/>
  <c r="O6" i="43"/>
  <c r="K732" i="44" s="1"/>
  <c r="O10" i="43"/>
  <c r="K736" i="44" s="1"/>
  <c r="O14" i="43"/>
  <c r="K740" i="44" s="1"/>
  <c r="O18" i="43"/>
  <c r="K744" i="44" s="1"/>
  <c r="O22" i="43"/>
  <c r="K748" i="44" s="1"/>
  <c r="O26" i="43"/>
  <c r="K752" i="44" s="1"/>
  <c r="O29" i="43"/>
  <c r="K755" i="44" s="1"/>
  <c r="O37" i="43"/>
  <c r="K763" i="44" s="1"/>
  <c r="O40" i="43"/>
  <c r="K766" i="44" s="1"/>
  <c r="O44" i="43"/>
  <c r="K770" i="44" s="1"/>
  <c r="O48" i="43"/>
  <c r="K774" i="44" s="1"/>
  <c r="O51" i="43"/>
  <c r="K777" i="44" s="1"/>
  <c r="O73" i="43"/>
  <c r="O81" i="43"/>
  <c r="K806" i="44" s="1"/>
  <c r="O34" i="43"/>
  <c r="K760" i="44" s="1"/>
  <c r="O57" i="43"/>
  <c r="K783" i="44" s="1"/>
  <c r="O61" i="43"/>
  <c r="K787" i="44" s="1"/>
  <c r="O65" i="43"/>
  <c r="K791" i="44" s="1"/>
  <c r="O69" i="43"/>
  <c r="K795" i="44" s="1"/>
  <c r="O78" i="43"/>
  <c r="K803" i="44" s="1"/>
  <c r="O86" i="43"/>
  <c r="K811" i="44" s="1"/>
  <c r="O5" i="43"/>
  <c r="O9" i="43"/>
  <c r="K735" i="44" s="1"/>
  <c r="O13" i="43"/>
  <c r="K739" i="44" s="1"/>
  <c r="O17" i="43"/>
  <c r="K743" i="44" s="1"/>
  <c r="O21" i="43"/>
  <c r="K747" i="44" s="1"/>
  <c r="O25" i="43"/>
  <c r="K751" i="44" s="1"/>
  <c r="O31" i="43"/>
  <c r="K757" i="44" s="1"/>
  <c r="O39" i="43"/>
  <c r="K765" i="44" s="1"/>
  <c r="O43" i="43"/>
  <c r="K769" i="44" s="1"/>
  <c r="O47" i="43"/>
  <c r="K773" i="44" s="1"/>
  <c r="O53" i="43"/>
  <c r="K779" i="44" s="1"/>
  <c r="O72" i="43"/>
  <c r="K798" i="44" s="1"/>
  <c r="O75" i="43"/>
  <c r="K800" i="44" s="1"/>
  <c r="O83" i="43"/>
  <c r="K808" i="44" s="1"/>
  <c r="P2" i="43"/>
  <c r="O28" i="43"/>
  <c r="K754" i="44" s="1"/>
  <c r="O36" i="43"/>
  <c r="K762" i="44" s="1"/>
  <c r="O50" i="43"/>
  <c r="K776" i="44" s="1"/>
  <c r="O56" i="43"/>
  <c r="K782" i="44" s="1"/>
  <c r="O60" i="43"/>
  <c r="K786" i="44" s="1"/>
  <c r="O64" i="43"/>
  <c r="K790" i="44" s="1"/>
  <c r="O68" i="43"/>
  <c r="K794" i="44" s="1"/>
  <c r="O80" i="43"/>
  <c r="K805" i="44" s="1"/>
  <c r="O8" i="43"/>
  <c r="K734" i="44" s="1"/>
  <c r="O12" i="43"/>
  <c r="K738" i="44" s="1"/>
  <c r="O16" i="43"/>
  <c r="K742" i="44" s="1"/>
  <c r="O20" i="43"/>
  <c r="K746" i="44" s="1"/>
  <c r="O24" i="43"/>
  <c r="K750" i="44" s="1"/>
  <c r="O33" i="43"/>
  <c r="K759" i="44" s="1"/>
  <c r="O42" i="43"/>
  <c r="K768" i="44" s="1"/>
  <c r="O46" i="43"/>
  <c r="K772" i="44" s="1"/>
  <c r="O71" i="43"/>
  <c r="K797" i="44" s="1"/>
  <c r="O77" i="43"/>
  <c r="K802" i="44" s="1"/>
  <c r="O85" i="43"/>
  <c r="K810" i="44" s="1"/>
  <c r="Y288" i="65"/>
  <c r="AG287" i="65"/>
  <c r="AG442" i="65"/>
  <c r="Y443" i="65"/>
  <c r="AG406" i="65"/>
  <c r="Y407" i="65"/>
  <c r="L626" i="44"/>
  <c r="C707" i="44"/>
  <c r="AG912" i="65"/>
  <c r="Y913" i="65"/>
  <c r="AG913" i="65" s="1"/>
  <c r="AG574" i="65"/>
  <c r="Y575" i="65"/>
  <c r="AG562" i="65"/>
  <c r="Y563" i="65"/>
  <c r="Y924" i="65"/>
  <c r="AG923" i="65"/>
  <c r="AG490" i="65"/>
  <c r="Y491" i="65"/>
  <c r="AG214" i="65"/>
  <c r="Y215" i="65"/>
  <c r="AG681" i="49"/>
  <c r="Y682" i="49"/>
  <c r="AG300" i="65"/>
  <c r="Y301" i="65"/>
  <c r="AG301" i="65" s="1"/>
  <c r="Y599" i="49"/>
  <c r="AG598" i="49"/>
  <c r="L609" i="44"/>
  <c r="C690" i="44"/>
  <c r="C687" i="44"/>
  <c r="L606" i="44"/>
  <c r="AG694" i="49"/>
  <c r="Y695" i="49"/>
  <c r="AG394" i="65"/>
  <c r="Y395" i="65"/>
  <c r="AG346" i="65"/>
  <c r="Y347" i="65"/>
  <c r="AG551" i="49"/>
  <c r="Y552" i="49"/>
  <c r="AG132" i="65"/>
  <c r="Y133" i="65"/>
  <c r="AG133" i="65" s="1"/>
  <c r="AG324" i="65"/>
  <c r="Y325" i="65"/>
  <c r="AG325" i="65" s="1"/>
  <c r="AG276" i="65"/>
  <c r="Y277" i="65"/>
  <c r="AG277" i="65" s="1"/>
  <c r="Y671" i="49"/>
  <c r="AG670" i="49"/>
  <c r="L582" i="44"/>
  <c r="C663" i="44"/>
  <c r="C797" i="44"/>
  <c r="L716" i="44"/>
  <c r="AG168" i="65"/>
  <c r="Y169" i="65"/>
  <c r="AG169" i="65" s="1"/>
  <c r="AG466" i="65"/>
  <c r="Y467" i="65"/>
  <c r="Y491" i="49"/>
  <c r="AG490" i="49"/>
  <c r="L622" i="44"/>
  <c r="C703" i="44"/>
  <c r="Y864" i="49"/>
  <c r="AG863" i="49"/>
  <c r="AG634" i="65"/>
  <c r="Y635" i="65"/>
  <c r="AG21" i="65"/>
  <c r="Y22" i="65"/>
  <c r="Y565" i="49"/>
  <c r="AG565" i="49" s="1"/>
  <c r="AG564" i="49"/>
  <c r="C770" i="44"/>
  <c r="L689" i="44"/>
  <c r="L610" i="44"/>
  <c r="C691" i="44"/>
  <c r="AG694" i="65"/>
  <c r="Y695" i="65"/>
  <c r="L730" i="44"/>
  <c r="C811" i="44"/>
  <c r="AG670" i="65"/>
  <c r="Y671" i="65"/>
  <c r="AG622" i="65"/>
  <c r="Y623" i="65"/>
  <c r="AG454" i="65"/>
  <c r="Y455" i="65"/>
  <c r="L719" i="44"/>
  <c r="C800" i="44"/>
  <c r="Y647" i="49"/>
  <c r="AG646" i="49"/>
  <c r="C694" i="44"/>
  <c r="L613" i="44"/>
  <c r="L724" i="44"/>
  <c r="C805" i="44"/>
  <c r="AG48" i="65"/>
  <c r="Y49" i="65"/>
  <c r="AG49" i="65" s="1"/>
  <c r="AG478" i="65"/>
  <c r="Y479" i="65"/>
  <c r="DF119" i="45"/>
  <c r="AG514" i="65"/>
  <c r="Y515" i="65"/>
  <c r="L625" i="44"/>
  <c r="C706" i="44"/>
  <c r="AG864" i="65"/>
  <c r="Y865" i="65"/>
  <c r="AG865" i="65" s="1"/>
  <c r="L739" i="44"/>
  <c r="C820" i="44"/>
  <c r="L586" i="44"/>
  <c r="C667" i="44"/>
  <c r="L598" i="44"/>
  <c r="C679" i="44"/>
  <c r="Y876" i="65"/>
  <c r="AG875" i="65"/>
  <c r="AG312" i="65"/>
  <c r="Y313" i="65"/>
  <c r="AG313" i="65" s="1"/>
  <c r="L605" i="44"/>
  <c r="C686" i="44"/>
  <c r="CN13" i="45"/>
  <c r="DG13" i="45" s="1"/>
  <c r="ES13" i="45" s="1"/>
  <c r="BV13" i="45"/>
  <c r="CO13" i="45" s="1"/>
  <c r="DH13" i="45" s="1"/>
  <c r="ET13" i="45" s="1"/>
  <c r="C666" i="44"/>
  <c r="L585" i="44"/>
  <c r="C773" i="44"/>
  <c r="L692" i="44"/>
  <c r="AG418" i="65"/>
  <c r="Y419" i="65"/>
  <c r="AG526" i="65"/>
  <c r="Y527" i="65"/>
  <c r="AG538" i="65"/>
  <c r="Y539" i="65"/>
  <c r="L597" i="44"/>
  <c r="C678" i="44"/>
  <c r="AG202" i="65"/>
  <c r="Y203" i="65"/>
  <c r="AG610" i="65"/>
  <c r="Y611" i="65"/>
  <c r="AG598" i="65"/>
  <c r="Y599" i="65"/>
  <c r="C890" i="44"/>
  <c r="L809" i="44"/>
  <c r="AG743" i="65"/>
  <c r="Y744" i="65"/>
  <c r="C682" i="44"/>
  <c r="L601" i="44"/>
  <c r="L574" i="44"/>
  <c r="C655" i="44"/>
  <c r="AG766" i="65"/>
  <c r="Y767" i="65"/>
  <c r="C698" i="44"/>
  <c r="L617" i="44"/>
  <c r="AG95" i="65"/>
  <c r="Y96" i="65"/>
  <c r="Y911" i="49"/>
  <c r="AG910" i="49"/>
  <c r="AG839" i="65"/>
  <c r="Y840" i="65"/>
  <c r="L731" i="44"/>
  <c r="C812" i="44"/>
  <c r="AG190" i="65"/>
  <c r="Y191" i="65"/>
  <c r="AG358" i="65"/>
  <c r="Y359" i="65"/>
  <c r="AG755" i="65"/>
  <c r="Y756" i="65"/>
  <c r="C699" i="44"/>
  <c r="L618" i="44"/>
  <c r="AG57" i="65"/>
  <c r="Y58" i="65"/>
  <c r="L614" i="44"/>
  <c r="C695" i="44"/>
  <c r="C904" i="44"/>
  <c r="L904" i="44" s="1"/>
  <c r="L823" i="44"/>
  <c r="L578" i="44"/>
  <c r="C659" i="44"/>
  <c r="E650" i="44"/>
  <c r="E651" i="44" s="1"/>
  <c r="E652" i="44" s="1"/>
  <c r="E653" i="44" s="1"/>
  <c r="E654" i="44" s="1"/>
  <c r="E655" i="44" s="1"/>
  <c r="E656" i="44" s="1"/>
  <c r="E657" i="44" s="1"/>
  <c r="E658" i="44" s="1"/>
  <c r="E659" i="44" s="1"/>
  <c r="E660" i="44" s="1"/>
  <c r="E661" i="44" s="1"/>
  <c r="E662" i="44" s="1"/>
  <c r="E663" i="44" s="1"/>
  <c r="E664" i="44" s="1"/>
  <c r="E665" i="44" s="1"/>
  <c r="E666" i="44" s="1"/>
  <c r="E667" i="44" s="1"/>
  <c r="E668" i="44" s="1"/>
  <c r="E669" i="44" s="1"/>
  <c r="E670" i="44" s="1"/>
  <c r="E671" i="44" s="1"/>
  <c r="E672" i="44" s="1"/>
  <c r="E673" i="44" s="1"/>
  <c r="E674" i="44" s="1"/>
  <c r="E675" i="44" s="1"/>
  <c r="E676" i="44" s="1"/>
  <c r="E677" i="44" s="1"/>
  <c r="E678" i="44" s="1"/>
  <c r="E679" i="44" s="1"/>
  <c r="E680" i="44" s="1"/>
  <c r="E681" i="44" s="1"/>
  <c r="E682" i="44" s="1"/>
  <c r="E683" i="44" s="1"/>
  <c r="E684" i="44" s="1"/>
  <c r="E685" i="44" s="1"/>
  <c r="E686" i="44" s="1"/>
  <c r="E687" i="44" s="1"/>
  <c r="E688" i="44" s="1"/>
  <c r="E689" i="44" s="1"/>
  <c r="E690" i="44" s="1"/>
  <c r="E691" i="44" s="1"/>
  <c r="E692" i="44" s="1"/>
  <c r="E693" i="44" s="1"/>
  <c r="E694" i="44" s="1"/>
  <c r="E695" i="44" s="1"/>
  <c r="E696" i="44" s="1"/>
  <c r="E697" i="44" s="1"/>
  <c r="E698" i="44" s="1"/>
  <c r="E699" i="44" s="1"/>
  <c r="E700" i="44" s="1"/>
  <c r="E701" i="44" s="1"/>
  <c r="E702" i="44" s="1"/>
  <c r="E703" i="44" s="1"/>
  <c r="E704" i="44" s="1"/>
  <c r="E705" i="44" s="1"/>
  <c r="E706" i="44" s="1"/>
  <c r="E707" i="44" s="1"/>
  <c r="E708" i="44" s="1"/>
  <c r="E709" i="44" s="1"/>
  <c r="E710" i="44" s="1"/>
  <c r="E711" i="44" s="1"/>
  <c r="E712" i="44" s="1"/>
  <c r="E713" i="44" s="1"/>
  <c r="E714" i="44" s="1"/>
  <c r="E715" i="44" s="1"/>
  <c r="E716" i="44" s="1"/>
  <c r="E717" i="44" s="1"/>
  <c r="E718" i="44" s="1"/>
  <c r="E719" i="44" s="1"/>
  <c r="E720" i="44" s="1"/>
  <c r="E721" i="44" s="1"/>
  <c r="E722" i="44" s="1"/>
  <c r="E723" i="44" s="1"/>
  <c r="E724" i="44" s="1"/>
  <c r="E644" i="44"/>
  <c r="E645" i="44" s="1"/>
  <c r="E646" i="44" s="1"/>
  <c r="E647" i="44" s="1"/>
  <c r="E648" i="44" s="1"/>
  <c r="E649" i="44" s="1"/>
  <c r="L711" i="44"/>
  <c r="C792" i="44"/>
  <c r="C876" i="44"/>
  <c r="L795" i="44"/>
  <c r="L602" i="44"/>
  <c r="C683" i="44"/>
  <c r="C671" i="44"/>
  <c r="L590" i="44"/>
  <c r="C855" i="44"/>
  <c r="L774" i="44"/>
  <c r="Y827" i="65"/>
  <c r="AG826" i="65"/>
  <c r="L782" i="44"/>
  <c r="C863" i="44"/>
  <c r="AG382" i="65"/>
  <c r="Y383" i="65"/>
  <c r="L705" i="44"/>
  <c r="C786" i="44"/>
  <c r="L726" i="44"/>
  <c r="C807" i="44"/>
  <c r="C866" i="44"/>
  <c r="L785" i="44"/>
  <c r="AG718" i="65"/>
  <c r="Y719" i="65"/>
  <c r="N88" i="43"/>
  <c r="N89" i="43" s="1"/>
  <c r="K650" i="44"/>
  <c r="AG611" i="49"/>
  <c r="Y612" i="49"/>
  <c r="C702" i="44"/>
  <c r="L621" i="44"/>
  <c r="L727" i="44"/>
  <c r="C808" i="44"/>
  <c r="D644" i="44"/>
  <c r="D645" i="44" s="1"/>
  <c r="D646" i="44" s="1"/>
  <c r="D647" i="44" s="1"/>
  <c r="D648" i="44" s="1"/>
  <c r="D649" i="44" s="1"/>
  <c r="D650" i="44"/>
  <c r="D651" i="44" s="1"/>
  <c r="D652" i="44" s="1"/>
  <c r="D653" i="44" s="1"/>
  <c r="D654" i="44" s="1"/>
  <c r="D655" i="44" s="1"/>
  <c r="D656" i="44" s="1"/>
  <c r="D657" i="44" s="1"/>
  <c r="D658" i="44" s="1"/>
  <c r="D659" i="44" s="1"/>
  <c r="D660" i="44" s="1"/>
  <c r="D661" i="44" s="1"/>
  <c r="D662" i="44" s="1"/>
  <c r="D663" i="44" s="1"/>
  <c r="D664" i="44" s="1"/>
  <c r="D665" i="44" s="1"/>
  <c r="D666" i="44" s="1"/>
  <c r="D667" i="44" s="1"/>
  <c r="D668" i="44" s="1"/>
  <c r="D669" i="44" s="1"/>
  <c r="D670" i="44" s="1"/>
  <c r="D671" i="44" s="1"/>
  <c r="D672" i="44" s="1"/>
  <c r="D673" i="44" s="1"/>
  <c r="D674" i="44" s="1"/>
  <c r="D675" i="44" s="1"/>
  <c r="D676" i="44" s="1"/>
  <c r="D677" i="44" s="1"/>
  <c r="D678" i="44" s="1"/>
  <c r="D679" i="44" s="1"/>
  <c r="D680" i="44" s="1"/>
  <c r="D681" i="44" s="1"/>
  <c r="D682" i="44" s="1"/>
  <c r="D683" i="44" s="1"/>
  <c r="D684" i="44" s="1"/>
  <c r="D685" i="44" s="1"/>
  <c r="D686" i="44" s="1"/>
  <c r="D687" i="44" s="1"/>
  <c r="D688" i="44" s="1"/>
  <c r="D689" i="44" s="1"/>
  <c r="D690" i="44" s="1"/>
  <c r="D691" i="44" s="1"/>
  <c r="D692" i="44" s="1"/>
  <c r="D693" i="44" s="1"/>
  <c r="D694" i="44" s="1"/>
  <c r="D695" i="44" s="1"/>
  <c r="D696" i="44" s="1"/>
  <c r="D697" i="44" s="1"/>
  <c r="D698" i="44" s="1"/>
  <c r="D699" i="44" s="1"/>
  <c r="D700" i="44" s="1"/>
  <c r="D701" i="44" s="1"/>
  <c r="D702" i="44" s="1"/>
  <c r="D703" i="44" s="1"/>
  <c r="D704" i="44" s="1"/>
  <c r="D705" i="44" s="1"/>
  <c r="D706" i="44" s="1"/>
  <c r="D707" i="44" s="1"/>
  <c r="D708" i="44" s="1"/>
  <c r="D709" i="44" s="1"/>
  <c r="D710" i="44" s="1"/>
  <c r="D711" i="44" s="1"/>
  <c r="D712" i="44" s="1"/>
  <c r="D713" i="44" s="1"/>
  <c r="D714" i="44" s="1"/>
  <c r="D715" i="44" s="1"/>
  <c r="D716" i="44" s="1"/>
  <c r="D717" i="44" s="1"/>
  <c r="D718" i="44" s="1"/>
  <c r="D719" i="44" s="1"/>
  <c r="D720" i="44" s="1"/>
  <c r="D721" i="44" s="1"/>
  <c r="D722" i="44" s="1"/>
  <c r="D723" i="44" s="1"/>
  <c r="D724" i="44" s="1"/>
  <c r="AG238" i="65"/>
  <c r="Y239" i="65"/>
  <c r="Y82" i="65"/>
  <c r="AG81" i="65"/>
  <c r="L750" i="44"/>
  <c r="C831" i="44"/>
  <c r="Y803" i="65"/>
  <c r="AG802" i="65"/>
  <c r="Y841" i="49"/>
  <c r="AG841" i="49" s="1"/>
  <c r="AG840" i="49"/>
  <c r="DI13" i="45" l="1"/>
  <c r="DM13" i="45" s="1"/>
  <c r="ET119" i="45"/>
  <c r="ES119" i="45"/>
  <c r="L831" i="44"/>
  <c r="C912" i="44"/>
  <c r="L912" i="44" s="1"/>
  <c r="AG719" i="65"/>
  <c r="Y720" i="65"/>
  <c r="Y59" i="65"/>
  <c r="AG58" i="65"/>
  <c r="AG191" i="65"/>
  <c r="Y192" i="65"/>
  <c r="Y97" i="65"/>
  <c r="AG97" i="65" s="1"/>
  <c r="AG96" i="65"/>
  <c r="DH119" i="45"/>
  <c r="L679" i="44"/>
  <c r="C760" i="44"/>
  <c r="C787" i="44"/>
  <c r="L706" i="44"/>
  <c r="L863" i="44"/>
  <c r="C944" i="44"/>
  <c r="L944" i="44" s="1"/>
  <c r="L683" i="44"/>
  <c r="C764" i="44"/>
  <c r="L659" i="44"/>
  <c r="C740" i="44"/>
  <c r="C893" i="44"/>
  <c r="L893" i="44" s="1"/>
  <c r="L812" i="44"/>
  <c r="AG744" i="65"/>
  <c r="Y745" i="65"/>
  <c r="AG745" i="65" s="1"/>
  <c r="AG203" i="65"/>
  <c r="Y204" i="65"/>
  <c r="AG419" i="65"/>
  <c r="Y420" i="65"/>
  <c r="C767" i="44"/>
  <c r="L686" i="44"/>
  <c r="L667" i="44"/>
  <c r="C748" i="44"/>
  <c r="AG515" i="65"/>
  <c r="Y516" i="65"/>
  <c r="AG491" i="49"/>
  <c r="Y492" i="49"/>
  <c r="AG924" i="65"/>
  <c r="Y925" i="65"/>
  <c r="AG925" i="65" s="1"/>
  <c r="L707" i="44"/>
  <c r="C788" i="44"/>
  <c r="AG82" i="65"/>
  <c r="Y83" i="65"/>
  <c r="C783" i="44"/>
  <c r="L702" i="44"/>
  <c r="C947" i="44"/>
  <c r="L947" i="44" s="1"/>
  <c r="L866" i="44"/>
  <c r="L699" i="44"/>
  <c r="C780" i="44"/>
  <c r="C779" i="44"/>
  <c r="L698" i="44"/>
  <c r="AG623" i="65"/>
  <c r="Y624" i="65"/>
  <c r="L691" i="44"/>
  <c r="C772" i="44"/>
  <c r="AG635" i="65"/>
  <c r="Y636" i="65"/>
  <c r="AG467" i="65"/>
  <c r="Y468" i="65"/>
  <c r="AG552" i="49"/>
  <c r="Y553" i="49"/>
  <c r="AG553" i="49" s="1"/>
  <c r="AG682" i="49"/>
  <c r="Y683" i="49"/>
  <c r="AG563" i="65"/>
  <c r="Y564" i="65"/>
  <c r="O88" i="43"/>
  <c r="O89" i="43" s="1"/>
  <c r="K731" i="44"/>
  <c r="AG707" i="65"/>
  <c r="Y708" i="65"/>
  <c r="AG659" i="65"/>
  <c r="Y660" i="65"/>
  <c r="L687" i="44"/>
  <c r="C768" i="44"/>
  <c r="L675" i="44"/>
  <c r="C756" i="44"/>
  <c r="AG71" i="65"/>
  <c r="Y72" i="65"/>
  <c r="Y937" i="49"/>
  <c r="AG937" i="49" s="1"/>
  <c r="AG936" i="49"/>
  <c r="L678" i="44"/>
  <c r="C759" i="44"/>
  <c r="AG407" i="65"/>
  <c r="Y408" i="65"/>
  <c r="AG827" i="65"/>
  <c r="Y828" i="65"/>
  <c r="L876" i="44"/>
  <c r="C957" i="44"/>
  <c r="L957" i="44" s="1"/>
  <c r="L890" i="44"/>
  <c r="C971" i="44"/>
  <c r="L971" i="44" s="1"/>
  <c r="L773" i="44"/>
  <c r="C854" i="44"/>
  <c r="AG479" i="65"/>
  <c r="Y480" i="65"/>
  <c r="AG671" i="65"/>
  <c r="Y672" i="65"/>
  <c r="AG347" i="65"/>
  <c r="Y348" i="65"/>
  <c r="C771" i="44"/>
  <c r="L690" i="44"/>
  <c r="AG215" i="65"/>
  <c r="Y216" i="65"/>
  <c r="P8" i="43"/>
  <c r="K815" i="44" s="1"/>
  <c r="P12" i="43"/>
  <c r="K819" i="44" s="1"/>
  <c r="P16" i="43"/>
  <c r="K823" i="44" s="1"/>
  <c r="P20" i="43"/>
  <c r="K827" i="44" s="1"/>
  <c r="P24" i="43"/>
  <c r="K831" i="44" s="1"/>
  <c r="P33" i="43"/>
  <c r="K840" i="44" s="1"/>
  <c r="P42" i="43"/>
  <c r="K849" i="44" s="1"/>
  <c r="P46" i="43"/>
  <c r="K853" i="44" s="1"/>
  <c r="P71" i="43"/>
  <c r="K878" i="44" s="1"/>
  <c r="P77" i="43"/>
  <c r="K883" i="44" s="1"/>
  <c r="P85" i="43"/>
  <c r="K891" i="44" s="1"/>
  <c r="P30" i="43"/>
  <c r="K837" i="44" s="1"/>
  <c r="P38" i="43"/>
  <c r="K845" i="44" s="1"/>
  <c r="P52" i="43"/>
  <c r="K859" i="44" s="1"/>
  <c r="P55" i="43"/>
  <c r="K862" i="44" s="1"/>
  <c r="P59" i="43"/>
  <c r="K866" i="44" s="1"/>
  <c r="P63" i="43"/>
  <c r="K870" i="44" s="1"/>
  <c r="P67" i="43"/>
  <c r="K874" i="44" s="1"/>
  <c r="P74" i="43"/>
  <c r="K880" i="44" s="1"/>
  <c r="P82" i="43"/>
  <c r="K888" i="44" s="1"/>
  <c r="P7" i="43"/>
  <c r="K814" i="44" s="1"/>
  <c r="P11" i="43"/>
  <c r="K818" i="44" s="1"/>
  <c r="P15" i="43"/>
  <c r="K822" i="44" s="1"/>
  <c r="P19" i="43"/>
  <c r="K826" i="44" s="1"/>
  <c r="P23" i="43"/>
  <c r="K830" i="44" s="1"/>
  <c r="P27" i="43"/>
  <c r="K834" i="44" s="1"/>
  <c r="P35" i="43"/>
  <c r="K842" i="44" s="1"/>
  <c r="P41" i="43"/>
  <c r="K848" i="44" s="1"/>
  <c r="P45" i="43"/>
  <c r="K852" i="44" s="1"/>
  <c r="P49" i="43"/>
  <c r="K856" i="44" s="1"/>
  <c r="P70" i="43"/>
  <c r="K877" i="44" s="1"/>
  <c r="P79" i="43"/>
  <c r="K885" i="44" s="1"/>
  <c r="P32" i="43"/>
  <c r="K839" i="44" s="1"/>
  <c r="P54" i="43"/>
  <c r="K861" i="44" s="1"/>
  <c r="P58" i="43"/>
  <c r="K865" i="44" s="1"/>
  <c r="P62" i="43"/>
  <c r="K869" i="44" s="1"/>
  <c r="P66" i="43"/>
  <c r="K873" i="44" s="1"/>
  <c r="P76" i="43"/>
  <c r="K882" i="44" s="1"/>
  <c r="P84" i="43"/>
  <c r="K890" i="44" s="1"/>
  <c r="P6" i="43"/>
  <c r="K813" i="44" s="1"/>
  <c r="P10" i="43"/>
  <c r="K817" i="44" s="1"/>
  <c r="P14" i="43"/>
  <c r="K821" i="44" s="1"/>
  <c r="P18" i="43"/>
  <c r="K825" i="44" s="1"/>
  <c r="P22" i="43"/>
  <c r="K829" i="44" s="1"/>
  <c r="P26" i="43"/>
  <c r="K833" i="44" s="1"/>
  <c r="P29" i="43"/>
  <c r="K836" i="44" s="1"/>
  <c r="P37" i="43"/>
  <c r="K844" i="44" s="1"/>
  <c r="P40" i="43"/>
  <c r="K847" i="44" s="1"/>
  <c r="P44" i="43"/>
  <c r="K851" i="44" s="1"/>
  <c r="P48" i="43"/>
  <c r="K855" i="44" s="1"/>
  <c r="P51" i="43"/>
  <c r="K858" i="44" s="1"/>
  <c r="P73" i="43"/>
  <c r="P81" i="43"/>
  <c r="K887" i="44" s="1"/>
  <c r="P34" i="43"/>
  <c r="K841" i="44" s="1"/>
  <c r="P57" i="43"/>
  <c r="K864" i="44" s="1"/>
  <c r="P61" i="43"/>
  <c r="K868" i="44" s="1"/>
  <c r="P65" i="43"/>
  <c r="K872" i="44" s="1"/>
  <c r="P69" i="43"/>
  <c r="K876" i="44" s="1"/>
  <c r="P78" i="43"/>
  <c r="K884" i="44" s="1"/>
  <c r="P86" i="43"/>
  <c r="K892" i="44" s="1"/>
  <c r="P5" i="43"/>
  <c r="P9" i="43"/>
  <c r="K816" i="44" s="1"/>
  <c r="P13" i="43"/>
  <c r="K820" i="44" s="1"/>
  <c r="P17" i="43"/>
  <c r="K824" i="44" s="1"/>
  <c r="P21" i="43"/>
  <c r="K828" i="44" s="1"/>
  <c r="P25" i="43"/>
  <c r="K832" i="44" s="1"/>
  <c r="P31" i="43"/>
  <c r="K838" i="44" s="1"/>
  <c r="P39" i="43"/>
  <c r="K846" i="44" s="1"/>
  <c r="P43" i="43"/>
  <c r="K850" i="44" s="1"/>
  <c r="P47" i="43"/>
  <c r="K854" i="44" s="1"/>
  <c r="P53" i="43"/>
  <c r="K860" i="44" s="1"/>
  <c r="P72" i="43"/>
  <c r="K879" i="44" s="1"/>
  <c r="P75" i="43"/>
  <c r="K881" i="44" s="1"/>
  <c r="P83" i="43"/>
  <c r="K889" i="44" s="1"/>
  <c r="Q2" i="43"/>
  <c r="P28" i="43"/>
  <c r="K835" i="44" s="1"/>
  <c r="P36" i="43"/>
  <c r="K843" i="44" s="1"/>
  <c r="P50" i="43"/>
  <c r="K857" i="44" s="1"/>
  <c r="P56" i="43"/>
  <c r="K863" i="44" s="1"/>
  <c r="P60" i="43"/>
  <c r="K867" i="44" s="1"/>
  <c r="P64" i="43"/>
  <c r="K871" i="44" s="1"/>
  <c r="P68" i="43"/>
  <c r="K875" i="44" s="1"/>
  <c r="P80" i="43"/>
  <c r="K886" i="44" s="1"/>
  <c r="AG647" i="65"/>
  <c r="Y648" i="65"/>
  <c r="C755" i="44"/>
  <c r="L674" i="44"/>
  <c r="AG683" i="65"/>
  <c r="Y684" i="65"/>
  <c r="AG551" i="65"/>
  <c r="Y552" i="65"/>
  <c r="AG612" i="49"/>
  <c r="Y613" i="49"/>
  <c r="AG613" i="49" s="1"/>
  <c r="AG756" i="65"/>
  <c r="Y757" i="65"/>
  <c r="AG757" i="65" s="1"/>
  <c r="AG840" i="65"/>
  <c r="Y841" i="65"/>
  <c r="AG841" i="65" s="1"/>
  <c r="AG767" i="65"/>
  <c r="Y768" i="65"/>
  <c r="L694" i="44"/>
  <c r="C775" i="44"/>
  <c r="AG671" i="49"/>
  <c r="Y672" i="49"/>
  <c r="D731" i="44"/>
  <c r="D732" i="44" s="1"/>
  <c r="D733" i="44" s="1"/>
  <c r="D734" i="44" s="1"/>
  <c r="D735" i="44" s="1"/>
  <c r="D736" i="44" s="1"/>
  <c r="D737" i="44" s="1"/>
  <c r="D738" i="44" s="1"/>
  <c r="D739" i="44" s="1"/>
  <c r="D740" i="44" s="1"/>
  <c r="D741" i="44" s="1"/>
  <c r="D742" i="44" s="1"/>
  <c r="D743" i="44" s="1"/>
  <c r="D744" i="44" s="1"/>
  <c r="D745" i="44" s="1"/>
  <c r="D746" i="44" s="1"/>
  <c r="D747" i="44" s="1"/>
  <c r="D748" i="44" s="1"/>
  <c r="D749" i="44" s="1"/>
  <c r="D750" i="44" s="1"/>
  <c r="D751" i="44" s="1"/>
  <c r="D752" i="44" s="1"/>
  <c r="D753" i="44" s="1"/>
  <c r="D754" i="44" s="1"/>
  <c r="D755" i="44" s="1"/>
  <c r="D756" i="44" s="1"/>
  <c r="D757" i="44" s="1"/>
  <c r="D758" i="44" s="1"/>
  <c r="D759" i="44" s="1"/>
  <c r="D760" i="44" s="1"/>
  <c r="D761" i="44" s="1"/>
  <c r="D762" i="44" s="1"/>
  <c r="D763" i="44" s="1"/>
  <c r="D764" i="44" s="1"/>
  <c r="D765" i="44" s="1"/>
  <c r="D766" i="44" s="1"/>
  <c r="D767" i="44" s="1"/>
  <c r="D768" i="44" s="1"/>
  <c r="D769" i="44" s="1"/>
  <c r="D770" i="44" s="1"/>
  <c r="D771" i="44" s="1"/>
  <c r="D772" i="44" s="1"/>
  <c r="D773" i="44" s="1"/>
  <c r="D774" i="44" s="1"/>
  <c r="D775" i="44" s="1"/>
  <c r="D776" i="44" s="1"/>
  <c r="D777" i="44" s="1"/>
  <c r="D778" i="44" s="1"/>
  <c r="D779" i="44" s="1"/>
  <c r="D780" i="44" s="1"/>
  <c r="D781" i="44" s="1"/>
  <c r="D782" i="44" s="1"/>
  <c r="D783" i="44" s="1"/>
  <c r="D784" i="44" s="1"/>
  <c r="D785" i="44" s="1"/>
  <c r="D786" i="44" s="1"/>
  <c r="D787" i="44" s="1"/>
  <c r="D788" i="44" s="1"/>
  <c r="D789" i="44" s="1"/>
  <c r="D790" i="44" s="1"/>
  <c r="D791" i="44" s="1"/>
  <c r="D792" i="44" s="1"/>
  <c r="D793" i="44" s="1"/>
  <c r="D794" i="44" s="1"/>
  <c r="D795" i="44" s="1"/>
  <c r="D796" i="44" s="1"/>
  <c r="D797" i="44" s="1"/>
  <c r="D798" i="44" s="1"/>
  <c r="D799" i="44" s="1"/>
  <c r="D800" i="44" s="1"/>
  <c r="D801" i="44" s="1"/>
  <c r="D802" i="44" s="1"/>
  <c r="D803" i="44" s="1"/>
  <c r="D804" i="44" s="1"/>
  <c r="D805" i="44" s="1"/>
  <c r="D725" i="44"/>
  <c r="D726" i="44" s="1"/>
  <c r="D727" i="44" s="1"/>
  <c r="D728" i="44" s="1"/>
  <c r="D729" i="44" s="1"/>
  <c r="D730" i="44" s="1"/>
  <c r="L786" i="44"/>
  <c r="C867" i="44"/>
  <c r="C873" i="44"/>
  <c r="L792" i="44"/>
  <c r="L695" i="44"/>
  <c r="C776" i="44"/>
  <c r="AG359" i="65"/>
  <c r="Y360" i="65"/>
  <c r="AG539" i="65"/>
  <c r="Y540" i="65"/>
  <c r="AG647" i="49"/>
  <c r="Y648" i="49"/>
  <c r="L770" i="44"/>
  <c r="C851" i="44"/>
  <c r="Y865" i="49"/>
  <c r="AG865" i="49" s="1"/>
  <c r="AG864" i="49"/>
  <c r="AG575" i="65"/>
  <c r="Y576" i="65"/>
  <c r="AG443" i="65"/>
  <c r="Y444" i="65"/>
  <c r="L729" i="44"/>
  <c r="C810" i="44"/>
  <c r="AG144" i="65"/>
  <c r="Y145" i="65"/>
  <c r="AG145" i="65" s="1"/>
  <c r="L808" i="44"/>
  <c r="C889" i="44"/>
  <c r="AG383" i="65"/>
  <c r="Y384" i="65"/>
  <c r="AG611" i="65"/>
  <c r="Y612" i="65"/>
  <c r="AG527" i="65"/>
  <c r="Y528" i="65"/>
  <c r="AG239" i="65"/>
  <c r="Y240" i="65"/>
  <c r="L807" i="44"/>
  <c r="C888" i="44"/>
  <c r="C901" i="44"/>
  <c r="L901" i="44" s="1"/>
  <c r="L820" i="44"/>
  <c r="C736" i="44"/>
  <c r="L655" i="44"/>
  <c r="AG599" i="65"/>
  <c r="Y600" i="65"/>
  <c r="AG803" i="65"/>
  <c r="Y804" i="65"/>
  <c r="L855" i="44"/>
  <c r="C936" i="44"/>
  <c r="L936" i="44" s="1"/>
  <c r="Y912" i="49"/>
  <c r="AG911" i="49"/>
  <c r="C747" i="44"/>
  <c r="L666" i="44"/>
  <c r="AG876" i="65"/>
  <c r="Y877" i="65"/>
  <c r="AG877" i="65" s="1"/>
  <c r="L800" i="44"/>
  <c r="C881" i="44"/>
  <c r="L811" i="44"/>
  <c r="C892" i="44"/>
  <c r="L703" i="44"/>
  <c r="C784" i="44"/>
  <c r="AG395" i="65"/>
  <c r="Y396" i="65"/>
  <c r="AG491" i="65"/>
  <c r="Y492" i="65"/>
  <c r="AG659" i="49"/>
  <c r="Y660" i="49"/>
  <c r="AG371" i="65"/>
  <c r="Y372" i="65"/>
  <c r="AG587" i="65"/>
  <c r="Y588" i="65"/>
  <c r="C878" i="44"/>
  <c r="L797" i="44"/>
  <c r="AG599" i="49"/>
  <c r="Y600" i="49"/>
  <c r="AG623" i="49"/>
  <c r="Y624" i="49"/>
  <c r="L671" i="44"/>
  <c r="C752" i="44"/>
  <c r="E725" i="44"/>
  <c r="E726" i="44" s="1"/>
  <c r="E727" i="44" s="1"/>
  <c r="E728" i="44" s="1"/>
  <c r="E729" i="44" s="1"/>
  <c r="E730" i="44" s="1"/>
  <c r="E731" i="44"/>
  <c r="E732" i="44" s="1"/>
  <c r="E733" i="44" s="1"/>
  <c r="E734" i="44" s="1"/>
  <c r="E735" i="44" s="1"/>
  <c r="E736" i="44" s="1"/>
  <c r="E737" i="44" s="1"/>
  <c r="E738" i="44" s="1"/>
  <c r="E739" i="44" s="1"/>
  <c r="E740" i="44" s="1"/>
  <c r="E741" i="44" s="1"/>
  <c r="E742" i="44" s="1"/>
  <c r="E743" i="44" s="1"/>
  <c r="E744" i="44" s="1"/>
  <c r="E745" i="44" s="1"/>
  <c r="E746" i="44" s="1"/>
  <c r="E747" i="44" s="1"/>
  <c r="E748" i="44" s="1"/>
  <c r="E749" i="44" s="1"/>
  <c r="E750" i="44" s="1"/>
  <c r="E751" i="44" s="1"/>
  <c r="E752" i="44" s="1"/>
  <c r="E753" i="44" s="1"/>
  <c r="E754" i="44" s="1"/>
  <c r="E755" i="44" s="1"/>
  <c r="E756" i="44" s="1"/>
  <c r="E757" i="44" s="1"/>
  <c r="E758" i="44" s="1"/>
  <c r="E759" i="44" s="1"/>
  <c r="E760" i="44" s="1"/>
  <c r="E761" i="44" s="1"/>
  <c r="E762" i="44" s="1"/>
  <c r="E763" i="44" s="1"/>
  <c r="E764" i="44" s="1"/>
  <c r="E765" i="44" s="1"/>
  <c r="E766" i="44" s="1"/>
  <c r="E767" i="44" s="1"/>
  <c r="E768" i="44" s="1"/>
  <c r="E769" i="44" s="1"/>
  <c r="E770" i="44" s="1"/>
  <c r="E771" i="44" s="1"/>
  <c r="E772" i="44" s="1"/>
  <c r="E773" i="44" s="1"/>
  <c r="E774" i="44" s="1"/>
  <c r="E775" i="44" s="1"/>
  <c r="E776" i="44" s="1"/>
  <c r="E777" i="44" s="1"/>
  <c r="E778" i="44" s="1"/>
  <c r="E779" i="44" s="1"/>
  <c r="E780" i="44" s="1"/>
  <c r="E781" i="44" s="1"/>
  <c r="E782" i="44" s="1"/>
  <c r="E783" i="44" s="1"/>
  <c r="E784" i="44" s="1"/>
  <c r="E785" i="44" s="1"/>
  <c r="E786" i="44" s="1"/>
  <c r="E787" i="44" s="1"/>
  <c r="E788" i="44" s="1"/>
  <c r="E789" i="44" s="1"/>
  <c r="E790" i="44" s="1"/>
  <c r="E791" i="44" s="1"/>
  <c r="E792" i="44" s="1"/>
  <c r="E793" i="44" s="1"/>
  <c r="E794" i="44" s="1"/>
  <c r="E795" i="44" s="1"/>
  <c r="E796" i="44" s="1"/>
  <c r="E797" i="44" s="1"/>
  <c r="E798" i="44" s="1"/>
  <c r="E799" i="44" s="1"/>
  <c r="E800" i="44" s="1"/>
  <c r="E801" i="44" s="1"/>
  <c r="E802" i="44" s="1"/>
  <c r="E803" i="44" s="1"/>
  <c r="E804" i="44" s="1"/>
  <c r="E805" i="44" s="1"/>
  <c r="L682" i="44"/>
  <c r="C763" i="44"/>
  <c r="DG119" i="45"/>
  <c r="DI119" i="45" s="1"/>
  <c r="L805" i="44"/>
  <c r="C886" i="44"/>
  <c r="AG455" i="65"/>
  <c r="Y456" i="65"/>
  <c r="AG695" i="65"/>
  <c r="Y696" i="65"/>
  <c r="AG22" i="65"/>
  <c r="Y23" i="65"/>
  <c r="C744" i="44"/>
  <c r="L663" i="44"/>
  <c r="AG695" i="49"/>
  <c r="Y696" i="49"/>
  <c r="AG288" i="65"/>
  <c r="Y289" i="65"/>
  <c r="AG289" i="65" s="1"/>
  <c r="AG503" i="65"/>
  <c r="Y504" i="65"/>
  <c r="C965" i="44"/>
  <c r="L965" i="44" s="1"/>
  <c r="L884" i="44"/>
  <c r="AG431" i="65"/>
  <c r="Y432" i="65"/>
  <c r="C751" i="44"/>
  <c r="L670" i="44"/>
  <c r="DK13" i="45" l="1"/>
  <c r="DI121" i="45"/>
  <c r="DK119" i="45"/>
  <c r="DL119" i="45" s="1"/>
  <c r="DM119" i="45"/>
  <c r="DJ120" i="45"/>
  <c r="AG912" i="49"/>
  <c r="Y913" i="49"/>
  <c r="AG913" i="49" s="1"/>
  <c r="L751" i="44"/>
  <c r="C832" i="44"/>
  <c r="AG432" i="65"/>
  <c r="Y433" i="65"/>
  <c r="AG433" i="65" s="1"/>
  <c r="Y697" i="49"/>
  <c r="AG697" i="49" s="1"/>
  <c r="AG696" i="49"/>
  <c r="AG456" i="65"/>
  <c r="Y457" i="65"/>
  <c r="AG457" i="65" s="1"/>
  <c r="L878" i="44"/>
  <c r="C959" i="44"/>
  <c r="L959" i="44" s="1"/>
  <c r="C836" i="44"/>
  <c r="L755" i="44"/>
  <c r="L854" i="44"/>
  <c r="C935" i="44"/>
  <c r="L935" i="44" s="1"/>
  <c r="AG408" i="65"/>
  <c r="Y409" i="65"/>
  <c r="AG409" i="65" s="1"/>
  <c r="C837" i="44"/>
  <c r="L756" i="44"/>
  <c r="AG468" i="65"/>
  <c r="Y469" i="65"/>
  <c r="AG469" i="65" s="1"/>
  <c r="AG83" i="65"/>
  <c r="Y84" i="65"/>
  <c r="AG516" i="65"/>
  <c r="Y517" i="65"/>
  <c r="AG517" i="65" s="1"/>
  <c r="AG204" i="65"/>
  <c r="Y205" i="65"/>
  <c r="AG205" i="65" s="1"/>
  <c r="C845" i="44"/>
  <c r="L764" i="44"/>
  <c r="AG600" i="49"/>
  <c r="Y601" i="49"/>
  <c r="AG601" i="49" s="1"/>
  <c r="C973" i="44"/>
  <c r="L973" i="44" s="1"/>
  <c r="L892" i="44"/>
  <c r="E806" i="44"/>
  <c r="E807" i="44" s="1"/>
  <c r="E808" i="44" s="1"/>
  <c r="E809" i="44" s="1"/>
  <c r="E810" i="44" s="1"/>
  <c r="E811" i="44" s="1"/>
  <c r="E812" i="44"/>
  <c r="E813" i="44" s="1"/>
  <c r="E814" i="44" s="1"/>
  <c r="E815" i="44" s="1"/>
  <c r="E816" i="44" s="1"/>
  <c r="E817" i="44" s="1"/>
  <c r="E818" i="44" s="1"/>
  <c r="E819" i="44" s="1"/>
  <c r="E820" i="44" s="1"/>
  <c r="E821" i="44" s="1"/>
  <c r="E822" i="44" s="1"/>
  <c r="E823" i="44" s="1"/>
  <c r="E824" i="44" s="1"/>
  <c r="E825" i="44" s="1"/>
  <c r="E826" i="44" s="1"/>
  <c r="E827" i="44" s="1"/>
  <c r="E828" i="44" s="1"/>
  <c r="E829" i="44" s="1"/>
  <c r="E830" i="44" s="1"/>
  <c r="E831" i="44" s="1"/>
  <c r="E832" i="44" s="1"/>
  <c r="E833" i="44" s="1"/>
  <c r="E834" i="44" s="1"/>
  <c r="E835" i="44" s="1"/>
  <c r="E836" i="44" s="1"/>
  <c r="E837" i="44" s="1"/>
  <c r="E838" i="44" s="1"/>
  <c r="E839" i="44" s="1"/>
  <c r="E840" i="44" s="1"/>
  <c r="E841" i="44" s="1"/>
  <c r="E842" i="44" s="1"/>
  <c r="E843" i="44" s="1"/>
  <c r="E844" i="44" s="1"/>
  <c r="E845" i="44" s="1"/>
  <c r="E846" i="44" s="1"/>
  <c r="E847" i="44" s="1"/>
  <c r="E848" i="44" s="1"/>
  <c r="E849" i="44" s="1"/>
  <c r="E850" i="44" s="1"/>
  <c r="E851" i="44" s="1"/>
  <c r="E852" i="44" s="1"/>
  <c r="E853" i="44" s="1"/>
  <c r="E854" i="44" s="1"/>
  <c r="E855" i="44" s="1"/>
  <c r="E856" i="44" s="1"/>
  <c r="E857" i="44" s="1"/>
  <c r="E858" i="44" s="1"/>
  <c r="E859" i="44" s="1"/>
  <c r="E860" i="44" s="1"/>
  <c r="E861" i="44" s="1"/>
  <c r="E862" i="44" s="1"/>
  <c r="E863" i="44" s="1"/>
  <c r="E864" i="44" s="1"/>
  <c r="E865" i="44" s="1"/>
  <c r="E866" i="44" s="1"/>
  <c r="E867" i="44" s="1"/>
  <c r="E868" i="44" s="1"/>
  <c r="E869" i="44" s="1"/>
  <c r="E870" i="44" s="1"/>
  <c r="E871" i="44" s="1"/>
  <c r="E872" i="44" s="1"/>
  <c r="E873" i="44" s="1"/>
  <c r="E874" i="44" s="1"/>
  <c r="E875" i="44" s="1"/>
  <c r="E876" i="44" s="1"/>
  <c r="E877" i="44" s="1"/>
  <c r="E878" i="44" s="1"/>
  <c r="E879" i="44" s="1"/>
  <c r="E880" i="44" s="1"/>
  <c r="E881" i="44" s="1"/>
  <c r="E882" i="44" s="1"/>
  <c r="E883" i="44" s="1"/>
  <c r="E884" i="44" s="1"/>
  <c r="E885" i="44" s="1"/>
  <c r="E886" i="44" s="1"/>
  <c r="L752" i="44"/>
  <c r="C833" i="44"/>
  <c r="AG588" i="65"/>
  <c r="Y589" i="65"/>
  <c r="AG589" i="65" s="1"/>
  <c r="AG396" i="65"/>
  <c r="Y397" i="65"/>
  <c r="AG397" i="65" s="1"/>
  <c r="AG804" i="65"/>
  <c r="Y805" i="65"/>
  <c r="AG805" i="65" s="1"/>
  <c r="L888" i="44"/>
  <c r="C969" i="44"/>
  <c r="L969" i="44" s="1"/>
  <c r="AG384" i="65"/>
  <c r="Y385" i="65"/>
  <c r="AG385" i="65" s="1"/>
  <c r="AG444" i="65"/>
  <c r="Y445" i="65"/>
  <c r="AG445" i="65" s="1"/>
  <c r="Y649" i="49"/>
  <c r="AG649" i="49" s="1"/>
  <c r="AG648" i="49"/>
  <c r="L775" i="44"/>
  <c r="C856" i="44"/>
  <c r="AG648" i="65"/>
  <c r="Y649" i="65"/>
  <c r="AG649" i="65" s="1"/>
  <c r="P88" i="43"/>
  <c r="P89" i="43" s="1"/>
  <c r="K812" i="44"/>
  <c r="L771" i="44"/>
  <c r="C852" i="44"/>
  <c r="C860" i="44"/>
  <c r="L779" i="44"/>
  <c r="AG504" i="65"/>
  <c r="Y505" i="65"/>
  <c r="AG505" i="65" s="1"/>
  <c r="Y24" i="65"/>
  <c r="AG23" i="65"/>
  <c r="C954" i="44"/>
  <c r="L954" i="44" s="1"/>
  <c r="L873" i="44"/>
  <c r="AG348" i="65"/>
  <c r="Y349" i="65"/>
  <c r="AG349" i="65" s="1"/>
  <c r="L759" i="44"/>
  <c r="C840" i="44"/>
  <c r="L768" i="44"/>
  <c r="C849" i="44"/>
  <c r="AG564" i="65"/>
  <c r="Y565" i="65"/>
  <c r="AG565" i="65" s="1"/>
  <c r="AG636" i="65"/>
  <c r="Y637" i="65"/>
  <c r="AG637" i="65" s="1"/>
  <c r="C861" i="44"/>
  <c r="L780" i="44"/>
  <c r="C869" i="44"/>
  <c r="L788" i="44"/>
  <c r="C829" i="44"/>
  <c r="L748" i="44"/>
  <c r="C828" i="44"/>
  <c r="L747" i="44"/>
  <c r="C967" i="44"/>
  <c r="L967" i="44" s="1"/>
  <c r="L886" i="44"/>
  <c r="L744" i="44"/>
  <c r="C825" i="44"/>
  <c r="AG624" i="49"/>
  <c r="Y625" i="49"/>
  <c r="AG625" i="49" s="1"/>
  <c r="AG372" i="65"/>
  <c r="Y373" i="65"/>
  <c r="AG373" i="65" s="1"/>
  <c r="L784" i="44"/>
  <c r="C865" i="44"/>
  <c r="AG600" i="65"/>
  <c r="Y601" i="65"/>
  <c r="AG601" i="65" s="1"/>
  <c r="AG240" i="65"/>
  <c r="Y241" i="65"/>
  <c r="AG241" i="65" s="1"/>
  <c r="L889" i="44"/>
  <c r="C970" i="44"/>
  <c r="L970" i="44" s="1"/>
  <c r="AG576" i="65"/>
  <c r="Y577" i="65"/>
  <c r="AG577" i="65" s="1"/>
  <c r="AG540" i="65"/>
  <c r="Y541" i="65"/>
  <c r="AG541" i="65" s="1"/>
  <c r="L867" i="44"/>
  <c r="C948" i="44"/>
  <c r="L948" i="44" s="1"/>
  <c r="AG768" i="65"/>
  <c r="Y769" i="65"/>
  <c r="AG769" i="65" s="1"/>
  <c r="AG552" i="65"/>
  <c r="Y553" i="65"/>
  <c r="AG553" i="65" s="1"/>
  <c r="Q28" i="43"/>
  <c r="K916" i="44" s="1"/>
  <c r="Q36" i="43"/>
  <c r="K924" i="44" s="1"/>
  <c r="Q50" i="43"/>
  <c r="K938" i="44" s="1"/>
  <c r="Q56" i="43"/>
  <c r="K944" i="44" s="1"/>
  <c r="Q60" i="43"/>
  <c r="K948" i="44" s="1"/>
  <c r="Q64" i="43"/>
  <c r="K952" i="44" s="1"/>
  <c r="Q68" i="43"/>
  <c r="K956" i="44" s="1"/>
  <c r="Q80" i="43"/>
  <c r="K967" i="44" s="1"/>
  <c r="Q8" i="43"/>
  <c r="K896" i="44" s="1"/>
  <c r="Q12" i="43"/>
  <c r="K900" i="44" s="1"/>
  <c r="Q16" i="43"/>
  <c r="K904" i="44" s="1"/>
  <c r="Q20" i="43"/>
  <c r="K908" i="44" s="1"/>
  <c r="Q24" i="43"/>
  <c r="K912" i="44" s="1"/>
  <c r="Q33" i="43"/>
  <c r="K921" i="44" s="1"/>
  <c r="Q42" i="43"/>
  <c r="K930" i="44" s="1"/>
  <c r="Q46" i="43"/>
  <c r="K934" i="44" s="1"/>
  <c r="Q71" i="43"/>
  <c r="K959" i="44" s="1"/>
  <c r="Q77" i="43"/>
  <c r="K964" i="44" s="1"/>
  <c r="Q85" i="43"/>
  <c r="K972" i="44" s="1"/>
  <c r="Q30" i="43"/>
  <c r="K918" i="44" s="1"/>
  <c r="Q38" i="43"/>
  <c r="K926" i="44" s="1"/>
  <c r="Q52" i="43"/>
  <c r="K940" i="44" s="1"/>
  <c r="Q55" i="43"/>
  <c r="K943" i="44" s="1"/>
  <c r="Q59" i="43"/>
  <c r="K947" i="44" s="1"/>
  <c r="Q63" i="43"/>
  <c r="K951" i="44" s="1"/>
  <c r="Q67" i="43"/>
  <c r="K955" i="44" s="1"/>
  <c r="Q74" i="43"/>
  <c r="K961" i="44" s="1"/>
  <c r="Q82" i="43"/>
  <c r="K969" i="44" s="1"/>
  <c r="Q7" i="43"/>
  <c r="K895" i="44" s="1"/>
  <c r="Q11" i="43"/>
  <c r="K899" i="44" s="1"/>
  <c r="Q15" i="43"/>
  <c r="K903" i="44" s="1"/>
  <c r="Q19" i="43"/>
  <c r="K907" i="44" s="1"/>
  <c r="Q23" i="43"/>
  <c r="K911" i="44" s="1"/>
  <c r="Q27" i="43"/>
  <c r="K915" i="44" s="1"/>
  <c r="Q35" i="43"/>
  <c r="K923" i="44" s="1"/>
  <c r="Q41" i="43"/>
  <c r="K929" i="44" s="1"/>
  <c r="Q45" i="43"/>
  <c r="K933" i="44" s="1"/>
  <c r="Q49" i="43"/>
  <c r="K937" i="44" s="1"/>
  <c r="Q70" i="43"/>
  <c r="K958" i="44" s="1"/>
  <c r="Q79" i="43"/>
  <c r="K966" i="44" s="1"/>
  <c r="Q32" i="43"/>
  <c r="K920" i="44" s="1"/>
  <c r="Q54" i="43"/>
  <c r="K942" i="44" s="1"/>
  <c r="Q58" i="43"/>
  <c r="K946" i="44" s="1"/>
  <c r="Q62" i="43"/>
  <c r="K950" i="44" s="1"/>
  <c r="Q66" i="43"/>
  <c r="K954" i="44" s="1"/>
  <c r="Q76" i="43"/>
  <c r="K963" i="44" s="1"/>
  <c r="Q84" i="43"/>
  <c r="K971" i="44" s="1"/>
  <c r="Q6" i="43"/>
  <c r="K894" i="44" s="1"/>
  <c r="Q10" i="43"/>
  <c r="K898" i="44" s="1"/>
  <c r="Q14" i="43"/>
  <c r="K902" i="44" s="1"/>
  <c r="Q18" i="43"/>
  <c r="K906" i="44" s="1"/>
  <c r="Q22" i="43"/>
  <c r="K910" i="44" s="1"/>
  <c r="Q26" i="43"/>
  <c r="K914" i="44" s="1"/>
  <c r="Q29" i="43"/>
  <c r="K917" i="44" s="1"/>
  <c r="Q37" i="43"/>
  <c r="K925" i="44" s="1"/>
  <c r="Q40" i="43"/>
  <c r="K928" i="44" s="1"/>
  <c r="Q44" i="43"/>
  <c r="K932" i="44" s="1"/>
  <c r="Q48" i="43"/>
  <c r="K936" i="44" s="1"/>
  <c r="Q51" i="43"/>
  <c r="K939" i="44" s="1"/>
  <c r="Q73" i="43"/>
  <c r="Q81" i="43"/>
  <c r="K968" i="44" s="1"/>
  <c r="Q34" i="43"/>
  <c r="K922" i="44" s="1"/>
  <c r="Q57" i="43"/>
  <c r="K945" i="44" s="1"/>
  <c r="Q61" i="43"/>
  <c r="K949" i="44" s="1"/>
  <c r="Q65" i="43"/>
  <c r="K953" i="44" s="1"/>
  <c r="Q69" i="43"/>
  <c r="K957" i="44" s="1"/>
  <c r="Q78" i="43"/>
  <c r="K965" i="44" s="1"/>
  <c r="Q86" i="43"/>
  <c r="K973" i="44" s="1"/>
  <c r="Q5" i="43"/>
  <c r="Q9" i="43"/>
  <c r="K897" i="44" s="1"/>
  <c r="Q13" i="43"/>
  <c r="K901" i="44" s="1"/>
  <c r="Q17" i="43"/>
  <c r="K905" i="44" s="1"/>
  <c r="Q21" i="43"/>
  <c r="K909" i="44" s="1"/>
  <c r="Q25" i="43"/>
  <c r="K913" i="44" s="1"/>
  <c r="Q31" i="43"/>
  <c r="K919" i="44" s="1"/>
  <c r="Q39" i="43"/>
  <c r="K927" i="44" s="1"/>
  <c r="Q43" i="43"/>
  <c r="K931" i="44" s="1"/>
  <c r="Q47" i="43"/>
  <c r="K935" i="44" s="1"/>
  <c r="Q53" i="43"/>
  <c r="K941" i="44" s="1"/>
  <c r="Q72" i="43"/>
  <c r="K960" i="44" s="1"/>
  <c r="Q75" i="43"/>
  <c r="K962" i="44" s="1"/>
  <c r="Q83" i="43"/>
  <c r="K970" i="44" s="1"/>
  <c r="AG192" i="65"/>
  <c r="Y193" i="65"/>
  <c r="AG193" i="65" s="1"/>
  <c r="AG672" i="65"/>
  <c r="Y673" i="65"/>
  <c r="AG673" i="65" s="1"/>
  <c r="AG660" i="65"/>
  <c r="Y661" i="65"/>
  <c r="AG661" i="65" s="1"/>
  <c r="AG683" i="49"/>
  <c r="Y684" i="49"/>
  <c r="C853" i="44"/>
  <c r="L772" i="44"/>
  <c r="AG360" i="65"/>
  <c r="Y361" i="65"/>
  <c r="AG361" i="65" s="1"/>
  <c r="AG684" i="65"/>
  <c r="Y685" i="65"/>
  <c r="AG685" i="65" s="1"/>
  <c r="L767" i="44"/>
  <c r="C848" i="44"/>
  <c r="C868" i="44"/>
  <c r="L787" i="44"/>
  <c r="AG696" i="65"/>
  <c r="Y697" i="65"/>
  <c r="AG697" i="65" s="1"/>
  <c r="L736" i="44"/>
  <c r="C817" i="44"/>
  <c r="D806" i="44"/>
  <c r="D807" i="44" s="1"/>
  <c r="D808" i="44" s="1"/>
  <c r="D809" i="44" s="1"/>
  <c r="D810" i="44" s="1"/>
  <c r="D811" i="44" s="1"/>
  <c r="D812" i="44"/>
  <c r="D813" i="44" s="1"/>
  <c r="D814" i="44" s="1"/>
  <c r="D815" i="44" s="1"/>
  <c r="D816" i="44" s="1"/>
  <c r="D817" i="44" s="1"/>
  <c r="D818" i="44" s="1"/>
  <c r="D819" i="44" s="1"/>
  <c r="D820" i="44" s="1"/>
  <c r="D821" i="44" s="1"/>
  <c r="D822" i="44" s="1"/>
  <c r="D823" i="44" s="1"/>
  <c r="D824" i="44" s="1"/>
  <c r="D825" i="44" s="1"/>
  <c r="D826" i="44" s="1"/>
  <c r="D827" i="44" s="1"/>
  <c r="D828" i="44" s="1"/>
  <c r="D829" i="44" s="1"/>
  <c r="D830" i="44" s="1"/>
  <c r="D831" i="44" s="1"/>
  <c r="D832" i="44" s="1"/>
  <c r="D833" i="44" s="1"/>
  <c r="D834" i="44" s="1"/>
  <c r="D835" i="44" s="1"/>
  <c r="D836" i="44" s="1"/>
  <c r="D837" i="44" s="1"/>
  <c r="D838" i="44" s="1"/>
  <c r="D839" i="44" s="1"/>
  <c r="D840" i="44" s="1"/>
  <c r="D841" i="44" s="1"/>
  <c r="D842" i="44" s="1"/>
  <c r="D843" i="44" s="1"/>
  <c r="D844" i="44" s="1"/>
  <c r="D845" i="44" s="1"/>
  <c r="D846" i="44" s="1"/>
  <c r="D847" i="44" s="1"/>
  <c r="D848" i="44" s="1"/>
  <c r="D849" i="44" s="1"/>
  <c r="D850" i="44" s="1"/>
  <c r="D851" i="44" s="1"/>
  <c r="D852" i="44" s="1"/>
  <c r="D853" i="44" s="1"/>
  <c r="D854" i="44" s="1"/>
  <c r="D855" i="44" s="1"/>
  <c r="D856" i="44" s="1"/>
  <c r="D857" i="44" s="1"/>
  <c r="D858" i="44" s="1"/>
  <c r="D859" i="44" s="1"/>
  <c r="D860" i="44" s="1"/>
  <c r="D861" i="44" s="1"/>
  <c r="D862" i="44" s="1"/>
  <c r="D863" i="44" s="1"/>
  <c r="D864" i="44" s="1"/>
  <c r="D865" i="44" s="1"/>
  <c r="D866" i="44" s="1"/>
  <c r="D867" i="44" s="1"/>
  <c r="D868" i="44" s="1"/>
  <c r="D869" i="44" s="1"/>
  <c r="D870" i="44" s="1"/>
  <c r="D871" i="44" s="1"/>
  <c r="D872" i="44" s="1"/>
  <c r="D873" i="44" s="1"/>
  <c r="D874" i="44" s="1"/>
  <c r="D875" i="44" s="1"/>
  <c r="D876" i="44" s="1"/>
  <c r="D877" i="44" s="1"/>
  <c r="D878" i="44" s="1"/>
  <c r="D879" i="44" s="1"/>
  <c r="D880" i="44" s="1"/>
  <c r="D881" i="44" s="1"/>
  <c r="D882" i="44" s="1"/>
  <c r="D883" i="44" s="1"/>
  <c r="D884" i="44" s="1"/>
  <c r="D885" i="44" s="1"/>
  <c r="D886" i="44" s="1"/>
  <c r="AG216" i="65"/>
  <c r="Y217" i="65"/>
  <c r="AG217" i="65" s="1"/>
  <c r="AG480" i="65"/>
  <c r="Y481" i="65"/>
  <c r="AG481" i="65" s="1"/>
  <c r="AG828" i="65"/>
  <c r="Y829" i="65"/>
  <c r="AG829" i="65" s="1"/>
  <c r="Y73" i="65"/>
  <c r="AG73" i="65" s="1"/>
  <c r="AG72" i="65"/>
  <c r="AG708" i="65"/>
  <c r="Y709" i="65"/>
  <c r="AG709" i="65" s="1"/>
  <c r="AG624" i="65"/>
  <c r="Y625" i="65"/>
  <c r="AG625" i="65" s="1"/>
  <c r="AG492" i="49"/>
  <c r="Y493" i="49"/>
  <c r="AG493" i="49" s="1"/>
  <c r="AG420" i="65"/>
  <c r="Y421" i="65"/>
  <c r="AG421" i="65" s="1"/>
  <c r="C821" i="44"/>
  <c r="L740" i="44"/>
  <c r="C841" i="44"/>
  <c r="L760" i="44"/>
  <c r="Y60" i="65"/>
  <c r="AG59" i="65"/>
  <c r="C844" i="44"/>
  <c r="L763" i="44"/>
  <c r="Y661" i="49"/>
  <c r="AG661" i="49" s="1"/>
  <c r="AG660" i="49"/>
  <c r="AG528" i="65"/>
  <c r="Y529" i="65"/>
  <c r="AG529" i="65" s="1"/>
  <c r="AG492" i="65"/>
  <c r="Y493" i="65"/>
  <c r="AG493" i="65" s="1"/>
  <c r="C962" i="44"/>
  <c r="L962" i="44" s="1"/>
  <c r="L881" i="44"/>
  <c r="AG612" i="65"/>
  <c r="Y613" i="65"/>
  <c r="AG613" i="65" s="1"/>
  <c r="C891" i="44"/>
  <c r="L810" i="44"/>
  <c r="L851" i="44"/>
  <c r="C932" i="44"/>
  <c r="L932" i="44" s="1"/>
  <c r="L776" i="44"/>
  <c r="C857" i="44"/>
  <c r="Y673" i="49"/>
  <c r="AG673" i="49" s="1"/>
  <c r="AG672" i="49"/>
  <c r="L783" i="44"/>
  <c r="C864" i="44"/>
  <c r="AG720" i="65"/>
  <c r="Y721" i="65"/>
  <c r="AG721" i="65" s="1"/>
  <c r="L821" i="44" l="1"/>
  <c r="C902" i="44"/>
  <c r="L902" i="44" s="1"/>
  <c r="L868" i="44"/>
  <c r="C949" i="44"/>
  <c r="L949" i="44" s="1"/>
  <c r="L852" i="44"/>
  <c r="C933" i="44"/>
  <c r="L933" i="44" s="1"/>
  <c r="E893" i="44"/>
  <c r="E894" i="44" s="1"/>
  <c r="E895" i="44" s="1"/>
  <c r="E896" i="44" s="1"/>
  <c r="E897" i="44" s="1"/>
  <c r="E898" i="44" s="1"/>
  <c r="E899" i="44" s="1"/>
  <c r="E900" i="44" s="1"/>
  <c r="E901" i="44" s="1"/>
  <c r="E902" i="44" s="1"/>
  <c r="E903" i="44" s="1"/>
  <c r="E904" i="44" s="1"/>
  <c r="E905" i="44" s="1"/>
  <c r="E906" i="44" s="1"/>
  <c r="E907" i="44" s="1"/>
  <c r="E908" i="44" s="1"/>
  <c r="E909" i="44" s="1"/>
  <c r="E910" i="44" s="1"/>
  <c r="E911" i="44" s="1"/>
  <c r="E912" i="44" s="1"/>
  <c r="E913" i="44" s="1"/>
  <c r="E914" i="44" s="1"/>
  <c r="E915" i="44" s="1"/>
  <c r="E916" i="44" s="1"/>
  <c r="E917" i="44" s="1"/>
  <c r="E918" i="44" s="1"/>
  <c r="E919" i="44" s="1"/>
  <c r="E920" i="44" s="1"/>
  <c r="E921" i="44" s="1"/>
  <c r="E922" i="44" s="1"/>
  <c r="E923" i="44" s="1"/>
  <c r="E924" i="44" s="1"/>
  <c r="E925" i="44" s="1"/>
  <c r="E926" i="44" s="1"/>
  <c r="E927" i="44" s="1"/>
  <c r="E928" i="44" s="1"/>
  <c r="E929" i="44" s="1"/>
  <c r="E930" i="44" s="1"/>
  <c r="E931" i="44" s="1"/>
  <c r="E932" i="44" s="1"/>
  <c r="E933" i="44" s="1"/>
  <c r="E934" i="44" s="1"/>
  <c r="E935" i="44" s="1"/>
  <c r="E936" i="44" s="1"/>
  <c r="E937" i="44" s="1"/>
  <c r="E938" i="44" s="1"/>
  <c r="E939" i="44" s="1"/>
  <c r="E940" i="44" s="1"/>
  <c r="E941" i="44" s="1"/>
  <c r="E942" i="44" s="1"/>
  <c r="E943" i="44" s="1"/>
  <c r="E944" i="44" s="1"/>
  <c r="E945" i="44" s="1"/>
  <c r="E946" i="44" s="1"/>
  <c r="E947" i="44" s="1"/>
  <c r="E948" i="44" s="1"/>
  <c r="E949" i="44" s="1"/>
  <c r="E950" i="44" s="1"/>
  <c r="E951" i="44" s="1"/>
  <c r="E952" i="44" s="1"/>
  <c r="E953" i="44" s="1"/>
  <c r="E954" i="44" s="1"/>
  <c r="E955" i="44" s="1"/>
  <c r="E956" i="44" s="1"/>
  <c r="E957" i="44" s="1"/>
  <c r="E958" i="44" s="1"/>
  <c r="E959" i="44" s="1"/>
  <c r="E960" i="44" s="1"/>
  <c r="E961" i="44" s="1"/>
  <c r="E962" i="44" s="1"/>
  <c r="E963" i="44" s="1"/>
  <c r="E964" i="44" s="1"/>
  <c r="E965" i="44" s="1"/>
  <c r="E966" i="44" s="1"/>
  <c r="E967" i="44" s="1"/>
  <c r="E968" i="44" s="1"/>
  <c r="E969" i="44" s="1"/>
  <c r="E970" i="44" s="1"/>
  <c r="E971" i="44" s="1"/>
  <c r="E972" i="44" s="1"/>
  <c r="E973" i="44" s="1"/>
  <c r="E887" i="44"/>
  <c r="E888" i="44" s="1"/>
  <c r="E889" i="44" s="1"/>
  <c r="E890" i="44" s="1"/>
  <c r="E891" i="44" s="1"/>
  <c r="E892" i="44" s="1"/>
  <c r="L832" i="44"/>
  <c r="C913" i="44"/>
  <c r="L913" i="44" s="1"/>
  <c r="L864" i="44"/>
  <c r="C945" i="44"/>
  <c r="L945" i="44" s="1"/>
  <c r="L857" i="44"/>
  <c r="C938" i="44"/>
  <c r="L938" i="44" s="1"/>
  <c r="D893" i="44"/>
  <c r="D894" i="44" s="1"/>
  <c r="D895" i="44" s="1"/>
  <c r="D896" i="44" s="1"/>
  <c r="D897" i="44" s="1"/>
  <c r="D898" i="44" s="1"/>
  <c r="D899" i="44" s="1"/>
  <c r="D900" i="44" s="1"/>
  <c r="D901" i="44" s="1"/>
  <c r="D902" i="44" s="1"/>
  <c r="D903" i="44" s="1"/>
  <c r="D904" i="44" s="1"/>
  <c r="D905" i="44" s="1"/>
  <c r="D906" i="44" s="1"/>
  <c r="D907" i="44" s="1"/>
  <c r="D908" i="44" s="1"/>
  <c r="D909" i="44" s="1"/>
  <c r="D910" i="44" s="1"/>
  <c r="D911" i="44" s="1"/>
  <c r="D912" i="44" s="1"/>
  <c r="D913" i="44" s="1"/>
  <c r="D914" i="44" s="1"/>
  <c r="D915" i="44" s="1"/>
  <c r="D916" i="44" s="1"/>
  <c r="D917" i="44" s="1"/>
  <c r="D918" i="44" s="1"/>
  <c r="D919" i="44" s="1"/>
  <c r="D920" i="44" s="1"/>
  <c r="D921" i="44" s="1"/>
  <c r="D922" i="44" s="1"/>
  <c r="D923" i="44" s="1"/>
  <c r="D924" i="44" s="1"/>
  <c r="D925" i="44" s="1"/>
  <c r="D926" i="44" s="1"/>
  <c r="D927" i="44" s="1"/>
  <c r="D928" i="44" s="1"/>
  <c r="D929" i="44" s="1"/>
  <c r="D930" i="44" s="1"/>
  <c r="D931" i="44" s="1"/>
  <c r="D932" i="44" s="1"/>
  <c r="D933" i="44" s="1"/>
  <c r="D934" i="44" s="1"/>
  <c r="D935" i="44" s="1"/>
  <c r="D936" i="44" s="1"/>
  <c r="D937" i="44" s="1"/>
  <c r="D938" i="44" s="1"/>
  <c r="D939" i="44" s="1"/>
  <c r="D940" i="44" s="1"/>
  <c r="D941" i="44" s="1"/>
  <c r="D942" i="44" s="1"/>
  <c r="D943" i="44" s="1"/>
  <c r="D944" i="44" s="1"/>
  <c r="D945" i="44" s="1"/>
  <c r="D946" i="44" s="1"/>
  <c r="D947" i="44" s="1"/>
  <c r="D948" i="44" s="1"/>
  <c r="D949" i="44" s="1"/>
  <c r="D950" i="44" s="1"/>
  <c r="D951" i="44" s="1"/>
  <c r="D952" i="44" s="1"/>
  <c r="D953" i="44" s="1"/>
  <c r="D954" i="44" s="1"/>
  <c r="D955" i="44" s="1"/>
  <c r="D956" i="44" s="1"/>
  <c r="D957" i="44" s="1"/>
  <c r="D958" i="44" s="1"/>
  <c r="D959" i="44" s="1"/>
  <c r="D960" i="44" s="1"/>
  <c r="D961" i="44" s="1"/>
  <c r="D962" i="44" s="1"/>
  <c r="D963" i="44" s="1"/>
  <c r="D964" i="44" s="1"/>
  <c r="D965" i="44" s="1"/>
  <c r="D966" i="44" s="1"/>
  <c r="D967" i="44" s="1"/>
  <c r="D968" i="44" s="1"/>
  <c r="D969" i="44" s="1"/>
  <c r="D970" i="44" s="1"/>
  <c r="D971" i="44" s="1"/>
  <c r="D972" i="44" s="1"/>
  <c r="D973" i="44" s="1"/>
  <c r="D887" i="44"/>
  <c r="D888" i="44" s="1"/>
  <c r="D889" i="44" s="1"/>
  <c r="D890" i="44" s="1"/>
  <c r="D891" i="44" s="1"/>
  <c r="D892" i="44" s="1"/>
  <c r="C929" i="44"/>
  <c r="L929" i="44" s="1"/>
  <c r="L848" i="44"/>
  <c r="C934" i="44"/>
  <c r="L934" i="44" s="1"/>
  <c r="L853" i="44"/>
  <c r="L829" i="44"/>
  <c r="C910" i="44"/>
  <c r="L910" i="44" s="1"/>
  <c r="L837" i="44"/>
  <c r="C918" i="44"/>
  <c r="L918" i="44" s="1"/>
  <c r="Y61" i="65"/>
  <c r="AG61" i="65" s="1"/>
  <c r="AG60" i="65"/>
  <c r="L844" i="44"/>
  <c r="C925" i="44"/>
  <c r="L925" i="44" s="1"/>
  <c r="Y685" i="49"/>
  <c r="AG685" i="49" s="1"/>
  <c r="AG684" i="49"/>
  <c r="L825" i="44"/>
  <c r="C906" i="44"/>
  <c r="L906" i="44" s="1"/>
  <c r="L849" i="44"/>
  <c r="C930" i="44"/>
  <c r="L930" i="44" s="1"/>
  <c r="C898" i="44"/>
  <c r="L898" i="44" s="1"/>
  <c r="L817" i="44"/>
  <c r="L869" i="44"/>
  <c r="C950" i="44"/>
  <c r="L950" i="44" s="1"/>
  <c r="AG24" i="65"/>
  <c r="Y25" i="65"/>
  <c r="AG25" i="65" s="1"/>
  <c r="L865" i="44"/>
  <c r="C946" i="44"/>
  <c r="L946" i="44" s="1"/>
  <c r="L840" i="44"/>
  <c r="C921" i="44"/>
  <c r="L921" i="44" s="1"/>
  <c r="Y85" i="65"/>
  <c r="AG85" i="65" s="1"/>
  <c r="AG84" i="65"/>
  <c r="C942" i="44"/>
  <c r="L942" i="44" s="1"/>
  <c r="L861" i="44"/>
  <c r="L891" i="44"/>
  <c r="C972" i="44"/>
  <c r="L972" i="44" s="1"/>
  <c r="C922" i="44"/>
  <c r="L922" i="44" s="1"/>
  <c r="L841" i="44"/>
  <c r="L856" i="44"/>
  <c r="C937" i="44"/>
  <c r="L937" i="44" s="1"/>
  <c r="L833" i="44"/>
  <c r="C914" i="44"/>
  <c r="L914" i="44" s="1"/>
  <c r="Q88" i="43"/>
  <c r="Q89" i="43" s="1"/>
  <c r="K893" i="44"/>
  <c r="C909" i="44"/>
  <c r="L909" i="44" s="1"/>
  <c r="L828" i="44"/>
  <c r="L860" i="44"/>
  <c r="C941" i="44"/>
  <c r="L941" i="44" s="1"/>
  <c r="C926" i="44"/>
  <c r="L926" i="44" s="1"/>
  <c r="L845" i="44"/>
  <c r="L836" i="44"/>
  <c r="C917" i="44"/>
  <c r="L917" i="44" s="1"/>
  <c r="O115" i="6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Julie Ung</author>
  </authors>
  <commentList>
    <comment ref="K217" authorId="0" shapeId="0" xr:uid="{5ABFC27E-B475-49D3-937B-34FEE20F2B19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VRON Augmentation de puissance 1,2MW inclus
</t>
        </r>
      </text>
    </comment>
    <comment ref="K229" authorId="0" shapeId="0" xr:uid="{19397132-DC91-4E8F-BD55-C8DF5BBFD6F6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FORTEL : augmentation de puissance +1,2MW inclus</t>
        </r>
      </text>
    </comment>
    <comment ref="K481" authorId="0" shapeId="0" xr:uid="{495F17C6-CF17-4779-9F1C-D95688D956F4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MONT DE BAGNY : nouvelle puissance à 25,6MW</t>
        </r>
      </text>
    </comment>
    <comment ref="K505" authorId="0" shapeId="0" xr:uid="{D996DA30-CB0F-4EA3-9DB7-AE1DF52DAE86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ARTOIS 2 : augmentation de puissance de 9,9 à 10,35 MW soit total 1 et 2=23 550MW</t>
        </r>
      </text>
    </comment>
    <comment ref="K553" authorId="0" shapeId="0" xr:uid="{196AD264-4FC3-4728-B7FC-C55703E23658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RIB/vents du Cambrésis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Stephanie Mesropyan</author>
  </authors>
  <commentList>
    <comment ref="M1" authorId="0" shapeId="0" xr:uid="{ECCBB90F-C600-4FCF-9190-8163B02802CD}">
      <text>
        <r>
          <rPr>
            <b/>
            <sz val="9"/>
            <color indexed="81"/>
            <rFont val="Tahoma"/>
            <family val="2"/>
          </rPr>
          <t>SMES: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vérifier si mm nb de jours sur 2021: non 366 jours (Février 29 jours au lieu de 28 soit Forc Out Hrs -20,88 au lieu de -20,16)</t>
        </r>
      </text>
    </comment>
    <comment ref="R2" authorId="0" shapeId="0" xr:uid="{599D3DE5-92E4-4FF4-85B1-8051BBFF1E0C}">
      <text>
        <r>
          <rPr>
            <b/>
            <sz val="9"/>
            <color indexed="81"/>
            <rFont val="Tahoma"/>
            <family val="2"/>
          </rPr>
          <t>SMES: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vérifier si mm nb de jours sur 2021: non 366 jours (Février 29 jours au lieu de 28 soit Forc Out Hrs -20,88 au lieu de -20,16)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Julie Ung</author>
    <author>Charline Rabier</author>
  </authors>
  <commentList>
    <comment ref="D56" authorId="0" shapeId="0" xr:uid="{E08FFADB-1495-4E4B-92FB-1E97E2EDD385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Moulin à Vent</t>
        </r>
      </text>
    </comment>
    <comment ref="D92" authorId="0" shapeId="0" xr:uid="{072D0B43-4D74-422A-BCA2-A68A5103920D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Maurienne</t>
        </r>
      </text>
    </comment>
    <comment ref="AI102" authorId="1" shapeId="0" xr:uid="{EF3C1436-1799-48CE-B859-CEFCE60D5D16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erroné, indexation à date anniversaire du contrat</t>
        </r>
      </text>
    </comment>
    <comment ref="AI103" authorId="1" shapeId="0" xr:uid="{0D10D173-9781-4B9F-81F2-4453EFB39D37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erroné, indexation à date anniversaire du contrat</t>
        </r>
      </text>
    </comment>
    <comment ref="AQ106" authorId="0" shapeId="0" xr:uid="{323D9C1F-B158-419A-8199-7FC55AB5C476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MOD 01/11/2020 selon lettre de cadrage</t>
        </r>
      </text>
    </comment>
    <comment ref="CC106" authorId="0" shapeId="0" xr:uid="{A981A2F5-3B16-478D-9584-E9743D1955C8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MOD 01/11/2020 selon lettre de cadrage</t>
        </r>
      </text>
    </comment>
    <comment ref="S107" authorId="0" shapeId="0" xr:uid="{1AFD3B72-05A8-4ACC-A3CC-965F1A7C1429}">
      <text>
        <r>
          <rPr>
            <b/>
            <sz val="9"/>
            <color indexed="81"/>
            <rFont val="Tahoma"/>
            <family val="2"/>
          </rPr>
          <t>Julie Ung:</t>
        </r>
        <r>
          <rPr>
            <sz val="9"/>
            <color indexed="81"/>
            <rFont val="Tahoma"/>
            <family val="2"/>
          </rPr>
          <t xml:space="preserve">
Ernani : Chiffres  sont du rapport DEWI. Ces projets font l’objet d’un prêt bridge, donc certaines banques sont au courant que ces chiffres vont être revus par Mott.</t>
        </r>
      </text>
    </comment>
    <comment ref="EZ123" authorId="1" shapeId="0" xr:uid="{67ACF1AB-2EDE-48CA-AB3C-E315C4E27F1D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A123" authorId="1" shapeId="0" xr:uid="{FE78D359-1107-4C86-BD3C-6DD5222CA0CA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B123" authorId="1" shapeId="0" xr:uid="{FBBC34E5-F46C-4EE1-B6DE-9C15FAF012C3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C123" authorId="1" shapeId="0" xr:uid="{ABAF4EFF-F6BD-4923-8A70-419F73A043C2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D123" authorId="1" shapeId="0" xr:uid="{99D6BB67-40E5-478C-B54B-F11ACF79B839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E123" authorId="1" shapeId="0" xr:uid="{E8A3D690-A777-4EB7-8391-F9A077EE8713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F123" authorId="1" shapeId="0" xr:uid="{8A7E2369-B228-434A-8718-059FE637EC9C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G123" authorId="1" shapeId="0" xr:uid="{189306CA-AF73-44A6-9ED5-27C1D0324924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H123" authorId="1" shapeId="0" xr:uid="{A439F926-1CE1-4F45-B1AA-740AD0A012D8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I123" authorId="1" shapeId="0" xr:uid="{F6433BE6-9AFC-4B35-9FF2-F3AECFED1B04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J123" authorId="1" shapeId="0" xr:uid="{AD83F3C4-3098-42B9-8033-228C701D3DA7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K123" authorId="1" shapeId="0" xr:uid="{E16B43C8-ADB2-48E0-BBC3-0EA76C6FDC71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EZ125" authorId="1" shapeId="0" xr:uid="{1844485B-2C22-40CC-AC8B-3A044CFB3C40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A125" authorId="1" shapeId="0" xr:uid="{99822DC9-5E3B-4185-9D0E-1A008390A685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B125" authorId="1" shapeId="0" xr:uid="{4B5E2295-E5D4-439F-9EC9-56D93FA93D62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C125" authorId="1" shapeId="0" xr:uid="{0E788085-6864-4DDC-99CD-75B23BD408B2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D125" authorId="1" shapeId="0" xr:uid="{2FA0DFD9-D41F-4957-8C8A-38DACBF9BA53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E125" authorId="1" shapeId="0" xr:uid="{03DBBB2C-FCC7-45C1-8297-694F2D7E5917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F125" authorId="1" shapeId="0" xr:uid="{B940039C-E77C-4CCF-B859-095CEE3081B2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G125" authorId="1" shapeId="0" xr:uid="{28ED9D1C-409F-4163-9C2A-4ED6E307EB92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H125" authorId="1" shapeId="0" xr:uid="{8BD78567-6CFD-450D-97A7-1422F3B807EA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I125" authorId="1" shapeId="0" xr:uid="{13920478-A363-43D2-81C5-E975F7CB095F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J125" authorId="1" shapeId="0" xr:uid="{4B536CF0-9E02-48B3-8B0C-F4C5C6E7D6C5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K125" authorId="1" shapeId="0" xr:uid="{215B384C-8754-4DFC-9F05-FB5432258C8E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EZ129" authorId="1" shapeId="0" xr:uid="{3D3FE031-0394-4854-B273-536E8D2A10AD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A129" authorId="1" shapeId="0" xr:uid="{8ECF82BE-B726-4DD9-986D-B24AD2627BE5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B129" authorId="1" shapeId="0" xr:uid="{DA4D206C-172B-4B4C-BF33-7CC94E98FC6F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C129" authorId="1" shapeId="0" xr:uid="{8D002497-49E3-4D1A-8F68-21FFF1868139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D129" authorId="1" shapeId="0" xr:uid="{8EAE47B2-652D-41DB-BE1B-264693617BEB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E129" authorId="1" shapeId="0" xr:uid="{0817C49C-39B1-4F2E-8092-AFC54710C0B1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F129" authorId="1" shapeId="0" xr:uid="{F1207CB5-D16E-47BC-95B6-43A260AB5178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G129" authorId="1" shapeId="0" xr:uid="{FFC6FFF3-E6BB-4132-8D74-5998218DC406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H129" authorId="1" shapeId="0" xr:uid="{7C0D676F-7649-441E-A196-9BC872D2F0B5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I129" authorId="1" shapeId="0" xr:uid="{35DF2767-DFF8-48E5-81C5-0EC29343C906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J129" authorId="1" shapeId="0" xr:uid="{BF885E6C-FD4B-40B5-8472-4B50FA3CD728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  <comment ref="FK129" authorId="1" shapeId="0" xr:uid="{F6072362-B03F-48EC-9228-A8839C22F240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pb secteur Peyrolles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tc={3E962A80-BE43-4108-946E-3402011114D5}</author>
    <author>tc={F0A2DF4E-9AC0-4F48-9AF2-1FC6762D2D53}</author>
    <author>tc={D48529F5-FD91-4518-B5F9-756C70C6E927}</author>
    <author>tc={E9F6F6A7-097C-4243-B901-CDE4B1B22BDD}</author>
    <author>tc={74314E80-5142-45A1-A8D4-514D967A98BC}</author>
    <author>tc={F34932CE-953D-4310-9171-2B0D24C8A34B}</author>
    <author>tc={4486F103-8E57-42A7-8DB5-CFBE866F7490}</author>
    <author>tc={01275582-A41C-4EBC-B527-83F7F40A1E32}</author>
    <author>tc={EEA6F8EA-CE4B-4F49-A6C4-532E9E872B9F}</author>
    <author>tc={0804A286-CCDE-403F-97A1-ABE15514A4E1}</author>
    <author>tc={3A567FBE-C1B3-4422-AA65-006892F432C0}</author>
    <author>tc={2B403182-9EAF-4909-92C0-CE7457CD2213}</author>
    <author>tc={1A230E0D-1A99-4198-90C8-F7D2257F62DB}</author>
    <author>Giannino Martin</author>
    <author>tc={CCCB3CBC-AD18-460A-AEB4-84C43472A620}</author>
    <author>tc={1F3F79CC-E2F7-43DC-A219-9DD50D994337}</author>
    <author>tc={02DE170F-0B1F-4E79-9BE0-9051FB4BE06D}</author>
    <author>tc={C366AB10-F018-4B43-A855-1A1055E42A33}</author>
    <author>tc={265B970E-E039-4348-A37E-FBED621B116F}</author>
    <author>tc={235AC549-A81E-4613-A4E5-635AD3E91118}</author>
    <author>tc={077C53FB-14D2-48FB-BE82-5364B3F52CE9}</author>
    <author>tc={F0AC8A95-9DC4-4A5D-BA21-E01F70402CE1}</author>
    <author>tc={E17C8F06-6EF1-41C5-B218-7C01C291F7AC}</author>
    <author>tc={F9BC4A84-1249-4899-B22E-E7E2A8ADFA73}</author>
    <author>tc={B32117DF-63DF-4189-9C42-5CE9B60CF287}</author>
    <author>tc={8767769A-4F55-46FA-9AEF-B3C09CB6E38A}</author>
    <author>tc={F208878C-6F23-4FE7-B2E4-F6435F034934}</author>
    <author>tc={02E4959A-1F19-4617-8B29-0A3601D11EE0}</author>
    <author>tc={103885B2-22DF-41EA-A4D4-AD765104AC88}</author>
    <author>tc={378D7A68-E4FB-4C13-9563-B27A99B03B26}</author>
    <author>tc={B53CE3CE-127C-46B6-B76D-3D8A71E4451D}</author>
    <author>tc={0139AEC1-2D04-41E4-88C6-1CF270EEADBA}</author>
    <author>tc={9BAC39FA-E695-42C9-BB08-B8FD301E8189}</author>
    <author>tc={4B5D0518-3066-4D3A-AA94-0EBFF7A6C184}</author>
    <author>tc={406BB15D-79EB-46D9-AB52-8D650B8FEE00}</author>
    <author>tc={A5DD77CD-44CE-4238-B344-A9C83E8910B0}</author>
    <author>tc={42022060-B6BF-4177-B6FB-C7F788C27ABA}</author>
    <author>tc={20E8FE22-EE8D-4448-9AF1-F8B30D3C8FB3}</author>
    <author>tc={2875145C-CCCB-4E60-AFFE-48F58194EEF3}</author>
    <author>tc={956C05CF-D4A7-42B1-938C-B57458024BB9}</author>
    <author>tc={4BCD8896-9714-4CF9-9DBC-3953B579C53C}</author>
    <author>tc={FE41E299-9C55-4627-AC37-0F1C80B7DC29}</author>
    <author>tc={FA8BB69E-B168-46AC-A49A-484D05E62CE4}</author>
    <author>tc={A9744049-B42A-447E-BA3E-0D9EAC8B04A5}</author>
    <author>tc={3EB65B08-1A18-41C2-BFF0-F4E18E31B4F2}</author>
    <author>tc={2DD77678-5A52-42A4-BD07-90D68E84BC96}</author>
    <author>tc={B969FAC1-7E30-4559-B96D-67485AACB54B}</author>
    <author>tc={2371509A-A19B-4B40-B325-8040AC82606A}</author>
    <author>tc={C5F78CC3-2FF1-4601-AB9C-2038251ADCD5}</author>
    <author>tc={2166E888-8CA9-445B-A42E-6220A09A3A3E}</author>
    <author>tc={27BD56E6-4C71-496E-82CE-49DBA7455C96}</author>
    <author>tc={ED51DABE-0D7A-4383-8464-3A46BA417999}</author>
    <author>tc={78F993B4-9C9C-4A88-8920-6881942611BE}</author>
    <author>tc={D33BFC2F-6D31-4EFF-B5F3-2DC9FE644480}</author>
    <author>tc={0C25BFE3-4202-49B2-B984-7B9A21352D5A}</author>
    <author>tc={9372F09E-43B8-4A84-88E5-71B9ECCF39E2}</author>
    <author>tc={4A4CF59C-3B93-4D0F-8118-009D769E90F5}</author>
    <author>tc={417778EE-C782-4D16-9A9A-0B235DAE6DF8}</author>
    <author>tc={99EE5BD6-179D-4101-831D-2BC6ECBFFA3C}</author>
    <author>tc={0AB4CFB7-5596-419F-AF57-BDD24CD25AA3}</author>
    <author>tc={B2090050-7DA9-4020-936C-7E8A7D37F82E}</author>
    <author>tc={85E02F33-484E-48E5-9EF9-8EEB4FC8473A}</author>
    <author>tc={0C613E49-BA01-4BBE-9B2B-35FE64A6E803}</author>
    <author>tc={57A69444-A864-4B6B-B878-7E4B1688594A}</author>
    <author>tc={222942E7-0123-4E0A-8AFB-DE58A4396E03}</author>
    <author>tc={6BE3735A-EDD4-4F3C-8FD7-2CA2FB7CF2F0}</author>
    <author>tc={FB1C7DA7-8C1D-4241-9EDF-91A534678E3C}</author>
    <author>tc={CFB9C142-954B-4D42-95D5-1892D792282D}</author>
    <author>tc={FFBD4360-BE43-4C64-BA12-DA6C3AB1B99E}</author>
    <author>tc={69FA4690-97D9-47AF-9273-CE2645DF23DE}</author>
    <author>tc={150B91AE-2B84-469D-A409-807B08F27E6E}</author>
    <author>tc={FBA3283E-69F3-47AA-801A-B1513AF0BDB2}</author>
    <author>tc={1640ECDF-05A9-434E-9E41-BD1E1F28B2B2}</author>
    <author>tc={0384CDDD-C5D9-486C-8D48-E89DB5B49E5E}</author>
    <author>tc={8F123D9B-5EDA-41CD-812C-2CE07A1D352B}</author>
    <author>tc={1100440F-CE49-4BA2-9A21-3F76D2E35079}</author>
    <author>tc={CF144AF2-9446-49D8-8E0C-0E83609714E0}</author>
    <author>tc={B9F7C37F-6500-41F0-9E4D-2EF46372FC26}</author>
    <author>tc={20A4B01F-47B0-4388-AB3B-C6E28A6508A1}</author>
    <author>tc={28D43D78-E8E4-41A4-9FC7-CDB6B511BD2D}</author>
    <author>tc={F53719F4-310F-45E8-B1E9-830522E94EB2}</author>
    <author>tc={4BEE42A0-7322-41F1-9615-596C33BF74BE}</author>
    <author>tc={F22557D2-66DE-4342-A616-B49F7B5E0387}</author>
    <author>tc={CB2D9A16-845B-4636-AE4D-FA5A0D20EC92}</author>
    <author>tc={52389786-428F-4254-87ED-2554F0AC1BDD}</author>
    <author>tc={6568BDE4-1267-43DE-AF31-F6DDABF86291}</author>
    <author>tc={7FBCA2AE-53BF-438B-9D10-B56FA8A68B80}</author>
    <author>tc={68B36001-1F0D-4F0E-A869-6CBAB48EACD8}</author>
    <author>tc={8099E698-9782-4AD3-A534-38822B8A1CA8}</author>
    <author>tc={594F5B5B-FE02-4B4A-9291-B92B2F554DEB}</author>
    <author>tc={A560C9AB-923B-46CF-B332-7AFEC4CD3744}</author>
    <author>tc={C52A818D-F073-4BA3-835F-B33EA4242859}</author>
    <author>tc={32927C28-181D-41A7-B280-B0D63D666A48}</author>
    <author>tc={9886807B-D035-41DA-971A-66148ED7C455}</author>
    <author>tc={20C3925A-0130-4190-BFC7-FD9CDE6DD916}</author>
    <author>tc={CBE06824-9985-41AF-8D1E-3640BB277EA8}</author>
    <author>tc={89FA82DC-2024-42F2-ADF7-CF58B04F7252}</author>
    <author>tc={140EC469-4502-426D-A81B-2855592515ED}</author>
    <author>tc={300CBCB8-1EA7-4166-9639-93D232D337C9}</author>
    <author>tc={C11F264C-1E28-46C8-831E-009EE24576FA}</author>
    <author>tc={242AA240-D332-4C6E-AE9F-137F370AC0EC}</author>
    <author>tc={1C28EC71-7DE0-4655-AE90-10C83207736C}</author>
    <author>tc={DBDA4BE3-120F-4053-8A4D-92D9262ED00B}</author>
    <author>tc={C1F8D208-F828-4269-94B2-2853FFD4084C}</author>
    <author>tc={1ECA69E6-64BC-49CA-9516-A3B3E9FE1CC0}</author>
    <author>tc={56410B4D-2D46-47EA-A287-C651CDCF3226}</author>
    <author>tc={C3C0A59C-AB36-4FFF-A857-23F0C9EEB421}</author>
    <author>tc={F11595AD-0362-46C4-A19C-C2BA81655176}</author>
    <author>tc={890768DC-7942-4C29-885F-4B39110E46F2}</author>
    <author>tc={B8DDDCF9-A902-4A30-A460-20F30FF2A38E}</author>
    <author>tc={9DE91AE2-E6D3-47BA-8AE9-2065361DD0DE}</author>
    <author>tc={7D2F280C-E84B-41DA-94FF-3B6C608025C1}</author>
    <author>tc={811BF5BD-DB71-4415-822D-B7C512B05839}</author>
    <author>tc={A8814D75-338B-4DE6-BE8B-2CDE4F40E074}</author>
    <author>tc={324C3AD7-99BC-4C3B-AD69-C078D8BB5D03}</author>
    <author>tc={F185F38D-2684-4DDF-AC3D-5896DE0C43D8}</author>
    <author>tc={7A805806-3D71-469A-864D-D953AB519CCE}</author>
    <author>tc={A1F1F1FB-819A-4564-B519-45D8700D7CFC}</author>
    <author>tc={DF4D4C37-99DD-476C-8225-F4F964D3CD60}</author>
    <author>tc={11E5E08A-A9DB-47BC-9442-23EAE43AAE3E}</author>
    <author>tc={D9ECF444-D088-4925-8544-FE6620569E5A}</author>
    <author>tc={DD71756F-F9EF-4240-981C-D8B0986399A0}</author>
    <author>tc={25EC8532-B9EF-4596-B9DA-197AD4BB7735}</author>
    <author>tc={32D77D10-3955-4E02-A5C2-B59588D3DFA1}</author>
    <author>tc={C18AA215-3320-4150-9C4F-170F364166A2}</author>
    <author>tc={1CA93DD5-08B2-4F96-B189-05C42C455072}</author>
    <author>tc={082284E4-BC40-4C8A-9CC9-3C979740C7AD}</author>
    <author>tc={031FC566-5F4E-41D7-B02A-1628F1DC5981}</author>
    <author>tc={461E853A-CE8C-47A5-9564-B690FD8CCFEA}</author>
    <author>tc={9B81078A-C8CB-43F6-9FE7-7B0FFAA627BD}</author>
    <author>tc={070B1C40-D8AC-47EF-AC82-0E039D05C7FC}</author>
    <author>tc={FF52691B-A953-43F9-BE5E-0579B8803040}</author>
    <author>tc={0D1D4F83-EAEB-4C82-AD5A-0734BE079F95}</author>
    <author>tc={760E1393-FE4C-4B73-AF62-697CF57C01A6}</author>
    <author>tc={C7F435CB-7BB5-4C54-92F9-93C75E0A0709}</author>
    <author>tc={22B77549-5FEB-4839-847E-2D98B470E9FE}</author>
    <author>tc={11DCE1EA-9B20-491C-A9C5-3F6B8C50AEA3}</author>
    <author>tc={9093FBB4-66C5-416F-B45D-4923B375D51A}</author>
    <author>tc={14EB0A8A-2E9C-4EF9-B2FF-2DFB75360E1F}</author>
    <author>tc={6C956CD6-F676-4A47-82CA-7E669E470FF3}</author>
    <author>tc={F198EE8C-1168-405E-9B37-F260801E3D4F}</author>
    <author>tc={F717460C-2530-4334-B92D-07799DAC912D}</author>
    <author>tc={CBA3305D-1DA2-49AA-B686-02CEE1A7CACE}</author>
    <author>tc={17318710-9AA9-4EE5-8B67-7767B9B5C791}</author>
    <author>tc={1F510E0E-7D3F-4BE3-9916-5489A2746238}</author>
    <author>tc={35DEC00C-5524-4D54-82FE-A91DB9E3F5B2}</author>
    <author>tc={8F24A692-25DF-4D2E-9758-33D80C2E1A03}</author>
    <author>tc={928F324F-D78E-4866-9D87-4BF44FA885B4}</author>
    <author>tc={C6F25DA9-F040-430C-BE4D-DDDC29643545}</author>
    <author>tc={556C5A10-7B4B-4395-A7DE-67D7AE1B1DEF}</author>
    <author>tc={6FC70D89-1254-489C-82D2-CBBCB7D61941}</author>
    <author>tc={B4526E41-CA36-4B74-A9AC-98FA02D44F02}</author>
    <author>tc={BD322EA0-BBA0-49EA-BFC1-40CF68F7E89C}</author>
    <author>tc={9EC7C1C1-C3E8-4626-9F64-892E9516DC2D}</author>
    <author>tc={91B4FD61-89A2-4400-B5A9-23DFDF40B87B}</author>
    <author>tc={C4D8B79D-94F9-41AC-9BC0-C4EBF924886E}</author>
    <author>tc={9D260A50-1A20-4D49-957C-61B363200E22}</author>
    <author>tc={5B210FDE-0FBE-45B5-8DE3-5FDDAC36B7B4}</author>
    <author>tc={F234130C-12A8-4700-8652-82FD6154FDF6}</author>
    <author>tc={5FB38C3A-A9F9-458B-8A91-B30B3731A66B}</author>
  </authors>
  <commentList>
    <comment ref="N7" authorId="0" shapeId="0" xr:uid="{3E962A80-BE43-4108-946E-3402011114D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inhérent au calcul</t>
      </text>
    </comment>
    <comment ref="Q7" authorId="1" shapeId="0" xr:uid="{F0A2DF4E-9AC0-4F48-9AF2-1FC6762D2D5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cherche à faire de la mise en drapeau sur les GE pour 2022. pas d'estimation à ce jour. pas sûr que techniquement, cela soit possible de faire de la mise en drapeau sur ces anciennes machines.</t>
      </text>
    </comment>
    <comment ref="N8" authorId="2" shapeId="0" xr:uid="{D48529F5-FD91-4518-B5F9-756C70C6E927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inhérent au calcul</t>
      </text>
    </comment>
    <comment ref="Q8" authorId="3" shapeId="0" xr:uid="{E9F6F6A7-097C-4243-B901-CDE4B1B22BD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cherche à faire de la mise en drapeau sur les GE pour 2022. pas d'estimation à ce jour. pas sûr que techniquement, cela soit possible de faire de la mise en drapeau sur ces anciennes machines.</t>
      </text>
    </comment>
    <comment ref="N9" authorId="4" shapeId="0" xr:uid="{74314E80-5142-45A1-A8D4-514D967A98B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inhérent au calcul</t>
      </text>
    </comment>
    <comment ref="Q9" authorId="5" shapeId="0" xr:uid="{F34932CE-953D-4310-9171-2B0D24C8A34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cherche à faire de la mise en drapeau sur les GE pour 2022. pas d'estimation à ce jour. pas sûr que techniquement, cela soit possible de faire de la mise en drapeau sur ces anciennes machines.</t>
      </text>
    </comment>
    <comment ref="N10" authorId="6" shapeId="0" xr:uid="{4486F103-8E57-42A7-8DB5-CFBE866F749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inhérent au calcul</t>
      </text>
    </comment>
    <comment ref="Q10" authorId="7" shapeId="0" xr:uid="{01275582-A41C-4EBC-B527-83F7F40A1E3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cherche à faire de la mise en drapeau sur les GE pour 2022. pas d'estimation à ce jour. pas sûr que techniquement, cela soit possible de faire de la mise en drapeau sur ces anciennes machines.</t>
      </text>
    </comment>
    <comment ref="N13" authorId="8" shapeId="0" xr:uid="{EEA6F8EA-CE4B-4F49-A6C4-532E9E872B9F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calcul des plans de bridages en cours sur les 2 directions (mesures en réception post-implantation terminées au printemps 2021).</t>
      </text>
    </comment>
    <comment ref="Q13" authorId="9" shapeId="0" xr:uid="{0804A286-CCDE-403F-97A1-ABE15514A4E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chiro possible en 2022 (on attend les résultats des suivis chiro sur Cham Longe 1 &amp; 2)</t>
      </text>
    </comment>
    <comment ref="Q17" authorId="10" shapeId="0" xr:uid="{3A567FBE-C1B3-4422-AA65-006892F432C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maison en 1/10ième de nuit activé depuis le 31/05/2021. estimation à 0,18% sur la totalité des parcs de Ronchois</t>
      </text>
    </comment>
    <comment ref="Q18" authorId="11" shapeId="0" xr:uid="{2B403182-9EAF-4909-92C0-CE7457CD221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maison en 1/10ième de nuit activé depuis le 31/05/2021. estimation à 0,18% sur la totalité des parcs de Ronchois</t>
      </text>
    </comment>
    <comment ref="Q19" authorId="12" shapeId="0" xr:uid="{1A230E0D-1A99-4198-90C8-F7D2257F62D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maison en 1/10ième de nuit activé depuis le 31/05/2021. estimation à 0,18% sur la totalité des parcs de Ronchois</t>
      </text>
    </comment>
    <comment ref="J21" authorId="13" shapeId="0" xr:uid="{4541F1E4-DC07-49E9-9661-4B52ACD28496}">
      <text>
        <r>
          <rPr>
            <b/>
            <sz val="9"/>
            <color indexed="81"/>
            <rFont val="Tahoma"/>
            <family val="2"/>
          </rPr>
          <t>2ème round BGT, amelioration 1%</t>
        </r>
      </text>
    </comment>
    <comment ref="J22" authorId="13" shapeId="0" xr:uid="{13BBEC5D-E996-4D8F-8645-B77F09F12574}">
      <text>
        <r>
          <rPr>
            <b/>
            <sz val="9"/>
            <color indexed="81"/>
            <rFont val="Tahoma"/>
            <family val="2"/>
          </rPr>
          <t>2ème round BGT, amelioration 1%</t>
        </r>
      </text>
    </comment>
    <comment ref="J23" authorId="13" shapeId="0" xr:uid="{C92671A5-FDB0-4380-92DF-DEC7015D8550}">
      <text>
        <r>
          <rPr>
            <b/>
            <sz val="9"/>
            <color indexed="81"/>
            <rFont val="Tahoma"/>
            <family val="2"/>
          </rPr>
          <t>2ème round BGT, amelioration 1%</t>
        </r>
      </text>
    </comment>
    <comment ref="J24" authorId="13" shapeId="0" xr:uid="{2087F885-85F6-4122-9BE5-F5074E38752B}">
      <text>
        <r>
          <rPr>
            <b/>
            <sz val="9"/>
            <color indexed="81"/>
            <rFont val="Tahoma"/>
            <family val="2"/>
          </rPr>
          <t>2ème round BGT, amelioration 1%</t>
        </r>
      </text>
    </comment>
    <comment ref="N26" authorId="14" shapeId="0" xr:uid="{CCCB3CBC-AD18-460A-AEB4-84C43472A62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Il y a un leger écart entre DNV qui donne 1,47% en totale (acoustique + chiro), alors que le fichier CDC donne 0,1% en aoustique et 1,26 en chiro.
Réponse :
    je confirme estimation BLX global=1,36% (0,1% acoustique+1,26% chiro). attention, le fichier CDC présentait 2 scénarios de bridage chiro : actuel et futur. le scénario futur est en fait l'actuel (depuis le 01/07/2021). j'ai mis à jour le fichier CDC afin d'éviter les erreur.</t>
      </text>
    </comment>
    <comment ref="O26" authorId="15" shapeId="0" xr:uid="{1F3F79CC-E2F7-43DC-A219-9DD50D994337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26" authorId="16" shapeId="0" xr:uid="{02DE170F-0B1F-4E79-9BE0-9051FB4BE06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Repartition sur le Chiro faite sur la base du fichier CDC, car les chiffres sont cohèrentes.</t>
      </text>
    </comment>
    <comment ref="N27" authorId="17" shapeId="0" xr:uid="{C366AB10-F018-4B43-A855-1A1055E42A3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Il y a un leger écart entre DNV qui donne 1,47% en totale (acoustique + chiro), alors que le fichier CDC donne 0,1% en aoustique et 1,26 en chiro.
Réponse :
    je confirme estimation BLX global=1,36% (0,1% acoustique+1,26% chiro). attention, le fichier CDC présentait 2 scénarios de bridage chiro : actuel et futur. le scénario futur est en fait l'actuel (depuis le 01/07/2021). j'ai mis à jour le fichier CDC afin d'éviter les erreur.</t>
      </text>
    </comment>
    <comment ref="Q27" authorId="18" shapeId="0" xr:uid="{265B970E-E039-4348-A37E-FBED621B116F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Repartition sur le Chiro faite sur la base du fichier CDC, car les chiffres sont cohèrentes.</t>
      </text>
    </comment>
    <comment ref="N28" authorId="19" shapeId="0" xr:uid="{235AC549-A81E-4613-A4E5-635AD3E9111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Il y a un leger écart entre DNV qui donne 1,47% en totale (acoustique + chiro), alors que le fichier CDC donne 0,1% en aoustique et 1,26 en chiro.
Réponse :
    je confirme estimation BLX global=1,36% (0,1% acoustique+1,26% chiro). attention, le fichier CDC présentait 2 scénarios de bridage chiro : actuel et futur. le scénario futur est en fait l'actuel (depuis le 01/07/2021). j'ai mis à jour le fichier CDC afin d'éviter les erreur.</t>
      </text>
    </comment>
    <comment ref="Q28" authorId="20" shapeId="0" xr:uid="{077C53FB-14D2-48FB-BE82-5364B3F52CE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Repartition sur le Chiro faite sur la base du fichier CDC, car les chiffres sont cohèrentes.</t>
      </text>
    </comment>
    <comment ref="N29" authorId="21" shapeId="0" xr:uid="{F0AC8A95-9DC4-4A5D-BA21-E01F70402CE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Il y a un leger écart entre DNV qui donne 1,47% en totale (acoustique + chiro), alors que le fichier CDC donne 0,1% en aoustique et 1,26 en chiro.
Réponse :
    je confirme estimation BLX global=1,36% (0,1% acoustique+1,26% chiro). attention, le fichier CDC présentait 2 scénarios de bridage chiro : actuel et futur. le scénario futur est en fait l'actuel (depuis le 01/07/2021). j'ai mis à jour le fichier CDC afin d'éviter les erreur.</t>
      </text>
    </comment>
    <comment ref="Q29" authorId="22" shapeId="0" xr:uid="{E17C8F06-6EF1-41C5-B218-7C01C291F7A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Repartition sur le Chiro faite sur la base du fichier CDC, car les chiffres sont cohèrentes.</t>
      </text>
    </comment>
    <comment ref="J30" authorId="13" shapeId="0" xr:uid="{10E4DBD5-14FD-48B8-9538-DC7AF1F9C7A5}">
      <text>
        <r>
          <rPr>
            <b/>
            <sz val="9"/>
            <color indexed="81"/>
            <rFont val="Tahoma"/>
            <family val="2"/>
          </rPr>
          <t>2ème round BGT, amelioration 0,3%</t>
        </r>
      </text>
    </comment>
    <comment ref="N30" authorId="23" shapeId="0" xr:uid="{F9BC4A84-1249-4899-B22E-E7E2A8ADFA7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je ne retrouve pas pourquoi le % de pertes est passé à 1% en 2021. avec le bridage non optimisé, le calcul était de 0.23% par rapport à la prod totale du parc. avec le mode optimisé NRO98,5, le % aurait dû être plus faible. calcul avec le NRO98,5 a retrouvé auprès de KC.</t>
      </text>
    </comment>
    <comment ref="J31" authorId="13" shapeId="0" xr:uid="{FF8CF346-E29B-4D00-879C-5F84360C5079}">
      <text>
        <r>
          <rPr>
            <b/>
            <sz val="9"/>
            <color indexed="81"/>
            <rFont val="Tahoma"/>
            <family val="2"/>
          </rPr>
          <t>2ème round BGT, amelioration 0,3%</t>
        </r>
      </text>
    </comment>
    <comment ref="J32" authorId="13" shapeId="0" xr:uid="{12E5D54A-B4D7-4E6C-AC3C-37D5157E917B}">
      <text>
        <r>
          <rPr>
            <b/>
            <sz val="9"/>
            <color indexed="81"/>
            <rFont val="Tahoma"/>
            <family val="2"/>
          </rPr>
          <t>2ème round BGT, amelioration 0,3%</t>
        </r>
      </text>
    </comment>
    <comment ref="J33" authorId="13" shapeId="0" xr:uid="{669EB471-A78F-48D8-AAF8-AAA0028851C0}">
      <text>
        <r>
          <rPr>
            <b/>
            <sz val="9"/>
            <color indexed="81"/>
            <rFont val="Tahoma"/>
            <family val="2"/>
          </rPr>
          <t>2ème round BGT, amelioration 0,3%</t>
        </r>
      </text>
    </comment>
    <comment ref="J38" authorId="13" shapeId="0" xr:uid="{BA1514EF-9DF5-4824-9664-F975B457FD3A}">
      <text>
        <r>
          <rPr>
            <b/>
            <sz val="9"/>
            <color indexed="81"/>
            <rFont val="Tahoma"/>
            <family val="2"/>
          </rPr>
          <t>2ème round BGT, amelioration 0,5%</t>
        </r>
      </text>
    </comment>
    <comment ref="K38" authorId="24" shapeId="0" xr:uid="{B32117DF-63DF-4189-9C42-5CE9B60CF287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réel 95,75% 2020-2021</t>
      </text>
    </comment>
    <comment ref="Q38" authorId="25" shapeId="0" xr:uid="{8767769A-4F55-46FA-9AEF-B3C09CB6E38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chiro maison activé depuis le 7 mai 2021. % pertes calculés par FR.</t>
      </text>
    </comment>
    <comment ref="J39" authorId="13" shapeId="0" xr:uid="{6FDD2FC1-772A-4C55-B6C1-2820F94350A1}">
      <text>
        <r>
          <rPr>
            <b/>
            <sz val="9"/>
            <color indexed="81"/>
            <rFont val="Tahoma"/>
            <family val="2"/>
          </rPr>
          <t>2ème round BGT, amelioration 0,5%</t>
        </r>
      </text>
    </comment>
    <comment ref="K39" authorId="26" shapeId="0" xr:uid="{F208878C-6F23-4FE7-B2E4-F6435F034934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réel 95,75% 2020-2021</t>
      </text>
    </comment>
    <comment ref="Q39" authorId="27" shapeId="0" xr:uid="{02E4959A-1F19-4617-8B29-0A3601D11EE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chiro maison activé depuis le 7 mai 2021. % pertes calculés par FR.</t>
      </text>
    </comment>
    <comment ref="K40" authorId="28" shapeId="0" xr:uid="{103885B2-22DF-41EA-A4D4-AD765104AC8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réel 96,85% 2020-2021</t>
      </text>
    </comment>
    <comment ref="K41" authorId="29" shapeId="0" xr:uid="{378D7A68-E4FB-4C13-9563-B27A99B03B2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réel 96,85% 2020-2021</t>
      </text>
    </comment>
    <comment ref="K42" authorId="30" shapeId="0" xr:uid="{B53CE3CE-127C-46B6-B76D-3D8A71E4451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réel 96,85% 2020-2021</t>
      </text>
    </comment>
    <comment ref="N43" authorId="31" shapeId="0" xr:uid="{0139AEC1-2D04-41E4-88C6-1CF270EEADB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Valeur assumé historiquement et en ligne avec le fichier des bridages CDC.
Réponse :
    je ne retrouve pas le calcul d'estimation des pertes acoustiques
Réponse :
    rapport DNV du 27/08/2021 établi dans le cadre de la cession confirme :  0,6%</t>
      </text>
    </comment>
    <comment ref="Q43" authorId="32" shapeId="0" xr:uid="{9BAC39FA-E695-42C9-BB08-B8FD301E818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valeur estimé par Kloé suite à la demande de mise en drapeau à partir de 6 m/s.
Réponse :
    le bridage chiro doit être en place au plus tard au 01 juin 2022 (par APC)</t>
      </text>
    </comment>
    <comment ref="Q44" authorId="33" shapeId="0" xr:uid="{4B5D0518-3066-4D3A-AA94-0EBFF7A6C184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Avifaune 2.1% (0,4% Pré+1.7% Post) (KC)+chiro à prévoir 1.9%(APC) (FR). Valeur reprise au Forecast T1 2021.</t>
      </text>
    </comment>
    <comment ref="Q45" authorId="34" shapeId="0" xr:uid="{406BB15D-79EB-46D9-AB52-8D650B8FEE0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Avifaune 2.1% (0,4% Pré+1.7% Post) (KC)+chiro à prévoir 1.9%(APC) (FR). Valeur reprise au Forecast T1 2021.</t>
      </text>
    </comment>
    <comment ref="Q46" authorId="35" shapeId="0" xr:uid="{A5DD77CD-44CE-4238-B344-A9C83E8910B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Avifaune 2.1% (0,4% Pré+1.7% Post) (KC)+chiro à prévoir 1.9%(APC) (FR). Valeur reprise au Forecast T1 2021.</t>
      </text>
    </comment>
    <comment ref="K47" authorId="36" shapeId="0" xr:uid="{42022060-B6BF-4177-B6FB-C7F788C27AB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réel 95,75% 2020-2021</t>
      </text>
    </comment>
    <comment ref="M48" authorId="37" shapeId="0" xr:uid="{20E8FE22-EE8D-4448-9AF1-F8B30D3C8FB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calcul à revérifier avec plans de rbidage actuels (Emilie)</t>
      </text>
    </comment>
    <comment ref="Q48" authorId="38" shapeId="0" xr:uid="{2875145C-CCCB-4E60-AFFE-48F58194EEF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note : ne prend pas en compte la possible augmentation de la vitesses à 7m/s en juillet et aout. (non encore actée)</t>
      </text>
    </comment>
    <comment ref="Q49" authorId="39" shapeId="0" xr:uid="{956C05CF-D4A7-42B1-938C-B57458024BB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note : ne prend pas en compte la possible augmentation de la vitesses à 7m/s en juillet et aout. (non encore actée)</t>
      </text>
    </comment>
    <comment ref="Q50" authorId="40" shapeId="0" xr:uid="{4BCD8896-9714-4CF9-9DBC-3953B579C53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note : ne prend pas en compte la possible augmentation de la vitesses à 7m/s en juillet et aout. (non encore actée)</t>
      </text>
    </comment>
    <comment ref="K51" authorId="41" shapeId="0" xr:uid="{FE41E299-9C55-4627-AC37-0F1C80B7DC2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cette valeur inclut ~7% de givre.</t>
      </text>
    </comment>
    <comment ref="N51" authorId="42" shapeId="0" xr:uid="{FA8BB69E-B168-46AC-A49A-484D05E62CE4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Calcul par KC suite plans de bridages post-implantations finalisés (activés en juillet 2021) (voir mail)</t>
      </text>
    </comment>
    <comment ref="S51" authorId="43" shapeId="0" xr:uid="{A9744049-B42A-447E-BA3E-0D9EAC8B04A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Integré la nouvelle detection de givre par programme automate.</t>
      </text>
    </comment>
    <comment ref="K52" authorId="44" shapeId="0" xr:uid="{3EB65B08-1A18-41C2-BFF0-F4E18E31B4F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cette valeur inclut ~7% de givre.</t>
      </text>
    </comment>
    <comment ref="N52" authorId="45" shapeId="0" xr:uid="{2DD77678-5A52-42A4-BD07-90D68E84BC9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Calcul par KC suite plans de bridages post-implantations finalisés (activés en juillet 2021) (voir mail)</t>
      </text>
    </comment>
    <comment ref="S52" authorId="46" shapeId="0" xr:uid="{B969FAC1-7E30-4559-B96D-67485AACB54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Integré la nouvelle detection de givre par programme automate.</t>
      </text>
    </comment>
    <comment ref="Q53" authorId="47" shapeId="0" xr:uid="{2371509A-A19B-4B40-B325-8040AC82606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classique à 2,68% (KC). remplacé par 1/10ième de nuit (depuis 16/03/2021) : nouvelle estimation à 1,45%.</t>
      </text>
    </comment>
    <comment ref="Q54" authorId="48" shapeId="0" xr:uid="{C5F78CC3-2FF1-4601-AB9C-2038251ADCD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APC en cours de signature =2,2% (bridage avifaune)(KC)+2.42% (FR) (bridage chiro)=4.62%</t>
      </text>
    </comment>
    <comment ref="Q55" authorId="49" shapeId="0" xr:uid="{2166E888-8CA9-445B-A42E-6220A09A3A3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calcul en cours par Florent. mais 0,4% devrait être cohérent
Réponse :
    dernier calcul de Florent à 0.05%</t>
      </text>
    </comment>
    <comment ref="N56" authorId="50" shapeId="0" xr:uid="{27BD56E6-4C71-496E-82CE-49DBA7455C9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estimation senvion avec équipement de serrations (doc 2016 Noise Assessment 8WTG). réception post-implantation en cours de finalisation (nord est). Bridage attendu pour fin 2021/début 2022.</t>
      </text>
    </comment>
    <comment ref="N57" authorId="51" shapeId="0" xr:uid="{ED51DABE-0D7A-4383-8464-3A46BA41799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estimation senvion avec équipement de serrations (doc 2016 Noise Assessment 8WTG). réception post-implantation en cours de finalisation (nord est). Bridage attendu pour fin 2021/début 2022.</t>
      </text>
    </comment>
    <comment ref="K59" authorId="52" shapeId="0" xr:uid="{78F993B4-9C9C-4A88-8920-6881942611B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99,2%</t>
      </text>
    </comment>
    <comment ref="N59" authorId="53" shapeId="0" xr:uid="{D33BFC2F-6D31-4EFF-B5F3-2DC9FE64448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la reduction du bridage de 0,6% grace aux French Modes est incluse dans la colonne amelioration (ce qui explique la differnce entre 2,2% de DNV et 2,8% repoté ici).</t>
      </text>
    </comment>
    <comment ref="O59" authorId="54" shapeId="0" xr:uid="{0C25BFE3-4202-49B2-B984-7B9A21352D5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59" authorId="55" shapeId="0" xr:uid="{9372F09E-43B8-4A84-88E5-71B9ECCF39E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je dois confirmer avec Vézians.</t>
      </text>
    </comment>
    <comment ref="S59" authorId="56" shapeId="0" xr:uid="{4A4CF59C-3B93-4D0F-8118-009D769E90F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reduction des pertes de 2,8% à 2,2%, selon étude DNV amelioration suite à l'activation des French Modes</t>
      </text>
    </comment>
    <comment ref="K60" authorId="57" shapeId="0" xr:uid="{417778EE-C782-4D16-9A9A-0B235DAE6DF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99,2%</t>
      </text>
    </comment>
    <comment ref="N60" authorId="58" shapeId="0" xr:uid="{99EE5BD6-179D-4101-831D-2BC6ECBFFA3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la reduction du bridage de 0,6% grace aux French Modes est incluse dans la colonne amelioration (ce qui explique la differnce entre 2,2% de DNV et 2,8% repoté ici).</t>
      </text>
    </comment>
    <comment ref="O60" authorId="59" shapeId="0" xr:uid="{0AB4CFB7-5596-419F-AF57-BDD24CD25AA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60" authorId="60" shapeId="0" xr:uid="{B2090050-7DA9-4020-936C-7E8A7D37F82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je dois confirmer avec Vézians.</t>
      </text>
    </comment>
    <comment ref="S60" authorId="61" shapeId="0" xr:uid="{85E02F33-484E-48E5-9EF9-8EEB4FC8473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reduction des pertes de 2,8% à 2,2%, selon étude DNV amelioration suite à l'activation des French Modes</t>
      </text>
    </comment>
    <comment ref="K61" authorId="62" shapeId="0" xr:uid="{0C613E49-BA01-4BBE-9B2B-35FE64A6E80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98,5%</t>
      </text>
    </comment>
    <comment ref="S61" authorId="63" shapeId="0" xr:uid="{57A69444-A864-4B6B-B878-7E4B1688594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l'éffet de l'amelioration est partiellement integré dans les calculs DNV.</t>
      </text>
    </comment>
    <comment ref="K62" authorId="64" shapeId="0" xr:uid="{222942E7-0123-4E0A-8AFB-DE58A4396E0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98,5%</t>
      </text>
    </comment>
    <comment ref="S62" authorId="65" shapeId="0" xr:uid="{6BE3735A-EDD4-4F3C-8FD7-2CA2FB7CF2F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l'éffet de l'amelioration est partiellement integré dans les calculs DNV.</t>
      </text>
    </comment>
    <comment ref="K63" authorId="66" shapeId="0" xr:uid="{FB1C7DA7-8C1D-4241-9EDF-91A534678E3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97,5%</t>
      </text>
    </comment>
    <comment ref="N63" authorId="67" shapeId="0" xr:uid="{CFB9C142-954B-4D42-95D5-1892D792282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Il y a legèr écart entre DNV qui donne un curtailment globale de 0,64% (acoustique), et le fichier des bridages CDC qui porte sur 0,5%.
Réponse :
    le seul calcul que je retrouve de Kloé est à 0.8% (mail du 30/07/2019 calcul sur 360°). je ne retrouve pas le calcul qui a abouti à 0.5%</t>
      </text>
    </comment>
    <comment ref="O63" authorId="68" shapeId="0" xr:uid="{FFBD4360-BE43-4C64-BA12-DA6C3AB1B99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63" authorId="69" shapeId="0" xr:uid="{69FA4690-97D9-47AF-9273-CE2645DF23D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mise en drapeau prévu en 2022 pour les chiros. pas d'estimation à ce jour.</t>
      </text>
    </comment>
    <comment ref="R63" authorId="13" shapeId="0" xr:uid="{60ACB779-9BEF-4360-8A4F-9BD161D00EAF}">
      <text>
        <r>
          <rPr>
            <sz val="9"/>
            <color indexed="81"/>
            <rFont val="Tahoma"/>
            <family val="2"/>
          </rPr>
          <t>PPO (0,5%) + amelioration Yaw (0,1%) + AUG. P (même sans debridage) 1.0%</t>
        </r>
      </text>
    </comment>
    <comment ref="S63" authorId="70" shapeId="0" xr:uid="{150B91AE-2B84-469D-A409-807B08F27E6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l'éffet de l'amelioration est partiellement integré dans les calculs DNV.</t>
      </text>
    </comment>
    <comment ref="K64" authorId="71" shapeId="0" xr:uid="{FBA3283E-69F3-47AA-801A-B1513AF0BDB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98,3%</t>
      </text>
    </comment>
    <comment ref="N64" authorId="72" shapeId="0" xr:uid="{1640ECDF-05A9-434E-9E41-BD1E1F28B2B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ATTENTION, écart significatif :  le nouveau rapport DNV donne 2,58% (acoiustique + chiro)  alors que le fichier des bridages CDC donne 3,6% (l'historique porte sur ~3,7%)
Réponse :
    @Giannino Martin, j'ai vérifié. les plans de bridages acoustiques sont bon. j'ai retrouvé le calcul e KC à 3.63%. pas de bridage chiro à ce jour sur MET.
Réponse :
    dernire valeur DNV du 21/09: 3,0%</t>
      </text>
    </comment>
    <comment ref="O64" authorId="73" shapeId="0" xr:uid="{0384CDDD-C5D9-486C-8D48-E89DB5B49E5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K65" authorId="74" shapeId="0" xr:uid="{8F123D9B-5EDA-41CD-812C-2CE07A1D352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98,0%</t>
      </text>
    </comment>
    <comment ref="N65" authorId="75" shapeId="0" xr:uid="{1100440F-CE49-4BA2-9A21-3F76D2E3507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ATTENTION, écart significatif :  le nouveau rapport DNV donne 4,50% (acoustique + chiro)  alors que le fichier des bridages CDC donne 6,75% (historique ~5,1%) +0,8% en chiro (historique ~0,1%).
Réponse :
    @Giannino Martin, erreur de saisie sur 1 mode (classe soirée, E8 à 6m/s) dans le fichier centralisé de bridage utilisé par DNV (voir mail séparé). le bridage actif est correct. le calcul de KC à 6,75% est basé sur le bridage correct. je confirme le calcul de KC à 0,8% pour les chiros.
Réponse :
    dernière valeur DNV du 21/09 à 4,2% en acoustique</t>
      </text>
    </comment>
    <comment ref="O65" authorId="76" shapeId="0" xr:uid="{CF144AF2-9446-49D8-8E0C-0E83609714E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65" authorId="77" shapeId="0" xr:uid="{B9F7C37F-6500-41F0-9E4D-2EF46372FC2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chiro intergé avec l'acoustique par DNV, dans le fichier CDC nous avions 0,8%.
Réponse :
    dernière valeur DNV du 21/09 à 0,2% en chiro</t>
      </text>
    </comment>
    <comment ref="K66" authorId="78" shapeId="0" xr:uid="{20A4B01F-47B0-4388-AB3B-C6E28A6508A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99,1%</t>
      </text>
    </comment>
    <comment ref="N66" authorId="79" shapeId="0" xr:uid="{28D43D78-E8E4-41A4-9FC7-CDB6B511BD2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il y a encore lèger écart apres correction du nouveau rapport DNV avec 4,9%,  alors que le fichier des bridages CDC donne 6,12% en acoustique et 0,80% en chiro. L'historque poure sur 4,1%.
Réponse :
    @Giannino Martin, je confirme le 6,1% pour l'acoustique. pour spécificité ici, les secteurs angulaires proposés par l'acousticien ne sont pas identiques. Or l'outil interne Boralex ne travaille qu'avec des plages angulaires de même taille. Kloé a dû appliquer le plan de bridage NE sur le secteur [270;90[ et le SO sur [90;270[ (au lieu de [315;90[ et [90;315]). Pour les pertes chiro, je ne retrouve pas les 0,8%. l'estimation que j'ai est celle de DNV en 2018 à 0,3% (sur la base des critères toujours d'actualité à ce jour).</t>
      </text>
    </comment>
    <comment ref="O66" authorId="80" shapeId="0" xr:uid="{F53719F4-310F-45E8-B1E9-830522E94EB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66" authorId="81" shapeId="0" xr:uid="{4BEE42A0-7322-41F1-9615-596C33BF74B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Verifier si le bridage chiro est intergé ou pas avec l'acoustique par DNV (la valeur corrigée de 4,9%), dans le fichier CDC nous avions 0,8%.
Réponse :
    Je ne retrouve pas le calcul des 0,8%. bridage de E2 et E5 uniquement.
Réponse :
    dernier info le 21/09: chiro = 0,3%</t>
      </text>
    </comment>
    <comment ref="S66" authorId="82" shapeId="0" xr:uid="{F22557D2-66DE-4342-A616-B49F7B5E0387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l'éffet de l'amelioration est partiellement integré dans les calculs DNV.</t>
      </text>
    </comment>
    <comment ref="K67" authorId="83" shapeId="0" xr:uid="{CB2D9A16-845B-4636-AE4D-FA5A0D20EC9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99,5%</t>
      </text>
    </comment>
    <comment ref="N67" authorId="84" shapeId="0" xr:uid="{52389786-428F-4254-87ED-2554F0AC1BD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d'estimation précise par DNV, assumons la valeur du fichier bridage CDC.
Réponse :
    dernière valeur DNV du 21/09 à 0,9% en acoustique</t>
      </text>
    </comment>
    <comment ref="O67" authorId="85" shapeId="0" xr:uid="{6568BDE4-1267-43DE-AF31-F6DDABF8629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
Réponse :
    dernière info DNV du 21/07: Bridage chiro = 1,1%, le bridage Milan est dans la dispo.</t>
      </text>
    </comment>
    <comment ref="Q67" authorId="86" shapeId="0" xr:uid="{7FBCA2AE-53BF-438B-9D10-B56FA8A68B8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d'estimation précise par DNV, mais comptabilisation des arrêts chiro dans le 1,98% de curtailment. En revanche, le Milan Royal a été compatbilisé par DNV comme unavailability à la hauteur 6,73%, ce qui est pour la plus part du bridage. La dispo technique est ~99,5%. Le bridage agricole se confirme ~5,1% pour 2021. Avec la validation de l'IDF on passera à 1% de pertes pour Milan à partir de la saison 2022;.
Réponse :
    derière info DNV du 21/09/2021: chiro à 1,1%</t>
      </text>
    </comment>
    <comment ref="S67" authorId="87" shapeId="0" xr:uid="{68B36001-1F0D-4F0E-A869-6CBAB48EACD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En 2022 nous prennons l'hypothèse d'une amelioration d'environs 4% entre la situation de bridage agricole plus horaire (~5% de pertes comptabilisés en 2021) et la situation avec IDF (avec ~1% de pertes estimés)</t>
      </text>
    </comment>
    <comment ref="K68" authorId="88" shapeId="0" xr:uid="{8099E698-9782-4AD3-A534-38822B8A1CA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99,5%</t>
      </text>
    </comment>
    <comment ref="N68" authorId="89" shapeId="0" xr:uid="{594F5B5B-FE02-4B4A-9291-B92B2F554DE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d'estimation précise par DNV, assumons la valeur du fichier bridage CDC.
Réponse :
    dernière valeur DNV du 21/09 à 0,9% en acoustique</t>
      </text>
    </comment>
    <comment ref="O68" authorId="90" shapeId="0" xr:uid="{A560C9AB-923B-46CF-B332-7AFEC4CD3744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
Réponse :
    dernière info DNV du 21/07: Bridage chiro = 1,1%, le bridage Milan est dans la dispo.</t>
      </text>
    </comment>
    <comment ref="Q68" authorId="91" shapeId="0" xr:uid="{C52A818D-F073-4BA3-835F-B33EA424285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d'estimation précise par DNV, mais comptabilisation des arrêts chiro dans le 1,98% de curtailment. En revanche, le Milan Royal a été compatbilisé par DNV comme unavailability à la hauteur 6,73%, ce qui est pour la plus part du bridage. La dispo technique est ~99,5%. Le bridage agricole se confirme ~5,1% pour 2021. Avec la validation de l'IDF on passera à 1% de pertes pour Milan à partir de la saison 2022;.
Réponse :
    derière info DNV du 21/09/2021: chiro à 1,1%</t>
      </text>
    </comment>
    <comment ref="S68" authorId="92" shapeId="0" xr:uid="{32927C28-181D-41A7-B280-B0D63D666A4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En 2022 nous prennons l'hypothèse d'une amelioration d'environs 2% par effet d'une mise en service le mois de juin, avec un 4% anneulle venant de l'écart entre le bridage agricole plus horaire (~5% de pertes comptabilisés en 2021) et la situation avec IDF (avec ~1% de pertes estimés)</t>
      </text>
    </comment>
    <comment ref="K72" authorId="93" shapeId="0" xr:uid="{9886807B-D035-41DA-971A-66148ED7C45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cetta valeur donnée par l'étude dans 2019 inclus un effet du givre, qui en réalité n'étais pas optimisées. Nous recuperons donc 0,6% sur ce parc grace à l'optimisation du givre.</t>
      </text>
    </comment>
    <comment ref="Q72" authorId="94" shapeId="0" xr:uid="{20C3925A-0130-4190-BFC7-FD9CDE6DD91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PPB : bridage chiro en 2022</t>
      </text>
    </comment>
    <comment ref="S72" authorId="95" shapeId="0" xr:uid="{CBE06824-9985-41AF-8D1E-3640BB277EA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par extrapolation sur Noyers Bucamps, sachant que la detection du givre était mal reglée, nous considerons de recuperer 0,6%.</t>
      </text>
    </comment>
    <comment ref="K73" authorId="96" shapeId="0" xr:uid="{89FA82DC-2024-42F2-ADF7-CF58B04F725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cetta valeur donnée par l'étude dans 2019 inclus un effet du givre, qui en réalité n'étais pas optimisées. Nous recuperons donc 0,6% sur ce parc grace à l'optimisation du givre.</t>
      </text>
    </comment>
    <comment ref="S73" authorId="97" shapeId="0" xr:uid="{140EC469-4502-426D-A81B-2855592515E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par extrapolation sur Noyers Bucamps, sachant que la detection du givre était mal reglée, nous considerons de recuperer 0,6%.</t>
      </text>
    </comment>
    <comment ref="K74" authorId="98" shapeId="0" xr:uid="{300CBCB8-1EA7-4166-9639-93D232D337C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cetta valeur donnée par l'étude dans 2019 inclus un effet du givre, qui en réalité n'étais pas optimisées. Nous recuperons donc 0,6% sur ce parc grace à l'optimisation du givre.</t>
      </text>
    </comment>
    <comment ref="S74" authorId="99" shapeId="0" xr:uid="{C11F264C-1E28-46C8-831E-009EE24576F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par extrapolation sur Noyers Bucamps, sachant que la detection du givre était mal reglée, nous considerons de recuperer 0,6%.</t>
      </text>
    </comment>
    <comment ref="N76" authorId="100" shapeId="0" xr:uid="{242AA240-D332-4C6E-AE9F-137F370AC0E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inhérent au calcul</t>
      </text>
    </comment>
    <comment ref="Q78" authorId="101" shapeId="0" xr:uid="{1C28EC71-7DE0-4655-AE90-10C83207736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chiro+avifaune très probable en 2022 (négociation en cours)-A ANTICIPER sur 2022</t>
      </text>
    </comment>
    <comment ref="K81" authorId="102" shapeId="0" xr:uid="{DBDA4BE3-120F-4053-8A4D-92D9262ED00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cetta valeur donnée par l'étude dans 2019 inclus un effet du givre, qui en réalité n'étais pas optimisées. Nous recuperons donc 0,6% sur ce parc grace à l'optimisation du givre.</t>
      </text>
    </comment>
    <comment ref="S81" authorId="103" shapeId="0" xr:uid="{C1F8D208-F828-4269-94B2-2853FFD4084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par extrapolation sur Noyers Bucamps, sachant que la detection du givre était mal reglée, nous considerons de recuperer 0,6%.</t>
      </text>
    </comment>
    <comment ref="N82" authorId="104" shapeId="0" xr:uid="{1ECA69E6-64BC-49CA-9516-A3B3E9FE1CC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inhérent au calcul</t>
      </text>
    </comment>
    <comment ref="Q82" authorId="105" shapeId="0" xr:uid="{56410B4D-2D46-47EA-A287-C651CDCF322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HP de debrider mi année 2022 et ne rester que avec le RADAR (pertes 1%).
Réponse :
    révision hypothèse 2% pour le radar pertes résiduelles</t>
      </text>
    </comment>
    <comment ref="N84" authorId="106" shapeId="0" xr:uid="{C3C0A59C-AB36-4FFF-A857-23F0C9EEB42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inhérent au calcul</t>
      </text>
    </comment>
    <comment ref="Q84" authorId="107" shapeId="0" xr:uid="{F11595AD-0362-46C4-A19C-C2BA8165517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HP de debrider mi année 2022 et ne rester que avec le RADAR (pertes 1%).
Réponse :
    révision à 2% pertes résiduelles pour le radar aulieu de 1%</t>
      </text>
    </comment>
    <comment ref="K85" authorId="108" shapeId="0" xr:uid="{890768DC-7942-4C29-885F-4B39110E46F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cetta valeur donnée par l'étude dans 2021 donne 96,4%, inclus un effet du givre, qui en réalité n'étais pas optimisées. Nous recuperons donc 0,6% sur ce parc grace à l'optimisation du givre.</t>
      </text>
    </comment>
    <comment ref="O85" authorId="109" shapeId="0" xr:uid="{B8DDDCF9-A902-4A30-A460-20F30FF2A38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85" authorId="110" shapeId="0" xr:uid="{9DE91AE2-E6D3-47BA-8AE9-2065361DD0D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Mise en drapeau activé depuis juillet 2020. pas d'estimation à ce jour. renforcement possible selon suivi 2021.</t>
      </text>
    </comment>
    <comment ref="S85" authorId="111" shapeId="0" xr:uid="{7D2F280C-E84B-41DA-94FF-3B6C608025C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l'écart entre l'étude 2019 et 2021 est essentiellement dû au givre, qui était mal reglé : avec l'amelioration nous considerons donc que de recuperer 0,6%.</t>
      </text>
    </comment>
    <comment ref="N86" authorId="112" shapeId="0" xr:uid="{811BF5BD-DB71-4415-822D-B7C512B0583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hypothèse car mesures post-implantation prévue à l'automne 2021. risque très faible.</t>
      </text>
    </comment>
    <comment ref="K87" authorId="113" shapeId="0" xr:uid="{A8814D75-338B-4DE6-BE8B-2CDE4F40E074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99,3%</t>
      </text>
    </comment>
    <comment ref="N87" authorId="114" shapeId="0" xr:uid="{324C3AD7-99BC-4C3B-AD69-C078D8BB5D0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DNV donne un curtailment globale de 0,10% (acoustique), ce qui est en ligne avec le fichier des bridages CDC à 0,14%.
Réponse :
    je confirme le 0,14% pour le bridage acoustique.</t>
      </text>
    </comment>
    <comment ref="O87" authorId="115" shapeId="0" xr:uid="{F185F38D-2684-4DDF-AC3D-5896DE0C43D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S87" authorId="116" shapeId="0" xr:uid="{7A805806-3D71-469A-864D-D953AB519CC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l'éffet de l'amelioration est partiellement integré dans les calculs DNV.</t>
      </text>
    </comment>
    <comment ref="K88" authorId="117" shapeId="0" xr:uid="{A1F1F1FB-819A-4564-B519-45D8700D7CF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98,1%</t>
      </text>
    </comment>
    <comment ref="N88" authorId="118" shapeId="0" xr:uid="{DF4D4C37-99DD-476C-8225-F4F964D3CD6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valeur donnée par DNV en globale, alors qu'il n'y a pas traçe de bridage dans le fichier des bridages CDC
Réponse :
    @Giannino, oui difficile de comprendre d'où vient le chiffre DNV. la campagne post-implantation est en cours (SO fait fin 2020). attente NE. pour l'instant, pas de bridage en place mais l'estimation pré-implantation est à 1,1% (chiffre DNV pour RIB1). De plus, bridage chiro à prévoir pour 2022 (estimation KC=1,1% également). donc, selon BLX, on serait plutôt à 2,2% de perte global (acoustique+chiro)</t>
      </text>
    </comment>
    <comment ref="O88" authorId="119" shapeId="0" xr:uid="{11E5E08A-A9DB-47BC-9442-23EAE43AAE3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88" authorId="120" shapeId="0" xr:uid="{D9ECF444-D088-4925-8544-FE6620569E5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chiro attendu pour une 1ière mise en oeuvre en avril 2022 (1,1% calculé par KC)</t>
      </text>
    </comment>
    <comment ref="K89" authorId="121" shapeId="0" xr:uid="{DD71756F-F9EF-4240-981C-D8B0986399A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97,7%</t>
      </text>
    </comment>
    <comment ref="N89" authorId="122" shapeId="0" xr:uid="{25EC8532-B9EF-4596-B9DA-197AD4BB773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ATTENTION, écart significatif :  le nouveau rapport DNV donne 0,93% (acoiustique + chiro)  alors que le fichier des bridages CDC donne 1,7% en acoustique et 0,7% en chiro (l'historique porte sur 0,9% en coustique et 1,0% en chiro)
Réponse :
    @giannino, je confirme les calculs de Kloé. acoustique=1,7% (réactualisation suite mesures)+0.7% chiro=2.4% au total pour blx. Je ne comprends pas le calcul de DNV. le fichier centralisé de bridage est correct (vérifié avec le rapport acoustique).</t>
      </text>
    </comment>
    <comment ref="O89" authorId="123" shapeId="0" xr:uid="{32D77D10-3955-4E02-A5C2-B59588D3DFA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89" authorId="124" shapeId="0" xr:uid="{C18AA215-3320-4150-9C4F-170F364166A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chiro intergé avec l'acoustique par DNV, dans le fichier CDC nous avions 0,7%.</t>
      </text>
    </comment>
    <comment ref="S89" authorId="125" shapeId="0" xr:uid="{1CA93DD5-08B2-4F96-B189-05C42C45507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l'éffet de l'amelioration est partiellement integré dans les calculs DNV.</t>
      </text>
    </comment>
    <comment ref="K90" authorId="126" shapeId="0" xr:uid="{082284E4-BC40-4C8A-9CC9-3C979740C7A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97,7%</t>
      </text>
    </comment>
    <comment ref="N90" authorId="127" shapeId="0" xr:uid="{031FC566-5F4E-41D7-B02A-1628F1DC598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ATTENTION, écart significatif :  le nouveau rapport DNV donne 0,93% (acoiustique + chiro)  alors que le fichier des bridages CDC donne 1,7% en acoustique et 0,7% en chiro (l'historique porte sur 0,9% en coustique et 1,0% en chiro)
Réponse :
    @giannino, je confirme les calculs de Kloé. acoustique=1,7% (réactualisation suite mesures)+0.7% chiro=2.4% au total pour blx. Je ne comprends pas le calcul de DNV. le fichier centralisé de bridage est correct (vérifié avec le rapport acoustique).</t>
      </text>
    </comment>
    <comment ref="O90" authorId="128" shapeId="0" xr:uid="{461E853A-CE8C-47A5-9564-B690FD8CCFE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Q90" authorId="129" shapeId="0" xr:uid="{9B81078A-C8CB-43F6-9FE7-7B0FFAA627B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chiro intergé avec l'acoustique par DNV, dans le fichier CDC nous avions 0,7%.</t>
      </text>
    </comment>
    <comment ref="R90" authorId="13" shapeId="0" xr:uid="{F021F6B0-0212-4845-8797-5A573893B9B0}">
      <text>
        <r>
          <rPr>
            <sz val="9"/>
            <color indexed="81"/>
            <rFont val="Tahoma"/>
            <family val="2"/>
          </rPr>
          <t>L'amelioration passe à 1,0% grace à l'AUG P.  sans bridage, ni au WTG ni au PDL</t>
        </r>
      </text>
    </comment>
    <comment ref="S90" authorId="130" shapeId="0" xr:uid="{070B1C40-D8AC-47EF-AC82-0E039D05C7F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l'éffet de l'amelioration est partiellement integré dans les calculs DNV.</t>
      </text>
    </comment>
    <comment ref="K91" authorId="131" shapeId="0" xr:uid="{FF52691B-A953-43F9-BE5E-0579B880304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97,7%</t>
      </text>
    </comment>
    <comment ref="N91" authorId="132" shapeId="0" xr:uid="{0D1D4F83-EAEB-4C82-AD5A-0734BE079F9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DNV donne un curtailment globale de 0,10% (acoustique), ce qui est en ligne avec le fichier des bridages CDC à 0,10%.
Réponse :
    ok c'est bon</t>
      </text>
    </comment>
    <comment ref="O91" authorId="133" shapeId="0" xr:uid="{760E1393-FE4C-4B73-AF62-697CF57C01A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S91" authorId="134" shapeId="0" xr:uid="{C7F435CB-7BB5-4C54-92F9-93C75E0A070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l'éffet de l'amelioration est partiellement integré dans les calculs DNV.</t>
      </text>
    </comment>
    <comment ref="K92" authorId="135" shapeId="0" xr:uid="{22B77549-5FEB-4839-847E-2D98B470E9F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historique 2020-21 à 97,7%</t>
      </text>
    </comment>
    <comment ref="N92" authorId="136" shapeId="0" xr:uid="{11DCE1EA-9B20-491C-A9C5-3F6B8C50AEA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DNV donne un curtailment globale de 0,10% (acoustique), ce qui est en ligne avec le fichier des bridages CDC à 0,10%.
Réponse :
    ok c'est bon</t>
      </text>
    </comment>
    <comment ref="O92" authorId="137" shapeId="0" xr:uid="{9093FBB4-66C5-416F-B45D-4923B375D51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Inclus dans le bridage acoustique</t>
      </text>
    </comment>
    <comment ref="S92" authorId="138" shapeId="0" xr:uid="{14EB0A8A-2E9C-4EF9-B2FF-2DFB75360E1F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l'éffet de l'amelioration est partiellement integré dans les calculs DNV.</t>
      </text>
    </comment>
    <comment ref="N96" authorId="139" shapeId="0" xr:uid="{6C956CD6-F676-4A47-82CA-7E669E470FF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calcul des plans de bridages en cours sur les 2 directions (mesures en réception post-implantation terminées au printemps 2021).</t>
      </text>
    </comment>
    <comment ref="Q96" authorId="140" shapeId="0" xr:uid="{F198EE8C-1168-405E-9B37-F260801E3D4F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attends les résultats des suivis 2021 afin de confirmer s'il y a ou pas un bridage chiro à prévoir (à première vue, enjeu faible)</t>
      </text>
    </comment>
    <comment ref="S96" authorId="141" shapeId="0" xr:uid="{F717460C-2530-4334-B92D-07799DAC912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Les pertes grivre enregistrés en 2020-21 sont exceprtionnelles (6 GWh entre janvier et avril) , les nouveaux reglages givre remettrons les pertes sur des valeurs prevus d'origine par DNV (~3,5% soit 3,8 GWh).</t>
      </text>
    </comment>
    <comment ref="N97" authorId="142" shapeId="0" xr:uid="{CBA3305D-1DA2-49AA-B686-02CEE1A7CAC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pré-implantation activé depuis la MES (obligation APA)</t>
      </text>
    </comment>
    <comment ref="Q97" authorId="143" shapeId="0" xr:uid="{17318710-9AA9-4EE5-8B67-7767B9B5C79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attend les résultats des suivis 2021</t>
      </text>
    </comment>
    <comment ref="N98" authorId="144" shapeId="0" xr:uid="{1F510E0E-7D3F-4BE3-9916-5489A274623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mesures post-implantation réalisées au printemps 2021-&gt; résultats conformes</t>
      </text>
    </comment>
    <comment ref="Q98" authorId="145" shapeId="0" xr:uid="{35DEC00C-5524-4D54-82FE-A91DB9E3F5B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attend les résultats des suivis 2021</t>
      </text>
    </comment>
    <comment ref="N99" authorId="146" shapeId="0" xr:uid="{8F24A692-25DF-4D2E-9758-33D80C2E1A03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% à valider avec Ernani ( sur base pré-implantation). mesures prévues début 2022.</t>
      </text>
    </comment>
    <comment ref="Q99" authorId="147" shapeId="0" xr:uid="{928F324F-D78E-4866-9D87-4BF44FA885B4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suivis enviro prévus en 2022.</t>
      </text>
    </comment>
    <comment ref="N102" authorId="148" shapeId="0" xr:uid="{C6F25DA9-F040-430C-BE4D-DDDC2964354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bridage pré-implantation activé depuis le 3 mai 2021. élargissement du secteur Est à 180° (plainte bruit)</t>
      </text>
    </comment>
    <comment ref="Q102" authorId="149" shapeId="0" xr:uid="{556C5A10-7B4B-4395-A7DE-67D7AE1B1DEF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attend les résultats de suivi</t>
      </text>
    </comment>
    <comment ref="N103" authorId="150" shapeId="0" xr:uid="{6FC70D89-1254-489C-82D2-CBBCB7D61941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Ok, validé avec Ernani (mail du 21/09/21)</t>
      </text>
    </comment>
    <comment ref="Q103" authorId="151" shapeId="0" xr:uid="{B4526E41-CA36-4B74-A9AC-98FA02D44F0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inclut dans le bridage acoustique</t>
      </text>
    </comment>
    <comment ref="N104" authorId="152" shapeId="0" xr:uid="{BD322EA0-BBA0-49EA-BFC1-40CF68F7E89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Ok, validé avec Ernani (mail du 21/09/2021)</t>
      </text>
    </comment>
    <comment ref="Q104" authorId="153" shapeId="0" xr:uid="{9EC7C1C1-C3E8-4626-9F64-892E9516DC2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ok validé avec Ernani (mail du 21/09/21)</t>
      </text>
    </comment>
    <comment ref="N105" authorId="154" shapeId="0" xr:uid="{91B4FD61-89A2-4400-B5A9-23DFDF40B87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Ok, validé avec Ernani (mail du 21/09/2021)</t>
      </text>
    </comment>
    <comment ref="Q105" authorId="155" shapeId="0" xr:uid="{C4D8B79D-94F9-41AC-9BC0-C4EBF924886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ok validé avec Ernani (mail du 21/09/21)</t>
      </text>
    </comment>
    <comment ref="N106" authorId="156" shapeId="0" xr:uid="{9D260A50-1A20-4D49-957C-61B363200E2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Ok, validé avec Ernani (mail du 21/09/2021)</t>
      </text>
    </comment>
    <comment ref="Q106" authorId="157" shapeId="0" xr:uid="{5B210FDE-0FBE-45B5-8DE3-5FDDAC36B7B4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ok validé avec Ernani (mail du 21/09/21)</t>
      </text>
    </comment>
    <comment ref="N107" authorId="158" shapeId="0" xr:uid="{F234130C-12A8-4700-8652-82FD6154FDF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Ok, validé avec Ernani (mail du 21/09/2021)</t>
      </text>
    </comment>
    <comment ref="Q107" authorId="159" shapeId="0" xr:uid="{5FB38C3A-A9F9-458B-8A91-B30B3731A66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Ok validé averc Ernani (mail du 21/09/2021)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Stephanie Mesropyan</author>
    <author>Charline Rabier</author>
  </authors>
  <commentList>
    <comment ref="CQ34" authorId="0" shapeId="0" xr:uid="{BCBE3FF8-818B-4C6C-829B-EF8CAC4099C0}">
      <text>
        <r>
          <rPr>
            <b/>
            <sz val="9"/>
            <color indexed="81"/>
            <rFont val="Tahoma"/>
            <family val="2"/>
          </rPr>
          <t>Stephanie Mesropyan:</t>
        </r>
        <r>
          <rPr>
            <sz val="9"/>
            <color indexed="81"/>
            <rFont val="Tahoma"/>
            <family val="2"/>
          </rPr>
          <t xml:space="preserve">
Pas de détail par PDL de 2010 à Déc 2014</t>
        </r>
      </text>
    </comment>
    <comment ref="BP55" authorId="1" shapeId="0" xr:uid="{E378C586-30A5-4696-99DB-AF16777DFC18}">
      <text>
        <r>
          <rPr>
            <b/>
            <sz val="9"/>
            <color indexed="81"/>
            <rFont val="Tahoma"/>
            <family val="2"/>
          </rPr>
          <t>Charline Rabier:</t>
        </r>
        <r>
          <rPr>
            <sz val="9"/>
            <color indexed="81"/>
            <rFont val="Tahoma"/>
            <family val="2"/>
          </rPr>
          <t xml:space="preserve">
source Enel: fichier DT 081222 Tableau suivi production GM sur DFS Lyon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<sst xmlns="http://schemas.openxmlformats.org/spreadsheetml/2006/main" count="68156" uniqueCount="3572">
  <si>
    <t>CONTROLS</t>
  </si>
  <si>
    <t>PRODMWHELE</t>
  </si>
  <si>
    <t>eur</t>
  </si>
  <si>
    <t>DIM5SET</t>
  </si>
  <si>
    <t>DIM6SET</t>
  </si>
  <si>
    <t>A1001</t>
  </si>
  <si>
    <t>A1101</t>
  </si>
  <si>
    <t>A1201</t>
  </si>
  <si>
    <t>A1301</t>
  </si>
  <si>
    <t>A1401</t>
  </si>
  <si>
    <t>A1501</t>
  </si>
  <si>
    <t>A1601</t>
  </si>
  <si>
    <t>A1002</t>
  </si>
  <si>
    <t>A1102</t>
  </si>
  <si>
    <t>A1202</t>
  </si>
  <si>
    <t>A1302</t>
  </si>
  <si>
    <t>A1402</t>
  </si>
  <si>
    <t>A1502</t>
  </si>
  <si>
    <t>A1602</t>
  </si>
  <si>
    <t>A1003</t>
  </si>
  <si>
    <t>A1103</t>
  </si>
  <si>
    <t>A1203</t>
  </si>
  <si>
    <t>A1303</t>
  </si>
  <si>
    <t>A1403</t>
  </si>
  <si>
    <t>A1503</t>
  </si>
  <si>
    <t>A1603</t>
  </si>
  <si>
    <t>A1004</t>
  </si>
  <si>
    <t>A1104</t>
  </si>
  <si>
    <t>A1204</t>
  </si>
  <si>
    <t>A1304</t>
  </si>
  <si>
    <t>A1404</t>
  </si>
  <si>
    <t>A1504</t>
  </si>
  <si>
    <t>A1604</t>
  </si>
  <si>
    <t>A1005</t>
  </si>
  <si>
    <t>A1105</t>
  </si>
  <si>
    <t>A1205</t>
  </si>
  <si>
    <t>A1305</t>
  </si>
  <si>
    <t>A1405</t>
  </si>
  <si>
    <t>A1505</t>
  </si>
  <si>
    <t>A1605</t>
  </si>
  <si>
    <t>A1006</t>
  </si>
  <si>
    <t>A1106</t>
  </si>
  <si>
    <t>A1206</t>
  </si>
  <si>
    <t>A1306</t>
  </si>
  <si>
    <t>A1406</t>
  </si>
  <si>
    <t>A1506</t>
  </si>
  <si>
    <t>A1606</t>
  </si>
  <si>
    <t>A1007</t>
  </si>
  <si>
    <t>A1107</t>
  </si>
  <si>
    <t>A1207</t>
  </si>
  <si>
    <t>A1307</t>
  </si>
  <si>
    <t>A1407</t>
  </si>
  <si>
    <t>A1507</t>
  </si>
  <si>
    <t>A1607</t>
  </si>
  <si>
    <t>A1008</t>
  </si>
  <si>
    <t>A1108</t>
  </si>
  <si>
    <t>A1208</t>
  </si>
  <si>
    <t>A1308</t>
  </si>
  <si>
    <t>A1408</t>
  </si>
  <si>
    <t>A1508</t>
  </si>
  <si>
    <t>A1608</t>
  </si>
  <si>
    <t>A1009</t>
  </si>
  <si>
    <t>A1109</t>
  </si>
  <si>
    <t>A1209</t>
  </si>
  <si>
    <t>A1309</t>
  </si>
  <si>
    <t>A1409</t>
  </si>
  <si>
    <t>A1509</t>
  </si>
  <si>
    <t>A1609</t>
  </si>
  <si>
    <t>A1010</t>
  </si>
  <si>
    <t>A1110</t>
  </si>
  <si>
    <t>A1210</t>
  </si>
  <si>
    <t>A1310</t>
  </si>
  <si>
    <t>A1410</t>
  </si>
  <si>
    <t>A1510</t>
  </si>
  <si>
    <t>A1610</t>
  </si>
  <si>
    <t>A1011</t>
  </si>
  <si>
    <t>A1111</t>
  </si>
  <si>
    <t>A1211</t>
  </si>
  <si>
    <t>A1311</t>
  </si>
  <si>
    <t>A1411</t>
  </si>
  <si>
    <t>A1511</t>
  </si>
  <si>
    <t>A1611</t>
  </si>
  <si>
    <t>A1012</t>
  </si>
  <si>
    <t>A1112</t>
  </si>
  <si>
    <t>A1212</t>
  </si>
  <si>
    <t>A1312</t>
  </si>
  <si>
    <t>A1412</t>
  </si>
  <si>
    <t>A1512</t>
  </si>
  <si>
    <t>A1612</t>
  </si>
  <si>
    <t>SFERMRON</t>
  </si>
  <si>
    <t>SFREMCHAM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</si>
  <si>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</si>
  <si>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</si>
  <si>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</si>
  <si>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</si>
  <si>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</si>
  <si>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</si>
  <si>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</si>
  <si>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</si>
  <si>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</si>
  <si>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</si>
  <si>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</si>
  <si>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</si>
  <si>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</si>
  <si>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</si>
  <si>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</si>
  <si>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</si>
  <si>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</si>
  <si>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</si>
  <si>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</si>
  <si>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</si>
  <si>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</si>
  <si>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</si>
  <si>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</si>
  <si>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</si>
  <si>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</si>
  <si>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</si>
  <si>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</si>
  <si>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</si>
  <si>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</si>
  <si>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</si>
  <si>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</si>
  <si>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</si>
  <si>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</si>
  <si>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</si>
  <si>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</si>
  <si>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</si>
  <si>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</si>
  <si>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</si>
  <si>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</si>
  <si>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</si>
  <si>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</si>
  <si>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</si>
  <si>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</si>
  <si>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</si>
  <si>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</si>
  <si>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</si>
  <si>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</si>
  <si>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</si>
  <si>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</si>
  <si>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</si>
  <si>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</si>
  <si>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</si>
  <si>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</si>
  <si>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</si>
  <si>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</si>
  <si>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</si>
  <si>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</si>
  <si>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</si>
  <si>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</si>
  <si>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</si>
  <si>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SFERMALLY</t>
  </si>
  <si>
    <t>sfermcham2</t>
  </si>
  <si>
    <t>SFERMCHASS</t>
  </si>
  <si>
    <t>SFERMCAMP</t>
  </si>
  <si>
    <t>e363</t>
  </si>
  <si>
    <t>e364</t>
  </si>
  <si>
    <t>e365</t>
  </si>
  <si>
    <t>e238</t>
  </si>
  <si>
    <t>e239</t>
  </si>
  <si>
    <t>e241</t>
  </si>
  <si>
    <t>e240</t>
  </si>
  <si>
    <t>e242</t>
  </si>
  <si>
    <t>e243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</si>
  <si>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</si>
  <si>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</si>
  <si>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</si>
  <si>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</si>
  <si>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</si>
  <si>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</si>
  <si>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</si>
  <si>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</si>
  <si>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</si>
  <si>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</si>
  <si>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</si>
  <si>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</si>
  <si>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</si>
  <si>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</si>
  <si>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</si>
  <si>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</si>
  <si>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</si>
  <si>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</si>
  <si>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</si>
  <si>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</si>
  <si>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</si>
  <si>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</si>
  <si>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</si>
  <si>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</si>
  <si>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E366</t>
  </si>
  <si>
    <t>E367</t>
  </si>
  <si>
    <t>E4402</t>
  </si>
  <si>
    <t>E4403</t>
  </si>
  <si>
    <t>E4404</t>
  </si>
  <si>
    <t>E4405</t>
  </si>
  <si>
    <t>E4406</t>
  </si>
  <si>
    <t>E4407</t>
  </si>
  <si>
    <t>E4408</t>
  </si>
  <si>
    <t>E4409</t>
  </si>
  <si>
    <t>E44010</t>
  </si>
  <si>
    <t>E44011</t>
  </si>
  <si>
    <t>E44012</t>
  </si>
  <si>
    <t>E44013</t>
  </si>
  <si>
    <t>E452</t>
  </si>
  <si>
    <t>sfermavi1</t>
  </si>
  <si>
    <t>SFERMCHEPY</t>
  </si>
  <si>
    <t>SFERMNIBAS</t>
  </si>
  <si>
    <t>SFREMPLOU</t>
  </si>
  <si>
    <t>SFERMCITA</t>
  </si>
  <si>
    <t>sfermavi2</t>
  </si>
  <si>
    <t>FERMVALLEE</t>
  </si>
  <si>
    <t>E391</t>
  </si>
  <si>
    <t>BORWDFRGR</t>
  </si>
  <si>
    <t>E390</t>
  </si>
  <si>
    <t>Vron</t>
  </si>
  <si>
    <t>Fortel</t>
  </si>
  <si>
    <t>Touvent</t>
  </si>
  <si>
    <t>E5310</t>
  </si>
  <si>
    <t>Account</t>
  </si>
  <si>
    <t>timeperiod</t>
  </si>
  <si>
    <t>entities</t>
  </si>
  <si>
    <t>Dataviews</t>
  </si>
  <si>
    <t>statutory</t>
  </si>
  <si>
    <t>departments</t>
  </si>
  <si>
    <t>total.departments</t>
  </si>
  <si>
    <t>categories</t>
  </si>
  <si>
    <t>no_categories</t>
  </si>
  <si>
    <t>objects</t>
  </si>
  <si>
    <t>no_objects</t>
  </si>
  <si>
    <t>details</t>
  </si>
  <si>
    <t>no_details</t>
  </si>
  <si>
    <t>scenarios</t>
  </si>
  <si>
    <t>no_scenarios</t>
  </si>
  <si>
    <t>Currencies</t>
  </si>
  <si>
    <t>eurt</t>
  </si>
  <si>
    <t>langue</t>
  </si>
  <si>
    <t>ALT</t>
  </si>
  <si>
    <t>ELECT_SOLD</t>
  </si>
  <si>
    <t>A17_01</t>
  </si>
  <si>
    <t>A17_02</t>
  </si>
  <si>
    <t>A17_03</t>
  </si>
  <si>
    <t>A17_04</t>
  </si>
  <si>
    <t>A17_05</t>
  </si>
  <si>
    <t>A17_06</t>
  </si>
  <si>
    <t>A17_07</t>
  </si>
  <si>
    <t>A17_08</t>
  </si>
  <si>
    <t>A17_09</t>
  </si>
  <si>
    <t>A17_10</t>
  </si>
  <si>
    <t>A17_11</t>
  </si>
  <si>
    <t>A17_12</t>
  </si>
  <si>
    <t>SFERMAVI1</t>
  </si>
  <si>
    <t>E5210</t>
  </si>
  <si>
    <t>SFREMPLOUC</t>
  </si>
  <si>
    <t>SFERMCITAC</t>
  </si>
  <si>
    <t>SFERMALLYC</t>
  </si>
  <si>
    <t>SFERMCHAMC</t>
  </si>
  <si>
    <t>SFERMCHAM2C</t>
  </si>
  <si>
    <t>SFERMCHASSC</t>
  </si>
  <si>
    <t>SFERMRONC</t>
  </si>
  <si>
    <t>SFERMCAMPC</t>
  </si>
  <si>
    <t>E5330C</t>
  </si>
  <si>
    <t>E5300</t>
  </si>
  <si>
    <t>E5260C</t>
  </si>
  <si>
    <t>E5320</t>
  </si>
  <si>
    <t>E5360</t>
  </si>
  <si>
    <t>E5560</t>
  </si>
  <si>
    <t>BEV2</t>
  </si>
  <si>
    <t>BEV3</t>
  </si>
  <si>
    <t>BEV7</t>
  </si>
  <si>
    <t>BEV9</t>
  </si>
  <si>
    <t>BEV4</t>
  </si>
  <si>
    <t>BEV5</t>
  </si>
  <si>
    <t>BEV6</t>
  </si>
  <si>
    <t>BEV8</t>
  </si>
  <si>
    <t>BEV10</t>
  </si>
  <si>
    <t>BEV11</t>
  </si>
  <si>
    <t>BEV12</t>
  </si>
  <si>
    <t>BEV13</t>
  </si>
  <si>
    <t>E5570</t>
  </si>
  <si>
    <t>Site</t>
  </si>
  <si>
    <t>Coat Conval / Pleyber Christ</t>
  </si>
  <si>
    <t>Les Eparmonts</t>
  </si>
  <si>
    <t>Montlhy Actual datas : Production in MWh</t>
  </si>
  <si>
    <t>Avignonnet I</t>
  </si>
  <si>
    <t>Avignonnet II</t>
  </si>
  <si>
    <t>Chépy</t>
  </si>
  <si>
    <t>Nibas</t>
  </si>
  <si>
    <t>Cham Longe - Bel Air</t>
  </si>
  <si>
    <t>Cham Longe - Le courbil</t>
  </si>
  <si>
    <t>Plouguin</t>
  </si>
  <si>
    <t>La Citadelle</t>
  </si>
  <si>
    <t>Ally - Bessadous</t>
  </si>
  <si>
    <t>Ally - Mercoeur</t>
  </si>
  <si>
    <t>Ally - Monteil</t>
  </si>
  <si>
    <t>Ally - Verseilles</t>
  </si>
  <si>
    <t>Ally - Conso</t>
  </si>
  <si>
    <t>Cham Longe II</t>
  </si>
  <si>
    <t>Chasse Marée</t>
  </si>
  <si>
    <t>Le Grand Camp</t>
  </si>
  <si>
    <t>La Vallée - St Georges</t>
  </si>
  <si>
    <t>La Vallée - Ménétréols</t>
  </si>
  <si>
    <t>La Vallée - Conso</t>
  </si>
  <si>
    <t>St François Roye</t>
  </si>
  <si>
    <t>Calmont</t>
  </si>
  <si>
    <t>Leign Ar Gasprenn</t>
  </si>
  <si>
    <t>La Bouleste</t>
  </si>
  <si>
    <t>Charmoy</t>
  </si>
  <si>
    <t>Pays d'Othe</t>
  </si>
  <si>
    <t>Comes de l'Arce</t>
  </si>
  <si>
    <t>Plateau de Savernat</t>
  </si>
  <si>
    <t>Entité LV</t>
  </si>
  <si>
    <t>Entité Khalix</t>
  </si>
  <si>
    <t>Voir colonne B</t>
  </si>
  <si>
    <t>Voir colonne A</t>
  </si>
  <si>
    <t>OTHER</t>
  </si>
  <si>
    <t>E5280</t>
  </si>
  <si>
    <t>E5270</t>
  </si>
  <si>
    <t>E5070</t>
  </si>
  <si>
    <t>E5080</t>
  </si>
  <si>
    <t>E5090</t>
  </si>
  <si>
    <t>E5100</t>
  </si>
  <si>
    <t>E5110</t>
  </si>
  <si>
    <t>E5120</t>
  </si>
  <si>
    <t>Date MES</t>
  </si>
  <si>
    <t>Vallée de l'Aa</t>
  </si>
  <si>
    <t>?</t>
  </si>
  <si>
    <t>Pannecé (la vallière)</t>
  </si>
  <si>
    <t>à quoi correspond:</t>
  </si>
  <si>
    <t>Formules LV</t>
  </si>
  <si>
    <t>Formule KHALIX</t>
  </si>
  <si>
    <t>A16_12</t>
  </si>
  <si>
    <t>Voir ligne 15</t>
  </si>
  <si>
    <t>A18_01</t>
  </si>
  <si>
    <t>A18_02</t>
  </si>
  <si>
    <t>A18_03</t>
  </si>
  <si>
    <t>A18_04</t>
  </si>
  <si>
    <t>A18_05</t>
  </si>
  <si>
    <t>A18_06</t>
  </si>
  <si>
    <t>A18_07</t>
  </si>
  <si>
    <t>A18_08</t>
  </si>
  <si>
    <t>A18_09</t>
  </si>
  <si>
    <t>A18_10</t>
  </si>
  <si>
    <t>A18_11</t>
  </si>
  <si>
    <t>A18_12</t>
  </si>
  <si>
    <t>Pannecé (BS)</t>
  </si>
  <si>
    <t>Vallée d'Arce 1 (DR-Druine)</t>
  </si>
  <si>
    <t>Vallée d'Arce 2 (NY-Le Noyer)</t>
  </si>
  <si>
    <t>Vallée d'Arce 3 (NU-Le Nouret)</t>
  </si>
  <si>
    <t>Ronchois 1</t>
  </si>
  <si>
    <t>Ronchois 2</t>
  </si>
  <si>
    <t>Ronchois 3</t>
  </si>
  <si>
    <t>Haut de Conge 1</t>
  </si>
  <si>
    <t>Haut de Conge 2</t>
  </si>
  <si>
    <t>Haut de Conge 3</t>
  </si>
  <si>
    <t>SdlL 1</t>
  </si>
  <si>
    <t>SdlL 2</t>
  </si>
  <si>
    <t>Coulonges (CL)</t>
  </si>
  <si>
    <t>Coulonges (NT)</t>
  </si>
  <si>
    <t>Coulonges (CP)</t>
  </si>
  <si>
    <t>BAS</t>
  </si>
  <si>
    <t>CLE</t>
  </si>
  <si>
    <t>EEJ</t>
  </si>
  <si>
    <t>FIR</t>
  </si>
  <si>
    <t>LNG</t>
  </si>
  <si>
    <t>LUC</t>
  </si>
  <si>
    <t>MDB</t>
  </si>
  <si>
    <t>RCL</t>
  </si>
  <si>
    <t>REN</t>
  </si>
  <si>
    <t>BGV</t>
  </si>
  <si>
    <t>STA</t>
  </si>
  <si>
    <t>MOR</t>
  </si>
  <si>
    <t>ZON</t>
  </si>
  <si>
    <t>VAM</t>
  </si>
  <si>
    <t>PPB</t>
  </si>
  <si>
    <t>E6130</t>
  </si>
  <si>
    <t>E6210</t>
  </si>
  <si>
    <t>E6190</t>
  </si>
  <si>
    <t>E6150</t>
  </si>
  <si>
    <t>E6160</t>
  </si>
  <si>
    <t>E6120</t>
  </si>
  <si>
    <t>E6170</t>
  </si>
  <si>
    <t>E6200</t>
  </si>
  <si>
    <t>E6140</t>
  </si>
  <si>
    <t>E6250</t>
  </si>
  <si>
    <t>E6260</t>
  </si>
  <si>
    <t>E6330</t>
  </si>
  <si>
    <t>E6350</t>
  </si>
  <si>
    <t>E6370</t>
  </si>
  <si>
    <t>E6340</t>
  </si>
  <si>
    <t>Valeurs</t>
  </si>
  <si>
    <t>Avant de saisir dans Longview rafraichir le TCD (colonnes T et suivantes)</t>
  </si>
  <si>
    <t>pour la saisie</t>
  </si>
  <si>
    <t>code LV</t>
  </si>
  <si>
    <t>ACCOUNTS</t>
  </si>
  <si>
    <t>ENTITIES</t>
  </si>
  <si>
    <t>JANVIER</t>
  </si>
  <si>
    <t>FEVRIER</t>
  </si>
  <si>
    <t>MARS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</si>
  <si>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</si>
  <si>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</si>
  <si>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</si>
  <si>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</si>
  <si>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</si>
  <si>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</si>
  <si>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</si>
  <si>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</si>
  <si>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DECEMBRE</t>
  </si>
  <si>
    <t>E5030</t>
  </si>
  <si>
    <t xml:space="preserve"> ELECT_SOLD_REG -  Electricity in KWh sold - Regular</t>
  </si>
  <si>
    <t xml:space="preserve">     E5030 - Boralex Avignonet SAS</t>
  </si>
  <si>
    <t>E5040</t>
  </si>
  <si>
    <t xml:space="preserve">     E5040 - Boralex Chépy SAS</t>
  </si>
  <si>
    <t>E5050</t>
  </si>
  <si>
    <t xml:space="preserve">     E5050 - Boralex Nibas SAS</t>
  </si>
  <si>
    <t xml:space="preserve">       E5070 - Boralex Bessadous SAS</t>
  </si>
  <si>
    <t xml:space="preserve">       E5080 - Boralex Mercoeur SAS</t>
  </si>
  <si>
    <t xml:space="preserve">       E5090 - Boralex Monteil SAS</t>
  </si>
  <si>
    <t xml:space="preserve">       E5100 - Boralex Verseilles SAS</t>
  </si>
  <si>
    <t xml:space="preserve">       E5110 - Boralex Bel Air SAS</t>
  </si>
  <si>
    <t xml:space="preserve">       E5120 - Boralex Le Courbil SAS</t>
  </si>
  <si>
    <t>E5150</t>
  </si>
  <si>
    <t xml:space="preserve">       E5150 - Boralex Cham Longe II SAS</t>
  </si>
  <si>
    <t>E5130</t>
  </si>
  <si>
    <t xml:space="preserve">       E5130 - Boralex Plouguin SAS</t>
  </si>
  <si>
    <t>E5140</t>
  </si>
  <si>
    <t xml:space="preserve">       E5140 - Boralex La Citadelle SAS</t>
  </si>
  <si>
    <t>E5160</t>
  </si>
  <si>
    <t xml:space="preserve">       E5160 - Boralex Chasse Marée SAS</t>
  </si>
  <si>
    <t>E5170</t>
  </si>
  <si>
    <t xml:space="preserve">       E5170 - Boralex Ronchois SAS</t>
  </si>
  <si>
    <t>E5180</t>
  </si>
  <si>
    <t xml:space="preserve">       E5180 - Boralex Le Grand Camp SAS</t>
  </si>
  <si>
    <t xml:space="preserve">   E5210 - Boralex Avignonet ll SAS</t>
  </si>
  <si>
    <t xml:space="preserve">     E5270 - Boralex Ménétréols SAS</t>
  </si>
  <si>
    <t xml:space="preserve">     E5280 - Boralex St-Georges SAS</t>
  </si>
  <si>
    <t xml:space="preserve">   E5300 - Boralex Vron SAS</t>
  </si>
  <si>
    <t xml:space="preserve">     E5310 - Boralex Fortel SAS</t>
  </si>
  <si>
    <t xml:space="preserve">     E5320 - Boralex Saint-François SAS</t>
  </si>
  <si>
    <t>E5290</t>
  </si>
  <si>
    <t xml:space="preserve">     E5290 - Boralex Saint-Patrick SAS</t>
  </si>
  <si>
    <t xml:space="preserve">   E5360 - Laur Éole Énergie SAS (Calmont)</t>
  </si>
  <si>
    <t>E5391</t>
  </si>
  <si>
    <t xml:space="preserve">       E5391 - BEV-Coat Conval (Pleyber Christ)</t>
  </si>
  <si>
    <t>E5392</t>
  </si>
  <si>
    <t xml:space="preserve">       E5392 - BEV-Leign AR Gasprenn</t>
  </si>
  <si>
    <t>E5393</t>
  </si>
  <si>
    <t xml:space="preserve">       E5393 - BEV-Vallée de l'Arce</t>
  </si>
  <si>
    <t>E5394</t>
  </si>
  <si>
    <t xml:space="preserve">       E5394 - BEV-La Bouleste</t>
  </si>
  <si>
    <t>E5395</t>
  </si>
  <si>
    <t xml:space="preserve">       E5395 - BEV-Haut de Conge</t>
  </si>
  <si>
    <t>E5396</t>
  </si>
  <si>
    <t xml:space="preserve">       E5396 - BEV-Les Éparmonts</t>
  </si>
  <si>
    <t>E5397</t>
  </si>
  <si>
    <t xml:space="preserve">       E5397 - BEV-Charmoy</t>
  </si>
  <si>
    <t>E5398</t>
  </si>
  <si>
    <t xml:space="preserve">       E5398 - BEV-Pannecé</t>
  </si>
  <si>
    <t>E5399</t>
  </si>
  <si>
    <t xml:space="preserve">       E5399 - BEV-Coulonges</t>
  </si>
  <si>
    <t>E5400</t>
  </si>
  <si>
    <t xml:space="preserve">       E5400 - BEV-Sources de la Loire</t>
  </si>
  <si>
    <t>E5401</t>
  </si>
  <si>
    <t xml:space="preserve">       E5401 - BEV-Pays d'Othe</t>
  </si>
  <si>
    <t>E5402</t>
  </si>
  <si>
    <t xml:space="preserve">       E5402 - BEV-Comes de l'Arce</t>
  </si>
  <si>
    <t xml:space="preserve">       E5570 - Boralex Plateau de Savernat SAS</t>
  </si>
  <si>
    <t>E5620</t>
  </si>
  <si>
    <t xml:space="preserve">   E5560 - Ferme Éolienne Touvent SAS</t>
  </si>
  <si>
    <t>E5630</t>
  </si>
  <si>
    <t>E5700</t>
  </si>
  <si>
    <t xml:space="preserve">     E5700 - Conora 6 SARL (Hauts de Combles)</t>
  </si>
  <si>
    <t>E5640</t>
  </si>
  <si>
    <t>E5600</t>
  </si>
  <si>
    <t xml:space="preserve">   E5600 - Vents du Sud Artois SAS (Inter deux Bos)</t>
  </si>
  <si>
    <t>E5690</t>
  </si>
  <si>
    <t>E5770</t>
  </si>
  <si>
    <t xml:space="preserve">   E5770 - Boralex Le Pelon SAS</t>
  </si>
  <si>
    <t>(vide)</t>
  </si>
  <si>
    <t xml:space="preserve">     E5630 - Vents du Caudrésis SAS (Monts de Bagny)</t>
  </si>
  <si>
    <t xml:space="preserve">     E5690 - Conora 5 SARL (Voie des Monts)</t>
  </si>
  <si>
    <t xml:space="preserve">     E5640 - Vents de l'Artois SAS</t>
  </si>
  <si>
    <t xml:space="preserve">     E5620 - Vents de l'Est Cambrésis SAS (Chemin de Grès)</t>
  </si>
  <si>
    <t>E5810</t>
  </si>
  <si>
    <t xml:space="preserve">   E5810 - Boralex les Côteaux du Blaiseron SAS</t>
  </si>
  <si>
    <t>Evits et Josaphats</t>
  </si>
  <si>
    <t>Remise Reclainville</t>
  </si>
  <si>
    <t>Fierville</t>
  </si>
  <si>
    <t>Plaine de Beaunay</t>
  </si>
  <si>
    <t>Val au Moines</t>
  </si>
  <si>
    <t>Bougainville</t>
  </si>
  <si>
    <t>Saint André</t>
  </si>
  <si>
    <t>Fond de la Plaine</t>
  </si>
  <si>
    <t>Bassigny</t>
  </si>
  <si>
    <t>Les Clérimois</t>
  </si>
  <si>
    <t>Plateau de Langres</t>
  </si>
  <si>
    <t>Les Moulins de Boulay</t>
  </si>
  <si>
    <t>Morlange</t>
  </si>
  <si>
    <t>Renardières mont de Bezard</t>
  </si>
  <si>
    <t>Zondrange</t>
  </si>
  <si>
    <t>Total général</t>
  </si>
  <si>
    <t>E5550</t>
  </si>
  <si>
    <t xml:space="preserve"> E451 - Boralex Solaire Les Cigalettes SAS</t>
  </si>
  <si>
    <t>E5250</t>
  </si>
  <si>
    <t xml:space="preserve"> E352 - Boralex Solaire Lauragais SAS</t>
  </si>
  <si>
    <t>TOTAL ci-dessus</t>
  </si>
  <si>
    <t>check</t>
  </si>
  <si>
    <t>ELECT_SOLD_REG</t>
  </si>
  <si>
    <t>NO_CATEGORIES</t>
  </si>
  <si>
    <t>NO_OBJECTS</t>
  </si>
  <si>
    <t>NO_DETAILS</t>
  </si>
  <si>
    <t>NO_SCENARIOS</t>
  </si>
  <si>
    <t>EUR</t>
  </si>
  <si>
    <t>REV_ELECT</t>
  </si>
  <si>
    <t>BOREUREOLC</t>
  </si>
  <si>
    <t>STATUTORY</t>
  </si>
  <si>
    <t>GROSSCAP</t>
  </si>
  <si>
    <t>DEPARTMENTS</t>
  </si>
  <si>
    <t>TOTAL.DEPARTMENTS</t>
  </si>
  <si>
    <t>CATEGORIES</t>
  </si>
  <si>
    <t>OBJECTS</t>
  </si>
  <si>
    <t>DETAILS</t>
  </si>
  <si>
    <t>SCENARIOS</t>
  </si>
  <si>
    <t>Capacité fin d'année</t>
  </si>
  <si>
    <t>MTD</t>
  </si>
  <si>
    <t>x</t>
  </si>
  <si>
    <t>Code LV</t>
  </si>
  <si>
    <t>MW</t>
  </si>
  <si>
    <t xml:space="preserve">Avignonet </t>
  </si>
  <si>
    <t>Avignonet II</t>
  </si>
  <si>
    <t>Ally Bessadous</t>
  </si>
  <si>
    <t>Ally Mercoeur</t>
  </si>
  <si>
    <t>Ally Monteil</t>
  </si>
  <si>
    <t>Ally Verseilles</t>
  </si>
  <si>
    <t>Cham Longe Bel Air</t>
  </si>
  <si>
    <t>St Patrick Pernois 1</t>
  </si>
  <si>
    <t>St Patrick Pernois 2</t>
  </si>
  <si>
    <t>St Patrick Pernois 3</t>
  </si>
  <si>
    <t>St Patrick Hermin</t>
  </si>
  <si>
    <t xml:space="preserve">Vron </t>
  </si>
  <si>
    <t>Ménétréols Renardiére (La vallée 2)</t>
  </si>
  <si>
    <t>Ménétréols Les chênes (La vallée 3)</t>
  </si>
  <si>
    <t>Ménétréols Lizeray (La vallée 4)</t>
  </si>
  <si>
    <t>St Georges (La Vallée 1)</t>
  </si>
  <si>
    <t>Fortel 1</t>
  </si>
  <si>
    <t>Fortel 2</t>
  </si>
  <si>
    <t>St François Roye 2</t>
  </si>
  <si>
    <t>St François Roye 3</t>
  </si>
  <si>
    <t>Calmont (Laur Eole Energie )</t>
  </si>
  <si>
    <t>Coat Conval</t>
  </si>
  <si>
    <t>Leign ar Gasprenn</t>
  </si>
  <si>
    <t>Pannecé La Vallière</t>
  </si>
  <si>
    <t>Vallée d'Arce 1 (DR)</t>
  </si>
  <si>
    <t>Vallée d'Arce 2 (NY)</t>
  </si>
  <si>
    <t>Vallée d'Arce 3 (NU)</t>
  </si>
  <si>
    <t>SdlL1</t>
  </si>
  <si>
    <t>SdlL2</t>
  </si>
  <si>
    <t>Pays d'Othe 1</t>
  </si>
  <si>
    <t>Plateau de Savernat 1</t>
  </si>
  <si>
    <t>Plateau de Savernat 2</t>
  </si>
  <si>
    <t>Voie des monts</t>
  </si>
  <si>
    <t>Monts de Bagny 1</t>
  </si>
  <si>
    <t>Monts de Bagny 2</t>
  </si>
  <si>
    <t>Artois 1</t>
  </si>
  <si>
    <t>Artois 2</t>
  </si>
  <si>
    <t>Chemin de Grès</t>
  </si>
  <si>
    <t>Inter deux bos (MET)</t>
  </si>
  <si>
    <t>Haut de Comble (HC)</t>
  </si>
  <si>
    <t>Le Pelon</t>
  </si>
  <si>
    <t>Coteaux du Blaiseron</t>
  </si>
  <si>
    <t>CDB Doux le vent</t>
  </si>
  <si>
    <t>Val au Moines 1</t>
  </si>
  <si>
    <t>Val au Moines 2</t>
  </si>
  <si>
    <t>Production (MWh) - MTD</t>
  </si>
  <si>
    <t>Production (Ke) - MTD</t>
  </si>
  <si>
    <t>JAN [€/MWh]</t>
  </si>
  <si>
    <t>FEB [€/MWh]</t>
  </si>
  <si>
    <t>MAR [€/MWh]</t>
  </si>
  <si>
    <t>APR [€/MWh]</t>
  </si>
  <si>
    <t>MAY [€/MWh]</t>
  </si>
  <si>
    <t>JUNE [€/MWh]</t>
  </si>
  <si>
    <t>JULY [€/MWh]</t>
  </si>
  <si>
    <t>AUG [€/MWh]</t>
  </si>
  <si>
    <t>SEPT [€/MWh]</t>
  </si>
  <si>
    <t>OCT [€/MWh]</t>
  </si>
  <si>
    <t>NOV [€/MWh]</t>
  </si>
  <si>
    <t>DEC [€/MWh]</t>
  </si>
  <si>
    <t>PRICE_ELECT_SOLD</t>
  </si>
  <si>
    <t>FORC_OUT_HRS</t>
  </si>
  <si>
    <t>NO_DATAVIEWS</t>
  </si>
  <si>
    <t>NO_DEPARTMENTS</t>
  </si>
  <si>
    <t>NO_CURRENCIES</t>
  </si>
  <si>
    <t>B19_01</t>
  </si>
  <si>
    <t>B19_02</t>
  </si>
  <si>
    <t>B19_03</t>
  </si>
  <si>
    <t>B19_04</t>
  </si>
  <si>
    <t>B19_05</t>
  </si>
  <si>
    <t>B19_06</t>
  </si>
  <si>
    <t>B19_07</t>
  </si>
  <si>
    <t>B19_08</t>
  </si>
  <si>
    <t>B19_09</t>
  </si>
  <si>
    <t>B19_10</t>
  </si>
  <si>
    <t>B19_11</t>
  </si>
  <si>
    <t>B19_12</t>
  </si>
  <si>
    <t>JAN 2003</t>
  </si>
  <si>
    <t>JAN 2004</t>
  </si>
  <si>
    <t>JAN 2005</t>
  </si>
  <si>
    <t>JAN 2006</t>
  </si>
  <si>
    <t>JAN 2007</t>
  </si>
  <si>
    <t>JAN 2008</t>
  </si>
  <si>
    <t>JAN 2009</t>
  </si>
  <si>
    <t>JAN 2010</t>
  </si>
  <si>
    <t>JAN 2011</t>
  </si>
  <si>
    <t>JAN 2012</t>
  </si>
  <si>
    <t>JAN 2013</t>
  </si>
  <si>
    <t>JAN 2014</t>
  </si>
  <si>
    <t>JAN 2015</t>
  </si>
  <si>
    <t>JAN 2016</t>
  </si>
  <si>
    <t>JAN 2017</t>
  </si>
  <si>
    <t>JAN 2018</t>
  </si>
  <si>
    <t xml:space="preserve">FEB 2003 </t>
  </si>
  <si>
    <t xml:space="preserve">FEB 2004 </t>
  </si>
  <si>
    <t xml:space="preserve">FEB 2005 </t>
  </si>
  <si>
    <t xml:space="preserve"> FEB 2006 </t>
  </si>
  <si>
    <t xml:space="preserve">FEB 2007 </t>
  </si>
  <si>
    <t xml:space="preserve">FEB 2008 </t>
  </si>
  <si>
    <t xml:space="preserve">FEB 2009 </t>
  </si>
  <si>
    <t xml:space="preserve">FEB 2010 </t>
  </si>
  <si>
    <t xml:space="preserve">FEB 2011 </t>
  </si>
  <si>
    <t xml:space="preserve">FEB 2012 </t>
  </si>
  <si>
    <t xml:space="preserve">FEB 2013 </t>
  </si>
  <si>
    <t xml:space="preserve">FEB 2014 </t>
  </si>
  <si>
    <t xml:space="preserve">FEB 2015 </t>
  </si>
  <si>
    <t xml:space="preserve">FEB 2016 </t>
  </si>
  <si>
    <t xml:space="preserve">FEB 2017 </t>
  </si>
  <si>
    <t xml:space="preserve">FEB 2018 </t>
  </si>
  <si>
    <t xml:space="preserve">MAR 2003 </t>
  </si>
  <si>
    <t xml:space="preserve">MAR 2004 </t>
  </si>
  <si>
    <t xml:space="preserve">MAR 2005 </t>
  </si>
  <si>
    <t xml:space="preserve">MAR 2006 </t>
  </si>
  <si>
    <t xml:space="preserve">MAR 2007 </t>
  </si>
  <si>
    <t xml:space="preserve">MAR 2008 </t>
  </si>
  <si>
    <t xml:space="preserve">MAR 2009 </t>
  </si>
  <si>
    <t xml:space="preserve">APR 2003 </t>
  </si>
  <si>
    <t xml:space="preserve">APR 2004 </t>
  </si>
  <si>
    <t xml:space="preserve">APR 2005 </t>
  </si>
  <si>
    <t xml:space="preserve">APR 2006 </t>
  </si>
  <si>
    <t xml:space="preserve">APR 2007 </t>
  </si>
  <si>
    <t xml:space="preserve">APR 2008 </t>
  </si>
  <si>
    <t xml:space="preserve">APR 2009 </t>
  </si>
  <si>
    <t xml:space="preserve">APR 2010 </t>
  </si>
  <si>
    <t xml:space="preserve">APR 2011 </t>
  </si>
  <si>
    <t xml:space="preserve">APR 2012 </t>
  </si>
  <si>
    <t xml:space="preserve">APR 2013 </t>
  </si>
  <si>
    <t xml:space="preserve">APR 2014 </t>
  </si>
  <si>
    <t xml:space="preserve">APR 2015 </t>
  </si>
  <si>
    <t xml:space="preserve">APR 2016 </t>
  </si>
  <si>
    <t xml:space="preserve">APR 2017 </t>
  </si>
  <si>
    <t xml:space="preserve">APR 2018 </t>
  </si>
  <si>
    <t xml:space="preserve">MAY 2003 </t>
  </si>
  <si>
    <t xml:space="preserve">MAY 2004 </t>
  </si>
  <si>
    <t xml:space="preserve">MAY 2005 </t>
  </si>
  <si>
    <t xml:space="preserve">MAY 2006 </t>
  </si>
  <si>
    <t xml:space="preserve">MAY 2007 </t>
  </si>
  <si>
    <t xml:space="preserve">MAY 2008 </t>
  </si>
  <si>
    <t xml:space="preserve">MAY 2009 </t>
  </si>
  <si>
    <t xml:space="preserve">MAY 2010 </t>
  </si>
  <si>
    <t xml:space="preserve">MAY 2011 </t>
  </si>
  <si>
    <t xml:space="preserve">MAY 2012 </t>
  </si>
  <si>
    <t xml:space="preserve">MAY 2013 </t>
  </si>
  <si>
    <t xml:space="preserve">MAY 2014 </t>
  </si>
  <si>
    <t xml:space="preserve">MAY 2015 </t>
  </si>
  <si>
    <t xml:space="preserve">MAY 2016 </t>
  </si>
  <si>
    <t xml:space="preserve">MAY 2017 </t>
  </si>
  <si>
    <t xml:space="preserve">MAY 2018 </t>
  </si>
  <si>
    <t xml:space="preserve">JUNE 2003 </t>
  </si>
  <si>
    <t xml:space="preserve">JUNE 2004 </t>
  </si>
  <si>
    <t xml:space="preserve">JUNE 2005 </t>
  </si>
  <si>
    <t xml:space="preserve">JUNE 2006 </t>
  </si>
  <si>
    <t xml:space="preserve">JUNE 2007 </t>
  </si>
  <si>
    <t xml:space="preserve">JUNE 2008 </t>
  </si>
  <si>
    <t xml:space="preserve">JUNE 2009 </t>
  </si>
  <si>
    <t xml:space="preserve">JUNE 2010 </t>
  </si>
  <si>
    <t xml:space="preserve">JUNE 2011 </t>
  </si>
  <si>
    <t xml:space="preserve">JUNE 2012 </t>
  </si>
  <si>
    <t xml:space="preserve">JUNE 2013 </t>
  </si>
  <si>
    <t xml:space="preserve">JUNE 2014 </t>
  </si>
  <si>
    <t xml:space="preserve">JUNE 2015 </t>
  </si>
  <si>
    <t xml:space="preserve">JUNE 2016 </t>
  </si>
  <si>
    <t xml:space="preserve">JUNE 2017 </t>
  </si>
  <si>
    <t xml:space="preserve">JUNE 2018 </t>
  </si>
  <si>
    <t xml:space="preserve">JULY 2003 </t>
  </si>
  <si>
    <t xml:space="preserve">JULY 2004 </t>
  </si>
  <si>
    <t xml:space="preserve">JULY 2005 </t>
  </si>
  <si>
    <t xml:space="preserve">JULY 2006 </t>
  </si>
  <si>
    <t xml:space="preserve">JULY 2007 </t>
  </si>
  <si>
    <t xml:space="preserve">JULY 2008 </t>
  </si>
  <si>
    <t xml:space="preserve">JULY 2009 </t>
  </si>
  <si>
    <t xml:space="preserve">JULY 2010 </t>
  </si>
  <si>
    <t xml:space="preserve">JULY 2011 </t>
  </si>
  <si>
    <t xml:space="preserve">JULY 2012 </t>
  </si>
  <si>
    <t xml:space="preserve">JULY 2013 </t>
  </si>
  <si>
    <t xml:space="preserve">JULY 2014 </t>
  </si>
  <si>
    <t xml:space="preserve">JULY 2015 </t>
  </si>
  <si>
    <t xml:space="preserve">JULY 2016 </t>
  </si>
  <si>
    <t xml:space="preserve">JULY 2017 </t>
  </si>
  <si>
    <t xml:space="preserve">AUG 2003 </t>
  </si>
  <si>
    <t xml:space="preserve">AUG 2004 </t>
  </si>
  <si>
    <t xml:space="preserve">AUG 2005 </t>
  </si>
  <si>
    <t xml:space="preserve">AUG 2006 </t>
  </si>
  <si>
    <t xml:space="preserve">AUG 2007 </t>
  </si>
  <si>
    <t xml:space="preserve">AUG 2008 </t>
  </si>
  <si>
    <t xml:space="preserve">AUG 2009 </t>
  </si>
  <si>
    <t xml:space="preserve">AUG 2010 </t>
  </si>
  <si>
    <t xml:space="preserve">AUG 2011 </t>
  </si>
  <si>
    <t xml:space="preserve">AUG 2012 </t>
  </si>
  <si>
    <t xml:space="preserve">AUG 2013 </t>
  </si>
  <si>
    <t xml:space="preserve">AUG 2014 </t>
  </si>
  <si>
    <t xml:space="preserve">AUG 2015 </t>
  </si>
  <si>
    <t xml:space="preserve">AUG 2016 </t>
  </si>
  <si>
    <t xml:space="preserve">AUG 2017 </t>
  </si>
  <si>
    <t xml:space="preserve">DEC 2003 </t>
  </si>
  <si>
    <t xml:space="preserve">DEC 2004 </t>
  </si>
  <si>
    <t xml:space="preserve">DEC 2005 </t>
  </si>
  <si>
    <t xml:space="preserve">DEC 2006 </t>
  </si>
  <si>
    <t xml:space="preserve">DEC 2007 </t>
  </si>
  <si>
    <t xml:space="preserve">DEC 2008 </t>
  </si>
  <si>
    <t xml:space="preserve">DEC 2009 </t>
  </si>
  <si>
    <t xml:space="preserve">DEC 2010 </t>
  </si>
  <si>
    <t xml:space="preserve">DEC 2011 </t>
  </si>
  <si>
    <t xml:space="preserve">DEC 2012 </t>
  </si>
  <si>
    <t xml:space="preserve">DEC 2013 </t>
  </si>
  <si>
    <t xml:space="preserve">DEC 2014 </t>
  </si>
  <si>
    <t xml:space="preserve">DEC 2015 </t>
  </si>
  <si>
    <t xml:space="preserve">DEC 2016 </t>
  </si>
  <si>
    <t xml:space="preserve">DEC 2017 </t>
  </si>
  <si>
    <t xml:space="preserve">MAR 2010 </t>
  </si>
  <si>
    <t xml:space="preserve">MAR 2012 </t>
  </si>
  <si>
    <t xml:space="preserve">MAR 2013 </t>
  </si>
  <si>
    <t xml:space="preserve">MAR 2014 </t>
  </si>
  <si>
    <t xml:space="preserve">MAR 2015 </t>
  </si>
  <si>
    <t xml:space="preserve">MAR 2016 </t>
  </si>
  <si>
    <t xml:space="preserve">MAR 2017 </t>
  </si>
  <si>
    <t xml:space="preserve">MAR 2018 </t>
  </si>
  <si>
    <t xml:space="preserve">SEPT 2003 </t>
  </si>
  <si>
    <t xml:space="preserve">SEPT 2004 </t>
  </si>
  <si>
    <t xml:space="preserve">SEPT 2005 </t>
  </si>
  <si>
    <t xml:space="preserve">SEPT 2006 </t>
  </si>
  <si>
    <t xml:space="preserve">SEPT 2007 </t>
  </si>
  <si>
    <t xml:space="preserve">SEPT 2008 </t>
  </si>
  <si>
    <t xml:space="preserve">SEPT 2009 </t>
  </si>
  <si>
    <t xml:space="preserve">SEPT 2010 </t>
  </si>
  <si>
    <t xml:space="preserve">SEPT 2011 </t>
  </si>
  <si>
    <t xml:space="preserve">SEPT 2012 </t>
  </si>
  <si>
    <t xml:space="preserve">SEPT 2013 </t>
  </si>
  <si>
    <t xml:space="preserve">SEPT 2014 </t>
  </si>
  <si>
    <t xml:space="preserve">SEPT 2015 </t>
  </si>
  <si>
    <t xml:space="preserve">SEPT 2016 </t>
  </si>
  <si>
    <t xml:space="preserve">SEPT 2017 </t>
  </si>
  <si>
    <t xml:space="preserve">OCT 2003 </t>
  </si>
  <si>
    <t xml:space="preserve">OCT 2004 </t>
  </si>
  <si>
    <t xml:space="preserve">OCT 2005 </t>
  </si>
  <si>
    <t xml:space="preserve">OCT 2006 </t>
  </si>
  <si>
    <t xml:space="preserve">OCT 2007 </t>
  </si>
  <si>
    <t xml:space="preserve">OCT 2008 </t>
  </si>
  <si>
    <t xml:space="preserve">OCT 2009 </t>
  </si>
  <si>
    <t xml:space="preserve">OCT 2010 </t>
  </si>
  <si>
    <t xml:space="preserve">OCT 2011 </t>
  </si>
  <si>
    <t xml:space="preserve">OCT 2012 </t>
  </si>
  <si>
    <t xml:space="preserve">OCT 2013 </t>
  </si>
  <si>
    <t xml:space="preserve">OCT 2014 </t>
  </si>
  <si>
    <t xml:space="preserve">OCT 2015 </t>
  </si>
  <si>
    <t xml:space="preserve">OCT 2016 </t>
  </si>
  <si>
    <t xml:space="preserve">OCT 2017 </t>
  </si>
  <si>
    <t xml:space="preserve">NOV 2003 </t>
  </si>
  <si>
    <t xml:space="preserve">NOV 2006 </t>
  </si>
  <si>
    <t xml:space="preserve">NOV 2007 </t>
  </si>
  <si>
    <t xml:space="preserve">NOV 2008 </t>
  </si>
  <si>
    <t xml:space="preserve">NOV 2009 </t>
  </si>
  <si>
    <t xml:space="preserve">NOV 2010 </t>
  </si>
  <si>
    <t xml:space="preserve">NOV 2011 </t>
  </si>
  <si>
    <t xml:space="preserve">NOV 2012 </t>
  </si>
  <si>
    <t xml:space="preserve">NOV 2013 </t>
  </si>
  <si>
    <t xml:space="preserve">NOV 2014 </t>
  </si>
  <si>
    <t xml:space="preserve">NOV 2015 </t>
  </si>
  <si>
    <t xml:space="preserve">NOV 2016 </t>
  </si>
  <si>
    <t xml:space="preserve">NOV 2017 </t>
  </si>
  <si>
    <t>2005</t>
  </si>
  <si>
    <t>déc</t>
  </si>
  <si>
    <t>&lt;01/11/2002</t>
  </si>
  <si>
    <t>2002</t>
  </si>
  <si>
    <t>nov</t>
  </si>
  <si>
    <t>2008</t>
  </si>
  <si>
    <t>avr</t>
  </si>
  <si>
    <t>2015</t>
  </si>
  <si>
    <t>2010</t>
  </si>
  <si>
    <t>févr</t>
  </si>
  <si>
    <t>2011</t>
  </si>
  <si>
    <t>juil</t>
  </si>
  <si>
    <t>oct</t>
  </si>
  <si>
    <t>2003</t>
  </si>
  <si>
    <t>mars</t>
  </si>
  <si>
    <t>2014</t>
  </si>
  <si>
    <t>août</t>
  </si>
  <si>
    <t>2013</t>
  </si>
  <si>
    <t>2007</t>
  </si>
  <si>
    <t>2004</t>
  </si>
  <si>
    <t>2009</t>
  </si>
  <si>
    <t>sept</t>
  </si>
  <si>
    <t>2016</t>
  </si>
  <si>
    <t>2006</t>
  </si>
  <si>
    <t>janv</t>
  </si>
  <si>
    <t>Années</t>
  </si>
  <si>
    <t>Cham Longe I conso</t>
  </si>
  <si>
    <t>FÉVRIER</t>
  </si>
  <si>
    <t>AOÛT</t>
  </si>
  <si>
    <t>DÉCEMBRE</t>
  </si>
  <si>
    <t xml:space="preserve">Noyers </t>
  </si>
  <si>
    <t>E6360</t>
  </si>
  <si>
    <t>E5660</t>
  </si>
  <si>
    <t>Parc du Santerre (XSAN)</t>
  </si>
  <si>
    <t>Le Catésis (CAT)</t>
  </si>
  <si>
    <t>E5590</t>
  </si>
  <si>
    <t>Seuil du Cambrésis- Ribecourt (RIB)</t>
  </si>
  <si>
    <t>E5650</t>
  </si>
  <si>
    <t>Basse Thiérache Nord</t>
  </si>
  <si>
    <t>E5720</t>
  </si>
  <si>
    <t>Sources de l'Ancre</t>
  </si>
  <si>
    <t>E5710</t>
  </si>
  <si>
    <t>Parcs</t>
  </si>
  <si>
    <t>Noyers Bucamps</t>
  </si>
  <si>
    <t>Code Saisie</t>
  </si>
  <si>
    <t>E5020</t>
  </si>
  <si>
    <t>Blendecques</t>
  </si>
  <si>
    <t>GAS_NAT</t>
  </si>
  <si>
    <t>STEAM</t>
  </si>
  <si>
    <t>Boralex Solaire Lauragais SAS</t>
  </si>
  <si>
    <t>CHECK LOAD</t>
  </si>
  <si>
    <t>Répartition</t>
  </si>
  <si>
    <t xml:space="preserve">Basse Thiérache Nord 1 </t>
  </si>
  <si>
    <t>Basse Thiérache Nord 2</t>
  </si>
  <si>
    <t xml:space="preserve">Sources de l'Ancre 1 </t>
  </si>
  <si>
    <t>Sources de l'Ancre 2</t>
  </si>
  <si>
    <t>Cham Longe Le Courbil (Eole Cevennes)</t>
  </si>
  <si>
    <t>Boralex Solaire Les Cigalettes SAS (Montfort)</t>
  </si>
  <si>
    <t>Production - A saisir dans Longview</t>
  </si>
  <si>
    <t>hypothèse indexation appliquée +1.3%</t>
  </si>
  <si>
    <t xml:space="preserve"> </t>
  </si>
  <si>
    <t>ok</t>
  </si>
  <si>
    <t>E5010</t>
  </si>
  <si>
    <t>Hierarchy</t>
  </si>
  <si>
    <t>ENTITIES_Root</t>
  </si>
  <si>
    <t>ENTITIES_Symbol</t>
  </si>
  <si>
    <t>ENTITIES_DescE</t>
  </si>
  <si>
    <t>divisions utiles pour OTP</t>
  </si>
  <si>
    <t>info zones</t>
  </si>
  <si>
    <t>ENTITIES_DescA</t>
  </si>
  <si>
    <t>ENTITIES_SymbolType</t>
  </si>
  <si>
    <t>ENTITIES_ChildSort</t>
  </si>
  <si>
    <t>ENTITIES_BalanceType</t>
  </si>
  <si>
    <t>ENTITIES_Parent</t>
  </si>
  <si>
    <t>ENTITIES_Weight</t>
  </si>
  <si>
    <t>ENTITIES_Priority</t>
  </si>
  <si>
    <t>ENTITIES_Level</t>
  </si>
  <si>
    <t>ENTITIES_NumOfChildren</t>
  </si>
  <si>
    <t>ENTITIES_Virtual</t>
  </si>
  <si>
    <t>ENTITIES_AcceptRollup</t>
  </si>
  <si>
    <t>ENTITIES_Created</t>
  </si>
  <si>
    <t>ENTITIES_Modified</t>
  </si>
  <si>
    <t>ENTITIES_TotalDescendants</t>
  </si>
  <si>
    <t>TOTEURECOC - Total Europe and Ecosse Conso</t>
  </si>
  <si>
    <t>TOTEURECOC</t>
  </si>
  <si>
    <t>Total Europe and Ecosse Conso</t>
  </si>
  <si>
    <t>Total Europe et Ecosse Conso</t>
  </si>
  <si>
    <t>Standard</t>
  </si>
  <si>
    <t>Manual</t>
  </si>
  <si>
    <t>Neither</t>
  </si>
  <si>
    <t/>
  </si>
  <si>
    <t>21/11/2017 23:15:45</t>
  </si>
  <si>
    <t>21/11/2017 23:23:04</t>
  </si>
  <si>
    <t>|     + BOREURC - Total Boralex Europe, Consolidated</t>
  </si>
  <si>
    <t>BOREURC</t>
  </si>
  <si>
    <t>Total Boralex Europe, Consolidated</t>
  </si>
  <si>
    <t>Total Boralex Europe, Consolidé</t>
  </si>
  <si>
    <t>17/02/2016 03:37:22</t>
  </si>
  <si>
    <t>21/11/2017 23:17:17</t>
  </si>
  <si>
    <t>|     |     + BOREUREOLC - Total Boralex Europe Éolien, Consolidated</t>
  </si>
  <si>
    <t>Total Boralex Europe Éolien, Consolidated</t>
  </si>
  <si>
    <t>Total Boralex Europe Éolien, Consolidé</t>
  </si>
  <si>
    <t>05/06/2017 12:51:38</t>
  </si>
  <si>
    <t>05/06/2017 12:53:38</t>
  </si>
  <si>
    <t>|     |     |     + SFERMAVI1 - Ferme éolienne Avignonet I</t>
  </si>
  <si>
    <t>Ferme éolienne Avignonet I</t>
  </si>
  <si>
    <t>17/02/2016 03:37:17</t>
  </si>
  <si>
    <t>03/10/2017 16:54:50</t>
  </si>
  <si>
    <t>|     |     |     |     + E5030 - Boralex Avignonet SAS</t>
  </si>
  <si>
    <t>Boralex Avignonet SAS</t>
  </si>
  <si>
    <t>X</t>
  </si>
  <si>
    <t>03/10/2017 14:23:50</t>
  </si>
  <si>
    <t>|     |     |     |     + SB5030 - SB5030 Elim éolien Avignonet 1</t>
  </si>
  <si>
    <t>SB5030</t>
  </si>
  <si>
    <t>SB5030 Elim éolien Avignonet 1</t>
  </si>
  <si>
    <t>04/06/2018 21:49:14</t>
  </si>
  <si>
    <t>|     |     |     + SFERMCHEPY - Ferme éolienne Chépy</t>
  </si>
  <si>
    <t>Ferme éolienne Chépy</t>
  </si>
  <si>
    <t>09/10/2017 08:41:48</t>
  </si>
  <si>
    <t>|     |     |     |     + E5040 - Boralex Chépy SAS</t>
  </si>
  <si>
    <t>Boralex Chépy SAS</t>
  </si>
  <si>
    <t>29/09/2017 19:38:58</t>
  </si>
  <si>
    <t>|     |     |     |     + SB5040 - SB05040 Elim éolien Chépy</t>
  </si>
  <si>
    <t>SB5040</t>
  </si>
  <si>
    <t>SB05040 Elim éolien Chépy</t>
  </si>
  <si>
    <t>04/06/2018 21:49:21</t>
  </si>
  <si>
    <t>|     |     |     + SFERMNIBAS - Ferme éolienne Nibas</t>
  </si>
  <si>
    <t>Ferme éolienne Nibas</t>
  </si>
  <si>
    <t>17/02/2016 03:37:18</t>
  </si>
  <si>
    <t>09/10/2017 08:42:03</t>
  </si>
  <si>
    <t>|     |     |     |     + E5050 - Boralex Nibas SAS</t>
  </si>
  <si>
    <t>Boralex Nibas SAS</t>
  </si>
  <si>
    <t>19/07/2017 16:01:09</t>
  </si>
  <si>
    <t>|     |     |     |     + SB5050 - SB5050 Elim éolien Nibas</t>
  </si>
  <si>
    <t>SB5050</t>
  </si>
  <si>
    <t>SB5050 Elim éolien Nibas</t>
  </si>
  <si>
    <t>04/06/2018 21:49:02</t>
  </si>
  <si>
    <t>|     |     |     + SFERMASSIFC - Ferme éolienne Massif Central Conso, Consolidated</t>
  </si>
  <si>
    <t>SFERMASSIFC</t>
  </si>
  <si>
    <t>Ferme éolienne Massif Central Conso, Consolidated</t>
  </si>
  <si>
    <t>Ferme éolienne Massif Central Conso, Consolidé</t>
  </si>
  <si>
    <t>05/06/2017 12:53:55</t>
  </si>
  <si>
    <t>|     |     |     |     + E5060 - Boralex Massif Central-Gestion</t>
  </si>
  <si>
    <t>E5060</t>
  </si>
  <si>
    <t>Boralex Massif Central-Gestion</t>
  </si>
  <si>
    <t>20/11/2017 20:15:54</t>
  </si>
  <si>
    <t>|     |     |     |     + SFERMALLYC - Ferme éolienne Ally, Consolidated</t>
  </si>
  <si>
    <t>Ferme éolienne Ally, Consolidated</t>
  </si>
  <si>
    <t>Ferme éolienne Ally, Consolidé</t>
  </si>
  <si>
    <t>03/10/2017 16:54:42</t>
  </si>
  <si>
    <t>|     |     |     |     |     + E5061 - BMC-Ally Gestion</t>
  </si>
  <si>
    <t>E5061</t>
  </si>
  <si>
    <t>BMC-Ally Gestion</t>
  </si>
  <si>
    <t>20/11/2017 20:10:11</t>
  </si>
  <si>
    <t>|     |     |     |     |     + E5070 - Boralex Bessadous SAS</t>
  </si>
  <si>
    <t>Boralex Bessadous SAS</t>
  </si>
  <si>
    <t>11/10/2017 16:47:36</t>
  </si>
  <si>
    <t>|     |     |     |     |     + E5080 - Boralex Mercoeur SAS</t>
  </si>
  <si>
    <t>Boralex Mercoeur SAS</t>
  </si>
  <si>
    <t>11/10/2017 16:47:55</t>
  </si>
  <si>
    <t>|     |     |     |     |     + E5090 - Boralex Monteil SAS</t>
  </si>
  <si>
    <t>Boralex Monteil SAS</t>
  </si>
  <si>
    <t>11/10/2017 16:48:01</t>
  </si>
  <si>
    <t>|     |     |     |     |     + E5100 - Boralex Verseilles SAS</t>
  </si>
  <si>
    <t>Boralex Verseilles SAS</t>
  </si>
  <si>
    <t>11/10/2017 16:48:05</t>
  </si>
  <si>
    <t>|     |     |     |     |     + SB5061 - SB5061 Elim éolien Ally</t>
  </si>
  <si>
    <t>SB5061</t>
  </si>
  <si>
    <t>SB5061 Elim éolien Ally</t>
  </si>
  <si>
    <t>04/06/2018 21:49:37</t>
  </si>
  <si>
    <t>|     |     |     |     |     + SFERMALLYEA - Ferme éolienne Ally, Eliminations and Adjustments</t>
  </si>
  <si>
    <t>SFERMALLYEA</t>
  </si>
  <si>
    <t>Ferme éolienne Ally, Eliminations and Adjustments</t>
  </si>
  <si>
    <t>Ferme éolienne Ally, Éliminations and Ajustements</t>
  </si>
  <si>
    <t>05/06/2017 12:53:56</t>
  </si>
  <si>
    <t>|     |     |     |     |     |     + ALLYA - Ferme éolienne Ally, Adjustments</t>
  </si>
  <si>
    <t>ALLYA</t>
  </si>
  <si>
    <t>Ferme éolienne Ally, Adjustments</t>
  </si>
  <si>
    <t>Ferme éolienne Ally, Ajustements</t>
  </si>
  <si>
    <t>17/03/2017 05:09:00</t>
  </si>
  <si>
    <t>04/06/2018 23:22:47</t>
  </si>
  <si>
    <t>|     |     |     |     |     |     + SFERMALLYA - Ferme éolienne Ally, Adjustments</t>
  </si>
  <si>
    <t>SFERMALLYA</t>
  </si>
  <si>
    <t>|     |     |     |     |     |     + SFERMALLYE - Ferme éolienne Ally, Eliminations</t>
  </si>
  <si>
    <t>SFERMALLYE</t>
  </si>
  <si>
    <t>Ferme éolienne Ally, Eliminations</t>
  </si>
  <si>
    <t>Ferme éolienne Ally, Éliminations</t>
  </si>
  <si>
    <t>|     |     |     |     + SFERMCHAMC - Ferme éolienne Cham Longe, Consolidated</t>
  </si>
  <si>
    <t>Ferme éolienne Cham Longe, Consolidated</t>
  </si>
  <si>
    <t>Ferme éolienne Cham Longe, Consolidé</t>
  </si>
  <si>
    <t>03/10/2017 16:55:05</t>
  </si>
  <si>
    <t>|     |     |     |     |     + E5062 - BMC-Cham Longe Gestion</t>
  </si>
  <si>
    <t>E5062</t>
  </si>
  <si>
    <t>BMC-Cham Longe Gestion</t>
  </si>
  <si>
    <t>11/10/2017 17:10:36</t>
  </si>
  <si>
    <t>|     |     |     |     |     + E5110 - Boralex Bel Air SAS</t>
  </si>
  <si>
    <t>Boralex Bel Air SAS</t>
  </si>
  <si>
    <t>03/11/2017 14:54:12</t>
  </si>
  <si>
    <t>|     |     |     |     |     + E5120 - Boralex Le Courbil SAS</t>
  </si>
  <si>
    <t>Boralex Le Courbil SAS</t>
  </si>
  <si>
    <t>11/10/2017 16:48:20</t>
  </si>
  <si>
    <t>|     |     |     |     |     + SB5062 - SB5062 Elim éolien Cham Longe</t>
  </si>
  <si>
    <t>SB5062</t>
  </si>
  <si>
    <t>SB5062 Elim éolien Cham Longe</t>
  </si>
  <si>
    <t>04/06/2018 21:49:44</t>
  </si>
  <si>
    <t>|     |     |     |     |     + SFERMCHAMEA - Ferme éolienne Cham Longe, Eliminations and Adjustments</t>
  </si>
  <si>
    <t>SFERMCHAMEA</t>
  </si>
  <si>
    <t>Ferme éolienne Cham Longe, Eliminations and Adjustments</t>
  </si>
  <si>
    <t>Ferme éolienne Cham Longe, Éliminations and Ajustements</t>
  </si>
  <si>
    <t>|     |     |     |     |     |     + CHAMLONGEA - Ferme éolienne Cham Longe, Adjustments</t>
  </si>
  <si>
    <t>CHAMLONGEA</t>
  </si>
  <si>
    <t>Ferme éolienne Cham Longe, Adjustments</t>
  </si>
  <si>
    <t>Ferme éolienne Cham Longe, Ajustements</t>
  </si>
  <si>
    <t>17/03/2017 05:09:01</t>
  </si>
  <si>
    <t>04/06/2018 23:22:32</t>
  </si>
  <si>
    <t>|     |     |     |     |     |     + SFERMCHAMA - Ferme éolienne Cham Longe, Adjustments</t>
  </si>
  <si>
    <t>SFERMCHAMA</t>
  </si>
  <si>
    <t>|     |     |     |     |     |     + SFERMCHAME - Ferme éolienne Cham Longe, Eliminations</t>
  </si>
  <si>
    <t>SFERMCHAME</t>
  </si>
  <si>
    <t>Ferme éolienne Cham Longe, Eliminations</t>
  </si>
  <si>
    <t>Ferme éolienne Cham Longe, Éliminations</t>
  </si>
  <si>
    <t>|     |     |     |     + SFERMCHAM2C - Ferme éolienne Cham Longe II, Consolidated</t>
  </si>
  <si>
    <t>Ferme éolienne Cham Longe II, Consolidated</t>
  </si>
  <si>
    <t>Ferme éolienne Cham Longe II, Consolidé</t>
  </si>
  <si>
    <t>03/10/2017 16:54:58</t>
  </si>
  <si>
    <t>|     |     |     |     |     + E5065 - BMC-Cham Longe ll Gestion</t>
  </si>
  <si>
    <t>E5065</t>
  </si>
  <si>
    <t>BMC-Cham Longe ll Gestion</t>
  </si>
  <si>
    <t>11/10/2017 17:11:02</t>
  </si>
  <si>
    <t>|     |     |     |     |     + E5150 - Boralex Cham Longe II SAS</t>
  </si>
  <si>
    <t>Boralex Cham Longe II SAS</t>
  </si>
  <si>
    <t>11/10/2017 16:48:39</t>
  </si>
  <si>
    <t>|     |     |     |     |     + SB5065 - SB5065 Elim éolien Cham longe II</t>
  </si>
  <si>
    <t>SB5065</t>
  </si>
  <si>
    <t>SB5065 Elim éolien Cham longe II</t>
  </si>
  <si>
    <t>04/06/2018 21:50:06</t>
  </si>
  <si>
    <t>|     |     |     |     |     + SFERMCHAM2EA - Ferme éolienne Cham Longe II, Eliminations and Adjustments</t>
  </si>
  <si>
    <t>SFERMCHAM2EA</t>
  </si>
  <si>
    <t>Ferme éolienne Cham Longe II, Eliminations and Adjustments</t>
  </si>
  <si>
    <t>Ferme éolienne Cham Longe II, Éliminations and Ajustements</t>
  </si>
  <si>
    <t>05/06/2017 12:51:39</t>
  </si>
  <si>
    <t>|     |     |     |     |     |     + SFERMCHAM2A - Ferme éolienne Cham Longe II, Adjustments</t>
  </si>
  <si>
    <t>SFERMCHAM2A</t>
  </si>
  <si>
    <t>Ferme éolienne Cham Longe II, Adjustments</t>
  </si>
  <si>
    <t>Ferme éolienne Cham Longe II, Ajustements</t>
  </si>
  <si>
    <t>|     |     |     |     |     |     + SFERMCHAM2E - Ferme éolienne Cham Longe II, Eliminations</t>
  </si>
  <si>
    <t>SFERMCHAM2E</t>
  </si>
  <si>
    <t>Ferme éolienne Cham Longe II, Eliminations</t>
  </si>
  <si>
    <t>Ferme éolienne Cham Longe II, Éliminations</t>
  </si>
  <si>
    <t>|     |     |     |     + SFREMPLOUC - Ferme Éolienne Plouguin, Consolidated</t>
  </si>
  <si>
    <t>Ferme Éolienne Plouguin, Consolidated</t>
  </si>
  <si>
    <t>Ferme Éolienne Plouguin, Consolidé</t>
  </si>
  <si>
    <t>03/10/2017 16:03:41</t>
  </si>
  <si>
    <t>|     |     |     |     |     + E5063 - BMC-Plouguin Gestion</t>
  </si>
  <si>
    <t>E5063</t>
  </si>
  <si>
    <t>BMC-Plouguin Gestion</t>
  </si>
  <si>
    <t>17/02/2016 03:37:19</t>
  </si>
  <si>
    <t>11/10/2017 17:10:42</t>
  </si>
  <si>
    <t>|     |     |     |     |     + E5130 - Boralex Plouguin SAS</t>
  </si>
  <si>
    <t>Boralex Plouguin SAS</t>
  </si>
  <si>
    <t>11/10/2017 16:48:26</t>
  </si>
  <si>
    <t>|     |     |     |     |     + SB5063 - SB5063 Elim éolien Plouguin</t>
  </si>
  <si>
    <t>SB5063</t>
  </si>
  <si>
    <t>SB5063 Elim éolien Plouguin</t>
  </si>
  <si>
    <t>04/06/2018 21:49:52</t>
  </si>
  <si>
    <t>|     |     |     |     |     + SFREMPLOUEA - Ferme Éolienne Plouguin, Eliminations and Adjustments</t>
  </si>
  <si>
    <t>SFREMPLOUEA</t>
  </si>
  <si>
    <t>Ferme Éolienne Plouguin, Eliminations and Adjustments</t>
  </si>
  <si>
    <t>Ferme Éolienne Plouguin, Éliminations and Ajustements</t>
  </si>
  <si>
    <t>|     |     |     |     |     |     + SFREMPLOUA - Ferme Éolienne Plouguin, Adjustments</t>
  </si>
  <si>
    <t>SFREMPLOUA</t>
  </si>
  <si>
    <t>Ferme Éolienne Plouguin, Adjustments</t>
  </si>
  <si>
    <t>Ferme Éolienne Plouguin, Ajustements</t>
  </si>
  <si>
    <t>05/06/2017 12:53:57</t>
  </si>
  <si>
    <t>|     |     |     |     |     |     + SFREMPLOUE - Ferme Éolienne Plouguin, Eliminations</t>
  </si>
  <si>
    <t>SFREMPLOUE</t>
  </si>
  <si>
    <t>Ferme Éolienne Plouguin, Eliminations</t>
  </si>
  <si>
    <t>Ferme Éolienne Plouguin, Éliminations</t>
  </si>
  <si>
    <t>|     |     |     |     + SFERMCITAC - Ferme éolienne La Citadelle, Consolidated</t>
  </si>
  <si>
    <t>Ferme éolienne La Citadelle, Consolidated</t>
  </si>
  <si>
    <t>Ferme éolienne La Citadelle, Consolidé</t>
  </si>
  <si>
    <t>03/10/2017 16:55:13</t>
  </si>
  <si>
    <t>|     |     |     |     |     + E5064 - BMC- La Citadelle Gestion</t>
  </si>
  <si>
    <t>E5064</t>
  </si>
  <si>
    <t>BMC- La Citadelle Gestion</t>
  </si>
  <si>
    <t>11/10/2017 17:10:49</t>
  </si>
  <si>
    <t>|     |     |     |     |     + E5140 - Boralex La Citadelle SAS</t>
  </si>
  <si>
    <t>Boralex La Citadelle SAS</t>
  </si>
  <si>
    <t>11/10/2017 16:48:33</t>
  </si>
  <si>
    <t>|     |     |     |     |     + SB5064 - SB5064 Elim éolien Citadelle</t>
  </si>
  <si>
    <t>SB5064</t>
  </si>
  <si>
    <t>SB5064 Elim éolien Citadelle</t>
  </si>
  <si>
    <t>04/06/2018 21:49:58</t>
  </si>
  <si>
    <t>|     |     |     |     |     + SFERMCITAEA - Ferme éolienne La Citadelle, Eliminations and Adjustments</t>
  </si>
  <si>
    <t>SFERMCITAEA</t>
  </si>
  <si>
    <t>Ferme éolienne La Citadelle, Eliminations and Adjustments</t>
  </si>
  <si>
    <t>Ferme éolienne La Citadelle, Éliminations and Ajustements</t>
  </si>
  <si>
    <t>|     |     |     |     |     |     + SFERMCITAA - Ferme éolienne La Citadelle, Adjustments</t>
  </si>
  <si>
    <t>SFERMCITAA</t>
  </si>
  <si>
    <t>Ferme éolienne La Citadelle, Adjustments</t>
  </si>
  <si>
    <t>Ferme éolienne La Citadelle, Ajustements</t>
  </si>
  <si>
    <t>|     |     |     |     |     |     + SFERMCITAE - Ferme éolienne La Citadelle, Eliminations</t>
  </si>
  <si>
    <t>SFERMCITAE</t>
  </si>
  <si>
    <t>Ferme éolienne La Citadelle, Eliminations</t>
  </si>
  <si>
    <t>Ferme éolienne La Citadelle, Éliminations</t>
  </si>
  <si>
    <t>|     |     |     |     + SFERMCHASSC - Ferme éolienne Chasse Marée, Consolidated</t>
  </si>
  <si>
    <t>Ferme éolienne Chasse Marée, Consolidated</t>
  </si>
  <si>
    <t>Ferme éolienne Chasse Marée, Consolidé</t>
  </si>
  <si>
    <t>05/06/2017 12:51:40</t>
  </si>
  <si>
    <t>03/10/2017 16:45:34</t>
  </si>
  <si>
    <t>|     |     |     |     |     + E5066 - BMC-Chasse Marée Gestion</t>
  </si>
  <si>
    <t>E5066</t>
  </si>
  <si>
    <t>BMC-Chasse Marée Gestion</t>
  </si>
  <si>
    <t>11/10/2017 17:11:08</t>
  </si>
  <si>
    <t>|     |     |     |     |     + E5160 - Boralex Chasse Marée SAS</t>
  </si>
  <si>
    <t>Boralex Chasse Marée SAS</t>
  </si>
  <si>
    <t>11/10/2017 16:48:49</t>
  </si>
  <si>
    <t>|     |     |     |     |     + SB5066 - SB5066 Elim éolien Chasse Marée</t>
  </si>
  <si>
    <t>SB5066</t>
  </si>
  <si>
    <t>SB5066 Elim éolien Chasse Marée</t>
  </si>
  <si>
    <t>04/06/2018 21:50:14</t>
  </si>
  <si>
    <t>|     |     |     |     |     + SFERMCHASSEA - Ferme éolienne Chasse Marée, Eliminations and Adjustments</t>
  </si>
  <si>
    <t>SFERMCHASSEA</t>
  </si>
  <si>
    <t>Ferme éolienne Chasse Marée, Eliminations and Adjustments</t>
  </si>
  <si>
    <t>Ferme éolienne Chasse Marée, Éliminations and Ajustements</t>
  </si>
  <si>
    <t>|     |     |     |     |     |     + SFERMCHASSA - Ferme éolienne Chasse Marée, Adjustments</t>
  </si>
  <si>
    <t>SFERMCHASSA</t>
  </si>
  <si>
    <t>Ferme éolienne Chasse Marée, Adjustments</t>
  </si>
  <si>
    <t>Ferme éolienne Chasse Marée, Ajustements</t>
  </si>
  <si>
    <t>|     |     |     |     |     |     + SFERMCHASSE - Ferme éolienne Chasse Marée, Eliminations</t>
  </si>
  <si>
    <t>SFERMCHASSE</t>
  </si>
  <si>
    <t>Ferme éolienne Chasse Marée, Eliminations</t>
  </si>
  <si>
    <t>Ferme éolienne Chasse Marée, Éliminations</t>
  </si>
  <si>
    <t>|     |     |     |     + SFERMRONC - Ferme éolienne Ronchois, Consolidated</t>
  </si>
  <si>
    <t>Ferme éolienne Ronchois, Consolidated</t>
  </si>
  <si>
    <t>Ferme éolienne Ronchois, Consolidé</t>
  </si>
  <si>
    <t>03/10/2017 16:45:42</t>
  </si>
  <si>
    <t>|     |     |     |     |     + E5067 - BMC-Ronchois Gestion</t>
  </si>
  <si>
    <t>E5067</t>
  </si>
  <si>
    <t>BMC-Ronchois Gestion</t>
  </si>
  <si>
    <t>11/10/2017 17:11:15</t>
  </si>
  <si>
    <t>|     |     |     |     |     + E5170 - Boralex Ronchois SAS</t>
  </si>
  <si>
    <t>Boralex Ronchois SAS</t>
  </si>
  <si>
    <t>11/10/2017 16:48:55</t>
  </si>
  <si>
    <t>|     |     |     |     |     + SB5067 - SB5067 Elim éolien Ronchois</t>
  </si>
  <si>
    <t>SB5067</t>
  </si>
  <si>
    <t>SB5067 Elim éolien Ronchois</t>
  </si>
  <si>
    <t>17/02/2016 03:37:20</t>
  </si>
  <si>
    <t>04/06/2018 21:50:19</t>
  </si>
  <si>
    <t>|     |     |     |     |     + SFERMRONEA - Ferme éolienne Ronchois, Eliminations and Adjustments</t>
  </si>
  <si>
    <t>SFERMRONEA</t>
  </si>
  <si>
    <t>Ferme éolienne Ronchois, Eliminations and Adjustments</t>
  </si>
  <si>
    <t>Ferme éolienne Ronchois, Éliminations and Ajustements</t>
  </si>
  <si>
    <t>|     |     |     |     |     |     + SFERMRONA - Ferme éolienne Ronchois, Adjustments</t>
  </si>
  <si>
    <t>SFERMRONA</t>
  </si>
  <si>
    <t>Ferme éolienne Ronchois, Adjustments</t>
  </si>
  <si>
    <t>Ferme éolienne Ronchois, Ajustements</t>
  </si>
  <si>
    <t>05/06/2017 12:53:58</t>
  </si>
  <si>
    <t>|     |     |     |     |     |     + SFERMRONE - Ferme éolienne Ronchois, Eliminations</t>
  </si>
  <si>
    <t>SFERMRONE</t>
  </si>
  <si>
    <t>Ferme éolienne Ronchois, Eliminations</t>
  </si>
  <si>
    <t>Ferme éolienne Ronchois, Éliminations</t>
  </si>
  <si>
    <t>|     |     |     |     + SFERMCAMPC - Ferme éolienne Grand Camp, Consolidated</t>
  </si>
  <si>
    <t>Ferme éolienne Grand Camp, Consolidated</t>
  </si>
  <si>
    <t>Ferme éolienne Grand Camp, Consolidé</t>
  </si>
  <si>
    <t>05/06/2017 12:51:41</t>
  </si>
  <si>
    <t>03/10/2017 16:45:17</t>
  </si>
  <si>
    <t>|     |     |     |     |     + E5068 - BMC-Le Grand Camp Gestion</t>
  </si>
  <si>
    <t>E5068</t>
  </si>
  <si>
    <t>BMC-Le Grand Camp Gestion</t>
  </si>
  <si>
    <t>11/10/2017 17:11:21</t>
  </si>
  <si>
    <t>|     |     |     |     |     + E5180 - Boralex Le Grand Camp SAS</t>
  </si>
  <si>
    <t>Boralex Le Grand Camp SAS</t>
  </si>
  <si>
    <t>11/10/2017 16:49:00</t>
  </si>
  <si>
    <t>|     |     |     |     |     + SB5068 - SB5068 Elim éolien Le Grand Camp</t>
  </si>
  <si>
    <t>SB5068</t>
  </si>
  <si>
    <t>SB5068 Elim éolien Le Grand Camp</t>
  </si>
  <si>
    <t>04/06/2018 21:50:26</t>
  </si>
  <si>
    <t>|     |     |     |     |     + SFERMCAMPEA - Ferme éolienne Grand Camp, Eliminations and Adjustments</t>
  </si>
  <si>
    <t>SFERMCAMPEA</t>
  </si>
  <si>
    <t>Ferme éolienne Grand Camp, Eliminations and Adjustments</t>
  </si>
  <si>
    <t>Ferme éolienne Grand Camp, Éliminations and Ajustements</t>
  </si>
  <si>
    <t>|     |     |     |     |     |     + SFERMCAMPA - Ferme éolienne Grand Camp, Adjustments</t>
  </si>
  <si>
    <t>SFERMCAMPA</t>
  </si>
  <si>
    <t>Ferme éolienne Grand Camp, Adjustments</t>
  </si>
  <si>
    <t>Ferme éolienne Grand Camp, Ajustements</t>
  </si>
  <si>
    <t>|     |     |     |     |     |     + SFERMCAMPE - Ferme éolienne Grand Camp, Eliminations</t>
  </si>
  <si>
    <t>SFERMCAMPE</t>
  </si>
  <si>
    <t>Ferme éolienne Grand Camp, Eliminations</t>
  </si>
  <si>
    <t>Ferme éolienne Grand Camp, Éliminations</t>
  </si>
  <si>
    <t>|     |     |     |     + SFERMASSIFEA - Ferme éolienne Massif Central Conso, Eliminations and Adjustments</t>
  </si>
  <si>
    <t>SFERMASSIFEA</t>
  </si>
  <si>
    <t>Ferme éolienne Massif Central Conso, Eliminations and Adjustments</t>
  </si>
  <si>
    <t>Ferme éolienne Massif Central Conso, Éliminations and Ajustements</t>
  </si>
  <si>
    <t>|     |     |     |     |     + E5060A - Boralex Massif Central SAS, Adjustments</t>
  </si>
  <si>
    <t>E5060A</t>
  </si>
  <si>
    <t>Boralex Massif Central SAS, Adjustments</t>
  </si>
  <si>
    <t>Boralex Massif Central SAS, Ajustements</t>
  </si>
  <si>
    <t>05/06/2017 12:54:28</t>
  </si>
  <si>
    <t>|     |     |     |     |     + E5060CONA - Boralex Massif Central Conso, Adjustments</t>
  </si>
  <si>
    <t>E5060CONA</t>
  </si>
  <si>
    <t>Boralex Massif Central Conso, Adjustments</t>
  </si>
  <si>
    <t>Boralex Massif Central Conso, Ajustements</t>
  </si>
  <si>
    <t>|     |     |     |     |     + SB5060 - SB5060 Elim éolien Massif Central</t>
  </si>
  <si>
    <t>SB5060</t>
  </si>
  <si>
    <t>SB5060 Elim éolien Massif Central</t>
  </si>
  <si>
    <t>04/06/2018 21:49:31</t>
  </si>
  <si>
    <t>|     |     |     |     |     + SFERMASSIFA - Ferme éolienne Massif Central Conso, Adjustments</t>
  </si>
  <si>
    <t>SFERMASSIFA</t>
  </si>
  <si>
    <t>Ferme éolienne Massif Central Conso, Adjustments</t>
  </si>
  <si>
    <t>Ferme éolienne Massif Central Conso, Ajustements</t>
  </si>
  <si>
    <t>|     |     |     |     |     + SFERMASSIFE - Ferme éolienne Massif Central Conso, Eliminations</t>
  </si>
  <si>
    <t>SFERMASSIFE</t>
  </si>
  <si>
    <t>Ferme éolienne Massif Central Conso, Eliminations</t>
  </si>
  <si>
    <t>Ferme éolienne Massif Central Conso, Éliminations</t>
  </si>
  <si>
    <t>|     |     |     + E5190C - Boralex Certificats Verts SAS, Consolidated</t>
  </si>
  <si>
    <t>E5190C</t>
  </si>
  <si>
    <t>Boralex Certificats Verts SAS, Consolidated</t>
  </si>
  <si>
    <t>Boralex Certificats Verts SAS, Consolidé</t>
  </si>
  <si>
    <t>17/02/2016 03:37:21</t>
  </si>
  <si>
    <t>|     |     |     |     + E5190 - Boralex Certificats Verts SAS</t>
  </si>
  <si>
    <t>E5190</t>
  </si>
  <si>
    <t>Boralex Certificats Verts SAS</t>
  </si>
  <si>
    <t>12/07/2017 20:58:03</t>
  </si>
  <si>
    <t>|     |     |     |     + E5200 - Boralex Réinvestissement SAS</t>
  </si>
  <si>
    <t>E5200</t>
  </si>
  <si>
    <t>Boralex Réinvestissement SAS</t>
  </si>
  <si>
    <t>12/07/2017 20:58:09</t>
  </si>
  <si>
    <t>|     |     |     |     + E5190EA - Boralex Certificats Verts SAS, Eliminations and Adjustments</t>
  </si>
  <si>
    <t>E5190EA</t>
  </si>
  <si>
    <t>Boralex Certificats Verts SAS, Eliminations and Adjustments</t>
  </si>
  <si>
    <t>Boralex Certificats Verts SAS, Éliminations et Ajustements</t>
  </si>
  <si>
    <t>05/06/2017 12:51:33</t>
  </si>
  <si>
    <t>|     |     |     |     |     + E5190A - Boralex Certificats Verts SAS, Adjustments</t>
  </si>
  <si>
    <t>E5190A</t>
  </si>
  <si>
    <t>Boralex Certificats Verts SAS, Adjustments</t>
  </si>
  <si>
    <t>Boralex Certificats Verts SAS, Ajustements</t>
  </si>
  <si>
    <t>05/06/2017 12:51:34</t>
  </si>
  <si>
    <t>31/05/2018 15:42:03</t>
  </si>
  <si>
    <t>|     |     |     |     |     + E5190E - Boralex Certificats Verts SAS, Eliminations</t>
  </si>
  <si>
    <t>E5190E</t>
  </si>
  <si>
    <t>Boralex Certificats Verts SAS, Eliminations</t>
  </si>
  <si>
    <t>Boralex Certificats Verts SAS, Éliminations</t>
  </si>
  <si>
    <t>|     |     |     + E5210 - Boralex Avignonet ll SAS</t>
  </si>
  <si>
    <t>Boralex Avignonet ll SAS</t>
  </si>
  <si>
    <t>03/10/2017 16:53:30</t>
  </si>
  <si>
    <t>|     |     |     + E5240 - Boralex Côte D'Armor</t>
  </si>
  <si>
    <t>E5240</t>
  </si>
  <si>
    <t>Boralex Côte D'Armor</t>
  </si>
  <si>
    <t>23/08/2017 15:13:16</t>
  </si>
  <si>
    <t>|     |     |     + E5260C - Boralex La Vallée SAS, Consolidated</t>
  </si>
  <si>
    <t>Boralex La Vallée SAS, Consolidated</t>
  </si>
  <si>
    <t>Boralex La Vallée SAS, Consolidé</t>
  </si>
  <si>
    <t>03/10/2017 16:53:41</t>
  </si>
  <si>
    <t>|     |     |     |     + E5260 - Boralex La Vallée SAS</t>
  </si>
  <si>
    <t>E5260</t>
  </si>
  <si>
    <t>Boralex La Vallée SAS</t>
  </si>
  <si>
    <t>12/07/2017 20:59:00</t>
  </si>
  <si>
    <t>|     |     |     |     + E5270 - Boralex Ménétréols SAS</t>
  </si>
  <si>
    <t>Boralex Ménétréols SAS</t>
  </si>
  <si>
    <t>19/07/2017 16:07:17</t>
  </si>
  <si>
    <t>|     |     |     |     + E5280 - Boralex St-Georges SAS</t>
  </si>
  <si>
    <t>Boralex St-Georges SAS</t>
  </si>
  <si>
    <t>19/07/2017 16:07:32</t>
  </si>
  <si>
    <t>|     |     |     |     + E5260EA - Boralex La Vallée SAS, Eliminations and Adjustments</t>
  </si>
  <si>
    <t>E5260EA</t>
  </si>
  <si>
    <t>Boralex La Vallée SAS, Eliminations and Adjustments</t>
  </si>
  <si>
    <t>Boralex La Vallée SAS, Éliminations et Ajustements</t>
  </si>
  <si>
    <t>05/06/2017 12:54:04</t>
  </si>
  <si>
    <t>|     |     |     |     |     + E5260A - Boralex La Vallée SAS, Adjustments</t>
  </si>
  <si>
    <t>E5260A</t>
  </si>
  <si>
    <t>Boralex La Vallée SAS, Adjustments</t>
  </si>
  <si>
    <t>Boralex La Vallée SAS, Ajustements</t>
  </si>
  <si>
    <t>|     |     |     |     |     + E5260E - Boralex La Vallée SAS, Eliminations</t>
  </si>
  <si>
    <t>E5260E</t>
  </si>
  <si>
    <t>Boralex La Vallée SAS, Eliminations</t>
  </si>
  <si>
    <t>Boralex La Vallée SAS, Éliminations</t>
  </si>
  <si>
    <t>05/06/2017 12:54:33</t>
  </si>
  <si>
    <t>|     |     |     + E5300 - Boralex Vron SAS</t>
  </si>
  <si>
    <t>Boralex Vron SAS</t>
  </si>
  <si>
    <t>03/10/2017 15:58:49</t>
  </si>
  <si>
    <t>|     |     |     + E5340C - Boralex Sainte-Caroline SAS, Consolidated</t>
  </si>
  <si>
    <t>E5340C</t>
  </si>
  <si>
    <t>Boralex Sainte-Caroline SAS, Consolidated</t>
  </si>
  <si>
    <t>Boralex Sainte-Caroline SAS, Consolidé</t>
  </si>
  <si>
    <t>05/06/2017 12:54:05</t>
  </si>
  <si>
    <t>|     |     |     |     + E5340 - Boralex Sainte-Caroline SAS</t>
  </si>
  <si>
    <t>E5340</t>
  </si>
  <si>
    <t>Boralex Sainte-Caroline SAS</t>
  </si>
  <si>
    <t>12/07/2017 20:59:51</t>
  </si>
  <si>
    <t>|     |     |     |     + E5310 - Boralex Fortel SAS</t>
  </si>
  <si>
    <t>Boralex Fortel SAS</t>
  </si>
  <si>
    <t>03/10/2017 15:58:59</t>
  </si>
  <si>
    <t>|     |     |     |     + E5320 - Boralex Saint-François SAS</t>
  </si>
  <si>
    <t>Boralex Saint-François SAS</t>
  </si>
  <si>
    <t>03/10/2017 15:59:07</t>
  </si>
  <si>
    <t>|     |     |     |     + E5340EA - Boralex Sainte-Caroline SAS, Eliminations and Adjustments</t>
  </si>
  <si>
    <t>E5340EA</t>
  </si>
  <si>
    <t>Boralex Sainte-Caroline SAS, Eliminations and Adjustments</t>
  </si>
  <si>
    <t>Boralex Sainte-Caroline SAS, Éliminations et Ajustements</t>
  </si>
  <si>
    <t>17/03/2017 05:09:04</t>
  </si>
  <si>
    <t>|     |     |     |     |     + E5340A - Boralex Sainte-Caroline SAS, Adjustments</t>
  </si>
  <si>
    <t>E5340A</t>
  </si>
  <si>
    <t>Boralex Sainte-Caroline SAS, Adjustments</t>
  </si>
  <si>
    <t>Boralex Sainte-Caroline SAS, Ajustements</t>
  </si>
  <si>
    <t>05/06/2017 12:54:29</t>
  </si>
  <si>
    <t>|     |     |     |     |     + E5340E - Boralex Sainte-Caroline SAS, Eliminations</t>
  </si>
  <si>
    <t>E5340E</t>
  </si>
  <si>
    <t>Boralex Sainte-Caroline SAS, Eliminations</t>
  </si>
  <si>
    <t>Boralex Sainte-Caroline SAS, Éliminations</t>
  </si>
  <si>
    <t>17/03/2017 05:09:05</t>
  </si>
  <si>
    <t>|     |     |     + E5330C - Boralex Wind France SAS, Consolidated</t>
  </si>
  <si>
    <t>Boralex Wind France SAS, Consolidated</t>
  </si>
  <si>
    <t>Boralex Wind France SAS, Consolidé</t>
  </si>
  <si>
    <t>03/10/2017 16:43:54</t>
  </si>
  <si>
    <t>|     |     |     |     + E5330 - Boralex Wind France SAS</t>
  </si>
  <si>
    <t>E5330</t>
  </si>
  <si>
    <t>Boralex Wind France SAS</t>
  </si>
  <si>
    <t>12/07/2017 20:59:42</t>
  </si>
  <si>
    <t>|     |     |     |     + E5290 - Boralex Saint-Patrick SAS</t>
  </si>
  <si>
    <t>Boralex Saint-Patrick SAS</t>
  </si>
  <si>
    <t>19/07/2017 16:07:46</t>
  </si>
  <si>
    <t>|     |     |     |     + E5330EA - Boralex Wind France SAS, Eliminations and Adjustments</t>
  </si>
  <si>
    <t>E5330EA</t>
  </si>
  <si>
    <t>Boralex Wind France SAS, Eliminations and Adjustments</t>
  </si>
  <si>
    <t>Boralex Wind France SAS, Éliminations et Ajustements</t>
  </si>
  <si>
    <t>17/03/2017 05:09:02</t>
  </si>
  <si>
    <t>|     |     |     |     |     + E5330A - Boralex Wind France SAS, Adjustments</t>
  </si>
  <si>
    <t>E5330A</t>
  </si>
  <si>
    <t>Boralex Wind France SAS, Adjustments</t>
  </si>
  <si>
    <t>Boralex Wind France SAS, Ajustements</t>
  </si>
  <si>
    <t>|     |     |     |     |     + E5330E - Boralex Wind France SAS, Eliminations</t>
  </si>
  <si>
    <t>E5330E</t>
  </si>
  <si>
    <t>Boralex Wind France SAS, Eliminations</t>
  </si>
  <si>
    <t>Boralex Wind France SAS, Éliminations</t>
  </si>
  <si>
    <t>17/03/2017 05:09:03</t>
  </si>
  <si>
    <t>|     |     |     + E5360 - Laur Éole Énergie SAS (Calmont)</t>
  </si>
  <si>
    <t>Laur Éole Énergie SAS (Calmont)</t>
  </si>
  <si>
    <t>09/11/2017 16:44:56</t>
  </si>
  <si>
    <t>|     |     |     + BEVEOLC - Boralex Énergie Verte Conso Éolien, Consolidated</t>
  </si>
  <si>
    <t>BEVEOLC</t>
  </si>
  <si>
    <t>Boralex Énergie Verte Conso Éolien, Consolidated</t>
  </si>
  <si>
    <t>Boralex Énergie Verte Conso Éolien, Consolidé</t>
  </si>
  <si>
    <t>|     |     |     |     + E5390FIL - BEV Filiales</t>
  </si>
  <si>
    <t>E5390FIL</t>
  </si>
  <si>
    <t>BEV Filiales</t>
  </si>
  <si>
    <t>07/11/2017 15:49:37</t>
  </si>
  <si>
    <t>|     |     |     |     |     + E5730 - Parc Éolien de Bouville SAS</t>
  </si>
  <si>
    <t>E5730</t>
  </si>
  <si>
    <t>Parc Éolien de Bouville SAS</t>
  </si>
  <si>
    <t>20/05/2016 01:38:26</t>
  </si>
  <si>
    <t>12/07/2017 21:04:25</t>
  </si>
  <si>
    <t>|     |     |     |     |     + E5740 - Parc Éolien de la Grande Épine SAS</t>
  </si>
  <si>
    <t>E5740</t>
  </si>
  <si>
    <t>Parc Éolien de la Grande Épine SAS</t>
  </si>
  <si>
    <t>12/07/2017 21:04:32</t>
  </si>
  <si>
    <t>|     |     |     |     |     + E5750 - Parcs Éoliens des Ramiers SAS</t>
  </si>
  <si>
    <t>E5750</t>
  </si>
  <si>
    <t>Parcs Éoliens des Ramiers SAS</t>
  </si>
  <si>
    <t>12/07/2017 21:04:38</t>
  </si>
  <si>
    <t>|     |     |     |     + E5390EOL - BEV Éolien</t>
  </si>
  <si>
    <t>E5390EOL</t>
  </si>
  <si>
    <t>BEV Éolien</t>
  </si>
  <si>
    <t>17/02/2016 03:37:16</t>
  </si>
  <si>
    <t>|     |     |     |     |     + E5391 - BEV-Coat Conval (Pleyber Christ)</t>
  </si>
  <si>
    <t>BEV-Coat Conval (Pleyber Christ)</t>
  </si>
  <si>
    <t>09/10/2017 21:53:18</t>
  </si>
  <si>
    <t>|     |     |     |     |     + E5392 - BEV-Leign AR Gasprenn</t>
  </si>
  <si>
    <t>BEV-Leign AR Gasprenn</t>
  </si>
  <si>
    <t>09/10/2017 21:52:41</t>
  </si>
  <si>
    <t>|     |     |     |     |     + E5393 - BEV-Vallée de l'Arce</t>
  </si>
  <si>
    <t>BEV-Vallée de l'Arce</t>
  </si>
  <si>
    <t>09/10/2017 21:52:49</t>
  </si>
  <si>
    <t>|     |     |     |     |     + E5394 - BEV-La Bouleste</t>
  </si>
  <si>
    <t>BEV-La Bouleste</t>
  </si>
  <si>
    <t>09/10/2017 21:52:56</t>
  </si>
  <si>
    <t>|     |     |     |     |     + E5395 - BEV-Haut de Conge</t>
  </si>
  <si>
    <t>BEV-Haut de Conge</t>
  </si>
  <si>
    <t>09/10/2017 21:53:31</t>
  </si>
  <si>
    <t>|     |     |     |     |     + E5396 - BEV-Les Éparmonts</t>
  </si>
  <si>
    <t>BEV-Les Éparmonts</t>
  </si>
  <si>
    <t>09/10/2017 21:53:42</t>
  </si>
  <si>
    <t>|     |     |     |     |     + E5397 - BEV-Charmoy</t>
  </si>
  <si>
    <t>BEV-Charmoy</t>
  </si>
  <si>
    <t>09/10/2017 21:53:50</t>
  </si>
  <si>
    <t>|     |     |     |     |     + E5398 - BEV-Pannecé</t>
  </si>
  <si>
    <t>BEV-Pannecé</t>
  </si>
  <si>
    <t>09/10/2017 21:53:57</t>
  </si>
  <si>
    <t>|     |     |     |     |     + E5399 - BEV-Coulonges</t>
  </si>
  <si>
    <t>BEV-Coulonges</t>
  </si>
  <si>
    <t>09/10/2017 21:54:05</t>
  </si>
  <si>
    <t>|     |     |     |     |     + E5400 - BEV-Sources de la Loire</t>
  </si>
  <si>
    <t>BEV-Sources de la Loire</t>
  </si>
  <si>
    <t>09/10/2017 21:54:14</t>
  </si>
  <si>
    <t>|     |     |     |     |     + E5401 - BEV-Pays d'Othe</t>
  </si>
  <si>
    <t>BEV-Pays d'Othe</t>
  </si>
  <si>
    <t>09/10/2017 21:54:23</t>
  </si>
  <si>
    <t>|     |     |     |     |     + E5402 - BEV-Comes de l'Arce</t>
  </si>
  <si>
    <t>BEV-Comes de l'Arce</t>
  </si>
  <si>
    <t>09/10/2017 21:54:31</t>
  </si>
  <si>
    <t>|     |     |     |     |     + E5390EOLEA - BEV Éolien, Eliminations and Adjustments</t>
  </si>
  <si>
    <t>E5390EOLEA</t>
  </si>
  <si>
    <t>BEV Éolien, Eliminations and Adjustments</t>
  </si>
  <si>
    <t>BEV Éolien, Éliminations et Ajustements</t>
  </si>
  <si>
    <t>09/10/2017 21:51:21</t>
  </si>
  <si>
    <t>09/10/2017 21:51:48</t>
  </si>
  <si>
    <t>|     |     |     |     |     |     + E5390EOLA - BEV Éolien, Adjustments</t>
  </si>
  <si>
    <t>E5390EOLA</t>
  </si>
  <si>
    <t>BEV Éolien, Adjustments</t>
  </si>
  <si>
    <t>BEV Éolien, Ajustements</t>
  </si>
  <si>
    <t>09/10/2017 23:19:29</t>
  </si>
  <si>
    <t>17/10/2017 03:30:32</t>
  </si>
  <si>
    <t>|     |     |     |     |     |     + E5390EOLE - BEV Éolien, Eliminations</t>
  </si>
  <si>
    <t>E5390EOLE</t>
  </si>
  <si>
    <t>BEV Éolien, Eliminations</t>
  </si>
  <si>
    <t>BEV Éolien, Éliminations</t>
  </si>
  <si>
    <t>10/10/2017 00:44:36</t>
  </si>
  <si>
    <t>17/10/2017 03:30:58</t>
  </si>
  <si>
    <t>|     |     |     |     + E5410FIL - BOD Filiale</t>
  </si>
  <si>
    <t>E5410FIL</t>
  </si>
  <si>
    <t>BOD Filiale</t>
  </si>
  <si>
    <t>07/11/2017 15:50:26</t>
  </si>
  <si>
    <t>|     |     |     |     |     + E5570 - Boralex Plateau de Savernat SAS</t>
  </si>
  <si>
    <t>Boralex Plateau de Savernat SAS</t>
  </si>
  <si>
    <t>15/02/2018 15:55:06</t>
  </si>
  <si>
    <t>|     |     |     |     + E5410EOL - BOD Éolien</t>
  </si>
  <si>
    <t>E5410EOL</t>
  </si>
  <si>
    <t>BOD Éolien</t>
  </si>
  <si>
    <t>05/06/2017 12:54:06</t>
  </si>
  <si>
    <t>|     |     |     |     |     + E5411 - BOD-Coat Conval (Pleyber Christ)</t>
  </si>
  <si>
    <t>E5411</t>
  </si>
  <si>
    <t>BOD-Coat Conval (Pleyber Christ)</t>
  </si>
  <si>
    <t>17/08/2017 15:10:55</t>
  </si>
  <si>
    <t>|     |     |     |     |     + E5412 - BOD-Leign AR Gasprenn</t>
  </si>
  <si>
    <t>E5412</t>
  </si>
  <si>
    <t>BOD-Leign AR Gasprenn</t>
  </si>
  <si>
    <t>17/08/2017 15:11:18</t>
  </si>
  <si>
    <t>|     |     |     |     |     + E5413 - BOD-Vallée de l'Arce</t>
  </si>
  <si>
    <t>E5413</t>
  </si>
  <si>
    <t>BOD-Vallée de l'Arce</t>
  </si>
  <si>
    <t>17/08/2017 14:55:11</t>
  </si>
  <si>
    <t>|     |     |     |     |     + E5414 - BOD-La Bouleste</t>
  </si>
  <si>
    <t>E5414</t>
  </si>
  <si>
    <t>BOD-La Bouleste</t>
  </si>
  <si>
    <t>17/08/2017 14:46:28</t>
  </si>
  <si>
    <t>|     |     |     |     |     + E5415 - BOD-Haut de Conge</t>
  </si>
  <si>
    <t>E5415</t>
  </si>
  <si>
    <t>BOD-Haut de Conge</t>
  </si>
  <si>
    <t>17/08/2017 14:55:42</t>
  </si>
  <si>
    <t>|     |     |     |     |     + E5416 - BOD-Les Éparmonts</t>
  </si>
  <si>
    <t>E5416</t>
  </si>
  <si>
    <t>BOD-Les Éparmonts</t>
  </si>
  <si>
    <t>17/08/2017 14:56:03</t>
  </si>
  <si>
    <t>|     |     |     |     |     + E5417 - BOD-Charmoy</t>
  </si>
  <si>
    <t>E5417</t>
  </si>
  <si>
    <t>BOD-Charmoy</t>
  </si>
  <si>
    <t>17/08/2017 14:56:30</t>
  </si>
  <si>
    <t>|     |     |     |     |     + E5418 - BOD-Pannecé</t>
  </si>
  <si>
    <t>E5418</t>
  </si>
  <si>
    <t>BOD-Pannecé</t>
  </si>
  <si>
    <t>17/08/2017 14:56:46</t>
  </si>
  <si>
    <t>|     |     |     |     |     + E5419 - BOD-Coulonges</t>
  </si>
  <si>
    <t>E5419</t>
  </si>
  <si>
    <t>BOD-Coulonges</t>
  </si>
  <si>
    <t>17/08/2017 14:57:30</t>
  </si>
  <si>
    <t>|     |     |     |     |     + E5420 - BOD-Sources de la Loire</t>
  </si>
  <si>
    <t>E5420</t>
  </si>
  <si>
    <t>BOD-Sources de la Loire</t>
  </si>
  <si>
    <t>17/08/2017 14:48:01</t>
  </si>
  <si>
    <t>|     |     |     |     |     + E5421 - BOD-Pays d'Othe</t>
  </si>
  <si>
    <t>E5421</t>
  </si>
  <si>
    <t>BOD-Pays d'Othe</t>
  </si>
  <si>
    <t>17/08/2017 14:57:35</t>
  </si>
  <si>
    <t>|     |     |     |     |     + E5422 - BOD-Comes de l'Arce</t>
  </si>
  <si>
    <t>E5422</t>
  </si>
  <si>
    <t>BOD-Comes de l'Arce</t>
  </si>
  <si>
    <t>17/08/2017 14:57:53</t>
  </si>
  <si>
    <t>|     |     |     |     + BEVEOLEA - Boralex Énergie Verte Conso Éolien, Eliminations and Adjustments</t>
  </si>
  <si>
    <t>BEVEOLEA</t>
  </si>
  <si>
    <t>Boralex Énergie Verte Conso Éolien, Eliminations and Adjustments</t>
  </si>
  <si>
    <t>Boralex Énergie Verte Conso Éolien, Éliminations et Adjustements</t>
  </si>
  <si>
    <t>05/06/2017 12:54:07</t>
  </si>
  <si>
    <t>|     |     |     |     |     + BEVEOLA - Boralex Énergie Verte Conso Éolien, Adjustments</t>
  </si>
  <si>
    <t>BEVEOLA</t>
  </si>
  <si>
    <t>Boralex Énergie Verte Conso Éolien, Adjustments</t>
  </si>
  <si>
    <t>Boralex Énergie Verte Conso Éolien, Adjustements</t>
  </si>
  <si>
    <t>|     |     |     |     |     + BEVEOLE - Boralex Énergie Verte Conso Éolien, Eliminations</t>
  </si>
  <si>
    <t>BEVEOLE</t>
  </si>
  <si>
    <t>Boralex Énergie Verte Conso Éolien, Eliminations</t>
  </si>
  <si>
    <t>Boralex Énergie Verte Conso Éolien, Éliminations</t>
  </si>
  <si>
    <t>|     |     |     + E5010EOLC - Boralex SAS, Éolien</t>
  </si>
  <si>
    <t>E5010EOLC</t>
  </si>
  <si>
    <t>Boralex SAS, Éolien</t>
  </si>
  <si>
    <t>02/02/2018 21:07:34</t>
  </si>
  <si>
    <t>02/02/2018 21:51:52</t>
  </si>
  <si>
    <t>|     |     |     |     + E5430 - Boralex SAS - Coat Conval</t>
  </si>
  <si>
    <t>E5430</t>
  </si>
  <si>
    <t>Boralex SAS - Coat Conval</t>
  </si>
  <si>
    <t>02/02/2018 21:10:56</t>
  </si>
  <si>
    <t>04/06/2018 21:41:09</t>
  </si>
  <si>
    <t>|     |     |     |     + E5011 - (INACTIF) Blx SAS - Repowering Cham Longe</t>
  </si>
  <si>
    <t>E5011</t>
  </si>
  <si>
    <t>(INACTIF) Blx SAS - Repowering Cham Longe</t>
  </si>
  <si>
    <t>09/03/2018 20:18:54</t>
  </si>
  <si>
    <t>14/06/2018 22:14:16</t>
  </si>
  <si>
    <t>|     |     |     |     + E5440 - Boralex SAS - Leign ar Gasprenn</t>
  </si>
  <si>
    <t>E5440</t>
  </si>
  <si>
    <t>Boralex SAS - Leign ar Gasprenn</t>
  </si>
  <si>
    <t>02/02/2018 21:14:06</t>
  </si>
  <si>
    <t>04/06/2018 21:41:18</t>
  </si>
  <si>
    <t>|     |     |     |     + E5540 - Boralex SAS - Vallée de l'Arce</t>
  </si>
  <si>
    <t>E5540</t>
  </si>
  <si>
    <t>Boralex SAS - Vallée de l'Arce</t>
  </si>
  <si>
    <t>02/02/2018 21:19:50</t>
  </si>
  <si>
    <t>04/06/2018 21:42:54</t>
  </si>
  <si>
    <t>|     |     |     |     + E5460 - Boralex SAS - La Bouleste</t>
  </si>
  <si>
    <t>E5460</t>
  </si>
  <si>
    <t>Boralex SAS - La Bouleste</t>
  </si>
  <si>
    <t>02/02/2018 21:20:41</t>
  </si>
  <si>
    <t>04/06/2018 21:41:32</t>
  </si>
  <si>
    <t>|     |     |     |     + E5470 - Boralex SAS - Haut de Conge</t>
  </si>
  <si>
    <t>E5470</t>
  </si>
  <si>
    <t>Boralex SAS - Haut de Conge</t>
  </si>
  <si>
    <t>02/02/2018 21:21:26</t>
  </si>
  <si>
    <t>04/06/2018 21:41:39</t>
  </si>
  <si>
    <t>|     |     |     |     + E5480 - Boralex SAS - Eparmonts</t>
  </si>
  <si>
    <t>E5480</t>
  </si>
  <si>
    <t>Boralex SAS - Eparmonts</t>
  </si>
  <si>
    <t>02/02/2018 21:22:00</t>
  </si>
  <si>
    <t>04/06/2018 21:41:46</t>
  </si>
  <si>
    <t>|     |     |     |     + E5490 - Boralex SAS - Charmoy</t>
  </si>
  <si>
    <t>E5490</t>
  </si>
  <si>
    <t>Boralex SAS - Charmoy</t>
  </si>
  <si>
    <t>02/02/2018 21:22:34</t>
  </si>
  <si>
    <t>04/06/2018 21:41:54</t>
  </si>
  <si>
    <t>|     |     |     |     + E5500 - Boralex SAS - Pannecé</t>
  </si>
  <si>
    <t>E5500</t>
  </si>
  <si>
    <t>Boralex SAS - Pannecé</t>
  </si>
  <si>
    <t>02/02/2018 21:23:12</t>
  </si>
  <si>
    <t>04/06/2018 21:42:18</t>
  </si>
  <si>
    <t>|     |     |     |     + E5510 - Boralex SAS - Coulonges</t>
  </si>
  <si>
    <t>E5510</t>
  </si>
  <si>
    <t>Boralex SAS - Coulonges</t>
  </si>
  <si>
    <t>02/02/2018 21:23:46</t>
  </si>
  <si>
    <t>04/06/2018 21:42:27</t>
  </si>
  <si>
    <t>|     |     |     |     + E5520 - Boralex SAS - Source de Loire</t>
  </si>
  <si>
    <t>E5520</t>
  </si>
  <si>
    <t>Boralex SAS - Source de Loire</t>
  </si>
  <si>
    <t>02/02/2018 21:24:29</t>
  </si>
  <si>
    <t>04/06/2018 21:42:35</t>
  </si>
  <si>
    <t>|     |     |     |     + E5530 - Boralex SAS - Pays d'Othe</t>
  </si>
  <si>
    <t>E5530</t>
  </si>
  <si>
    <t>Boralex SAS - Pays d'Othe</t>
  </si>
  <si>
    <t>02/02/2018 21:25:05</t>
  </si>
  <si>
    <t>04/06/2018 21:42:46</t>
  </si>
  <si>
    <t>|     |     |     |     + E5450 - Boralex SAS - Come de l'Arce</t>
  </si>
  <si>
    <t>E5450</t>
  </si>
  <si>
    <t>Boralex SAS - Come de l'Arce</t>
  </si>
  <si>
    <t>02/02/2018 21:25:46</t>
  </si>
  <si>
    <t>04/06/2018 21:41:25</t>
  </si>
  <si>
    <t>|     |     |     |     + E5010EOLEA - Boralex SAS Éolien, Eliminations and Adjustments</t>
  </si>
  <si>
    <t>E5010EOLEA</t>
  </si>
  <si>
    <t>Boralex SAS Éolien, Eliminations and Adjustments</t>
  </si>
  <si>
    <t>Boralex SAS Éolien, Éliminations et Ajustements</t>
  </si>
  <si>
    <t>02/02/2018 21:30:39</t>
  </si>
  <si>
    <t>02/02/2018 21:31:32</t>
  </si>
  <si>
    <t>|     |     |     |     |     + E5010EOLA - Boralex SAS Éolien, Adjustments</t>
  </si>
  <si>
    <t>E5010EOLA</t>
  </si>
  <si>
    <t>Boralex SAS Éolien, Adjustments</t>
  </si>
  <si>
    <t>Boralex SAS Éolien, Ajustements</t>
  </si>
  <si>
    <t>02/02/2018 21:32:57</t>
  </si>
  <si>
    <t>19/02/2018 16:29:42</t>
  </si>
  <si>
    <t>|     |     |     |     |     + E5010EOLE - Boralex SAS Éolien, Eliminations</t>
  </si>
  <si>
    <t>E5010EOLE</t>
  </si>
  <si>
    <t>Boralex SAS Éolien, Eliminations</t>
  </si>
  <si>
    <t>Boralex SAS Éolien, Éliminations</t>
  </si>
  <si>
    <t>02/02/2018 21:34:28</t>
  </si>
  <si>
    <t>05/07/2018 21:32:32</t>
  </si>
  <si>
    <t>|     |     |     + E5560 - Ferme Éolienne Touvent SAS</t>
  </si>
  <si>
    <t>Ferme Éolienne Touvent SAS</t>
  </si>
  <si>
    <t>19/03/2018 16:37:53</t>
  </si>
  <si>
    <t>|     |     |     + E5580C - Ecotera SAS, Consolidated</t>
  </si>
  <si>
    <t>E5580C</t>
  </si>
  <si>
    <t>Ecotera SAS, Consolidated</t>
  </si>
  <si>
    <t>Ecotera SAS, Consolidé</t>
  </si>
  <si>
    <t>17/02/2016 03:37:43</t>
  </si>
  <si>
    <t>|     |     |     |     + E5580 - Écotera SAS</t>
  </si>
  <si>
    <t>E5580</t>
  </si>
  <si>
    <t>Écotera SAS</t>
  </si>
  <si>
    <t>31/10/2017 20:11:30</t>
  </si>
  <si>
    <t>|     |     |     |     + E5720 - Vent Énergie Renouvelable SARL (Basse Thiérache Nord)</t>
  </si>
  <si>
    <t>Vent Énergie Renouvelable SARL (Basse Thiérache Nord)</t>
  </si>
  <si>
    <t>02/11/2017 21:23:58</t>
  </si>
  <si>
    <t>|     |     |     |     + E5580EA - Ecotera SAS, Eliminations and Adjustments</t>
  </si>
  <si>
    <t>E5580EA</t>
  </si>
  <si>
    <t>Ecotera SAS, Eliminations and Adjustments</t>
  </si>
  <si>
    <t>Ecotera SAS, Éliminations et Ajustements</t>
  </si>
  <si>
    <t>|     |     |     |     |     + E5580A - Ecotera SAS, Adjustments</t>
  </si>
  <si>
    <t>E5580A</t>
  </si>
  <si>
    <t>Ecotera SAS, Adjustments</t>
  </si>
  <si>
    <t>Ecotera SAS, Ajustements</t>
  </si>
  <si>
    <t>22/09/2016 18:21:13</t>
  </si>
  <si>
    <t>|     |     |     |     |     + E5580E - Ecotera SAS, Eliminations</t>
  </si>
  <si>
    <t>E5580E</t>
  </si>
  <si>
    <t>Ecotera SAS, Eliminations</t>
  </si>
  <si>
    <t>Ecotera SAS, Éliminations</t>
  </si>
  <si>
    <t>|     |     |     + E5590 - Vents du Catésis SAS</t>
  </si>
  <si>
    <t>Vents du Catésis SAS</t>
  </si>
  <si>
    <t>19/03/2018 16:40:20</t>
  </si>
  <si>
    <t>|     |     |     + E5610 - Vents du Sud Cambrésis SAS (Bois de St Aubert)</t>
  </si>
  <si>
    <t>E5610</t>
  </si>
  <si>
    <t>Vents du Sud Cambrésis SAS (Bois de St Aubert)</t>
  </si>
  <si>
    <t>19/03/2018 16:45:38</t>
  </si>
  <si>
    <t>|     |     |     + E5650 - Vents du Cambrésis SAS (Seuil de Cambrésis)</t>
  </si>
  <si>
    <t>Vents du Cambrésis SAS (Seuil de Cambrésis)</t>
  </si>
  <si>
    <t>17/02/2016 03:37:44</t>
  </si>
  <si>
    <t>04/06/2018 21:43:11</t>
  </si>
  <si>
    <t>|     |     |     + E5660 - Vents du Santerre SAS</t>
  </si>
  <si>
    <t>Vents du Santerre SAS</t>
  </si>
  <si>
    <t>19/03/2018 16:48:42</t>
  </si>
  <si>
    <t>|     |     |     + E5670 - Vents de Picardie SAS (Moulin Blanc)</t>
  </si>
  <si>
    <t>E5670</t>
  </si>
  <si>
    <t>Vents de Picardie SAS (Moulin Blanc)</t>
  </si>
  <si>
    <t>17/02/2016 03:37:45</t>
  </si>
  <si>
    <t>19/03/2018 16:51:29</t>
  </si>
  <si>
    <t>|     |     |     + E5680 - HEX SAS</t>
  </si>
  <si>
    <t>E5680</t>
  </si>
  <si>
    <t>HEX SAS</t>
  </si>
  <si>
    <t>16/08/2017 19:36:38</t>
  </si>
  <si>
    <t>|     |     |     + E5760 - Boralex Préveranges SAS</t>
  </si>
  <si>
    <t>E5760</t>
  </si>
  <si>
    <t>Boralex Préveranges SAS</t>
  </si>
  <si>
    <t>26/09/2016 20:38:49</t>
  </si>
  <si>
    <t>27/12/2017 22:10:15</t>
  </si>
  <si>
    <t>|     |     |     + E5790CONC - Boralex Sainte-Séverine Conso, Consolidated</t>
  </si>
  <si>
    <t>E5790CONC</t>
  </si>
  <si>
    <t>Boralex Sainte-Séverine Conso, Consolidated</t>
  </si>
  <si>
    <t>Boralex Sainte-Séverine Conso, Consolidé</t>
  </si>
  <si>
    <t>03/07/2017 03:00:35</t>
  </si>
  <si>
    <t>07/11/2017 15:52:24</t>
  </si>
  <si>
    <t>|     |     |     |     + E5790C - Boralex Sainte-Séverine Conso</t>
  </si>
  <si>
    <t>E5790C</t>
  </si>
  <si>
    <t>Boralex Sainte-Séverine Conso</t>
  </si>
  <si>
    <t>02/11/2017 18:37:03</t>
  </si>
  <si>
    <t>07/11/2017 15:46:45</t>
  </si>
  <si>
    <t>|     |     |     |     |     + E5790 - Boralex Sainte-Séverine</t>
  </si>
  <si>
    <t>E5790</t>
  </si>
  <si>
    <t>Boralex Sainte-Séverine</t>
  </si>
  <si>
    <t>17/11/2016 15:47:47</t>
  </si>
  <si>
    <t>02/11/2017 18:37:51</t>
  </si>
  <si>
    <t>|     |     |     |     |     + E5791 - Blx Sainte-Séverine - Mont de Bagny</t>
  </si>
  <si>
    <t>E5791</t>
  </si>
  <si>
    <t>Blx Sainte-Séverine - Mont de Bagny</t>
  </si>
  <si>
    <t>02/11/2017 18:39:10</t>
  </si>
  <si>
    <t>02/11/2017 21:09:48</t>
  </si>
  <si>
    <t>|     |     |     |     |     + E5792 - Blx Sainte-Séverine - Voie des Monts</t>
  </si>
  <si>
    <t>E5792</t>
  </si>
  <si>
    <t>Blx Sainte-Séverine - Voie des Monts</t>
  </si>
  <si>
    <t>02/11/2017 18:40:15</t>
  </si>
  <si>
    <t>02/11/2017 21:17:26</t>
  </si>
  <si>
    <t>|     |     |     |     |     + E5793 - Blx Sainte-Séverine - Artois</t>
  </si>
  <si>
    <t>E5793</t>
  </si>
  <si>
    <t>Blx Sainte-Séverine - Artois</t>
  </si>
  <si>
    <t>02/11/2017 18:41:21</t>
  </si>
  <si>
    <t>02/11/2017 21:13:49</t>
  </si>
  <si>
    <t>|     |     |     |     |     + E5794 - Blx Sainte-Séverine - Chemin de Grès</t>
  </si>
  <si>
    <t>E5794</t>
  </si>
  <si>
    <t>Blx Sainte-Séverine - Chemin de Grès</t>
  </si>
  <si>
    <t>02/11/2017 18:42:07</t>
  </si>
  <si>
    <t>02/11/2017 21:06:56</t>
  </si>
  <si>
    <t>|     |     |     |     + E5630 - Vents du Caudrésis SAS (Monts de Bagny)</t>
  </si>
  <si>
    <t>Vents du Caudrésis SAS (Monts de Bagny)</t>
  </si>
  <si>
    <t>02/11/2017 21:09:42</t>
  </si>
  <si>
    <t>|     |     |     |     + E5690 - Conora 5 SARL (Voie des Monts)</t>
  </si>
  <si>
    <t>Conora 5 SARL (Voie des Monts)</t>
  </si>
  <si>
    <t>02/11/2017 21:17:20</t>
  </si>
  <si>
    <t>|     |     |     |     + E5640 - Vents de l'Artois SAS</t>
  </si>
  <si>
    <t>Vents de l'Artois SAS</t>
  </si>
  <si>
    <t>11/01/2018 15:36:19</t>
  </si>
  <si>
    <t>|     |     |     |     + E5620 - Vents de l'Est Cambrésis SAS (Chemin de Grès)</t>
  </si>
  <si>
    <t>Vents de l'Est Cambrésis SAS (Chemin de Grès)</t>
  </si>
  <si>
    <t>30/01/2018 18:10:09</t>
  </si>
  <si>
    <t>|     |     |     |     + E5790EA - Boralex Sainte-Séverine, Eliminations and Adjustments</t>
  </si>
  <si>
    <t>E5790EA</t>
  </si>
  <si>
    <t>Boralex Sainte-Séverine, Eliminations and Adjustments</t>
  </si>
  <si>
    <t>Boralex Sainte-Séverine, Éliminations et Ajustements</t>
  </si>
  <si>
    <t>07/11/2017 15:46:36</t>
  </si>
  <si>
    <t>|     |     |     |     |     + E5790A - Boralex Sainte-Séverine, Adjustments</t>
  </si>
  <si>
    <t>E5790A</t>
  </si>
  <si>
    <t>Boralex Sainte-Séverine, Adjustments</t>
  </si>
  <si>
    <t>Boralex Sainte-Séverine, Ajustements</t>
  </si>
  <si>
    <t>17/11/2016 16:02:51</t>
  </si>
  <si>
    <t>04/06/2018 23:23:07</t>
  </si>
  <si>
    <t>|     |     |     |     |     + E5790E - Boralex Sainte-Séverine, Eliminations</t>
  </si>
  <si>
    <t>E5790E</t>
  </si>
  <si>
    <t>Boralex Sainte-Séverine, Eliminations</t>
  </si>
  <si>
    <t>Boralex Sainte-Séverine, Éliminations</t>
  </si>
  <si>
    <t>18/08/2017 19:49:06</t>
  </si>
  <si>
    <t>|     |     |     + E5800C - European Forest Ressources Group</t>
  </si>
  <si>
    <t>E5800C</t>
  </si>
  <si>
    <t>European Forest Ressources Group</t>
  </si>
  <si>
    <t>17/11/2016 20:28:18</t>
  </si>
  <si>
    <t>07/11/2017 15:40:47</t>
  </si>
  <si>
    <t>|     |     |     |     + E5800 - European Forest Ressources Holdings Ltd</t>
  </si>
  <si>
    <t>E5800</t>
  </si>
  <si>
    <t>European Forest Ressources Holdings Ltd</t>
  </si>
  <si>
    <t>17/11/2016 21:04:19</t>
  </si>
  <si>
    <t>16/08/2017 19:41:17</t>
  </si>
  <si>
    <t>|     |     |     |     + E5780 - Les Moulins du Lohan SAS</t>
  </si>
  <si>
    <t>E5780</t>
  </si>
  <si>
    <t>Les Moulins du Lohan SAS</t>
  </si>
  <si>
    <t>17/11/2016 21:23:34</t>
  </si>
  <si>
    <t>03/11/2017 15:20:20</t>
  </si>
  <si>
    <t>|     |     |     |     + E5800EA - European Forest Ressources Group. Eliminations and Adjustments</t>
  </si>
  <si>
    <t>E5800EA</t>
  </si>
  <si>
    <t>European Forest Ressources Group. Eliminations and Adjustments</t>
  </si>
  <si>
    <t>European Forest Ressources Group. Éliminations et Ajustements</t>
  </si>
  <si>
    <t>05/06/2017 13:01:10</t>
  </si>
  <si>
    <t>05/06/2017 13:03:42</t>
  </si>
  <si>
    <t>|     |     |     |     |     + E5800A - European Forest Ressources Group. Adjustments</t>
  </si>
  <si>
    <t>E5800A</t>
  </si>
  <si>
    <t>European Forest Ressources Group. Adjustments</t>
  </si>
  <si>
    <t>European Forest Ressources Group. Ajustements</t>
  </si>
  <si>
    <t>|     |     |     |     |     + E5800E - European Forest Ressources Group. Eliminations</t>
  </si>
  <si>
    <t>E5800E</t>
  </si>
  <si>
    <t>European Forest Ressources Group. Eliminations</t>
  </si>
  <si>
    <t>European Forest Ressources Group. Éliminations</t>
  </si>
  <si>
    <t>14/10/2017 18:31:22</t>
  </si>
  <si>
    <t>|     |     |     + E5820 - EFR - Groupe Cumulé France</t>
  </si>
  <si>
    <t>E5820</t>
  </si>
  <si>
    <t>EFR - Groupe Cumulé France</t>
  </si>
  <si>
    <t>16/08/2017 19:23:30</t>
  </si>
  <si>
    <t>29/09/2017 19:59:10</t>
  </si>
  <si>
    <t>|     |     |     + E5840CONC - Boralex Ste-Christine SAS Conso, Consolidated</t>
  </si>
  <si>
    <t>E5840CONC</t>
  </si>
  <si>
    <t>Boralex Ste-Christine SAS Conso, Consolidated</t>
  </si>
  <si>
    <t>18/05/2018 15:47:15</t>
  </si>
  <si>
    <t>22/05/2018 17:08:25</t>
  </si>
  <si>
    <t>|     |     |     |     + E5840C - Boralex Ste-Christine SAS, Consolidated</t>
  </si>
  <si>
    <t>E5840C</t>
  </si>
  <si>
    <t>Boralex Ste-Christine SAS, Consolidated</t>
  </si>
  <si>
    <t>Boralex Ste-Christine SAS, Consolidé</t>
  </si>
  <si>
    <t>30/10/2017 21:14:31</t>
  </si>
  <si>
    <t>18/05/2018 15:49:50</t>
  </si>
  <si>
    <t>|     |     |     |     |     + E5840 - Boralex Ste-Christine SAS</t>
  </si>
  <si>
    <t>E5840</t>
  </si>
  <si>
    <t>Boralex Ste-Christine SAS</t>
  </si>
  <si>
    <t>29/09/2017 19:51:24</t>
  </si>
  <si>
    <t>19/03/2018 16:20:28</t>
  </si>
  <si>
    <t>|     |     |     |     |     + E5841 - Boralex Ste-Christine - Vents du Sud Artois (MET)</t>
  </si>
  <si>
    <t>E5841</t>
  </si>
  <si>
    <t>Boralex Ste-Christine - Vents du Sud Artois (MET)</t>
  </si>
  <si>
    <t>30/10/2017 21:47:44</t>
  </si>
  <si>
    <t>31/10/2017 16:45:09</t>
  </si>
  <si>
    <t>|     |     |     |     |     + E5842 - Boralex Ste-Christine - Conora 6 (HC)</t>
  </si>
  <si>
    <t>E5842</t>
  </si>
  <si>
    <t>Boralex Ste-Christine - Conora 6 (HC)</t>
  </si>
  <si>
    <t>30/10/2017 21:48:29</t>
  </si>
  <si>
    <t>02/11/2017 21:19:17</t>
  </si>
  <si>
    <t>|     |     |     |     |     + E5843 - Boralex Ste-Christine - Le Pelon</t>
  </si>
  <si>
    <t>E5843</t>
  </si>
  <si>
    <t>Boralex Ste-Christine - Le Pelon</t>
  </si>
  <si>
    <t>30/10/2017 21:49:13</t>
  </si>
  <si>
    <t>03/11/2017 15:11:54</t>
  </si>
  <si>
    <t>|     |     |     |     |     + E5844 - Boralex Ste-Christine - Anémode (SA)</t>
  </si>
  <si>
    <t>E5844</t>
  </si>
  <si>
    <t>Boralex Ste-Christine - Anémode (SA)</t>
  </si>
  <si>
    <t>30/10/2017 21:49:53</t>
  </si>
  <si>
    <t>02/11/2017 21:21:50</t>
  </si>
  <si>
    <t>|     |     |     |     |     + E5845 - Boralex Ste-Christine - Côteaux du Blaiseron</t>
  </si>
  <si>
    <t>E5845</t>
  </si>
  <si>
    <t>Boralex Ste-Christine - Côteaux du Blaiseron</t>
  </si>
  <si>
    <t>30/10/2017 21:50:35</t>
  </si>
  <si>
    <t>19/03/2018 16:21:26</t>
  </si>
  <si>
    <t>|     |     |     |     + E5600 - Vents du Sud Artois SAS (Inter deux Bos)</t>
  </si>
  <si>
    <t>Vents du Sud Artois SAS (Inter deux Bos)</t>
  </si>
  <si>
    <t>18/05/2018 15:50:07</t>
  </si>
  <si>
    <t>|     |     |     |     + E5700 - Conora 6 SARL (Hauts de Combles)</t>
  </si>
  <si>
    <t>Conora 6 SARL (Hauts de Combles)</t>
  </si>
  <si>
    <t>18/05/2018 15:50:18</t>
  </si>
  <si>
    <t>|     |     |     |     + E5710 - Anémode SARL (Sources de l'Ancre)</t>
  </si>
  <si>
    <t>Anémode SARL (Sources de l'Ancre)</t>
  </si>
  <si>
    <t>18/05/2018 15:50:26</t>
  </si>
  <si>
    <t>|     |     |     |     + E5770 - Boralex Le Pelon SAS</t>
  </si>
  <si>
    <t>Boralex Le Pelon SAS</t>
  </si>
  <si>
    <t>26/09/2016 21:48:21</t>
  </si>
  <si>
    <t>18/05/2018 15:50:32</t>
  </si>
  <si>
    <t>|     |     |     |     + E5810 - Boralex les Côteaux du Blaiseron SAS</t>
  </si>
  <si>
    <t>Boralex les Côteaux du Blaiseron SAS</t>
  </si>
  <si>
    <t>27/02/2017 21:28:22</t>
  </si>
  <si>
    <t>18/05/2018 15:50:39</t>
  </si>
  <si>
    <t>|     |     |     |     + E5840EA - Boralex Ste-Christine SAS, Eliminations and Adjustments</t>
  </si>
  <si>
    <t>E5840EA</t>
  </si>
  <si>
    <t>Boralex Ste-Christine SAS, Eliminations and Adjustments</t>
  </si>
  <si>
    <t>Boralex Ste-Christine SAS, Éliminations et Ajustements</t>
  </si>
  <si>
    <t>30/10/2017 21:55:36</t>
  </si>
  <si>
    <t>18/05/2018 15:53:21</t>
  </si>
  <si>
    <t>|     |     |     |     |     + E5840A - Boralex Ste-Christine SAS, Adjustments</t>
  </si>
  <si>
    <t>E5840A</t>
  </si>
  <si>
    <t>Boralex Ste-Christine SAS, Adjustments</t>
  </si>
  <si>
    <t>Boralex Ste-Christine SAS, Ajustements</t>
  </si>
  <si>
    <t>30/10/2017 21:57:27</t>
  </si>
  <si>
    <t>|     |     |     |     |     + E5840E - Boralex Ste-Christine SAS, Eliminations</t>
  </si>
  <si>
    <t>E5840E</t>
  </si>
  <si>
    <t>Boralex Ste-Christine SAS, Eliminations</t>
  </si>
  <si>
    <t>Boralex Ste-Christine SAS, Éliminations</t>
  </si>
  <si>
    <t>30/10/2017 21:58:52</t>
  </si>
  <si>
    <t xml:space="preserve">|     |     |     + E5850 - Boralex Caumont Chériennes SARL </t>
  </si>
  <si>
    <t>E5850</t>
  </si>
  <si>
    <t xml:space="preserve">Boralex Caumont Chériennes SARL </t>
  </si>
  <si>
    <t>29/09/2017 19:37:29</t>
  </si>
  <si>
    <t>12/10/2017 20:54:54</t>
  </si>
  <si>
    <t>|     |     |     + E5860 - Boralex Helfaut SARL</t>
  </si>
  <si>
    <t>E5860</t>
  </si>
  <si>
    <t>Boralex Helfaut SARL</t>
  </si>
  <si>
    <t>29/09/2017 19:45:01</t>
  </si>
  <si>
    <t>12/10/2017 20:55:01</t>
  </si>
  <si>
    <t>|     |     |     + E5870 - Les Vents du Douaisis SAS</t>
  </si>
  <si>
    <t>E5870</t>
  </si>
  <si>
    <t>Les Vents du Douaisis SAS</t>
  </si>
  <si>
    <t>01/12/2017 19:00:04</t>
  </si>
  <si>
    <t>04/12/2017 14:53:51</t>
  </si>
  <si>
    <t>|     |     |     + E5880 - Les Vents de l'Est Artois SAS</t>
  </si>
  <si>
    <t>E5880</t>
  </si>
  <si>
    <t>Les Vents de l'Est Artois SAS</t>
  </si>
  <si>
    <t>01/12/2017 19:17:38</t>
  </si>
  <si>
    <t>04/12/2017 15:42:44</t>
  </si>
  <si>
    <t>|     |     |     + E5890 - Les Vents de l'Axonais SAS</t>
  </si>
  <si>
    <t>E5890</t>
  </si>
  <si>
    <t>Les Vents de l'Axonais SAS</t>
  </si>
  <si>
    <t>01/12/2017 19:21:11</t>
  </si>
  <si>
    <t>04/12/2017 15:44:26</t>
  </si>
  <si>
    <t>|     |     |     + E5900 - Les Vents de l'Épinette SAS</t>
  </si>
  <si>
    <t>E5900</t>
  </si>
  <si>
    <t>Les Vents de l'Épinette SAS</t>
  </si>
  <si>
    <t>01/12/2017 19:22:30</t>
  </si>
  <si>
    <t>04/12/2017 15:44:33</t>
  </si>
  <si>
    <t>|     |     |     + E5910 - Les Vents du Caudrésis 2 SAS</t>
  </si>
  <si>
    <t>E5910</t>
  </si>
  <si>
    <t>Les Vents du Caudrésis 2 SAS</t>
  </si>
  <si>
    <t>01/12/2017 19:23:44</t>
  </si>
  <si>
    <t>04/12/2017 15:44:41</t>
  </si>
  <si>
    <t>|     |     |     + E5920 - Les Vents du Solesmois 2 SAS</t>
  </si>
  <si>
    <t>E5920</t>
  </si>
  <si>
    <t>Les Vents du Solesmois 2 SAS</t>
  </si>
  <si>
    <t>01/12/2017 19:24:59</t>
  </si>
  <si>
    <t>04/12/2017 15:44:48</t>
  </si>
  <si>
    <t>|     |     |     + E5930 - Les Vents du Bapalmois SAS</t>
  </si>
  <si>
    <t>E5930</t>
  </si>
  <si>
    <t>Les Vents du Bapalmois SAS</t>
  </si>
  <si>
    <t>01/12/2017 19:26:09</t>
  </si>
  <si>
    <t>04/12/2017 15:44:56</t>
  </si>
  <si>
    <t>|     |     |     + E5940 - Les Vents de Logeast SARL</t>
  </si>
  <si>
    <t>E5940</t>
  </si>
  <si>
    <t>Les Vents de Logeast SARL</t>
  </si>
  <si>
    <t>01/12/2017 19:27:32</t>
  </si>
  <si>
    <t>04/12/2017 15:45:02</t>
  </si>
  <si>
    <t>|     |     |     + E5980 - Boralex Vents de Haute Somme SARL</t>
  </si>
  <si>
    <t>E5980</t>
  </si>
  <si>
    <t>Boralex Vents de Haute Somme SARL</t>
  </si>
  <si>
    <t>09/11/2017 17:00:05</t>
  </si>
  <si>
    <t>15/02/2018 15:07:55</t>
  </si>
  <si>
    <t>|     |     |     + E5990 - Boralex Vents de la Plaine Picarde SARL</t>
  </si>
  <si>
    <t>E5990</t>
  </si>
  <si>
    <t>Boralex Vents de la Plaine Picarde SARL</t>
  </si>
  <si>
    <t>09/11/2017 17:05:12</t>
  </si>
  <si>
    <t>15/02/2018 15:08:13</t>
  </si>
  <si>
    <t>|     |     |     + E6000 - Boralex Massif du Devès SARL</t>
  </si>
  <si>
    <t>E6000</t>
  </si>
  <si>
    <t>Boralex Massif du Devès SARL</t>
  </si>
  <si>
    <t>09/11/2017 17:11:05</t>
  </si>
  <si>
    <t>15/02/2018 15:08:25</t>
  </si>
  <si>
    <t>|     |     |     + E6010 - Boralex Cham Longe SARL</t>
  </si>
  <si>
    <t>E6010</t>
  </si>
  <si>
    <t>Boralex Cham Longe SARL</t>
  </si>
  <si>
    <t>09/11/2017 17:29:36</t>
  </si>
  <si>
    <t>14/06/2018 22:10:45</t>
  </si>
  <si>
    <t>|     |     |     + E6030 - Boralex Eole 6</t>
  </si>
  <si>
    <t>E6030</t>
  </si>
  <si>
    <t>Boralex Eole 6</t>
  </si>
  <si>
    <t>09/11/2017 16:23:24</t>
  </si>
  <si>
    <t>04/06/2018 21:21:08</t>
  </si>
  <si>
    <t>|     |     |     + E6050 - Boralex Febvin Palfart SARL</t>
  </si>
  <si>
    <t>E6050</t>
  </si>
  <si>
    <t>Boralex Febvin Palfart SARL</t>
  </si>
  <si>
    <t>05/12/2017 20:11:25</t>
  </si>
  <si>
    <t>04/06/2018 21:21:25</t>
  </si>
  <si>
    <t>|     |     |     + E6060 - Boralex Fontaine Les Boulans SARL</t>
  </si>
  <si>
    <t>E6060</t>
  </si>
  <si>
    <t>Boralex Fontaine Les Boulans SARL</t>
  </si>
  <si>
    <t>05/12/2017 20:14:21</t>
  </si>
  <si>
    <t>04/06/2018 21:21:34</t>
  </si>
  <si>
    <t>|     |     |     + E6070 - Boralex Mercoeur 2 SARL</t>
  </si>
  <si>
    <t>E6070</t>
  </si>
  <si>
    <t>Boralex Mercoeur 2 SARL</t>
  </si>
  <si>
    <t>05/12/2017 20:16:23</t>
  </si>
  <si>
    <t>04/06/2018 21:21:45</t>
  </si>
  <si>
    <t>|     |     |     + KALLISTAEOL - Groupe Kallista, Eole</t>
  </si>
  <si>
    <t>KALLISTAEOL</t>
  </si>
  <si>
    <t>Groupe Kallista, Eole</t>
  </si>
  <si>
    <t>01/06/2018 19:48:13</t>
  </si>
  <si>
    <t>05/07/2018 20:57:34</t>
  </si>
  <si>
    <t>|     |     |     |     + E6110C - KE Production SAS, Conso</t>
  </si>
  <si>
    <t>E6110C</t>
  </si>
  <si>
    <t>KE Production SAS, Conso</t>
  </si>
  <si>
    <t>30/05/2018 22:21:54</t>
  </si>
  <si>
    <t>01/06/2018 19:48:50</t>
  </si>
  <si>
    <t>|     |     |     |     |     + E6110 - KE Production SAS</t>
  </si>
  <si>
    <t>E6110</t>
  </si>
  <si>
    <t>KE Production SAS</t>
  </si>
  <si>
    <t>30/05/2018 22:24:41</t>
  </si>
  <si>
    <t>06/06/2018 19:47:34</t>
  </si>
  <si>
    <t>|     |     |     |     |     + E6120 - Société du Parc Éolien du Fond de la Plaine SAS</t>
  </si>
  <si>
    <t>Société du Parc Éolien du Fond de la Plaine SAS</t>
  </si>
  <si>
    <t>30/05/2018 22:25:46</t>
  </si>
  <si>
    <t>05/07/2018 19:19:49</t>
  </si>
  <si>
    <t>|     |     |     |     |     + E6130 - Centrale Éolienne du Bassigny SARL</t>
  </si>
  <si>
    <t>Centrale Éolienne du Bassigny SARL</t>
  </si>
  <si>
    <t>30/05/2018 22:26:47</t>
  </si>
  <si>
    <t>05/07/2018 19:20:21</t>
  </si>
  <si>
    <t>|     |     |     |     |     + E6140 - Maurienne SAS</t>
  </si>
  <si>
    <t>Maurienne SAS</t>
  </si>
  <si>
    <t>30/05/2018 22:28:36</t>
  </si>
  <si>
    <t>05/07/2018 19:19:30</t>
  </si>
  <si>
    <t>|     |     |     |     |     + E6150 - Société du Parc Éolien les Vaux des Roques SAS</t>
  </si>
  <si>
    <t>Société du Parc Éolien les Vaux des Roques SAS</t>
  </si>
  <si>
    <t>30/05/2018 22:29:27</t>
  </si>
  <si>
    <t>05/07/2018 19:20:37</t>
  </si>
  <si>
    <t>|     |     |     |     |     + E6160 - Centrale Éolienne du Plateau de Langres SARL</t>
  </si>
  <si>
    <t>Centrale Éolienne du Plateau de Langres SARL</t>
  </si>
  <si>
    <t>30/05/2018 22:30:16</t>
  </si>
  <si>
    <t>05/07/2018 19:20:54</t>
  </si>
  <si>
    <t>|     |     |     |     |     + E6170 - Les Moulins de Boulay SAS</t>
  </si>
  <si>
    <t>Les Moulins de Boulay SAS</t>
  </si>
  <si>
    <t>30/05/2018 22:30:51</t>
  </si>
  <si>
    <t>05/07/2018 19:20:04</t>
  </si>
  <si>
    <t>|     |     |     |     |     + E6180C - Mistral en Beauce SAS, Consolidated</t>
  </si>
  <si>
    <t>E6180C</t>
  </si>
  <si>
    <t>Mistral en Beauce SAS, Consolidated</t>
  </si>
  <si>
    <t>Mistral en Beauce SAS, Consolidé</t>
  </si>
  <si>
    <t>30/05/2018 22:31:49</t>
  </si>
  <si>
    <t>31/05/2018 14:24:38</t>
  </si>
  <si>
    <t>|     |     |     |     |     |     + E6180 - Mistral en Beauce SAS</t>
  </si>
  <si>
    <t>E6180</t>
  </si>
  <si>
    <t>Mistral en Beauce SAS</t>
  </si>
  <si>
    <t>30/05/2018 22:32:55</t>
  </si>
  <si>
    <t>06/06/2018 19:49:22</t>
  </si>
  <si>
    <t>|     |     |     |     |     |     + E6190 - Ferme Éolienne des Evits et Josaphats SAS</t>
  </si>
  <si>
    <t>Ferme Éolienne des Evits et Josaphats SAS</t>
  </si>
  <si>
    <t>30/05/2018 22:33:43</t>
  </si>
  <si>
    <t>05/07/2018 19:18:53</t>
  </si>
  <si>
    <t>|     |     |     |     |     |     + E6200 - Ferme Éolienne La Remise Reclainville SAS</t>
  </si>
  <si>
    <t>Ferme Éolienne La Remise Reclainville SAS</t>
  </si>
  <si>
    <t>30/05/2018 22:34:29</t>
  </si>
  <si>
    <t>05/07/2018 19:19:12</t>
  </si>
  <si>
    <t>|     |     |     |     |     |     + E6180EA - Mistral en Beauce SAS, Eliminations and Adjustments</t>
  </si>
  <si>
    <t>E6180EA</t>
  </si>
  <si>
    <t>Mistral en Beauce SAS, Eliminations and Adjustments</t>
  </si>
  <si>
    <t>Mistral en Beauce SAS, Éliminations et Ajustements</t>
  </si>
  <si>
    <t>31/05/2018 14:20:58</t>
  </si>
  <si>
    <t>|     |     |     |     |     |     |     + E6180A - Mistral en Beauce SAS, Adjustments</t>
  </si>
  <si>
    <t>E6180A</t>
  </si>
  <si>
    <t>Mistral en Beauce SAS, Adjustments</t>
  </si>
  <si>
    <t>Mistral en Beauce SAS, Ajustements</t>
  </si>
  <si>
    <t>31/05/2018 14:22:14</t>
  </si>
  <si>
    <t>31/05/2018 15:42:11</t>
  </si>
  <si>
    <t>|     |     |     |     |     |     |     + E6180E - Mistral en Beauce SAS, Eliminations</t>
  </si>
  <si>
    <t>E6180E</t>
  </si>
  <si>
    <t>Mistral en Beauce SAS, Eliminations</t>
  </si>
  <si>
    <t>Mistral en Beauce SAS, Éliminations</t>
  </si>
  <si>
    <t>31/05/2018 14:23:42</t>
  </si>
  <si>
    <t>05/07/2018 21:44:52</t>
  </si>
  <si>
    <t>|     |     |     |     |     + E6210 - Centrale Éolienne des Clérimois SAS</t>
  </si>
  <si>
    <t>Centrale Éolienne des Clérimois SAS</t>
  </si>
  <si>
    <t>30/05/2018 22:36:14</t>
  </si>
  <si>
    <t>05/07/2018 19:21:11</t>
  </si>
  <si>
    <t>|     |     |     |     |     + E6110EA - KE Production SAS, Eliminations and Adjustments</t>
  </si>
  <si>
    <t>E6110EA</t>
  </si>
  <si>
    <t>KE Production SAS, Eliminations and Adjustments</t>
  </si>
  <si>
    <t>KE Production SAS, Éliminations et Ajustements</t>
  </si>
  <si>
    <t>31/05/2018 14:28:28</t>
  </si>
  <si>
    <t>|     |     |     |     |     |     + E6110A - KE Production SAS, Adjustments</t>
  </si>
  <si>
    <t>E6110A</t>
  </si>
  <si>
    <t>KE Production SAS, Adjustments</t>
  </si>
  <si>
    <t>KE Production SAS, Ajustements</t>
  </si>
  <si>
    <t>31/05/2018 14:29:32</t>
  </si>
  <si>
    <t>31/05/2018 15:41:29</t>
  </si>
  <si>
    <t>|     |     |     |     |     |     + E6110E - KE Production SAS, Eliminations</t>
  </si>
  <si>
    <t>E6110E</t>
  </si>
  <si>
    <t>KE Production SAS, Eliminations</t>
  </si>
  <si>
    <t>KE Production SAS, Éliminations</t>
  </si>
  <si>
    <t>31/05/2018 14:30:11</t>
  </si>
  <si>
    <t>31/05/2018 15:33:21</t>
  </si>
  <si>
    <t>|     |     |     |     + E6220C - Picardy Wind Participation SNC, Conso</t>
  </si>
  <si>
    <t>E6220C</t>
  </si>
  <si>
    <t>Picardy Wind Participation SNC, Conso</t>
  </si>
  <si>
    <t>31/05/2018 14:33:42</t>
  </si>
  <si>
    <t>09/07/2018 15:51:12</t>
  </si>
  <si>
    <t>|     |     |     |     |     + E6220 - Picardy Wind Participation SNC</t>
  </si>
  <si>
    <t>E6220</t>
  </si>
  <si>
    <t>Picardy Wind Participation SNC</t>
  </si>
  <si>
    <t>31/05/2018 14:34:46</t>
  </si>
  <si>
    <t>06/06/2018 19:50:22</t>
  </si>
  <si>
    <t>|     |     |     |     |     + E6230C - Picardy Wind SAS, Conso</t>
  </si>
  <si>
    <t>E6230C</t>
  </si>
  <si>
    <t>Picardy Wind SAS, Conso</t>
  </si>
  <si>
    <t>31/05/2018 14:37:32</t>
  </si>
  <si>
    <t>31/05/2018 14:44:46</t>
  </si>
  <si>
    <t>|     |     |     |     |     |     + E6230 - Picardy Wind SAS</t>
  </si>
  <si>
    <t>E6230</t>
  </si>
  <si>
    <t>Picardy Wind SAS</t>
  </si>
  <si>
    <t>31/05/2018 14:38:17</t>
  </si>
  <si>
    <t>06/06/2018 19:50:35</t>
  </si>
  <si>
    <t>|     |     |     |     |     |     + E6260 - SECE.STA SAS (St-André)</t>
  </si>
  <si>
    <t>SECE.STA SAS (St-André)</t>
  </si>
  <si>
    <t>31/05/2018 14:39:12</t>
  </si>
  <si>
    <t>05/07/2018 19:21:52</t>
  </si>
  <si>
    <t>|     |     |     |     |     |     + E6230EA - Picardy Wind SAS, Eliminations and Adjustments</t>
  </si>
  <si>
    <t>E6230EA</t>
  </si>
  <si>
    <t>Picardy Wind SAS, Eliminations and Adjustments</t>
  </si>
  <si>
    <t>Picardy Wind SAS, Éliminations et Ajustements</t>
  </si>
  <si>
    <t>31/05/2018 14:40:40</t>
  </si>
  <si>
    <t>|     |     |     |     |     |     |     + E6230A - Picardy Wind SAS, Adjustments</t>
  </si>
  <si>
    <t>E6230A</t>
  </si>
  <si>
    <t>Picardy Wind SAS, Adjustments</t>
  </si>
  <si>
    <t>Picardy Wind SAS, Ajustements</t>
  </si>
  <si>
    <t>31/05/2018 14:41:40</t>
  </si>
  <si>
    <t>31/05/2018 15:42:25</t>
  </si>
  <si>
    <t>|     |     |     |     |     |     |     + E6230E - Picardy Wind SAS, Eliminations</t>
  </si>
  <si>
    <t>E6230E</t>
  </si>
  <si>
    <t>Picardy Wind SAS, Eliminations</t>
  </si>
  <si>
    <t>Picardy Wind SAS, Éliminations</t>
  </si>
  <si>
    <t>31/05/2018 14:42:28</t>
  </si>
  <si>
    <t>31/05/2018 15:34:01</t>
  </si>
  <si>
    <t>|     |     |     |     |     |     + E6240C - Picardy Wind France EURL, Conso</t>
  </si>
  <si>
    <t>E6240C</t>
  </si>
  <si>
    <t>Picardy Wind France EURL, Conso</t>
  </si>
  <si>
    <t>31/05/2018 14:46:01</t>
  </si>
  <si>
    <t>31/05/2018 14:52:07</t>
  </si>
  <si>
    <t>|     |     |     |     |     |     |     + E6240 - Picardy Wind France EURL</t>
  </si>
  <si>
    <t>E6240</t>
  </si>
  <si>
    <t>Picardy Wind France EURL</t>
  </si>
  <si>
    <t>31/05/2018 14:47:15</t>
  </si>
  <si>
    <t>06/06/2018 19:51:06</t>
  </si>
  <si>
    <t>|     |     |     |     |     |     |     + E6250 - SECEB SCS (Bougainville)</t>
  </si>
  <si>
    <t>SECEB SCS (Bougainville)</t>
  </si>
  <si>
    <t>31/05/2018 14:48:12</t>
  </si>
  <si>
    <t>05/07/2018 19:21:35</t>
  </si>
  <si>
    <t>|     |     |     |     |     |     |     + E6240EA - Picardy Wind France EURL, Eliminations and Adjustments</t>
  </si>
  <si>
    <t>E6240EA</t>
  </si>
  <si>
    <t>Picardy Wind France EURL, Eliminations and Adjustments</t>
  </si>
  <si>
    <t>Picardy Wind France EURL, Éliminations et Ajustements</t>
  </si>
  <si>
    <t>31/05/2018 14:49:56</t>
  </si>
  <si>
    <t>31/05/2018 14:49:57</t>
  </si>
  <si>
    <t>|     |     |     |     |     |     |     |     + E6240A - Picardy Wind France EURL, Adjustments</t>
  </si>
  <si>
    <t>E6240A</t>
  </si>
  <si>
    <t>Picardy Wind France EURL, Adjustments</t>
  </si>
  <si>
    <t>Picardy Wind France EURL, Ajustements</t>
  </si>
  <si>
    <t>31/05/2018 14:51:01</t>
  </si>
  <si>
    <t>31/05/2018 15:42:33</t>
  </si>
  <si>
    <t>|     |     |     |     |     |     |     |     + E6240E - Picardy Wind France EURL, Eliminations</t>
  </si>
  <si>
    <t>E6240E</t>
  </si>
  <si>
    <t>Picardy Wind France EURL, Eliminations</t>
  </si>
  <si>
    <t>Picardy Wind France EURL, Éliminations</t>
  </si>
  <si>
    <t>31/05/2018 14:51:43</t>
  </si>
  <si>
    <t>31/05/2018 15:34:08</t>
  </si>
  <si>
    <t>|     |     |     |     |     + E6220EA - Picardy Wind Participation SNC, Eliminations and Adjustments</t>
  </si>
  <si>
    <t>E6220EA</t>
  </si>
  <si>
    <t>Picardy Wind Participation SNC, Eliminations and Adjustments</t>
  </si>
  <si>
    <t>Picardy Wind Participation SNC, Éliminations et Ajustements</t>
  </si>
  <si>
    <t>31/05/2018 14:57:38</t>
  </si>
  <si>
    <t>|     |     |     |     |     |     + E6220A - Picardy Wind Participation SNC, Adjustments</t>
  </si>
  <si>
    <t>E6220A</t>
  </si>
  <si>
    <t>Picardy Wind Participation SNC, Adjustments</t>
  </si>
  <si>
    <t>Picardy Wind Participation SNC, Ajustements</t>
  </si>
  <si>
    <t>31/05/2018 14:58:38</t>
  </si>
  <si>
    <t>31/05/2018 15:42:18</t>
  </si>
  <si>
    <t>|     |     |     |     |     |     + E6220E - Picardy Wind Participation SNC, Eliminations</t>
  </si>
  <si>
    <t>E6220E</t>
  </si>
  <si>
    <t>Picardy Wind Participation SNC, Eliminations</t>
  </si>
  <si>
    <t>Picardy Wind Participation SNC, Éliminations</t>
  </si>
  <si>
    <t>31/05/2018 14:59:18</t>
  </si>
  <si>
    <t>31/05/2018 15:33:52</t>
  </si>
  <si>
    <t>|     |     |     |     + E6270 - Parc Éolien du Bois Désiré SAS</t>
  </si>
  <si>
    <t>E6270</t>
  </si>
  <si>
    <t>Parc Éolien du Bois Désiré SAS</t>
  </si>
  <si>
    <t>31/05/2018 15:01:52</t>
  </si>
  <si>
    <t>06/06/2018 19:51:36</t>
  </si>
  <si>
    <t>|     |     |     |     + E6280 - Parc Éolien des Blanches Fosses SAS</t>
  </si>
  <si>
    <t>E6280</t>
  </si>
  <si>
    <t>Parc Éolien des Blanches Fosses SAS</t>
  </si>
  <si>
    <t>31/05/2018 15:02:36</t>
  </si>
  <si>
    <t>06/06/2018 19:51:48</t>
  </si>
  <si>
    <t>|     |     |     |     + E6290 - Parc Éolien du Bois des Fontaines SAS</t>
  </si>
  <si>
    <t>E6290</t>
  </si>
  <si>
    <t>Parc Éolien du Bois des Fontaines SAS</t>
  </si>
  <si>
    <t>31/05/2018 15:03:17</t>
  </si>
  <si>
    <t>06/06/2018 19:52:00</t>
  </si>
  <si>
    <t>|     |     |     |     + E6300 - Parc Éolien du Bois Ricart SAS</t>
  </si>
  <si>
    <t>E6300</t>
  </si>
  <si>
    <t>Parc Éolien du Bois Ricart SAS</t>
  </si>
  <si>
    <t>31/05/2018 15:07:21</t>
  </si>
  <si>
    <t>06/06/2018 19:52:12</t>
  </si>
  <si>
    <t>|     |     |     |     + E6310 - Parc Éolien de la Lorette SAS</t>
  </si>
  <si>
    <t>E6310</t>
  </si>
  <si>
    <t>Parc Éolien de la Lorette SAS</t>
  </si>
  <si>
    <t>31/05/2018 15:09:09</t>
  </si>
  <si>
    <t>06/06/2018 19:52:23</t>
  </si>
  <si>
    <t>|     |     |     |     + E6320 - KE Développement 76 SAS</t>
  </si>
  <si>
    <t>E6320</t>
  </si>
  <si>
    <t>KE Développement 76 SAS</t>
  </si>
  <si>
    <t>31/05/2018 15:10:20</t>
  </si>
  <si>
    <t>06/06/2018 19:52:34</t>
  </si>
  <si>
    <t>|     |     |     |     + E6330 - Parc Éolien de Morlange SAS</t>
  </si>
  <si>
    <t>Parc Éolien de Morlange SAS</t>
  </si>
  <si>
    <t>31/05/2018 15:11:02</t>
  </si>
  <si>
    <t>05/07/2018 19:22:13</t>
  </si>
  <si>
    <t>|     |     |     |     + E6340 - Parc Éolien de la Plaine du Beaunay SAS</t>
  </si>
  <si>
    <t>Parc Éolien de la Plaine du Beaunay SAS</t>
  </si>
  <si>
    <t>31/05/2018 15:11:47</t>
  </si>
  <si>
    <t>05/07/2018 19:22:49</t>
  </si>
  <si>
    <t>|     |     |     |     + E6350 - Parc Éolien de Zondrange SAS</t>
  </si>
  <si>
    <t>Parc Éolien de Zondrange SAS</t>
  </si>
  <si>
    <t>31/05/2018 15:12:40</t>
  </si>
  <si>
    <t>05/07/2018 19:22:29</t>
  </si>
  <si>
    <t>|     |     |     |     + E6360 - Parc Éolien de Noyers Bucamps SAS</t>
  </si>
  <si>
    <t>Parc Éolien de Noyers Bucamps SAS</t>
  </si>
  <si>
    <t>31/05/2018 15:13:20</t>
  </si>
  <si>
    <t>06/06/2018 19:53:24</t>
  </si>
  <si>
    <t>|     |     |     |     + E6370 - Parc Éolien du Val aux Moines SAS</t>
  </si>
  <si>
    <t>Parc Éolien du Val aux Moines SAS</t>
  </si>
  <si>
    <t>31/05/2018 15:13:54</t>
  </si>
  <si>
    <t>05/07/2018 19:23:08</t>
  </si>
  <si>
    <t>|     |     |     |     + KALLISTAEOLEA - Groupe Kallista Eole, Eliminations and Adjustments</t>
  </si>
  <si>
    <t>KALLISTAEOLEA</t>
  </si>
  <si>
    <t>Groupe Kallista Eole, Eliminations and Adjustments</t>
  </si>
  <si>
    <t>Groupe Kallista Eole, Éliminations et Ajustements</t>
  </si>
  <si>
    <t>01/06/2018 19:54:03</t>
  </si>
  <si>
    <t>01/06/2018 19:54:36</t>
  </si>
  <si>
    <t>|     |     |     |     |     + KALLISTAEOLA - Groupe Kallista Eole, Adjustments</t>
  </si>
  <si>
    <t>KALLISTAEOLA</t>
  </si>
  <si>
    <t>Groupe Kallista Eole, Adjustments</t>
  </si>
  <si>
    <t>Groupe Kallista Eole, Ajustements</t>
  </si>
  <si>
    <t>01/06/2018 19:55:54</t>
  </si>
  <si>
    <t>01/06/2018 19:55:55</t>
  </si>
  <si>
    <t>|     |     |     |     |     + KALLISTAEOLE - Groupe Kallista Eole, Eliminations</t>
  </si>
  <si>
    <t>KALLISTAEOLE</t>
  </si>
  <si>
    <t>Groupe Kallista Eole, Eliminations</t>
  </si>
  <si>
    <t>Groupe Kallista Eole, Éliminations</t>
  </si>
  <si>
    <t>01/06/2018 19:56:37</t>
  </si>
  <si>
    <t>01/06/2018 20:44:56</t>
  </si>
  <si>
    <t>|     |     |     + E6380 - Boralex Saumerville SARL</t>
  </si>
  <si>
    <t>E6380</t>
  </si>
  <si>
    <t>Boralex Saumerville SARL</t>
  </si>
  <si>
    <t>27/06/2018 23:02:41</t>
  </si>
  <si>
    <t>21/08/2018 22:55:42</t>
  </si>
  <si>
    <t>|     |     |     + BOREUREOLEA - Europe Éolien, Eliminations and Adjustments</t>
  </si>
  <si>
    <t>BOREUREOLEA</t>
  </si>
  <si>
    <t>Europe Éolien, Eliminations and Adjustments</t>
  </si>
  <si>
    <t>Europe Éolien, Éliminations and Ajustements</t>
  </si>
  <si>
    <t>05/06/2017 12:53:45</t>
  </si>
  <si>
    <t>|     |     |     |     + E5230EOLA - Boralex Énergie France SAS Éolien, Adjustments</t>
  </si>
  <si>
    <t>E5230EOLA</t>
  </si>
  <si>
    <t>Boralex Énergie France SAS Éolien, Adjustments</t>
  </si>
  <si>
    <t>Boralex Énergie France SAS Éolien, Ajustements</t>
  </si>
  <si>
    <t>11/01/2018 17:38:07</t>
  </si>
  <si>
    <t>|     |     |     |     + SB002 - SB002 Elim France Eolien</t>
  </si>
  <si>
    <t>SB002</t>
  </si>
  <si>
    <t>SB002 Elim France Eolien</t>
  </si>
  <si>
    <t>04/06/2018 21:47:22</t>
  </si>
  <si>
    <t>|     |     |     |     + SB042 - SB042 Elim France Eolien Forêts</t>
  </si>
  <si>
    <t>SB042</t>
  </si>
  <si>
    <t>SB042 Elim France Eolien Forêts</t>
  </si>
  <si>
    <t>11/01/2018 17:36:13</t>
  </si>
  <si>
    <t>04/06/2018 21:47:35</t>
  </si>
  <si>
    <t>|     |     |     |     + E5580CONA - Ecotera Conso, Adjustments</t>
  </si>
  <si>
    <t>E5580CONA</t>
  </si>
  <si>
    <t>Ecotera Conso, Adjustments</t>
  </si>
  <si>
    <t>Ecotera Conso, Ajustements</t>
  </si>
  <si>
    <t>04/06/2018 23:20:22</t>
  </si>
  <si>
    <t>|     |     |     |     + BOREUREOLA - Europe Éolien, Adjustments</t>
  </si>
  <si>
    <t>BOREUREOLA</t>
  </si>
  <si>
    <t>Europe Éolien, Adjustments</t>
  </si>
  <si>
    <t>Europe Éolien, Ajustements</t>
  </si>
  <si>
    <t>05/06/2017 12:51:42</t>
  </si>
  <si>
    <t>11/01/2018 17:40:02</t>
  </si>
  <si>
    <t>|     |     |     |     + BOREUREOLE - Europe Éolien, Eliminations</t>
  </si>
  <si>
    <t>BOREUREOLE</t>
  </si>
  <si>
    <t>Europe Éolien, Eliminations</t>
  </si>
  <si>
    <t>Europe Éolien, Éliminations</t>
  </si>
  <si>
    <t>|     |     + BOREURGAZC - Total Boralex Europe Gaz, Consolidated</t>
  </si>
  <si>
    <t>BOREURGAZC</t>
  </si>
  <si>
    <t>Total Boralex Europe Gaz, Consolidated</t>
  </si>
  <si>
    <t>Total Boralex Europe Gaz, Consolidé</t>
  </si>
  <si>
    <t>03/10/2017 15:55:56</t>
  </si>
  <si>
    <t>|     |     |     + E5020 - Boralex Blendecques SAS</t>
  </si>
  <si>
    <t>Boralex Blendecques SAS</t>
  </si>
  <si>
    <t>19/07/2017 16:00:18</t>
  </si>
  <si>
    <t>|     |     |     + BOREURGAZEA - Europe Gaz, Eliminations and Adjustments</t>
  </si>
  <si>
    <t>BOREURGAZEA</t>
  </si>
  <si>
    <t>Europe Gaz, Eliminations and Adjustments</t>
  </si>
  <si>
    <t>Europe Gaz, Éliminations and Ajustements</t>
  </si>
  <si>
    <t>05/06/2017 12:53:46</t>
  </si>
  <si>
    <t>|     |     |     |     + SB011 - SB011 Elim Gaz</t>
  </si>
  <si>
    <t>SB011</t>
  </si>
  <si>
    <t>SB011 Elim Gaz</t>
  </si>
  <si>
    <t>04/06/2018 21:47:51</t>
  </si>
  <si>
    <t>|     |     |     |     + BOREURGAZA - Europe Gaz, Adjustments</t>
  </si>
  <si>
    <t>BOREURGAZA</t>
  </si>
  <si>
    <t>Europe Gaz, Adjustments</t>
  </si>
  <si>
    <t>Europe Gaz, Ajustements</t>
  </si>
  <si>
    <t>|     |     |     |     + BOREURGAZE - Europe Gaz, Eliminations</t>
  </si>
  <si>
    <t>BOREURGAZE</t>
  </si>
  <si>
    <t>Europe Gaz, Eliminations</t>
  </si>
  <si>
    <t>Europe Gaz, Éliminations</t>
  </si>
  <si>
    <t>|     |     + BOREURSOLC - Total Boralex Europe Solaire, Consolidated</t>
  </si>
  <si>
    <t>BOREURSOLC</t>
  </si>
  <si>
    <t>Total Boralex Europe Solaire, Consolidated</t>
  </si>
  <si>
    <t>Total Boralex Europe Solaire, Consolidé</t>
  </si>
  <si>
    <t>03/10/2017 16:49:31</t>
  </si>
  <si>
    <t>|     |     |     + E5010SOLC - Boralex SAS, Solaire</t>
  </si>
  <si>
    <t>E5010SOLC</t>
  </si>
  <si>
    <t>Boralex SAS, Solaire</t>
  </si>
  <si>
    <t>09/03/2018 20:40:25</t>
  </si>
  <si>
    <t>09/03/2018 21:15:15</t>
  </si>
  <si>
    <t>|     |     |     |     + E5012 - (INACTIF) Blx SAS - Projet Cruis</t>
  </si>
  <si>
    <t>E5012</t>
  </si>
  <si>
    <t>(INACTIF) Blx SAS - Projet Cruis</t>
  </si>
  <si>
    <t>09/03/2018 20:46:46</t>
  </si>
  <si>
    <t>14/06/2018 22:11:46</t>
  </si>
  <si>
    <t>|     |     |     |     + E5010SOLEA - Boralex SAS Solaire, Eliminations and Adjustments</t>
  </si>
  <si>
    <t>E5010SOLEA</t>
  </si>
  <si>
    <t>Boralex SAS Solaire, Eliminations and Adjustments</t>
  </si>
  <si>
    <t>Boralex SAS Solaire, Eliminations and Ajustements</t>
  </si>
  <si>
    <t>09/03/2018 21:05:33</t>
  </si>
  <si>
    <t>09/03/2018 21:06:12</t>
  </si>
  <si>
    <t>|     |     |     |     |     + E5010SOLA - Boralex SAS Solaire, Adjustments</t>
  </si>
  <si>
    <t>E5010SOLA</t>
  </si>
  <si>
    <t>Boralex SAS Solaire, Adjustments</t>
  </si>
  <si>
    <t>09/03/2018 21:07:29</t>
  </si>
  <si>
    <t>05/07/2018 21:30:25</t>
  </si>
  <si>
    <t>|     |     |     |     |     + E5010SOLE - Boralex SAS Solaire, Eliminations</t>
  </si>
  <si>
    <t>E5010SOLE</t>
  </si>
  <si>
    <t>Boralex SAS Solaire, Eliminations</t>
  </si>
  <si>
    <t>09/03/2018 21:08:21</t>
  </si>
  <si>
    <t>05/07/2018 21:43:26</t>
  </si>
  <si>
    <t>|     |     |     + E5550 - Boralex Solaire les Cigalettes SAS (Montfort)</t>
  </si>
  <si>
    <t>Boralex Solaire les Cigalettes SAS (Montfort)</t>
  </si>
  <si>
    <t>14/06/2018 22:24:33</t>
  </si>
  <si>
    <t>|     |     |     + E5250 - Boralex Solaire Lauragais SAS</t>
  </si>
  <si>
    <t>18/08/2017 15:53:17</t>
  </si>
  <si>
    <t>|     |     |     + E6020C - Boralex Cruis Solaire, Conso</t>
  </si>
  <si>
    <t>E6020C</t>
  </si>
  <si>
    <t>Boralex Cruis Solaire, Conso</t>
  </si>
  <si>
    <t>20/06/2018 15:28:44</t>
  </si>
  <si>
    <t>20/06/2018 16:18:39</t>
  </si>
  <si>
    <t>|     |     |     |     + E6020 - Boralex Cruis Solaire SARL</t>
  </si>
  <si>
    <t>E6020</t>
  </si>
  <si>
    <t>Boralex Cruis Solaire SARL</t>
  </si>
  <si>
    <t>09/11/2017 17:33:14</t>
  </si>
  <si>
    <t>20/06/2018 15:57:45</t>
  </si>
  <si>
    <t>|     |     |     |     + E6021 - Boralex Cruis Solaire</t>
  </si>
  <si>
    <t>E6021</t>
  </si>
  <si>
    <t>Boralex Cruis Solaire</t>
  </si>
  <si>
    <t>20/06/2018 15:25:10</t>
  </si>
  <si>
    <t>20/06/2018 15:57:54</t>
  </si>
  <si>
    <t>|     |     |     |     + E6020EA - Boralex Cruis Solaire, Conso, Eliminations and Adjustments</t>
  </si>
  <si>
    <t>E6020EA</t>
  </si>
  <si>
    <t>Boralex Cruis Solaire, Conso, Eliminations and Adjustments</t>
  </si>
  <si>
    <t>Boralex Cruis Solaire, Conso, Éliminations et Ajustements</t>
  </si>
  <si>
    <t>20/06/2018 16:15:21</t>
  </si>
  <si>
    <t>|     |     |     |     |     + E6020A - Boralex Cruis Solaire, Adjustments</t>
  </si>
  <si>
    <t>E6020A</t>
  </si>
  <si>
    <t>Boralex Cruis Solaire, Adjustments</t>
  </si>
  <si>
    <t>Boralex Cruis Solaire, Ajustements</t>
  </si>
  <si>
    <t>20/06/2018 16:16:33</t>
  </si>
  <si>
    <t>05/07/2018 21:36:07</t>
  </si>
  <si>
    <t>|     |     |     |     |     + E6020E - Boralex Cruis Solaire, Eliminations</t>
  </si>
  <si>
    <t>E6020E</t>
  </si>
  <si>
    <t>Boralex Cruis Solaire, Eliminations</t>
  </si>
  <si>
    <t>Boralex Cruis Solaire, Éliminations</t>
  </si>
  <si>
    <t>20/06/2018 16:17:14</t>
  </si>
  <si>
    <t>05/07/2018 21:47:05</t>
  </si>
  <si>
    <t>|     |     |     + E6040 - Boralex Peyrolles en Provence SARL</t>
  </si>
  <si>
    <t>E6040</t>
  </si>
  <si>
    <t>Boralex Peyrolles en Provence SARL</t>
  </si>
  <si>
    <t>05/12/2017 20:01:41</t>
  </si>
  <si>
    <t>04/06/2018 21:21:17</t>
  </si>
  <si>
    <t>|     |     |     + BOREURSOLEA - Europe Solaire, Eliminations and Adjustments</t>
  </si>
  <si>
    <t>BOREURSOLEA</t>
  </si>
  <si>
    <t>Europe Solaire, Eliminations and Adjustments</t>
  </si>
  <si>
    <t>Europe Solaire, Éliminations and Ajustements</t>
  </si>
  <si>
    <t>|     |     |     |     + SB014 - SB014 Elim Solaire</t>
  </si>
  <si>
    <t>SB014</t>
  </si>
  <si>
    <t>SB014 Elim Solaire</t>
  </si>
  <si>
    <t>09/11/2017 16:02:18</t>
  </si>
  <si>
    <t>04/06/2018 21:48:18</t>
  </si>
  <si>
    <t>|     |     |     |     + BOREURSOLA - Europe Solaire, Adjustments</t>
  </si>
  <si>
    <t>BOREURSOLA</t>
  </si>
  <si>
    <t>Europe Solaire, Adjustments</t>
  </si>
  <si>
    <t>Europe Solaire, Ajustements</t>
  </si>
  <si>
    <t>|     |     |     |     + BOREURSOLE - Europe Solaire, Eliminations</t>
  </si>
  <si>
    <t>BOREURSOLE</t>
  </si>
  <si>
    <t>Europe Solaire, Eliminations</t>
  </si>
  <si>
    <t>Europe Solaire, Éliminations</t>
  </si>
  <si>
    <t>|     |     + BOREURCORPC - Total Boralex Europe Corpo, Consolidated</t>
  </si>
  <si>
    <t>BOREURCORPC</t>
  </si>
  <si>
    <t>Total Boralex Europe Corpo, Consolidated</t>
  </si>
  <si>
    <t>Total Boralex Europe Corpo, Consolidé</t>
  </si>
  <si>
    <t>05/06/2017 12:51:43</t>
  </si>
  <si>
    <t>|     |     |     + BOREURCORPT - Total Boralex Europe Corpo</t>
  </si>
  <si>
    <t>BOREURCORPT</t>
  </si>
  <si>
    <t>Total Boralex Europe Corpo</t>
  </si>
  <si>
    <t>|     |     |     |     + E5000 - Boralex Europe SARL (Lux)</t>
  </si>
  <si>
    <t>E5000</t>
  </si>
  <si>
    <t>Boralex Europe SARL (Lux)</t>
  </si>
  <si>
    <t>23/08/2017 15:08:30</t>
  </si>
  <si>
    <t>|     |     |     |     + E5010 - Boralex SAS</t>
  </si>
  <si>
    <t>Boralex SAS</t>
  </si>
  <si>
    <t>02/02/2018 21:06:48</t>
  </si>
  <si>
    <t>|     |     |     |     + E5220 - Boralex GmbH (Germany)</t>
  </si>
  <si>
    <t>E5220</t>
  </si>
  <si>
    <t>Boralex GmbH (Germany)</t>
  </si>
  <si>
    <t>17/02/2016 03:37:23</t>
  </si>
  <si>
    <t>23/08/2017 15:08:59</t>
  </si>
  <si>
    <t>|     |     |     |     + E5230 - Boralex Énergie France SAS</t>
  </si>
  <si>
    <t>E5230</t>
  </si>
  <si>
    <t>Boralex Énergie France SAS</t>
  </si>
  <si>
    <t>18/08/2017 15:53:10</t>
  </si>
  <si>
    <t>|     |     |     |     + E5350 - Boralex Gestion SAS</t>
  </si>
  <si>
    <t>E5350</t>
  </si>
  <si>
    <t>Boralex Gestion SAS</t>
  </si>
  <si>
    <t>05/06/2017 12:54:22</t>
  </si>
  <si>
    <t>|     |     |     |     + E5370 - BI Europe SARL (Lux)</t>
  </si>
  <si>
    <t>E5370</t>
  </si>
  <si>
    <t>BI Europe SARL (Lux)</t>
  </si>
  <si>
    <t>|     |     |     |     + E5380 - Boralex EnR SAS</t>
  </si>
  <si>
    <t>E5380</t>
  </si>
  <si>
    <t>Boralex EnR SAS</t>
  </si>
  <si>
    <t>23/08/2017 17:34:19</t>
  </si>
  <si>
    <t>|     |     |     |     + E5390 - Boralex Énergie Verte-Gestion</t>
  </si>
  <si>
    <t>E5390</t>
  </si>
  <si>
    <t>Boralex Énergie Verte-Gestion</t>
  </si>
  <si>
    <t>27/09/2017 16:30:37</t>
  </si>
  <si>
    <t>|     |     |     |     + E5410 - Boralex Ops et dévelop-Gestion</t>
  </si>
  <si>
    <t>E5410</t>
  </si>
  <si>
    <t>Boralex Ops et dévelop-Gestion</t>
  </si>
  <si>
    <t>27/09/2017 15:01:18</t>
  </si>
  <si>
    <t>|     |     |     |     + E6100 - Kallista Energy Investment SAS</t>
  </si>
  <si>
    <t>E6100</t>
  </si>
  <si>
    <t>Kallista Energy Investment SAS</t>
  </si>
  <si>
    <t>04/06/2018 21:12:33</t>
  </si>
  <si>
    <t>09/07/2018 15:44:41</t>
  </si>
  <si>
    <t>|     |     |     + BOREURADJ - Total Boralex Europe Legal Adjustments</t>
  </si>
  <si>
    <t>BOREURADJ</t>
  </si>
  <si>
    <t>Total Boralex Europe Legal Adjustments</t>
  </si>
  <si>
    <t>Total Boralex Europe Legal Ajustements</t>
  </si>
  <si>
    <t>|     |     |     |     + SB012 - SB012 Elim France Corp</t>
  </si>
  <si>
    <t>SB012</t>
  </si>
  <si>
    <t>SB012 Elim France Corp</t>
  </si>
  <si>
    <t>04/06/2018 21:47:57</t>
  </si>
  <si>
    <t>|     |     |     |     + SB052 - SB052 Elim France Corp Forêts</t>
  </si>
  <si>
    <t>SB052</t>
  </si>
  <si>
    <t>SB052 Elim France Corp Forêts</t>
  </si>
  <si>
    <t>11/01/2018 17:46:00</t>
  </si>
  <si>
    <t>04/06/2018 21:48:08</t>
  </si>
  <si>
    <t>|     |     |     |     + E1000CONEUROA - Boralex Inc Conso EURO, Adjustments</t>
  </si>
  <si>
    <t>E1000CONEUROA</t>
  </si>
  <si>
    <t>Boralex Inc Conso EURO, Adjustments</t>
  </si>
  <si>
    <t>Boralex Inc Conso EURO, Ajustements</t>
  </si>
  <si>
    <t>|     |     |     |     + E5000A - Boralex Europe SARL, Adjustments</t>
  </si>
  <si>
    <t>E5000A</t>
  </si>
  <si>
    <t>Boralex Europe SARL, Adjustments</t>
  </si>
  <si>
    <t>Boralex Europe SARL, Ajustements</t>
  </si>
  <si>
    <t>|     |     |     |     + E5010A - Boralex SAS, Adjustments</t>
  </si>
  <si>
    <t>E5010A</t>
  </si>
  <si>
    <t>Boralex SAS, Adjustments</t>
  </si>
  <si>
    <t>Boralex SAS, Ajustements</t>
  </si>
  <si>
    <t>02/02/2018 21:39:07</t>
  </si>
  <si>
    <t>19/02/2018 16:47:59</t>
  </si>
  <si>
    <t>|     |     |     |     + KALLISTAA - Groupe Kallista, Adjustments</t>
  </si>
  <si>
    <t>KALLISTAA</t>
  </si>
  <si>
    <t>Groupe Kallista, Adjustments</t>
  </si>
  <si>
    <t>Groupe Kallista, Ajustements</t>
  </si>
  <si>
    <t>31/05/2018 15:16:17</t>
  </si>
  <si>
    <t>12/07/2018 16:59:01</t>
  </si>
  <si>
    <t>|     |     |     |     + E5010CONA - Boralex SAS Conso, Adjustments</t>
  </si>
  <si>
    <t>E5010CONA</t>
  </si>
  <si>
    <t>Boralex SAS Conso, Adjustments</t>
  </si>
  <si>
    <t>Boralex SAS Conso, Ajustements</t>
  </si>
  <si>
    <t>|     |     |     |     + E5230CORPA - Boralex Énergie France SAS Corpo, Adjustments</t>
  </si>
  <si>
    <t>E5230CORPA</t>
  </si>
  <si>
    <t>Boralex Énergie France SAS Corpo, Adjustments</t>
  </si>
  <si>
    <t>Boralex Énergie France SAS Corpo, Ajustements</t>
  </si>
  <si>
    <t>|     |     |     |     + E5380A - Boralex EnR SAS, Adjustments</t>
  </si>
  <si>
    <t>E5380A</t>
  </si>
  <si>
    <t>Boralex EnR SAS, Adjustments</t>
  </si>
  <si>
    <t>Boralex EnR SAS, Ajustements</t>
  </si>
  <si>
    <t>|     |     |     |     + E5390A - Boralex Énergie Verte SAS, Adjustments</t>
  </si>
  <si>
    <t>E5390A</t>
  </si>
  <si>
    <t>Boralex Énergie Verte SAS, Adjustments</t>
  </si>
  <si>
    <t>Boralex Énergie Verte SAS, Ajustements</t>
  </si>
  <si>
    <t>05/06/2017 12:54:30</t>
  </si>
  <si>
    <t>|     |     |     |     + E5390CONA - Boralex Énergie Verte Conso, Adjustments</t>
  </si>
  <si>
    <t>E5390CONA</t>
  </si>
  <si>
    <t>Boralex Énergie Verte Conso, Adjustments</t>
  </si>
  <si>
    <t>Boralex Énergie Verte Conso, Ajustements</t>
  </si>
  <si>
    <t>17/03/2017 05:09:06</t>
  </si>
  <si>
    <t>11/01/2018 21:03:33</t>
  </si>
  <si>
    <t>|     |     |     |     + E5410A - Boralex Opérations et Développement SAS, Adjustments</t>
  </si>
  <si>
    <t>E5410A</t>
  </si>
  <si>
    <t>Boralex Opérations et Développement SAS, Adjustments</t>
  </si>
  <si>
    <t>Boralex Opérations et Développement SAS, Ajustements</t>
  </si>
  <si>
    <t>|     |     |     |     + E5410CONA - Boralex Opérations et Développement Conso, Adjustments</t>
  </si>
  <si>
    <t>E5410CONA</t>
  </si>
  <si>
    <t>Boralex Opérations et Développement Conso, Adjustments</t>
  </si>
  <si>
    <t>Boralex Opérations et Développement Conso, Ajustements</t>
  </si>
  <si>
    <t>11/01/2018 20:37:31</t>
  </si>
  <si>
    <t>|     |     |     |     + BEVCONA - Boralex Énergie Verte Conso, Adjustments</t>
  </si>
  <si>
    <t>BEVCONA</t>
  </si>
  <si>
    <t>14/02/2018 19:41:06</t>
  </si>
  <si>
    <t>|     |     |     |     + BEVGROUPA - Boralex Énergie Verte Group, Adjustments</t>
  </si>
  <si>
    <t>BEVGROUPA</t>
  </si>
  <si>
    <t>Boralex Énergie Verte Group, Adjustments</t>
  </si>
  <si>
    <t>Boralex Énergie Verte Group, Ajustements</t>
  </si>
  <si>
    <t>14/02/2018 21:46:25</t>
  </si>
  <si>
    <t>|     |     |     + BOREURCORPEA - Boralex Europe Corpo, Eliminations and Adjustments</t>
  </si>
  <si>
    <t>BOREURCORPEA</t>
  </si>
  <si>
    <t>Boralex Europe Corpo, Eliminations and Adjustments</t>
  </si>
  <si>
    <t>Boralex Europe Corpo, Éliminations and Ajustements</t>
  </si>
  <si>
    <t>05/06/2017 12:53:47</t>
  </si>
  <si>
    <t>|     |     |     |     + BOREURCORPA - Boralex Europe Corpo, Adjustments</t>
  </si>
  <si>
    <t>BOREURCORPA</t>
  </si>
  <si>
    <t>Boralex Europe Corpo, Adjustments</t>
  </si>
  <si>
    <t>Boralex Europe Corpo, Ajustements</t>
  </si>
  <si>
    <t>|     |     |     |     + BOREURCORPE - Boralex Europe Corpo, Eliminations</t>
  </si>
  <si>
    <t>BOREURCORPE</t>
  </si>
  <si>
    <t>Boralex Europe Corpo, Eliminations</t>
  </si>
  <si>
    <t>Boralex Europe Corpo, Éliminations</t>
  </si>
  <si>
    <t>|     |     + BOREUREA - Boralex Europe, Eliminations and Adjustments</t>
  </si>
  <si>
    <t>BOREUREA</t>
  </si>
  <si>
    <t>Boralex Europe, Eliminations and Adjustments</t>
  </si>
  <si>
    <t>Boralex Europe, Éliminations and Ajustements</t>
  </si>
  <si>
    <t>|     |     |     + BOREURA - Boralex Europe, Adjustments</t>
  </si>
  <si>
    <t>BOREURA</t>
  </si>
  <si>
    <t>Boralex Europe, Adjustments</t>
  </si>
  <si>
    <t>Boralex Europe, Ajustements</t>
  </si>
  <si>
    <t>27/09/2017 22:25:51</t>
  </si>
  <si>
    <t>|     |     |     + BOREURE - Boralex Europe, Eliminations</t>
  </si>
  <si>
    <t>BOREURE</t>
  </si>
  <si>
    <t>Boralex Europe, Eliminations</t>
  </si>
  <si>
    <t>Boralex Europe, Éliminations</t>
  </si>
  <si>
    <t>27/09/2017 22:25:43</t>
  </si>
  <si>
    <t>|     + BORECOC - Total Boralex Écosse, Consolidated</t>
  </si>
  <si>
    <t>BORECOC</t>
  </si>
  <si>
    <t>Total Boralex Écosse, Consolidated</t>
  </si>
  <si>
    <t>Total Boralex Écosse, Consolidé</t>
  </si>
  <si>
    <t>27/09/2017 15:41:29</t>
  </si>
  <si>
    <t>06/12/2017 23:32:18</t>
  </si>
  <si>
    <t>|     |     + BORECOEOLC - Total Boralex Écosse Eolien, Consolidated</t>
  </si>
  <si>
    <t>BORECOEOLC</t>
  </si>
  <si>
    <t>Total Boralex Écosse Eolien, Consolidated</t>
  </si>
  <si>
    <t>Total Boralex Écosse Éolien, Consolidé</t>
  </si>
  <si>
    <t>27/09/2017 15:48:00</t>
  </si>
  <si>
    <t>06/12/2017 23:31:59</t>
  </si>
  <si>
    <t>|     |     |     + E5830 - EFR - Groupe Cumulé Écosse</t>
  </si>
  <si>
    <t>E5830</t>
  </si>
  <si>
    <t>EFR - Groupe Cumulé Écosse</t>
  </si>
  <si>
    <t>16/08/2017 19:25:47</t>
  </si>
  <si>
    <t>04/06/2018 21:51:07</t>
  </si>
  <si>
    <t>|     |     |     + E6080 - Bluebell Wind Farm Holding Ltd</t>
  </si>
  <si>
    <t>E6080</t>
  </si>
  <si>
    <t>Bluebell Wind Farm Holding Ltd</t>
  </si>
  <si>
    <t>08/02/2018 15:00:36</t>
  </si>
  <si>
    <t>05/07/2018 20:57:14</t>
  </si>
  <si>
    <t>|     |     |     + E6090 - Bluebell Wind Farm Ltd</t>
  </si>
  <si>
    <t>E6090</t>
  </si>
  <si>
    <t>Bluebell Wind Farm Ltd</t>
  </si>
  <si>
    <t>05/04/2018 14:24:11</t>
  </si>
  <si>
    <t>05/07/2018 20:57:23</t>
  </si>
  <si>
    <t>|     |     |     + E5950 - SETT -  Infinergy Group</t>
  </si>
  <si>
    <t>E5950</t>
  </si>
  <si>
    <t>SETT -  Infinergy Group</t>
  </si>
  <si>
    <t>SETT - Groupe Infinergy</t>
  </si>
  <si>
    <t>31/10/2017 14:47:28</t>
  </si>
  <si>
    <t>04/06/2018 21:51:17</t>
  </si>
  <si>
    <t>|     |     |     + E5960 - Limekiln - Infinergy Group</t>
  </si>
  <si>
    <t>E5960</t>
  </si>
  <si>
    <t>Limekiln - Infinergy Group</t>
  </si>
  <si>
    <t>Limekiln - Groupe Infinergy</t>
  </si>
  <si>
    <t>31/10/2017 14:50:40</t>
  </si>
  <si>
    <t>04/06/2018 21:51:34</t>
  </si>
  <si>
    <t>|     |     |     + E5970 - Ardtaraig - Infinergy Group</t>
  </si>
  <si>
    <t>E5970</t>
  </si>
  <si>
    <t>Ardtaraig - Infinergy Group</t>
  </si>
  <si>
    <t>Ardtaraig - Groupe Infinergy</t>
  </si>
  <si>
    <t>31/10/2017 14:52:31</t>
  </si>
  <si>
    <t>04/06/2018 21:51:45</t>
  </si>
  <si>
    <t>|     |     |     + BORECOEOLEA - Boralex Écosse Eolien, Eliminations and Adjustments</t>
  </si>
  <si>
    <t>BORECOEOLEA</t>
  </si>
  <si>
    <t>Boralex Écosse Eolien, Eliminations and Adjustments</t>
  </si>
  <si>
    <t>27/09/2017 15:52:52</t>
  </si>
  <si>
    <t>06/12/2017 23:26:19</t>
  </si>
  <si>
    <t>|     |     |     |     + SB022 - SB022 Elim Ecosse Eolien</t>
  </si>
  <si>
    <t>SB022</t>
  </si>
  <si>
    <t>SB022 Elim Ecosse Eolien</t>
  </si>
  <si>
    <t>07/12/2017 22:14:57</t>
  </si>
  <si>
    <t>04/06/2018 21:54:07</t>
  </si>
  <si>
    <t>|     |     |     |     + BORECOEOLA - Boralex Écosse Eolien, Adjustments</t>
  </si>
  <si>
    <t>BORECOEOLA</t>
  </si>
  <si>
    <t>Boralex Écosse Eolien, Adjustments</t>
  </si>
  <si>
    <t>27/09/2017 15:54:05</t>
  </si>
  <si>
    <t>25/04/2018 15:44:49</t>
  </si>
  <si>
    <t>|     |     |     |     + BORECOEOLE - Boralex Écosse Eolien, Eliminations</t>
  </si>
  <si>
    <t>BORECOEOLE</t>
  </si>
  <si>
    <t>Boralex Écosse Eolien, Eliminations</t>
  </si>
  <si>
    <t>Boralex Écosse Eolien, Éliminations</t>
  </si>
  <si>
    <t>27/09/2017 15:55:12</t>
  </si>
  <si>
    <t>06/12/2017 23:25:49</t>
  </si>
  <si>
    <t>|     |     + BORECOCORPC - Total Boralex Écosse Corpo, Consolidated</t>
  </si>
  <si>
    <t>BORECOCORPC</t>
  </si>
  <si>
    <t>Total Boralex Écosse Corpo, Consolidated</t>
  </si>
  <si>
    <t>Total Boralex Écosse Corpo, Consolidé</t>
  </si>
  <si>
    <t>27/09/2017 16:00:11</t>
  </si>
  <si>
    <t>06/12/2017 23:32:59</t>
  </si>
  <si>
    <t>|     |     |     + BORECOCORPEA - Boralex Écosse Corpo, Eliminations and Adjustments</t>
  </si>
  <si>
    <t>BORECOCORPEA</t>
  </si>
  <si>
    <t>Boralex Écosse Corpo, Eliminations and Adjustments</t>
  </si>
  <si>
    <t>27/09/2017 16:02:35</t>
  </si>
  <si>
    <t>06/12/2017 23:24:13</t>
  </si>
  <si>
    <t>|     |     |     |     + SB032 - SB032 Elim Ecosse Corp</t>
  </si>
  <si>
    <t>SB032</t>
  </si>
  <si>
    <t>SB032 Elim Ecosse Corp</t>
  </si>
  <si>
    <t>07/12/2017 22:34:18</t>
  </si>
  <si>
    <t>04/06/2018 21:54:13</t>
  </si>
  <si>
    <t>|     |     |     |     + BORECOCORPA - Boralex Écosse Corpo, Adjustments</t>
  </si>
  <si>
    <t>BORECOCORPA</t>
  </si>
  <si>
    <t>Boralex Écosse Corpo, Adjustments</t>
  </si>
  <si>
    <t>Boralex Écosse Corpo, Ajustements</t>
  </si>
  <si>
    <t>27/09/2017 16:04:19</t>
  </si>
  <si>
    <t>06/12/2017 23:23:49</t>
  </si>
  <si>
    <t>|     |     |     |     + BORECOCORPE - Boralex Écosse Corpo, Eliminations</t>
  </si>
  <si>
    <t>BORECOCORPE</t>
  </si>
  <si>
    <t>Boralex Écosse Corpo, Eliminations</t>
  </si>
  <si>
    <t>Boralex Écosse Corpo, Éliminations</t>
  </si>
  <si>
    <t>27/09/2017 16:06:12</t>
  </si>
  <si>
    <t>06/12/2017 23:23:37</t>
  </si>
  <si>
    <t>|     |     + BORECOEA - Boralex Écosse, Eliminations and Adjustments</t>
  </si>
  <si>
    <t>BORECOEA</t>
  </si>
  <si>
    <t>Boralex Écosse, Eliminations and Adjustments</t>
  </si>
  <si>
    <t>Boralex Écosse, Éliminations et Ajustements</t>
  </si>
  <si>
    <t>27/09/2017 15:43:16</t>
  </si>
  <si>
    <t>06/12/2017 23:22:29</t>
  </si>
  <si>
    <t>|     |     |     + BORECOA - Boralex Écosse, Adjustments</t>
  </si>
  <si>
    <t>BORECOA</t>
  </si>
  <si>
    <t>Boralex Écosse, Adjustments</t>
  </si>
  <si>
    <t>Boralex Écosse, Ajustements</t>
  </si>
  <si>
    <t>27/09/2017 15:44:45</t>
  </si>
  <si>
    <t>06/12/2017 23:22:15</t>
  </si>
  <si>
    <t>|     |     |     + BORECOE - Boralex Écosse, Eliminations</t>
  </si>
  <si>
    <t>BORECOE</t>
  </si>
  <si>
    <t>Boralex Écosse, Eliminations</t>
  </si>
  <si>
    <t>Boralex Écosse, Éliminations</t>
  </si>
  <si>
    <t>27/09/2017 15:46:06</t>
  </si>
  <si>
    <t>06/12/2017 23:22:03</t>
  </si>
  <si>
    <t xml:space="preserve">|     + TOTEURECOEA - Total Europe and Ecosse, Eliminations and adjustments </t>
  </si>
  <si>
    <t>TOTEURECOEA</t>
  </si>
  <si>
    <t xml:space="preserve">Total Europe and Ecosse, Eliminations and adjustments </t>
  </si>
  <si>
    <t xml:space="preserve">Total Europe et Ecosse, Éliminations et ajustements </t>
  </si>
  <si>
    <t>21/11/2017 23:19:01</t>
  </si>
  <si>
    <t>21/11/2017 23:23:27</t>
  </si>
  <si>
    <t>|     |     + TOTEURECOA - Total Europe and Ecosse, Adjustments</t>
  </si>
  <si>
    <t>TOTEURECOA</t>
  </si>
  <si>
    <t>Total Europe and Ecosse, Adjustments</t>
  </si>
  <si>
    <t>Total Europe et Ecosse, Ajustements</t>
  </si>
  <si>
    <t>21/11/2017 23:20:52</t>
  </si>
  <si>
    <t>21/11/2017 23:27:05</t>
  </si>
  <si>
    <t>|     |     + TOTEURECOE - Total Europe and Ecosse, Eliminations</t>
  </si>
  <si>
    <t>TOTEURECOE</t>
  </si>
  <si>
    <t>Total Europe and Ecosse, Eliminations</t>
  </si>
  <si>
    <t>Total Europe et Ecosse, Éliminations</t>
  </si>
  <si>
    <t>21/11/2017 23:22:08</t>
  </si>
  <si>
    <t>05/07/2018 21:45:28</t>
  </si>
  <si>
    <t>ALH - Voir Tarifs indexés EDF</t>
  </si>
  <si>
    <t>dont EO</t>
  </si>
  <si>
    <t>SO</t>
  </si>
  <si>
    <t>GZ</t>
  </si>
  <si>
    <t>JAN [KWh]</t>
  </si>
  <si>
    <t>FEB [KWh]</t>
  </si>
  <si>
    <t>MAR [KWh]</t>
  </si>
  <si>
    <t>APR [KWh]</t>
  </si>
  <si>
    <t>MAY [KWh]</t>
  </si>
  <si>
    <t>JUNE [KWh]</t>
  </si>
  <si>
    <t>JULY [KWh]</t>
  </si>
  <si>
    <t>AUG [KWh]</t>
  </si>
  <si>
    <t>SEPT [KWh]</t>
  </si>
  <si>
    <t>OCT [KWh]</t>
  </si>
  <si>
    <t>NOV [KWh]</t>
  </si>
  <si>
    <t>DEC [KWh]</t>
  </si>
  <si>
    <t>Somme de JAN [KWh]</t>
  </si>
  <si>
    <t>Somme de FEB [KWh]</t>
  </si>
  <si>
    <t>Somme de MAR [KWh]</t>
  </si>
  <si>
    <t>Somme de APR [KWh]</t>
  </si>
  <si>
    <t>Somme de MAY [KWh]</t>
  </si>
  <si>
    <t>Somme de JUNE [KWh]</t>
  </si>
  <si>
    <t>Somme de JULY [KWh]</t>
  </si>
  <si>
    <t>Somme de AUG [KWh]</t>
  </si>
  <si>
    <t>Somme de SEPT [KWh]</t>
  </si>
  <si>
    <t>Somme de OCT [KWh]</t>
  </si>
  <si>
    <t>Somme de NOV [KWh]</t>
  </si>
  <si>
    <t>Somme de DEC [KWh]</t>
  </si>
  <si>
    <t>Check CA LV</t>
  </si>
  <si>
    <t>A4000010</t>
  </si>
  <si>
    <t>B19_12_YTD</t>
  </si>
  <si>
    <t>ECART</t>
  </si>
  <si>
    <t>AVAIL_RATE</t>
  </si>
  <si>
    <t>CHECK DISPO</t>
  </si>
  <si>
    <t>Artois TOTAL</t>
  </si>
  <si>
    <t>Monts de Bagny TOTAL</t>
  </si>
  <si>
    <t>!!!   NE PAS METTRE A JOUR LE TCD SVP !!!</t>
  </si>
  <si>
    <t>JULY 2018</t>
  </si>
  <si>
    <t>AUG 2018</t>
  </si>
  <si>
    <t>Total 2011</t>
  </si>
  <si>
    <t>Total &lt;01/11/2002</t>
  </si>
  <si>
    <t>Total 2002</t>
  </si>
  <si>
    <t>Total 2003</t>
  </si>
  <si>
    <t>Total 2004</t>
  </si>
  <si>
    <t>Total 2005</t>
  </si>
  <si>
    <t>Total 2006</t>
  </si>
  <si>
    <t>Total 2007</t>
  </si>
  <si>
    <t>Total 2008</t>
  </si>
  <si>
    <t>Total 2009</t>
  </si>
  <si>
    <t>Total 2010</t>
  </si>
  <si>
    <t>Total 2013</t>
  </si>
  <si>
    <t>Total 2014</t>
  </si>
  <si>
    <t>Total 2015</t>
  </si>
  <si>
    <t>Total 2016</t>
  </si>
  <si>
    <t>St Patrick Conso</t>
  </si>
  <si>
    <t xml:space="preserve">MAR 2011 </t>
  </si>
  <si>
    <t>NOV 2004</t>
  </si>
  <si>
    <t>NOV 2005</t>
  </si>
  <si>
    <t>Ronchois Conso</t>
  </si>
  <si>
    <t xml:space="preserve">COD 01/04/2020
</t>
  </si>
  <si>
    <t>Check LV</t>
  </si>
  <si>
    <t>CHECK PRODUCTION</t>
  </si>
  <si>
    <t>EURT</t>
  </si>
  <si>
    <t>Ronchois 1/2/3</t>
  </si>
  <si>
    <t>St Patrick Pernois 1/2/3/Hermin</t>
  </si>
  <si>
    <t>Fortel 1/2</t>
  </si>
  <si>
    <t>St François Roye 2/3</t>
  </si>
  <si>
    <t>Haut de Conge 1/2/3</t>
  </si>
  <si>
    <t>Coulonges (CL/NT/CP)</t>
  </si>
  <si>
    <t>Plateau de Savernat 1/2</t>
  </si>
  <si>
    <t>Val au Moines 1/2</t>
  </si>
  <si>
    <t>Basse Thiérache Nord 1 /2</t>
  </si>
  <si>
    <t>Sources de l'Ancre 1 /2</t>
  </si>
  <si>
    <t>Ménétréols Renardiére (La vallée 2/3/4</t>
  </si>
  <si>
    <t>Pannecé (BS/La Vallière)</t>
  </si>
  <si>
    <t>Vallée d'Arce 1 (DR/NY/NU)</t>
  </si>
  <si>
    <t>SdlL1/2</t>
  </si>
  <si>
    <t>Monts de Bagny 1/2</t>
  </si>
  <si>
    <t xml:space="preserve">Coteaux du Blaiseron/CDB </t>
  </si>
  <si>
    <t>CHECK CHIFFRES D'AFFAIRES</t>
  </si>
  <si>
    <t>+Solaire</t>
  </si>
  <si>
    <t>+BBL</t>
  </si>
  <si>
    <t>Blendecques Elec</t>
  </si>
  <si>
    <t xml:space="preserve"> ELECT_SOLD</t>
  </si>
  <si>
    <t>no_currencies</t>
  </si>
  <si>
    <t>Ménétréols Renardiére (La vallée 2/3/4)</t>
  </si>
  <si>
    <t>B18_01</t>
  </si>
  <si>
    <t>B18_02</t>
  </si>
  <si>
    <t>B18_03</t>
  </si>
  <si>
    <t>B18_04</t>
  </si>
  <si>
    <t>B18_05</t>
  </si>
  <si>
    <t>B18_06</t>
  </si>
  <si>
    <t>B18_07</t>
  </si>
  <si>
    <t>B18_08</t>
  </si>
  <si>
    <t>B18_09</t>
  </si>
  <si>
    <t>B18_10</t>
  </si>
  <si>
    <t>B18_11</t>
  </si>
  <si>
    <t>B18_12</t>
  </si>
  <si>
    <t>B18_12_YTD</t>
  </si>
  <si>
    <t>Commentaires</t>
  </si>
  <si>
    <t>+BBL élec</t>
  </si>
  <si>
    <t>RECURR_DATA</t>
  </si>
  <si>
    <t xml:space="preserve">Tarif de marché à partir de Déc 2018: Moyenne marché de 2012 à 2017 - M DANDO </t>
  </si>
  <si>
    <t>Mise en service 2018</t>
  </si>
  <si>
    <t>Mise en service 2019</t>
  </si>
  <si>
    <t>Acquisition parcs Kallista</t>
  </si>
  <si>
    <t>ECART en % B18 vs B19</t>
  </si>
  <si>
    <t>Check Prod Budget 2019 MTD</t>
  </si>
  <si>
    <t>Dont +Solaire</t>
  </si>
  <si>
    <t>Dont +BBL élec</t>
  </si>
  <si>
    <t>réduction tarif suite calcul DAFR - sur P1 partir de juillet 2019/ P2 et P3 à partir de septembre</t>
  </si>
  <si>
    <t>Indexation tarif +1.32%</t>
  </si>
  <si>
    <t xml:space="preserve"> Indexation tarif +1.48%</t>
  </si>
  <si>
    <t xml:space="preserve"> Indexation tarif +1.35%</t>
  </si>
  <si>
    <t xml:space="preserve"> Indexation tarif +1.46%</t>
  </si>
  <si>
    <t xml:space="preserve"> Indexation tarif +1.36%</t>
  </si>
  <si>
    <t xml:space="preserve"> Indexation tarif +1.34%</t>
  </si>
  <si>
    <t xml:space="preserve"> Indexation tarif +1.30%</t>
  </si>
  <si>
    <t xml:space="preserve"> Indexation tarif +1.29%</t>
  </si>
  <si>
    <t xml:space="preserve"> Indexation tarif +1.32%</t>
  </si>
  <si>
    <t xml:space="preserve"> Indexation tarif +1.33%</t>
  </si>
  <si>
    <t xml:space="preserve"> Indexation tarif +1.31%</t>
  </si>
  <si>
    <t xml:space="preserve"> Indexation tarif +1.20%</t>
  </si>
  <si>
    <t>Artois 1/2</t>
  </si>
  <si>
    <t>Check CA Budget 2019 MTD</t>
  </si>
  <si>
    <t>Tarif: Moyenne marché de 2012 à 2017 =&gt; +8.2% vs budget 2018</t>
  </si>
  <si>
    <t>Périmètre constant</t>
  </si>
  <si>
    <t>Vapeur</t>
  </si>
  <si>
    <t>REV_STEAM</t>
  </si>
  <si>
    <t>REV_PREM_CAP</t>
  </si>
  <si>
    <t>A4030030</t>
  </si>
  <si>
    <t>Prime de puissance</t>
  </si>
  <si>
    <t>Revenue gas radiant</t>
  </si>
  <si>
    <t>REVENERGY</t>
  </si>
  <si>
    <t>Revenue from ernergy sales</t>
  </si>
  <si>
    <t>+ Chiffre d'affaires VAPEUR</t>
  </si>
  <si>
    <t>Production en MWh</t>
  </si>
  <si>
    <t>Effet prix lié au gaz</t>
  </si>
  <si>
    <t>Prix 2018</t>
  </si>
  <si>
    <t>Prix 2019</t>
  </si>
  <si>
    <t>Variance</t>
  </si>
  <si>
    <t>Variance %</t>
  </si>
  <si>
    <t>Variance Volume</t>
  </si>
  <si>
    <t>Variance Prix</t>
  </si>
  <si>
    <t>Variance Total</t>
  </si>
  <si>
    <t xml:space="preserve"> B19 Moyenne historique / Hypothèse identique à B18</t>
  </si>
  <si>
    <t xml:space="preserve"> Indexation tarif +1.49% et tarif de marché en déc 2019</t>
  </si>
  <si>
    <t>B19 Moyenne historique / B18 Etude DNV Garrad Hassan 2013</t>
  </si>
  <si>
    <t>B19 Etude DNV Garrad Hassan 2013 / Hypothèse identique à B18</t>
  </si>
  <si>
    <t>B19 Moyenne historique + Gain de prod +3.5% suite instal Pack Siemens / B18 Etude DNV Garrad Hassan</t>
  </si>
  <si>
    <t>B19 Etude DNV reçue en Août 2018 avec baisse -1% bridage Chiro / B18 étude P50 (expert indépendant)</t>
  </si>
  <si>
    <t>B19 Analyse Ernani qui comprennent la sous-performance du parc / B18 étude P50 (expert indépendant)</t>
  </si>
  <si>
    <t>B19 Etude DNV reçue en Août 2018 / B18 étude P50 (expert indépendant)</t>
  </si>
  <si>
    <t>B19 idem B18 Etude P50 (expert indépendant) mais avec baisse de prod de -1.2% suite bridage acoustique / +Gain de prod +0.5% suite instal PCU</t>
  </si>
  <si>
    <t>B19 Moyenne historique avec Gain de prod +3% suite instal Serrations  / B18 Modèle Tungsten 2014 (étude DNV révisée avec données MERRA)</t>
  </si>
  <si>
    <t>B19 Moyenne historique  / B18 Modèle Tungsten 2014 (étude DNV révisée avec données MERRA)</t>
  </si>
  <si>
    <t>B19 Moyenne historique avec Gain de prod +0.5% suite instal PCU / B18 Modèle Tungsten 2014 (étude DNV révisée avec données MERRA)</t>
  </si>
  <si>
    <t>B19 Moyenne historique / B18 Modèle Tungsten 2014 (étude DNV révisée avec données MERRA)</t>
  </si>
  <si>
    <t>B19 Moyenne historique avec baisse -1.8% bridage acoustique + Gain de prod 0.5% instal PCU / B18 Modèle Tungsten 2014 (étude DNV révisée PAR Ernani)</t>
  </si>
  <si>
    <t xml:space="preserve"> B19 Modèle Tungsten 2014 (étude DNV révisée avec données MERRA) / Hypothèse identique à B18</t>
  </si>
  <si>
    <t>B19 étude P50 (expert indépendant) / Hypothèse identique B18</t>
  </si>
  <si>
    <t>B19 idem B18 (Etude DEWI) avec baisse -1% bridage Chiro et Augmentation +0.5% instal PCU</t>
  </si>
  <si>
    <t>B19 modèle financier du board &amp; saisonnalité Ernani (données Merra) / Hypothèse identique à B18</t>
  </si>
  <si>
    <t>B19 modèle financier avec saisonnabilité révisée par Ernani</t>
  </si>
  <si>
    <t>B19 étude P50 (expert indépendant) avec décote de -0.7% / Hypothèse identique à B18</t>
  </si>
  <si>
    <t>B19 Moyenne historique avec décote de 0.7% / Hypothèse identique à B18</t>
  </si>
  <si>
    <t>B19 idem budget 2018</t>
  </si>
  <si>
    <t>ECART CA B18 vs B19</t>
  </si>
  <si>
    <t>ECART MWh B18 vs B19</t>
  </si>
  <si>
    <t>Effet Volume</t>
  </si>
  <si>
    <t>Effet Prix</t>
  </si>
  <si>
    <t>Total</t>
  </si>
  <si>
    <t>Gaz</t>
  </si>
  <si>
    <t>Elec BBL</t>
  </si>
  <si>
    <t>Avant Modif demandée par Pascal sur BBL</t>
  </si>
  <si>
    <t>Variation après modif demandée par Pascal</t>
  </si>
  <si>
    <t>Stockage batterie</t>
  </si>
  <si>
    <t>F18_10</t>
  </si>
  <si>
    <t>F18_11</t>
  </si>
  <si>
    <t>F18_12</t>
  </si>
  <si>
    <t>F18</t>
  </si>
  <si>
    <t>Chiffre d'affaires Elec en K Eur</t>
  </si>
  <si>
    <t>Chiffre d'affaires Energie en K Eur</t>
  </si>
  <si>
    <t>MES 2019</t>
  </si>
  <si>
    <t>MES 2018</t>
  </si>
  <si>
    <t>ECART CA F18 vs B19</t>
  </si>
  <si>
    <t>ECART en % F18 vs B19</t>
  </si>
  <si>
    <t>Zone</t>
  </si>
  <si>
    <t>F18_12_YTD</t>
  </si>
  <si>
    <t>F18_01</t>
  </si>
  <si>
    <t>F18_02</t>
  </si>
  <si>
    <t>F18_03</t>
  </si>
  <si>
    <t>F18_04</t>
  </si>
  <si>
    <t>F18_05</t>
  </si>
  <si>
    <t>F18_06</t>
  </si>
  <si>
    <t>F18_07</t>
  </si>
  <si>
    <t>F18_08</t>
  </si>
  <si>
    <t>F18_09</t>
  </si>
  <si>
    <t>SUD</t>
  </si>
  <si>
    <t>NORD</t>
  </si>
  <si>
    <t>CENTRE</t>
  </si>
  <si>
    <t>CORPO</t>
  </si>
  <si>
    <t>Remboursement Artois</t>
  </si>
  <si>
    <t>Leign Ar Gasprenn / Collorec</t>
  </si>
  <si>
    <t>Janv. 18 Budg</t>
  </si>
  <si>
    <t>Févr. 18 Budg</t>
  </si>
  <si>
    <t>Mars 18 Budg</t>
  </si>
  <si>
    <t>Avr. 18 Budg</t>
  </si>
  <si>
    <t>Mai 18 Budg</t>
  </si>
  <si>
    <t>Juin 18 Budg</t>
  </si>
  <si>
    <t>Juill. 18 Budg</t>
  </si>
  <si>
    <t>Août 18 Budg</t>
  </si>
  <si>
    <t>Sept. 18 Budg</t>
  </si>
  <si>
    <t>Oct. 18 Budg</t>
  </si>
  <si>
    <t>Nov. 18 Budg</t>
  </si>
  <si>
    <t>Déc. 18 Budg</t>
  </si>
  <si>
    <t>Déc. 18 YTD Budg</t>
  </si>
  <si>
    <t>Janv. 19 Budg</t>
  </si>
  <si>
    <t>Févr. 19 Budg</t>
  </si>
  <si>
    <t>Mars 19 Budg</t>
  </si>
  <si>
    <t>Avr. 19 Budg</t>
  </si>
  <si>
    <t>Mai 19 Budg</t>
  </si>
  <si>
    <t>Juin 19 Budg</t>
  </si>
  <si>
    <t>Juill. 19 Budg</t>
  </si>
  <si>
    <t>Août 19 Budg</t>
  </si>
  <si>
    <t>Sept. 19 Budg</t>
  </si>
  <si>
    <t>Oct. 19 Budg</t>
  </si>
  <si>
    <t>Nov. 19 Budg</t>
  </si>
  <si>
    <t>Déc. 19 Budg</t>
  </si>
  <si>
    <t>Déc. 19 YTD Budg</t>
  </si>
  <si>
    <t>Électricité en KWh vendue - Régulière</t>
  </si>
  <si>
    <t>Électricité régulier</t>
  </si>
  <si>
    <t>N/A</t>
  </si>
  <si>
    <t>MWh</t>
  </si>
  <si>
    <t>Déc. 19 YTD Budg
selon nouvelles moyennes histo</t>
  </si>
  <si>
    <t>Déc. 19 YTD Budg
selon anciennes moyennes histo</t>
  </si>
  <si>
    <t>Impact CA si nouvelles moyennes histo appliquées</t>
  </si>
  <si>
    <t>Ecart prod anciennes moyennes histo VS Nouvelles moyennes histo</t>
  </si>
  <si>
    <t>Avant modif</t>
  </si>
  <si>
    <t>Après modif</t>
  </si>
  <si>
    <t>Ecart</t>
  </si>
  <si>
    <t>Ecart modif</t>
  </si>
  <si>
    <t>JAN 2003 [KWh]</t>
  </si>
  <si>
    <t>FEB 2003 [KWh]</t>
  </si>
  <si>
    <t>MAR 2003 [KWh]</t>
  </si>
  <si>
    <t>APR 2003 [KWh]</t>
  </si>
  <si>
    <t>MAY 2003 [KWh]</t>
  </si>
  <si>
    <t>JUNE 2003 [KWh]</t>
  </si>
  <si>
    <t>JULY 2003 [KWh]</t>
  </si>
  <si>
    <t>AUG 2003 [KWh]</t>
  </si>
  <si>
    <t>SEPT 2003 [KWh]</t>
  </si>
  <si>
    <t>OCT 2003 [KWh]</t>
  </si>
  <si>
    <t>NOV 2003 [KWh]</t>
  </si>
  <si>
    <t>DEC 2003 [KWh]</t>
  </si>
  <si>
    <t>JAN 2004 [KWh]</t>
  </si>
  <si>
    <t>FEB 2004 [KWh]</t>
  </si>
  <si>
    <t>MAR 2004 [KWh]</t>
  </si>
  <si>
    <t>APR 2004 [KWh]</t>
  </si>
  <si>
    <t>MAY 2004 [KWh]</t>
  </si>
  <si>
    <t>JUNE 2004 [KWh]</t>
  </si>
  <si>
    <t>JULY 2004 [KWh]</t>
  </si>
  <si>
    <t>AUG 2004 [KWh]</t>
  </si>
  <si>
    <t>SEPT 2004 [KWh]</t>
  </si>
  <si>
    <t>OCT 2004 [KWh]</t>
  </si>
  <si>
    <t>NOV 2004 [KWh]</t>
  </si>
  <si>
    <t>DEC 2004 [KWh]</t>
  </si>
  <si>
    <t>JAN 2005 [KWh]</t>
  </si>
  <si>
    <t>FEB 2005 [KWh]</t>
  </si>
  <si>
    <t>MAR 2005 [KWh]</t>
  </si>
  <si>
    <t>APR 2005 [KWh]</t>
  </si>
  <si>
    <t>MAY 2005 [KWh]</t>
  </si>
  <si>
    <t>JUNE 2005 [KWh]</t>
  </si>
  <si>
    <t>JULY 2005 [KWh]</t>
  </si>
  <si>
    <t>AUG 2005 [KWh]</t>
  </si>
  <si>
    <t>SEPT 2005 [KWh]</t>
  </si>
  <si>
    <t>OCT 2005 [KWh]</t>
  </si>
  <si>
    <t>NOV 2005 [KWh]</t>
  </si>
  <si>
    <t>DEC 2005 [KWh]</t>
  </si>
  <si>
    <t>JAN 2006 [KWh]</t>
  </si>
  <si>
    <t>FEB 2006 [KWh]</t>
  </si>
  <si>
    <t>MAR 2006 [KWh]</t>
  </si>
  <si>
    <t>APR 2006 [KWh]</t>
  </si>
  <si>
    <t>MAY 2006 [KWh]</t>
  </si>
  <si>
    <t>JUNE 2006 [KWh]</t>
  </si>
  <si>
    <t>JULY 2006 [KWh]</t>
  </si>
  <si>
    <t>AUG 2006 [KWh]</t>
  </si>
  <si>
    <t>SEPT 2006 [KWh]</t>
  </si>
  <si>
    <t>OCT 2006 [KWh]</t>
  </si>
  <si>
    <t>NOV 2006 [KWh]</t>
  </si>
  <si>
    <t>DEC 2006 [KWh]</t>
  </si>
  <si>
    <t>JAN 2007 [KWh]</t>
  </si>
  <si>
    <t>FEB 2007 [KWh]</t>
  </si>
  <si>
    <t>MAR 2007 [KWh]</t>
  </si>
  <si>
    <t>APR 2007 [KWh]</t>
  </si>
  <si>
    <t>MAY 2007 [KWh]</t>
  </si>
  <si>
    <t>JUNE 2007 [KWh]</t>
  </si>
  <si>
    <t>JULY 2007 [KWh]</t>
  </si>
  <si>
    <t>AUG 2007 [KWh]</t>
  </si>
  <si>
    <t>SEPT 2007 [KWh]</t>
  </si>
  <si>
    <t>OCT 2007 [KWh]</t>
  </si>
  <si>
    <t>NOV 2007 [KWh]</t>
  </si>
  <si>
    <t>DEC 2007 [KWh]</t>
  </si>
  <si>
    <t>JAN 2008 [KWh]</t>
  </si>
  <si>
    <t>FEB 2008 [KWh]</t>
  </si>
  <si>
    <t>MAR 2008 [KWh]</t>
  </si>
  <si>
    <t>APR 2008 [KWh]</t>
  </si>
  <si>
    <t>MAY 2008 [KWh]</t>
  </si>
  <si>
    <t>JUNE 2008 [KWh]</t>
  </si>
  <si>
    <t>JULY 2008 [KWh]</t>
  </si>
  <si>
    <t>AUG 2008 [KWh]</t>
  </si>
  <si>
    <t>SEPT 2008 [KWh]</t>
  </si>
  <si>
    <t>OCT 2008 [KWh]</t>
  </si>
  <si>
    <t>NOV 2008 [KWh]</t>
  </si>
  <si>
    <t>DEC 2008 [KWh]</t>
  </si>
  <si>
    <t>JAN 2009 [KWh]</t>
  </si>
  <si>
    <t>FEB 2009 [KWh]</t>
  </si>
  <si>
    <t>MAR 2009 [KWh]</t>
  </si>
  <si>
    <t>APR 2009 [KWh]</t>
  </si>
  <si>
    <t>MAY 2009 [KWh]</t>
  </si>
  <si>
    <t>JUNE 2009 [KWh]</t>
  </si>
  <si>
    <t>JULY 2009 [KWh]</t>
  </si>
  <si>
    <t>AUG 2009 [KWh]</t>
  </si>
  <si>
    <t>SEPT 2009 [KWh]</t>
  </si>
  <si>
    <t>OCT 2009 [KWh]</t>
  </si>
  <si>
    <t>NOV 2009 [KWh]</t>
  </si>
  <si>
    <t>DEC 2009 [KWh]</t>
  </si>
  <si>
    <t>JAN 2010 [KWh]</t>
  </si>
  <si>
    <t>FEB 2010 [KWh]</t>
  </si>
  <si>
    <t>MAR 2010 [KWh]</t>
  </si>
  <si>
    <t>APR 2010 [KWh]</t>
  </si>
  <si>
    <t>MAY 2010 [KWh]</t>
  </si>
  <si>
    <t>JUNE 2010 [KWh]</t>
  </si>
  <si>
    <t>JULY 2010 [KWh]</t>
  </si>
  <si>
    <t>AUG 2010 [KWh]</t>
  </si>
  <si>
    <t>SEPT 2010 [KWh]</t>
  </si>
  <si>
    <t>OCT 2010 [KWh]</t>
  </si>
  <si>
    <t>NOV 2010 [KWh]</t>
  </si>
  <si>
    <t>DEC 2010 [KWh]</t>
  </si>
  <si>
    <t>JAN 2011 [KWh]</t>
  </si>
  <si>
    <t>FEB 2011 [KWh]</t>
  </si>
  <si>
    <t>MAR 2011 [KWh]</t>
  </si>
  <si>
    <t>APR 2011 [KWh]</t>
  </si>
  <si>
    <t>MAY 2011 [KWh]</t>
  </si>
  <si>
    <t>JUNE 2011 [KWh]</t>
  </si>
  <si>
    <t>JULY 2011 [KWh]</t>
  </si>
  <si>
    <t>AUG 2011 [KWh]</t>
  </si>
  <si>
    <t>SEPT 2011 [KWh]</t>
  </si>
  <si>
    <t>OCT 2011 [KWh]</t>
  </si>
  <si>
    <t>NOV 2011 [KWh]</t>
  </si>
  <si>
    <t>DEC 2011 [KWh]</t>
  </si>
  <si>
    <t>JAN 2012 [KWh]</t>
  </si>
  <si>
    <t>FEB 2012 [KWh]</t>
  </si>
  <si>
    <t>MAR 2012 [KWh]</t>
  </si>
  <si>
    <t>APR 2012 [KWh]</t>
  </si>
  <si>
    <t>MAY 2012 [KWh]</t>
  </si>
  <si>
    <t>JUNE 2012 [KWh]</t>
  </si>
  <si>
    <t>JULY 2012 [KWh]</t>
  </si>
  <si>
    <t>AUG 2012 [KWh]</t>
  </si>
  <si>
    <t>SEPT 2012 [KWh]</t>
  </si>
  <si>
    <t>OCT 2012 [KWh]</t>
  </si>
  <si>
    <t>NOV 2012 [KWh]</t>
  </si>
  <si>
    <t>DEC 2012 [KWh]</t>
  </si>
  <si>
    <t>JAN 2013 [KWh]</t>
  </si>
  <si>
    <t>FEB 2013 [KWh]</t>
  </si>
  <si>
    <t>MAR 2013 [KWh]</t>
  </si>
  <si>
    <t>APR 2013 [KWh]</t>
  </si>
  <si>
    <t>MAY 2013 [KWh]</t>
  </si>
  <si>
    <t>JUNE 2013 [KWh]</t>
  </si>
  <si>
    <t>JULY 2013 [KWh]</t>
  </si>
  <si>
    <t>AUG 2013 [KWh]</t>
  </si>
  <si>
    <t>SEPT 2013 [KWh]</t>
  </si>
  <si>
    <t>OCT 2013 [KWh]</t>
  </si>
  <si>
    <t>NOV 2013 [KWh]</t>
  </si>
  <si>
    <t>DEC 2013 [KWh]</t>
  </si>
  <si>
    <t>JAN 2014 [KWh]</t>
  </si>
  <si>
    <t>FEB 2014 [KWh]</t>
  </si>
  <si>
    <t>MAR 2014 [KWh]</t>
  </si>
  <si>
    <t>APR 2014 [KWh]</t>
  </si>
  <si>
    <t>MAY 2014 [KWh]</t>
  </si>
  <si>
    <t>JUNE 2014 [KWh]</t>
  </si>
  <si>
    <t>JULY 2014 [KWh]</t>
  </si>
  <si>
    <t>AUG 2014 [KWh]</t>
  </si>
  <si>
    <t>SEPT 2014 [KWh]</t>
  </si>
  <si>
    <t>OCT 2014 [KWh]</t>
  </si>
  <si>
    <t>NOV 2014 [KWh]</t>
  </si>
  <si>
    <t>DEC 2014 [KWh]</t>
  </si>
  <si>
    <t>JAN 2015 [KWh]</t>
  </si>
  <si>
    <t>FEB 2015 [KWh]</t>
  </si>
  <si>
    <t>MAR 2015 [KWh]</t>
  </si>
  <si>
    <t>APR 2015 [KWh]</t>
  </si>
  <si>
    <t>MAY 2015 [KWh]</t>
  </si>
  <si>
    <t>JUNE 2015 [KWh]</t>
  </si>
  <si>
    <t>JULY 2015 [KWh]</t>
  </si>
  <si>
    <t>AUG 2015 [KWh]</t>
  </si>
  <si>
    <t>SEPT 2015 [KWh]</t>
  </si>
  <si>
    <t>OCT 2015 [KWh]</t>
  </si>
  <si>
    <t>NOV 2015 [KWh]</t>
  </si>
  <si>
    <t>DEC 2015 [KWh]</t>
  </si>
  <si>
    <t>JAN 2016 [KWh]</t>
  </si>
  <si>
    <t>FEB 2016 [KWh]</t>
  </si>
  <si>
    <t>MAR 2016 [KWh]</t>
  </si>
  <si>
    <t>APR 2016 [KWh]</t>
  </si>
  <si>
    <t>MAY 2016 [KWh]</t>
  </si>
  <si>
    <t>JUNE 2016 [KWh]</t>
  </si>
  <si>
    <t>JULY 2016 [KWh]</t>
  </si>
  <si>
    <t>AUG 2016 [KWh]</t>
  </si>
  <si>
    <t>SEPT 2016 [KWh]</t>
  </si>
  <si>
    <t>OCT 2016 [KWh]</t>
  </si>
  <si>
    <t>NOV 2016 [KWh]</t>
  </si>
  <si>
    <t>DEC 2016 [KWh]</t>
  </si>
  <si>
    <t>JAN 2017 [KWh]</t>
  </si>
  <si>
    <t>FEB 2017 [KWh]</t>
  </si>
  <si>
    <t>MAR 2017 [KWh]</t>
  </si>
  <si>
    <t>APR 2017 [KWh]</t>
  </si>
  <si>
    <t>MAY 2017 [KWh]</t>
  </si>
  <si>
    <t>JUNE 2017 [KWh]</t>
  </si>
  <si>
    <t>JULY 2017 [KWh]</t>
  </si>
  <si>
    <t>AUG 2017 [KWh]</t>
  </si>
  <si>
    <t>SEPT 2017 [KWh]</t>
  </si>
  <si>
    <t>OCT 2017 [KWh]</t>
  </si>
  <si>
    <t>NOV 2017 [KWh]</t>
  </si>
  <si>
    <t>DEC 2017 [KWh]</t>
  </si>
  <si>
    <t>JAN 2018 [KWh]</t>
  </si>
  <si>
    <t>FEB 2018 [KWh]</t>
  </si>
  <si>
    <t>MAR 2018 [KWh]</t>
  </si>
  <si>
    <t>APR 2018 [KWh]</t>
  </si>
  <si>
    <t>MAY 2018 [KWh]</t>
  </si>
  <si>
    <t>JUNE 2018 [KWh]</t>
  </si>
  <si>
    <t>JULY 2018 [KWh]</t>
  </si>
  <si>
    <t>AUG 2018 [KWh]</t>
  </si>
  <si>
    <t>SEPT 2018 [KWh]</t>
  </si>
  <si>
    <t>OCT 2018 [KWh]</t>
  </si>
  <si>
    <t>NOV 2018 [KWh]</t>
  </si>
  <si>
    <t>DEC 2018 [KWh]</t>
  </si>
  <si>
    <t>JAN 2019 [KWh]</t>
  </si>
  <si>
    <t>FEB 2019 [KWh]</t>
  </si>
  <si>
    <t>MAR 2019 [KWh]</t>
  </si>
  <si>
    <t>APR 2019 [KWh]</t>
  </si>
  <si>
    <t>MAY 2019 [KWh]</t>
  </si>
  <si>
    <t>JUNE 2019 [KWh]</t>
  </si>
  <si>
    <t>JULY 2019 [KWh]</t>
  </si>
  <si>
    <t>AUG 2019 [KWh]</t>
  </si>
  <si>
    <t>SEPT 2019 [KWh]</t>
  </si>
  <si>
    <t>OCT 2019 [KWh]</t>
  </si>
  <si>
    <t>NOV 2019 [KWh]</t>
  </si>
  <si>
    <t>DEC 2019 [KWh]</t>
  </si>
  <si>
    <t>A19_01</t>
  </si>
  <si>
    <t>A19_02</t>
  </si>
  <si>
    <t>A19_03</t>
  </si>
  <si>
    <t>A19_04</t>
  </si>
  <si>
    <t>A19_05</t>
  </si>
  <si>
    <t>A19_06</t>
  </si>
  <si>
    <t>A19_07</t>
  </si>
  <si>
    <t>A19_08</t>
  </si>
  <si>
    <t>A19_09</t>
  </si>
  <si>
    <t>A19_10</t>
  </si>
  <si>
    <t>A19_11</t>
  </si>
  <si>
    <t>A19_12</t>
  </si>
  <si>
    <t>hypothèse de tarif</t>
  </si>
  <si>
    <t>PBF Blanches Fosses</t>
  </si>
  <si>
    <t>Réel</t>
  </si>
  <si>
    <t>Cham Longe Repowering</t>
  </si>
  <si>
    <t>Extension seuil de Bapaume XSB</t>
  </si>
  <si>
    <t>B20_12</t>
  </si>
  <si>
    <t>B20_01</t>
  </si>
  <si>
    <t>B20_02</t>
  </si>
  <si>
    <t>B20_03</t>
  </si>
  <si>
    <t>B20_04</t>
  </si>
  <si>
    <t>B20_05</t>
  </si>
  <si>
    <t>B20_06</t>
  </si>
  <si>
    <t>B20_07</t>
  </si>
  <si>
    <t>B20_08</t>
  </si>
  <si>
    <t>B20_09</t>
  </si>
  <si>
    <t>B20_10</t>
  </si>
  <si>
    <t>B20_11</t>
  </si>
  <si>
    <t>B20_12_YTD</t>
  </si>
  <si>
    <t>Janv. 20 Budg</t>
  </si>
  <si>
    <t>Févr. 20 Budg</t>
  </si>
  <si>
    <t>Mars 20 Budg</t>
  </si>
  <si>
    <t>Avr. 20 Budg</t>
  </si>
  <si>
    <t>Mai 20 Budg</t>
  </si>
  <si>
    <t>Juin 20 Budg</t>
  </si>
  <si>
    <t>Juill. 20 Budg</t>
  </si>
  <si>
    <t>Août 20 Budg</t>
  </si>
  <si>
    <t>Sept. 20 Budg</t>
  </si>
  <si>
    <t>Oct. 20 Budg</t>
  </si>
  <si>
    <t>Nov. 20 Budg</t>
  </si>
  <si>
    <t>Déc. 20 Budg</t>
  </si>
  <si>
    <t>Déc. 20 YTD Budg</t>
  </si>
  <si>
    <t>ECART MWh B19 vs B20</t>
  </si>
  <si>
    <t>ECART en % B19 vs B20</t>
  </si>
  <si>
    <t>ECART CA B19 vs B20</t>
  </si>
  <si>
    <t>Prix 2020</t>
  </si>
  <si>
    <t>Mise en service 2020</t>
  </si>
  <si>
    <t>VAM 1</t>
  </si>
  <si>
    <t>VAM 2</t>
  </si>
  <si>
    <t>Doux le Vent</t>
  </si>
  <si>
    <t>Source de L'Ancre 1</t>
  </si>
  <si>
    <t>Source de L'Ancre 2</t>
  </si>
  <si>
    <t>BTN 1</t>
  </si>
  <si>
    <t>BTN 2</t>
  </si>
  <si>
    <t>Saint Patrick</t>
  </si>
  <si>
    <t>Parc Éolien de Noyers Bucamps SAS (NOB)</t>
  </si>
  <si>
    <t>B20_01_YTD</t>
  </si>
  <si>
    <t>B20_02_YTD</t>
  </si>
  <si>
    <t>B20_03_YTD</t>
  </si>
  <si>
    <t>B20_04_YTD</t>
  </si>
  <si>
    <t>B20_05_YTD</t>
  </si>
  <si>
    <t>B20_06_YTD</t>
  </si>
  <si>
    <t>B20_07_YTD</t>
  </si>
  <si>
    <t>B20_08_YTD</t>
  </si>
  <si>
    <t>B20_09_YTD</t>
  </si>
  <si>
    <t>B20_10_YTD</t>
  </si>
  <si>
    <t>B20_11_YTD</t>
  </si>
  <si>
    <t>CHECK CAPACITE</t>
  </si>
  <si>
    <t>Capacité</t>
  </si>
  <si>
    <t>perte bridage = 350k€</t>
  </si>
  <si>
    <t>perte bridage = 260k€</t>
  </si>
  <si>
    <t>toteurecoc</t>
  </si>
  <si>
    <t>+1,2 MW augmentation de puissance</t>
  </si>
  <si>
    <t>+1,5 MV augmentation de puissance</t>
  </si>
  <si>
    <t>+0,8MW augmentation de puissance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</si>
  <si>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</si>
  <si>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</si>
  <si>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</si>
  <si>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</si>
  <si>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</si>
  <si>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</si>
  <si>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</si>
  <si>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</si>
  <si>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</si>
  <si>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</si>
  <si>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</si>
  <si>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</si>
  <si>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boreureolc</t>
  </si>
  <si>
    <t>écart prod*prix 2020</t>
  </si>
  <si>
    <t>BBL</t>
  </si>
  <si>
    <t>màj le 19/11</t>
  </si>
  <si>
    <t>2254892,75</t>
  </si>
  <si>
    <t>2124356,73</t>
  </si>
  <si>
    <t>1993281,32</t>
  </si>
  <si>
    <t>1739221,56</t>
  </si>
  <si>
    <t>1430648,13</t>
  </si>
  <si>
    <t>1202540,32</t>
  </si>
  <si>
    <t>1133255,23</t>
  </si>
  <si>
    <t>1046382,4</t>
  </si>
  <si>
    <t>1449301,8</t>
  </si>
  <si>
    <t>1879402,28</t>
  </si>
  <si>
    <t>1948687,36</t>
  </si>
  <si>
    <t>2318030,14</t>
  </si>
  <si>
    <t>A20_01</t>
  </si>
  <si>
    <t>A20_02</t>
  </si>
  <si>
    <t>A20_03</t>
  </si>
  <si>
    <t>A20_04</t>
  </si>
  <si>
    <t>A20_05</t>
  </si>
  <si>
    <t>A20_06</t>
  </si>
  <si>
    <t>A20_07</t>
  </si>
  <si>
    <t>A20_08</t>
  </si>
  <si>
    <t>A20_09</t>
  </si>
  <si>
    <t>A20_10</t>
  </si>
  <si>
    <t>A20_11</t>
  </si>
  <si>
    <t>A20_12</t>
  </si>
  <si>
    <t>B21_01</t>
  </si>
  <si>
    <t>B21_02</t>
  </si>
  <si>
    <t>B21_03</t>
  </si>
  <si>
    <t>B21_04</t>
  </si>
  <si>
    <t>B21_05</t>
  </si>
  <si>
    <t>B21_06</t>
  </si>
  <si>
    <t>B21_07</t>
  </si>
  <si>
    <t>B21_08</t>
  </si>
  <si>
    <t>B21_09</t>
  </si>
  <si>
    <t>B21_10</t>
  </si>
  <si>
    <t>B21_11</t>
  </si>
  <si>
    <t>B21_12</t>
  </si>
  <si>
    <t>Peyrolles</t>
  </si>
  <si>
    <t>Bazougeais</t>
  </si>
  <si>
    <t>Extension plaine d'Escrebieux</t>
  </si>
  <si>
    <t>NBMACH</t>
  </si>
  <si>
    <t>B21_12_YTD</t>
  </si>
  <si>
    <t>Tarif de facturation 2021</t>
  </si>
  <si>
    <t>Tot. Prod. 2021 [KWh]</t>
  </si>
  <si>
    <t>DAFR</t>
  </si>
  <si>
    <t>Saint Chirstophe - Clé des champs</t>
  </si>
  <si>
    <t>Peyrolles solaire</t>
  </si>
  <si>
    <t>Tarif de marché à appliquer pour B21 base Poyry central inflationné</t>
  </si>
  <si>
    <t>si 0%</t>
  </si>
  <si>
    <t>si 97%</t>
  </si>
  <si>
    <t>CHECK NB MACHINE</t>
  </si>
  <si>
    <t>Indexation lettre de cadrage</t>
  </si>
  <si>
    <t>Stockage de l'Arce</t>
  </si>
  <si>
    <t>% du P50</t>
  </si>
  <si>
    <t>Avignonet I</t>
  </si>
  <si>
    <t>Noyers Bucamps NOB</t>
  </si>
  <si>
    <t>Blanches Fosses PBF</t>
  </si>
  <si>
    <t>Extension plaine d'Escrebieux XPE</t>
  </si>
  <si>
    <t>Saint Christophe (Clé des champs)</t>
  </si>
  <si>
    <t>Janvier</t>
  </si>
  <si>
    <t>NA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</si>
  <si>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</si>
  <si>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</si>
  <si>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</si>
  <si>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</si>
  <si>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</si>
  <si>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</si>
  <si>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</si>
  <si>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</si>
  <si>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</si>
  <si>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</si>
  <si>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</si>
  <si>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N jours mois</t>
  </si>
  <si>
    <t>V 100 m (m/s) - Reanalysis</t>
  </si>
  <si>
    <t>Moyenne ponderée</t>
  </si>
  <si>
    <t>Sensibilité</t>
  </si>
  <si>
    <t>à changer si modifs</t>
  </si>
  <si>
    <t>La répartition de la production au niveau du poste de livraison a été faite à partir de la production historique.</t>
  </si>
  <si>
    <t>Parc démantélé en 2020</t>
  </si>
  <si>
    <t>La répartition de la production au niveau du poste de livraison a été faite à partir de la production historique. Fiabilisation du PDL 1,2% + 2,2 Energy Trust</t>
  </si>
  <si>
    <t>Le productible a été mis à jour à la suite de l'incendie d'une des turbines. Hypothèse de remplacement de la turbine par une V90 à même hauteur de moyeu avec mise en service le 01/03/2021.</t>
  </si>
  <si>
    <t>En 2020, le bridage acoustique inclut aussi le bridage avifaune.</t>
  </si>
  <si>
    <t>Date prévisionnelle de démantèlement : 15/11/2021 (Benoit Airiau)</t>
  </si>
  <si>
    <t>Cette article sera vendu en 2020</t>
  </si>
  <si>
    <t>Date de mise en service selon lettre de cadrage: 01/01/2021</t>
  </si>
  <si>
    <t>Date de mise en service selon lettre de cadrage: 01/09/2021</t>
  </si>
  <si>
    <t>Date de mise en service selon lettre de cadrage: 01/05/2021</t>
  </si>
  <si>
    <t>Le bridage acoustique prévu ne sera pas appliqué en 2021 mais le sera à partir de 2022</t>
  </si>
  <si>
    <t>Amélioration performance (Augmentation de puissance au PDL +2.8%) déjà intégrée au BP2020</t>
  </si>
  <si>
    <t>Amélioration performance (Energy Trust 2.2%+ Fiabilisation PDL 1.2%) déjà intégrée au BP2020</t>
  </si>
  <si>
    <t>Entre BP2020 et 2021  il y a un bridage acoustique plus fort de -0.7% / Mais une amélioration de 1.1% venant de 0.3% Powerboost, 0.3% Augmentation puissance et 0.5% Amélioration du bridage</t>
  </si>
  <si>
    <t>Il y a une amélioration de 0.3% venant de Powerboost, déjà intégrée dans BP 2020</t>
  </si>
  <si>
    <t>Il y a un bridage avifaune (chiroptère) plus important de 0.7% qui n'avait pas été intégré au BP2020</t>
  </si>
  <si>
    <t>L'amélioration prévue ne sera pas réalisée</t>
  </si>
  <si>
    <t>Amélioration de 0.6% grâce PPO déjà intégrée au BP2020</t>
  </si>
  <si>
    <t>Ecart entre B20 et BP2021 car amélioration AAO (Aerodynamic Optimization) non réalisée -0.5%, et le +0.6% d'amélioration vient du PPO (déjà intégrée au BP2020)</t>
  </si>
  <si>
    <t>arrondi</t>
  </si>
  <si>
    <t>Bridage avifaune plus fort de -1.2% entre BP2020 et 2021, et amélioration TCU déjà intégrée dans Brome en 2019</t>
  </si>
  <si>
    <t>Bridage acoustique moins fort (on passe de 6.35 à 3.6%)</t>
  </si>
  <si>
    <t>Arrondi sur Brome entre BP2020 et 2021, et amélioration TCU de 0.5%</t>
  </si>
  <si>
    <t>Arrondi sur Brome entre BP2020 et 2021, et amélioration Improved Start up de 0.4%</t>
  </si>
  <si>
    <t>Bridage avifaune de 0.4% sur BP 2021</t>
  </si>
  <si>
    <t>Ernani</t>
  </si>
  <si>
    <t>Giannino</t>
  </si>
  <si>
    <t>Emilie</t>
  </si>
  <si>
    <t>Stephanie</t>
  </si>
  <si>
    <t>Code LV pour saisie</t>
  </si>
  <si>
    <t>Projet</t>
  </si>
  <si>
    <t>Type d'étude</t>
  </si>
  <si>
    <t>P50 net Etude - avec disponibilité, bridage acoustique et avifaune - tiens compte de la date de mise en service (KWh)</t>
  </si>
  <si>
    <t>P90 net Etude - avec disponibilité, bridage acoustique et avifaune - tiens compte de la date de mise en service (KWh)</t>
  </si>
  <si>
    <t>Disponibilité énergétique réelle budget 2020 (%)</t>
  </si>
  <si>
    <t>Disponibilité énergétique réelle budget 2021 (%)</t>
  </si>
  <si>
    <t>Bridage acoustique budget 2021 (%)</t>
  </si>
  <si>
    <t>Bridage avifaune budget 2021 (%)</t>
  </si>
  <si>
    <t>P90 Budget 2021 (KWh)</t>
  </si>
  <si>
    <t>Observation</t>
  </si>
  <si>
    <t>Ecart en %</t>
  </si>
  <si>
    <t>Commentaires Controlling</t>
  </si>
  <si>
    <t>Brome - DNV GL - 14.05.2019</t>
  </si>
  <si>
    <t>DNV GL - 14.05.2019</t>
  </si>
  <si>
    <t>inhérent au calcul</t>
  </si>
  <si>
    <t>Brome - UL - 05.03.2019</t>
  </si>
  <si>
    <t>Brome - DNV GL - 23.07.2019</t>
  </si>
  <si>
    <t>Brome - DNV GL - 07.09.2018</t>
  </si>
  <si>
    <t>Etude interne - 08.2020</t>
  </si>
  <si>
    <t>Brome - UL - 08.03.2019</t>
  </si>
  <si>
    <t>Brome - Everoze - 2017</t>
  </si>
  <si>
    <t>Brome - Everoze - 2019</t>
  </si>
  <si>
    <t>Brome - UL - 17.09.2019</t>
  </si>
  <si>
    <t>Brome - UL - 25.05.2018</t>
  </si>
  <si>
    <t>Brome - DNV GL - 29.03.2019</t>
  </si>
  <si>
    <t>Eoltech - 19.05.2020</t>
  </si>
  <si>
    <t>Brome - UL - 05.11.2019</t>
  </si>
  <si>
    <t>UL - 20.12.2019</t>
  </si>
  <si>
    <t>DNV GL - 16.10.2019</t>
  </si>
  <si>
    <t>E6720</t>
  </si>
  <si>
    <t>Prix 2021</t>
  </si>
  <si>
    <t>écart prix*prod 2021</t>
  </si>
  <si>
    <t>Check CA Budget 2021</t>
  </si>
  <si>
    <t xml:space="preserve">St Christophe - Clé des champs / Solaire </t>
  </si>
  <si>
    <t>Peyrolles / Solaire</t>
  </si>
  <si>
    <t>Avignonet / Solaire</t>
  </si>
  <si>
    <t>Les Cigalettes (Montfort) / Solaire</t>
  </si>
  <si>
    <t>XSB</t>
  </si>
  <si>
    <t>XSAN</t>
  </si>
  <si>
    <t>BPF</t>
  </si>
  <si>
    <t>CDC-R</t>
  </si>
  <si>
    <t>Bridage acoustique moins fort (on passe de 2.8 à 1.3%) grâce aux French Modes, mais seulement pour moitié de l’année donc amélioration de 0,75%. Cette amélioration avait été intégrée pour moitié sur BP2020, finalement NON réalisée</t>
  </si>
  <si>
    <t>L'effet IDF sera déjà appréciable en 2021, même si limité aux périodes d'observation (25 jours) à la hauteur de 385 MWh, soit 1,5% de la ligne Nord. Les gains seront présents en
2022 à la hauteur de 1,8% (de la prod totale) de bridage horaire 3,4% de bridage Agricole (ce dernier bridage a été répartie sur les deux linéaires même si le
linéaire nord est plus affecté 5/9 sur le nord et 4/9 sud)</t>
  </si>
  <si>
    <t>1,8% de bridage horaire 3,4% de bridage Agricole (ce bridage a été répartie sur les deux linéaires même si le linéaire
nord est plus affecté 5/9 sur le nord et 4/9 sud)</t>
  </si>
  <si>
    <t>B2020</t>
  </si>
  <si>
    <t>B2021</t>
  </si>
  <si>
    <t>nouveaux parcs 2020</t>
  </si>
  <si>
    <t>nouveaux parcs 2021</t>
  </si>
  <si>
    <t>arrêt 2021</t>
  </si>
  <si>
    <t>arrêt 2020</t>
  </si>
  <si>
    <t>21 vs 20</t>
  </si>
  <si>
    <t>CA</t>
  </si>
  <si>
    <t>passage tarif marché/PPA 2021</t>
  </si>
  <si>
    <t>passage tarif marché/PPA 2020</t>
  </si>
  <si>
    <t>TARGET 2021</t>
  </si>
  <si>
    <t>T vs 21</t>
  </si>
  <si>
    <t>Mise en service 2021</t>
  </si>
  <si>
    <t>Arrêts pour Repowering</t>
  </si>
  <si>
    <t>Passage tarif EDF à marché ou PPA</t>
  </si>
  <si>
    <t>Avignonet</t>
  </si>
  <si>
    <t>Saint Christophe - Clé des champs</t>
  </si>
  <si>
    <t>Cham Longe démantelèlement</t>
  </si>
  <si>
    <t>Effets de sillage</t>
  </si>
  <si>
    <t>A4050030</t>
  </si>
  <si>
    <t>A4050050</t>
  </si>
  <si>
    <t>St Patrick</t>
  </si>
  <si>
    <t>Bridage acoustique plus fort entre BP2020 et BP2021 -1.4%, 
bridage avifaune moins fort +1.4% 
et une amélioration TCU de 0.5% non prévue sur BP2020</t>
  </si>
  <si>
    <t>Amélioration de +0.6% grâce PPO déjà intégrée en partie au BP2020
et bridage avifaune plus fort -3.3% sur 2021</t>
  </si>
  <si>
    <t>Bridage acoustique plus fort entre BP 2020 et 2021 de -5.34% (on passe de 1.41% à 6.75%) 
et bridage avifaune sur BP 2021 de -0.8%</t>
  </si>
  <si>
    <t>Bridage acoustique moins fort entre BP2020 et 2021 de +4% (on passe de 10.1% à 6.1%), 
bridage avifaune en plus de -0.8% 
et amélioration de +0.5% grâce augmentation de puissance aux machines avec bridage aux PDL</t>
  </si>
  <si>
    <t>Bridage avifaune moins fort entre BP2020 et 2021 de +3.6% (on passe de 10.7% à 7,1% en incluant 2 % de chiroptère pas présent en 2020). 
et amélioration de +1.5% grâce à l'IDF (l'effet de l'IDF sera déjà appréciable en 2021, même si limité aux périodes d'observation (25 jours) à la hauteur de 385 MWh, soit 1,5% de la ligne Nord. L'amélioration complète de l'IDF est à considérer seulement à partir de 2022 pour 1,8%)</t>
  </si>
  <si>
    <t>Grâce aux radars on gagne 5,3% (1043 MWh) déjà en 2021 puis pour 2022 le bridage résiduel sera d'environ 1%.
Le reste de l'écart porte entre le budget 2020 et le P50 de Brome (nous n'avions pas pris la dernière version au BP2020)</t>
  </si>
  <si>
    <t>Grâce aux radars on gagne 5,5% (1149 MWh) déjà en 2021 puis pour 2022 le bridage résiduel sera d'environ 1%.
Et bridage avifaune plus fort entre BP2020 et BP2021 -1.78%</t>
  </si>
  <si>
    <t>hypothèse BP 2020 = mise en service en juin vs BP2021 full year</t>
  </si>
  <si>
    <t>Amélioration de 0.+5%  augmentation de puissance aux machines avec bridage aux PDL sur BP2021 et Brome, 
et bridage acoustique moins fort +8.8 (on passe de 8.9% à 0.1%)
le reste de l'écart porte sur un arrondi entre P50 et BP2020</t>
  </si>
  <si>
    <t>hypothèse BP 2020 = mise en service en nov 2020 vs full year au BP2021</t>
  </si>
  <si>
    <t>hypothèse BP 2020 = mise en service en déc 2020 vs full year au BP2021</t>
  </si>
  <si>
    <t>Nouveau parc, mise en service 09/2021</t>
  </si>
  <si>
    <t>Nouveau parc, mise en service 11/2021</t>
  </si>
  <si>
    <t>Nouveau parc, mise en service 10/2021</t>
  </si>
  <si>
    <t>Nouveau parc, mise en service 05/2021</t>
  </si>
  <si>
    <t>solaire, on ne load pas de machine</t>
  </si>
  <si>
    <t>saisonnalité tarif de marché A19 Avignonet</t>
  </si>
  <si>
    <t>Commentaires Amelioration Disponibilité (David + Pascal le 11/09)</t>
  </si>
  <si>
    <r>
      <t xml:space="preserve">Amélioration fiabilité (disponibilité) </t>
    </r>
    <r>
      <rPr>
        <sz val="11"/>
        <color rgb="FFFF0000"/>
        <rFont val="Calibri"/>
        <family val="2"/>
        <scheme val="minor"/>
      </rPr>
      <t>déjà integré en BP2020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(+200 MWh)</t>
    </r>
  </si>
  <si>
    <t>Equipes plus dispo pour le givre, +1%</t>
  </si>
  <si>
    <r>
      <t xml:space="preserve">Amélioration performance PCU/AAO déjà intégrée au BP2020 </t>
    </r>
    <r>
      <rPr>
        <sz val="11"/>
        <color rgb="FFFF0000"/>
        <rFont val="Calibri"/>
        <family val="2"/>
        <scheme val="minor"/>
      </rPr>
      <t>(2/3 des gains totaux à 3,3%)</t>
    </r>
  </si>
  <si>
    <t xml:space="preserve">Nombreuses action sont en cours (Scada, contrat GE, analise AMDEC, renforcement de l'équipe) : en moyenne sur l'année +2,3% </t>
  </si>
  <si>
    <r>
      <t xml:space="preserve">Amélioration de 0.5% grâce TCU sur BP2021, </t>
    </r>
    <r>
      <rPr>
        <sz val="11"/>
        <color rgb="FFFF0000"/>
        <rFont val="Calibri"/>
        <family val="2"/>
        <scheme val="minor"/>
      </rPr>
      <t>déjà presente en 2020, mais pas integré dans le BP2020 par erreur de saisie.</t>
    </r>
  </si>
  <si>
    <t>Tendence positive en 2020, la fiabilisation porte ses fruits: augmentation 0,2%</t>
  </si>
  <si>
    <t>Une amelioration pour Energy trust avait été prevue, mais pas mise en BP2020, action finalement abbandonée.</t>
  </si>
  <si>
    <t>Malgré l'incendie, nombreuses action sont en cours (Scada, contrat GE, analise AMDEC),  même avec redemarrage en mars de E4 en moyenne sur l'anné, +1,3%</t>
  </si>
  <si>
    <r>
      <t xml:space="preserve">Bridage acoustique plus fort entre BP2020 et BP2021 -1.4%, bridage avifaune moins fort +1.4% et une amélioration TCU de 0.5% </t>
    </r>
    <r>
      <rPr>
        <sz val="11"/>
        <color rgb="FFFF0000"/>
        <rFont val="Calibri"/>
        <family val="2"/>
        <scheme val="minor"/>
      </rPr>
      <t>déjà presente en 2020, mais pas integré dans le BP2020 par erreur de saisie.</t>
    </r>
  </si>
  <si>
    <r>
      <t xml:space="preserve">Amélioration sur détection de givre 0.5% +TCU de 0.5% </t>
    </r>
    <r>
      <rPr>
        <sz val="11"/>
        <color rgb="FFFF0000"/>
        <rFont val="Calibri"/>
        <family val="2"/>
        <scheme val="minor"/>
      </rPr>
      <t>déjà presente en 2020, mais pas integré dans le BP2020 par erreur de saisie.</t>
    </r>
  </si>
  <si>
    <t>Comme pour Ally les équipes seront plus disponibles + tendence positive, +2%</t>
  </si>
  <si>
    <r>
      <t xml:space="preserve">Amélioration de 0.6% grâce PPO déjà intégrée en partie au BP2020, </t>
    </r>
    <r>
      <rPr>
        <sz val="11"/>
        <color rgb="FFFF0000"/>
        <rFont val="Calibri"/>
        <family val="2"/>
        <scheme val="minor"/>
      </rPr>
      <t>mais bridage chiro plus fort en 2021.</t>
    </r>
  </si>
  <si>
    <r>
      <t xml:space="preserve">Bridage avifaune plus fort de -1.2% entre BP2020 et 2021, et amélioration TCU </t>
    </r>
    <r>
      <rPr>
        <sz val="11"/>
        <color rgb="FFFF0000"/>
        <rFont val="Calibri"/>
        <family val="2"/>
        <scheme val="minor"/>
      </rPr>
      <t xml:space="preserve">0,5% </t>
    </r>
    <r>
      <rPr>
        <sz val="11"/>
        <color theme="1"/>
        <rFont val="Calibri"/>
        <family val="2"/>
        <scheme val="minor"/>
      </rPr>
      <t>déjà intégrée dans Brome en 2019</t>
    </r>
  </si>
  <si>
    <r>
      <t xml:space="preserve">Bridage avifaune plus fort de -1.2% entre BP2020 et 2021, et amélioration TCU déjà intégrée dans Brome en 2019. </t>
    </r>
    <r>
      <rPr>
        <sz val="11"/>
        <color rgb="FFFF0000"/>
        <rFont val="Calibri"/>
        <family val="2"/>
        <scheme val="minor"/>
      </rPr>
      <t>Les serrations n'ont pas effet sur la production.</t>
    </r>
  </si>
  <si>
    <r>
      <t>Amélioration PPO de +0.3%</t>
    </r>
    <r>
      <rPr>
        <sz val="11"/>
        <color rgb="FFFF0000"/>
        <rFont val="Calibri"/>
        <family val="2"/>
        <scheme val="minor"/>
      </rPr>
      <t xml:space="preserve"> déjà incluses au BP2020, le plus du BP 2021 porte sur un arrondi</t>
    </r>
  </si>
  <si>
    <t>Tendence positive en 2020, machines tres fiables, +1%.</t>
  </si>
  <si>
    <r>
      <t xml:space="preserve">Amélioration de 0.5% grâce PPO </t>
    </r>
    <r>
      <rPr>
        <sz val="11"/>
        <color rgb="FFFF0000"/>
        <rFont val="Calibri"/>
        <family val="2"/>
        <scheme val="minor"/>
      </rPr>
      <t>(amelioration qui aurait dû être mise au BP2020, mais oublié dans le saisie) +</t>
    </r>
    <r>
      <rPr>
        <sz val="11"/>
        <color theme="1"/>
        <rFont val="Calibri"/>
        <family val="2"/>
        <scheme val="minor"/>
      </rPr>
      <t xml:space="preserve"> 0.5% augmentation de puissance aux machines avec </t>
    </r>
    <r>
      <rPr>
        <u/>
        <sz val="11"/>
        <color theme="1"/>
        <rFont val="Calibri"/>
        <family val="2"/>
        <scheme val="minor"/>
      </rPr>
      <t>bridage</t>
    </r>
    <r>
      <rPr>
        <sz val="11"/>
        <color theme="1"/>
        <rFont val="Calibri"/>
        <family val="2"/>
        <scheme val="minor"/>
      </rPr>
      <t xml:space="preserve"> aux PDL sur BP2021 vs Brome. </t>
    </r>
  </si>
  <si>
    <r>
      <t xml:space="preserve">Amélioration de 0.5% grâce PPO </t>
    </r>
    <r>
      <rPr>
        <sz val="11"/>
        <color rgb="FFFF0000"/>
        <rFont val="Calibri"/>
        <family val="2"/>
        <scheme val="minor"/>
      </rPr>
      <t xml:space="preserve">(amelioration qui aurait dû être mise au BP2020, mais oublié dans le saisie) + </t>
    </r>
    <r>
      <rPr>
        <sz val="11"/>
        <color theme="1"/>
        <rFont val="Calibri"/>
        <family val="2"/>
        <scheme val="minor"/>
      </rPr>
      <t xml:space="preserve"> 1.2% augmentation de puissance aux machines et </t>
    </r>
    <r>
      <rPr>
        <u/>
        <sz val="11"/>
        <color theme="1"/>
        <rFont val="Calibri"/>
        <family val="2"/>
        <scheme val="minor"/>
      </rPr>
      <t>débridage</t>
    </r>
    <r>
      <rPr>
        <sz val="11"/>
        <color theme="1"/>
        <rFont val="Calibri"/>
        <family val="2"/>
        <scheme val="minor"/>
      </rPr>
      <t xml:space="preserve"> aux PDL sur BP2021 vs Brome</t>
    </r>
  </si>
  <si>
    <r>
      <t xml:space="preserve">Amélioration de 0.5% grâce PPO </t>
    </r>
    <r>
      <rPr>
        <sz val="11"/>
        <color rgb="FFFF0000"/>
        <rFont val="Calibri"/>
        <family val="2"/>
        <scheme val="minor"/>
      </rPr>
      <t>(amelioration qui aurait dû être mise au BP2020, mais oublié dans le saisie) +</t>
    </r>
    <r>
      <rPr>
        <sz val="11"/>
        <color theme="1"/>
        <rFont val="Calibri"/>
        <family val="2"/>
        <scheme val="minor"/>
      </rPr>
      <t xml:space="preserve"> 0.1% grâce optimisation Yaw sur BP2021 vs Brome. </t>
    </r>
    <r>
      <rPr>
        <sz val="11"/>
        <color rgb="FFFF0000"/>
        <rFont val="Calibri"/>
        <family val="2"/>
        <scheme val="minor"/>
      </rPr>
      <t>De plus il faut rajouter l'augmentation de puissance aux turbines de 3,3 MW à 3,45, tout en gardant le bridage au Poste HTB à 29,7 MW, ce qui rajoute 1,0% au productible (pas au BP2020, mais déjà réalisé en T4-20).</t>
    </r>
  </si>
  <si>
    <r>
      <t xml:space="preserve">Bridage acoustique moins fort </t>
    </r>
    <r>
      <rPr>
        <sz val="11"/>
        <color rgb="FFFF0000"/>
        <rFont val="Calibri"/>
        <family val="2"/>
        <scheme val="minor"/>
      </rPr>
      <t xml:space="preserve">que prevu dans Brome </t>
    </r>
    <r>
      <rPr>
        <sz val="11"/>
        <color theme="1"/>
        <rFont val="Calibri"/>
        <family val="2"/>
        <scheme val="minor"/>
      </rPr>
      <t>(on passe de 6.35 à 3.6%)</t>
    </r>
  </si>
  <si>
    <r>
      <t>Bridage acoustique plus fort entre BP 2020</t>
    </r>
    <r>
      <rPr>
        <sz val="11"/>
        <color rgb="FFFF0000"/>
        <rFont val="Calibri"/>
        <family val="2"/>
        <scheme val="minor"/>
      </rPr>
      <t xml:space="preserve"> (=Brome) </t>
    </r>
    <r>
      <rPr>
        <sz val="11"/>
        <rFont val="Calibri"/>
        <family val="2"/>
        <scheme val="minor"/>
      </rPr>
      <t xml:space="preserve">et 2021 : on passe de 1.41% à 6.75%. </t>
    </r>
    <r>
      <rPr>
        <sz val="11"/>
        <color rgb="FFFF0000"/>
        <rFont val="Calibri"/>
        <family val="2"/>
        <scheme val="minor"/>
      </rPr>
      <t>Pareil pour le bridage avifaune qui passe de 0% à 0.8% en BP2021.</t>
    </r>
  </si>
  <si>
    <r>
      <t xml:space="preserve">Bridage acoustique moins fort entre BP2020 </t>
    </r>
    <r>
      <rPr>
        <sz val="11"/>
        <color rgb="FFFF0000"/>
        <rFont val="Calibri"/>
        <family val="2"/>
        <scheme val="minor"/>
      </rPr>
      <t xml:space="preserve">(=Brome) </t>
    </r>
    <r>
      <rPr>
        <sz val="11"/>
        <color theme="1"/>
        <rFont val="Calibri"/>
        <family val="2"/>
        <scheme val="minor"/>
      </rPr>
      <t xml:space="preserve">et 2021 (on passe de 10.1% à 6.1%). Pour le bridage avifaune on passe </t>
    </r>
    <r>
      <rPr>
        <sz val="11"/>
        <color rgb="FFFF0000"/>
        <rFont val="Calibri"/>
        <family val="2"/>
        <scheme val="minor"/>
      </rPr>
      <t>de 0% BP2020 (=Brome) à 0.8% BP2021. De plus il y a une amélioration de +0.5% grâce augmentation de puissance aux machines avec bridage aux PDL (action pas prevue au BP2020, mais réalisée sur T4-20)</t>
    </r>
  </si>
  <si>
    <r>
      <t xml:space="preserve">Bridage avifaune moins fort entre BP2020 et 2021 (on passe de 10.7% à 7,1% en incluant 2 % de chiroptère pas présent en 2020). L'amélioration complète de l'IDF est à considérer seulement à partir de 2022, mais déjà en 2021 nous avons un gain de 385 MWh, pendant la période d’observation (25 jours). </t>
    </r>
    <r>
      <rPr>
        <sz val="11"/>
        <color rgb="FFFF0000"/>
        <rFont val="Calibri"/>
        <family val="2"/>
        <scheme val="minor"/>
      </rPr>
      <t>L'amelioration avec les French Modes prevue en BP2020 a été abbandonée (0,035 GWh).</t>
    </r>
  </si>
  <si>
    <t>Tendence positive en 2020, turbines tres fiables, +2,2%</t>
  </si>
  <si>
    <r>
      <t xml:space="preserve">Bridage avifaune moins fort entre BP2020 et 2021 (on passe de 10.7% à 7,1% en incluant 2 % de chiroptère pas présent en 2020). Pas d'amélioration de l'IDF en 2021, car pas encore installé. </t>
    </r>
    <r>
      <rPr>
        <sz val="11"/>
        <color rgb="FFFF0000"/>
        <rFont val="Calibri"/>
        <family val="2"/>
        <scheme val="minor"/>
      </rPr>
      <t>L'amelioration avec les French Modes prevue en BP2020 a été abbandonée (0,035 GWh).</t>
    </r>
  </si>
  <si>
    <t>Tendence positive en 2020, +1%.</t>
  </si>
  <si>
    <t>Tendence tres positive en 2020 : +2%.</t>
  </si>
  <si>
    <r>
      <t xml:space="preserve">Arrondi sur Brome entre BP2020 et 2021, et amélioration PPO de 0.6% </t>
    </r>
    <r>
      <rPr>
        <sz val="11"/>
        <color rgb="FFFF0000"/>
        <rFont val="Calibri"/>
        <family val="2"/>
        <scheme val="minor"/>
      </rPr>
      <t>(amelioration qui aurait dû être mise au BP2020, mais oublié dans le saisie)</t>
    </r>
  </si>
  <si>
    <r>
      <t xml:space="preserve">Grâce aux radars on gagne 5,3% (1043 MWh) déjà en 2021 puis pour 2022 le bridage résiduel sera d'environ 1%. </t>
    </r>
    <r>
      <rPr>
        <sz val="11"/>
        <color rgb="FFFF0000"/>
        <rFont val="Calibri"/>
        <family val="2"/>
        <scheme val="minor"/>
      </rPr>
      <t>Pour info, au BP2020 il y aurait du y avoir une augmengtation de 160 MWh sur 2020, grace à des serrations, amlioration qui n'a pas eu lieu, faute de rentabilité.</t>
    </r>
  </si>
  <si>
    <r>
      <t>Grâce aux radars on gagne 5,5% (1149 MWh) déjà en 2021 puis pour 2022 le bridage résiduel sera d'environ 1%</t>
    </r>
    <r>
      <rPr>
        <sz val="11"/>
        <color rgb="FFFF0000"/>
        <rFont val="Calibri"/>
        <family val="2"/>
        <scheme val="minor"/>
      </rPr>
      <t>, donc amelioration de plus de 6%.</t>
    </r>
  </si>
  <si>
    <r>
      <t xml:space="preserve">Amélioration de 0.3% grâce PPO et 0.5% </t>
    </r>
    <r>
      <rPr>
        <sz val="11"/>
        <color rgb="FFFF0000"/>
        <rFont val="Calibri"/>
        <family val="2"/>
        <scheme val="minor"/>
      </rPr>
      <t>(déjà présent au BP2020)</t>
    </r>
    <r>
      <rPr>
        <sz val="11"/>
        <color theme="1"/>
        <rFont val="Calibri"/>
        <family val="2"/>
        <scheme val="minor"/>
      </rPr>
      <t xml:space="preserve"> + augmentation de puissance aux machines avec bridage aux PDL sur BP2021 </t>
    </r>
    <r>
      <rPr>
        <sz val="11"/>
        <color rgb="FFFF0000"/>
        <rFont val="Calibri"/>
        <family val="2"/>
        <scheme val="minor"/>
      </rPr>
      <t>par rapport à</t>
    </r>
    <r>
      <rPr>
        <sz val="11"/>
        <color theme="1"/>
        <rFont val="Calibri"/>
        <family val="2"/>
        <scheme val="minor"/>
      </rPr>
      <t xml:space="preserve"> Brome</t>
    </r>
    <r>
      <rPr>
        <sz val="11"/>
        <color rgb="FFFF0000"/>
        <rFont val="Calibri"/>
        <family val="2"/>
        <scheme val="minor"/>
      </rPr>
      <t xml:space="preserve"> (cette dernière amelioration approte déjà des avantages en T4 2020)</t>
    </r>
    <r>
      <rPr>
        <sz val="11"/>
        <color theme="1"/>
        <rFont val="Calibri"/>
        <family val="2"/>
        <scheme val="minor"/>
      </rPr>
      <t>.</t>
    </r>
  </si>
  <si>
    <t>Dans le BP2020 il y avait +200 MWh (+0,4% vs Brome) sur la totalité du parc (BTN1 et 2) grâce à l'amelioration de la puissance au PDL (qui en réalité ne concernait que BTN2, réalisé au T3-20). De plus, pour BP2021 il faut considerer uner augmentation de 0.5%, grace à le debridage des machines (de 3,3 MW à 3,45 MW), mais avec maintien du bridage aux PDL BTN1 (réalisée également T3-20. Malheuresusement le Bridage avifaune passe de 0% sur BP2020 (=Brome) à 0.7% sur BP 2021, ce qui annulle tout effet positif.</t>
  </si>
  <si>
    <r>
      <t xml:space="preserve">Arrondi entre P50 et BP2020, Amélioration de 0.5% augmentation de puissance aux machines avec bridage aux PDL sur BP2021 vs Brome </t>
    </r>
    <r>
      <rPr>
        <sz val="11"/>
        <color rgb="FFFF0000"/>
        <rFont val="Calibri"/>
        <family val="2"/>
        <scheme val="minor"/>
      </rPr>
      <t>(amélioration pas en BP2020 mais réalisé T3-20)</t>
    </r>
    <r>
      <rPr>
        <sz val="11"/>
        <rFont val="Calibri"/>
        <family val="2"/>
        <scheme val="minor"/>
      </rPr>
      <t>, et bridage acoustique moins fort (on passe de 8.9% à 0.1%).</t>
    </r>
  </si>
  <si>
    <r>
      <t xml:space="preserve">Arrondi entre P50 et BP2020, Amélioration de 0.5%  augmentation de puissance aux machines avec bridage aux PDL sur BP2021 et Brome </t>
    </r>
    <r>
      <rPr>
        <sz val="11"/>
        <color rgb="FFFF0000"/>
        <rFont val="Calibri"/>
        <family val="2"/>
        <scheme val="minor"/>
      </rPr>
      <t>(action pas prevue au BP2020, mais réalisée sur T4-20)</t>
    </r>
    <r>
      <rPr>
        <sz val="11"/>
        <rFont val="Calibri"/>
        <family val="2"/>
        <scheme val="minor"/>
      </rPr>
      <t>, et bridage acoustique moins fort (on passe de 8.9% à 0.1%)</t>
    </r>
  </si>
  <si>
    <t>Productibles Premier load</t>
  </si>
  <si>
    <t>Ecart productibles 1er load vs nvx load</t>
  </si>
  <si>
    <t>Date prévisionnelle de démantèlement : 01/11/2021</t>
  </si>
  <si>
    <t>E6571</t>
  </si>
  <si>
    <t>chepy nibas plouguin au tarif de marché =?</t>
  </si>
  <si>
    <t>718K€</t>
  </si>
  <si>
    <t>2ème round: tres bons resultats en 2020, nous pouvons tabler sur +1% pour 2021.</t>
  </si>
  <si>
    <t>2ème round: nous pouvons tabler sur +0,3% pour 2021 car fiabilisation des roulements faite.</t>
  </si>
  <si>
    <t>Tendence positive en 2020, la fiabilisation porte ses fruits, +1% + 0,5% en 2éme round</t>
  </si>
  <si>
    <t>ancien tarif marché Powry</t>
  </si>
  <si>
    <t>SFERMEAVI1C</t>
  </si>
  <si>
    <t>JAN 2020 [KWh]</t>
  </si>
  <si>
    <t>FEB 2020 [KWh]</t>
  </si>
  <si>
    <t>MAR 2020 [KWh]</t>
  </si>
  <si>
    <t>APR 2020 [KWh]</t>
  </si>
  <si>
    <t>MAY 2020 [KWh]</t>
  </si>
  <si>
    <t>JUNE 2020 [KWh]</t>
  </si>
  <si>
    <t>JULY 2020 [KWh]</t>
  </si>
  <si>
    <t>AUG 2020 [KWh]</t>
  </si>
  <si>
    <t>SEPT 2020 [KWh]</t>
  </si>
  <si>
    <t>OCT 2020 [KWh]</t>
  </si>
  <si>
    <t>NOV 2020 [KWh]</t>
  </si>
  <si>
    <t>DEC 2020 [KWh]</t>
  </si>
  <si>
    <t>A4060010</t>
  </si>
  <si>
    <t>REV_ELECT_TOT</t>
  </si>
  <si>
    <t>taux de dispo - A saisir dans Longview</t>
  </si>
  <si>
    <t>B22_01</t>
  </si>
  <si>
    <t>B22_02</t>
  </si>
  <si>
    <t>B22_03</t>
  </si>
  <si>
    <t>B22_04</t>
  </si>
  <si>
    <t>B22_05</t>
  </si>
  <si>
    <t>B22_06</t>
  </si>
  <si>
    <t>B22_07</t>
  </si>
  <si>
    <t>B22_08</t>
  </si>
  <si>
    <t>B22_09</t>
  </si>
  <si>
    <t>B22_10</t>
  </si>
  <si>
    <t>B22_11</t>
  </si>
  <si>
    <t>B22_12</t>
  </si>
  <si>
    <t>B22_01_YTD</t>
  </si>
  <si>
    <t>B22_02_YTD</t>
  </si>
  <si>
    <t>B22_03_YTD</t>
  </si>
  <si>
    <t>B22_04_YTD</t>
  </si>
  <si>
    <t>B22_05_YTD</t>
  </si>
  <si>
    <t>B22_06_YTD</t>
  </si>
  <si>
    <t>B22_07_YTD</t>
  </si>
  <si>
    <t>B22_08_YTD</t>
  </si>
  <si>
    <t>B22_09_YTD</t>
  </si>
  <si>
    <t>B22_10_YTD</t>
  </si>
  <si>
    <t>B22_11_YTD</t>
  </si>
  <si>
    <t>B22_12_YTD</t>
  </si>
  <si>
    <t>A21_01</t>
  </si>
  <si>
    <t>A21_02</t>
  </si>
  <si>
    <t>A21_03</t>
  </si>
  <si>
    <t>A21_04</t>
  </si>
  <si>
    <t>A21_05</t>
  </si>
  <si>
    <t>A21_06</t>
  </si>
  <si>
    <t>A21_07</t>
  </si>
  <si>
    <t>A21_08</t>
  </si>
  <si>
    <t>A21_09</t>
  </si>
  <si>
    <t>A21_10</t>
  </si>
  <si>
    <t>A21_11</t>
  </si>
  <si>
    <t>A21_12</t>
  </si>
  <si>
    <t>Tarif de facturation 2022</t>
  </si>
  <si>
    <t>Chiffre d'affaires 2022</t>
  </si>
  <si>
    <t>Production B2022 - A saisir dans Longview</t>
  </si>
  <si>
    <t>La Grande Borne</t>
  </si>
  <si>
    <t>Repowering Evit Et Josaphats</t>
  </si>
  <si>
    <t>Repowering Reclainville</t>
  </si>
  <si>
    <t>Bois des Fontaines</t>
  </si>
  <si>
    <t>Repowering Bougainville</t>
  </si>
  <si>
    <t>E6730</t>
  </si>
  <si>
    <t>E6740</t>
  </si>
  <si>
    <t>E6760</t>
  </si>
  <si>
    <t>PRICE_FEEDIN_REV (prix contrat - M0 + prime gestion)</t>
  </si>
  <si>
    <t>PRICE_ELECT_SOLD (M0 +/- variation M0)</t>
  </si>
  <si>
    <t>PRICE_FEEDIN_REV</t>
  </si>
  <si>
    <t>tarif de marché</t>
  </si>
  <si>
    <t>PPA</t>
  </si>
  <si>
    <t>PPA pas de changement</t>
  </si>
  <si>
    <t>DAFR en cours</t>
  </si>
  <si>
    <t>plafond en fin année + indexation au 1er janv</t>
  </si>
  <si>
    <t>indexation au 01/08/22</t>
  </si>
  <si>
    <t>indexation au 01/12/21</t>
  </si>
  <si>
    <t>tarif marché</t>
  </si>
  <si>
    <t>Marché</t>
  </si>
  <si>
    <t>CR E16</t>
  </si>
  <si>
    <t>CR E17</t>
  </si>
  <si>
    <t>Ronchois</t>
  </si>
  <si>
    <t>Vallée d'Arce</t>
  </si>
  <si>
    <t>Haut de Conge</t>
  </si>
  <si>
    <t>Pannecé</t>
  </si>
  <si>
    <t>Coulonges</t>
  </si>
  <si>
    <t>SdlL</t>
  </si>
  <si>
    <t>Monts de Bagny</t>
  </si>
  <si>
    <t>Artois</t>
  </si>
  <si>
    <t>Extension plaine d'Escrebieux (XPE)</t>
  </si>
  <si>
    <t>R-RCL - Remise Reclainville</t>
  </si>
  <si>
    <t xml:space="preserve">R-EEJ - Evits et Josaphats </t>
  </si>
  <si>
    <t>Bois des Fontaines (extension EEJ)</t>
  </si>
  <si>
    <t>R-BGV - Bougainville</t>
  </si>
  <si>
    <t>A22_01</t>
  </si>
  <si>
    <t>A22_02</t>
  </si>
  <si>
    <t>A22_03</t>
  </si>
  <si>
    <t>A22_04</t>
  </si>
  <si>
    <t>A22_05</t>
  </si>
  <si>
    <t>A22_06</t>
  </si>
  <si>
    <t>A22_07</t>
  </si>
  <si>
    <t>A22_08</t>
  </si>
  <si>
    <t>A22_09</t>
  </si>
  <si>
    <t>A22_10</t>
  </si>
  <si>
    <t>A22_11</t>
  </si>
  <si>
    <t>A22_12</t>
  </si>
  <si>
    <t>arrêt pour repowering</t>
  </si>
  <si>
    <t>mise en service du repowering</t>
  </si>
  <si>
    <t>Parcs concernés</t>
  </si>
  <si>
    <t>Tarif</t>
  </si>
  <si>
    <t>Période début</t>
  </si>
  <si>
    <t>Période fin</t>
  </si>
  <si>
    <t>Prorata production</t>
  </si>
  <si>
    <t>arrêt pour repowering au 01/01/22</t>
  </si>
  <si>
    <t>arrêt pour repowering au 01/07/22</t>
  </si>
  <si>
    <t>CR FET17/AO</t>
  </si>
  <si>
    <t>check Eolien</t>
  </si>
  <si>
    <t>Budget 2022 Eolien MTD</t>
  </si>
  <si>
    <t>check Solaire</t>
  </si>
  <si>
    <t>Budget 2022 BOREURC</t>
  </si>
  <si>
    <t>Check Boreurc</t>
  </si>
  <si>
    <t>SMES - OK cadre avec capacité installée -02/09/2021</t>
  </si>
  <si>
    <t>SMES - OK cadre avec capacité installée - 02/09/2021</t>
  </si>
  <si>
    <t>Mise en service 2022</t>
  </si>
  <si>
    <t>BAZ - XPE - LGB - CDC</t>
  </si>
  <si>
    <t>PEY - BDF - R-EEJ - R-RCL - R-BGV</t>
  </si>
  <si>
    <t>EEJ + RCL + BGV + REN</t>
  </si>
  <si>
    <t>CIT - LUC - MDB</t>
  </si>
  <si>
    <t>version 0</t>
  </si>
  <si>
    <t>du 21/09/2021</t>
  </si>
  <si>
    <t>Budget 2021 (KWh) - P50</t>
  </si>
  <si>
    <t>Disponibilité énergétique réelle étude (%)</t>
  </si>
  <si>
    <t>Disponibilité énergétique réelle budget 2022 (%)</t>
  </si>
  <si>
    <t>Bridage acoustique dernière étude (%)</t>
  </si>
  <si>
    <t>Bridage acoustique budget 2022 (%)</t>
  </si>
  <si>
    <t>Bridage avifaune dernière étude (%)</t>
  </si>
  <si>
    <t>Bridage avifaune budget 2022 (%)</t>
  </si>
  <si>
    <t>Améliorations excellence opérationnelle (%) 2021</t>
  </si>
  <si>
    <t>Améliorations excellence opérationnelle (%) 2022</t>
  </si>
  <si>
    <t>Budget 2022 (KWh) - P50</t>
  </si>
  <si>
    <t xml:space="preserve">Budget 2022 (KWh) - P90 </t>
  </si>
  <si>
    <t>Ecart budget 2021 vs 2022</t>
  </si>
  <si>
    <t>Ecart B21 vs B22</t>
  </si>
  <si>
    <t>Ecart Brome vs B22</t>
  </si>
  <si>
    <t>détails ameliorations 2022</t>
  </si>
  <si>
    <t>COPIE 
détails ameliorations 2021</t>
  </si>
  <si>
    <t>Ecart productible P50 2022 vs P50 2021</t>
  </si>
  <si>
    <t>Ecart % productible P50 2022 vs P50 2022</t>
  </si>
  <si>
    <t>Raison modification P50</t>
  </si>
  <si>
    <t>ANCIEN P50 net Etude - avec disponibilité, bridage acoustique et avifaune - tiens compte de la date de mise en service (KWh)</t>
  </si>
  <si>
    <t>Saisie Giannino</t>
  </si>
  <si>
    <t>YB70 - DNV - 16.07.2021</t>
  </si>
  <si>
    <t>-</t>
  </si>
  <si>
    <t>sillage</t>
  </si>
  <si>
    <t>Am</t>
  </si>
  <si>
    <t>Amélioration de 0.5% grâce TCU sur BP2021, déjà presente en 2020, mais pas integré dans le BP2020 par erreur de saisie.</t>
  </si>
  <si>
    <t>nouveau calculs</t>
  </si>
  <si>
    <t>Bridage acoustique plus fort entre BP2020 et BP2021 -1.4%, bridage avifaune moins fort +1.4% et une amélioration TCU de 0.5% déjà presente en 2020, mais pas integré dans le BP2020 par erreur de saisie.</t>
  </si>
  <si>
    <r>
      <t xml:space="preserve">Amélioration sur détection de </t>
    </r>
    <r>
      <rPr>
        <sz val="11"/>
        <color rgb="FFFF0000"/>
        <rFont val="Calibri"/>
        <family val="2"/>
        <scheme val="minor"/>
      </rPr>
      <t>givre 1.0% +</t>
    </r>
    <r>
      <rPr>
        <sz val="11"/>
        <color theme="1"/>
        <rFont val="Calibri"/>
        <family val="2"/>
        <scheme val="minor"/>
      </rPr>
      <t>TCU de 0.5% déjà presente en 2020, mais pas integré dans le BP2020 par erreur de saisie.</t>
    </r>
  </si>
  <si>
    <t>Amélioration de 0.6% grâce PPO déjà intégrée en partie au BP2020, mais bridage chiro plus fort en 2021.</t>
  </si>
  <si>
    <t>Amélioration PPO de +0.3% déjà incluses au BP2020, le plus du BP 2021 porte sur un arrondi</t>
  </si>
  <si>
    <t>Bridage acoustique moins fort (on passe de 2.8 à 2.2%) grâce aux French Modes déjà en début 2021.</t>
  </si>
  <si>
    <t>retouche productible</t>
  </si>
  <si>
    <r>
      <t xml:space="preserve">Amélioration de 0.5% (déjà debut 2020) grâce PPO + 0.5% augmentation de puissance aux machines avec </t>
    </r>
    <r>
      <rPr>
        <u/>
        <sz val="11"/>
        <color rgb="FFFF0000"/>
        <rFont val="Calibri"/>
        <family val="2"/>
        <scheme val="minor"/>
      </rPr>
      <t>bridage</t>
    </r>
    <r>
      <rPr>
        <sz val="11"/>
        <color rgb="FFFF0000"/>
        <rFont val="Calibri"/>
        <family val="2"/>
        <scheme val="minor"/>
      </rPr>
      <t xml:space="preserve"> aux PDL déjà début 2021. </t>
    </r>
  </si>
  <si>
    <t>AP</t>
  </si>
  <si>
    <r>
      <t xml:space="preserve">Amélioration de 0.5% (déjà debut 2020) grâce PPO + 1.2% augmentation de puissance aux machines SANS </t>
    </r>
    <r>
      <rPr>
        <u/>
        <sz val="11"/>
        <color rgb="FFFF0000"/>
        <rFont val="Calibri"/>
        <family val="2"/>
        <scheme val="minor"/>
      </rPr>
      <t>bridage</t>
    </r>
    <r>
      <rPr>
        <sz val="11"/>
        <color rgb="FFFF0000"/>
        <rFont val="Calibri"/>
        <family val="2"/>
        <scheme val="minor"/>
      </rPr>
      <t xml:space="preserve"> aux PDL déjà début 2021. </t>
    </r>
  </si>
  <si>
    <r>
      <t xml:space="preserve">Amélioration de 0.5% (déjà debut 2020) grâce PPO + 1,0% augmentation de puissance aux machines avec </t>
    </r>
    <r>
      <rPr>
        <u/>
        <sz val="11"/>
        <color rgb="FFFF0000"/>
        <rFont val="Calibri"/>
        <family val="2"/>
        <scheme val="minor"/>
      </rPr>
      <t>bridage</t>
    </r>
    <r>
      <rPr>
        <sz val="11"/>
        <color rgb="FFFF0000"/>
        <rFont val="Calibri"/>
        <family val="2"/>
        <scheme val="minor"/>
      </rPr>
      <t xml:space="preserve"> aux PDL déjà début 2021 + 0.1% grâce optimisation Yaw  déjà mi-2020 </t>
    </r>
  </si>
  <si>
    <r>
      <t xml:space="preserve">Amélioration de 0.5% augmentation de puissance aux machines avec </t>
    </r>
    <r>
      <rPr>
        <u/>
        <sz val="11"/>
        <color rgb="FFFF0000"/>
        <rFont val="Calibri"/>
        <family val="2"/>
        <scheme val="minor"/>
      </rPr>
      <t>bridage</t>
    </r>
    <r>
      <rPr>
        <sz val="11"/>
        <color rgb="FFFF0000"/>
        <rFont val="Calibri"/>
        <family val="2"/>
        <scheme val="minor"/>
      </rPr>
      <t xml:space="preserve"> aux PDL déjà début 2021</t>
    </r>
  </si>
  <si>
    <t>Amelioration d'environs 4% entre la situation de bridage agricole plus horaire (~5% de pertes comptabilisés en 2021) et la situation avec IDF (avec ~1% de pertes estimés)</t>
  </si>
  <si>
    <t>Amelioration (seulement 1/2 année, à partir de juin) pour 4% entre la situation de bridage agricole plus horaire (~5% de pertes comptabilisés en 2021) et la situation avec IDF (avec ~1% de pertes estimés)</t>
  </si>
  <si>
    <t>optimisation detection givre</t>
  </si>
  <si>
    <t>Arrondi sur Brome entre BP2020 et 2021, et amélioration PPO de 0.6% (amelioration qui aurait dû être mise au BP2020, mais oublié dans le saisie)</t>
  </si>
  <si>
    <t>HP de debrider mi année 2022 et ne rester que avec le RADAR (les pertes parrerons donc de 11,7% pendant 6 mois à 1% pendant 6 mois).</t>
  </si>
  <si>
    <t>HP de debrider mi année 2022 et ne rester que avec le RADAR (les pertes parrerons donc de 11,2% pendant 6 mois à 1% pendant 6 mois).</t>
  </si>
  <si>
    <t>Amélioration de 0.3% grâce PPO (déjà en 2020) et 0.5% + augmentation de puissance aux machines avec bridage aux PDL déjà en début 2021.</t>
  </si>
  <si>
    <r>
      <t xml:space="preserve">Amélioration de 0.5% augmentation de puissance aux machines avec </t>
    </r>
    <r>
      <rPr>
        <u/>
        <sz val="11"/>
        <color rgb="FFFF0000"/>
        <rFont val="Calibri"/>
        <family val="2"/>
        <scheme val="minor"/>
      </rPr>
      <t>bridage</t>
    </r>
    <r>
      <rPr>
        <sz val="11"/>
        <color rgb="FFFF0000"/>
        <rFont val="Calibri"/>
        <family val="2"/>
        <scheme val="minor"/>
      </rPr>
      <t xml:space="preserve"> aux PDL déjà début 2021. </t>
    </r>
  </si>
  <si>
    <r>
      <t xml:space="preserve">Amélioration 1.0% augmentation de puissance aux machines SANS </t>
    </r>
    <r>
      <rPr>
        <u/>
        <sz val="11"/>
        <color rgb="FFFF0000"/>
        <rFont val="Calibri"/>
        <family val="2"/>
        <scheme val="minor"/>
      </rPr>
      <t>bridage</t>
    </r>
    <r>
      <rPr>
        <sz val="11"/>
        <color rgb="FFFF0000"/>
        <rFont val="Calibri"/>
        <family val="2"/>
        <scheme val="minor"/>
      </rPr>
      <t xml:space="preserve"> aux PDL déjà début 2021. </t>
    </r>
  </si>
  <si>
    <t>-0,64%/an à cause de la dégradation annuelle de puissance des modules PV  (voir page 59 &amp; 106 du rapport Brome)</t>
  </si>
  <si>
    <t>Extension seuil de Bapaume (XSB)</t>
  </si>
  <si>
    <t>parc 2021</t>
  </si>
  <si>
    <t>UL-FRA-WP21-13829492-01.02</t>
  </si>
  <si>
    <t>Date de mise en service 01/12/2021. A prévoir pour la suite : -0,4%/an selon rapport UL</t>
  </si>
  <si>
    <t>EVEROZE - BOR014-R-01.G</t>
  </si>
  <si>
    <t>Date de mise en service 01/01/2022. A prévoir pour la suite : -0,5%/an selon rapport EVEROZE</t>
  </si>
  <si>
    <t>La Grande Borne (LGB)</t>
  </si>
  <si>
    <t>UL - 22.07.2021</t>
  </si>
  <si>
    <t>parc 2022</t>
  </si>
  <si>
    <t>Repowering Evits et Josaphats (EEJ-R)</t>
  </si>
  <si>
    <t>DNV - 25.05.2020</t>
  </si>
  <si>
    <t>Repowering Remise de Reclainville (RCL-R)</t>
  </si>
  <si>
    <t>Bois des Fontaines (BDF)</t>
  </si>
  <si>
    <t>DNV - 13.01.2021</t>
  </si>
  <si>
    <t>Repowering Bougainville (BGV-R)</t>
  </si>
  <si>
    <t>DNV - 11.08.2021</t>
  </si>
  <si>
    <t>moyenne ponderée</t>
  </si>
  <si>
    <t>perte productible</t>
  </si>
  <si>
    <t>moyenne simple</t>
  </si>
  <si>
    <t>nouveau parc</t>
  </si>
  <si>
    <t>Attention : Les projets qui sont marqués en rouge dans cette colonne sont les projets dont les études de productibles sont faits à partir de données de vent. Ces études n’ont pas été revus par la méthodologie du groupe GTER et peuvent être optimistes selon notre retour d’expérience.</t>
  </si>
  <si>
    <t>Productibles 2022 si année année pleine</t>
  </si>
  <si>
    <t>Productibles 2022 si année incomplète</t>
  </si>
  <si>
    <t>check avec fichier ernani/EMD/Giannino</t>
  </si>
  <si>
    <t>Stockage de l'arce</t>
  </si>
  <si>
    <t>Vallée de l'Arce</t>
  </si>
  <si>
    <t>Renardières</t>
  </si>
  <si>
    <t>EEJ Repowering</t>
  </si>
  <si>
    <t>RCL Repowering</t>
  </si>
  <si>
    <t>Bougainville Repowering</t>
  </si>
  <si>
    <t>plafond nov dec</t>
  </si>
  <si>
    <t>ECART MWh B22 vs B21</t>
  </si>
  <si>
    <t>ECART en % B22 vs B21</t>
  </si>
  <si>
    <t>Check Prod Budget 2021-22</t>
  </si>
  <si>
    <t>Prix 2022</t>
  </si>
  <si>
    <t>ECART CA B22 vs B21</t>
  </si>
  <si>
    <t>évolution tarif marché</t>
  </si>
  <si>
    <t>effet volume</t>
  </si>
  <si>
    <t>passage contrat EDF à PPA</t>
  </si>
  <si>
    <t>arrêt contrat EDF passage au spot IBM</t>
  </si>
  <si>
    <t>arrêt parc</t>
  </si>
  <si>
    <t>passage contrat EDF à spot IBM</t>
  </si>
  <si>
    <t>nouveau parc 2021</t>
  </si>
  <si>
    <t>mis en autres revenus de l'energie</t>
  </si>
  <si>
    <t>nouveau parc 2022</t>
  </si>
  <si>
    <t>effet volume suite mise en service E4 en 2021</t>
  </si>
  <si>
    <t>nouvelles études de productibles</t>
  </si>
  <si>
    <t>vente cogé</t>
  </si>
  <si>
    <t>nouveau parc 2021 + plafonnement</t>
  </si>
  <si>
    <t>autres revenus ( DAFR, GO/GC, effets sillage)</t>
  </si>
  <si>
    <t>EDF OA jusqu'au 15/7/22 puis Contrat IBM S2 - 2022 50% et les 50% autres SPOT</t>
  </si>
  <si>
    <t xml:space="preserve">arrêt pour repowering au 01/05/22 + tarif de marché </t>
  </si>
  <si>
    <t xml:space="preserve">arrêt pour repowering au 01/02/22 + tarif de marché </t>
  </si>
  <si>
    <t>tarif marché  à compter d'octobre 2022</t>
  </si>
  <si>
    <t>tarif de marché à compter de déc-22</t>
  </si>
  <si>
    <t>Tot. Revenus 2022 [€]</t>
  </si>
  <si>
    <t xml:space="preserve">Hypothèses Budget </t>
  </si>
  <si>
    <t>tarif moyen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</si>
</sst>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0"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\ _€_-;\-* #,##0\ _€_-;_-* &quot;-&quot;\ _€_-;_-@_-"/>
    <numFmt numFmtId="165" formatCode="_-* #,##0.00\ _€_-;\-* #,##0.00\ _€_-;_-* &quot;-&quot;??\ _€_-;_-@_-"/>
    <numFmt numFmtId="166" formatCode="_(* #,##0.00_);_(* \(#,##0.00\);_(* &quot;-&quot;??_);_(@_)"/>
    <numFmt numFmtId="167" formatCode="0.0%"/>
    <numFmt numFmtId="168" formatCode="_-* #,##0\ _€_-;\-* #,##0\ _€_-;_-* &quot;-&quot;??\ _€_-;_-@_-"/>
    <numFmt numFmtId="169" formatCode="&quot;$&quot;#,##0.0,_);[Red]\(&quot;$&quot;#,##0.0,\)"/>
    <numFmt numFmtId="170" formatCode="_-[$€-2]\ * #,##0.00_-;\-[$€-2]\ * #,##0.00_-;_-[$€-2]\ * &quot;-&quot;??_-"/>
    <numFmt numFmtId="171" formatCode="_-&quot;£&quot;* #,##0_-;\-&quot;£&quot;* #,##0_-;_-&quot;£&quot;* &quot;-&quot;_-;_-@_-"/>
    <numFmt numFmtId="172" formatCode="#,##0,_);[Red]\(#,##0,\)"/>
    <numFmt numFmtId="173" formatCode="#,##0,_);\(#,##0,\)"/>
    <numFmt numFmtId="174" formatCode="#,##0.0_);[Red]\(#,##0.0\)"/>
    <numFmt numFmtId="175" formatCode="_ * #,##0.00_)\ _$_ ;_ * \(#,##0.00\)\ _$_ ;_ * &quot;-&quot;??_)\ _$_ ;_ @_ "/>
    <numFmt numFmtId="176" formatCode="#,##0.0_);\(#,##0.0\)"/>
    <numFmt numFmtId="177" formatCode="&quot;$&quot;#,##0_);[Red]\(&quot;$&quot;#,##0\)"/>
    <numFmt numFmtId="178" formatCode="&quot;$&quot;#,##0.00_);[Red]\(&quot;$&quot;#,##0.00\)"/>
    <numFmt numFmtId="179" formatCode="_-&quot;€&quot;\ * #,##0.00_-;\-&quot;€&quot;\ * #,##0.00_-;_-&quot;€&quot;\ * &quot;-&quot;??_-;_-@_-"/>
    <numFmt numFmtId="180" formatCode="_ * #,##0.00_)\ [$€-1]_ ;_ * \(#,##0.00\)\ [$€-1]_ ;_ * &quot;-&quot;??_)\ [$€-1]_ "/>
    <numFmt numFmtId="181" formatCode="0.000000\ \ "/>
    <numFmt numFmtId="182" formatCode="0.0%_);\(0.0%\)"/>
    <numFmt numFmtId="183" formatCode="_-* #,##0.00\ [$€]_-;\-* #,##0.00\ [$€]_-;_-* &quot;-&quot;??\ [$€]_-;_-@_-"/>
    <numFmt numFmtId="184" formatCode="##,##0.00\ \ "/>
    <numFmt numFmtId="185" formatCode="0.0000000000"/>
    <numFmt numFmtId="186" formatCode="0.00_)"/>
    <numFmt numFmtId="187" formatCode="[$-409]d\-mmm\-yy;@"/>
    <numFmt numFmtId="188" formatCode="00"/>
    <numFmt numFmtId="189" formatCode="_(&quot;$&quot;* #,##0_);_(&quot;$&quot;* \(#,##0\);_(&quot;$&quot;* &quot;-&quot;_);_(@_)"/>
    <numFmt numFmtId="190" formatCode="#,##0;\(#,##0\)"/>
    <numFmt numFmtId="191" formatCode="_(* #,##0_);_(* \(#,##0\);_(* &quot;-&quot;??_);_(@_)"/>
    <numFmt numFmtId="192" formatCode="_(* #,##0.0_);_(* \(#,##0.0\);_(* &quot;-&quot;??_);_(@_)"/>
    <numFmt numFmtId="193" formatCode="0.0"/>
    <numFmt numFmtId="194" formatCode="0.000000"/>
    <numFmt numFmtId="195" formatCode="_ * #,##0_ ;_ * \-#,##0_ ;_ * &quot;-&quot;_ ;_ @_ "/>
    <numFmt numFmtId="196" formatCode="0.0_)\%;\(0.0\)\%;0.0_)\%;@_)_%"/>
    <numFmt numFmtId="197" formatCode="#,##0.0_)_%;\(#,##0.0\)_%;0.0_)_%;@_)_%"/>
    <numFmt numFmtId="198" formatCode="&quot;$&quot;#,##0.0_);[Red]\(&quot;$&quot;#,##0.0\)"/>
    <numFmt numFmtId="199" formatCode="&quot;$&quot;\ \ #,##0_);[Red]\(&quot;$&quot;\ \ #,##0\)"/>
    <numFmt numFmtId="200" formatCode="#,##0_);[Red]\(#,##0\);\-"/>
    <numFmt numFmtId="201" formatCode="#,##0.00000___;"/>
    <numFmt numFmtId="202" formatCode="&quot;$&quot;#,##0.00;\-&quot;$&quot;#,##0.00"/>
    <numFmt numFmtId="203" formatCode="0.0_%;\(0.0\)%;\ \-\ \ \ "/>
    <numFmt numFmtId="204" formatCode="#,###.000000_);\(#,##0.000000\);\ \-\ _ "/>
    <numFmt numFmtId="205" formatCode="&quot;$&quot;\ \ #,##0.0_);[Red]\(&quot;$&quot;\ \ #,##0.0\)"/>
    <numFmt numFmtId="206" formatCode="&quot;$&quot;\ \ #,##0.00_);[Red]\(&quot;$&quot;\ \ #,##0.00\)"/>
    <numFmt numFmtId="207" formatCode="#,##0_);\(#,##0\);_ \-\ \ "/>
    <numFmt numFmtId="208" formatCode="&quot;$&quot;#,##0;[Red]\-&quot;$&quot;#,##0"/>
    <numFmt numFmtId="209" formatCode="&quot;$&quot;#,##0.00;[Red]\-&quot;$&quot;#,##0.00"/>
    <numFmt numFmtId="210" formatCode="#,##0___);\(#,##0\);___-\ \ "/>
    <numFmt numFmtId="211" formatCode="#,##0.0_);\(#,##0.0\);#,##0.0_);@_)"/>
    <numFmt numFmtId="212" formatCode="&quot;£&quot;_(#,##0.00_);&quot;£&quot;\(#,##0.00\);&quot;£&quot;_(0.00_);@_)"/>
    <numFmt numFmtId="213" formatCode="&quot;$&quot;_(#,##0.00_);&quot;$&quot;\(#,##0.00\);&quot;$&quot;_(0.00_);@_)"/>
    <numFmt numFmtId="214" formatCode="&quot;$&quot;_(#,##0.00_);&quot;$&quot;\(#,##0.00\)"/>
    <numFmt numFmtId="215" formatCode="&quot;£&quot;_(#,##0.00_);&quot;£&quot;\(#,##0.00\)"/>
    <numFmt numFmtId="216" formatCode="#,##0.00_);\(#,##0.00\);0.00_);@_)"/>
    <numFmt numFmtId="217" formatCode="\€_(#,##0.00_);\€\(#,##0.00\);\€_(0.00_);@_)"/>
    <numFmt numFmtId="218" formatCode="#,##0.0_)\x;\(#,##0.0\)\x;0.0_)\x;@_)_x"/>
    <numFmt numFmtId="219" formatCode="#,##0_)\x;\(#,##0\)\x;0_)\x;@_)_x"/>
    <numFmt numFmtId="220" formatCode="#,##0.0_)\x;\(#,##0.0\)\x"/>
    <numFmt numFmtId="221" formatCode="#,##0.0_)_x;\(#,##0.0\)_x;0.0_)_x;@_)_x"/>
    <numFmt numFmtId="222" formatCode="#,##0_)_x;\(#,##0\)_x;0_)_x;@_)_x"/>
    <numFmt numFmtId="223" formatCode="#,##0.0_)_x;\(#,##0.0\)_x"/>
    <numFmt numFmtId="224" formatCode="0.0_)\%;\(0.0\)\%"/>
    <numFmt numFmtId="225" formatCode="#,##0.0_)_%;\(#,##0.0\)_%"/>
    <numFmt numFmtId="226" formatCode="hh:mm\ AM/PM_)"/>
    <numFmt numFmtId="227" formatCode="dd\-mmm_)"/>
    <numFmt numFmtId="228" formatCode="_(&quot;$&quot;* #,##0.0000_);_(&quot;$&quot;* \(#,##0.0000\);_(&quot;$&quot;* &quot;-&quot;????_);_(@_)"/>
    <numFmt numFmtId="229" formatCode="hh:mm_)"/>
    <numFmt numFmtId="230" formatCode="0.000_)"/>
    <numFmt numFmtId="231" formatCode="mmm\-yy_)"/>
    <numFmt numFmtId="232" formatCode="_(&quot;$&quot;* #,##0.00000_);_(&quot;$&quot;* \(#,##0.00000\);_(&quot;$&quot;* &quot;-&quot;?????_);_(@_)"/>
    <numFmt numFmtId="233" formatCode="\£\ #,##0_);[Red]\(\£\ #,##0\)"/>
    <numFmt numFmtId="234" formatCode="\¥\ #,##0_);[Red]\(\¥\ #,##0\)"/>
    <numFmt numFmtId="235" formatCode="_(* #,##0.0_);[Red]_(* \(#,##0.0\);_(* &quot;-&quot;??_);_(@_)"/>
    <numFmt numFmtId="236" formatCode="mm/dd/yy"/>
    <numFmt numFmtId="237" formatCode="\•\ \ @"/>
    <numFmt numFmtId="238" formatCode="#,##0_-;[Red]\(#,##0\);&quot;- &quot;"/>
    <numFmt numFmtId="239" formatCode="\$#,##0_-;[Red]\(\$#,##0\);\$&quot;- &quot;"/>
    <numFmt numFmtId="240" formatCode="#,##0%_-;[Red]\(#,##0%\);&quot;-% &quot;"/>
    <numFmt numFmtId="241" formatCode="\£#,##0_-;[Red]\(\£#,##0\);\£&quot;- &quot;"/>
    <numFmt numFmtId="242" formatCode="#,##0_-\€;[Red]\(#,##0\ \€\);&quot; -€ &quot;"/>
    <numFmt numFmtId="243" formatCode="#,##0.000_);\(#,##0.000\)"/>
    <numFmt numFmtId="244" formatCode="&quot;$&quot;#,##0,_);[Red]\(&quot;$&quot;#,##0,\)"/>
    <numFmt numFmtId="245" formatCode="_(&quot;Rp.&quot;* #,##0_);_(&quot;Rp.&quot;* \(#,##0\);_(&quot;Rp.&quot;* &quot;-&quot;_);_(@_)"/>
    <numFmt numFmtId="246" formatCode="00000"/>
    <numFmt numFmtId="247" formatCode="&quot;$&quot;#,##0.00_);\(&quot;$&quot;#,##0.00\)"/>
    <numFmt numFmtId="248" formatCode="&quot;$&quot;#,##0.000_);\(&quot;$&quot;#,##0.000\)"/>
    <numFmt numFmtId="249" formatCode="_(&quot;$&quot;* #,##0.00_);_(&quot;$&quot;* \(#,##0.00\);_(&quot;$&quot;* &quot;-&quot;??_);_(@_)"/>
    <numFmt numFmtId="250" formatCode="\ \ _•\–\ \ \ \ @"/>
    <numFmt numFmtId="251" formatCode="General_)"/>
    <numFmt numFmtId="252" formatCode="m/d/yy\ h:mm"/>
    <numFmt numFmtId="253" formatCode="_(* #,##0_);_(* \(#,##0\);_(* &quot;&quot;_);_(@_)"/>
    <numFmt numFmtId="254" formatCode="_([$€]* #,##0.00_);_([$€]* \(#,##0.00\);_([$€]* &quot;-&quot;??_);_(@_)"/>
    <numFmt numFmtId="255" formatCode="_([$€-2]* #,##0.00_);_([$€-2]* \(#,##0.00\);_([$€-2]* &quot;-&quot;??_)"/>
    <numFmt numFmtId="256" formatCode="_-* #,##0.00\ [$€]_-;\-* #,##0.00\ [$€]_-;_-* \-??\ [$€]_-;_-@_-"/>
    <numFmt numFmtId="257" formatCode="&quot;Rp.&quot;#,##0.00_);\(&quot;Rp.&quot;#,##0.00\)"/>
    <numFmt numFmtId="258" formatCode="mmm\-yyyy"/>
    <numFmt numFmtId="259" formatCode=";;;"/>
    <numFmt numFmtId="260" formatCode="#,##0;[Red]&quot;-&quot;#,##0"/>
    <numFmt numFmtId="261" formatCode="&quot;N$&quot;#,##0_);[Red]\(&quot;N$&quot;#,##0\)"/>
    <numFmt numFmtId="262" formatCode="_ * #,##0.00_ ;_ * \-#,##0.00_ ;_ * &quot;-&quot;??_ ;_ @_ "/>
    <numFmt numFmtId="263" formatCode="_-* #,##0.00\ _F_-;\-* #,##0.00\ _F_-;_-* \-??\ _F_-;_-@_-"/>
    <numFmt numFmtId="264" formatCode="_(&quot;R$ &quot;* #,##0_);_(&quot;R$ &quot;* \(#,##0\);_(&quot;R$ &quot;* &quot;-&quot;_);_(@_)"/>
    <numFmt numFmtId="265" formatCode="_(&quot;R$ &quot;* #,##0.00_);_(&quot;R$ &quot;* \(#,##0.00\);_(&quot;R$ &quot;* &quot;-&quot;??_);_(@_)"/>
    <numFmt numFmtId="266" formatCode="_(* #,##0.000000000000000000000000_);_(* \(#,##0.000000000000000000000000\);_(* &quot;-&quot;??_);_(@_)"/>
    <numFmt numFmtId="267" formatCode="mmm"/>
    <numFmt numFmtId="268" formatCode="#,##0.0\x_);\(#,##0.0\x\);#,##0.0\x_);@_)"/>
    <numFmt numFmtId="269" formatCode="mmm\ yy"/>
    <numFmt numFmtId="270" formatCode="#,##0_);[Red]\(#,##0\);\-_)"/>
    <numFmt numFmtId="271" formatCode="#,##0.00;[Red]\(#,##0.00\)"/>
    <numFmt numFmtId="272" formatCode="_(* #,##0.0000000000000000000000000_);_(* \(#,##0.0000000000000000000000000\);_(* &quot;-&quot;??_);_(@_)"/>
    <numFmt numFmtId="273" formatCode="#,##0.000000000"/>
    <numFmt numFmtId="274" formatCode="#,##0.0\%_);\(#,##0.0\%\);#,##0.0\%_);@_)"/>
    <numFmt numFmtId="275" formatCode="_(&quot;$&quot;* #,##0.000_);_(&quot;$&quot;* \(#,##0.000\);_(&quot;$&quot;* &quot;-&quot;???_);_(@_)"/>
    <numFmt numFmtId="276" formatCode="mmm\ dd\,\ yyyy"/>
    <numFmt numFmtId="277" formatCode="yyyy"/>
    <numFmt numFmtId="278" formatCode="&quot;6Mth &quot;#"/>
    <numFmt numFmtId="279" formatCode="&quot;FY&quot;#"/>
    <numFmt numFmtId="280" formatCode="&quot;Qtr &quot;#"/>
    <numFmt numFmtId="281" formatCode="_(#,##0_);_(\(#,##0\);_(\ &quot;&quot;_);_(@_)"/>
    <numFmt numFmtId="282" formatCode="_(#,##0_);_(\(#,##0\);_(&quot;&quot;_);_(@_)"/>
    <numFmt numFmtId="283" formatCode="_-* #,##0.00\ &quot;DM&quot;_-;\-* #,##0.00\ &quot;DM&quot;_-;_-* &quot;-&quot;??\ &quot;DM&quot;_-;_-@_-"/>
    <numFmt numFmtId="284" formatCode="#,##0.0000"/>
    <numFmt numFmtId="285" formatCode="#,##0;[Red]\(#,##0\);\ &quot;-&quot;"/>
    <numFmt numFmtId="286" formatCode="&quot;\&quot;#,##0.00;[Red]&quot;\&quot;\-#,##0.00"/>
    <numFmt numFmtId="287" formatCode="&quot;\&quot;#,##0;[Red]&quot;\&quot;\-#,##0"/>
    <numFmt numFmtId="288" formatCode="_-* #,##0.00\ _F_-;\-* #,##0.00\ _F_-;_-* &quot;-&quot;??\ _F_-;_-@_-"/>
    <numFmt numFmtId="289" formatCode="_-* #,##0.000\ _€_-;\-* #,##0.000\ _€_-;_-* &quot;-&quot;??\ _€_-;_-@_-"/>
    <numFmt numFmtId="290" formatCode="0.00000"/>
    <numFmt numFmtId="291" formatCode="_-* #,##0.0\ _€_-;\-* #,##0.0\ _€_-;_-* &quot;-&quot;??\ _€_-;_-@_-"/>
    <numFmt numFmtId="292" formatCode="_-* #,##0.00000\ _€_-;\-* #,##0.00000\ _€_-;_-* &quot;-&quot;??\ _€_-;_-@_-"/>
    <numFmt numFmtId="293" formatCode="0.000%"/>
    <numFmt numFmtId="294" formatCode="0.00000%"/>
    <numFmt numFmtId="295" formatCode="0.00000000000000%"/>
    <numFmt numFmtId="296" formatCode="0.00000000000000000000000%"/>
    <numFmt numFmtId="297" formatCode="0.000"/>
    <numFmt numFmtId="298" formatCode="_-* #,##0_-;\-* #,##0_-;_-* &quot;-&quot;??_-;_-@_-"/>
    <numFmt numFmtId="299" formatCode="_-* #,##0.0\ _€_-;\-* #,##0.0\ _€_-;_-* &quot;-&quot;?\ _€_-;_-@_-"/>
    <numFmt numFmtId="300" formatCode="_-* #,##0.00\ [$€-40C]_-;\-* #,##0.00\ [$€-40C]_-;_-* &quot;-&quot;??\ [$€-40C]_-;_-@_-"/>
  </numFmts>
  <fonts count="25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63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9"/>
      <color indexed="8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Arial"/>
      <family val="2"/>
      <charset val="161"/>
    </font>
    <font>
      <sz val="11"/>
      <name val="Book Antiqua"/>
      <family val="1"/>
    </font>
    <font>
      <sz val="11"/>
      <color indexed="8"/>
      <name val="Calibri"/>
      <family val="2"/>
    </font>
    <font>
      <sz val="11"/>
      <color theme="1"/>
      <name val="Calibri"/>
      <family val="2"/>
      <charset val="161"/>
      <scheme val="minor"/>
    </font>
    <font>
      <sz val="11"/>
      <color indexed="9"/>
      <name val="Calibri"/>
      <family val="2"/>
    </font>
    <font>
      <sz val="10"/>
      <name val="Times New Roman"/>
      <family val="1"/>
      <charset val="161"/>
    </font>
    <font>
      <sz val="8"/>
      <name val="Arial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sz val="10"/>
      <color indexed="10"/>
      <name val="Times New Roman"/>
      <family val="1"/>
    </font>
    <font>
      <b/>
      <sz val="10"/>
      <name val="Arial"/>
      <family val="2"/>
    </font>
    <font>
      <sz val="11"/>
      <name val="Times New Roman"/>
      <family val="1"/>
    </font>
    <font>
      <sz val="8"/>
      <name val="Palatino"/>
      <family val="1"/>
    </font>
    <font>
      <sz val="11"/>
      <color indexed="8"/>
      <name val="Calibri"/>
      <family val="2"/>
      <charset val="161"/>
    </font>
    <font>
      <sz val="10"/>
      <name val="Tahoma"/>
      <family val="2"/>
      <charset val="161"/>
    </font>
    <font>
      <sz val="8"/>
      <name val="Arial"/>
      <family val="2"/>
      <charset val="161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4"/>
      <name val="Arial"/>
      <family val="2"/>
      <charset val="161"/>
    </font>
    <font>
      <sz val="14"/>
      <name val="Arial"/>
      <family val="2"/>
    </font>
    <font>
      <i/>
      <sz val="11"/>
      <color indexed="23"/>
      <name val="Calibri"/>
      <family val="2"/>
    </font>
    <font>
      <sz val="7"/>
      <name val="Palatino"/>
      <family val="1"/>
    </font>
    <font>
      <sz val="8"/>
      <name val="Times New Roman"/>
      <family val="1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8"/>
      <name val="Times New Roman"/>
      <family val="1"/>
    </font>
    <font>
      <sz val="10"/>
      <color indexed="8"/>
      <name val="MS Sans Serif"/>
      <family val="2"/>
    </font>
    <font>
      <sz val="11"/>
      <color indexed="60"/>
      <name val="Calibri"/>
      <family val="2"/>
    </font>
    <font>
      <sz val="10"/>
      <name val="Courier"/>
      <family val="3"/>
    </font>
    <font>
      <sz val="10"/>
      <name val="Tms Rmn"/>
    </font>
    <font>
      <b/>
      <i/>
      <sz val="16"/>
      <name val="Helv"/>
    </font>
    <font>
      <sz val="12"/>
      <name val="Helv"/>
    </font>
    <font>
      <sz val="12"/>
      <name val="Arial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sz val="11"/>
      <color theme="1"/>
      <name val="Calibri"/>
      <family val="2"/>
    </font>
    <font>
      <sz val="10"/>
      <name val="Tahoma"/>
      <family val="2"/>
    </font>
    <font>
      <sz val="10"/>
      <name val="Trebuchet MS"/>
      <family val="2"/>
    </font>
    <font>
      <sz val="11"/>
      <name val="Arial Narrow"/>
      <family val="2"/>
    </font>
    <font>
      <b/>
      <sz val="11"/>
      <color indexed="63"/>
      <name val="Calibri"/>
      <family val="2"/>
    </font>
    <font>
      <sz val="10"/>
      <color indexed="16"/>
      <name val="Helvetica-Black"/>
    </font>
    <font>
      <sz val="10"/>
      <name val="Arial MT"/>
    </font>
    <font>
      <b/>
      <u/>
      <sz val="10"/>
      <name val="Arial"/>
      <family val="2"/>
    </font>
    <font>
      <sz val="10"/>
      <name val="AkzidenzGroteskBE"/>
    </font>
    <font>
      <sz val="11"/>
      <color theme="1"/>
      <name val="Century"/>
      <family val="2"/>
    </font>
    <font>
      <b/>
      <sz val="10"/>
      <color rgb="FF000000"/>
      <name val="ARIAL"/>
      <family val="2"/>
      <charset val="161"/>
    </font>
    <font>
      <b/>
      <sz val="8"/>
      <color rgb="FF000000"/>
      <name val="Arial"/>
      <family val="2"/>
      <charset val="161"/>
    </font>
    <font>
      <b/>
      <sz val="7"/>
      <color rgb="FF000000"/>
      <name val="Arial"/>
      <family val="2"/>
      <charset val="161"/>
    </font>
    <font>
      <sz val="7"/>
      <color rgb="FF000000"/>
      <name val="Arial"/>
      <family val="2"/>
      <charset val="16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10"/>
      <color indexed="18"/>
      <name val="Arial"/>
      <family val="2"/>
    </font>
    <font>
      <sz val="10"/>
      <color indexed="39"/>
      <name val="Arial"/>
      <family val="2"/>
    </font>
    <font>
      <b/>
      <sz val="16"/>
      <color indexed="23"/>
      <name val="Arial"/>
      <family val="2"/>
    </font>
    <font>
      <b/>
      <i/>
      <sz val="26"/>
      <color indexed="53"/>
      <name val="Arial"/>
      <family val="2"/>
    </font>
    <font>
      <sz val="10"/>
      <color indexed="10"/>
      <name val="Arial"/>
      <family val="2"/>
    </font>
    <font>
      <u/>
      <sz val="10"/>
      <color indexed="36"/>
      <name val="Arial"/>
      <family val="2"/>
    </font>
    <font>
      <sz val="10"/>
      <name val="MS Sans Serif"/>
      <family val="2"/>
    </font>
    <font>
      <sz val="10"/>
      <name val="Helv"/>
      <charset val="204"/>
    </font>
    <font>
      <b/>
      <sz val="7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sz val="7"/>
      <name val="Arial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i/>
      <sz val="10"/>
      <name val="Times New Roman"/>
      <family val="1"/>
    </font>
    <font>
      <b/>
      <sz val="11"/>
      <color indexed="8"/>
      <name val="Calibri"/>
      <family val="2"/>
    </font>
    <font>
      <b/>
      <sz val="10"/>
      <name val="Times New Roman"/>
      <family val="1"/>
    </font>
    <font>
      <sz val="8"/>
      <color indexed="10"/>
      <name val="Arial Narrow"/>
      <family val="2"/>
    </font>
    <font>
      <sz val="10"/>
      <color indexed="9"/>
      <name val="Arial"/>
      <family val="2"/>
    </font>
    <font>
      <sz val="9"/>
      <color indexed="8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b/>
      <sz val="11"/>
      <name val="Times New Roman"/>
      <family val="1"/>
    </font>
    <font>
      <sz val="11"/>
      <name val="Arial"/>
      <family val="2"/>
    </font>
    <font>
      <b/>
      <sz val="11"/>
      <name val="Arial"/>
      <family val="2"/>
    </font>
    <font>
      <b/>
      <i/>
      <sz val="12"/>
      <name val="Arial"/>
      <family val="2"/>
    </font>
    <font>
      <sz val="12"/>
      <name val="???"/>
      <family val="1"/>
      <charset val="129"/>
    </font>
    <font>
      <sz val="14"/>
      <name val="??"/>
      <family val="3"/>
      <charset val="129"/>
    </font>
    <font>
      <sz val="10"/>
      <name val="???"/>
      <family val="3"/>
      <charset val="129"/>
    </font>
    <font>
      <sz val="10"/>
      <name val="Helv"/>
      <family val="2"/>
    </font>
    <font>
      <sz val="12"/>
      <name val="___"/>
      <family val="1"/>
      <charset val="129"/>
    </font>
    <font>
      <sz val="12"/>
      <name val="___"/>
      <family val="1"/>
    </font>
    <font>
      <sz val="12"/>
      <name val="___"/>
      <family val="3"/>
      <charset val="129"/>
    </font>
    <font>
      <sz val="11"/>
      <name val="__"/>
      <family val="3"/>
      <charset val="129"/>
    </font>
    <font>
      <sz val="10"/>
      <name val="___"/>
      <family val="3"/>
      <charset val="129"/>
    </font>
    <font>
      <sz val="10"/>
      <name val="___"/>
      <family val="3"/>
    </font>
    <font>
      <sz val="11"/>
      <name val="__"/>
      <family val="3"/>
    </font>
    <font>
      <sz val="11"/>
      <name val="___"/>
      <family val="1"/>
      <charset val="129"/>
    </font>
    <font>
      <sz val="11"/>
      <name val="___"/>
      <family val="1"/>
    </font>
    <font>
      <sz val="11"/>
      <name val="___"/>
      <family val="3"/>
      <charset val="129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8"/>
      <name val="MS Sans Serif"/>
      <family val="2"/>
    </font>
    <font>
      <sz val="12"/>
      <name val="¹UAAA¼"/>
      <family val="3"/>
      <charset val="129"/>
    </font>
    <font>
      <b/>
      <sz val="14"/>
      <name val="Times New Roman"/>
      <family val="1"/>
    </font>
    <font>
      <sz val="12"/>
      <name val="Times"/>
      <family val="1"/>
    </font>
    <font>
      <sz val="9"/>
      <name val="Times New Roman"/>
      <family val="1"/>
    </font>
    <font>
      <b/>
      <i/>
      <sz val="10"/>
      <color indexed="10"/>
      <name val="Geneva"/>
      <family val="2"/>
    </font>
    <font>
      <b/>
      <sz val="8"/>
      <name val="Arial"/>
      <family val="2"/>
    </font>
    <font>
      <i/>
      <sz val="10"/>
      <name val="Times New Roman"/>
      <family val="1"/>
    </font>
    <font>
      <sz val="11"/>
      <name val="Times"/>
      <family val="1"/>
    </font>
    <font>
      <u val="doubleAccounting"/>
      <sz val="10"/>
      <name val="Arial"/>
      <family val="2"/>
    </font>
    <font>
      <u val="singleAccounting"/>
      <sz val="10"/>
      <name val="Arial"/>
      <family val="2"/>
    </font>
    <font>
      <b/>
      <sz val="11"/>
      <name val="Optimum"/>
    </font>
    <font>
      <b/>
      <sz val="12"/>
      <name val="MS Sans Serif"/>
      <family val="2"/>
    </font>
    <font>
      <u val="double"/>
      <sz val="8"/>
      <name val="Arial"/>
      <family val="2"/>
    </font>
    <font>
      <sz val="10"/>
      <color indexed="20"/>
      <name val="Arial"/>
      <family val="2"/>
    </font>
    <font>
      <b/>
      <u/>
      <sz val="11"/>
      <color indexed="37"/>
      <name val="Arial"/>
      <family val="2"/>
    </font>
    <font>
      <b/>
      <sz val="12"/>
      <color indexed="9"/>
      <name val="Arial"/>
      <family val="2"/>
    </font>
    <font>
      <b/>
      <sz val="10"/>
      <color indexed="9"/>
      <name val="Arial"/>
      <family val="2"/>
    </font>
    <font>
      <b/>
      <sz val="13"/>
      <color indexed="9"/>
      <name val="Arial"/>
      <family val="2"/>
    </font>
    <font>
      <sz val="10"/>
      <color indexed="12"/>
      <name val="Arial"/>
      <family val="2"/>
    </font>
    <font>
      <sz val="8"/>
      <name val="CG Times (W1)"/>
      <family val="1"/>
    </font>
    <font>
      <u/>
      <sz val="10"/>
      <color indexed="14"/>
      <name val="MS Sans Serif"/>
      <family val="2"/>
    </font>
    <font>
      <b/>
      <sz val="9"/>
      <color indexed="48"/>
      <name val="Arial"/>
      <family val="2"/>
    </font>
    <font>
      <b/>
      <sz val="9"/>
      <color indexed="12"/>
      <name val="Arial"/>
      <family val="2"/>
    </font>
    <font>
      <u/>
      <sz val="11"/>
      <color theme="10"/>
      <name val="Calibri"/>
      <family val="2"/>
    </font>
    <font>
      <sz val="12"/>
      <name val="CG Times (W1)"/>
    </font>
    <font>
      <sz val="8"/>
      <color indexed="55"/>
      <name val="Arial"/>
      <family val="2"/>
    </font>
    <font>
      <b/>
      <i/>
      <sz val="10"/>
      <color indexed="10"/>
      <name val="Helv"/>
    </font>
    <font>
      <sz val="7"/>
      <name val="Small Fonts"/>
      <family val="2"/>
    </font>
    <font>
      <sz val="8"/>
      <name val="Helv"/>
    </font>
    <font>
      <sz val="10"/>
      <color indexed="56"/>
      <name val="Times New Roman"/>
      <family val="1"/>
    </font>
    <font>
      <sz val="10"/>
      <name val="Arial"/>
      <family val="2"/>
      <charset val="238"/>
    </font>
    <font>
      <sz val="9"/>
      <color indexed="24"/>
      <name val="Geneva"/>
      <family val="2"/>
    </font>
    <font>
      <b/>
      <i/>
      <sz val="10"/>
      <color indexed="8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b/>
      <sz val="26"/>
      <name val="Times New Roman"/>
      <family val="1"/>
    </font>
    <font>
      <b/>
      <sz val="18"/>
      <name val="Times New Roman"/>
      <family val="1"/>
    </font>
    <font>
      <sz val="14"/>
      <name val="B Times Bold"/>
    </font>
    <font>
      <i/>
      <sz val="10"/>
      <color indexed="11"/>
      <name val="Arial"/>
      <family val="2"/>
    </font>
    <font>
      <b/>
      <sz val="10"/>
      <name val="MS Sans Serif"/>
      <family val="2"/>
    </font>
    <font>
      <sz val="10"/>
      <name val="NewtonCTT"/>
    </font>
    <font>
      <b/>
      <sz val="12"/>
      <color indexed="12"/>
      <name val="Arial"/>
      <family val="2"/>
    </font>
    <font>
      <u/>
      <sz val="12"/>
      <name val="B Times Bold"/>
    </font>
    <font>
      <u/>
      <sz val="10"/>
      <name val="B Times Bold"/>
    </font>
    <font>
      <sz val="10"/>
      <color indexed="8"/>
      <name val="Times New Roman"/>
      <family val="1"/>
    </font>
    <font>
      <sz val="8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0"/>
      <color indexed="8"/>
      <name val="Times New Roman"/>
      <family val="1"/>
    </font>
    <font>
      <b/>
      <i/>
      <sz val="10"/>
      <name val="Arial"/>
      <family val="2"/>
    </font>
    <font>
      <sz val="12"/>
      <color indexed="17"/>
      <name val="SWISS"/>
      <family val="2"/>
    </font>
    <font>
      <sz val="7"/>
      <name val="Times New Roman"/>
      <family val="1"/>
    </font>
    <font>
      <b/>
      <u/>
      <sz val="18"/>
      <color indexed="9"/>
      <name val="Arial Narrow"/>
      <family val="2"/>
    </font>
    <font>
      <sz val="12"/>
      <color indexed="9"/>
      <name val="Arial"/>
      <family val="2"/>
    </font>
    <font>
      <sz val="11"/>
      <color indexed="8"/>
      <name val="Arial"/>
      <family val="2"/>
    </font>
    <font>
      <i/>
      <sz val="11"/>
      <color indexed="8"/>
      <name val="Arial"/>
      <family val="2"/>
    </font>
    <font>
      <b/>
      <sz val="7"/>
      <color indexed="12"/>
      <name val="Arial"/>
      <family val="2"/>
    </font>
    <font>
      <sz val="8"/>
      <color indexed="12"/>
      <name val="Arial"/>
      <family val="2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name val="Arial Cyr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宋体"/>
      <charset val="134"/>
    </font>
    <font>
      <sz val="10"/>
      <name val="Courier New"/>
      <family val="3"/>
    </font>
    <font>
      <u/>
      <sz val="10"/>
      <color indexed="20"/>
      <name val="Arial"/>
      <family val="2"/>
    </font>
    <font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9"/>
      <color theme="4"/>
      <name val="Arial"/>
      <family val="2"/>
    </font>
    <font>
      <b/>
      <sz val="9"/>
      <color theme="5"/>
      <name val="Arial"/>
      <family val="2"/>
    </font>
    <font>
      <b/>
      <sz val="9"/>
      <color theme="6" tint="-0.249977111117893"/>
      <name val="Arial"/>
      <family val="2"/>
    </font>
    <font>
      <b/>
      <sz val="9"/>
      <color theme="7"/>
      <name val="Arial"/>
      <family val="2"/>
    </font>
    <font>
      <b/>
      <sz val="9"/>
      <color theme="8" tint="-0.249977111117893"/>
      <name val="Arial"/>
      <family val="2"/>
    </font>
    <font>
      <b/>
      <sz val="9"/>
      <color theme="9" tint="-0.249977111117893"/>
      <name val="Arial"/>
      <family val="2"/>
    </font>
    <font>
      <b/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  <font>
      <sz val="12"/>
      <color indexed="8"/>
      <name val="SansSerif.plain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2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sz val="8"/>
      <color theme="1"/>
      <name val="Arial"/>
      <family val="2"/>
    </font>
    <font>
      <sz val="8"/>
      <name val="Calibri"/>
      <family val="2"/>
      <scheme val="minor"/>
    </font>
    <font>
      <b/>
      <sz val="11"/>
      <color rgb="FFFFC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17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gray125">
        <fgColor indexed="13"/>
        <bgColor indexed="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0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41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0"/>
      </patternFill>
    </fill>
    <fill>
      <patternFill patternType="solid">
        <fgColor indexed="54"/>
      </patternFill>
    </fill>
    <fill>
      <patternFill patternType="solid">
        <fgColor indexed="4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9"/>
      </patternFill>
    </fill>
    <fill>
      <patternFill patternType="solid">
        <fgColor indexed="9"/>
        <bgColor indexed="49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lightUp">
        <fgColor indexed="55"/>
      </patternFill>
    </fill>
    <fill>
      <patternFill patternType="solid">
        <fgColor indexed="13"/>
      </patternFill>
    </fill>
    <fill>
      <patternFill patternType="solid">
        <fgColor indexed="22"/>
        <bgColor indexed="31"/>
      </patternFill>
    </fill>
    <fill>
      <patternFill patternType="lightGray">
        <fgColor indexed="15"/>
      </patternFill>
    </fill>
    <fill>
      <patternFill patternType="solid">
        <fgColor indexed="55"/>
        <bgColor indexed="23"/>
      </patternFill>
    </fill>
    <fill>
      <patternFill patternType="solid">
        <fgColor rgb="FFFF6600"/>
        <bgColor indexed="64"/>
      </patternFill>
    </fill>
    <fill>
      <patternFill patternType="mediumGray">
        <fgColor indexed="22"/>
      </patternFill>
    </fill>
    <fill>
      <patternFill patternType="lightTrellis">
        <fgColor indexed="9"/>
        <bgColor indexed="9"/>
      </patternFill>
    </fill>
    <fill>
      <patternFill patternType="solid">
        <fgColor rgb="FFD82231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rgb="FF37609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538ED5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1"/>
        <bgColor indexed="64"/>
      </patternFill>
    </fill>
    <fill>
      <patternFill patternType="mediumGray">
        <fgColor indexed="21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CCFF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8"/>
      </patternFill>
    </fill>
    <fill>
      <patternFill patternType="solid">
        <fgColor indexed="17"/>
      </patternFill>
    </fill>
    <fill>
      <patternFill patternType="solid">
        <fgColor indexed="31"/>
        <bgColor indexed="26"/>
      </patternFill>
    </fill>
    <fill>
      <patternFill patternType="lightGray">
        <fgColor indexed="22"/>
      </patternFill>
    </fill>
    <fill>
      <patternFill patternType="solid">
        <fgColor indexed="63"/>
        <bgColor indexed="64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8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23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DDF0C8"/>
        <bgColor indexed="64"/>
      </patternFill>
    </fill>
    <fill>
      <patternFill patternType="solid">
        <fgColor rgb="FFCCCCFF"/>
        <bgColor indexed="64"/>
      </patternFill>
    </fill>
    <fill>
      <patternFill patternType="lightDown">
        <bgColor rgb="FFFFC00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FF"/>
        <bgColor indexed="64"/>
      </patternFill>
    </fill>
    <fill>
      <patternFill patternType="lightUp"/>
    </fill>
  </fills>
  <borders count="135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dashed">
        <color indexed="55"/>
      </left>
      <right style="dashed">
        <color indexed="55"/>
      </right>
      <top style="dashed">
        <color indexed="55"/>
      </top>
      <bottom style="dashed">
        <color indexed="55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4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 style="dashed">
        <color indexed="23"/>
      </left>
      <right style="dashed">
        <color indexed="23"/>
      </right>
      <top style="dashed">
        <color indexed="23"/>
      </top>
      <bottom style="dashed">
        <color indexed="23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ashed">
        <color theme="0" tint="-0.34998626667073579"/>
      </left>
      <right style="dashed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medium">
        <color indexed="64"/>
      </right>
      <top style="medium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 style="medium">
        <color indexed="64"/>
      </right>
      <top/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</borders>
  <cellStyleXfs count="2914">
    <xf numFmtId="0" fontId="0" fillId="0" borderId="0"/>
    <xf numFmtId="165" fontId="1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165" fontId="1" fillId="0" borderId="0" applyFont="0" applyFill="0" applyBorder="0" applyAlignment="0" applyProtection="0"/>
    <xf numFmtId="0" fontId="15" fillId="0" borderId="9" applyNumberFormat="0" applyFill="0" applyAlignment="0" applyProtection="0"/>
    <xf numFmtId="0" fontId="16" fillId="0" borderId="10" applyNumberFormat="0" applyFill="0" applyAlignment="0" applyProtection="0"/>
    <xf numFmtId="0" fontId="17" fillId="0" borderId="11" applyNumberFormat="0" applyFill="0" applyAlignment="0" applyProtection="0"/>
    <xf numFmtId="0" fontId="17" fillId="0" borderId="0" applyNumberFormat="0" applyFill="0" applyBorder="0" applyAlignment="0" applyProtection="0"/>
    <xf numFmtId="0" fontId="18" fillId="10" borderId="0" applyNumberFormat="0" applyBorder="0" applyAlignment="0" applyProtection="0"/>
    <xf numFmtId="0" fontId="19" fillId="11" borderId="0" applyNumberFormat="0" applyBorder="0" applyAlignment="0" applyProtection="0"/>
    <xf numFmtId="0" fontId="20" fillId="13" borderId="12" applyNumberFormat="0" applyAlignment="0" applyProtection="0"/>
    <xf numFmtId="0" fontId="21" fillId="14" borderId="13" applyNumberFormat="0" applyAlignment="0" applyProtection="0"/>
    <xf numFmtId="0" fontId="22" fillId="14" borderId="12" applyNumberFormat="0" applyAlignment="0" applyProtection="0"/>
    <xf numFmtId="0" fontId="23" fillId="0" borderId="14" applyNumberFormat="0" applyFill="0" applyAlignment="0" applyProtection="0"/>
    <xf numFmtId="0" fontId="24" fillId="15" borderId="15" applyNumberFormat="0" applyAlignment="0" applyProtection="0"/>
    <xf numFmtId="0" fontId="6" fillId="0" borderId="0" applyNumberFormat="0" applyFill="0" applyBorder="0" applyAlignment="0" applyProtection="0"/>
    <xf numFmtId="0" fontId="1" fillId="16" borderId="16" applyNumberFormat="0" applyFont="0" applyAlignment="0" applyProtection="0"/>
    <xf numFmtId="0" fontId="25" fillId="0" borderId="0" applyNumberFormat="0" applyFill="0" applyBorder="0" applyAlignment="0" applyProtection="0"/>
    <xf numFmtId="0" fontId="2" fillId="0" borderId="17" applyNumberFormat="0" applyFill="0" applyAlignment="0" applyProtection="0"/>
    <xf numFmtId="0" fontId="2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6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6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165" fontId="1" fillId="0" borderId="0" applyFont="0" applyFill="0" applyBorder="0" applyAlignment="0" applyProtection="0"/>
    <xf numFmtId="169" fontId="30" fillId="0" borderId="0" applyFont="0" applyFill="0" applyBorder="0" applyAlignment="0" applyProtection="0">
      <protection locked="0"/>
    </xf>
    <xf numFmtId="170" fontId="5" fillId="0" borderId="0"/>
    <xf numFmtId="170" fontId="5" fillId="0" borderId="0"/>
    <xf numFmtId="170" fontId="5" fillId="0" borderId="0"/>
    <xf numFmtId="170" fontId="5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0" fontId="5" fillId="0" borderId="0"/>
    <xf numFmtId="0" fontId="32" fillId="0" borderId="0"/>
    <xf numFmtId="0" fontId="32" fillId="0" borderId="0"/>
    <xf numFmtId="172" fontId="30" fillId="0" borderId="0" applyFont="0" applyFill="0" applyBorder="0" applyAlignment="0" applyProtection="0">
      <protection locked="0"/>
    </xf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4" fillId="18" borderId="0" applyNumberFormat="0" applyBorder="0" applyAlignment="0" applyProtection="0"/>
    <xf numFmtId="0" fontId="1" fillId="18" borderId="0" applyNumberFormat="0" applyBorder="0" applyAlignment="0" applyProtection="0"/>
    <xf numFmtId="0" fontId="34" fillId="18" borderId="0" applyNumberFormat="0" applyBorder="0" applyAlignment="0" applyProtection="0"/>
    <xf numFmtId="0" fontId="33" fillId="42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4" fillId="22" borderId="0" applyNumberFormat="0" applyBorder="0" applyAlignment="0" applyProtection="0"/>
    <xf numFmtId="0" fontId="1" fillId="22" borderId="0" applyNumberFormat="0" applyBorder="0" applyAlignment="0" applyProtection="0"/>
    <xf numFmtId="0" fontId="34" fillId="22" borderId="0" applyNumberFormat="0" applyBorder="0" applyAlignment="0" applyProtection="0"/>
    <xf numFmtId="0" fontId="33" fillId="43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4" fillId="26" borderId="0" applyNumberFormat="0" applyBorder="0" applyAlignment="0" applyProtection="0"/>
    <xf numFmtId="0" fontId="1" fillId="26" borderId="0" applyNumberFormat="0" applyBorder="0" applyAlignment="0" applyProtection="0"/>
    <xf numFmtId="0" fontId="34" fillId="26" borderId="0" applyNumberFormat="0" applyBorder="0" applyAlignment="0" applyProtection="0"/>
    <xf numFmtId="0" fontId="33" fillId="44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4" fillId="30" borderId="0" applyNumberFormat="0" applyBorder="0" applyAlignment="0" applyProtection="0"/>
    <xf numFmtId="0" fontId="1" fillId="30" borderId="0" applyNumberFormat="0" applyBorder="0" applyAlignment="0" applyProtection="0"/>
    <xf numFmtId="0" fontId="34" fillId="30" borderId="0" applyNumberFormat="0" applyBorder="0" applyAlignment="0" applyProtection="0"/>
    <xf numFmtId="0" fontId="33" fillId="45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4" fillId="34" borderId="0" applyNumberFormat="0" applyBorder="0" applyAlignment="0" applyProtection="0"/>
    <xf numFmtId="0" fontId="1" fillId="34" borderId="0" applyNumberFormat="0" applyBorder="0" applyAlignment="0" applyProtection="0"/>
    <xf numFmtId="0" fontId="34" fillId="34" borderId="0" applyNumberFormat="0" applyBorder="0" applyAlignment="0" applyProtection="0"/>
    <xf numFmtId="0" fontId="33" fillId="46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4" fillId="38" borderId="0" applyNumberFormat="0" applyBorder="0" applyAlignment="0" applyProtection="0"/>
    <xf numFmtId="0" fontId="1" fillId="38" borderId="0" applyNumberFormat="0" applyBorder="0" applyAlignment="0" applyProtection="0"/>
    <xf numFmtId="0" fontId="34" fillId="38" borderId="0" applyNumberFormat="0" applyBorder="0" applyAlignment="0" applyProtection="0"/>
    <xf numFmtId="0" fontId="33" fillId="47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4" fillId="19" borderId="0" applyNumberFormat="0" applyBorder="0" applyAlignment="0" applyProtection="0"/>
    <xf numFmtId="0" fontId="1" fillId="19" borderId="0" applyNumberFormat="0" applyBorder="0" applyAlignment="0" applyProtection="0"/>
    <xf numFmtId="0" fontId="34" fillId="19" borderId="0" applyNumberFormat="0" applyBorder="0" applyAlignment="0" applyProtection="0"/>
    <xf numFmtId="0" fontId="33" fillId="48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4" fillId="23" borderId="0" applyNumberFormat="0" applyBorder="0" applyAlignment="0" applyProtection="0"/>
    <xf numFmtId="0" fontId="1" fillId="23" borderId="0" applyNumberFormat="0" applyBorder="0" applyAlignment="0" applyProtection="0"/>
    <xf numFmtId="0" fontId="34" fillId="23" borderId="0" applyNumberFormat="0" applyBorder="0" applyAlignment="0" applyProtection="0"/>
    <xf numFmtId="0" fontId="33" fillId="49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4" fillId="27" borderId="0" applyNumberFormat="0" applyBorder="0" applyAlignment="0" applyProtection="0"/>
    <xf numFmtId="0" fontId="1" fillId="27" borderId="0" applyNumberFormat="0" applyBorder="0" applyAlignment="0" applyProtection="0"/>
    <xf numFmtId="0" fontId="34" fillId="27" borderId="0" applyNumberFormat="0" applyBorder="0" applyAlignment="0" applyProtection="0"/>
    <xf numFmtId="0" fontId="33" fillId="50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4" fillId="31" borderId="0" applyNumberFormat="0" applyBorder="0" applyAlignment="0" applyProtection="0"/>
    <xf numFmtId="0" fontId="1" fillId="31" borderId="0" applyNumberFormat="0" applyBorder="0" applyAlignment="0" applyProtection="0"/>
    <xf numFmtId="0" fontId="34" fillId="31" borderId="0" applyNumberFormat="0" applyBorder="0" applyAlignment="0" applyProtection="0"/>
    <xf numFmtId="0" fontId="33" fillId="45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4" fillId="35" borderId="0" applyNumberFormat="0" applyBorder="0" applyAlignment="0" applyProtection="0"/>
    <xf numFmtId="0" fontId="1" fillId="35" borderId="0" applyNumberFormat="0" applyBorder="0" applyAlignment="0" applyProtection="0"/>
    <xf numFmtId="0" fontId="34" fillId="35" borderId="0" applyNumberFormat="0" applyBorder="0" applyAlignment="0" applyProtection="0"/>
    <xf numFmtId="0" fontId="33" fillId="48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4" fillId="39" borderId="0" applyNumberFormat="0" applyBorder="0" applyAlignment="0" applyProtection="0"/>
    <xf numFmtId="0" fontId="1" fillId="39" borderId="0" applyNumberFormat="0" applyBorder="0" applyAlignment="0" applyProtection="0"/>
    <xf numFmtId="0" fontId="34" fillId="39" borderId="0" applyNumberFormat="0" applyBorder="0" applyAlignment="0" applyProtection="0"/>
    <xf numFmtId="0" fontId="33" fillId="51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45" borderId="0" applyNumberFormat="0" applyBorder="0" applyAlignment="0" applyProtection="0"/>
    <xf numFmtId="0" fontId="33" fillId="48" borderId="0" applyNumberFormat="0" applyBorder="0" applyAlignment="0" applyProtection="0"/>
    <xf numFmtId="0" fontId="33" fillId="51" borderId="0" applyNumberFormat="0" applyBorder="0" applyAlignment="0" applyProtection="0"/>
    <xf numFmtId="0" fontId="35" fillId="52" borderId="0" applyNumberFormat="0" applyBorder="0" applyAlignment="0" applyProtection="0"/>
    <xf numFmtId="0" fontId="26" fillId="20" borderId="0" applyNumberFormat="0" applyBorder="0" applyAlignment="0" applyProtection="0"/>
    <xf numFmtId="0" fontId="35" fillId="49" borderId="0" applyNumberFormat="0" applyBorder="0" applyAlignment="0" applyProtection="0"/>
    <xf numFmtId="0" fontId="26" fillId="24" borderId="0" applyNumberFormat="0" applyBorder="0" applyAlignment="0" applyProtection="0"/>
    <xf numFmtId="0" fontId="35" fillId="50" borderId="0" applyNumberFormat="0" applyBorder="0" applyAlignment="0" applyProtection="0"/>
    <xf numFmtId="0" fontId="26" fillId="28" borderId="0" applyNumberFormat="0" applyBorder="0" applyAlignment="0" applyProtection="0"/>
    <xf numFmtId="0" fontId="35" fillId="53" borderId="0" applyNumberFormat="0" applyBorder="0" applyAlignment="0" applyProtection="0"/>
    <xf numFmtId="0" fontId="26" fillId="32" borderId="0" applyNumberFormat="0" applyBorder="0" applyAlignment="0" applyProtection="0"/>
    <xf numFmtId="0" fontId="35" fillId="54" borderId="0" applyNumberFormat="0" applyBorder="0" applyAlignment="0" applyProtection="0"/>
    <xf numFmtId="0" fontId="26" fillId="36" borderId="0" applyNumberFormat="0" applyBorder="0" applyAlignment="0" applyProtection="0"/>
    <xf numFmtId="0" fontId="35" fillId="55" borderId="0" applyNumberFormat="0" applyBorder="0" applyAlignment="0" applyProtection="0"/>
    <xf numFmtId="0" fontId="26" fillId="40" borderId="0" applyNumberFormat="0" applyBorder="0" applyAlignment="0" applyProtection="0"/>
    <xf numFmtId="0" fontId="35" fillId="52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3" borderId="0" applyNumberFormat="0" applyBorder="0" applyAlignment="0" applyProtection="0"/>
    <xf numFmtId="0" fontId="35" fillId="54" borderId="0" applyNumberFormat="0" applyBorder="0" applyAlignment="0" applyProtection="0"/>
    <xf numFmtId="0" fontId="35" fillId="55" borderId="0" applyNumberFormat="0" applyBorder="0" applyAlignment="0" applyProtection="0"/>
    <xf numFmtId="170" fontId="30" fillId="56" borderId="0" applyNumberFormat="0" applyFont="0" applyAlignment="0">
      <alignment vertical="center"/>
    </xf>
    <xf numFmtId="0" fontId="36" fillId="56" borderId="0" applyNumberFormat="0" applyFont="0" applyAlignment="0">
      <alignment vertical="center"/>
    </xf>
    <xf numFmtId="0" fontId="30" fillId="56" borderId="0" applyNumberFormat="0" applyFont="0" applyAlignment="0">
      <alignment vertical="center"/>
    </xf>
    <xf numFmtId="0" fontId="36" fillId="56" borderId="0" applyNumberFormat="0" applyFont="0" applyAlignment="0">
      <alignment vertical="center"/>
    </xf>
    <xf numFmtId="0" fontId="35" fillId="57" borderId="0" applyNumberFormat="0" applyBorder="0" applyAlignment="0" applyProtection="0"/>
    <xf numFmtId="0" fontId="26" fillId="17" borderId="0" applyNumberFormat="0" applyBorder="0" applyAlignment="0" applyProtection="0"/>
    <xf numFmtId="0" fontId="35" fillId="58" borderId="0" applyNumberFormat="0" applyBorder="0" applyAlignment="0" applyProtection="0"/>
    <xf numFmtId="0" fontId="26" fillId="21" borderId="0" applyNumberFormat="0" applyBorder="0" applyAlignment="0" applyProtection="0"/>
    <xf numFmtId="0" fontId="35" fillId="59" borderId="0" applyNumberFormat="0" applyBorder="0" applyAlignment="0" applyProtection="0"/>
    <xf numFmtId="0" fontId="26" fillId="25" borderId="0" applyNumberFormat="0" applyBorder="0" applyAlignment="0" applyProtection="0"/>
    <xf numFmtId="0" fontId="35" fillId="53" borderId="0" applyNumberFormat="0" applyBorder="0" applyAlignment="0" applyProtection="0"/>
    <xf numFmtId="0" fontId="26" fillId="29" borderId="0" applyNumberFormat="0" applyBorder="0" applyAlignment="0" applyProtection="0"/>
    <xf numFmtId="0" fontId="35" fillId="54" borderId="0" applyNumberFormat="0" applyBorder="0" applyAlignment="0" applyProtection="0"/>
    <xf numFmtId="0" fontId="26" fillId="33" borderId="0" applyNumberFormat="0" applyBorder="0" applyAlignment="0" applyProtection="0"/>
    <xf numFmtId="0" fontId="35" fillId="60" borderId="0" applyNumberFormat="0" applyBorder="0" applyAlignment="0" applyProtection="0"/>
    <xf numFmtId="0" fontId="26" fillId="37" borderId="0" applyNumberFormat="0" applyBorder="0" applyAlignment="0" applyProtection="0"/>
    <xf numFmtId="0" fontId="37" fillId="0" borderId="0" applyNumberFormat="0" applyAlignment="0"/>
    <xf numFmtId="0" fontId="38" fillId="43" borderId="0" applyNumberFormat="0" applyBorder="0" applyAlignment="0" applyProtection="0"/>
    <xf numFmtId="0" fontId="19" fillId="11" borderId="0" applyNumberFormat="0" applyBorder="0" applyAlignment="0" applyProtection="0"/>
    <xf numFmtId="0" fontId="39" fillId="44" borderId="0" applyNumberFormat="0" applyBorder="0" applyAlignment="0" applyProtection="0"/>
    <xf numFmtId="0" fontId="40" fillId="61" borderId="20" applyNumberFormat="0" applyAlignment="0" applyProtection="0"/>
    <xf numFmtId="0" fontId="22" fillId="14" borderId="12" applyNumberFormat="0" applyAlignment="0" applyProtection="0"/>
    <xf numFmtId="0" fontId="40" fillId="61" borderId="20" applyNumberFormat="0" applyAlignment="0" applyProtection="0"/>
    <xf numFmtId="0" fontId="41" fillId="62" borderId="21" applyNumberFormat="0" applyAlignment="0" applyProtection="0"/>
    <xf numFmtId="0" fontId="42" fillId="0" borderId="22" applyNumberFormat="0" applyFill="0" applyAlignment="0" applyProtection="0"/>
    <xf numFmtId="41" fontId="30" fillId="0" borderId="23" applyProtection="0">
      <alignment horizontal="left"/>
    </xf>
    <xf numFmtId="0" fontId="41" fillId="62" borderId="21" applyNumberFormat="0" applyAlignment="0" applyProtection="0"/>
    <xf numFmtId="0" fontId="24" fillId="15" borderId="15" applyNumberFormat="0" applyAlignment="0" applyProtection="0"/>
    <xf numFmtId="38" fontId="43" fillId="0" borderId="0" applyNumberFormat="0" applyFill="0" applyBorder="0" applyAlignment="0" applyProtection="0">
      <protection locked="0"/>
    </xf>
    <xf numFmtId="38" fontId="44" fillId="0" borderId="0" applyNumberFormat="0" applyFill="0" applyBorder="0" applyAlignment="0" applyProtection="0">
      <protection locked="0"/>
    </xf>
    <xf numFmtId="38" fontId="45" fillId="0" borderId="0" applyNumberFormat="0" applyFill="0" applyBorder="0" applyAlignment="0" applyProtection="0">
      <protection locked="0"/>
    </xf>
    <xf numFmtId="0" fontId="46" fillId="0" borderId="7">
      <alignment horizontal="left" wrapText="1"/>
    </xf>
    <xf numFmtId="173" fontId="47" fillId="0" borderId="0"/>
    <xf numFmtId="173" fontId="47" fillId="0" borderId="0"/>
    <xf numFmtId="173" fontId="47" fillId="0" borderId="0"/>
    <xf numFmtId="173" fontId="47" fillId="0" borderId="0"/>
    <xf numFmtId="173" fontId="47" fillId="0" borderId="0"/>
    <xf numFmtId="173" fontId="47" fillId="0" borderId="0"/>
    <xf numFmtId="173" fontId="47" fillId="0" borderId="0"/>
    <xf numFmtId="173" fontId="47" fillId="0" borderId="0"/>
    <xf numFmtId="174" fontId="30" fillId="0" borderId="0" applyFont="0" applyFill="0" applyBorder="0" applyAlignment="0" applyProtection="0">
      <protection locked="0"/>
    </xf>
    <xf numFmtId="40" fontId="30" fillId="0" borderId="0" applyFont="0" applyFill="0" applyBorder="0" applyAlignment="0" applyProtection="0">
      <protection locked="0"/>
    </xf>
    <xf numFmtId="0" fontId="48" fillId="0" borderId="0" applyFont="0" applyFill="0" applyBorder="0" applyAlignment="0" applyProtection="0">
      <alignment horizontal="right"/>
    </xf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75" fontId="30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4" fillId="0" borderId="0" applyFont="0" applyFill="0" applyBorder="0" applyAlignment="0" applyProtection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76" fontId="37" fillId="0" borderId="0"/>
    <xf numFmtId="176" fontId="51" fillId="0" borderId="0"/>
    <xf numFmtId="176" fontId="37" fillId="0" borderId="0"/>
    <xf numFmtId="176" fontId="51" fillId="0" borderId="0"/>
    <xf numFmtId="43" fontId="47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1" fillId="16" borderId="16" applyNumberFormat="0" applyFont="0" applyAlignment="0" applyProtection="0"/>
    <xf numFmtId="0" fontId="1" fillId="16" borderId="16" applyNumberFormat="0" applyFont="0" applyAlignment="0" applyProtection="0"/>
    <xf numFmtId="0" fontId="1" fillId="16" borderId="16" applyNumberFormat="0" applyFont="0" applyAlignment="0" applyProtection="0"/>
    <xf numFmtId="0" fontId="1" fillId="16" borderId="16" applyNumberFormat="0" applyFont="0" applyAlignment="0" applyProtection="0"/>
    <xf numFmtId="0" fontId="1" fillId="16" borderId="16" applyNumberFormat="0" applyFont="0" applyAlignment="0" applyProtection="0"/>
    <xf numFmtId="0" fontId="1" fillId="16" borderId="16" applyNumberFormat="0" applyFont="0" applyAlignment="0" applyProtection="0"/>
    <xf numFmtId="177" fontId="30" fillId="0" borderId="0" applyFont="0" applyFill="0" applyBorder="0" applyAlignment="0" applyProtection="0">
      <protection locked="0"/>
    </xf>
    <xf numFmtId="178" fontId="30" fillId="0" borderId="0" applyFont="0" applyFill="0" applyBorder="0" applyAlignment="0" applyProtection="0">
      <protection locked="0"/>
    </xf>
    <xf numFmtId="0" fontId="48" fillId="0" borderId="0" applyFont="0" applyFill="0" applyBorder="0" applyAlignment="0" applyProtection="0">
      <alignment horizontal="right"/>
    </xf>
    <xf numFmtId="0" fontId="48" fillId="0" borderId="0" applyFont="0" applyFill="0" applyBorder="0" applyAlignment="0" applyProtection="0">
      <alignment horizontal="right"/>
    </xf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179" fontId="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24" applyNumberFormat="0" applyFont="0" applyFill="0" applyAlignment="0" applyProtection="0"/>
    <xf numFmtId="0" fontId="52" fillId="0" borderId="0" applyNumberFormat="0" applyFill="0" applyBorder="0" applyAlignment="0" applyProtection="0"/>
    <xf numFmtId="0" fontId="35" fillId="57" borderId="0" applyNumberFormat="0" applyBorder="0" applyAlignment="0" applyProtection="0"/>
    <xf numFmtId="0" fontId="35" fillId="58" borderId="0" applyNumberFormat="0" applyBorder="0" applyAlignment="0" applyProtection="0"/>
    <xf numFmtId="0" fontId="35" fillId="59" borderId="0" applyNumberFormat="0" applyBorder="0" applyAlignment="0" applyProtection="0"/>
    <xf numFmtId="0" fontId="35" fillId="53" borderId="0" applyNumberFormat="0" applyBorder="0" applyAlignment="0" applyProtection="0"/>
    <xf numFmtId="0" fontId="35" fillId="54" borderId="0" applyNumberFormat="0" applyBorder="0" applyAlignment="0" applyProtection="0"/>
    <xf numFmtId="0" fontId="35" fillId="60" borderId="0" applyNumberFormat="0" applyBorder="0" applyAlignment="0" applyProtection="0"/>
    <xf numFmtId="0" fontId="53" fillId="47" borderId="20" applyNumberFormat="0" applyAlignment="0" applyProtection="0"/>
    <xf numFmtId="180" fontId="5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55" fillId="0" borderId="0" applyFont="0" applyFill="0" applyBorder="0" applyAlignment="0" applyProtection="0"/>
    <xf numFmtId="170" fontId="54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7" fillId="0" borderId="0" applyFill="0" applyBorder="0" applyProtection="0">
      <alignment horizontal="left"/>
    </xf>
    <xf numFmtId="181" fontId="58" fillId="0" borderId="0" applyBorder="0"/>
    <xf numFmtId="0" fontId="39" fillId="44" borderId="0" applyNumberFormat="0" applyBorder="0" applyAlignment="0" applyProtection="0"/>
    <xf numFmtId="0" fontId="18" fillId="10" borderId="0" applyNumberFormat="0" applyBorder="0" applyAlignment="0" applyProtection="0"/>
    <xf numFmtId="38" fontId="37" fillId="7" borderId="0" applyNumberFormat="0" applyBorder="0" applyAlignment="0" applyProtection="0"/>
    <xf numFmtId="176" fontId="5" fillId="63" borderId="25" applyFont="0" applyAlignment="0" applyProtection="0"/>
    <xf numFmtId="176" fontId="5" fillId="63" borderId="25" applyFont="0" applyAlignment="0" applyProtection="0"/>
    <xf numFmtId="176" fontId="31" fillId="63" borderId="25" applyFont="0" applyAlignment="0" applyProtection="0"/>
    <xf numFmtId="176" fontId="31" fillId="63" borderId="25" applyFont="0" applyAlignment="0" applyProtection="0"/>
    <xf numFmtId="176" fontId="31" fillId="63" borderId="25" applyFont="0" applyAlignment="0" applyProtection="0"/>
    <xf numFmtId="0" fontId="48" fillId="0" borderId="0" applyFont="0" applyFill="0" applyBorder="0" applyAlignment="0" applyProtection="0">
      <alignment horizontal="right"/>
    </xf>
    <xf numFmtId="0" fontId="59" fillId="0" borderId="0" applyProtection="0">
      <alignment horizontal="right"/>
    </xf>
    <xf numFmtId="0" fontId="60" fillId="0" borderId="26" applyNumberFormat="0" applyAlignment="0" applyProtection="0">
      <alignment horizontal="left" vertical="center"/>
    </xf>
    <xf numFmtId="0" fontId="60" fillId="0" borderId="27">
      <alignment horizontal="left" vertical="center"/>
    </xf>
    <xf numFmtId="0" fontId="61" fillId="0" borderId="28" applyNumberFormat="0" applyFill="0" applyAlignment="0" applyProtection="0"/>
    <xf numFmtId="0" fontId="15" fillId="0" borderId="9" applyNumberFormat="0" applyFill="0" applyAlignment="0" applyProtection="0"/>
    <xf numFmtId="0" fontId="62" fillId="0" borderId="29" applyNumberFormat="0" applyFill="0" applyAlignment="0" applyProtection="0"/>
    <xf numFmtId="0" fontId="16" fillId="0" borderId="10" applyNumberFormat="0" applyFill="0" applyAlignment="0" applyProtection="0"/>
    <xf numFmtId="0" fontId="52" fillId="0" borderId="30" applyNumberFormat="0" applyFill="0" applyAlignment="0" applyProtection="0"/>
    <xf numFmtId="0" fontId="17" fillId="0" borderId="11" applyNumberFormat="0" applyFill="0" applyAlignment="0" applyProtection="0"/>
    <xf numFmtId="0" fontId="52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82" fontId="43" fillId="0" borderId="0" applyNumberFormat="0" applyFill="0" applyBorder="0" applyAlignment="0" applyProtection="0"/>
    <xf numFmtId="183" fontId="63" fillId="0" borderId="0" applyNumberFormat="0" applyFill="0" applyBorder="0" applyAlignment="0" applyProtection="0">
      <alignment vertical="top"/>
      <protection locked="0"/>
    </xf>
    <xf numFmtId="0" fontId="38" fillId="43" borderId="0" applyNumberFormat="0" applyBorder="0" applyAlignment="0" applyProtection="0"/>
    <xf numFmtId="10" fontId="37" fillId="63" borderId="7" applyNumberFormat="0" applyBorder="0" applyAlignment="0" applyProtection="0"/>
    <xf numFmtId="0" fontId="53" fillId="47" borderId="20" applyNumberFormat="0" applyAlignment="0" applyProtection="0"/>
    <xf numFmtId="0" fontId="20" fillId="13" borderId="12" applyNumberFormat="0" applyAlignment="0" applyProtection="0"/>
    <xf numFmtId="0" fontId="53" fillId="47" borderId="20" applyNumberFormat="0" applyAlignment="0" applyProtection="0"/>
    <xf numFmtId="0" fontId="20" fillId="13" borderId="12" applyNumberFormat="0" applyAlignment="0" applyProtection="0"/>
    <xf numFmtId="0" fontId="64" fillId="0" borderId="0" applyNumberFormat="0" applyFill="0" applyBorder="0" applyAlignment="0" applyProtection="0"/>
    <xf numFmtId="0" fontId="42" fillId="0" borderId="22" applyNumberFormat="0" applyFill="0" applyAlignment="0" applyProtection="0"/>
    <xf numFmtId="0" fontId="23" fillId="0" borderId="14" applyNumberFormat="0" applyFill="0" applyAlignment="0" applyProtection="0"/>
    <xf numFmtId="184" fontId="58" fillId="0" borderId="31" applyBorder="0"/>
    <xf numFmtId="0" fontId="65" fillId="0" borderId="31" applyBorder="0"/>
    <xf numFmtId="1" fontId="46" fillId="0" borderId="32">
      <alignment horizontal="left" vertical="center"/>
    </xf>
    <xf numFmtId="164" fontId="66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5" fontId="30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48" fillId="0" borderId="0" applyFont="0" applyFill="0" applyBorder="0" applyAlignment="0" applyProtection="0">
      <alignment horizontal="right"/>
    </xf>
    <xf numFmtId="0" fontId="67" fillId="64" borderId="0" applyNumberFormat="0" applyBorder="0" applyAlignment="0" applyProtection="0"/>
    <xf numFmtId="0" fontId="29" fillId="12" borderId="0" applyNumberFormat="0" applyBorder="0" applyAlignment="0" applyProtection="0"/>
    <xf numFmtId="0" fontId="68" fillId="0" borderId="0"/>
    <xf numFmtId="40" fontId="69" fillId="0" borderId="0"/>
    <xf numFmtId="185" fontId="5" fillId="0" borderId="0"/>
    <xf numFmtId="186" fontId="7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31" fillId="0" borderId="0"/>
    <xf numFmtId="0" fontId="5" fillId="0" borderId="0"/>
    <xf numFmtId="0" fontId="31" fillId="0" borderId="0"/>
    <xf numFmtId="0" fontId="31" fillId="0" borderId="0"/>
    <xf numFmtId="0" fontId="31" fillId="0" borderId="0"/>
    <xf numFmtId="0" fontId="72" fillId="0" borderId="0"/>
    <xf numFmtId="0" fontId="72" fillId="0" borderId="0"/>
    <xf numFmtId="0" fontId="1" fillId="0" borderId="0"/>
    <xf numFmtId="0" fontId="30" fillId="0" borderId="0"/>
    <xf numFmtId="0" fontId="1" fillId="0" borderId="0"/>
    <xf numFmtId="0" fontId="31" fillId="0" borderId="0"/>
    <xf numFmtId="17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0"/>
    <xf numFmtId="0" fontId="31" fillId="0" borderId="0"/>
    <xf numFmtId="0" fontId="31" fillId="0" borderId="0"/>
    <xf numFmtId="0" fontId="31" fillId="0" borderId="0"/>
    <xf numFmtId="0" fontId="74" fillId="0" borderId="0" applyNumberFormat="0" applyProtection="0">
      <alignment horizont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5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34" fillId="0" borderId="0"/>
    <xf numFmtId="0" fontId="3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31" fillId="0" borderId="0"/>
    <xf numFmtId="0" fontId="5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40" fontId="69" fillId="0" borderId="0"/>
    <xf numFmtId="0" fontId="1" fillId="0" borderId="0"/>
    <xf numFmtId="187" fontId="75" fillId="0" borderId="0"/>
    <xf numFmtId="187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5" fillId="0" borderId="0"/>
    <xf numFmtId="0" fontId="5" fillId="0" borderId="0"/>
    <xf numFmtId="0" fontId="31" fillId="0" borderId="0"/>
    <xf numFmtId="0" fontId="5" fillId="0" borderId="0"/>
    <xf numFmtId="0" fontId="5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0" borderId="0"/>
    <xf numFmtId="0" fontId="76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33" fillId="0" borderId="0"/>
    <xf numFmtId="0" fontId="1" fillId="0" borderId="0"/>
    <xf numFmtId="0" fontId="31" fillId="0" borderId="0"/>
    <xf numFmtId="0" fontId="5" fillId="0" borderId="0"/>
    <xf numFmtId="0" fontId="5" fillId="0" borderId="0"/>
    <xf numFmtId="0" fontId="31" fillId="0" borderId="0"/>
    <xf numFmtId="0" fontId="5" fillId="0" borderId="0"/>
    <xf numFmtId="0" fontId="5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7" fillId="0" borderId="0"/>
    <xf numFmtId="0" fontId="33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4" fillId="0" borderId="0"/>
    <xf numFmtId="0" fontId="1" fillId="0" borderId="0"/>
    <xf numFmtId="0" fontId="1" fillId="0" borderId="0"/>
    <xf numFmtId="3" fontId="78" fillId="0" borderId="0" applyFill="0" applyBorder="0" applyAlignment="0" applyProtection="0"/>
    <xf numFmtId="0" fontId="5" fillId="65" borderId="33" applyNumberFormat="0" applyFont="0" applyAlignment="0" applyProtection="0"/>
    <xf numFmtId="0" fontId="5" fillId="65" borderId="33" applyNumberFormat="0" applyFont="0" applyAlignment="0" applyProtection="0"/>
    <xf numFmtId="0" fontId="5" fillId="65" borderId="33" applyNumberFormat="0" applyFont="0" applyAlignment="0" applyProtection="0"/>
    <xf numFmtId="0" fontId="49" fillId="16" borderId="16" applyNumberFormat="0" applyFont="0" applyAlignment="0" applyProtection="0"/>
    <xf numFmtId="0" fontId="5" fillId="65" borderId="33" applyNumberFormat="0" applyFont="0" applyAlignment="0" applyProtection="0"/>
    <xf numFmtId="0" fontId="33" fillId="16" borderId="16" applyNumberFormat="0" applyFont="0" applyAlignment="0" applyProtection="0"/>
    <xf numFmtId="0" fontId="49" fillId="16" borderId="16" applyNumberFormat="0" applyFont="0" applyAlignment="0" applyProtection="0"/>
    <xf numFmtId="0" fontId="49" fillId="16" borderId="16" applyNumberFormat="0" applyFont="0" applyAlignment="0" applyProtection="0"/>
    <xf numFmtId="0" fontId="49" fillId="16" borderId="16" applyNumberFormat="0" applyFont="0" applyAlignment="0" applyProtection="0"/>
    <xf numFmtId="0" fontId="49" fillId="16" borderId="16" applyNumberFormat="0" applyFont="0" applyAlignment="0" applyProtection="0"/>
    <xf numFmtId="0" fontId="49" fillId="16" borderId="16" applyNumberFormat="0" applyFont="0" applyAlignment="0" applyProtection="0"/>
    <xf numFmtId="0" fontId="49" fillId="16" borderId="16" applyNumberFormat="0" applyFont="0" applyAlignment="0" applyProtection="0"/>
    <xf numFmtId="0" fontId="49" fillId="16" borderId="16" applyNumberFormat="0" applyFont="0" applyAlignment="0" applyProtection="0"/>
    <xf numFmtId="0" fontId="49" fillId="16" borderId="16" applyNumberFormat="0" applyFont="0" applyAlignment="0" applyProtection="0"/>
    <xf numFmtId="0" fontId="49" fillId="16" borderId="16" applyNumberFormat="0" applyFont="0" applyAlignment="0" applyProtection="0"/>
    <xf numFmtId="0" fontId="49" fillId="16" borderId="16" applyNumberFormat="0" applyFont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79" fillId="61" borderId="34" applyNumberFormat="0" applyAlignment="0" applyProtection="0"/>
    <xf numFmtId="0" fontId="21" fillId="14" borderId="13" applyNumberFormat="0" applyAlignment="0" applyProtection="0"/>
    <xf numFmtId="0" fontId="79" fillId="61" borderId="34" applyNumberFormat="0" applyAlignment="0" applyProtection="0"/>
    <xf numFmtId="0" fontId="21" fillId="14" borderId="13" applyNumberFormat="0" applyAlignment="0" applyProtection="0"/>
    <xf numFmtId="1" fontId="80" fillId="0" borderId="0" applyProtection="0">
      <alignment horizontal="right" vertical="center"/>
    </xf>
    <xf numFmtId="167" fontId="30" fillId="0" borderId="0" applyFont="0" applyFill="0" applyBorder="0" applyAlignment="0" applyProtection="0">
      <protection locked="0"/>
    </xf>
    <xf numFmtId="10" fontId="30" fillId="0" borderId="0" applyFont="0" applyFill="0" applyBorder="0" applyAlignment="0" applyProtection="0">
      <protection locked="0"/>
    </xf>
    <xf numFmtId="10" fontId="5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10" fontId="81" fillId="66" borderId="0"/>
    <xf numFmtId="9" fontId="7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5" fillId="0" borderId="0">
      <protection locked="0"/>
    </xf>
    <xf numFmtId="0" fontId="82" fillId="0" borderId="0">
      <protection locked="0"/>
    </xf>
    <xf numFmtId="0" fontId="5" fillId="0" borderId="0">
      <protection locked="0"/>
    </xf>
    <xf numFmtId="0" fontId="46" fillId="0" borderId="0">
      <protection locked="0"/>
    </xf>
    <xf numFmtId="9" fontId="3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5" fillId="0" borderId="31" applyBorder="0"/>
    <xf numFmtId="0" fontId="85" fillId="0" borderId="0">
      <alignment horizontal="center" vertical="top"/>
    </xf>
    <xf numFmtId="0" fontId="86" fillId="0" borderId="0">
      <alignment horizontal="right" vertical="top"/>
    </xf>
    <xf numFmtId="0" fontId="86" fillId="0" borderId="0">
      <alignment horizontal="center" vertical="top"/>
    </xf>
    <xf numFmtId="0" fontId="87" fillId="0" borderId="0">
      <alignment horizontal="left" vertical="top"/>
    </xf>
    <xf numFmtId="0" fontId="87" fillId="0" borderId="0">
      <alignment horizontal="right" vertical="top"/>
    </xf>
    <xf numFmtId="0" fontId="87" fillId="0" borderId="0">
      <alignment horizontal="center" vertical="top"/>
    </xf>
    <xf numFmtId="0" fontId="87" fillId="0" borderId="0">
      <alignment horizontal="right" vertical="top"/>
    </xf>
    <xf numFmtId="0" fontId="88" fillId="0" borderId="0">
      <alignment horizontal="left" vertical="top"/>
    </xf>
    <xf numFmtId="0" fontId="88" fillId="0" borderId="0">
      <alignment horizontal="right" vertical="top"/>
    </xf>
    <xf numFmtId="0" fontId="79" fillId="61" borderId="34" applyNumberFormat="0" applyAlignment="0" applyProtection="0"/>
    <xf numFmtId="4" fontId="10" fillId="55" borderId="35" applyNumberFormat="0" applyProtection="0">
      <alignment vertical="center"/>
    </xf>
    <xf numFmtId="4" fontId="89" fillId="67" borderId="35" applyNumberFormat="0" applyProtection="0">
      <alignment vertical="center"/>
    </xf>
    <xf numFmtId="4" fontId="4" fillId="67" borderId="34" applyNumberFormat="0" applyProtection="0">
      <alignment horizontal="left" vertical="center" indent="1"/>
    </xf>
    <xf numFmtId="4" fontId="10" fillId="67" borderId="35" applyNumberFormat="0" applyProtection="0">
      <alignment horizontal="left" vertical="center" indent="1"/>
    </xf>
    <xf numFmtId="170" fontId="10" fillId="67" borderId="35" applyNumberFormat="0" applyProtection="0">
      <alignment horizontal="left" vertical="top" indent="1"/>
    </xf>
    <xf numFmtId="0" fontId="10" fillId="67" borderId="35" applyNumberFormat="0" applyProtection="0">
      <alignment horizontal="left" vertical="top" indent="1"/>
    </xf>
    <xf numFmtId="4" fontId="10" fillId="68" borderId="0" applyNumberFormat="0" applyProtection="0">
      <alignment horizontal="left" vertical="center" indent="1"/>
    </xf>
    <xf numFmtId="4" fontId="4" fillId="69" borderId="34" applyNumberFormat="0" applyProtection="0">
      <alignment horizontal="right" vertical="center"/>
    </xf>
    <xf numFmtId="4" fontId="4" fillId="43" borderId="35" applyNumberFormat="0" applyProtection="0">
      <alignment horizontal="right" vertical="center"/>
    </xf>
    <xf numFmtId="4" fontId="4" fillId="70" borderId="34" applyNumberFormat="0" applyProtection="0">
      <alignment horizontal="right" vertical="center"/>
    </xf>
    <xf numFmtId="4" fontId="4" fillId="49" borderId="35" applyNumberFormat="0" applyProtection="0">
      <alignment horizontal="right" vertical="center"/>
    </xf>
    <xf numFmtId="4" fontId="4" fillId="71" borderId="34" applyNumberFormat="0" applyProtection="0">
      <alignment horizontal="right" vertical="center"/>
    </xf>
    <xf numFmtId="4" fontId="4" fillId="58" borderId="35" applyNumberFormat="0" applyProtection="0">
      <alignment horizontal="right" vertical="center"/>
    </xf>
    <xf numFmtId="4" fontId="4" fillId="72" borderId="34" applyNumberFormat="0" applyProtection="0">
      <alignment horizontal="right" vertical="center"/>
    </xf>
    <xf numFmtId="4" fontId="4" fillId="51" borderId="35" applyNumberFormat="0" applyProtection="0">
      <alignment horizontal="right" vertical="center"/>
    </xf>
    <xf numFmtId="4" fontId="4" fillId="73" borderId="34" applyNumberFormat="0" applyProtection="0">
      <alignment horizontal="right" vertical="center"/>
    </xf>
    <xf numFmtId="4" fontId="4" fillId="55" borderId="35" applyNumberFormat="0" applyProtection="0">
      <alignment horizontal="right" vertical="center"/>
    </xf>
    <xf numFmtId="4" fontId="4" fillId="74" borderId="34" applyNumberFormat="0" applyProtection="0">
      <alignment horizontal="right" vertical="center"/>
    </xf>
    <xf numFmtId="4" fontId="4" fillId="60" borderId="35" applyNumberFormat="0" applyProtection="0">
      <alignment horizontal="right" vertical="center"/>
    </xf>
    <xf numFmtId="4" fontId="4" fillId="75" borderId="34" applyNumberFormat="0" applyProtection="0">
      <alignment horizontal="right" vertical="center"/>
    </xf>
    <xf numFmtId="4" fontId="4" fillId="59" borderId="35" applyNumberFormat="0" applyProtection="0">
      <alignment horizontal="right" vertical="center"/>
    </xf>
    <xf numFmtId="4" fontId="4" fillId="76" borderId="34" applyNumberFormat="0" applyProtection="0">
      <alignment horizontal="right" vertical="center"/>
    </xf>
    <xf numFmtId="4" fontId="4" fillId="77" borderId="35" applyNumberFormat="0" applyProtection="0">
      <alignment horizontal="right" vertical="center"/>
    </xf>
    <xf numFmtId="4" fontId="4" fillId="78" borderId="34" applyNumberFormat="0" applyProtection="0">
      <alignment horizontal="right" vertical="center"/>
    </xf>
    <xf numFmtId="4" fontId="4" fillId="50" borderId="35" applyNumberFormat="0" applyProtection="0">
      <alignment horizontal="right" vertical="center"/>
    </xf>
    <xf numFmtId="4" fontId="10" fillId="79" borderId="0" applyNumberFormat="0" applyProtection="0">
      <alignment horizontal="left" vertical="center" indent="1"/>
    </xf>
    <xf numFmtId="4" fontId="10" fillId="80" borderId="36" applyNumberFormat="0" applyProtection="0">
      <alignment horizontal="left" vertical="center" indent="1"/>
    </xf>
    <xf numFmtId="4" fontId="4" fillId="81" borderId="0" applyNumberFormat="0" applyProtection="0">
      <alignment horizontal="left" vertical="center" indent="1"/>
    </xf>
    <xf numFmtId="4" fontId="90" fillId="82" borderId="0" applyNumberFormat="0" applyProtection="0">
      <alignment horizontal="left" vertical="center" indent="1"/>
    </xf>
    <xf numFmtId="0" fontId="5" fillId="83" borderId="34" applyNumberFormat="0" applyProtection="0">
      <alignment horizontal="left" vertical="center" indent="1"/>
    </xf>
    <xf numFmtId="4" fontId="4" fillId="84" borderId="35" applyNumberFormat="0" applyProtection="0">
      <alignment horizontal="right" vertical="center"/>
    </xf>
    <xf numFmtId="4" fontId="10" fillId="61" borderId="0" applyNumberFormat="0" applyProtection="0">
      <alignment horizontal="left" vertical="center" indent="1"/>
    </xf>
    <xf numFmtId="4" fontId="4" fillId="81" borderId="0" applyNumberFormat="0" applyProtection="0">
      <alignment horizontal="left" vertical="center" indent="1"/>
    </xf>
    <xf numFmtId="4" fontId="4" fillId="48" borderId="0" applyNumberFormat="0" applyProtection="0">
      <alignment horizontal="left" vertical="center" indent="1"/>
    </xf>
    <xf numFmtId="4" fontId="91" fillId="85" borderId="0" applyNumberFormat="0" applyProtection="0">
      <alignment horizontal="left" vertical="center" indent="1"/>
    </xf>
    <xf numFmtId="170" fontId="5" fillId="82" borderId="35" applyNumberFormat="0" applyProtection="0">
      <alignment horizontal="left" vertical="center" indent="1"/>
    </xf>
    <xf numFmtId="170" fontId="5" fillId="82" borderId="35" applyNumberFormat="0" applyProtection="0">
      <alignment horizontal="left" vertical="center" indent="1"/>
    </xf>
    <xf numFmtId="0" fontId="31" fillId="82" borderId="35" applyNumberFormat="0" applyProtection="0">
      <alignment horizontal="left" vertical="center" indent="1"/>
    </xf>
    <xf numFmtId="0" fontId="31" fillId="82" borderId="35" applyNumberFormat="0" applyProtection="0">
      <alignment horizontal="left" vertical="center" indent="1"/>
    </xf>
    <xf numFmtId="0" fontId="31" fillId="82" borderId="35" applyNumberFormat="0" applyProtection="0">
      <alignment horizontal="left" vertical="center" indent="1"/>
    </xf>
    <xf numFmtId="0" fontId="5" fillId="82" borderId="35" applyNumberFormat="0" applyProtection="0">
      <alignment horizontal="left" vertical="top" indent="1"/>
    </xf>
    <xf numFmtId="0" fontId="31" fillId="82" borderId="35" applyNumberFormat="0" applyProtection="0">
      <alignment horizontal="left" vertical="top" indent="1"/>
    </xf>
    <xf numFmtId="170" fontId="5" fillId="86" borderId="35" applyNumberFormat="0" applyProtection="0">
      <alignment horizontal="left" vertical="center" indent="1"/>
    </xf>
    <xf numFmtId="170" fontId="5" fillId="86" borderId="35" applyNumberFormat="0" applyProtection="0">
      <alignment horizontal="left" vertical="center" indent="1"/>
    </xf>
    <xf numFmtId="0" fontId="31" fillId="86" borderId="35" applyNumberFormat="0" applyProtection="0">
      <alignment horizontal="left" vertical="center" indent="1"/>
    </xf>
    <xf numFmtId="0" fontId="31" fillId="86" borderId="35" applyNumberFormat="0" applyProtection="0">
      <alignment horizontal="left" vertical="center" indent="1"/>
    </xf>
    <xf numFmtId="0" fontId="31" fillId="86" borderId="35" applyNumberFormat="0" applyProtection="0">
      <alignment horizontal="left" vertical="center" indent="1"/>
    </xf>
    <xf numFmtId="0" fontId="5" fillId="86" borderId="35" applyNumberFormat="0" applyProtection="0">
      <alignment horizontal="left" vertical="top" indent="1"/>
    </xf>
    <xf numFmtId="0" fontId="31" fillId="86" borderId="35" applyNumberFormat="0" applyProtection="0">
      <alignment horizontal="left" vertical="top" indent="1"/>
    </xf>
    <xf numFmtId="170" fontId="5" fillId="87" borderId="35" applyNumberFormat="0" applyProtection="0">
      <alignment horizontal="left" vertical="center" indent="1"/>
    </xf>
    <xf numFmtId="170" fontId="5" fillId="87" borderId="35" applyNumberFormat="0" applyProtection="0">
      <alignment horizontal="left" vertical="center" indent="1"/>
    </xf>
    <xf numFmtId="0" fontId="31" fillId="87" borderId="35" applyNumberFormat="0" applyProtection="0">
      <alignment horizontal="left" vertical="center" indent="1"/>
    </xf>
    <xf numFmtId="0" fontId="31" fillId="87" borderId="35" applyNumberFormat="0" applyProtection="0">
      <alignment horizontal="left" vertical="center" indent="1"/>
    </xf>
    <xf numFmtId="0" fontId="31" fillId="87" borderId="35" applyNumberFormat="0" applyProtection="0">
      <alignment horizontal="left" vertical="center" indent="1"/>
    </xf>
    <xf numFmtId="0" fontId="5" fillId="7" borderId="34" applyNumberFormat="0" applyProtection="0">
      <alignment horizontal="left" vertical="center" indent="1"/>
    </xf>
    <xf numFmtId="0" fontId="31" fillId="87" borderId="35" applyNumberFormat="0" applyProtection="0">
      <alignment horizontal="left" vertical="top" indent="1"/>
    </xf>
    <xf numFmtId="170" fontId="5" fillId="88" borderId="35" applyNumberFormat="0" applyProtection="0">
      <alignment horizontal="left" vertical="center" indent="1"/>
    </xf>
    <xf numFmtId="170" fontId="5" fillId="88" borderId="35" applyNumberFormat="0" applyProtection="0">
      <alignment horizontal="left" vertical="center" indent="1"/>
    </xf>
    <xf numFmtId="0" fontId="31" fillId="88" borderId="35" applyNumberFormat="0" applyProtection="0">
      <alignment horizontal="left" vertical="center" indent="1"/>
    </xf>
    <xf numFmtId="0" fontId="31" fillId="88" borderId="35" applyNumberFormat="0" applyProtection="0">
      <alignment horizontal="left" vertical="center" indent="1"/>
    </xf>
    <xf numFmtId="0" fontId="31" fillId="88" borderId="35" applyNumberFormat="0" applyProtection="0">
      <alignment horizontal="left" vertical="center" indent="1"/>
    </xf>
    <xf numFmtId="0" fontId="5" fillId="83" borderId="34" applyNumberFormat="0" applyProtection="0">
      <alignment horizontal="left" vertical="center" indent="1"/>
    </xf>
    <xf numFmtId="0" fontId="31" fillId="88" borderId="35" applyNumberFormat="0" applyProtection="0">
      <alignment horizontal="left" vertical="top" indent="1"/>
    </xf>
    <xf numFmtId="4" fontId="4" fillId="63" borderId="34" applyNumberFormat="0" applyProtection="0">
      <alignment vertical="center"/>
    </xf>
    <xf numFmtId="4" fontId="4" fillId="63" borderId="35" applyNumberFormat="0" applyProtection="0">
      <alignment vertical="center"/>
    </xf>
    <xf numFmtId="4" fontId="92" fillId="63" borderId="34" applyNumberFormat="0" applyProtection="0">
      <alignment vertical="center"/>
    </xf>
    <xf numFmtId="4" fontId="92" fillId="63" borderId="35" applyNumberFormat="0" applyProtection="0">
      <alignment vertical="center"/>
    </xf>
    <xf numFmtId="4" fontId="4" fillId="63" borderId="35" applyNumberFormat="0" applyProtection="0">
      <alignment horizontal="left" vertical="center" indent="1"/>
    </xf>
    <xf numFmtId="4" fontId="4" fillId="63" borderId="34" applyNumberFormat="0" applyProtection="0">
      <alignment horizontal="left" vertical="center" indent="1"/>
    </xf>
    <xf numFmtId="0" fontId="4" fillId="63" borderId="35" applyNumberFormat="0" applyProtection="0">
      <alignment horizontal="left" vertical="top" indent="1"/>
    </xf>
    <xf numFmtId="4" fontId="4" fillId="81" borderId="35" applyNumberFormat="0" applyProtection="0">
      <alignment horizontal="right" vertical="center"/>
    </xf>
    <xf numFmtId="4" fontId="92" fillId="89" borderId="34" applyNumberFormat="0" applyProtection="0">
      <alignment horizontal="right" vertical="center"/>
    </xf>
    <xf numFmtId="4" fontId="5" fillId="90" borderId="35" applyNumberFormat="0" applyProtection="0">
      <alignment horizontal="right" vertical="center"/>
    </xf>
    <xf numFmtId="0" fontId="5" fillId="83" borderId="34" applyNumberFormat="0" applyProtection="0">
      <alignment horizontal="left" vertical="center" indent="1"/>
    </xf>
    <xf numFmtId="4" fontId="4" fillId="84" borderId="35" applyNumberFormat="0" applyProtection="0">
      <alignment horizontal="left" vertical="center" indent="1"/>
    </xf>
    <xf numFmtId="170" fontId="4" fillId="86" borderId="35" applyNumberFormat="0" applyProtection="0">
      <alignment horizontal="left" vertical="top" indent="1"/>
    </xf>
    <xf numFmtId="0" fontId="4" fillId="86" borderId="35" applyNumberFormat="0" applyProtection="0">
      <alignment horizontal="left" vertical="top" indent="1"/>
    </xf>
    <xf numFmtId="0" fontId="93" fillId="0" borderId="0"/>
    <xf numFmtId="4" fontId="94" fillId="91" borderId="0" applyNumberFormat="0" applyProtection="0">
      <alignment horizontal="left" vertical="center"/>
    </xf>
    <xf numFmtId="4" fontId="95" fillId="81" borderId="34" applyNumberFormat="0" applyProtection="0">
      <alignment horizontal="right" vertical="center"/>
    </xf>
    <xf numFmtId="4" fontId="5" fillId="90" borderId="35" applyNumberFormat="0" applyProtection="0">
      <alignment horizontal="right" vertical="center"/>
    </xf>
    <xf numFmtId="183" fontId="96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170" fontId="5" fillId="0" borderId="0"/>
    <xf numFmtId="0" fontId="5" fillId="0" borderId="0"/>
    <xf numFmtId="0" fontId="5" fillId="0" borderId="0"/>
    <xf numFmtId="170" fontId="5" fillId="0" borderId="0"/>
    <xf numFmtId="0" fontId="5" fillId="0" borderId="0"/>
    <xf numFmtId="0" fontId="5" fillId="0" borderId="0"/>
    <xf numFmtId="0" fontId="98" fillId="0" borderId="0"/>
    <xf numFmtId="188" fontId="99" fillId="0" borderId="0">
      <alignment horizontal="left" vertical="center"/>
    </xf>
    <xf numFmtId="0" fontId="100" fillId="0" borderId="0" applyBorder="0" applyProtection="0">
      <alignment vertical="center"/>
    </xf>
    <xf numFmtId="0" fontId="100" fillId="0" borderId="18" applyBorder="0" applyProtection="0">
      <alignment horizontal="right" vertical="center"/>
    </xf>
    <xf numFmtId="0" fontId="101" fillId="92" borderId="0" applyBorder="0" applyProtection="0">
      <alignment horizontal="centerContinuous" vertical="center"/>
    </xf>
    <xf numFmtId="0" fontId="101" fillId="93" borderId="18" applyBorder="0" applyProtection="0">
      <alignment horizontal="centerContinuous" vertical="center"/>
    </xf>
    <xf numFmtId="0" fontId="102" fillId="0" borderId="0" applyFill="0" applyBorder="0" applyProtection="0">
      <alignment horizontal="left"/>
    </xf>
    <xf numFmtId="0" fontId="57" fillId="0" borderId="37" applyFill="0" applyBorder="0" applyProtection="0">
      <alignment horizontal="left" vertical="top"/>
    </xf>
    <xf numFmtId="1" fontId="103" fillId="0" borderId="0">
      <alignment horizontal="left" vertical="center"/>
    </xf>
    <xf numFmtId="0" fontId="104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6" fillId="0" borderId="23">
      <alignment horizontal="left"/>
    </xf>
    <xf numFmtId="0" fontId="105" fillId="0" borderId="0" applyNumberFormat="0" applyFill="0" applyBorder="0" applyAlignment="0" applyProtection="0"/>
    <xf numFmtId="0" fontId="61" fillId="0" borderId="28" applyNumberFormat="0" applyFill="0" applyAlignment="0" applyProtection="0"/>
    <xf numFmtId="0" fontId="62" fillId="0" borderId="29" applyNumberFormat="0" applyFill="0" applyAlignment="0" applyProtection="0"/>
    <xf numFmtId="0" fontId="52" fillId="0" borderId="30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2" fillId="0" borderId="17" applyNumberFormat="0" applyFill="0" applyAlignment="0" applyProtection="0"/>
    <xf numFmtId="0" fontId="108" fillId="0" borderId="7">
      <alignment horizontal="center"/>
    </xf>
    <xf numFmtId="0" fontId="109" fillId="0" borderId="0">
      <alignment vertical="top"/>
    </xf>
    <xf numFmtId="189" fontId="66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12" borderId="0" applyNumberFormat="0" applyBorder="0" applyAlignment="0" applyProtection="0"/>
    <xf numFmtId="0" fontId="26" fillId="20" borderId="0" applyNumberFormat="0" applyBorder="0" applyAlignment="0" applyProtection="0"/>
    <xf numFmtId="0" fontId="26" fillId="24" borderId="0" applyNumberFormat="0" applyBorder="0" applyAlignment="0" applyProtection="0"/>
    <xf numFmtId="0" fontId="26" fillId="28" borderId="0" applyNumberFormat="0" applyBorder="0" applyAlignment="0" applyProtection="0"/>
    <xf numFmtId="0" fontId="26" fillId="32" borderId="0" applyNumberFormat="0" applyBorder="0" applyAlignment="0" applyProtection="0"/>
    <xf numFmtId="0" fontId="26" fillId="36" borderId="0" applyNumberFormat="0" applyBorder="0" applyAlignment="0" applyProtection="0"/>
    <xf numFmtId="0" fontId="26" fillId="40" borderId="0" applyNumberFormat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/>
    <xf numFmtId="195" fontId="118" fillId="0" borderId="0" applyFont="0" applyFill="0" applyBorder="0" applyAlignment="0" applyProtection="0"/>
    <xf numFmtId="0" fontId="119" fillId="0" borderId="0" applyFont="0" applyFill="0" applyBorder="0" applyAlignment="0" applyProtection="0"/>
    <xf numFmtId="195" fontId="118" fillId="0" borderId="0" applyFont="0" applyFill="0" applyBorder="0" applyAlignment="0" applyProtection="0"/>
    <xf numFmtId="40" fontId="119" fillId="0" borderId="0" applyFont="0" applyFill="0" applyBorder="0" applyAlignment="0" applyProtection="0"/>
    <xf numFmtId="38" fontId="119" fillId="0" borderId="0" applyFont="0" applyFill="0" applyBorder="0" applyAlignment="0" applyProtection="0"/>
    <xf numFmtId="0" fontId="120" fillId="0" borderId="0"/>
    <xf numFmtId="194" fontId="5" fillId="0" borderId="0">
      <alignment horizontal="left" wrapText="1"/>
    </xf>
    <xf numFmtId="194" fontId="5" fillId="0" borderId="0">
      <alignment horizontal="left" wrapText="1"/>
    </xf>
    <xf numFmtId="196" fontId="5" fillId="0" borderId="0" applyFont="0" applyFill="0" applyBorder="0" applyAlignment="0" applyProtection="0"/>
    <xf numFmtId="196" fontId="5" fillId="0" borderId="0" applyFont="0" applyFill="0" applyBorder="0" applyAlignment="0" applyProtection="0"/>
    <xf numFmtId="196" fontId="5" fillId="0" borderId="0" applyFont="0" applyFill="0" applyBorder="0" applyAlignment="0" applyProtection="0"/>
    <xf numFmtId="197" fontId="5" fillId="0" borderId="0" applyFont="0" applyFill="0" applyBorder="0" applyAlignment="0" applyProtection="0"/>
    <xf numFmtId="197" fontId="5" fillId="0" borderId="0" applyFont="0" applyFill="0" applyBorder="0" applyAlignment="0" applyProtection="0"/>
    <xf numFmtId="197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200" fontId="5" fillId="0" borderId="0" applyFont="0" applyFill="0" applyBorder="0" applyAlignment="0" applyProtection="0"/>
    <xf numFmtId="200" fontId="5" fillId="0" borderId="0" applyFont="0" applyFill="0" applyBorder="0" applyAlignment="0" applyProtection="0"/>
    <xf numFmtId="200" fontId="5" fillId="0" borderId="0" applyFont="0" applyFill="0" applyBorder="0" applyAlignment="0" applyProtection="0"/>
    <xf numFmtId="200" fontId="5" fillId="0" borderId="0" applyFont="0" applyFill="0" applyBorder="0" applyAlignment="0" applyProtection="0"/>
    <xf numFmtId="200" fontId="5" fillId="0" borderId="0" applyFont="0" applyFill="0" applyBorder="0" applyAlignment="0" applyProtection="0"/>
    <xf numFmtId="200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77" fontId="121" fillId="0" borderId="0" applyFont="0" applyFill="0" applyBorder="0" applyAlignment="0" applyProtection="0"/>
    <xf numFmtId="177" fontId="121" fillId="0" borderId="0" applyFont="0" applyFill="0" applyBorder="0" applyAlignment="0" applyProtection="0"/>
    <xf numFmtId="38" fontId="121" fillId="0" borderId="0" applyFont="0" applyFill="0" applyBorder="0" applyAlignment="0" applyProtection="0"/>
    <xf numFmtId="177" fontId="121" fillId="0" borderId="0" applyFont="0" applyFill="0" applyBorder="0" applyAlignment="0" applyProtection="0"/>
    <xf numFmtId="38" fontId="121" fillId="0" borderId="0" applyFont="0" applyFill="0" applyBorder="0" applyAlignment="0" applyProtection="0"/>
    <xf numFmtId="202" fontId="5" fillId="0" borderId="0" applyFont="0" applyFill="0" applyBorder="0" applyAlignment="0" applyProtection="0"/>
    <xf numFmtId="202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198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4" fontId="5" fillId="0" borderId="0" applyFont="0" applyFill="0" applyBorder="0" applyAlignment="0" applyProtection="0"/>
    <xf numFmtId="204" fontId="5" fillId="0" borderId="0" applyFont="0" applyFill="0" applyBorder="0" applyAlignment="0" applyProtection="0"/>
    <xf numFmtId="0" fontId="122" fillId="0" borderId="0"/>
    <xf numFmtId="0" fontId="123" fillId="0" borderId="0"/>
    <xf numFmtId="0" fontId="123" fillId="0" borderId="0"/>
    <xf numFmtId="0" fontId="122" fillId="0" borderId="0"/>
    <xf numFmtId="0" fontId="122" fillId="0" borderId="0"/>
    <xf numFmtId="0" fontId="124" fillId="0" borderId="0"/>
    <xf numFmtId="0" fontId="122" fillId="0" borderId="0"/>
    <xf numFmtId="0" fontId="125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6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7" fillId="0" borderId="0"/>
    <xf numFmtId="0" fontId="127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6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7" fillId="0" borderId="0"/>
    <xf numFmtId="0" fontId="127" fillId="0" borderId="0"/>
    <xf numFmtId="0" fontId="125" fillId="0" borderId="0"/>
    <xf numFmtId="0" fontId="128" fillId="0" borderId="0"/>
    <xf numFmtId="0" fontId="128" fillId="0" borderId="0"/>
    <xf numFmtId="0" fontId="124" fillId="0" borderId="0"/>
    <xf numFmtId="0" fontId="123" fillId="0" borderId="0"/>
    <xf numFmtId="0" fontId="123" fillId="0" borderId="0"/>
    <xf numFmtId="0" fontId="124" fillId="0" borderId="0"/>
    <xf numFmtId="0" fontId="123" fillId="0" borderId="0"/>
    <xf numFmtId="0" fontId="123" fillId="0" borderId="0"/>
    <xf numFmtId="0" fontId="128" fillId="0" borderId="0"/>
    <xf numFmtId="0" fontId="128" fillId="0" borderId="0"/>
    <xf numFmtId="0" fontId="124" fillId="0" borderId="0"/>
    <xf numFmtId="0" fontId="123" fillId="0" borderId="0"/>
    <xf numFmtId="0" fontId="123" fillId="0" borderId="0"/>
    <xf numFmtId="0" fontId="122" fillId="0" borderId="0"/>
    <xf numFmtId="0" fontId="123" fillId="0" borderId="0"/>
    <xf numFmtId="0" fontId="123" fillId="0" borderId="0"/>
    <xf numFmtId="0" fontId="126" fillId="0" borderId="0"/>
    <xf numFmtId="0" fontId="127" fillId="0" borderId="0"/>
    <xf numFmtId="0" fontId="127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2" fillId="0" borderId="0"/>
    <xf numFmtId="0" fontId="123" fillId="0" borderId="0"/>
    <xf numFmtId="0" fontId="123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2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3" fillId="0" borderId="0"/>
    <xf numFmtId="0" fontId="123" fillId="0" borderId="0"/>
    <xf numFmtId="0" fontId="123" fillId="0" borderId="0"/>
    <xf numFmtId="0" fontId="123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5" fillId="0" borderId="0"/>
    <xf numFmtId="0" fontId="128" fillId="0" borderId="0"/>
    <xf numFmtId="0" fontId="128" fillId="0" borderId="0"/>
    <xf numFmtId="0" fontId="123" fillId="0" borderId="0"/>
    <xf numFmtId="0" fontId="123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2" fillId="0" borderId="0"/>
    <xf numFmtId="0" fontId="123" fillId="0" borderId="0"/>
    <xf numFmtId="0" fontId="123" fillId="0" borderId="0"/>
    <xf numFmtId="0" fontId="122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3" fillId="0" borderId="0"/>
    <xf numFmtId="0" fontId="123" fillId="0" borderId="0"/>
    <xf numFmtId="0" fontId="123" fillId="0" borderId="0"/>
    <xf numFmtId="0" fontId="123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4" fillId="0" borderId="0"/>
    <xf numFmtId="0" fontId="123" fillId="0" borderId="0"/>
    <xf numFmtId="0" fontId="123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5" fillId="0" borderId="0"/>
    <xf numFmtId="0" fontId="128" fillId="0" borderId="0"/>
    <xf numFmtId="0" fontId="128" fillId="0" borderId="0"/>
    <xf numFmtId="0" fontId="122" fillId="0" borderId="0"/>
    <xf numFmtId="0" fontId="123" fillId="0" borderId="0"/>
    <xf numFmtId="0" fontId="123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2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5" fillId="0" borderId="0"/>
    <xf numFmtId="0" fontId="128" fillId="0" borderId="0"/>
    <xf numFmtId="0" fontId="128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3" fillId="0" borderId="0"/>
    <xf numFmtId="0" fontId="123" fillId="0" borderId="0"/>
    <xf numFmtId="0" fontId="123" fillId="0" borderId="0"/>
    <xf numFmtId="0" fontId="123" fillId="0" borderId="0"/>
    <xf numFmtId="0" fontId="125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8" fillId="0" borderId="0"/>
    <xf numFmtId="0" fontId="128" fillId="0" borderId="0"/>
    <xf numFmtId="207" fontId="5" fillId="0" borderId="0" applyFont="0" applyFill="0" applyBorder="0" applyAlignment="0" applyProtection="0"/>
    <xf numFmtId="207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7" fontId="5" fillId="0" borderId="0" applyFont="0" applyFill="0" applyBorder="0" applyAlignment="0" applyProtection="0"/>
    <xf numFmtId="207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0" fontId="124" fillId="0" borderId="0"/>
    <xf numFmtId="0" fontId="123" fillId="0" borderId="0"/>
    <xf numFmtId="0" fontId="123" fillId="0" borderId="0"/>
    <xf numFmtId="0" fontId="97" fillId="0" borderId="0"/>
    <xf numFmtId="0" fontId="124" fillId="0" borderId="0"/>
    <xf numFmtId="0" fontId="123" fillId="0" borderId="0"/>
    <xf numFmtId="0" fontId="1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9" fontId="5" fillId="0" borderId="0" applyFont="0" applyFill="0" applyBorder="0" applyAlignment="0" applyProtection="0"/>
    <xf numFmtId="199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2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3" fillId="0" borderId="0"/>
    <xf numFmtId="0" fontId="123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2" fillId="0" borderId="0"/>
    <xf numFmtId="0" fontId="123" fillId="0" borderId="0"/>
    <xf numFmtId="0" fontId="123" fillId="0" borderId="0"/>
    <xf numFmtId="0" fontId="124" fillId="0" borderId="0"/>
    <xf numFmtId="0" fontId="123" fillId="0" borderId="0"/>
    <xf numFmtId="0" fontId="123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2" fillId="0" borderId="0"/>
    <xf numFmtId="40" fontId="121" fillId="0" borderId="0" applyFont="0" applyFill="0" applyBorder="0" applyAlignment="0" applyProtection="0"/>
    <xf numFmtId="178" fontId="121" fillId="0" borderId="0" applyFont="0" applyFill="0" applyBorder="0" applyAlignment="0" applyProtection="0"/>
    <xf numFmtId="0" fontId="122" fillId="0" borderId="0"/>
    <xf numFmtId="0" fontId="123" fillId="0" borderId="0"/>
    <xf numFmtId="0" fontId="123" fillId="0" borderId="0"/>
    <xf numFmtId="40" fontId="121" fillId="0" borderId="0" applyFont="0" applyFill="0" applyBorder="0" applyAlignment="0" applyProtection="0"/>
    <xf numFmtId="178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0" fontId="122" fillId="0" borderId="0"/>
    <xf numFmtId="0" fontId="123" fillId="0" borderId="0"/>
    <xf numFmtId="0" fontId="123" fillId="0" borderId="0"/>
    <xf numFmtId="178" fontId="121" fillId="0" borderId="0" applyFont="0" applyFill="0" applyBorder="0" applyAlignment="0" applyProtection="0"/>
    <xf numFmtId="0" fontId="123" fillId="0" borderId="0"/>
    <xf numFmtId="0" fontId="123" fillId="0" borderId="0"/>
    <xf numFmtId="40" fontId="121" fillId="0" borderId="0" applyFont="0" applyFill="0" applyBorder="0" applyAlignment="0" applyProtection="0"/>
    <xf numFmtId="178" fontId="121" fillId="0" borderId="0" applyFont="0" applyFill="0" applyBorder="0" applyAlignment="0" applyProtection="0"/>
    <xf numFmtId="0" fontId="124" fillId="0" borderId="0"/>
    <xf numFmtId="209" fontId="5" fillId="0" borderId="0" applyFont="0" applyFill="0" applyBorder="0" applyAlignment="0" applyProtection="0"/>
    <xf numFmtId="209" fontId="5" fillId="0" borderId="0" applyFont="0" applyFill="0" applyBorder="0" applyAlignment="0" applyProtection="0"/>
    <xf numFmtId="0" fontId="124" fillId="0" borderId="0"/>
    <xf numFmtId="0" fontId="123" fillId="0" borderId="0"/>
    <xf numFmtId="0" fontId="123" fillId="0" borderId="0"/>
    <xf numFmtId="0" fontId="124" fillId="0" borderId="0"/>
    <xf numFmtId="0" fontId="123" fillId="0" borderId="0"/>
    <xf numFmtId="0" fontId="123" fillId="0" borderId="0"/>
    <xf numFmtId="0" fontId="124" fillId="0" borderId="0"/>
    <xf numFmtId="209" fontId="5" fillId="0" borderId="0" applyFont="0" applyFill="0" applyBorder="0" applyAlignment="0" applyProtection="0"/>
    <xf numFmtId="209" fontId="5" fillId="0" borderId="0" applyFont="0" applyFill="0" applyBorder="0" applyAlignment="0" applyProtection="0"/>
    <xf numFmtId="0" fontId="123" fillId="0" borderId="0"/>
    <xf numFmtId="0" fontId="123" fillId="0" borderId="0"/>
    <xf numFmtId="0" fontId="123" fillId="0" borderId="0"/>
    <xf numFmtId="0" fontId="123" fillId="0" borderId="0"/>
    <xf numFmtId="209" fontId="5" fillId="0" borderId="0" applyFont="0" applyFill="0" applyBorder="0" applyAlignment="0" applyProtection="0"/>
    <xf numFmtId="209" fontId="5" fillId="0" borderId="0" applyFont="0" applyFill="0" applyBorder="0" applyAlignment="0" applyProtection="0"/>
    <xf numFmtId="0" fontId="126" fillId="0" borderId="0"/>
    <xf numFmtId="0" fontId="127" fillId="0" borderId="0"/>
    <xf numFmtId="0" fontId="127" fillId="0" borderId="0"/>
    <xf numFmtId="0" fontId="124" fillId="0" borderId="0"/>
    <xf numFmtId="0" fontId="123" fillId="0" borderId="0"/>
    <xf numFmtId="0" fontId="123" fillId="0" borderId="0"/>
    <xf numFmtId="0" fontId="121" fillId="0" borderId="0"/>
    <xf numFmtId="0" fontId="129" fillId="0" borderId="0"/>
    <xf numFmtId="0" fontId="130" fillId="0" borderId="0"/>
    <xf numFmtId="0" fontId="130" fillId="0" borderId="0"/>
    <xf numFmtId="0" fontId="131" fillId="0" borderId="0"/>
    <xf numFmtId="0" fontId="130" fillId="0" borderId="0"/>
    <xf numFmtId="0" fontId="1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5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8" fillId="0" borderId="0"/>
    <xf numFmtId="0" fontId="128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5" fillId="0" borderId="0"/>
    <xf numFmtId="0" fontId="128" fillId="0" borderId="0"/>
    <xf numFmtId="0" fontId="128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5" fillId="0" borderId="0"/>
    <xf numFmtId="0" fontId="128" fillId="0" borderId="0"/>
    <xf numFmtId="0" fontId="128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5" fillId="0" borderId="0"/>
    <xf numFmtId="0" fontId="128" fillId="0" borderId="0"/>
    <xf numFmtId="0" fontId="128" fillId="0" borderId="0"/>
    <xf numFmtId="0" fontId="97" fillId="0" borderId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0" fontId="125" fillId="0" borderId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0" fontId="128" fillId="0" borderId="0"/>
    <xf numFmtId="0" fontId="128" fillId="0" borderId="0"/>
    <xf numFmtId="0" fontId="125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0" fontId="128" fillId="0" borderId="0"/>
    <xf numFmtId="0" fontId="128" fillId="0" borderId="0"/>
    <xf numFmtId="201" fontId="5" fillId="0" borderId="0" applyFont="0" applyFill="0" applyBorder="0" applyAlignment="0" applyProtection="0"/>
    <xf numFmtId="201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125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128" fillId="0" borderId="0"/>
    <xf numFmtId="0" fontId="128" fillId="0" borderId="0"/>
    <xf numFmtId="0" fontId="5" fillId="0" borderId="0"/>
    <xf numFmtId="0" fontId="5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206" fontId="5" fillId="0" borderId="0" applyFont="0" applyFill="0" applyBorder="0" applyAlignment="0" applyProtection="0"/>
    <xf numFmtId="0" fontId="122" fillId="0" borderId="0"/>
    <xf numFmtId="0" fontId="122" fillId="0" borderId="0"/>
    <xf numFmtId="0" fontId="123" fillId="0" borderId="0"/>
    <xf numFmtId="0" fontId="123" fillId="0" borderId="0"/>
    <xf numFmtId="0" fontId="122" fillId="0" borderId="0"/>
    <xf numFmtId="0" fontId="123" fillId="0" borderId="0"/>
    <xf numFmtId="0" fontId="123" fillId="0" borderId="0"/>
    <xf numFmtId="0" fontId="122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3" fillId="0" borderId="0"/>
    <xf numFmtId="0" fontId="123" fillId="0" borderId="0"/>
    <xf numFmtId="0" fontId="123" fillId="0" borderId="0"/>
    <xf numFmtId="0" fontId="123" fillId="0" borderId="0"/>
    <xf numFmtId="205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124" fillId="0" borderId="0"/>
    <xf numFmtId="0" fontId="123" fillId="0" borderId="0"/>
    <xf numFmtId="0" fontId="123" fillId="0" borderId="0"/>
    <xf numFmtId="203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0" fontId="97" fillId="0" borderId="0"/>
    <xf numFmtId="203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3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20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9" fillId="0" borderId="0"/>
    <xf numFmtId="0" fontId="125" fillId="0" borderId="0"/>
    <xf numFmtId="0" fontId="128" fillId="0" borderId="0"/>
    <xf numFmtId="0" fontId="128" fillId="0" borderId="0"/>
    <xf numFmtId="0" fontId="130" fillId="0" borderId="0"/>
    <xf numFmtId="0" fontId="130" fillId="0" borderId="0"/>
    <xf numFmtId="0" fontId="124" fillId="0" borderId="0"/>
    <xf numFmtId="210" fontId="5" fillId="0" borderId="0" applyFont="0" applyFill="0" applyBorder="0" applyAlignment="0" applyProtection="0"/>
    <xf numFmtId="210" fontId="5" fillId="0" borderId="0" applyFont="0" applyFill="0" applyBorder="0" applyAlignment="0" applyProtection="0"/>
    <xf numFmtId="0" fontId="124" fillId="0" borderId="0"/>
    <xf numFmtId="0" fontId="123" fillId="0" borderId="0"/>
    <xf numFmtId="0" fontId="123" fillId="0" borderId="0"/>
    <xf numFmtId="210" fontId="5" fillId="0" borderId="0" applyFont="0" applyFill="0" applyBorder="0" applyAlignment="0" applyProtection="0"/>
    <xf numFmtId="210" fontId="5" fillId="0" borderId="0" applyFont="0" applyFill="0" applyBorder="0" applyAlignment="0" applyProtection="0"/>
    <xf numFmtId="0" fontId="124" fillId="0" borderId="0"/>
    <xf numFmtId="0" fontId="123" fillId="0" borderId="0"/>
    <xf numFmtId="0" fontId="123" fillId="0" borderId="0"/>
    <xf numFmtId="210" fontId="5" fillId="0" borderId="0" applyFont="0" applyFill="0" applyBorder="0" applyAlignment="0" applyProtection="0"/>
    <xf numFmtId="210" fontId="5" fillId="0" borderId="0" applyFont="0" applyFill="0" applyBorder="0" applyAlignment="0" applyProtection="0"/>
    <xf numFmtId="0" fontId="123" fillId="0" borderId="0"/>
    <xf numFmtId="0" fontId="123" fillId="0" borderId="0"/>
    <xf numFmtId="210" fontId="5" fillId="0" borderId="0" applyFont="0" applyFill="0" applyBorder="0" applyAlignment="0" applyProtection="0"/>
    <xf numFmtId="210" fontId="5" fillId="0" borderId="0" applyFont="0" applyFill="0" applyBorder="0" applyAlignment="0" applyProtection="0"/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/>
    <xf numFmtId="0" fontId="5" fillId="0" borderId="0"/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8" fillId="0" borderId="0"/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211" fontId="5" fillId="0" borderId="0" applyFont="0" applyFill="0" applyBorder="0" applyAlignment="0" applyProtection="0">
      <alignment horizontal="left" wrapText="1"/>
    </xf>
    <xf numFmtId="211" fontId="5" fillId="0" borderId="0" applyFont="0" applyFill="0" applyBorder="0" applyAlignment="0" applyProtection="0">
      <alignment horizontal="left" wrapText="1"/>
    </xf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211" fontId="5" fillId="0" borderId="0" applyFont="0" applyFill="0" applyBorder="0" applyAlignment="0" applyProtection="0">
      <alignment horizontal="left" wrapText="1"/>
    </xf>
    <xf numFmtId="211" fontId="5" fillId="0" borderId="0" applyFont="0" applyFill="0" applyBorder="0" applyAlignment="0" applyProtection="0">
      <alignment horizontal="left" wrapText="1"/>
    </xf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/>
    <xf numFmtId="0" fontId="5" fillId="0" borderId="0"/>
    <xf numFmtId="194" fontId="5" fillId="0" borderId="0">
      <alignment horizontal="left" wrapText="1"/>
    </xf>
    <xf numFmtId="194" fontId="5" fillId="0" borderId="0">
      <alignment horizontal="left" wrapText="1"/>
    </xf>
    <xf numFmtId="212" fontId="5" fillId="0" borderId="0" applyFont="0" applyFill="0" applyBorder="0" applyAlignment="0" applyProtection="0"/>
    <xf numFmtId="212" fontId="5" fillId="0" borderId="0" applyFont="0" applyFill="0" applyBorder="0" applyAlignment="0" applyProtection="0"/>
    <xf numFmtId="212" fontId="5" fillId="0" borderId="0" applyFont="0" applyFill="0" applyBorder="0" applyAlignment="0" applyProtection="0"/>
    <xf numFmtId="213" fontId="5" fillId="0" borderId="0" applyFont="0" applyFill="0" applyBorder="0" applyAlignment="0" applyProtection="0">
      <alignment horizontal="left" wrapText="1"/>
    </xf>
    <xf numFmtId="213" fontId="5" fillId="0" borderId="0" applyFont="0" applyFill="0" applyBorder="0" applyAlignment="0" applyProtection="0">
      <alignment horizontal="left" wrapText="1"/>
    </xf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3" fontId="5" fillId="0" borderId="0" applyFont="0" applyFill="0" applyBorder="0" applyAlignment="0" applyProtection="0">
      <alignment horizontal="left" wrapText="1"/>
    </xf>
    <xf numFmtId="213" fontId="5" fillId="0" borderId="0" applyFont="0" applyFill="0" applyBorder="0" applyAlignment="0" applyProtection="0">
      <alignment horizontal="left" wrapText="1"/>
    </xf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5" fontId="5" fillId="0" borderId="0" applyFont="0" applyFill="0" applyBorder="0" applyAlignment="0" applyProtection="0"/>
    <xf numFmtId="215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4" fontId="5" fillId="0" borderId="0" applyFont="0" applyFill="0" applyBorder="0" applyAlignment="0" applyProtection="0"/>
    <xf numFmtId="216" fontId="5" fillId="0" borderId="0" applyFont="0" applyFill="0" applyBorder="0" applyAlignment="0" applyProtection="0"/>
    <xf numFmtId="216" fontId="5" fillId="0" borderId="0" applyFont="0" applyFill="0" applyBorder="0" applyAlignment="0" applyProtection="0"/>
    <xf numFmtId="216" fontId="5" fillId="0" borderId="0" applyFont="0" applyFill="0" applyBorder="0" applyAlignment="0" applyProtection="0"/>
    <xf numFmtId="216" fontId="5" fillId="0" borderId="0" applyFont="0" applyFill="0" applyBorder="0" applyAlignment="0" applyProtection="0">
      <alignment horizontal="left" wrapText="1"/>
    </xf>
    <xf numFmtId="216" fontId="5" fillId="0" borderId="0" applyFont="0" applyFill="0" applyBorder="0" applyAlignment="0" applyProtection="0">
      <alignment horizontal="left" wrapText="1"/>
    </xf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216" fontId="5" fillId="0" borderId="0" applyFont="0" applyFill="0" applyBorder="0" applyAlignment="0" applyProtection="0">
      <alignment horizontal="left" wrapText="1"/>
    </xf>
    <xf numFmtId="216" fontId="5" fillId="0" borderId="0" applyFont="0" applyFill="0" applyBorder="0" applyAlignment="0" applyProtection="0">
      <alignment horizontal="left" wrapText="1"/>
    </xf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39" fontId="5" fillId="0" borderId="0" applyFont="0" applyFill="0" applyBorder="0" applyAlignment="0" applyProtection="0"/>
    <xf numFmtId="4" fontId="5" fillId="63" borderId="0"/>
    <xf numFmtId="4" fontId="5" fillId="63" borderId="0"/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72" fillId="0" borderId="0"/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217" fontId="5" fillId="0" borderId="0" applyFont="0" applyFill="0" applyBorder="0" applyAlignment="0" applyProtection="0"/>
    <xf numFmtId="217" fontId="5" fillId="0" borderId="0" applyFont="0" applyFill="0" applyBorder="0" applyAlignment="0" applyProtection="0"/>
    <xf numFmtId="217" fontId="5" fillId="0" borderId="0" applyFont="0" applyFill="0" applyBorder="0" applyAlignment="0" applyProtection="0"/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132" fillId="0" borderId="0" applyNumberFormat="0" applyFill="0" applyBorder="0" applyAlignment="0" applyProtection="0"/>
    <xf numFmtId="0" fontId="5" fillId="64" borderId="0" applyNumberFormat="0" applyFont="0" applyAlignment="0" applyProtection="0"/>
    <xf numFmtId="0" fontId="5" fillId="64" borderId="0" applyNumberFormat="0" applyFont="0" applyAlignment="0" applyProtection="0"/>
    <xf numFmtId="0" fontId="5" fillId="64" borderId="0" applyNumberFormat="0" applyFont="0" applyAlignment="0" applyProtection="0"/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218" fontId="5" fillId="0" borderId="0" applyFont="0" applyFill="0" applyBorder="0" applyAlignment="0" applyProtection="0"/>
    <xf numFmtId="218" fontId="5" fillId="0" borderId="0" applyFont="0" applyFill="0" applyBorder="0" applyAlignment="0" applyProtection="0"/>
    <xf numFmtId="218" fontId="5" fillId="0" borderId="0" applyFont="0" applyFill="0" applyBorder="0" applyAlignment="0" applyProtection="0"/>
    <xf numFmtId="219" fontId="5" fillId="0" borderId="0" applyFont="0" applyFill="0" applyBorder="0" applyAlignment="0" applyProtection="0">
      <alignment horizontal="left" wrapText="1"/>
    </xf>
    <xf numFmtId="219" fontId="5" fillId="0" borderId="0" applyFont="0" applyFill="0" applyBorder="0" applyAlignment="0" applyProtection="0">
      <alignment horizontal="left" wrapText="1"/>
    </xf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19" fontId="5" fillId="0" borderId="0" applyFont="0" applyFill="0" applyBorder="0" applyAlignment="0" applyProtection="0">
      <alignment horizontal="left" wrapText="1"/>
    </xf>
    <xf numFmtId="219" fontId="5" fillId="0" borderId="0" applyFont="0" applyFill="0" applyBorder="0" applyAlignment="0" applyProtection="0">
      <alignment horizontal="left" wrapText="1"/>
    </xf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0" fontId="5" fillId="0" borderId="0" applyFont="0" applyFill="0" applyBorder="0" applyAlignment="0" applyProtection="0"/>
    <xf numFmtId="221" fontId="5" fillId="0" borderId="0" applyFont="0" applyFill="0" applyBorder="0" applyProtection="0">
      <alignment horizontal="right"/>
    </xf>
    <xf numFmtId="221" fontId="5" fillId="0" borderId="0" applyFont="0" applyFill="0" applyBorder="0" applyProtection="0">
      <alignment horizontal="right"/>
    </xf>
    <xf numFmtId="221" fontId="5" fillId="0" borderId="0" applyFont="0" applyFill="0" applyBorder="0" applyProtection="0">
      <alignment horizontal="right"/>
    </xf>
    <xf numFmtId="222" fontId="5" fillId="0" borderId="0" applyFont="0" applyFill="0" applyBorder="0" applyProtection="0">
      <alignment horizontal="right"/>
    </xf>
    <xf numFmtId="222" fontId="5" fillId="0" borderId="0" applyFont="0" applyFill="0" applyBorder="0" applyProtection="0">
      <alignment horizontal="right"/>
    </xf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2" fontId="5" fillId="0" borderId="0" applyFont="0" applyFill="0" applyBorder="0" applyProtection="0">
      <alignment horizontal="right"/>
    </xf>
    <xf numFmtId="222" fontId="5" fillId="0" borderId="0" applyFont="0" applyFill="0" applyBorder="0" applyProtection="0">
      <alignment horizontal="right"/>
    </xf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223" fontId="5" fillId="0" borderId="0" applyFont="0" applyFill="0" applyBorder="0" applyAlignment="0" applyProtection="0"/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/>
    <xf numFmtId="0" fontId="5" fillId="0" borderId="0"/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72" fillId="0" borderId="0"/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224" fontId="5" fillId="0" borderId="0" applyFont="0" applyFill="0" applyBorder="0" applyAlignment="0" applyProtection="0"/>
    <xf numFmtId="224" fontId="5" fillId="0" borderId="0" applyFont="0" applyFill="0" applyBorder="0" applyAlignment="0" applyProtection="0"/>
    <xf numFmtId="225" fontId="5" fillId="0" borderId="0" applyFont="0" applyFill="0" applyBorder="0" applyAlignment="0" applyProtection="0"/>
    <xf numFmtId="225" fontId="5" fillId="0" borderId="0" applyFont="0" applyFill="0" applyBorder="0" applyAlignment="0" applyProtection="0"/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4" fillId="0" borderId="0">
      <alignment vertical="top"/>
    </xf>
    <xf numFmtId="194" fontId="5" fillId="0" borderId="0">
      <alignment horizontal="left" wrapText="1"/>
    </xf>
    <xf numFmtId="0" fontId="4" fillId="0" borderId="0">
      <alignment vertical="top"/>
    </xf>
    <xf numFmtId="194" fontId="5" fillId="0" borderId="0">
      <alignment horizontal="left" wrapText="1"/>
    </xf>
    <xf numFmtId="0" fontId="4" fillId="0" borderId="0">
      <alignment vertical="top"/>
    </xf>
    <xf numFmtId="194" fontId="5" fillId="0" borderId="0">
      <alignment horizontal="left" wrapText="1"/>
    </xf>
    <xf numFmtId="0" fontId="4" fillId="0" borderId="0">
      <alignment vertical="top"/>
    </xf>
    <xf numFmtId="194" fontId="5" fillId="0" borderId="0">
      <alignment horizontal="left" wrapText="1"/>
    </xf>
    <xf numFmtId="0" fontId="4" fillId="0" borderId="0">
      <alignment vertical="top"/>
    </xf>
    <xf numFmtId="194" fontId="5" fillId="0" borderId="0">
      <alignment horizontal="left" wrapText="1"/>
    </xf>
    <xf numFmtId="0" fontId="4" fillId="0" borderId="0">
      <alignment vertical="top"/>
    </xf>
    <xf numFmtId="194" fontId="5" fillId="0" borderId="0">
      <alignment horizontal="left" wrapText="1"/>
    </xf>
    <xf numFmtId="0" fontId="5" fillId="0" borderId="0"/>
    <xf numFmtId="0" fontId="5" fillId="0" borderId="0"/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133" fillId="0" borderId="0" applyNumberFormat="0" applyFill="0" applyBorder="0" applyProtection="0">
      <alignment vertical="top"/>
    </xf>
    <xf numFmtId="0" fontId="133" fillId="0" borderId="0" applyNumberFormat="0" applyFill="0" applyBorder="0" applyProtection="0">
      <alignment vertical="top"/>
    </xf>
    <xf numFmtId="0" fontId="133" fillId="0" borderId="0" applyNumberFormat="0" applyFill="0" applyBorder="0" applyProtection="0">
      <alignment vertical="top"/>
    </xf>
    <xf numFmtId="0" fontId="111" fillId="0" borderId="42" applyNumberFormat="0" applyFill="0" applyAlignment="0" applyProtection="0"/>
    <xf numFmtId="0" fontId="111" fillId="0" borderId="42" applyNumberFormat="0" applyFill="0" applyAlignment="0" applyProtection="0"/>
    <xf numFmtId="0" fontId="111" fillId="0" borderId="42" applyNumberFormat="0" applyFill="0" applyAlignment="0" applyProtection="0"/>
    <xf numFmtId="194" fontId="111" fillId="0" borderId="42" applyNumberFormat="0" applyFill="0" applyAlignment="0" applyProtection="0">
      <alignment horizontal="left" wrapText="1"/>
    </xf>
    <xf numFmtId="0" fontId="91" fillId="0" borderId="43" applyNumberFormat="0" applyFill="0" applyProtection="0">
      <alignment horizontal="center"/>
    </xf>
    <xf numFmtId="0" fontId="91" fillId="0" borderId="43" applyNumberFormat="0" applyFill="0" applyProtection="0">
      <alignment horizontal="center"/>
    </xf>
    <xf numFmtId="0" fontId="91" fillId="0" borderId="43" applyNumberFormat="0" applyFill="0" applyProtection="0">
      <alignment horizontal="center"/>
    </xf>
    <xf numFmtId="194" fontId="91" fillId="0" borderId="43" applyNumberFormat="0" applyFill="0" applyProtection="0">
      <alignment horizontal="center"/>
    </xf>
    <xf numFmtId="0" fontId="91" fillId="0" borderId="0" applyNumberFormat="0" applyFill="0" applyBorder="0" applyProtection="0">
      <alignment horizontal="left"/>
    </xf>
    <xf numFmtId="0" fontId="91" fillId="0" borderId="0" applyNumberFormat="0" applyFill="0" applyBorder="0" applyProtection="0">
      <alignment horizontal="left"/>
    </xf>
    <xf numFmtId="0" fontId="91" fillId="0" borderId="0" applyNumberFormat="0" applyFill="0" applyBorder="0" applyProtection="0">
      <alignment horizontal="left"/>
    </xf>
    <xf numFmtId="0" fontId="134" fillId="0" borderId="0" applyNumberFormat="0" applyFill="0" applyBorder="0" applyProtection="0">
      <alignment horizontal="centerContinuous"/>
    </xf>
    <xf numFmtId="0" fontId="134" fillId="0" borderId="0" applyNumberFormat="0" applyFill="0" applyBorder="0" applyProtection="0">
      <alignment horizontal="centerContinuous"/>
    </xf>
    <xf numFmtId="0" fontId="134" fillId="0" borderId="0" applyNumberFormat="0" applyFill="0" applyBorder="0" applyProtection="0">
      <alignment horizontal="centerContinuous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226" fontId="37" fillId="0" borderId="0"/>
    <xf numFmtId="227" fontId="37" fillId="0" borderId="0"/>
    <xf numFmtId="228" fontId="37" fillId="0" borderId="0"/>
    <xf numFmtId="229" fontId="37" fillId="0" borderId="0"/>
    <xf numFmtId="230" fontId="37" fillId="0" borderId="0"/>
    <xf numFmtId="231" fontId="37" fillId="0" borderId="0"/>
    <xf numFmtId="232" fontId="37" fillId="0" borderId="0"/>
    <xf numFmtId="0" fontId="8" fillId="0" borderId="0">
      <alignment vertical="top"/>
    </xf>
    <xf numFmtId="233" fontId="113" fillId="0" borderId="0" applyFont="0" applyFill="0" applyBorder="0" applyAlignment="0" applyProtection="0"/>
    <xf numFmtId="234" fontId="11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9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9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9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9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9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10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33" fillId="47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135" fillId="42" borderId="0" applyNumberFormat="0" applyBorder="0" applyAlignment="0" applyProtection="0"/>
    <xf numFmtId="0" fontId="135" fillId="43" borderId="0" applyNumberFormat="0" applyBorder="0" applyAlignment="0" applyProtection="0"/>
    <xf numFmtId="0" fontId="135" fillId="44" borderId="0" applyNumberFormat="0" applyBorder="0" applyAlignment="0" applyProtection="0"/>
    <xf numFmtId="0" fontId="135" fillId="45" borderId="0" applyNumberFormat="0" applyBorder="0" applyAlignment="0" applyProtection="0"/>
    <xf numFmtId="0" fontId="135" fillId="46" borderId="0" applyNumberFormat="0" applyBorder="0" applyAlignment="0" applyProtection="0"/>
    <xf numFmtId="0" fontId="135" fillId="47" borderId="0" applyNumberFormat="0" applyBorder="0" applyAlignment="0" applyProtection="0"/>
    <xf numFmtId="235" fontId="30" fillId="0" borderId="0" applyFont="0" applyFill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45" borderId="0" applyNumberFormat="0" applyBorder="0" applyAlignment="0" applyProtection="0"/>
    <xf numFmtId="0" fontId="33" fillId="48" borderId="0" applyNumberFormat="0" applyBorder="0" applyAlignment="0" applyProtection="0"/>
    <xf numFmtId="0" fontId="33" fillId="51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10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10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10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3" fillId="50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98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3" fillId="45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10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33" fillId="48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104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33" fillId="51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45" borderId="0" applyNumberFormat="0" applyBorder="0" applyAlignment="0" applyProtection="0"/>
    <xf numFmtId="0" fontId="33" fillId="48" borderId="0" applyNumberFormat="0" applyBorder="0" applyAlignment="0" applyProtection="0"/>
    <xf numFmtId="0" fontId="33" fillId="51" borderId="0" applyNumberFormat="0" applyBorder="0" applyAlignment="0" applyProtection="0"/>
    <xf numFmtId="0" fontId="135" fillId="48" borderId="0" applyNumberFormat="0" applyBorder="0" applyAlignment="0" applyProtection="0"/>
    <xf numFmtId="0" fontId="135" fillId="49" borderId="0" applyNumberFormat="0" applyBorder="0" applyAlignment="0" applyProtection="0"/>
    <xf numFmtId="0" fontId="135" fillId="50" borderId="0" applyNumberFormat="0" applyBorder="0" applyAlignment="0" applyProtection="0"/>
    <xf numFmtId="0" fontId="135" fillId="45" borderId="0" applyNumberFormat="0" applyBorder="0" applyAlignment="0" applyProtection="0"/>
    <xf numFmtId="0" fontId="135" fillId="48" borderId="0" applyNumberFormat="0" applyBorder="0" applyAlignment="0" applyProtection="0"/>
    <xf numFmtId="0" fontId="1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3" borderId="0" applyNumberFormat="0" applyBorder="0" applyAlignment="0" applyProtection="0"/>
    <xf numFmtId="0" fontId="35" fillId="54" borderId="0" applyNumberFormat="0" applyBorder="0" applyAlignment="0" applyProtection="0"/>
    <xf numFmtId="0" fontId="35" fillId="55" borderId="0" applyNumberFormat="0" applyBorder="0" applyAlignment="0" applyProtection="0"/>
    <xf numFmtId="0" fontId="26" fillId="20" borderId="0" applyNumberFormat="0" applyBorder="0" applyAlignment="0" applyProtection="0"/>
    <xf numFmtId="0" fontId="35" fillId="52" borderId="0" applyNumberFormat="0" applyBorder="0" applyAlignment="0" applyProtection="0"/>
    <xf numFmtId="0" fontId="35" fillId="105" borderId="0" applyNumberFormat="0" applyBorder="0" applyAlignment="0" applyProtection="0"/>
    <xf numFmtId="0" fontId="35" fillId="52" borderId="0" applyNumberFormat="0" applyBorder="0" applyAlignment="0" applyProtection="0"/>
    <xf numFmtId="0" fontId="26" fillId="24" borderId="0" applyNumberFormat="0" applyBorder="0" applyAlignment="0" applyProtection="0"/>
    <xf numFmtId="0" fontId="35" fillId="49" borderId="0" applyNumberFormat="0" applyBorder="0" applyAlignment="0" applyProtection="0"/>
    <xf numFmtId="0" fontId="35" fillId="102" borderId="0" applyNumberFormat="0" applyBorder="0" applyAlignment="0" applyProtection="0"/>
    <xf numFmtId="0" fontId="35" fillId="49" borderId="0" applyNumberFormat="0" applyBorder="0" applyAlignment="0" applyProtection="0"/>
    <xf numFmtId="0" fontId="26" fillId="28" borderId="0" applyNumberFormat="0" applyBorder="0" applyAlignment="0" applyProtection="0"/>
    <xf numFmtId="0" fontId="35" fillId="50" borderId="0" applyNumberFormat="0" applyBorder="0" applyAlignment="0" applyProtection="0"/>
    <xf numFmtId="0" fontId="35" fillId="103" borderId="0" applyNumberFormat="0" applyBorder="0" applyAlignment="0" applyProtection="0"/>
    <xf numFmtId="0" fontId="35" fillId="50" borderId="0" applyNumberFormat="0" applyBorder="0" applyAlignment="0" applyProtection="0"/>
    <xf numFmtId="0" fontId="26" fillId="32" borderId="0" applyNumberFormat="0" applyBorder="0" applyAlignment="0" applyProtection="0"/>
    <xf numFmtId="0" fontId="35" fillId="53" borderId="0" applyNumberFormat="0" applyBorder="0" applyAlignment="0" applyProtection="0"/>
    <xf numFmtId="0" fontId="35" fillId="106" borderId="0" applyNumberFormat="0" applyBorder="0" applyAlignment="0" applyProtection="0"/>
    <xf numFmtId="0" fontId="35" fillId="53" borderId="0" applyNumberFormat="0" applyBorder="0" applyAlignment="0" applyProtection="0"/>
    <xf numFmtId="0" fontId="26" fillId="36" borderId="0" applyNumberFormat="0" applyBorder="0" applyAlignment="0" applyProtection="0"/>
    <xf numFmtId="0" fontId="35" fillId="54" borderId="0" applyNumberFormat="0" applyBorder="0" applyAlignment="0" applyProtection="0"/>
    <xf numFmtId="0" fontId="35" fillId="107" borderId="0" applyNumberFormat="0" applyBorder="0" applyAlignment="0" applyProtection="0"/>
    <xf numFmtId="0" fontId="35" fillId="54" borderId="0" applyNumberFormat="0" applyBorder="0" applyAlignment="0" applyProtection="0"/>
    <xf numFmtId="0" fontId="26" fillId="40" borderId="0" applyNumberFormat="0" applyBorder="0" applyAlignment="0" applyProtection="0"/>
    <xf numFmtId="0" fontId="35" fillId="55" borderId="0" applyNumberFormat="0" applyBorder="0" applyAlignment="0" applyProtection="0"/>
    <xf numFmtId="0" fontId="35" fillId="108" borderId="0" applyNumberFormat="0" applyBorder="0" applyAlignment="0" applyProtection="0"/>
    <xf numFmtId="0" fontId="35" fillId="55" borderId="0" applyNumberFormat="0" applyBorder="0" applyAlignment="0" applyProtection="0"/>
    <xf numFmtId="0" fontId="35" fillId="52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3" borderId="0" applyNumberFormat="0" applyBorder="0" applyAlignment="0" applyProtection="0"/>
    <xf numFmtId="0" fontId="35" fillId="54" borderId="0" applyNumberFormat="0" applyBorder="0" applyAlignment="0" applyProtection="0"/>
    <xf numFmtId="0" fontId="35" fillId="55" borderId="0" applyNumberFormat="0" applyBorder="0" applyAlignment="0" applyProtection="0"/>
    <xf numFmtId="0" fontId="136" fillId="52" borderId="0" applyNumberFormat="0" applyBorder="0" applyAlignment="0" applyProtection="0"/>
    <xf numFmtId="0" fontId="136" fillId="49" borderId="0" applyNumberFormat="0" applyBorder="0" applyAlignment="0" applyProtection="0"/>
    <xf numFmtId="0" fontId="136" fillId="50" borderId="0" applyNumberFormat="0" applyBorder="0" applyAlignment="0" applyProtection="0"/>
    <xf numFmtId="0" fontId="136" fillId="53" borderId="0" applyNumberFormat="0" applyBorder="0" applyAlignment="0" applyProtection="0"/>
    <xf numFmtId="0" fontId="136" fillId="54" borderId="0" applyNumberFormat="0" applyBorder="0" applyAlignment="0" applyProtection="0"/>
    <xf numFmtId="0" fontId="136" fillId="55" borderId="0" applyNumberFormat="0" applyBorder="0" applyAlignment="0" applyProtection="0"/>
    <xf numFmtId="0" fontId="137" fillId="0" borderId="0"/>
    <xf numFmtId="0" fontId="68" fillId="0" borderId="0"/>
    <xf numFmtId="0" fontId="26" fillId="17" borderId="0" applyNumberFormat="0" applyBorder="0" applyAlignment="0" applyProtection="0"/>
    <xf numFmtId="0" fontId="35" fillId="57" borderId="0" applyNumberFormat="0" applyBorder="0" applyAlignment="0" applyProtection="0"/>
    <xf numFmtId="0" fontId="35" fillId="109" borderId="0" applyNumberFormat="0" applyBorder="0" applyAlignment="0" applyProtection="0"/>
    <xf numFmtId="0" fontId="35" fillId="57" borderId="0" applyNumberFormat="0" applyBorder="0" applyAlignment="0" applyProtection="0"/>
    <xf numFmtId="0" fontId="26" fillId="21" borderId="0" applyNumberFormat="0" applyBorder="0" applyAlignment="0" applyProtection="0"/>
    <xf numFmtId="0" fontId="35" fillId="58" borderId="0" applyNumberFormat="0" applyBorder="0" applyAlignment="0" applyProtection="0"/>
    <xf numFmtId="0" fontId="35" fillId="110" borderId="0" applyNumberFormat="0" applyBorder="0" applyAlignment="0" applyProtection="0"/>
    <xf numFmtId="0" fontId="35" fillId="58" borderId="0" applyNumberFormat="0" applyBorder="0" applyAlignment="0" applyProtection="0"/>
    <xf numFmtId="0" fontId="26" fillId="25" borderId="0" applyNumberFormat="0" applyBorder="0" applyAlignment="0" applyProtection="0"/>
    <xf numFmtId="0" fontId="35" fillId="59" borderId="0" applyNumberFormat="0" applyBorder="0" applyAlignment="0" applyProtection="0"/>
    <xf numFmtId="0" fontId="35" fillId="111" borderId="0" applyNumberFormat="0" applyBorder="0" applyAlignment="0" applyProtection="0"/>
    <xf numFmtId="0" fontId="35" fillId="59" borderId="0" applyNumberFormat="0" applyBorder="0" applyAlignment="0" applyProtection="0"/>
    <xf numFmtId="0" fontId="26" fillId="29" borderId="0" applyNumberFormat="0" applyBorder="0" applyAlignment="0" applyProtection="0"/>
    <xf numFmtId="0" fontId="35" fillId="53" borderId="0" applyNumberFormat="0" applyBorder="0" applyAlignment="0" applyProtection="0"/>
    <xf numFmtId="0" fontId="35" fillId="106" borderId="0" applyNumberFormat="0" applyBorder="0" applyAlignment="0" applyProtection="0"/>
    <xf numFmtId="0" fontId="35" fillId="53" borderId="0" applyNumberFormat="0" applyBorder="0" applyAlignment="0" applyProtection="0"/>
    <xf numFmtId="0" fontId="26" fillId="33" borderId="0" applyNumberFormat="0" applyBorder="0" applyAlignment="0" applyProtection="0"/>
    <xf numFmtId="0" fontId="35" fillId="54" borderId="0" applyNumberFormat="0" applyBorder="0" applyAlignment="0" applyProtection="0"/>
    <xf numFmtId="0" fontId="35" fillId="107" borderId="0" applyNumberFormat="0" applyBorder="0" applyAlignment="0" applyProtection="0"/>
    <xf numFmtId="0" fontId="35" fillId="54" borderId="0" applyNumberFormat="0" applyBorder="0" applyAlignment="0" applyProtection="0"/>
    <xf numFmtId="0" fontId="26" fillId="37" borderId="0" applyNumberFormat="0" applyBorder="0" applyAlignment="0" applyProtection="0"/>
    <xf numFmtId="0" fontId="35" fillId="60" borderId="0" applyNumberFormat="0" applyBorder="0" applyAlignment="0" applyProtection="0"/>
    <xf numFmtId="0" fontId="35" fillId="112" borderId="0" applyNumberFormat="0" applyBorder="0" applyAlignment="0" applyProtection="0"/>
    <xf numFmtId="0" fontId="35" fillId="60" borderId="0" applyNumberFormat="0" applyBorder="0" applyAlignment="0" applyProtection="0"/>
    <xf numFmtId="177" fontId="37" fillId="0" borderId="0">
      <alignment horizontal="right"/>
    </xf>
    <xf numFmtId="177" fontId="37" fillId="0" borderId="0">
      <alignment horizontal="right"/>
    </xf>
    <xf numFmtId="0" fontId="138" fillId="0" borderId="0" applyFont="0" applyFill="0" applyBorder="0" applyAlignment="0" applyProtection="0"/>
    <xf numFmtId="0" fontId="13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3" fontId="139" fillId="0" borderId="0"/>
    <xf numFmtId="0" fontId="138" fillId="0" borderId="0" applyFont="0" applyFill="0" applyBorder="0" applyAlignment="0" applyProtection="0"/>
    <xf numFmtId="0" fontId="138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0" fontId="46" fillId="78" borderId="0" applyNumberFormat="0" applyFont="0" applyBorder="0" applyAlignment="0" applyProtection="0">
      <protection locked="0"/>
    </xf>
    <xf numFmtId="0" fontId="46" fillId="78" borderId="0" applyNumberFormat="0" applyFont="0" applyBorder="0" applyAlignment="0" applyProtection="0">
      <protection locked="0"/>
    </xf>
    <xf numFmtId="0" fontId="19" fillId="11" borderId="0" applyNumberFormat="0" applyBorder="0" applyAlignment="0" applyProtection="0"/>
    <xf numFmtId="0" fontId="38" fillId="43" borderId="0" applyNumberFormat="0" applyBorder="0" applyAlignment="0" applyProtection="0"/>
    <xf numFmtId="0" fontId="38" fillId="96" borderId="0" applyNumberFormat="0" applyBorder="0" applyAlignment="0" applyProtection="0"/>
    <xf numFmtId="0" fontId="38" fillId="43" borderId="0" applyNumberFormat="0" applyBorder="0" applyAlignment="0" applyProtection="0"/>
    <xf numFmtId="164" fontId="5" fillId="113" borderId="44">
      <alignment horizontal="center"/>
    </xf>
    <xf numFmtId="0" fontId="5" fillId="114" borderId="45" applyNumberFormat="0" applyFont="0" applyAlignment="0" applyProtection="0"/>
    <xf numFmtId="0" fontId="5" fillId="114" borderId="45" applyNumberFormat="0" applyFont="0" applyAlignment="0" applyProtection="0"/>
    <xf numFmtId="0" fontId="5" fillId="114" borderId="45" applyNumberFormat="0" applyFont="0" applyAlignment="0" applyProtection="0"/>
    <xf numFmtId="0" fontId="140" fillId="0" borderId="0" applyNumberFormat="0" applyFill="0" applyBorder="0" applyAlignment="0" applyProtection="0"/>
    <xf numFmtId="0" fontId="112" fillId="0" borderId="18" applyNumberFormat="0" applyFill="0" applyAlignment="0" applyProtection="0"/>
    <xf numFmtId="0" fontId="39" fillId="44" borderId="0" applyNumberFormat="0" applyBorder="0" applyAlignment="0" applyProtection="0"/>
    <xf numFmtId="0" fontId="58" fillId="0" borderId="46" applyNumberFormat="0" applyFont="0" applyFill="0" applyAlignment="0" applyProtection="0"/>
    <xf numFmtId="0" fontId="58" fillId="0" borderId="47" applyNumberFormat="0" applyFont="0" applyFill="0" applyAlignment="0" applyProtection="0"/>
    <xf numFmtId="236" fontId="5" fillId="0" borderId="0" applyFont="0" applyFill="0" applyBorder="0" applyAlignment="0" applyProtection="0"/>
    <xf numFmtId="236" fontId="5" fillId="0" borderId="0" applyFont="0" applyFill="0" applyBorder="0" applyAlignment="0" applyProtection="0"/>
    <xf numFmtId="192" fontId="30" fillId="0" borderId="0" applyFill="0" applyBorder="0" applyProtection="0"/>
    <xf numFmtId="237" fontId="113" fillId="0" borderId="0" applyFont="0" applyFill="0" applyBorder="0" applyAlignment="0" applyProtection="0"/>
    <xf numFmtId="0" fontId="138" fillId="0" borderId="0"/>
    <xf numFmtId="9" fontId="5" fillId="0" borderId="48" applyNumberFormat="0" applyFill="0" applyBorder="0" applyAlignment="0" applyProtection="0"/>
    <xf numFmtId="238" fontId="4" fillId="0" borderId="44"/>
    <xf numFmtId="239" fontId="4" fillId="0" borderId="44"/>
    <xf numFmtId="240" fontId="4" fillId="0" borderId="44"/>
    <xf numFmtId="241" fontId="4" fillId="0" borderId="44"/>
    <xf numFmtId="242" fontId="4" fillId="0" borderId="44"/>
    <xf numFmtId="9" fontId="5" fillId="0" borderId="48" applyNumberFormat="0" applyFill="0" applyBorder="0" applyAlignment="0" applyProtection="0"/>
    <xf numFmtId="15" fontId="5" fillId="0" borderId="49">
      <alignment horizontal="center"/>
    </xf>
    <xf numFmtId="15" fontId="5" fillId="0" borderId="50">
      <alignment horizontal="center"/>
    </xf>
    <xf numFmtId="0" fontId="40" fillId="61" borderId="20" applyNumberFormat="0" applyAlignment="0" applyProtection="0"/>
    <xf numFmtId="0" fontId="22" fillId="14" borderId="12" applyNumberFormat="0" applyAlignment="0" applyProtection="0"/>
    <xf numFmtId="0" fontId="40" fillId="61" borderId="20" applyNumberFormat="0" applyAlignment="0" applyProtection="0"/>
    <xf numFmtId="0" fontId="40" fillId="115" borderId="20" applyNumberFormat="0" applyAlignment="0" applyProtection="0"/>
    <xf numFmtId="0" fontId="40" fillId="61" borderId="20" applyNumberFormat="0" applyAlignment="0" applyProtection="0"/>
    <xf numFmtId="40" fontId="141" fillId="63" borderId="7">
      <alignment vertical="center"/>
    </xf>
    <xf numFmtId="0" fontId="8" fillId="116" borderId="0" applyNumberFormat="0" applyFont="0" applyBorder="0" applyAlignment="0"/>
    <xf numFmtId="0" fontId="8" fillId="116" borderId="0" applyNumberFormat="0" applyFont="0" applyBorder="0" applyAlignment="0"/>
    <xf numFmtId="0" fontId="97" fillId="0" borderId="0">
      <alignment horizontal="centerContinuous"/>
    </xf>
    <xf numFmtId="0" fontId="97" fillId="0" borderId="0">
      <alignment horizontal="centerContinuous"/>
    </xf>
    <xf numFmtId="0" fontId="42" fillId="0" borderId="22" applyNumberFormat="0" applyFill="0" applyAlignment="0" applyProtection="0"/>
    <xf numFmtId="0" fontId="41" fillId="62" borderId="21" applyNumberFormat="0" applyAlignment="0" applyProtection="0"/>
    <xf numFmtId="0" fontId="42" fillId="0" borderId="22" applyNumberFormat="0" applyFill="0" applyAlignment="0" applyProtection="0"/>
    <xf numFmtId="0" fontId="41" fillId="62" borderId="21" applyNumberFormat="0" applyAlignment="0" applyProtection="0"/>
    <xf numFmtId="0" fontId="24" fillId="15" borderId="15" applyNumberFormat="0" applyAlignment="0" applyProtection="0"/>
    <xf numFmtId="0" fontId="41" fillId="62" borderId="21" applyNumberFormat="0" applyAlignment="0" applyProtection="0"/>
    <xf numFmtId="0" fontId="41" fillId="117" borderId="21" applyNumberFormat="0" applyAlignment="0" applyProtection="0"/>
    <xf numFmtId="0" fontId="41" fillId="62" borderId="21" applyNumberFormat="0" applyAlignment="0" applyProtection="0"/>
    <xf numFmtId="238" fontId="4" fillId="74" borderId="44"/>
    <xf numFmtId="239" fontId="4" fillId="74" borderId="44"/>
    <xf numFmtId="240" fontId="4" fillId="74" borderId="44"/>
    <xf numFmtId="241" fontId="4" fillId="74" borderId="44"/>
    <xf numFmtId="242" fontId="4" fillId="74" borderId="44"/>
    <xf numFmtId="15" fontId="5" fillId="118" borderId="49">
      <alignment horizontal="center"/>
    </xf>
    <xf numFmtId="15" fontId="5" fillId="74" borderId="50">
      <alignment horizontal="center"/>
    </xf>
    <xf numFmtId="0" fontId="142" fillId="0" borderId="0" applyNumberFormat="0" applyFill="0" applyAlignment="0" applyProtection="0"/>
    <xf numFmtId="0" fontId="143" fillId="119" borderId="51" applyFont="0" applyFill="0" applyBorder="0"/>
    <xf numFmtId="0" fontId="143" fillId="119" borderId="51" applyFont="0" applyFill="0" applyBorder="0"/>
    <xf numFmtId="0" fontId="37" fillId="0" borderId="40"/>
    <xf numFmtId="3" fontId="108" fillId="0" borderId="0">
      <alignment horizontal="left"/>
    </xf>
    <xf numFmtId="3" fontId="144" fillId="0" borderId="0"/>
    <xf numFmtId="230" fontId="145" fillId="0" borderId="0"/>
    <xf numFmtId="230" fontId="145" fillId="0" borderId="0"/>
    <xf numFmtId="230" fontId="145" fillId="0" borderId="0"/>
    <xf numFmtId="230" fontId="145" fillId="0" borderId="0"/>
    <xf numFmtId="230" fontId="145" fillId="0" borderId="0"/>
    <xf numFmtId="230" fontId="145" fillId="0" borderId="0"/>
    <xf numFmtId="230" fontId="145" fillId="0" borderId="0"/>
    <xf numFmtId="230" fontId="145" fillId="0" borderId="0"/>
    <xf numFmtId="176" fontId="69" fillId="0" borderId="0"/>
    <xf numFmtId="39" fontId="69" fillId="0" borderId="0"/>
    <xf numFmtId="243" fontId="6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43" fontId="5" fillId="0" borderId="0" applyFill="0" applyBorder="0" applyAlignment="0" applyProtection="0"/>
    <xf numFmtId="43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3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3" fontId="146" fillId="0" borderId="0">
      <alignment horizontal="right"/>
    </xf>
    <xf numFmtId="173" fontId="147" fillId="0" borderId="0">
      <alignment horizontal="right"/>
    </xf>
    <xf numFmtId="0" fontId="5" fillId="65" borderId="33" applyNumberFormat="0" applyFont="0" applyAlignment="0" applyProtection="0"/>
    <xf numFmtId="244" fontId="5" fillId="0" borderId="0">
      <alignment horizontal="right"/>
    </xf>
    <xf numFmtId="244" fontId="5" fillId="0" borderId="0">
      <alignment horizontal="right"/>
    </xf>
    <xf numFmtId="244" fontId="146" fillId="0" borderId="0">
      <alignment horizontal="right"/>
    </xf>
    <xf numFmtId="245" fontId="5" fillId="0" borderId="0" applyFont="0" applyFill="0" applyBorder="0" applyAlignment="0" applyProtection="0"/>
    <xf numFmtId="245" fontId="5" fillId="0" borderId="0" applyFont="0" applyFill="0" applyBorder="0" applyAlignment="0" applyProtection="0"/>
    <xf numFmtId="246" fontId="32" fillId="0" borderId="0" applyFont="0" applyFill="0" applyBorder="0" applyAlignment="0" applyProtection="0"/>
    <xf numFmtId="198" fontId="37" fillId="0" borderId="0" applyFont="0" applyFill="0" applyBorder="0" applyAlignment="0"/>
    <xf numFmtId="198" fontId="37" fillId="0" borderId="0" applyFont="0" applyFill="0" applyBorder="0" applyAlignment="0"/>
    <xf numFmtId="247" fontId="69" fillId="0" borderId="0" applyFont="0" applyFill="0" applyBorder="0" applyAlignment="0" applyProtection="0"/>
    <xf numFmtId="248" fontId="69" fillId="0" borderId="0" applyFont="0" applyFill="0" applyBorder="0" applyAlignment="0" applyProtection="0"/>
    <xf numFmtId="249" fontId="5" fillId="0" borderId="0" applyFont="0" applyFill="0" applyBorder="0" applyAlignment="0" applyProtection="0"/>
    <xf numFmtId="249" fontId="33" fillId="0" borderId="0" applyFont="0" applyFill="0" applyBorder="0" applyAlignment="0" applyProtection="0"/>
    <xf numFmtId="249" fontId="5" fillId="0" borderId="0" applyFont="0" applyFill="0" applyBorder="0" applyAlignment="0" applyProtection="0"/>
    <xf numFmtId="249" fontId="5" fillId="0" borderId="0" applyFont="0" applyFill="0" applyBorder="0" applyAlignment="0" applyProtection="0"/>
    <xf numFmtId="249" fontId="5" fillId="0" borderId="0" applyFont="0" applyFill="0" applyBorder="0" applyAlignment="0" applyProtection="0"/>
    <xf numFmtId="249" fontId="5" fillId="0" borderId="0" applyFont="0" applyFill="0" applyBorder="0" applyAlignment="0" applyProtection="0"/>
    <xf numFmtId="244" fontId="147" fillId="0" borderId="0">
      <alignment horizontal="right"/>
    </xf>
    <xf numFmtId="250" fontId="113" fillId="0" borderId="0" applyFont="0" applyFill="0" applyBorder="0" applyAlignment="0" applyProtection="0"/>
    <xf numFmtId="251" fontId="58" fillId="0" borderId="0" applyFont="0" applyFill="0" applyBorder="0" applyProtection="0">
      <alignment horizontal="right"/>
    </xf>
    <xf numFmtId="251" fontId="58" fillId="0" borderId="0" applyFont="0" applyFill="0" applyBorder="0" applyProtection="0">
      <alignment horizontal="right"/>
    </xf>
    <xf numFmtId="252" fontId="5" fillId="0" borderId="0" applyFont="0" applyFill="0" applyBorder="0" applyAlignment="0" applyProtection="0">
      <alignment wrapText="1"/>
    </xf>
    <xf numFmtId="252" fontId="5" fillId="0" borderId="0" applyFont="0" applyFill="0" applyBorder="0" applyAlignment="0" applyProtection="0">
      <alignment wrapText="1"/>
    </xf>
    <xf numFmtId="0" fontId="148" fillId="0" borderId="0" applyNumberFormat="0"/>
    <xf numFmtId="0" fontId="149" fillId="0" borderId="0">
      <alignment horizontal="centerContinuous"/>
    </xf>
    <xf numFmtId="0" fontId="149" fillId="0" borderId="0" applyNumberFormat="0"/>
    <xf numFmtId="189" fontId="146" fillId="0" borderId="0" applyFill="0" applyBorder="0" applyAlignment="0" applyProtection="0"/>
    <xf numFmtId="253" fontId="115" fillId="120" borderId="0">
      <alignment horizontal="left"/>
      <protection hidden="1"/>
    </xf>
    <xf numFmtId="253" fontId="115" fillId="120" borderId="0">
      <alignment horizontal="left"/>
      <protection hidden="1"/>
    </xf>
    <xf numFmtId="0" fontId="35" fillId="57" borderId="0" applyNumberFormat="0" applyBorder="0" applyAlignment="0" applyProtection="0"/>
    <xf numFmtId="0" fontId="35" fillId="58" borderId="0" applyNumberFormat="0" applyBorder="0" applyAlignment="0" applyProtection="0"/>
    <xf numFmtId="0" fontId="35" fillId="59" borderId="0" applyNumberFormat="0" applyBorder="0" applyAlignment="0" applyProtection="0"/>
    <xf numFmtId="0" fontId="35" fillId="53" borderId="0" applyNumberFormat="0" applyBorder="0" applyAlignment="0" applyProtection="0"/>
    <xf numFmtId="0" fontId="35" fillId="54" borderId="0" applyNumberFormat="0" applyBorder="0" applyAlignment="0" applyProtection="0"/>
    <xf numFmtId="0" fontId="35" fillId="60" borderId="0" applyNumberFormat="0" applyBorder="0" applyAlignment="0" applyProtection="0"/>
    <xf numFmtId="0" fontId="53" fillId="47" borderId="20" applyNumberFormat="0" applyAlignment="0" applyProtection="0"/>
    <xf numFmtId="244" fontId="37" fillId="0" borderId="0">
      <alignment horizontal="right"/>
    </xf>
    <xf numFmtId="244" fontId="37" fillId="0" borderId="0">
      <alignment horizontal="right"/>
    </xf>
    <xf numFmtId="172" fontId="37" fillId="0" borderId="0"/>
    <xf numFmtId="172" fontId="150" fillId="0" borderId="0">
      <alignment horizontal="right"/>
    </xf>
    <xf numFmtId="0" fontId="5" fillId="94" borderId="7">
      <alignment horizontal="center"/>
    </xf>
    <xf numFmtId="0" fontId="110" fillId="0" borderId="0">
      <protection hidden="1"/>
    </xf>
    <xf numFmtId="228" fontId="37" fillId="0" borderId="0"/>
    <xf numFmtId="254" fontId="5" fillId="0" borderId="0" applyFont="0" applyFill="0" applyBorder="0" applyAlignment="0" applyProtection="0"/>
    <xf numFmtId="254" fontId="5" fillId="0" borderId="0" applyFont="0" applyFill="0" applyBorder="0" applyAlignment="0" applyProtection="0"/>
    <xf numFmtId="255" fontId="5" fillId="0" borderId="0" applyFont="0" applyFill="0" applyBorder="0" applyAlignment="0" applyProtection="0"/>
    <xf numFmtId="255" fontId="5" fillId="0" borderId="0" applyFont="0" applyFill="0" applyBorder="0" applyAlignment="0" applyProtection="0"/>
    <xf numFmtId="256" fontId="5" fillId="0" borderId="0" applyFill="0" applyBorder="0" applyAlignment="0" applyProtection="0"/>
    <xf numFmtId="255" fontId="5" fillId="0" borderId="0" applyFont="0" applyFill="0" applyBorder="0" applyAlignment="0" applyProtection="0"/>
    <xf numFmtId="3" fontId="46" fillId="0" borderId="41" applyFill="0" applyBorder="0"/>
    <xf numFmtId="0" fontId="151" fillId="0" borderId="0"/>
    <xf numFmtId="0" fontId="2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" fillId="0" borderId="0"/>
    <xf numFmtId="0" fontId="5" fillId="0" borderId="0"/>
    <xf numFmtId="210" fontId="5" fillId="0" borderId="0">
      <protection locked="0"/>
    </xf>
    <xf numFmtId="210" fontId="5" fillId="0" borderId="0">
      <protection locked="0"/>
    </xf>
    <xf numFmtId="0" fontId="58" fillId="0" borderId="0" applyFill="0" applyBorder="0" applyProtection="0">
      <alignment horizontal="left"/>
    </xf>
    <xf numFmtId="191" fontId="32" fillId="0" borderId="0" applyFont="0" applyFill="0" applyBorder="0" applyAlignment="0" applyProtection="0"/>
    <xf numFmtId="257" fontId="5" fillId="0" borderId="0" applyFont="0" applyFill="0" applyBorder="0" applyAlignment="0" applyProtection="0">
      <alignment horizontal="center"/>
    </xf>
    <xf numFmtId="257" fontId="5" fillId="0" borderId="0" applyFont="0" applyFill="0" applyBorder="0" applyAlignment="0" applyProtection="0">
      <alignment horizontal="center"/>
    </xf>
    <xf numFmtId="0" fontId="18" fillId="10" borderId="0" applyNumberFormat="0" applyBorder="0" applyAlignment="0" applyProtection="0"/>
    <xf numFmtId="0" fontId="39" fillId="44" borderId="0" applyNumberFormat="0" applyBorder="0" applyAlignment="0" applyProtection="0"/>
    <xf numFmtId="0" fontId="39" fillId="97" borderId="0" applyNumberFormat="0" applyBorder="0" applyAlignment="0" applyProtection="0"/>
    <xf numFmtId="0" fontId="39" fillId="44" borderId="0" applyNumberFormat="0" applyBorder="0" applyAlignment="0" applyProtection="0"/>
    <xf numFmtId="38" fontId="37" fillId="7" borderId="0" applyNumberFormat="0" applyBorder="0" applyAlignment="0" applyProtection="0"/>
    <xf numFmtId="0" fontId="152" fillId="0" borderId="0" applyNumberFormat="0" applyFill="0" applyBorder="0" applyAlignment="0" applyProtection="0"/>
    <xf numFmtId="3" fontId="153" fillId="121" borderId="0"/>
    <xf numFmtId="3" fontId="153" fillId="122" borderId="0"/>
    <xf numFmtId="0" fontId="154" fillId="123" borderId="0"/>
    <xf numFmtId="0" fontId="154" fillId="124" borderId="0"/>
    <xf numFmtId="0" fontId="154" fillId="125" borderId="0"/>
    <xf numFmtId="0" fontId="154" fillId="124" borderId="0"/>
    <xf numFmtId="0" fontId="154" fillId="75" borderId="0">
      <alignment horizontal="center"/>
    </xf>
    <xf numFmtId="0" fontId="24" fillId="126" borderId="0">
      <alignment horizontal="center"/>
    </xf>
    <xf numFmtId="0" fontId="41" fillId="78" borderId="0">
      <alignment horizontal="center"/>
    </xf>
    <xf numFmtId="0" fontId="5" fillId="127" borderId="52">
      <alignment horizontal="center"/>
    </xf>
    <xf numFmtId="0" fontId="5" fillId="7" borderId="44">
      <alignment horizontal="center"/>
    </xf>
    <xf numFmtId="258" fontId="155" fillId="128" borderId="19">
      <alignment horizontal="right" vertical="top"/>
      <protection hidden="1"/>
    </xf>
    <xf numFmtId="0" fontId="15" fillId="0" borderId="9" applyNumberFormat="0" applyFill="0" applyAlignment="0" applyProtection="0"/>
    <xf numFmtId="0" fontId="61" fillId="0" borderId="28" applyNumberFormat="0" applyFill="0" applyAlignment="0" applyProtection="0"/>
    <xf numFmtId="0" fontId="61" fillId="0" borderId="28" applyNumberFormat="0" applyFill="0" applyAlignment="0" applyProtection="0"/>
    <xf numFmtId="0" fontId="16" fillId="0" borderId="10" applyNumberFormat="0" applyFill="0" applyAlignment="0" applyProtection="0"/>
    <xf numFmtId="0" fontId="62" fillId="0" borderId="29" applyNumberFormat="0" applyFill="0" applyAlignment="0" applyProtection="0"/>
    <xf numFmtId="0" fontId="62" fillId="0" borderId="29" applyNumberFormat="0" applyFill="0" applyAlignment="0" applyProtection="0"/>
    <xf numFmtId="0" fontId="17" fillId="0" borderId="11" applyNumberFormat="0" applyFill="0" applyAlignment="0" applyProtection="0"/>
    <xf numFmtId="0" fontId="52" fillId="0" borderId="30" applyNumberFormat="0" applyFill="0" applyAlignment="0" applyProtection="0"/>
    <xf numFmtId="0" fontId="52" fillId="0" borderId="30" applyNumberFormat="0" applyFill="0" applyAlignment="0" applyProtection="0"/>
    <xf numFmtId="0" fontId="17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60" fillId="87" borderId="0"/>
    <xf numFmtId="0" fontId="116" fillId="8" borderId="0"/>
    <xf numFmtId="0" fontId="116" fillId="8" borderId="0"/>
    <xf numFmtId="0" fontId="9" fillId="87" borderId="0" applyNumberFormat="0"/>
    <xf numFmtId="0" fontId="46" fillId="0" borderId="0"/>
    <xf numFmtId="259" fontId="69" fillId="0" borderId="0"/>
    <xf numFmtId="0" fontId="156" fillId="0" borderId="1" applyNumberFormat="0" applyFill="0" applyAlignment="0" applyProtection="0"/>
    <xf numFmtId="0" fontId="68" fillId="0" borderId="53">
      <alignment vertical="center"/>
    </xf>
    <xf numFmtId="37" fontId="157" fillId="0" borderId="0" applyBorder="0">
      <alignment vertical="center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/>
    <xf numFmtId="1" fontId="108" fillId="129" borderId="7">
      <alignment horizontal="center"/>
    </xf>
    <xf numFmtId="1" fontId="108" fillId="129" borderId="7">
      <alignment horizontal="center"/>
    </xf>
    <xf numFmtId="0" fontId="38" fillId="43" borderId="0" applyNumberFormat="0" applyBorder="0" applyAlignment="0" applyProtection="0"/>
    <xf numFmtId="238" fontId="4" fillId="67" borderId="44"/>
    <xf numFmtId="239" fontId="4" fillId="67" borderId="44"/>
    <xf numFmtId="240" fontId="4" fillId="67" borderId="44"/>
    <xf numFmtId="10" fontId="37" fillId="63" borderId="7" applyNumberFormat="0" applyBorder="0" applyAlignment="0" applyProtection="0"/>
    <xf numFmtId="241" fontId="4" fillId="67" borderId="44"/>
    <xf numFmtId="242" fontId="4" fillId="67" borderId="44"/>
    <xf numFmtId="0" fontId="20" fillId="13" borderId="12" applyNumberFormat="0" applyAlignment="0" applyProtection="0"/>
    <xf numFmtId="0" fontId="53" fillId="47" borderId="20" applyNumberFormat="0" applyAlignment="0" applyProtection="0"/>
    <xf numFmtId="0" fontId="53" fillId="47" borderId="20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0" fontId="53" fillId="100" borderId="20" applyNumberFormat="0" applyAlignment="0" applyProtection="0"/>
    <xf numFmtId="0" fontId="53" fillId="100" borderId="20" applyNumberFormat="0" applyAlignment="0" applyProtection="0"/>
    <xf numFmtId="0" fontId="53" fillId="100" borderId="20" applyNumberFormat="0" applyAlignment="0" applyProtection="0"/>
    <xf numFmtId="0" fontId="53" fillId="100" borderId="20" applyNumberFormat="0" applyAlignment="0" applyProtection="0"/>
    <xf numFmtId="0" fontId="53" fillId="100" borderId="20" applyNumberFormat="0" applyAlignment="0" applyProtection="0"/>
    <xf numFmtId="0" fontId="53" fillId="100" borderId="20" applyNumberFormat="0" applyAlignment="0" applyProtection="0"/>
    <xf numFmtId="0" fontId="53" fillId="100" borderId="20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0" fontId="53" fillId="47" borderId="20" applyNumberFormat="0" applyAlignment="0" applyProtection="0"/>
    <xf numFmtId="0" fontId="53" fillId="47" borderId="20" applyNumberFormat="0" applyAlignment="0" applyProtection="0"/>
    <xf numFmtId="0" fontId="53" fillId="47" borderId="20" applyNumberFormat="0" applyAlignment="0" applyProtection="0"/>
    <xf numFmtId="0" fontId="53" fillId="47" borderId="20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0" fontId="20" fillId="13" borderId="12" applyNumberFormat="0" applyAlignment="0" applyProtection="0"/>
    <xf numFmtId="15" fontId="5" fillId="41" borderId="49">
      <alignment horizontal="center"/>
    </xf>
    <xf numFmtId="15" fontId="5" fillId="67" borderId="50">
      <alignment horizontal="center"/>
    </xf>
    <xf numFmtId="191" fontId="159" fillId="94" borderId="46"/>
    <xf numFmtId="15" fontId="160" fillId="94" borderId="7">
      <alignment horizontal="center"/>
    </xf>
    <xf numFmtId="10" fontId="160" fillId="94" borderId="7">
      <alignment horizontal="center"/>
    </xf>
    <xf numFmtId="0" fontId="38" fillId="43" borderId="0" applyNumberFormat="0" applyBorder="0" applyAlignment="0" applyProtection="0"/>
    <xf numFmtId="0" fontId="161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/>
    <xf numFmtId="0" fontId="5" fillId="69" borderId="0" applyNumberFormat="0" applyFont="0" applyBorder="0" applyAlignment="0" applyProtection="0">
      <alignment horizontal="right"/>
    </xf>
    <xf numFmtId="0" fontId="5" fillId="69" borderId="0" applyNumberFormat="0" applyFont="0" applyBorder="0" applyAlignment="0" applyProtection="0">
      <alignment horizontal="right"/>
    </xf>
    <xf numFmtId="0" fontId="23" fillId="0" borderId="14" applyNumberFormat="0" applyFill="0" applyAlignment="0" applyProtection="0"/>
    <xf numFmtId="0" fontId="42" fillId="0" borderId="22" applyNumberFormat="0" applyFill="0" applyAlignment="0" applyProtection="0"/>
    <xf numFmtId="0" fontId="42" fillId="0" borderId="22" applyNumberFormat="0" applyFill="0" applyAlignment="0" applyProtection="0"/>
    <xf numFmtId="14" fontId="69" fillId="0" borderId="0">
      <alignment horizontal="center"/>
    </xf>
    <xf numFmtId="37" fontId="162" fillId="0" borderId="0" applyFill="0" applyBorder="0" applyProtection="0">
      <alignment vertical="center"/>
    </xf>
    <xf numFmtId="260" fontId="97" fillId="0" borderId="0" applyFont="0" applyFill="0" applyBorder="0" applyAlignment="0" applyProtection="0"/>
    <xf numFmtId="260" fontId="97" fillId="0" borderId="0" applyFont="0" applyFill="0" applyBorder="0" applyAlignment="0" applyProtection="0"/>
    <xf numFmtId="261" fontId="5" fillId="0" borderId="0" applyFont="0" applyFill="0" applyProtection="0"/>
    <xf numFmtId="262" fontId="5" fillId="0" borderId="0" applyFont="0" applyFill="0" applyBorder="0" applyAlignment="0" applyProtection="0"/>
    <xf numFmtId="263" fontId="5" fillId="0" borderId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264" fontId="5" fillId="0" borderId="0" applyFont="0" applyFill="0" applyBorder="0" applyAlignment="0" applyProtection="0"/>
    <xf numFmtId="265" fontId="5" fillId="0" borderId="0" applyFont="0" applyFill="0" applyBorder="0" applyAlignment="0" applyProtection="0"/>
    <xf numFmtId="189" fontId="5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266" fontId="37" fillId="0" borderId="7">
      <alignment horizontal="right"/>
    </xf>
    <xf numFmtId="266" fontId="37" fillId="0" borderId="0">
      <alignment horizontal="center"/>
    </xf>
    <xf numFmtId="267" fontId="69" fillId="0" borderId="0">
      <alignment horizontal="center"/>
    </xf>
    <xf numFmtId="17" fontId="69" fillId="0" borderId="0">
      <alignment horizontal="center"/>
    </xf>
    <xf numFmtId="268" fontId="48" fillId="0" borderId="0" applyFont="0" applyFill="0" applyBorder="0" applyProtection="0">
      <alignment horizontal="right"/>
    </xf>
    <xf numFmtId="0" fontId="163" fillId="66" borderId="0"/>
    <xf numFmtId="9" fontId="164" fillId="0" borderId="48" applyNumberFormat="0" applyProtection="0">
      <alignment horizontal="right"/>
    </xf>
    <xf numFmtId="0" fontId="67" fillId="64" borderId="0" applyNumberFormat="0" applyBorder="0" applyAlignment="0" applyProtection="0"/>
    <xf numFmtId="0" fontId="29" fillId="12" borderId="0" applyNumberFormat="0" applyBorder="0" applyAlignment="0" applyProtection="0"/>
    <xf numFmtId="0" fontId="67" fillId="64" borderId="0" applyNumberFormat="0" applyBorder="0" applyAlignment="0" applyProtection="0"/>
    <xf numFmtId="0" fontId="67" fillId="130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37" fontId="165" fillId="0" borderId="0"/>
    <xf numFmtId="38" fontId="166" fillId="0" borderId="0" applyBorder="0"/>
    <xf numFmtId="38" fontId="167" fillId="0" borderId="0">
      <protection locked="0"/>
    </xf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4" fillId="0" borderId="0"/>
    <xf numFmtId="0" fontId="12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3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0" borderId="0"/>
    <xf numFmtId="0" fontId="33" fillId="0" borderId="0"/>
    <xf numFmtId="0" fontId="5" fillId="0" borderId="0"/>
    <xf numFmtId="0" fontId="168" fillId="0" borderId="0"/>
    <xf numFmtId="0" fontId="169" fillId="0" borderId="0" applyNumberFormat="0" applyBorder="0" applyAlignment="0"/>
    <xf numFmtId="0" fontId="33" fillId="65" borderId="33" applyNumberFormat="0" applyFont="0" applyAlignment="0" applyProtection="0"/>
    <xf numFmtId="0" fontId="33" fillId="65" borderId="33" applyNumberFormat="0" applyFont="0" applyAlignment="0" applyProtection="0"/>
    <xf numFmtId="0" fontId="5" fillId="65" borderId="33" applyNumberFormat="0" applyFont="0" applyAlignment="0" applyProtection="0"/>
    <xf numFmtId="0" fontId="5" fillId="65" borderId="33" applyNumberFormat="0" applyFont="0" applyAlignment="0" applyProtection="0"/>
    <xf numFmtId="0" fontId="33" fillId="16" borderId="16" applyNumberFormat="0" applyFont="0" applyAlignment="0" applyProtection="0"/>
    <xf numFmtId="0" fontId="5" fillId="131" borderId="33" applyNumberFormat="0" applyAlignment="0" applyProtection="0"/>
    <xf numFmtId="0" fontId="33" fillId="16" borderId="16" applyNumberFormat="0" applyFont="0" applyAlignment="0" applyProtection="0"/>
    <xf numFmtId="0" fontId="33" fillId="16" borderId="16" applyNumberFormat="0" applyFont="0" applyAlignment="0" applyProtection="0"/>
    <xf numFmtId="0" fontId="33" fillId="16" borderId="16" applyNumberFormat="0" applyFont="0" applyAlignment="0" applyProtection="0"/>
    <xf numFmtId="0" fontId="33" fillId="16" borderId="16" applyNumberFormat="0" applyFont="0" applyAlignment="0" applyProtection="0"/>
    <xf numFmtId="0" fontId="33" fillId="16" borderId="16" applyNumberFormat="0" applyFont="0" applyAlignment="0" applyProtection="0"/>
    <xf numFmtId="0" fontId="33" fillId="16" borderId="16" applyNumberFormat="0" applyFont="0" applyAlignment="0" applyProtection="0"/>
    <xf numFmtId="0" fontId="5" fillId="65" borderId="33" applyNumberFormat="0" applyFont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238" fontId="4" fillId="8" borderId="44"/>
    <xf numFmtId="239" fontId="4" fillId="8" borderId="44"/>
    <xf numFmtId="240" fontId="4" fillId="8" borderId="44"/>
    <xf numFmtId="241" fontId="4" fillId="8" borderId="44"/>
    <xf numFmtId="242" fontId="4" fillId="8" borderId="44"/>
    <xf numFmtId="15" fontId="5" fillId="3" borderId="49">
      <alignment horizontal="center"/>
    </xf>
    <xf numFmtId="15" fontId="5" fillId="8" borderId="50">
      <alignment horizontal="center"/>
    </xf>
    <xf numFmtId="269" fontId="5" fillId="0" borderId="0" applyFont="0" applyFill="0" applyBorder="0" applyAlignment="0" applyProtection="0"/>
    <xf numFmtId="269" fontId="5" fillId="0" borderId="0" applyFont="0" applyFill="0" applyBorder="0" applyAlignment="0" applyProtection="0"/>
    <xf numFmtId="270" fontId="5" fillId="0" borderId="0" applyFont="0" applyFill="0" applyBorder="0" applyAlignment="0" applyProtection="0"/>
    <xf numFmtId="270" fontId="5" fillId="0" borderId="0" applyFont="0" applyFill="0" applyBorder="0" applyAlignment="0" applyProtection="0"/>
    <xf numFmtId="238" fontId="4" fillId="132" borderId="44"/>
    <xf numFmtId="238" fontId="4" fillId="133" borderId="44"/>
    <xf numFmtId="239" fontId="4" fillId="132" borderId="44"/>
    <xf numFmtId="239" fontId="4" fillId="133" borderId="44"/>
    <xf numFmtId="240" fontId="4" fillId="132" borderId="44"/>
    <xf numFmtId="240" fontId="4" fillId="133" borderId="44"/>
    <xf numFmtId="241" fontId="4" fillId="132" borderId="44"/>
    <xf numFmtId="241" fontId="4" fillId="133" borderId="44"/>
    <xf numFmtId="242" fontId="4" fillId="132" borderId="44"/>
    <xf numFmtId="242" fontId="4" fillId="133" borderId="44"/>
    <xf numFmtId="15" fontId="5" fillId="132" borderId="49">
      <alignment horizontal="center"/>
    </xf>
    <xf numFmtId="15" fontId="5" fillId="133" borderId="50">
      <alignment horizontal="center"/>
    </xf>
    <xf numFmtId="190" fontId="71" fillId="134" borderId="7" applyNumberFormat="0" applyFont="0" applyFill="0" applyAlignment="0" applyProtection="0"/>
    <xf numFmtId="0" fontId="21" fillId="14" borderId="13" applyNumberFormat="0" applyAlignment="0" applyProtection="0"/>
    <xf numFmtId="0" fontId="79" fillId="61" borderId="34" applyNumberFormat="0" applyAlignment="0" applyProtection="0"/>
    <xf numFmtId="0" fontId="79" fillId="115" borderId="34" applyNumberFormat="0" applyAlignment="0" applyProtection="0"/>
    <xf numFmtId="0" fontId="79" fillId="61" borderId="34" applyNumberFormat="0" applyAlignment="0" applyProtection="0"/>
    <xf numFmtId="271" fontId="4" fillId="90" borderId="0">
      <alignment horizontal="right"/>
    </xf>
    <xf numFmtId="0" fontId="170" fillId="114" borderId="0">
      <alignment horizontal="center"/>
    </xf>
    <xf numFmtId="0" fontId="154" fillId="135" borderId="0"/>
    <xf numFmtId="0" fontId="171" fillId="90" borderId="0" applyBorder="0">
      <alignment horizontal="centerContinuous"/>
    </xf>
    <xf numFmtId="0" fontId="172" fillId="135" borderId="0" applyBorder="0">
      <alignment horizontal="centerContinuous"/>
    </xf>
    <xf numFmtId="0" fontId="5" fillId="0" borderId="0" applyNumberFormat="0" applyFont="0" applyBorder="0" applyAlignment="0"/>
    <xf numFmtId="0" fontId="5" fillId="0" borderId="0" applyNumberFormat="0" applyFont="0" applyBorder="0" applyAlignment="0"/>
    <xf numFmtId="0" fontId="173" fillId="0" borderId="0" applyFill="0" applyBorder="0" applyProtection="0">
      <alignment horizontal="left"/>
    </xf>
    <xf numFmtId="0" fontId="174" fillId="0" borderId="0" applyFill="0" applyBorder="0" applyProtection="0">
      <alignment horizontal="left"/>
    </xf>
    <xf numFmtId="0" fontId="175" fillId="0" borderId="0">
      <alignment horizontal="centerContinuous"/>
    </xf>
    <xf numFmtId="0" fontId="108" fillId="0" borderId="54" applyNumberFormat="0" applyAlignment="0" applyProtection="0"/>
    <xf numFmtId="0" fontId="30" fillId="8" borderId="0" applyNumberFormat="0" applyFont="0" applyBorder="0" applyAlignment="0" applyProtection="0"/>
    <xf numFmtId="0" fontId="37" fillId="88" borderId="40" applyNumberFormat="0" applyFont="0" applyBorder="0" applyAlignment="0" applyProtection="0">
      <alignment horizontal="center"/>
    </xf>
    <xf numFmtId="0" fontId="37" fillId="88" borderId="40" applyNumberFormat="0" applyFont="0" applyBorder="0" applyAlignment="0" applyProtection="0">
      <alignment horizontal="center"/>
    </xf>
    <xf numFmtId="0" fontId="37" fillId="87" borderId="40" applyNumberFormat="0" applyFont="0" applyBorder="0" applyAlignment="0" applyProtection="0">
      <alignment horizontal="center"/>
    </xf>
    <xf numFmtId="0" fontId="37" fillId="87" borderId="40" applyNumberFormat="0" applyFont="0" applyBorder="0" applyAlignment="0" applyProtection="0">
      <alignment horizontal="center"/>
    </xf>
    <xf numFmtId="0" fontId="30" fillId="0" borderId="55" applyNumberFormat="0" applyAlignment="0" applyProtection="0"/>
    <xf numFmtId="0" fontId="30" fillId="0" borderId="56" applyNumberFormat="0" applyAlignment="0" applyProtection="0"/>
    <xf numFmtId="0" fontId="30" fillId="0" borderId="56" applyNumberFormat="0" applyAlignment="0" applyProtection="0"/>
    <xf numFmtId="0" fontId="108" fillId="0" borderId="57" applyNumberFormat="0" applyAlignment="0" applyProtection="0"/>
    <xf numFmtId="272" fontId="37" fillId="0" borderId="0"/>
    <xf numFmtId="273" fontId="37" fillId="0" borderId="0" applyFont="0" applyFill="0" applyBorder="0" applyAlignment="0" applyProtection="0"/>
    <xf numFmtId="10" fontId="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74" fontId="58" fillId="0" borderId="0" applyFont="0" applyFill="0" applyBorder="0" applyProtection="0">
      <alignment horizontal="right"/>
    </xf>
    <xf numFmtId="274" fontId="58" fillId="0" borderId="0" applyFont="0" applyFill="0" applyBorder="0" applyProtection="0">
      <alignment horizontal="right"/>
    </xf>
    <xf numFmtId="0" fontId="176" fillId="0" borderId="48" applyNumberFormat="0" applyFill="0" applyBorder="0" applyAlignment="0" applyProtection="0"/>
    <xf numFmtId="13" fontId="5" fillId="0" borderId="0" applyFont="0" applyFill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32" fontId="37" fillId="0" borderId="0"/>
    <xf numFmtId="275" fontId="37" fillId="0" borderId="0"/>
    <xf numFmtId="0" fontId="97" fillId="0" borderId="0" applyNumberFormat="0" applyFont="0" applyFill="0" applyBorder="0" applyAlignment="0" applyProtection="0">
      <alignment horizontal="left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177" fillId="0" borderId="46">
      <alignment horizontal="center"/>
    </xf>
    <xf numFmtId="3" fontId="97" fillId="0" borderId="0" applyFont="0" applyFill="0" applyBorder="0" applyAlignment="0" applyProtection="0"/>
    <xf numFmtId="3" fontId="97" fillId="0" borderId="0" applyFont="0" applyFill="0" applyBorder="0" applyAlignment="0" applyProtection="0"/>
    <xf numFmtId="0" fontId="97" fillId="119" borderId="0" applyNumberFormat="0" applyFont="0" applyBorder="0" applyAlignment="0" applyProtection="0"/>
    <xf numFmtId="0" fontId="97" fillId="119" borderId="0" applyNumberFormat="0" applyFont="0" applyBorder="0" applyAlignment="0" applyProtection="0"/>
    <xf numFmtId="0" fontId="5" fillId="0" borderId="0">
      <alignment horizontal="right"/>
    </xf>
    <xf numFmtId="0" fontId="5" fillId="0" borderId="0">
      <alignment horizontal="right"/>
    </xf>
    <xf numFmtId="2" fontId="8" fillId="87" borderId="7">
      <alignment horizontal="center"/>
    </xf>
    <xf numFmtId="193" fontId="5" fillId="136" borderId="7">
      <alignment horizontal="center" vertical="center"/>
    </xf>
    <xf numFmtId="193" fontId="5" fillId="136" borderId="7">
      <alignment horizontal="center" vertical="center"/>
    </xf>
    <xf numFmtId="0" fontId="178" fillId="0" borderId="0"/>
    <xf numFmtId="0" fontId="79" fillId="61" borderId="34" applyNumberFormat="0" applyAlignment="0" applyProtection="0"/>
    <xf numFmtId="0" fontId="39" fillId="44" borderId="0" applyNumberFormat="0" applyBorder="0" applyAlignment="0" applyProtection="0"/>
    <xf numFmtId="0" fontId="179" fillId="0" borderId="0"/>
    <xf numFmtId="0" fontId="180" fillId="0" borderId="0"/>
    <xf numFmtId="0" fontId="181" fillId="0" borderId="0"/>
    <xf numFmtId="38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41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4" fontId="30" fillId="137" borderId="58" applyNumberFormat="0" applyFont="0" applyBorder="0" applyAlignment="0" applyProtection="0"/>
    <xf numFmtId="14" fontId="30" fillId="137" borderId="58" applyNumberFormat="0" applyFont="0" applyBorder="0" applyAlignment="0" applyProtection="0"/>
    <xf numFmtId="0" fontId="30" fillId="138" borderId="0" applyNumberFormat="0" applyFont="0" applyBorder="0" applyAlignment="0" applyProtection="0"/>
    <xf numFmtId="189" fontId="147" fillId="0" borderId="0" applyFill="0" applyBorder="0" applyAlignment="0" applyProtection="0"/>
    <xf numFmtId="0" fontId="79" fillId="61" borderId="34" applyNumberFormat="0" applyAlignment="0" applyProtection="0"/>
    <xf numFmtId="0" fontId="97" fillId="0" borderId="0"/>
    <xf numFmtId="0" fontId="30" fillId="0" borderId="53"/>
    <xf numFmtId="0" fontId="30" fillId="0" borderId="53"/>
    <xf numFmtId="194" fontId="5" fillId="0" borderId="0">
      <alignment horizontal="left" wrapText="1"/>
    </xf>
    <xf numFmtId="0" fontId="5" fillId="0" borderId="0">
      <alignment horizontal="left" wrapText="1"/>
    </xf>
    <xf numFmtId="0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194" fontId="5" fillId="0" borderId="0">
      <alignment horizontal="left" wrapText="1"/>
    </xf>
    <xf numFmtId="0" fontId="46" fillId="139" borderId="59" applyNumberFormat="0" applyProtection="0">
      <alignment horizontal="center" wrapText="1"/>
    </xf>
    <xf numFmtId="0" fontId="46" fillId="139" borderId="59" applyNumberFormat="0" applyProtection="0">
      <alignment horizontal="center" wrapText="1"/>
    </xf>
    <xf numFmtId="0" fontId="46" fillId="139" borderId="59" applyNumberFormat="0" applyProtection="0">
      <alignment horizontal="center" wrapText="1"/>
    </xf>
    <xf numFmtId="0" fontId="46" fillId="139" borderId="59" applyNumberFormat="0" applyProtection="0">
      <alignment horizontal="center" wrapText="1"/>
    </xf>
    <xf numFmtId="0" fontId="46" fillId="139" borderId="60" applyNumberFormat="0" applyAlignment="0" applyProtection="0">
      <alignment wrapText="1"/>
    </xf>
    <xf numFmtId="0" fontId="46" fillId="139" borderId="60" applyNumberFormat="0" applyAlignment="0" applyProtection="0">
      <alignment wrapText="1"/>
    </xf>
    <xf numFmtId="0" fontId="46" fillId="139" borderId="60" applyNumberFormat="0" applyAlignment="0" applyProtection="0">
      <alignment wrapText="1"/>
    </xf>
    <xf numFmtId="0" fontId="46" fillId="139" borderId="60" applyNumberFormat="0" applyAlignment="0" applyProtection="0">
      <alignment wrapText="1"/>
    </xf>
    <xf numFmtId="0" fontId="5" fillId="140" borderId="0" applyNumberFormat="0" applyBorder="0">
      <alignment horizontal="center" wrapText="1"/>
    </xf>
    <xf numFmtId="0" fontId="5" fillId="140" borderId="0" applyNumberFormat="0" applyBorder="0">
      <alignment horizontal="center" wrapText="1"/>
    </xf>
    <xf numFmtId="0" fontId="5" fillId="140" borderId="0" applyNumberFormat="0" applyBorder="0">
      <alignment wrapText="1"/>
    </xf>
    <xf numFmtId="0" fontId="5" fillId="140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 applyProtection="0">
      <alignment horizontal="right" wrapText="1"/>
    </xf>
    <xf numFmtId="276" fontId="5" fillId="0" borderId="0" applyFill="0" applyBorder="0" applyAlignment="0" applyProtection="0">
      <alignment wrapText="1"/>
    </xf>
    <xf numFmtId="276" fontId="5" fillId="0" borderId="0" applyFill="0" applyBorder="0" applyAlignment="0" applyProtection="0">
      <alignment wrapText="1"/>
    </xf>
    <xf numFmtId="258" fontId="5" fillId="0" borderId="0" applyFill="0" applyBorder="0" applyAlignment="0" applyProtection="0">
      <alignment wrapText="1"/>
    </xf>
    <xf numFmtId="258" fontId="5" fillId="0" borderId="0" applyFill="0" applyBorder="0" applyAlignment="0" applyProtection="0">
      <alignment wrapText="1"/>
    </xf>
    <xf numFmtId="277" fontId="5" fillId="0" borderId="0" applyFill="0" applyBorder="0" applyAlignment="0" applyProtection="0">
      <alignment wrapText="1"/>
    </xf>
    <xf numFmtId="277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7" fontId="5" fillId="0" borderId="0" applyFill="0" applyBorder="0">
      <alignment horizontal="right" wrapText="1"/>
    </xf>
    <xf numFmtId="178" fontId="5" fillId="0" borderId="0" applyFill="0" applyBorder="0" applyAlignment="0" applyProtection="0">
      <alignment wrapText="1"/>
    </xf>
    <xf numFmtId="178" fontId="5" fillId="0" borderId="0" applyFill="0" applyBorder="0" applyAlignment="0" applyProtection="0">
      <alignment wrapText="1"/>
    </xf>
    <xf numFmtId="0" fontId="60" fillId="0" borderId="0" applyNumberFormat="0" applyFill="0" applyBorder="0">
      <alignment horizontal="left" wrapText="1"/>
    </xf>
    <xf numFmtId="0" fontId="60" fillId="0" borderId="0" applyNumberFormat="0" applyFill="0" applyBorder="0">
      <alignment horizontal="left" wrapText="1"/>
    </xf>
    <xf numFmtId="0" fontId="46" fillId="0" borderId="0" applyNumberFormat="0" applyFill="0" applyBorder="0">
      <alignment horizontal="center" wrapText="1"/>
    </xf>
    <xf numFmtId="0" fontId="46" fillId="0" borderId="0" applyNumberFormat="0" applyFill="0" applyBorder="0">
      <alignment horizontal="center" wrapText="1"/>
    </xf>
    <xf numFmtId="0" fontId="46" fillId="0" borderId="0" applyNumberFormat="0" applyFill="0" applyBorder="0">
      <alignment horizontal="center" wrapText="1"/>
    </xf>
    <xf numFmtId="0" fontId="46" fillId="0" borderId="0" applyNumberFormat="0" applyFill="0" applyBorder="0">
      <alignment horizontal="center" wrapText="1"/>
    </xf>
    <xf numFmtId="0" fontId="182" fillId="0" borderId="0" applyNumberFormat="0" applyBorder="0" applyAlignment="0"/>
    <xf numFmtId="0" fontId="183" fillId="0" borderId="0" applyNumberFormat="0" applyBorder="0" applyAlignment="0"/>
    <xf numFmtId="0" fontId="184" fillId="0" borderId="0" applyNumberFormat="0" applyBorder="0" applyAlignment="0"/>
    <xf numFmtId="0" fontId="185" fillId="61" borderId="0" applyNumberFormat="0" applyBorder="0" applyAlignment="0"/>
    <xf numFmtId="0" fontId="117" fillId="0" borderId="0"/>
    <xf numFmtId="0" fontId="186" fillId="0" borderId="0"/>
    <xf numFmtId="238" fontId="4" fillId="0" borderId="39"/>
    <xf numFmtId="239" fontId="4" fillId="0" borderId="39"/>
    <xf numFmtId="240" fontId="4" fillId="0" borderId="39"/>
    <xf numFmtId="241" fontId="4" fillId="0" borderId="39"/>
    <xf numFmtId="242" fontId="4" fillId="0" borderId="39"/>
    <xf numFmtId="238" fontId="4" fillId="0" borderId="39"/>
    <xf numFmtId="239" fontId="4" fillId="0" borderId="39"/>
    <xf numFmtId="240" fontId="4" fillId="0" borderId="39"/>
    <xf numFmtId="241" fontId="4" fillId="0" borderId="39"/>
    <xf numFmtId="242" fontId="4" fillId="0" borderId="39"/>
    <xf numFmtId="238" fontId="4" fillId="0" borderId="27"/>
    <xf numFmtId="239" fontId="4" fillId="0" borderId="27"/>
    <xf numFmtId="240" fontId="4" fillId="0" borderId="27"/>
    <xf numFmtId="241" fontId="4" fillId="0" borderId="27"/>
    <xf numFmtId="242" fontId="4" fillId="0" borderId="27"/>
    <xf numFmtId="176" fontId="187" fillId="0" borderId="0"/>
    <xf numFmtId="0" fontId="9" fillId="0" borderId="0" applyFill="0" applyBorder="0" applyProtection="0">
      <alignment horizontal="center" vertical="center"/>
    </xf>
    <xf numFmtId="0" fontId="143" fillId="0" borderId="0" applyBorder="0" applyProtection="0">
      <alignment horizontal="left"/>
    </xf>
    <xf numFmtId="0" fontId="143" fillId="0" borderId="0" applyBorder="0" applyProtection="0">
      <alignment horizontal="left"/>
    </xf>
    <xf numFmtId="0" fontId="9" fillId="0" borderId="0" applyFill="0" applyBorder="0" applyProtection="0"/>
    <xf numFmtId="0" fontId="46" fillId="0" borderId="0" applyFill="0" applyBorder="0" applyProtection="0">
      <alignment horizontal="left"/>
    </xf>
    <xf numFmtId="0" fontId="188" fillId="0" borderId="0" applyFill="0" applyBorder="0" applyProtection="0">
      <alignment horizontal="left" vertical="top"/>
    </xf>
    <xf numFmtId="253" fontId="5" fillId="63" borderId="61" applyNumberFormat="0">
      <alignment horizontal="right"/>
      <protection hidden="1"/>
    </xf>
    <xf numFmtId="253" fontId="5" fillId="63" borderId="61" applyNumberFormat="0">
      <alignment horizontal="right"/>
      <protection hidden="1"/>
    </xf>
    <xf numFmtId="0" fontId="56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172" fontId="166" fillId="0" borderId="0" applyFill="0" applyBorder="0"/>
    <xf numFmtId="0" fontId="143" fillId="66" borderId="7">
      <alignment horizontal="center"/>
    </xf>
    <xf numFmtId="0" fontId="143" fillId="66" borderId="7">
      <alignment horizontal="center"/>
    </xf>
    <xf numFmtId="0" fontId="30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40" fontId="114" fillId="0" borderId="0"/>
    <xf numFmtId="0" fontId="28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253" fontId="189" fillId="128" borderId="32">
      <alignment horizontal="left" vertical="top"/>
      <protection hidden="1"/>
    </xf>
    <xf numFmtId="253" fontId="189" fillId="128" borderId="32">
      <alignment horizontal="left" vertical="top"/>
      <protection hidden="1"/>
    </xf>
    <xf numFmtId="0" fontId="105" fillId="0" borderId="0" applyNumberFormat="0" applyFill="0" applyBorder="0" applyAlignment="0" applyProtection="0"/>
    <xf numFmtId="0" fontId="61" fillId="0" borderId="28" applyNumberFormat="0" applyFill="0" applyAlignment="0" applyProtection="0"/>
    <xf numFmtId="0" fontId="62" fillId="0" borderId="29" applyNumberFormat="0" applyFill="0" applyAlignment="0" applyProtection="0"/>
    <xf numFmtId="0" fontId="52" fillId="0" borderId="30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278" fontId="5" fillId="127" borderId="49">
      <alignment horizontal="center"/>
    </xf>
    <xf numFmtId="278" fontId="5" fillId="7" borderId="50">
      <alignment horizontal="center"/>
    </xf>
    <xf numFmtId="15" fontId="5" fillId="127" borderId="49">
      <alignment horizontal="center"/>
    </xf>
    <xf numFmtId="15" fontId="5" fillId="7" borderId="50">
      <alignment horizontal="center"/>
    </xf>
    <xf numFmtId="279" fontId="5" fillId="127" borderId="49">
      <alignment horizontal="center"/>
    </xf>
    <xf numFmtId="279" fontId="5" fillId="7" borderId="50">
      <alignment horizontal="center"/>
    </xf>
    <xf numFmtId="280" fontId="5" fillId="127" borderId="49">
      <alignment horizontal="center"/>
    </xf>
    <xf numFmtId="280" fontId="5" fillId="7" borderId="50">
      <alignment horizontal="center"/>
    </xf>
    <xf numFmtId="238" fontId="4" fillId="0" borderId="62"/>
    <xf numFmtId="239" fontId="4" fillId="0" borderId="62"/>
    <xf numFmtId="240" fontId="4" fillId="0" borderId="62"/>
    <xf numFmtId="241" fontId="4" fillId="0" borderId="62"/>
    <xf numFmtId="242" fontId="4" fillId="0" borderId="62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107" fillId="0" borderId="38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2" fillId="0" borderId="17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2" fillId="0" borderId="17" applyNumberFormat="0" applyFill="0" applyAlignment="0" applyProtection="0"/>
    <xf numFmtId="281" fontId="155" fillId="124" borderId="62">
      <protection hidden="1"/>
    </xf>
    <xf numFmtId="281" fontId="153" fillId="141" borderId="19" applyAlignment="0">
      <alignment horizontal="left"/>
      <protection hidden="1"/>
    </xf>
    <xf numFmtId="281" fontId="190" fillId="142" borderId="27" applyAlignment="0">
      <alignment horizontal="left" indent="1"/>
      <protection hidden="1"/>
    </xf>
    <xf numFmtId="282" fontId="191" fillId="83" borderId="0" applyAlignment="0">
      <alignment horizontal="left" indent="2"/>
      <protection hidden="1"/>
    </xf>
    <xf numFmtId="281" fontId="192" fillId="66" borderId="0" applyAlignment="0">
      <alignment horizontal="left" indent="3"/>
      <protection hidden="1"/>
    </xf>
    <xf numFmtId="251" fontId="193" fillId="0" borderId="0">
      <alignment horizontal="left"/>
      <protection locked="0"/>
    </xf>
    <xf numFmtId="37" fontId="37" fillId="7" borderId="0" applyNumberFormat="0" applyBorder="0" applyAlignment="0" applyProtection="0"/>
    <xf numFmtId="37" fontId="37" fillId="0" borderId="0"/>
    <xf numFmtId="37" fontId="37" fillId="7" borderId="0" applyNumberFormat="0" applyBorder="0" applyAlignment="0" applyProtection="0"/>
    <xf numFmtId="3" fontId="194" fillId="0" borderId="1" applyProtection="0"/>
    <xf numFmtId="177" fontId="97" fillId="0" borderId="0" applyFont="0" applyFill="0" applyBorder="0" applyAlignment="0" applyProtection="0"/>
    <xf numFmtId="177" fontId="97" fillId="0" borderId="0" applyFont="0" applyFill="0" applyBorder="0" applyAlignment="0" applyProtection="0"/>
    <xf numFmtId="0" fontId="41" fillId="62" borderId="21" applyNumberFormat="0" applyAlignment="0" applyProtection="0"/>
    <xf numFmtId="283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251" fontId="58" fillId="0" borderId="0" applyFont="0" applyFill="0" applyBorder="0" applyProtection="0">
      <alignment horizontal="right"/>
    </xf>
    <xf numFmtId="284" fontId="5" fillId="0" borderId="0" applyFont="0" applyFill="0" applyBorder="0" applyAlignment="0" applyProtection="0"/>
    <xf numFmtId="284" fontId="5" fillId="0" borderId="0" applyFont="0" applyFill="0" applyBorder="0" applyAlignment="0" applyProtection="0"/>
    <xf numFmtId="285" fontId="167" fillId="0" borderId="0" applyFont="0" applyFill="0" applyBorder="0" applyAlignment="0" applyProtection="0"/>
    <xf numFmtId="0" fontId="136" fillId="57" borderId="0" applyNumberFormat="0" applyBorder="0" applyAlignment="0" applyProtection="0"/>
    <xf numFmtId="0" fontId="136" fillId="58" borderId="0" applyNumberFormat="0" applyBorder="0" applyAlignment="0" applyProtection="0"/>
    <xf numFmtId="0" fontId="136" fillId="59" borderId="0" applyNumberFormat="0" applyBorder="0" applyAlignment="0" applyProtection="0"/>
    <xf numFmtId="0" fontId="136" fillId="53" borderId="0" applyNumberFormat="0" applyBorder="0" applyAlignment="0" applyProtection="0"/>
    <xf numFmtId="0" fontId="136" fillId="54" borderId="0" applyNumberFormat="0" applyBorder="0" applyAlignment="0" applyProtection="0"/>
    <xf numFmtId="0" fontId="136" fillId="60" borderId="0" applyNumberFormat="0" applyBorder="0" applyAlignment="0" applyProtection="0"/>
    <xf numFmtId="0" fontId="195" fillId="47" borderId="20" applyNumberFormat="0" applyAlignment="0" applyProtection="0"/>
    <xf numFmtId="0" fontId="196" fillId="61" borderId="34" applyNumberFormat="0" applyAlignment="0" applyProtection="0"/>
    <xf numFmtId="0" fontId="197" fillId="61" borderId="20" applyNumberFormat="0" applyAlignment="0" applyProtection="0"/>
    <xf numFmtId="0" fontId="198" fillId="0" borderId="28" applyNumberFormat="0" applyFill="0" applyAlignment="0" applyProtection="0"/>
    <xf numFmtId="0" fontId="199" fillId="0" borderId="29" applyNumberFormat="0" applyFill="0" applyAlignment="0" applyProtection="0"/>
    <xf numFmtId="0" fontId="200" fillId="0" borderId="30" applyNumberFormat="0" applyFill="0" applyAlignment="0" applyProtection="0"/>
    <xf numFmtId="0" fontId="200" fillId="0" borderId="0" applyNumberFormat="0" applyFill="0" applyBorder="0" applyAlignment="0" applyProtection="0"/>
    <xf numFmtId="0" fontId="201" fillId="0" borderId="38" applyNumberFormat="0" applyFill="0" applyAlignment="0" applyProtection="0"/>
    <xf numFmtId="0" fontId="202" fillId="62" borderId="21" applyNumberFormat="0" applyAlignment="0" applyProtection="0"/>
    <xf numFmtId="0" fontId="203" fillId="0" borderId="0" applyNumberFormat="0" applyFill="0" applyBorder="0" applyAlignment="0" applyProtection="0"/>
    <xf numFmtId="0" fontId="204" fillId="64" borderId="0" applyNumberFormat="0" applyBorder="0" applyAlignment="0" applyProtection="0"/>
    <xf numFmtId="0" fontId="4" fillId="0" borderId="0"/>
    <xf numFmtId="0" fontId="205" fillId="43" borderId="0" applyNumberFormat="0" applyBorder="0" applyAlignment="0" applyProtection="0"/>
    <xf numFmtId="0" fontId="206" fillId="0" borderId="0" applyNumberFormat="0" applyFill="0" applyBorder="0" applyAlignment="0" applyProtection="0"/>
    <xf numFmtId="0" fontId="207" fillId="65" borderId="33" applyNumberFormat="0" applyFont="0" applyAlignment="0" applyProtection="0"/>
    <xf numFmtId="0" fontId="208" fillId="0" borderId="22" applyNumberFormat="0" applyFill="0" applyAlignment="0" applyProtection="0"/>
    <xf numFmtId="0" fontId="209" fillId="0" borderId="0" applyNumberFormat="0" applyFill="0" applyBorder="0" applyAlignment="0" applyProtection="0"/>
    <xf numFmtId="0" fontId="210" fillId="44" borderId="0" applyNumberFormat="0" applyBorder="0" applyAlignment="0" applyProtection="0"/>
    <xf numFmtId="40" fontId="211" fillId="0" borderId="0" applyFont="0" applyFill="0" applyBorder="0" applyAlignment="0" applyProtection="0"/>
    <xf numFmtId="38" fontId="211" fillId="0" borderId="0" applyFont="0" applyFill="0" applyBorder="0" applyAlignment="0" applyProtection="0"/>
    <xf numFmtId="0" fontId="211" fillId="0" borderId="0" applyFont="0" applyFill="0" applyBorder="0" applyAlignment="0" applyProtection="0"/>
    <xf numFmtId="0" fontId="211" fillId="0" borderId="0" applyFont="0" applyFill="0" applyBorder="0" applyAlignment="0" applyProtection="0"/>
    <xf numFmtId="0" fontId="212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286" fontId="213" fillId="0" borderId="0" applyFont="0" applyFill="0" applyBorder="0" applyAlignment="0" applyProtection="0"/>
    <xf numFmtId="287" fontId="213" fillId="0" borderId="0" applyFont="0" applyFill="0" applyBorder="0" applyAlignment="0" applyProtection="0"/>
    <xf numFmtId="0" fontId="214" fillId="0" borderId="0"/>
    <xf numFmtId="0" fontId="215" fillId="0" borderId="0">
      <alignment vertical="center"/>
    </xf>
    <xf numFmtId="0" fontId="5" fillId="0" borderId="0"/>
    <xf numFmtId="165" fontId="1" fillId="0" borderId="0" applyFont="0" applyFill="0" applyBorder="0" applyAlignment="0" applyProtection="0"/>
    <xf numFmtId="0" fontId="1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165" fontId="1" fillId="0" borderId="0" applyFont="0" applyFill="0" applyBorder="0" applyAlignment="0" applyProtection="0"/>
    <xf numFmtId="0" fontId="152" fillId="0" borderId="0" applyNumberFormat="0" applyFill="0" applyBorder="0" applyAlignment="0" applyProtection="0"/>
    <xf numFmtId="0" fontId="41" fillId="62" borderId="21" applyNumberFormat="0" applyAlignment="0" applyProtection="0"/>
    <xf numFmtId="0" fontId="41" fillId="62" borderId="21" applyNumberFormat="0" applyAlignment="0" applyProtection="0"/>
    <xf numFmtId="0" fontId="41" fillId="117" borderId="21" applyNumberFormat="0" applyAlignment="0" applyProtection="0"/>
    <xf numFmtId="0" fontId="41" fillId="62" borderId="21" applyNumberFormat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41" fillId="62" borderId="21" applyNumberFormat="0" applyAlignment="0" applyProtection="0"/>
    <xf numFmtId="0" fontId="202" fillId="62" borderId="21" applyNumberFormat="0" applyAlignment="0" applyProtection="0"/>
    <xf numFmtId="165" fontId="1" fillId="0" borderId="0" applyFont="0" applyFill="0" applyBorder="0" applyAlignment="0" applyProtection="0"/>
    <xf numFmtId="256" fontId="216" fillId="0" borderId="0" applyFill="0" applyBorder="0" applyAlignment="0" applyProtection="0"/>
    <xf numFmtId="183" fontId="5" fillId="0" borderId="0" applyFont="0" applyFill="0" applyBorder="0" applyAlignment="0" applyProtection="0"/>
    <xf numFmtId="251" fontId="63" fillId="0" borderId="0" applyFill="0" applyBorder="0" applyAlignment="0" applyProtection="0"/>
    <xf numFmtId="165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" fillId="0" borderId="0" applyFont="0" applyFill="0" applyBorder="0" applyAlignment="0" applyProtection="0"/>
    <xf numFmtId="288" fontId="5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0" fontId="5" fillId="0" borderId="0"/>
    <xf numFmtId="251" fontId="68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251" fontId="217" fillId="0" borderId="0" applyFill="0" applyBorder="0" applyAlignment="0" applyProtection="0"/>
    <xf numFmtId="9" fontId="1" fillId="0" borderId="0" applyFont="0" applyFill="0" applyBorder="0" applyAlignment="0" applyProtection="0"/>
    <xf numFmtId="0" fontId="251" fillId="0" borderId="0"/>
    <xf numFmtId="43" fontId="251" fillId="0" borderId="0" applyFont="0" applyFill="0" applyBorder="0" applyAlignment="0" applyProtection="0"/>
  </cellStyleXfs>
  <cellXfs count="778">
    <xf numFmtId="0" fontId="0" fillId="0" borderId="0" xfId="0"/>
    <xf numFmtId="0" fontId="3" fillId="0" borderId="0" xfId="0" applyFon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0" fillId="0" borderId="0" xfId="0" applyFont="1" applyFill="1" applyAlignment="1">
      <alignment vertical="center"/>
    </xf>
    <xf numFmtId="0" fontId="0" fillId="5" borderId="0" xfId="0" applyFont="1" applyFill="1" applyAlignment="1">
      <alignment vertical="center"/>
    </xf>
    <xf numFmtId="0" fontId="0" fillId="6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8" fillId="7" borderId="2" xfId="0" applyFont="1" applyFill="1" applyBorder="1" applyAlignment="1">
      <alignment vertical="center" wrapText="1"/>
    </xf>
    <xf numFmtId="0" fontId="9" fillId="7" borderId="3" xfId="0" applyFont="1" applyFill="1" applyBorder="1"/>
    <xf numFmtId="0" fontId="10" fillId="8" borderId="0" xfId="0" applyFont="1" applyFill="1"/>
    <xf numFmtId="0" fontId="11" fillId="7" borderId="4" xfId="0" applyFont="1" applyFill="1" applyBorder="1" applyAlignment="1">
      <alignment horizontal="center" vertical="center" wrapText="1"/>
    </xf>
    <xf numFmtId="0" fontId="11" fillId="7" borderId="5" xfId="0" applyFont="1" applyFill="1" applyBorder="1" applyAlignment="1">
      <alignment horizontal="center" vertical="center" wrapText="1"/>
    </xf>
    <xf numFmtId="0" fontId="11" fillId="7" borderId="6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8" fontId="0" fillId="0" borderId="0" xfId="1" applyNumberFormat="1" applyFont="1"/>
    <xf numFmtId="0" fontId="6" fillId="0" borderId="0" xfId="0" applyFont="1"/>
    <xf numFmtId="168" fontId="0" fillId="9" borderId="0" xfId="1" applyNumberFormat="1" applyFont="1" applyFill="1"/>
    <xf numFmtId="14" fontId="0" fillId="0" borderId="7" xfId="0" applyNumberFormat="1" applyBorder="1"/>
    <xf numFmtId="0" fontId="9" fillId="2" borderId="8" xfId="0" applyFont="1" applyFill="1" applyBorder="1"/>
    <xf numFmtId="0" fontId="9" fillId="0" borderId="8" xfId="0" applyFont="1" applyFill="1" applyBorder="1"/>
    <xf numFmtId="0" fontId="0" fillId="5" borderId="0" xfId="0" applyFill="1"/>
    <xf numFmtId="0" fontId="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8" fontId="0" fillId="143" borderId="0" xfId="1" applyNumberFormat="1" applyFont="1" applyFill="1"/>
    <xf numFmtId="0" fontId="0" fillId="4" borderId="0" xfId="0" applyFont="1" applyFill="1" applyAlignment="1">
      <alignment vertical="center"/>
    </xf>
    <xf numFmtId="168" fontId="0" fillId="5" borderId="0" xfId="1" applyNumberFormat="1" applyFont="1" applyFill="1"/>
    <xf numFmtId="168" fontId="218" fillId="143" borderId="0" xfId="1" applyNumberFormat="1" applyFont="1" applyFill="1"/>
    <xf numFmtId="168" fontId="218" fillId="0" borderId="0" xfId="1" applyNumberFormat="1" applyFont="1"/>
    <xf numFmtId="168" fontId="0" fillId="144" borderId="0" xfId="1" applyNumberFormat="1" applyFont="1" applyFill="1"/>
    <xf numFmtId="168" fontId="218" fillId="127" borderId="0" xfId="1" applyNumberFormat="1" applyFont="1" applyFill="1"/>
    <xf numFmtId="168" fontId="6" fillId="127" borderId="0" xfId="1" applyNumberFormat="1" applyFont="1" applyFill="1"/>
    <xf numFmtId="168" fontId="0" fillId="127" borderId="0" xfId="1" applyNumberFormat="1" applyFont="1" applyFill="1"/>
    <xf numFmtId="168" fontId="218" fillId="2" borderId="0" xfId="1" applyNumberFormat="1" applyFont="1" applyFill="1"/>
    <xf numFmtId="0" fontId="219" fillId="0" borderId="0" xfId="0" applyFont="1"/>
    <xf numFmtId="0" fontId="220" fillId="7" borderId="3" xfId="0" applyFont="1" applyFill="1" applyBorder="1"/>
    <xf numFmtId="168" fontId="219" fillId="0" borderId="0" xfId="1" applyNumberFormat="1" applyFont="1"/>
    <xf numFmtId="168" fontId="219" fillId="9" borderId="0" xfId="1" applyNumberFormat="1" applyFont="1" applyFill="1"/>
    <xf numFmtId="168" fontId="219" fillId="143" borderId="0" xfId="1" applyNumberFormat="1" applyFont="1" applyFill="1"/>
    <xf numFmtId="168" fontId="7" fillId="143" borderId="0" xfId="1" applyNumberFormat="1" applyFont="1" applyFill="1"/>
    <xf numFmtId="0" fontId="221" fillId="7" borderId="3" xfId="0" applyFont="1" applyFill="1" applyBorder="1"/>
    <xf numFmtId="0" fontId="222" fillId="7" borderId="3" xfId="0" applyFont="1" applyFill="1" applyBorder="1"/>
    <xf numFmtId="0" fontId="223" fillId="7" borderId="3" xfId="0" applyFont="1" applyFill="1" applyBorder="1"/>
    <xf numFmtId="0" fontId="224" fillId="7" borderId="3" xfId="0" applyFont="1" applyFill="1" applyBorder="1"/>
    <xf numFmtId="0" fontId="225" fillId="7" borderId="3" xfId="0" applyFont="1" applyFill="1" applyBorder="1"/>
    <xf numFmtId="0" fontId="226" fillId="0" borderId="0" xfId="0" applyNumberFormat="1" applyFont="1" applyFill="1" applyBorder="1" applyAlignment="1" applyProtection="1"/>
    <xf numFmtId="168" fontId="0" fillId="145" borderId="0" xfId="1" applyNumberFormat="1" applyFont="1" applyFill="1"/>
    <xf numFmtId="0" fontId="0" fillId="0" borderId="0" xfId="0" applyFont="1" applyAlignment="1">
      <alignment horizontal="center"/>
    </xf>
    <xf numFmtId="0" fontId="227" fillId="2" borderId="0" xfId="0" applyFont="1" applyFill="1"/>
    <xf numFmtId="0" fontId="0" fillId="0" borderId="0" xfId="0" applyAlignment="1">
      <alignment horizontal="left"/>
    </xf>
    <xf numFmtId="0" fontId="2" fillId="0" borderId="0" xfId="0" applyFont="1" applyFill="1"/>
    <xf numFmtId="0" fontId="2" fillId="0" borderId="0" xfId="0" applyFont="1"/>
    <xf numFmtId="0" fontId="110" fillId="146" borderId="63" xfId="0" applyFont="1" applyFill="1" applyBorder="1" applyAlignment="1">
      <alignment horizontal="left" vertical="top"/>
    </xf>
    <xf numFmtId="0" fontId="10" fillId="61" borderId="63" xfId="3" applyFont="1" applyFill="1" applyBorder="1" applyAlignment="1">
      <alignment horizontal="left" vertical="top"/>
    </xf>
    <xf numFmtId="0" fontId="4" fillId="61" borderId="64" xfId="0" applyFont="1" applyFill="1" applyBorder="1" applyAlignment="1">
      <alignment vertical="top"/>
    </xf>
    <xf numFmtId="0" fontId="4" fillId="61" borderId="63" xfId="0" applyFont="1" applyFill="1" applyBorder="1" applyAlignment="1">
      <alignment horizontal="left" vertical="top"/>
    </xf>
    <xf numFmtId="2" fontId="228" fillId="90" borderId="63" xfId="1" applyNumberFormat="1" applyFont="1" applyFill="1" applyBorder="1" applyAlignment="1">
      <alignment horizontal="right" vertical="top"/>
    </xf>
    <xf numFmtId="2" fontId="228" fillId="90" borderId="65" xfId="1" applyNumberFormat="1" applyFont="1" applyFill="1" applyBorder="1" applyAlignment="1">
      <alignment horizontal="right" vertical="top"/>
    </xf>
    <xf numFmtId="0" fontId="12" fillId="147" borderId="0" xfId="0" applyFont="1" applyFill="1"/>
    <xf numFmtId="0" fontId="0" fillId="148" borderId="0" xfId="0" applyFill="1"/>
    <xf numFmtId="168" fontId="0" fillId="0" borderId="0" xfId="0" applyNumberFormat="1"/>
    <xf numFmtId="0" fontId="0" fillId="0" borderId="0" xfId="0" quotePrefix="1"/>
    <xf numFmtId="0" fontId="12" fillId="0" borderId="0" xfId="0" applyFont="1" applyFill="1"/>
    <xf numFmtId="0" fontId="12" fillId="0" borderId="0" xfId="0" applyFont="1"/>
    <xf numFmtId="0" fontId="12" fillId="0" borderId="0" xfId="0" applyFont="1" applyAlignment="1">
      <alignment horizontal="center" vertical="center" wrapText="1"/>
    </xf>
    <xf numFmtId="0" fontId="46" fillId="150" borderId="70" xfId="0" applyFont="1" applyFill="1" applyBorder="1"/>
    <xf numFmtId="168" fontId="5" fillId="0" borderId="71" xfId="1" applyNumberFormat="1" applyFont="1" applyBorder="1" applyAlignment="1">
      <alignment horizontal="right"/>
    </xf>
    <xf numFmtId="0" fontId="46" fillId="0" borderId="70" xfId="0" applyFont="1" applyFill="1" applyBorder="1"/>
    <xf numFmtId="0" fontId="46" fillId="151" borderId="70" xfId="0" applyFont="1" applyFill="1" applyBorder="1"/>
    <xf numFmtId="0" fontId="46" fillId="152" borderId="70" xfId="0" applyFont="1" applyFill="1" applyBorder="1"/>
    <xf numFmtId="0" fontId="46" fillId="143" borderId="70" xfId="0" applyFont="1" applyFill="1" applyBorder="1"/>
    <xf numFmtId="0" fontId="46" fillId="153" borderId="70" xfId="0" applyFont="1" applyFill="1" applyBorder="1"/>
    <xf numFmtId="0" fontId="46" fillId="2" borderId="70" xfId="0" applyFont="1" applyFill="1" applyBorder="1"/>
    <xf numFmtId="0" fontId="46" fillId="148" borderId="70" xfId="0" applyFont="1" applyFill="1" applyBorder="1"/>
    <xf numFmtId="0" fontId="229" fillId="147" borderId="2" xfId="0" applyFont="1" applyFill="1" applyBorder="1" applyAlignment="1">
      <alignment horizontal="center" vertical="center" wrapText="1"/>
    </xf>
    <xf numFmtId="0" fontId="10" fillId="147" borderId="67" xfId="0" applyFont="1" applyFill="1" applyBorder="1" applyAlignment="1">
      <alignment horizontal="center" vertical="center" wrapText="1"/>
    </xf>
    <xf numFmtId="0" fontId="10" fillId="147" borderId="68" xfId="0" applyFont="1" applyFill="1" applyBorder="1" applyAlignment="1">
      <alignment horizontal="center" vertical="center" wrapText="1"/>
    </xf>
    <xf numFmtId="0" fontId="10" fillId="147" borderId="69" xfId="0" applyFont="1" applyFill="1" applyBorder="1" applyAlignment="1">
      <alignment horizontal="center" vertical="center" wrapText="1"/>
    </xf>
    <xf numFmtId="0" fontId="46" fillId="147" borderId="2" xfId="0" applyFont="1" applyFill="1" applyBorder="1" applyAlignment="1">
      <alignment vertical="center" wrapText="1"/>
    </xf>
    <xf numFmtId="168" fontId="12" fillId="0" borderId="0" xfId="1" applyNumberFormat="1" applyFont="1"/>
    <xf numFmtId="168" fontId="12" fillId="0" borderId="0" xfId="0" applyNumberFormat="1" applyFont="1"/>
    <xf numFmtId="165" fontId="12" fillId="0" borderId="0" xfId="0" applyNumberFormat="1" applyFont="1"/>
    <xf numFmtId="0" fontId="229" fillId="152" borderId="2" xfId="0" applyFont="1" applyFill="1" applyBorder="1" applyAlignment="1">
      <alignment horizontal="center" vertical="center" wrapText="1"/>
    </xf>
    <xf numFmtId="0" fontId="10" fillId="152" borderId="2" xfId="0" applyFont="1" applyFill="1" applyBorder="1" applyAlignment="1">
      <alignment horizontal="center" vertical="center" wrapText="1"/>
    </xf>
    <xf numFmtId="0" fontId="10" fillId="152" borderId="67" xfId="0" applyFont="1" applyFill="1" applyBorder="1" applyAlignment="1">
      <alignment horizontal="center" vertical="center" wrapText="1"/>
    </xf>
    <xf numFmtId="0" fontId="10" fillId="152" borderId="68" xfId="0" applyFont="1" applyFill="1" applyBorder="1" applyAlignment="1">
      <alignment horizontal="center" vertical="center" wrapText="1"/>
    </xf>
    <xf numFmtId="0" fontId="10" fillId="152" borderId="69" xfId="0" applyFont="1" applyFill="1" applyBorder="1" applyAlignment="1">
      <alignment horizontal="center" vertical="center" wrapText="1"/>
    </xf>
    <xf numFmtId="0" fontId="46" fillId="152" borderId="66" xfId="0" applyFont="1" applyFill="1" applyBorder="1" applyAlignment="1">
      <alignment vertical="center" wrapText="1"/>
    </xf>
    <xf numFmtId="0" fontId="46" fillId="152" borderId="2" xfId="0" applyFont="1" applyFill="1" applyBorder="1" applyAlignment="1">
      <alignment vertical="center" wrapText="1"/>
    </xf>
    <xf numFmtId="0" fontId="46" fillId="152" borderId="2" xfId="0" applyFont="1" applyFill="1" applyBorder="1"/>
    <xf numFmtId="168" fontId="5" fillId="152" borderId="77" xfId="1" applyNumberFormat="1" applyFont="1" applyFill="1" applyBorder="1" applyAlignment="1">
      <alignment horizontal="center"/>
    </xf>
    <xf numFmtId="168" fontId="46" fillId="152" borderId="2" xfId="1" applyNumberFormat="1" applyFont="1" applyFill="1" applyBorder="1" applyAlignment="1">
      <alignment horizontal="right"/>
    </xf>
    <xf numFmtId="289" fontId="5" fillId="152" borderId="2" xfId="1" applyNumberFormat="1" applyFont="1" applyFill="1" applyBorder="1" applyAlignment="1">
      <alignment horizontal="center"/>
    </xf>
    <xf numFmtId="0" fontId="46" fillId="152" borderId="77" xfId="0" applyFont="1" applyFill="1" applyBorder="1" applyAlignment="1">
      <alignment horizontal="center"/>
    </xf>
    <xf numFmtId="0" fontId="12" fillId="145" borderId="0" xfId="0" applyFont="1" applyFill="1"/>
    <xf numFmtId="168" fontId="12" fillId="145" borderId="0" xfId="1" applyNumberFormat="1" applyFont="1" applyFill="1"/>
    <xf numFmtId="0" fontId="12" fillId="154" borderId="0" xfId="0" applyFont="1" applyFill="1"/>
    <xf numFmtId="168" fontId="12" fillId="154" borderId="0" xfId="0" applyNumberFormat="1" applyFont="1" applyFill="1"/>
    <xf numFmtId="0" fontId="231" fillId="7" borderId="3" xfId="0" applyFont="1" applyFill="1" applyBorder="1"/>
    <xf numFmtId="168" fontId="6" fillId="0" borderId="0" xfId="1" applyNumberFormat="1" applyFont="1"/>
    <xf numFmtId="168" fontId="6" fillId="143" borderId="0" xfId="1" applyNumberFormat="1" applyFont="1" applyFill="1"/>
    <xf numFmtId="0" fontId="7" fillId="0" borderId="0" xfId="0" applyFont="1"/>
    <xf numFmtId="168" fontId="7" fillId="0" borderId="0" xfId="1" applyNumberFormat="1" applyFont="1"/>
    <xf numFmtId="0" fontId="6" fillId="155" borderId="0" xfId="0" applyFont="1" applyFill="1"/>
    <xf numFmtId="0" fontId="7" fillId="155" borderId="0" xfId="0" applyFont="1" applyFill="1"/>
    <xf numFmtId="0" fontId="0" fillId="0" borderId="0" xfId="0" pivotButton="1"/>
    <xf numFmtId="0" fontId="12" fillId="148" borderId="0" xfId="0" applyFont="1" applyFill="1"/>
    <xf numFmtId="0" fontId="12" fillId="149" borderId="0" xfId="0" applyFont="1" applyFill="1"/>
    <xf numFmtId="0" fontId="46" fillId="154" borderId="70" xfId="0" applyFont="1" applyFill="1" applyBorder="1"/>
    <xf numFmtId="0" fontId="6" fillId="0" borderId="0" xfId="0" applyFont="1" applyFill="1"/>
    <xf numFmtId="2" fontId="0" fillId="0" borderId="0" xfId="0" applyNumberFormat="1"/>
    <xf numFmtId="168" fontId="0" fillId="0" borderId="0" xfId="1" applyNumberFormat="1" applyFont="1" applyFill="1"/>
    <xf numFmtId="0" fontId="229" fillId="0" borderId="0" xfId="0" applyFont="1"/>
    <xf numFmtId="0" fontId="0" fillId="0" borderId="0" xfId="0" quotePrefix="1" applyFill="1"/>
    <xf numFmtId="290" fontId="0" fillId="2" borderId="0" xfId="0" applyNumberFormat="1" applyFill="1"/>
    <xf numFmtId="1" fontId="5" fillId="0" borderId="75" xfId="1" applyNumberFormat="1" applyFont="1" applyFill="1" applyBorder="1" applyAlignment="1">
      <alignment horizontal="center"/>
    </xf>
    <xf numFmtId="1" fontId="5" fillId="0" borderId="25" xfId="1" applyNumberFormat="1" applyFont="1" applyFill="1" applyBorder="1" applyAlignment="1">
      <alignment horizontal="center"/>
    </xf>
    <xf numFmtId="1" fontId="5" fillId="0" borderId="76" xfId="1" applyNumberFormat="1" applyFont="1" applyFill="1" applyBorder="1" applyAlignment="1">
      <alignment horizontal="center"/>
    </xf>
    <xf numFmtId="1" fontId="5" fillId="152" borderId="77" xfId="1" applyNumberFormat="1" applyFont="1" applyFill="1" applyBorder="1" applyAlignment="1">
      <alignment horizontal="center"/>
    </xf>
    <xf numFmtId="1" fontId="5" fillId="152" borderId="2" xfId="1" applyNumberFormat="1" applyFont="1" applyFill="1" applyBorder="1" applyAlignment="1">
      <alignment horizontal="center"/>
    </xf>
    <xf numFmtId="168" fontId="46" fillId="152" borderId="78" xfId="1" applyNumberFormat="1" applyFont="1" applyFill="1" applyBorder="1" applyAlignment="1">
      <alignment horizontal="right"/>
    </xf>
    <xf numFmtId="0" fontId="12" fillId="2" borderId="79" xfId="0" applyFont="1" applyFill="1" applyBorder="1"/>
    <xf numFmtId="0" fontId="12" fillId="0" borderId="80" xfId="0" applyFont="1" applyBorder="1"/>
    <xf numFmtId="168" fontId="12" fillId="0" borderId="81" xfId="1" applyNumberFormat="1" applyFont="1" applyBorder="1"/>
    <xf numFmtId="0" fontId="12" fillId="0" borderId="82" xfId="0" applyFont="1" applyBorder="1"/>
    <xf numFmtId="168" fontId="12" fillId="0" borderId="83" xfId="1" applyNumberFormat="1" applyFont="1" applyBorder="1"/>
    <xf numFmtId="0" fontId="12" fillId="0" borderId="84" xfId="0" applyFont="1" applyBorder="1"/>
    <xf numFmtId="0" fontId="46" fillId="159" borderId="70" xfId="0" applyFont="1" applyFill="1" applyBorder="1"/>
    <xf numFmtId="0" fontId="46" fillId="160" borderId="70" xfId="0" applyFont="1" applyFill="1" applyBorder="1"/>
    <xf numFmtId="168" fontId="5" fillId="0" borderId="71" xfId="1" applyNumberFormat="1" applyFont="1" applyBorder="1" applyAlignment="1">
      <alignment horizontal="left"/>
    </xf>
    <xf numFmtId="0" fontId="10" fillId="148" borderId="68" xfId="0" applyFont="1" applyFill="1" applyBorder="1" applyAlignment="1">
      <alignment horizontal="center" vertical="center" wrapText="1"/>
    </xf>
    <xf numFmtId="168" fontId="5" fillId="157" borderId="71" xfId="1" applyNumberFormat="1" applyFont="1" applyFill="1" applyBorder="1" applyAlignment="1">
      <alignment horizontal="left"/>
    </xf>
    <xf numFmtId="168" fontId="230" fillId="0" borderId="71" xfId="1" applyNumberFormat="1" applyFont="1" applyBorder="1" applyAlignment="1">
      <alignment horizontal="left"/>
    </xf>
    <xf numFmtId="10" fontId="12" fillId="0" borderId="0" xfId="2911" applyNumberFormat="1" applyFont="1"/>
    <xf numFmtId="168" fontId="7" fillId="144" borderId="0" xfId="1" applyNumberFormat="1" applyFont="1" applyFill="1"/>
    <xf numFmtId="49" fontId="0" fillId="0" borderId="0" xfId="0" applyNumberFormat="1" applyAlignment="1">
      <alignment horizontal="left"/>
    </xf>
    <xf numFmtId="49" fontId="0" fillId="2" borderId="0" xfId="0" applyNumberFormat="1" applyFill="1" applyAlignment="1">
      <alignment horizontal="left"/>
    </xf>
    <xf numFmtId="49" fontId="0" fillId="161" borderId="0" xfId="0" applyNumberFormat="1" applyFill="1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9" fontId="233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2" fillId="2" borderId="0" xfId="0" applyNumberFormat="1" applyFont="1" applyFill="1" applyAlignment="1">
      <alignment horizontal="left"/>
    </xf>
    <xf numFmtId="0" fontId="0" fillId="161" borderId="0" xfId="0" applyNumberFormat="1" applyFont="1" applyFill="1" applyAlignment="1">
      <alignment horizontal="left"/>
    </xf>
    <xf numFmtId="49" fontId="2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0" fillId="161" borderId="0" xfId="0" applyFill="1"/>
    <xf numFmtId="0" fontId="0" fillId="2" borderId="0" xfId="0" applyNumberFormat="1" applyFill="1"/>
    <xf numFmtId="0" fontId="0" fillId="0" borderId="0" xfId="0" applyNumberFormat="1" applyFill="1"/>
    <xf numFmtId="290" fontId="0" fillId="0" borderId="0" xfId="0" applyNumberFormat="1" applyFill="1"/>
    <xf numFmtId="168" fontId="230" fillId="0" borderId="71" xfId="1" applyNumberFormat="1" applyFont="1" applyBorder="1" applyAlignment="1">
      <alignment horizontal="right"/>
    </xf>
    <xf numFmtId="0" fontId="5" fillId="0" borderId="0" xfId="0" applyFont="1"/>
    <xf numFmtId="0" fontId="46" fillId="152" borderId="2" xfId="0" applyFont="1" applyFill="1" applyBorder="1" applyAlignment="1">
      <alignment horizontal="center" vertical="center" wrapText="1"/>
    </xf>
    <xf numFmtId="0" fontId="5" fillId="145" borderId="0" xfId="0" applyFont="1" applyFill="1"/>
    <xf numFmtId="0" fontId="5" fillId="154" borderId="0" xfId="0" applyFont="1" applyFill="1"/>
    <xf numFmtId="290" fontId="0" fillId="0" borderId="0" xfId="0" applyNumberFormat="1"/>
    <xf numFmtId="165" fontId="12" fillId="0" borderId="0" xfId="1" applyFont="1"/>
    <xf numFmtId="167" fontId="12" fillId="0" borderId="0" xfId="2911" applyNumberFormat="1" applyFont="1"/>
    <xf numFmtId="0" fontId="12" fillId="162" borderId="0" xfId="0" applyFont="1" applyFill="1"/>
    <xf numFmtId="0" fontId="12" fillId="149" borderId="0" xfId="0" applyFont="1" applyFill="1" applyAlignment="1">
      <alignment horizontal="centerContinuous" vertical="center"/>
    </xf>
    <xf numFmtId="0" fontId="234" fillId="149" borderId="0" xfId="0" applyFont="1" applyFill="1" applyAlignment="1">
      <alignment horizontal="centerContinuous" vertical="center"/>
    </xf>
    <xf numFmtId="0" fontId="2" fillId="144" borderId="0" xfId="0" applyFont="1" applyFill="1"/>
    <xf numFmtId="0" fontId="235" fillId="144" borderId="0" xfId="0" applyFont="1" applyFill="1"/>
    <xf numFmtId="0" fontId="8" fillId="7" borderId="3" xfId="0" applyFont="1" applyFill="1" applyBorder="1"/>
    <xf numFmtId="168" fontId="0" fillId="2" borderId="0" xfId="1" applyNumberFormat="1" applyFont="1" applyFill="1" applyBorder="1"/>
    <xf numFmtId="3" fontId="0" fillId="0" borderId="0" xfId="0" applyNumberFormat="1"/>
    <xf numFmtId="10" fontId="12" fillId="0" borderId="0" xfId="0" applyNumberFormat="1" applyFont="1" applyAlignment="1">
      <alignment horizontal="left"/>
    </xf>
    <xf numFmtId="0" fontId="12" fillId="0" borderId="0" xfId="0" applyFont="1" applyAlignment="1">
      <alignment wrapText="1"/>
    </xf>
    <xf numFmtId="165" fontId="0" fillId="0" borderId="0" xfId="1" applyFont="1"/>
    <xf numFmtId="168" fontId="5" fillId="0" borderId="71" xfId="1" applyNumberFormat="1" applyFont="1" applyFill="1" applyBorder="1" applyAlignment="1">
      <alignment horizontal="center"/>
    </xf>
    <xf numFmtId="0" fontId="5" fillId="0" borderId="71" xfId="2911" applyNumberFormat="1" applyFont="1" applyFill="1" applyBorder="1" applyAlignment="1">
      <alignment horizontal="center"/>
    </xf>
    <xf numFmtId="0" fontId="5" fillId="163" borderId="71" xfId="2911" applyNumberFormat="1" applyFont="1" applyFill="1" applyBorder="1" applyAlignment="1">
      <alignment horizontal="center"/>
    </xf>
    <xf numFmtId="0" fontId="5" fillId="144" borderId="71" xfId="2911" applyNumberFormat="1" applyFont="1" applyFill="1" applyBorder="1" applyAlignment="1">
      <alignment horizontal="center"/>
    </xf>
    <xf numFmtId="168" fontId="5" fillId="0" borderId="75" xfId="1" applyNumberFormat="1" applyFont="1" applyFill="1" applyBorder="1" applyAlignment="1">
      <alignment horizontal="left"/>
    </xf>
    <xf numFmtId="168" fontId="5" fillId="0" borderId="25" xfId="1" applyNumberFormat="1" applyFont="1" applyFill="1" applyBorder="1" applyAlignment="1">
      <alignment horizontal="left"/>
    </xf>
    <xf numFmtId="168" fontId="5" fillId="0" borderId="76" xfId="1" applyNumberFormat="1" applyFont="1" applyFill="1" applyBorder="1" applyAlignment="1">
      <alignment horizontal="left"/>
    </xf>
    <xf numFmtId="168" fontId="5" fillId="152" borderId="77" xfId="1" applyNumberFormat="1" applyFont="1" applyFill="1" applyBorder="1" applyAlignment="1">
      <alignment horizontal="left"/>
    </xf>
    <xf numFmtId="168" fontId="5" fillId="152" borderId="2" xfId="1" applyNumberFormat="1" applyFont="1" applyFill="1" applyBorder="1" applyAlignment="1">
      <alignment horizontal="left"/>
    </xf>
    <xf numFmtId="165" fontId="5" fillId="0" borderId="71" xfId="1" applyFont="1" applyFill="1" applyBorder="1" applyAlignment="1">
      <alignment horizontal="center"/>
    </xf>
    <xf numFmtId="165" fontId="5" fillId="163" borderId="71" xfId="1" applyFont="1" applyFill="1" applyBorder="1" applyAlignment="1">
      <alignment horizontal="center"/>
    </xf>
    <xf numFmtId="168" fontId="5" fillId="163" borderId="71" xfId="1" applyNumberFormat="1" applyFont="1" applyFill="1" applyBorder="1" applyAlignment="1">
      <alignment horizontal="center"/>
    </xf>
    <xf numFmtId="165" fontId="5" fillId="144" borderId="71" xfId="1" applyFont="1" applyFill="1" applyBorder="1" applyAlignment="1">
      <alignment horizontal="center"/>
    </xf>
    <xf numFmtId="168" fontId="5" fillId="144" borderId="71" xfId="1" applyNumberFormat="1" applyFont="1" applyFill="1" applyBorder="1" applyAlignment="1">
      <alignment horizontal="center"/>
    </xf>
    <xf numFmtId="168" fontId="5" fillId="152" borderId="2" xfId="1" applyNumberFormat="1" applyFont="1" applyFill="1" applyBorder="1" applyAlignment="1">
      <alignment horizontal="center"/>
    </xf>
    <xf numFmtId="0" fontId="12" fillId="0" borderId="0" xfId="0" quotePrefix="1" applyFont="1"/>
    <xf numFmtId="168" fontId="12" fillId="154" borderId="0" xfId="1" applyNumberFormat="1" applyFont="1" applyFill="1"/>
    <xf numFmtId="1" fontId="12" fillId="0" borderId="0" xfId="0" applyNumberFormat="1" applyFont="1"/>
    <xf numFmtId="10" fontId="5" fillId="0" borderId="71" xfId="2911" applyNumberFormat="1" applyFont="1" applyFill="1" applyBorder="1" applyAlignment="1">
      <alignment horizontal="center"/>
    </xf>
    <xf numFmtId="168" fontId="229" fillId="0" borderId="0" xfId="0" applyNumberFormat="1" applyFont="1"/>
    <xf numFmtId="0" fontId="5" fillId="0" borderId="70" xfId="0" applyFont="1" applyFill="1" applyBorder="1"/>
    <xf numFmtId="167" fontId="5" fillId="0" borderId="71" xfId="2911" applyNumberFormat="1" applyFont="1" applyFill="1" applyBorder="1" applyAlignment="1">
      <alignment horizontal="center"/>
    </xf>
    <xf numFmtId="168" fontId="46" fillId="0" borderId="71" xfId="1" applyNumberFormat="1" applyFont="1" applyFill="1" applyBorder="1" applyAlignment="1">
      <alignment horizontal="center"/>
    </xf>
    <xf numFmtId="167" fontId="46" fillId="0" borderId="71" xfId="2911" applyNumberFormat="1" applyFont="1" applyFill="1" applyBorder="1" applyAlignment="1">
      <alignment horizontal="center"/>
    </xf>
    <xf numFmtId="0" fontId="229" fillId="0" borderId="0" xfId="0" applyFont="1" applyFill="1"/>
    <xf numFmtId="168" fontId="229" fillId="0" borderId="0" xfId="0" applyNumberFormat="1" applyFont="1" applyFill="1"/>
    <xf numFmtId="43" fontId="0" fillId="0" borderId="0" xfId="0" applyNumberFormat="1"/>
    <xf numFmtId="10" fontId="0" fillId="0" borderId="0" xfId="2911" applyNumberFormat="1" applyFont="1"/>
    <xf numFmtId="291" fontId="0" fillId="0" borderId="0" xfId="1" applyNumberFormat="1" applyFont="1"/>
    <xf numFmtId="291" fontId="0" fillId="2" borderId="0" xfId="1" applyNumberFormat="1" applyFont="1" applyFill="1"/>
    <xf numFmtId="168" fontId="229" fillId="2" borderId="0" xfId="0" applyNumberFormat="1" applyFont="1" applyFill="1"/>
    <xf numFmtId="0" fontId="0" fillId="0" borderId="0" xfId="0" applyAlignment="1">
      <alignment vertical="center"/>
    </xf>
    <xf numFmtId="0" fontId="229" fillId="0" borderId="0" xfId="0" applyFont="1" applyFill="1" applyAlignment="1">
      <alignment horizontal="right"/>
    </xf>
    <xf numFmtId="0" fontId="229" fillId="0" borderId="0" xfId="0" applyFont="1" applyAlignment="1">
      <alignment horizontal="right"/>
    </xf>
    <xf numFmtId="0" fontId="2" fillId="0" borderId="0" xfId="0" applyFont="1" applyAlignment="1">
      <alignment wrapText="1"/>
    </xf>
    <xf numFmtId="168" fontId="5" fillId="0" borderId="71" xfId="1" applyNumberFormat="1" applyFont="1" applyFill="1" applyBorder="1" applyAlignment="1">
      <alignment horizontal="center" wrapText="1"/>
    </xf>
    <xf numFmtId="168" fontId="229" fillId="148" borderId="79" xfId="0" applyNumberFormat="1" applyFont="1" applyFill="1" applyBorder="1"/>
    <xf numFmtId="167" fontId="229" fillId="148" borderId="80" xfId="2911" applyNumberFormat="1" applyFont="1" applyFill="1" applyBorder="1"/>
    <xf numFmtId="168" fontId="229" fillId="148" borderId="81" xfId="1" applyNumberFormat="1" applyFont="1" applyFill="1" applyBorder="1"/>
    <xf numFmtId="167" fontId="229" fillId="148" borderId="82" xfId="2911" applyNumberFormat="1" applyFont="1" applyFill="1" applyBorder="1"/>
    <xf numFmtId="168" fontId="229" fillId="148" borderId="83" xfId="1" applyNumberFormat="1" applyFont="1" applyFill="1" applyBorder="1"/>
    <xf numFmtId="167" fontId="229" fillId="148" borderId="84" xfId="2911" applyNumberFormat="1" applyFont="1" applyFill="1" applyBorder="1"/>
    <xf numFmtId="168" fontId="5" fillId="0" borderId="70" xfId="1" applyNumberFormat="1" applyFont="1" applyFill="1" applyBorder="1" applyAlignment="1">
      <alignment horizontal="center"/>
    </xf>
    <xf numFmtId="0" fontId="10" fillId="148" borderId="91" xfId="0" applyFont="1" applyFill="1" applyBorder="1" applyAlignment="1">
      <alignment horizontal="center" vertical="center" wrapText="1"/>
    </xf>
    <xf numFmtId="0" fontId="10" fillId="148" borderId="92" xfId="0" applyFont="1" applyFill="1" applyBorder="1" applyAlignment="1">
      <alignment horizontal="center" vertical="center" wrapText="1"/>
    </xf>
    <xf numFmtId="168" fontId="5" fillId="0" borderId="93" xfId="1" applyNumberFormat="1" applyFont="1" applyFill="1" applyBorder="1" applyAlignment="1">
      <alignment horizontal="center"/>
    </xf>
    <xf numFmtId="168" fontId="5" fillId="0" borderId="94" xfId="1" applyNumberFormat="1" applyFont="1" applyFill="1" applyBorder="1" applyAlignment="1">
      <alignment horizontal="center"/>
    </xf>
    <xf numFmtId="0" fontId="10" fillId="161" borderId="89" xfId="0" applyFont="1" applyFill="1" applyBorder="1" applyAlignment="1">
      <alignment horizontal="center" vertical="center" wrapText="1"/>
    </xf>
    <xf numFmtId="0" fontId="10" fillId="161" borderId="90" xfId="0" applyFont="1" applyFill="1" applyBorder="1" applyAlignment="1">
      <alignment horizontal="center" vertical="center" wrapText="1"/>
    </xf>
    <xf numFmtId="168" fontId="229" fillId="161" borderId="89" xfId="0" applyNumberFormat="1" applyFont="1" applyFill="1" applyBorder="1"/>
    <xf numFmtId="168" fontId="229" fillId="161" borderId="96" xfId="0" applyNumberFormat="1" applyFont="1" applyFill="1" applyBorder="1"/>
    <xf numFmtId="168" fontId="229" fillId="161" borderId="91" xfId="0" applyNumberFormat="1" applyFont="1" applyFill="1" applyBorder="1"/>
    <xf numFmtId="168" fontId="229" fillId="161" borderId="90" xfId="0" applyNumberFormat="1" applyFont="1" applyFill="1" applyBorder="1"/>
    <xf numFmtId="168" fontId="229" fillId="161" borderId="97" xfId="0" applyNumberFormat="1" applyFont="1" applyFill="1" applyBorder="1"/>
    <xf numFmtId="168" fontId="229" fillId="161" borderId="92" xfId="0" applyNumberFormat="1" applyFont="1" applyFill="1" applyBorder="1"/>
    <xf numFmtId="168" fontId="46" fillId="152" borderId="77" xfId="1" applyNumberFormat="1" applyFont="1" applyFill="1" applyBorder="1" applyAlignment="1">
      <alignment horizontal="center"/>
    </xf>
    <xf numFmtId="168" fontId="46" fillId="152" borderId="2" xfId="1" applyNumberFormat="1" applyFont="1" applyFill="1" applyBorder="1" applyAlignment="1">
      <alignment horizontal="center"/>
    </xf>
    <xf numFmtId="9" fontId="46" fillId="152" borderId="2" xfId="2911" applyFont="1" applyFill="1" applyBorder="1" applyAlignment="1">
      <alignment horizontal="center"/>
    </xf>
    <xf numFmtId="168" fontId="46" fillId="152" borderId="66" xfId="1" applyNumberFormat="1" applyFont="1" applyFill="1" applyBorder="1" applyAlignment="1">
      <alignment horizontal="center"/>
    </xf>
    <xf numFmtId="168" fontId="46" fillId="152" borderId="95" xfId="1" applyNumberFormat="1" applyFont="1" applyFill="1" applyBorder="1" applyAlignment="1">
      <alignment horizontal="center"/>
    </xf>
    <xf numFmtId="168" fontId="46" fillId="152" borderId="88" xfId="1" applyNumberFormat="1" applyFont="1" applyFill="1" applyBorder="1" applyAlignment="1">
      <alignment horizontal="center"/>
    </xf>
    <xf numFmtId="291" fontId="2" fillId="0" borderId="0" xfId="1" applyNumberFormat="1" applyFont="1"/>
    <xf numFmtId="0" fontId="236" fillId="2" borderId="0" xfId="0" applyFont="1" applyFill="1"/>
    <xf numFmtId="168" fontId="236" fillId="2" borderId="0" xfId="0" applyNumberFormat="1" applyFont="1" applyFill="1"/>
    <xf numFmtId="168" fontId="236" fillId="0" borderId="0" xfId="0" applyNumberFormat="1" applyFont="1" applyFill="1"/>
    <xf numFmtId="0" fontId="237" fillId="0" borderId="0" xfId="0" applyFont="1"/>
    <xf numFmtId="168" fontId="229" fillId="148" borderId="78" xfId="0" applyNumberFormat="1" applyFont="1" applyFill="1" applyBorder="1"/>
    <xf numFmtId="168" fontId="229" fillId="148" borderId="98" xfId="1" applyNumberFormat="1" applyFont="1" applyFill="1" applyBorder="1"/>
    <xf numFmtId="168" fontId="229" fillId="148" borderId="87" xfId="1" applyNumberFormat="1" applyFont="1" applyFill="1" applyBorder="1"/>
    <xf numFmtId="1" fontId="12" fillId="0" borderId="0" xfId="0" applyNumberFormat="1" applyFont="1" applyAlignment="1">
      <alignment horizontal="center"/>
    </xf>
    <xf numFmtId="0" fontId="12" fillId="0" borderId="39" xfId="0" applyFont="1" applyBorder="1"/>
    <xf numFmtId="168" fontId="12" fillId="0" borderId="39" xfId="0" applyNumberFormat="1" applyFont="1" applyBorder="1"/>
    <xf numFmtId="0" fontId="12" fillId="0" borderId="100" xfId="0" applyFont="1" applyBorder="1"/>
    <xf numFmtId="0" fontId="0" fillId="0" borderId="101" xfId="0" applyBorder="1"/>
    <xf numFmtId="0" fontId="12" fillId="0" borderId="18" xfId="0" applyFont="1" applyBorder="1"/>
    <xf numFmtId="168" fontId="12" fillId="0" borderId="18" xfId="0" applyNumberFormat="1" applyFont="1" applyBorder="1"/>
    <xf numFmtId="0" fontId="12" fillId="0" borderId="102" xfId="0" applyFont="1" applyBorder="1"/>
    <xf numFmtId="0" fontId="0" fillId="0" borderId="99" xfId="0" applyBorder="1" applyAlignment="1">
      <alignment wrapText="1"/>
    </xf>
    <xf numFmtId="168" fontId="12" fillId="0" borderId="39" xfId="1" applyNumberFormat="1" applyFont="1" applyBorder="1"/>
    <xf numFmtId="168" fontId="12" fillId="0" borderId="18" xfId="1" applyNumberFormat="1" applyFont="1" applyBorder="1"/>
    <xf numFmtId="0" fontId="230" fillId="0" borderId="0" xfId="0" applyFont="1" applyFill="1"/>
    <xf numFmtId="0" fontId="5" fillId="0" borderId="81" xfId="0" applyFont="1" applyFill="1" applyBorder="1"/>
    <xf numFmtId="168" fontId="5" fillId="0" borderId="81" xfId="1" applyNumberFormat="1" applyFont="1" applyFill="1" applyBorder="1" applyAlignment="1">
      <alignment horizontal="center"/>
    </xf>
    <xf numFmtId="168" fontId="5" fillId="0" borderId="98" xfId="1" applyNumberFormat="1" applyFont="1" applyFill="1" applyBorder="1" applyAlignment="1">
      <alignment horizontal="center"/>
    </xf>
    <xf numFmtId="167" fontId="5" fillId="0" borderId="98" xfId="2911" applyNumberFormat="1" applyFont="1" applyFill="1" applyBorder="1" applyAlignment="1">
      <alignment horizontal="center"/>
    </xf>
    <xf numFmtId="168" fontId="5" fillId="0" borderId="97" xfId="1" applyNumberFormat="1" applyFont="1" applyFill="1" applyBorder="1" applyAlignment="1">
      <alignment horizontal="center"/>
    </xf>
    <xf numFmtId="0" fontId="12" fillId="151" borderId="0" xfId="0" applyFont="1" applyFill="1"/>
    <xf numFmtId="0" fontId="12" fillId="159" borderId="0" xfId="0" applyFont="1" applyFill="1"/>
    <xf numFmtId="0" fontId="12" fillId="0" borderId="0" xfId="0" applyFont="1" applyFill="1" applyAlignment="1">
      <alignment horizontal="center"/>
    </xf>
    <xf numFmtId="168" fontId="230" fillId="0" borderId="96" xfId="1" applyNumberFormat="1" applyFont="1" applyFill="1" applyBorder="1" applyAlignment="1">
      <alignment horizontal="center"/>
    </xf>
    <xf numFmtId="168" fontId="5" fillId="6" borderId="70" xfId="1" applyNumberFormat="1" applyFont="1" applyFill="1" applyBorder="1" applyAlignment="1">
      <alignment horizontal="center"/>
    </xf>
    <xf numFmtId="168" fontId="5" fillId="154" borderId="70" xfId="1" applyNumberFormat="1" applyFont="1" applyFill="1" applyBorder="1" applyAlignment="1">
      <alignment horizontal="center"/>
    </xf>
    <xf numFmtId="168" fontId="5" fillId="164" borderId="70" xfId="1" applyNumberFormat="1" applyFont="1" applyFill="1" applyBorder="1" applyAlignment="1">
      <alignment horizontal="center"/>
    </xf>
    <xf numFmtId="168" fontId="229" fillId="148" borderId="0" xfId="1" applyNumberFormat="1" applyFont="1" applyFill="1" applyBorder="1"/>
    <xf numFmtId="167" fontId="229" fillId="148" borderId="0" xfId="2911" applyNumberFormat="1" applyFont="1" applyFill="1" applyBorder="1"/>
    <xf numFmtId="168" fontId="229" fillId="164" borderId="0" xfId="1" applyNumberFormat="1" applyFont="1" applyFill="1" applyBorder="1"/>
    <xf numFmtId="168" fontId="229" fillId="161" borderId="0" xfId="0" applyNumberFormat="1" applyFont="1" applyFill="1" applyBorder="1"/>
    <xf numFmtId="168" fontId="229" fillId="0" borderId="0" xfId="1" applyNumberFormat="1" applyFont="1" applyFill="1" applyBorder="1"/>
    <xf numFmtId="168" fontId="229" fillId="0" borderId="0" xfId="0" applyNumberFormat="1" applyFont="1" applyFill="1" applyBorder="1"/>
    <xf numFmtId="167" fontId="229" fillId="0" borderId="0" xfId="2911" applyNumberFormat="1" applyFont="1" applyFill="1" applyBorder="1"/>
    <xf numFmtId="168" fontId="229" fillId="149" borderId="81" xfId="1" applyNumberFormat="1" applyFont="1" applyFill="1" applyBorder="1"/>
    <xf numFmtId="168" fontId="229" fillId="149" borderId="83" xfId="1" applyNumberFormat="1" applyFont="1" applyFill="1" applyBorder="1"/>
    <xf numFmtId="168" fontId="229" fillId="149" borderId="79" xfId="0" applyNumberFormat="1" applyFont="1" applyFill="1" applyBorder="1"/>
    <xf numFmtId="168" fontId="0" fillId="149" borderId="0" xfId="0" applyNumberFormat="1" applyFill="1"/>
    <xf numFmtId="168" fontId="5" fillId="149" borderId="71" xfId="1" applyNumberFormat="1" applyFont="1" applyFill="1" applyBorder="1" applyAlignment="1">
      <alignment horizontal="center"/>
    </xf>
    <xf numFmtId="0" fontId="0" fillId="144" borderId="0" xfId="0" applyFill="1"/>
    <xf numFmtId="168" fontId="0" fillId="144" borderId="0" xfId="0" applyNumberFormat="1" applyFill="1"/>
    <xf numFmtId="3" fontId="0" fillId="144" borderId="0" xfId="0" applyNumberFormat="1" applyFill="1"/>
    <xf numFmtId="168" fontId="7" fillId="144" borderId="0" xfId="0" applyNumberFormat="1" applyFont="1" applyFill="1"/>
    <xf numFmtId="168" fontId="7" fillId="127" borderId="0" xfId="1" applyNumberFormat="1" applyFont="1" applyFill="1"/>
    <xf numFmtId="289" fontId="5" fillId="0" borderId="71" xfId="1" applyNumberFormat="1" applyFont="1" applyFill="1" applyBorder="1" applyAlignment="1">
      <alignment horizontal="center"/>
    </xf>
    <xf numFmtId="0" fontId="10" fillId="148" borderId="67" xfId="0" applyFont="1" applyFill="1" applyBorder="1" applyAlignment="1">
      <alignment horizontal="center" vertical="center" wrapText="1"/>
    </xf>
    <xf numFmtId="0" fontId="5" fillId="2" borderId="70" xfId="0" applyFont="1" applyFill="1" applyBorder="1"/>
    <xf numFmtId="168" fontId="5" fillId="2" borderId="71" xfId="1" applyNumberFormat="1" applyFont="1" applyFill="1" applyBorder="1" applyAlignment="1">
      <alignment horizontal="center"/>
    </xf>
    <xf numFmtId="9" fontId="12" fillId="0" borderId="0" xfId="2911" applyFont="1"/>
    <xf numFmtId="0" fontId="10" fillId="152" borderId="79" xfId="0" applyFont="1" applyFill="1" applyBorder="1" applyAlignment="1">
      <alignment horizontal="center" vertical="center" wrapText="1"/>
    </xf>
    <xf numFmtId="0" fontId="10" fillId="152" borderId="83" xfId="0" applyFont="1" applyFill="1" applyBorder="1" applyAlignment="1">
      <alignment horizontal="center" vertical="center" wrapText="1"/>
    </xf>
    <xf numFmtId="0" fontId="12" fillId="2" borderId="0" xfId="0" applyFont="1" applyFill="1" applyAlignment="1">
      <alignment horizontal="center"/>
    </xf>
    <xf numFmtId="0" fontId="12" fillId="2" borderId="0" xfId="0" applyFont="1" applyFill="1"/>
    <xf numFmtId="289" fontId="5" fillId="0" borderId="70" xfId="1" applyNumberFormat="1" applyFont="1" applyFill="1" applyBorder="1" applyAlignment="1">
      <alignment horizontal="center"/>
    </xf>
    <xf numFmtId="289" fontId="5" fillId="2" borderId="70" xfId="1" applyNumberFormat="1" applyFont="1" applyFill="1" applyBorder="1" applyAlignment="1">
      <alignment horizontal="center"/>
    </xf>
    <xf numFmtId="0" fontId="46" fillId="156" borderId="70" xfId="0" applyFont="1" applyFill="1" applyBorder="1"/>
    <xf numFmtId="0" fontId="46" fillId="165" borderId="70" xfId="0" applyFont="1" applyFill="1" applyBorder="1"/>
    <xf numFmtId="168" fontId="0" fillId="149" borderId="0" xfId="2881" applyNumberFormat="1" applyFont="1" applyFill="1" applyBorder="1"/>
    <xf numFmtId="168" fontId="0" fillId="149" borderId="0" xfId="0" applyNumberFormat="1" applyFill="1" applyBorder="1"/>
    <xf numFmtId="0" fontId="0" fillId="149" borderId="0" xfId="0" applyFill="1" applyBorder="1"/>
    <xf numFmtId="165" fontId="5" fillId="0" borderId="25" xfId="1" applyFont="1" applyBorder="1" applyAlignment="1">
      <alignment horizontal="center"/>
    </xf>
    <xf numFmtId="165" fontId="5" fillId="0" borderId="106" xfId="1" applyFont="1" applyBorder="1" applyAlignment="1">
      <alignment horizontal="center"/>
    </xf>
    <xf numFmtId="165" fontId="5" fillId="0" borderId="75" xfId="1" applyFont="1" applyBorder="1" applyAlignment="1">
      <alignment horizontal="center"/>
    </xf>
    <xf numFmtId="291" fontId="12" fillId="0" borderId="0" xfId="0" applyNumberFormat="1" applyFont="1"/>
    <xf numFmtId="0" fontId="46" fillId="150" borderId="115" xfId="0" applyFont="1" applyFill="1" applyBorder="1"/>
    <xf numFmtId="0" fontId="46" fillId="150" borderId="71" xfId="0" applyFont="1" applyFill="1" applyBorder="1"/>
    <xf numFmtId="0" fontId="46" fillId="151" borderId="71" xfId="0" applyFont="1" applyFill="1" applyBorder="1"/>
    <xf numFmtId="0" fontId="46" fillId="152" borderId="71" xfId="0" applyFont="1" applyFill="1" applyBorder="1"/>
    <xf numFmtId="0" fontId="46" fillId="143" borderId="71" xfId="0" applyFont="1" applyFill="1" applyBorder="1"/>
    <xf numFmtId="0" fontId="46" fillId="153" borderId="71" xfId="0" applyFont="1" applyFill="1" applyBorder="1"/>
    <xf numFmtId="0" fontId="46" fillId="2" borderId="71" xfId="0" applyFont="1" applyFill="1" applyBorder="1"/>
    <xf numFmtId="0" fontId="46" fillId="148" borderId="71" xfId="0" applyFont="1" applyFill="1" applyBorder="1"/>
    <xf numFmtId="193" fontId="0" fillId="166" borderId="18" xfId="0" applyNumberFormat="1" applyFill="1" applyBorder="1" applyAlignment="1">
      <alignment horizontal="center" wrapText="1"/>
    </xf>
    <xf numFmtId="0" fontId="2" fillId="2" borderId="0" xfId="0" applyFont="1" applyFill="1"/>
    <xf numFmtId="168" fontId="1" fillId="143" borderId="0" xfId="1" applyNumberFormat="1" applyFont="1" applyFill="1"/>
    <xf numFmtId="0" fontId="0" fillId="6" borderId="0" xfId="0" applyFill="1"/>
    <xf numFmtId="0" fontId="6" fillId="6" borderId="0" xfId="0" applyFont="1" applyFill="1"/>
    <xf numFmtId="0" fontId="9" fillId="6" borderId="3" xfId="0" applyFont="1" applyFill="1" applyBorder="1"/>
    <xf numFmtId="14" fontId="0" fillId="6" borderId="7" xfId="0" applyNumberFormat="1" applyFill="1" applyBorder="1"/>
    <xf numFmtId="168" fontId="0" fillId="6" borderId="0" xfId="1" applyNumberFormat="1" applyFont="1" applyFill="1"/>
    <xf numFmtId="168" fontId="7" fillId="6" borderId="0" xfId="1" applyNumberFormat="1" applyFont="1" applyFill="1"/>
    <xf numFmtId="14" fontId="0" fillId="6" borderId="0" xfId="0" applyNumberFormat="1" applyFill="1" applyBorder="1"/>
    <xf numFmtId="0" fontId="226" fillId="6" borderId="0" xfId="0" applyNumberFormat="1" applyFont="1" applyFill="1" applyBorder="1" applyAlignment="1" applyProtection="1"/>
    <xf numFmtId="14" fontId="0" fillId="6" borderId="0" xfId="0" applyNumberFormat="1" applyFill="1"/>
    <xf numFmtId="0" fontId="12" fillId="6" borderId="0" xfId="0" applyFont="1" applyFill="1"/>
    <xf numFmtId="0" fontId="0" fillId="0" borderId="0" xfId="0" applyFont="1" applyFill="1"/>
    <xf numFmtId="0" fontId="10" fillId="152" borderId="66" xfId="0" applyFont="1" applyFill="1" applyBorder="1" applyAlignment="1">
      <alignment horizontal="center" vertical="center" wrapText="1"/>
    </xf>
    <xf numFmtId="165" fontId="5" fillId="163" borderId="70" xfId="1" applyFont="1" applyFill="1" applyBorder="1" applyAlignment="1">
      <alignment horizontal="center"/>
    </xf>
    <xf numFmtId="0" fontId="10" fillId="152" borderId="116" xfId="0" applyFont="1" applyFill="1" applyBorder="1" applyAlignment="1">
      <alignment horizontal="center" vertical="center" wrapText="1"/>
    </xf>
    <xf numFmtId="165" fontId="5" fillId="163" borderId="114" xfId="1" applyFont="1" applyFill="1" applyBorder="1" applyAlignment="1">
      <alignment horizontal="center"/>
    </xf>
    <xf numFmtId="1" fontId="5" fillId="152" borderId="66" xfId="1" applyNumberFormat="1" applyFont="1" applyFill="1" applyBorder="1" applyAlignment="1">
      <alignment horizontal="center"/>
    </xf>
    <xf numFmtId="168" fontId="5" fillId="152" borderId="66" xfId="1" applyNumberFormat="1" applyFont="1" applyFill="1" applyBorder="1" applyAlignment="1">
      <alignment horizontal="center"/>
    </xf>
    <xf numFmtId="0" fontId="10" fillId="152" borderId="117" xfId="0" applyFont="1" applyFill="1" applyBorder="1" applyAlignment="1">
      <alignment horizontal="center" vertical="center" wrapText="1"/>
    </xf>
    <xf numFmtId="1" fontId="5" fillId="152" borderId="26" xfId="1" applyNumberFormat="1" applyFont="1" applyFill="1" applyBorder="1" applyAlignment="1">
      <alignment horizontal="center"/>
    </xf>
    <xf numFmtId="168" fontId="5" fillId="152" borderId="26" xfId="1" applyNumberFormat="1" applyFont="1" applyFill="1" applyBorder="1" applyAlignment="1">
      <alignment horizontal="center"/>
    </xf>
    <xf numFmtId="0" fontId="10" fillId="152" borderId="26" xfId="0" applyFont="1" applyFill="1" applyBorder="1" applyAlignment="1">
      <alignment horizontal="center" vertical="center" wrapText="1"/>
    </xf>
    <xf numFmtId="167" fontId="46" fillId="152" borderId="2" xfId="2911" applyNumberFormat="1" applyFont="1" applyFill="1" applyBorder="1" applyAlignment="1">
      <alignment horizontal="center"/>
    </xf>
    <xf numFmtId="165" fontId="12" fillId="145" borderId="0" xfId="1" applyFont="1" applyFill="1"/>
    <xf numFmtId="0" fontId="0" fillId="0" borderId="0" xfId="0" applyAlignment="1">
      <alignment wrapText="1"/>
    </xf>
    <xf numFmtId="10" fontId="5" fillId="0" borderId="71" xfId="2911" applyNumberFormat="1" applyFont="1" applyFill="1" applyBorder="1" applyAlignment="1">
      <alignment horizontal="left"/>
    </xf>
    <xf numFmtId="292" fontId="12" fillId="0" borderId="0" xfId="0" applyNumberFormat="1" applyFont="1"/>
    <xf numFmtId="168" fontId="12" fillId="0" borderId="0" xfId="1" applyNumberFormat="1" applyFont="1" applyAlignment="1">
      <alignment horizontal="center"/>
    </xf>
    <xf numFmtId="168" fontId="238" fillId="0" borderId="0" xfId="0" applyNumberFormat="1" applyFont="1"/>
    <xf numFmtId="168" fontId="238" fillId="0" borderId="0" xfId="1" applyNumberFormat="1" applyFont="1"/>
    <xf numFmtId="0" fontId="0" fillId="0" borderId="79" xfId="0" applyBorder="1"/>
    <xf numFmtId="0" fontId="0" fillId="0" borderId="32" xfId="0" applyBorder="1"/>
    <xf numFmtId="0" fontId="0" fillId="0" borderId="80" xfId="0" applyBorder="1"/>
    <xf numFmtId="0" fontId="0" fillId="0" borderId="81" xfId="0" applyBorder="1"/>
    <xf numFmtId="0" fontId="0" fillId="148" borderId="0" xfId="0" applyFill="1" applyBorder="1"/>
    <xf numFmtId="0" fontId="0" fillId="0" borderId="0" xfId="0" applyBorder="1"/>
    <xf numFmtId="0" fontId="0" fillId="0" borderId="82" xfId="0" applyBorder="1"/>
    <xf numFmtId="0" fontId="0" fillId="0" borderId="83" xfId="0" applyBorder="1"/>
    <xf numFmtId="0" fontId="0" fillId="0" borderId="46" xfId="0" applyBorder="1"/>
    <xf numFmtId="0" fontId="0" fillId="0" borderId="84" xfId="0" applyBorder="1"/>
    <xf numFmtId="0" fontId="0" fillId="148" borderId="46" xfId="0" applyFill="1" applyBorder="1"/>
    <xf numFmtId="10" fontId="5" fillId="0" borderId="0" xfId="2911" applyNumberFormat="1" applyFont="1"/>
    <xf numFmtId="165" fontId="229" fillId="0" borderId="0" xfId="1" applyFont="1"/>
    <xf numFmtId="10" fontId="5" fillId="0" borderId="0" xfId="0" applyNumberFormat="1" applyFont="1"/>
    <xf numFmtId="10" fontId="12" fillId="0" borderId="0" xfId="0" applyNumberFormat="1" applyFont="1"/>
    <xf numFmtId="0" fontId="5" fillId="0" borderId="71" xfId="0" applyFont="1" applyBorder="1" applyAlignment="1">
      <alignment horizontal="center"/>
    </xf>
    <xf numFmtId="193" fontId="0" fillId="166" borderId="0" xfId="0" applyNumberFormat="1" applyFill="1" applyAlignment="1">
      <alignment horizontal="center"/>
    </xf>
    <xf numFmtId="0" fontId="46" fillId="0" borderId="70" xfId="0" applyFont="1" applyBorder="1"/>
    <xf numFmtId="165" fontId="5" fillId="2" borderId="106" xfId="1" applyFont="1" applyFill="1" applyBorder="1" applyAlignment="1">
      <alignment horizontal="center"/>
    </xf>
    <xf numFmtId="165" fontId="5" fillId="157" borderId="72" xfId="1" applyFont="1" applyFill="1" applyBorder="1" applyAlignment="1">
      <alignment horizontal="center"/>
    </xf>
    <xf numFmtId="165" fontId="5" fillId="157" borderId="73" xfId="1" applyFont="1" applyFill="1" applyBorder="1" applyAlignment="1">
      <alignment horizontal="center"/>
    </xf>
    <xf numFmtId="165" fontId="5" fillId="157" borderId="74" xfId="1" applyFont="1" applyFill="1" applyBorder="1" applyAlignment="1">
      <alignment horizontal="center"/>
    </xf>
    <xf numFmtId="168" fontId="5" fillId="0" borderId="71" xfId="1" applyNumberFormat="1" applyFont="1" applyBorder="1" applyAlignment="1">
      <alignment horizontal="center"/>
    </xf>
    <xf numFmtId="10" fontId="5" fillId="0" borderId="71" xfId="2911" applyNumberFormat="1" applyFont="1" applyBorder="1" applyAlignment="1">
      <alignment horizontal="center"/>
    </xf>
    <xf numFmtId="165" fontId="5" fillId="0" borderId="70" xfId="1" applyFont="1" applyBorder="1" applyAlignment="1">
      <alignment horizontal="center"/>
    </xf>
    <xf numFmtId="165" fontId="5" fillId="0" borderId="71" xfId="1" applyFont="1" applyBorder="1" applyAlignment="1">
      <alignment horizontal="center"/>
    </xf>
    <xf numFmtId="165" fontId="5" fillId="0" borderId="114" xfId="1" applyFont="1" applyBorder="1" applyAlignment="1">
      <alignment horizontal="center"/>
    </xf>
    <xf numFmtId="165" fontId="5" fillId="0" borderId="115" xfId="1" applyFont="1" applyBorder="1" applyAlignment="1">
      <alignment horizontal="center"/>
    </xf>
    <xf numFmtId="165" fontId="5" fillId="0" borderId="119" xfId="1" applyFont="1" applyBorder="1" applyAlignment="1">
      <alignment horizontal="center"/>
    </xf>
    <xf numFmtId="165" fontId="5" fillId="154" borderId="25" xfId="1" applyFont="1" applyFill="1" applyBorder="1" applyAlignment="1">
      <alignment horizontal="center"/>
    </xf>
    <xf numFmtId="165" fontId="5" fillId="0" borderId="76" xfId="1" applyFont="1" applyBorder="1" applyAlignment="1">
      <alignment horizontal="center"/>
    </xf>
    <xf numFmtId="0" fontId="46" fillId="0" borderId="71" xfId="0" applyFont="1" applyBorder="1"/>
    <xf numFmtId="165" fontId="5" fillId="157" borderId="75" xfId="1" applyFont="1" applyFill="1" applyBorder="1" applyAlignment="1">
      <alignment horizontal="center"/>
    </xf>
    <xf numFmtId="165" fontId="5" fillId="157" borderId="25" xfId="1" applyFont="1" applyFill="1" applyBorder="1" applyAlignment="1">
      <alignment horizontal="center"/>
    </xf>
    <xf numFmtId="165" fontId="5" fillId="157" borderId="76" xfId="1" applyFont="1" applyFill="1" applyBorder="1" applyAlignment="1">
      <alignment horizontal="center"/>
    </xf>
    <xf numFmtId="165" fontId="5" fillId="9" borderId="106" xfId="1" applyFont="1" applyFill="1" applyBorder="1" applyAlignment="1">
      <alignment horizontal="center"/>
    </xf>
    <xf numFmtId="165" fontId="5" fillId="9" borderId="119" xfId="1" applyFont="1" applyFill="1" applyBorder="1" applyAlignment="1">
      <alignment horizontal="center"/>
    </xf>
    <xf numFmtId="193" fontId="218" fillId="166" borderId="0" xfId="0" applyNumberFormat="1" applyFont="1" applyFill="1" applyAlignment="1">
      <alignment horizontal="center" wrapText="1"/>
    </xf>
    <xf numFmtId="193" fontId="0" fillId="166" borderId="0" xfId="0" applyNumberFormat="1" applyFill="1" applyAlignment="1">
      <alignment horizontal="center" wrapText="1"/>
    </xf>
    <xf numFmtId="193" fontId="218" fillId="166" borderId="0" xfId="0" applyNumberFormat="1" applyFont="1" applyFill="1" applyAlignment="1">
      <alignment horizontal="center"/>
    </xf>
    <xf numFmtId="0" fontId="46" fillId="0" borderId="111" xfId="0" applyFont="1" applyBorder="1"/>
    <xf numFmtId="0" fontId="46" fillId="0" borderId="113" xfId="0" applyFont="1" applyBorder="1"/>
    <xf numFmtId="165" fontId="5" fillId="0" borderId="104" xfId="1" applyFont="1" applyBorder="1" applyAlignment="1">
      <alignment horizontal="center"/>
    </xf>
    <xf numFmtId="0" fontId="0" fillId="166" borderId="0" xfId="0" applyFill="1" applyAlignment="1">
      <alignment horizontal="center"/>
    </xf>
    <xf numFmtId="0" fontId="0" fillId="166" borderId="0" xfId="0" applyFill="1" applyAlignment="1">
      <alignment horizontal="center" wrapText="1"/>
    </xf>
    <xf numFmtId="0" fontId="218" fillId="166" borderId="0" xfId="0" applyFont="1" applyFill="1" applyAlignment="1">
      <alignment horizontal="center"/>
    </xf>
    <xf numFmtId="165" fontId="230" fillId="0" borderId="25" xfId="1" applyFont="1" applyBorder="1" applyAlignment="1">
      <alignment horizontal="center"/>
    </xf>
    <xf numFmtId="168" fontId="5" fillId="0" borderId="110" xfId="1" applyNumberFormat="1" applyFont="1" applyBorder="1" applyAlignment="1">
      <alignment horizontal="center"/>
    </xf>
    <xf numFmtId="168" fontId="5" fillId="0" borderId="103" xfId="1" applyNumberFormat="1" applyFont="1" applyBorder="1" applyAlignment="1">
      <alignment horizontal="center"/>
    </xf>
    <xf numFmtId="168" fontId="5" fillId="0" borderId="109" xfId="1" applyNumberFormat="1" applyFont="1" applyBorder="1" applyAlignment="1">
      <alignment horizontal="center"/>
    </xf>
    <xf numFmtId="168" fontId="5" fillId="0" borderId="0" xfId="1" applyNumberFormat="1" applyFont="1" applyAlignment="1">
      <alignment horizontal="center"/>
    </xf>
    <xf numFmtId="1" fontId="5" fillId="0" borderId="70" xfId="1" applyNumberFormat="1" applyFont="1" applyBorder="1" applyAlignment="1">
      <alignment horizontal="center"/>
    </xf>
    <xf numFmtId="1" fontId="5" fillId="0" borderId="71" xfId="1" applyNumberFormat="1" applyFont="1" applyBorder="1" applyAlignment="1">
      <alignment horizontal="center"/>
    </xf>
    <xf numFmtId="1" fontId="5" fillId="0" borderId="114" xfId="1" applyNumberFormat="1" applyFont="1" applyBorder="1" applyAlignment="1">
      <alignment horizontal="center"/>
    </xf>
    <xf numFmtId="1" fontId="5" fillId="0" borderId="75" xfId="1" applyNumberFormat="1" applyFont="1" applyBorder="1" applyAlignment="1">
      <alignment horizontal="center"/>
    </xf>
    <xf numFmtId="1" fontId="5" fillId="0" borderId="25" xfId="1" applyNumberFormat="1" applyFont="1" applyBorder="1" applyAlignment="1">
      <alignment horizontal="center"/>
    </xf>
    <xf numFmtId="168" fontId="5" fillId="0" borderId="108" xfId="1" applyNumberFormat="1" applyFont="1" applyBorder="1" applyAlignment="1">
      <alignment horizontal="center"/>
    </xf>
    <xf numFmtId="168" fontId="5" fillId="0" borderId="106" xfId="1" applyNumberFormat="1" applyFont="1" applyBorder="1" applyAlignment="1">
      <alignment horizontal="center"/>
    </xf>
    <xf numFmtId="1" fontId="5" fillId="0" borderId="112" xfId="1" applyNumberFormat="1" applyFont="1" applyBorder="1" applyAlignment="1">
      <alignment horizontal="center"/>
    </xf>
    <xf numFmtId="1" fontId="5" fillId="0" borderId="76" xfId="1" applyNumberFormat="1" applyFont="1" applyBorder="1" applyAlignment="1">
      <alignment horizontal="center"/>
    </xf>
    <xf numFmtId="1" fontId="5" fillId="0" borderId="106" xfId="1" applyNumberFormat="1" applyFont="1" applyBorder="1" applyAlignment="1">
      <alignment horizontal="center"/>
    </xf>
    <xf numFmtId="1" fontId="5" fillId="0" borderId="105" xfId="1" applyNumberFormat="1" applyFont="1" applyBorder="1" applyAlignment="1">
      <alignment horizontal="center"/>
    </xf>
    <xf numFmtId="168" fontId="5" fillId="0" borderId="104" xfId="1" applyNumberFormat="1" applyFont="1" applyBorder="1" applyAlignment="1">
      <alignment horizontal="center"/>
    </xf>
    <xf numFmtId="168" fontId="5" fillId="0" borderId="25" xfId="1" applyNumberFormat="1" applyFont="1" applyBorder="1" applyAlignment="1">
      <alignment horizontal="center"/>
    </xf>
    <xf numFmtId="289" fontId="5" fillId="0" borderId="76" xfId="1" applyNumberFormat="1" applyFont="1" applyBorder="1" applyAlignment="1">
      <alignment horizontal="center"/>
    </xf>
    <xf numFmtId="165" fontId="5" fillId="0" borderId="120" xfId="1" applyFont="1" applyBorder="1" applyAlignment="1">
      <alignment horizontal="center"/>
    </xf>
    <xf numFmtId="0" fontId="46" fillId="0" borderId="112" xfId="0" applyFont="1" applyBorder="1"/>
    <xf numFmtId="165" fontId="5" fillId="152" borderId="66" xfId="1" applyFont="1" applyFill="1" applyBorder="1" applyAlignment="1">
      <alignment horizontal="center"/>
    </xf>
    <xf numFmtId="167" fontId="12" fillId="2" borderId="0" xfId="0" applyNumberFormat="1" applyFont="1" applyFill="1"/>
    <xf numFmtId="165" fontId="5" fillId="0" borderId="106" xfId="1" applyFont="1" applyFill="1" applyBorder="1" applyAlignment="1">
      <alignment horizontal="center"/>
    </xf>
    <xf numFmtId="165" fontId="5" fillId="0" borderId="119" xfId="1" applyFont="1" applyFill="1" applyBorder="1" applyAlignment="1">
      <alignment horizontal="center"/>
    </xf>
    <xf numFmtId="168" fontId="5" fillId="0" borderId="71" xfId="1" applyNumberFormat="1" applyFont="1" applyFill="1" applyBorder="1" applyAlignment="1">
      <alignment horizontal="left"/>
    </xf>
    <xf numFmtId="168" fontId="5" fillId="0" borderId="71" xfId="1" applyNumberFormat="1" applyFont="1" applyFill="1" applyBorder="1" applyAlignment="1">
      <alignment horizontal="right"/>
    </xf>
    <xf numFmtId="293" fontId="0" fillId="0" borderId="0" xfId="2911" applyNumberFormat="1" applyFont="1"/>
    <xf numFmtId="293" fontId="0" fillId="0" borderId="0" xfId="0" applyNumberFormat="1" applyAlignment="1">
      <alignment horizontal="center" vertical="center"/>
    </xf>
    <xf numFmtId="294" fontId="0" fillId="0" borderId="0" xfId="0" applyNumberFormat="1"/>
    <xf numFmtId="295" fontId="0" fillId="0" borderId="0" xfId="0" applyNumberFormat="1"/>
    <xf numFmtId="296" fontId="0" fillId="0" borderId="0" xfId="0" applyNumberFormat="1"/>
    <xf numFmtId="297" fontId="0" fillId="0" borderId="0" xfId="0" applyNumberFormat="1"/>
    <xf numFmtId="293" fontId="0" fillId="0" borderId="0" xfId="0" applyNumberFormat="1"/>
    <xf numFmtId="298" fontId="0" fillId="0" borderId="98" xfId="466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41" fillId="0" borderId="0" xfId="0" applyFont="1" applyAlignment="1">
      <alignment horizontal="right"/>
    </xf>
    <xf numFmtId="168" fontId="5" fillId="0" borderId="75" xfId="1" applyNumberFormat="1" applyFont="1" applyBorder="1" applyAlignment="1">
      <alignment horizontal="center"/>
    </xf>
    <xf numFmtId="168" fontId="5" fillId="0" borderId="76" xfId="1" applyNumberFormat="1" applyFont="1" applyBorder="1" applyAlignment="1">
      <alignment horizontal="center"/>
    </xf>
    <xf numFmtId="0" fontId="46" fillId="4" borderId="70" xfId="0" applyFont="1" applyFill="1" applyBorder="1"/>
    <xf numFmtId="0" fontId="243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vertical="center"/>
    </xf>
    <xf numFmtId="167" fontId="0" fillId="0" borderId="0" xfId="0" applyNumberFormat="1" applyAlignment="1">
      <alignment vertical="center"/>
    </xf>
    <xf numFmtId="0" fontId="0" fillId="0" borderId="0" xfId="0" applyProtection="1">
      <protection locked="0"/>
    </xf>
    <xf numFmtId="0" fontId="2" fillId="167" borderId="66" xfId="0" applyFont="1" applyFill="1" applyBorder="1" applyAlignment="1">
      <alignment horizontal="center" vertical="center" wrapText="1"/>
    </xf>
    <xf numFmtId="0" fontId="2" fillId="167" borderId="26" xfId="0" applyFont="1" applyFill="1" applyBorder="1" applyAlignment="1">
      <alignment horizontal="center" vertical="center" wrapText="1"/>
    </xf>
    <xf numFmtId="0" fontId="2" fillId="167" borderId="121" xfId="0" applyFont="1" applyFill="1" applyBorder="1" applyAlignment="1">
      <alignment horizontal="center" vertical="center" wrapText="1"/>
    </xf>
    <xf numFmtId="0" fontId="2" fillId="167" borderId="2" xfId="0" applyFont="1" applyFill="1" applyBorder="1" applyAlignment="1">
      <alignment horizontal="center" vertical="center" wrapText="1"/>
    </xf>
    <xf numFmtId="167" fontId="2" fillId="167" borderId="66" xfId="2911" applyNumberFormat="1" applyFont="1" applyFill="1" applyBorder="1" applyAlignment="1">
      <alignment horizontal="center" vertical="center" wrapText="1"/>
    </xf>
    <xf numFmtId="167" fontId="2" fillId="167" borderId="121" xfId="2911" applyNumberFormat="1" applyFont="1" applyFill="1" applyBorder="1" applyAlignment="1">
      <alignment horizontal="center" vertical="center" wrapText="1"/>
    </xf>
    <xf numFmtId="167" fontId="2" fillId="167" borderId="26" xfId="2911" applyNumberFormat="1" applyFont="1" applyFill="1" applyBorder="1" applyAlignment="1">
      <alignment horizontal="center" vertical="center" wrapText="1"/>
    </xf>
    <xf numFmtId="0" fontId="2" fillId="0" borderId="81" xfId="0" applyFont="1" applyBorder="1" applyAlignment="1">
      <alignment vertical="center"/>
    </xf>
    <xf numFmtId="298" fontId="0" fillId="0" borderId="0" xfId="466" applyNumberFormat="1" applyFont="1" applyBorder="1" applyAlignment="1">
      <alignment vertical="center"/>
    </xf>
    <xf numFmtId="0" fontId="0" fillId="0" borderId="82" xfId="0" applyBorder="1" applyAlignment="1">
      <alignment vertical="center"/>
    </xf>
    <xf numFmtId="298" fontId="0" fillId="0" borderId="81" xfId="466" applyNumberFormat="1" applyFont="1" applyBorder="1" applyAlignment="1">
      <alignment horizontal="center" vertical="center"/>
    </xf>
    <xf numFmtId="167" fontId="0" fillId="0" borderId="81" xfId="2911" applyNumberFormat="1" applyFont="1" applyBorder="1" applyAlignment="1">
      <alignment horizontal="center" vertical="center"/>
    </xf>
    <xf numFmtId="167" fontId="0" fillId="0" borderId="82" xfId="2911" applyNumberFormat="1" applyFont="1" applyBorder="1" applyAlignment="1">
      <alignment horizontal="center" vertical="center"/>
    </xf>
    <xf numFmtId="167" fontId="0" fillId="0" borderId="0" xfId="2911" applyNumberFormat="1" applyFont="1" applyBorder="1" applyAlignment="1">
      <alignment horizontal="center" vertical="center"/>
    </xf>
    <xf numFmtId="167" fontId="0" fillId="0" borderId="123" xfId="2911" applyNumberFormat="1" applyFont="1" applyBorder="1" applyAlignment="1">
      <alignment horizontal="center" vertical="center"/>
    </xf>
    <xf numFmtId="167" fontId="0" fillId="0" borderId="0" xfId="2911" applyNumberFormat="1" applyFont="1" applyAlignment="1">
      <alignment horizontal="center" vertical="center"/>
    </xf>
    <xf numFmtId="298" fontId="0" fillId="0" borderId="124" xfId="0" applyNumberFormat="1" applyBorder="1" applyAlignment="1" applyProtection="1">
      <alignment vertical="center" wrapText="1"/>
      <protection locked="0"/>
    </xf>
    <xf numFmtId="167" fontId="0" fillId="0" borderId="0" xfId="2911" applyNumberFormat="1" applyFont="1" applyBorder="1" applyAlignment="1" applyProtection="1">
      <alignment vertical="center" wrapText="1"/>
      <protection locked="0"/>
    </xf>
    <xf numFmtId="298" fontId="0" fillId="0" borderId="0" xfId="0" applyNumberFormat="1" applyProtection="1">
      <protection locked="0"/>
    </xf>
    <xf numFmtId="167" fontId="0" fillId="0" borderId="0" xfId="2911" applyNumberFormat="1" applyFont="1" applyBorder="1" applyProtection="1">
      <protection locked="0"/>
    </xf>
    <xf numFmtId="0" fontId="0" fillId="0" borderId="0" xfId="0" applyAlignment="1">
      <alignment horizontal="center" vertical="center"/>
    </xf>
    <xf numFmtId="167" fontId="0" fillId="0" borderId="0" xfId="2911" applyNumberFormat="1" applyFont="1" applyBorder="1" applyAlignment="1">
      <alignment horizontal="center" vertical="center" wrapText="1"/>
    </xf>
    <xf numFmtId="10" fontId="0" fillId="0" borderId="123" xfId="2911" applyNumberFormat="1" applyFont="1" applyBorder="1" applyAlignment="1">
      <alignment horizontal="center" vertical="center"/>
    </xf>
    <xf numFmtId="298" fontId="0" fillId="0" borderId="0" xfId="0" applyNumberFormat="1" applyAlignment="1" applyProtection="1">
      <alignment vertical="center"/>
      <protection locked="0"/>
    </xf>
    <xf numFmtId="167" fontId="0" fillId="0" borderId="0" xfId="2911" applyNumberFormat="1" applyFont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125" xfId="0" applyBorder="1" applyAlignment="1" applyProtection="1">
      <alignment vertical="center" wrapText="1"/>
      <protection locked="0"/>
    </xf>
    <xf numFmtId="167" fontId="0" fillId="0" borderId="82" xfId="2911" applyNumberFormat="1" applyFont="1" applyFill="1" applyBorder="1" applyAlignment="1">
      <alignment horizontal="center" vertical="center"/>
    </xf>
    <xf numFmtId="298" fontId="7" fillId="0" borderId="98" xfId="466" applyNumberFormat="1" applyFont="1" applyBorder="1" applyAlignment="1">
      <alignment horizontal="center" vertical="center"/>
    </xf>
    <xf numFmtId="298" fontId="7" fillId="0" borderId="81" xfId="466" applyNumberFormat="1" applyFont="1" applyBorder="1" applyAlignment="1">
      <alignment horizontal="center" vertical="center"/>
    </xf>
    <xf numFmtId="10" fontId="0" fillId="0" borderId="81" xfId="2911" applyNumberFormat="1" applyFont="1" applyBorder="1" applyAlignment="1">
      <alignment horizontal="center" vertical="center"/>
    </xf>
    <xf numFmtId="10" fontId="0" fillId="0" borderId="0" xfId="2911" applyNumberFormat="1" applyFont="1" applyBorder="1" applyAlignment="1">
      <alignment horizontal="center" vertical="center" wrapText="1"/>
    </xf>
    <xf numFmtId="298" fontId="7" fillId="0" borderId="0" xfId="466" applyNumberFormat="1" applyFont="1" applyBorder="1" applyAlignment="1">
      <alignment vertical="center"/>
    </xf>
    <xf numFmtId="10" fontId="0" fillId="0" borderId="0" xfId="2911" applyNumberFormat="1" applyFont="1" applyBorder="1" applyAlignment="1">
      <alignment horizontal="center" vertical="center"/>
    </xf>
    <xf numFmtId="298" fontId="0" fillId="0" borderId="41" xfId="466" applyNumberFormat="1" applyFont="1" applyFill="1" applyBorder="1" applyAlignment="1">
      <alignment horizontal="center" vertical="center"/>
    </xf>
    <xf numFmtId="298" fontId="0" fillId="0" borderId="0" xfId="466" applyNumberFormat="1" applyFont="1" applyBorder="1" applyAlignment="1">
      <alignment horizontal="center" vertical="center"/>
    </xf>
    <xf numFmtId="298" fontId="0" fillId="0" borderId="123" xfId="466" applyNumberFormat="1" applyFont="1" applyBorder="1" applyAlignment="1">
      <alignment horizontal="center" vertical="center"/>
    </xf>
    <xf numFmtId="0" fontId="2" fillId="0" borderId="83" xfId="0" applyFont="1" applyBorder="1" applyAlignment="1">
      <alignment vertical="center"/>
    </xf>
    <xf numFmtId="298" fontId="0" fillId="0" borderId="46" xfId="466" applyNumberFormat="1" applyFont="1" applyBorder="1" applyAlignment="1">
      <alignment horizontal="center" vertical="center"/>
    </xf>
    <xf numFmtId="0" fontId="0" fillId="0" borderId="126" xfId="0" applyBorder="1" applyAlignment="1">
      <alignment vertical="center"/>
    </xf>
    <xf numFmtId="298" fontId="0" fillId="0" borderId="83" xfId="466" applyNumberFormat="1" applyFont="1" applyBorder="1" applyAlignment="1">
      <alignment horizontal="center" vertical="center"/>
    </xf>
    <xf numFmtId="167" fontId="0" fillId="0" borderId="83" xfId="2911" applyNumberFormat="1" applyFont="1" applyBorder="1" applyAlignment="1">
      <alignment horizontal="center" vertical="center"/>
    </xf>
    <xf numFmtId="167" fontId="0" fillId="0" borderId="84" xfId="2911" applyNumberFormat="1" applyFont="1" applyBorder="1" applyAlignment="1">
      <alignment horizontal="center" vertical="center"/>
    </xf>
    <xf numFmtId="167" fontId="0" fillId="0" borderId="46" xfId="2911" applyNumberFormat="1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 applyAlignment="1" applyProtection="1">
      <alignment vertical="center" wrapText="1"/>
      <protection locked="0"/>
    </xf>
    <xf numFmtId="0" fontId="0" fillId="148" borderId="7" xfId="0" applyFill="1" applyBorder="1"/>
    <xf numFmtId="0" fontId="2" fillId="148" borderId="7" xfId="0" applyFont="1" applyFill="1" applyBorder="1" applyAlignment="1">
      <alignment wrapText="1"/>
    </xf>
    <xf numFmtId="168" fontId="0" fillId="148" borderId="7" xfId="0" applyNumberFormat="1" applyFill="1" applyBorder="1"/>
    <xf numFmtId="168" fontId="0" fillId="2" borderId="7" xfId="0" applyNumberFormat="1" applyFill="1" applyBorder="1"/>
    <xf numFmtId="0" fontId="0" fillId="2" borderId="7" xfId="0" applyFill="1" applyBorder="1"/>
    <xf numFmtId="0" fontId="2" fillId="2" borderId="7" xfId="0" applyFont="1" applyFill="1" applyBorder="1" applyAlignment="1">
      <alignment wrapText="1"/>
    </xf>
    <xf numFmtId="0" fontId="0" fillId="2" borderId="129" xfId="0" applyFill="1" applyBorder="1"/>
    <xf numFmtId="0" fontId="0" fillId="2" borderId="128" xfId="0" applyFill="1" applyBorder="1"/>
    <xf numFmtId="0" fontId="10" fillId="0" borderId="0" xfId="0" applyFont="1" applyFill="1" applyBorder="1" applyAlignment="1">
      <alignment horizontal="left" vertical="top"/>
    </xf>
    <xf numFmtId="168" fontId="2" fillId="0" borderId="0" xfId="1" applyNumberFormat="1" applyFont="1"/>
    <xf numFmtId="168" fontId="2" fillId="0" borderId="0" xfId="1" applyNumberFormat="1" applyFont="1" applyFill="1"/>
    <xf numFmtId="0" fontId="0" fillId="149" borderId="0" xfId="0" applyFill="1"/>
    <xf numFmtId="0" fontId="5" fillId="61" borderId="63" xfId="0" applyFont="1" applyFill="1" applyBorder="1" applyAlignment="1">
      <alignment horizontal="left" vertical="top"/>
    </xf>
    <xf numFmtId="0" fontId="5" fillId="61" borderId="64" xfId="0" applyFont="1" applyFill="1" applyBorder="1" applyAlignment="1">
      <alignment vertical="top"/>
    </xf>
    <xf numFmtId="0" fontId="5" fillId="0" borderId="0" xfId="0" applyFont="1" applyFill="1"/>
    <xf numFmtId="0" fontId="7" fillId="0" borderId="0" xfId="0" applyFont="1" applyFill="1"/>
    <xf numFmtId="165" fontId="6" fillId="0" borderId="0" xfId="1" applyFont="1"/>
    <xf numFmtId="0" fontId="0" fillId="2" borderId="0" xfId="1" applyNumberFormat="1" applyFont="1" applyFill="1"/>
    <xf numFmtId="0" fontId="0" fillId="2" borderId="0" xfId="0" applyNumberFormat="1" applyFont="1" applyFill="1"/>
    <xf numFmtId="0" fontId="235" fillId="0" borderId="0" xfId="0" applyFont="1" applyFill="1"/>
    <xf numFmtId="0" fontId="235" fillId="0" borderId="0" xfId="0" quotePrefix="1" applyFont="1" applyFill="1"/>
    <xf numFmtId="0" fontId="0" fillId="0" borderId="0" xfId="0" applyFill="1" applyBorder="1"/>
    <xf numFmtId="0" fontId="0" fillId="0" borderId="0" xfId="0" applyNumberFormat="1" applyAlignment="1">
      <alignment horizontal="left"/>
    </xf>
    <xf numFmtId="0" fontId="0" fillId="0" borderId="0" xfId="0" applyNumberFormat="1" applyFill="1" applyAlignment="1">
      <alignment horizontal="left"/>
    </xf>
    <xf numFmtId="10" fontId="5" fillId="9" borderId="71" xfId="2911" applyNumberFormat="1" applyFont="1" applyFill="1" applyBorder="1" applyAlignment="1">
      <alignment horizontal="center"/>
    </xf>
    <xf numFmtId="168" fontId="5" fillId="9" borderId="71" xfId="1" applyNumberFormat="1" applyFont="1" applyFill="1" applyBorder="1" applyAlignment="1">
      <alignment horizontal="center"/>
    </xf>
    <xf numFmtId="0" fontId="0" fillId="0" borderId="125" xfId="0" applyBorder="1" applyAlignment="1" applyProtection="1">
      <alignment vertical="center"/>
      <protection locked="0"/>
    </xf>
    <xf numFmtId="0" fontId="7" fillId="0" borderId="125" xfId="0" applyFont="1" applyBorder="1" applyAlignment="1" applyProtection="1">
      <alignment vertical="center"/>
      <protection locked="0"/>
    </xf>
    <xf numFmtId="0" fontId="0" fillId="0" borderId="127" xfId="0" applyBorder="1" applyAlignment="1" applyProtection="1">
      <alignment vertical="center"/>
      <protection locked="0"/>
    </xf>
    <xf numFmtId="298" fontId="0" fillId="0" borderId="0" xfId="0" applyNumberFormat="1" applyAlignment="1">
      <alignment vertical="center"/>
    </xf>
    <xf numFmtId="168" fontId="246" fillId="0" borderId="71" xfId="1" applyNumberFormat="1" applyFont="1" applyBorder="1" applyAlignment="1">
      <alignment horizontal="center"/>
    </xf>
    <xf numFmtId="0" fontId="0" fillId="169" borderId="0" xfId="0" applyFill="1"/>
    <xf numFmtId="168" fontId="0" fillId="169" borderId="0" xfId="1" applyNumberFormat="1" applyFont="1" applyFill="1"/>
    <xf numFmtId="0" fontId="0" fillId="0" borderId="0" xfId="0" applyAlignment="1">
      <alignment horizontal="center"/>
    </xf>
    <xf numFmtId="0" fontId="0" fillId="170" borderId="0" xfId="0" applyFill="1"/>
    <xf numFmtId="168" fontId="0" fillId="170" borderId="0" xfId="1" applyNumberFormat="1" applyFont="1" applyFill="1"/>
    <xf numFmtId="168" fontId="5" fillId="148" borderId="71" xfId="1" applyNumberFormat="1" applyFont="1" applyFill="1" applyBorder="1" applyAlignment="1">
      <alignment horizontal="center"/>
    </xf>
    <xf numFmtId="168" fontId="5" fillId="148" borderId="98" xfId="1" applyNumberFormat="1" applyFont="1" applyFill="1" applyBorder="1" applyAlignment="1">
      <alignment horizontal="center"/>
    </xf>
    <xf numFmtId="165" fontId="12" fillId="0" borderId="0" xfId="1" applyNumberFormat="1" applyFont="1"/>
    <xf numFmtId="168" fontId="5" fillId="0" borderId="71" xfId="1" applyNumberFormat="1" applyFont="1" applyFill="1" applyBorder="1" applyAlignment="1"/>
    <xf numFmtId="10" fontId="5" fillId="0" borderId="71" xfId="2911" applyNumberFormat="1" applyFont="1" applyFill="1" applyBorder="1" applyAlignment="1"/>
    <xf numFmtId="168" fontId="229" fillId="148" borderId="0" xfId="0" applyNumberFormat="1" applyFont="1" applyFill="1" applyBorder="1"/>
    <xf numFmtId="168" fontId="12" fillId="0" borderId="0" xfId="0" applyNumberFormat="1" applyFont="1" applyFill="1"/>
    <xf numFmtId="168" fontId="229" fillId="0" borderId="0" xfId="1" applyNumberFormat="1" applyFont="1" applyFill="1"/>
    <xf numFmtId="291" fontId="7" fillId="0" borderId="0" xfId="1" applyNumberFormat="1" applyFont="1"/>
    <xf numFmtId="0" fontId="7" fillId="0" borderId="0" xfId="0" applyFont="1" applyAlignment="1">
      <alignment wrapText="1"/>
    </xf>
    <xf numFmtId="299" fontId="0" fillId="0" borderId="0" xfId="0" applyNumberFormat="1"/>
    <xf numFmtId="0" fontId="12" fillId="0" borderId="0" xfId="0" quotePrefix="1" applyFont="1" applyFill="1"/>
    <xf numFmtId="0" fontId="236" fillId="0" borderId="0" xfId="0" applyFont="1" applyFill="1"/>
    <xf numFmtId="168" fontId="46" fillId="152" borderId="2" xfId="1" applyNumberFormat="1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168" fontId="12" fillId="145" borderId="0" xfId="1" applyNumberFormat="1" applyFont="1" applyFill="1" applyAlignment="1">
      <alignment horizontal="left" vertical="center" wrapText="1"/>
    </xf>
    <xf numFmtId="1" fontId="12" fillId="0" borderId="0" xfId="0" applyNumberFormat="1" applyFont="1" applyAlignment="1">
      <alignment horizontal="left" vertical="center" wrapText="1"/>
    </xf>
    <xf numFmtId="0" fontId="229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49" fontId="5" fillId="0" borderId="71" xfId="1" applyNumberFormat="1" applyFont="1" applyFill="1" applyBorder="1" applyAlignment="1">
      <alignment horizontal="left" vertical="center" wrapText="1"/>
    </xf>
    <xf numFmtId="49" fontId="5" fillId="0" borderId="98" xfId="1" applyNumberFormat="1" applyFont="1" applyFill="1" applyBorder="1" applyAlignment="1">
      <alignment horizontal="left" vertical="center" wrapText="1"/>
    </xf>
    <xf numFmtId="167" fontId="5" fillId="0" borderId="0" xfId="2911" applyNumberFormat="1" applyFont="1" applyFill="1" applyBorder="1" applyAlignment="1">
      <alignment horizontal="center"/>
    </xf>
    <xf numFmtId="0" fontId="0" fillId="149" borderId="0" xfId="0" applyFill="1" applyAlignment="1">
      <alignment horizontal="left"/>
    </xf>
    <xf numFmtId="0" fontId="247" fillId="0" borderId="0" xfId="0" applyFont="1"/>
    <xf numFmtId="167" fontId="1" fillId="0" borderId="82" xfId="2911" applyNumberFormat="1" applyFont="1" applyFill="1" applyBorder="1" applyAlignment="1">
      <alignment horizontal="center" vertical="center"/>
    </xf>
    <xf numFmtId="167" fontId="6" fillId="2" borderId="82" xfId="2911" applyNumberFormat="1" applyFont="1" applyFill="1" applyBorder="1" applyAlignment="1">
      <alignment horizontal="center" vertical="center"/>
    </xf>
    <xf numFmtId="167" fontId="0" fillId="0" borderId="81" xfId="2911" applyNumberFormat="1" applyFont="1" applyFill="1" applyBorder="1" applyAlignment="1">
      <alignment horizontal="center" vertical="center"/>
    </xf>
    <xf numFmtId="0" fontId="6" fillId="0" borderId="125" xfId="0" applyFont="1" applyBorder="1" applyAlignment="1" applyProtection="1">
      <alignment vertical="center"/>
      <protection locked="0"/>
    </xf>
    <xf numFmtId="293" fontId="0" fillId="0" borderId="0" xfId="2911" applyNumberFormat="1" applyFont="1" applyAlignment="1">
      <alignment horizontal="center" vertical="center"/>
    </xf>
    <xf numFmtId="168" fontId="0" fillId="148" borderId="128" xfId="0" applyNumberFormat="1" applyFill="1" applyBorder="1"/>
    <xf numFmtId="168" fontId="46" fillId="0" borderId="0" xfId="1" applyNumberFormat="1" applyFont="1" applyFill="1" applyBorder="1" applyAlignment="1">
      <alignment horizontal="right"/>
    </xf>
    <xf numFmtId="0" fontId="248" fillId="2" borderId="0" xfId="0" applyFont="1" applyFill="1"/>
    <xf numFmtId="298" fontId="0" fillId="0" borderId="0" xfId="0" applyNumberFormat="1"/>
    <xf numFmtId="0" fontId="12" fillId="0" borderId="0" xfId="0" applyFont="1" applyAlignment="1">
      <alignment horizontal="right"/>
    </xf>
    <xf numFmtId="291" fontId="0" fillId="0" borderId="0" xfId="0" applyNumberFormat="1"/>
    <xf numFmtId="2" fontId="12" fillId="0" borderId="0" xfId="0" applyNumberFormat="1" applyFont="1"/>
    <xf numFmtId="168" fontId="230" fillId="0" borderId="71" xfId="1" applyNumberFormat="1" applyFont="1" applyFill="1" applyBorder="1" applyAlignment="1">
      <alignment horizontal="right"/>
    </xf>
    <xf numFmtId="165" fontId="5" fillId="0" borderId="120" xfId="1" applyFont="1" applyFill="1" applyBorder="1" applyAlignment="1">
      <alignment horizontal="center"/>
    </xf>
    <xf numFmtId="168" fontId="5" fillId="0" borderId="71" xfId="1" applyNumberFormat="1" applyFont="1" applyFill="1" applyBorder="1" applyAlignment="1">
      <alignment horizontal="right" wrapText="1"/>
    </xf>
    <xf numFmtId="168" fontId="242" fillId="0" borderId="71" xfId="1" applyNumberFormat="1" applyFont="1" applyFill="1" applyBorder="1" applyAlignment="1">
      <alignment horizontal="right"/>
    </xf>
    <xf numFmtId="168" fontId="230" fillId="0" borderId="71" xfId="1" applyNumberFormat="1" applyFont="1" applyFill="1" applyBorder="1" applyAlignment="1">
      <alignment horizontal="right" wrapText="1"/>
    </xf>
    <xf numFmtId="165" fontId="242" fillId="0" borderId="106" xfId="1" applyFont="1" applyFill="1" applyBorder="1" applyAlignment="1">
      <alignment horizontal="center"/>
    </xf>
    <xf numFmtId="165" fontId="242" fillId="0" borderId="119" xfId="1" applyFont="1" applyFill="1" applyBorder="1" applyAlignment="1">
      <alignment horizontal="center"/>
    </xf>
    <xf numFmtId="167" fontId="12" fillId="0" borderId="0" xfId="0" applyNumberFormat="1" applyFont="1" applyFill="1"/>
    <xf numFmtId="165" fontId="12" fillId="0" borderId="0" xfId="1" applyFont="1" applyFill="1"/>
    <xf numFmtId="165" fontId="5" fillId="163" borderId="106" xfId="1" applyFont="1" applyFill="1" applyBorder="1" applyAlignment="1">
      <alignment horizontal="center"/>
    </xf>
    <xf numFmtId="165" fontId="5" fillId="2" borderId="118" xfId="1" applyFont="1" applyFill="1" applyBorder="1" applyAlignment="1">
      <alignment horizontal="center"/>
    </xf>
    <xf numFmtId="168" fontId="5" fillId="6" borderId="71" xfId="1" applyNumberFormat="1" applyFont="1" applyFill="1" applyBorder="1" applyAlignment="1">
      <alignment horizontal="left"/>
    </xf>
    <xf numFmtId="165" fontId="5" fillId="0" borderId="131" xfId="1" applyFont="1" applyFill="1" applyBorder="1" applyAlignment="1">
      <alignment horizontal="center"/>
    </xf>
    <xf numFmtId="165" fontId="242" fillId="9" borderId="106" xfId="1" applyFont="1" applyFill="1" applyBorder="1" applyAlignment="1">
      <alignment horizontal="center"/>
    </xf>
    <xf numFmtId="0" fontId="46" fillId="149" borderId="115" xfId="0" applyFont="1" applyFill="1" applyBorder="1"/>
    <xf numFmtId="0" fontId="46" fillId="0" borderId="71" xfId="0" applyFont="1" applyFill="1" applyBorder="1"/>
    <xf numFmtId="0" fontId="46" fillId="158" borderId="71" xfId="0" applyFont="1" applyFill="1" applyBorder="1"/>
    <xf numFmtId="0" fontId="12" fillId="158" borderId="0" xfId="0" applyFont="1" applyFill="1"/>
    <xf numFmtId="0" fontId="12" fillId="172" borderId="0" xfId="0" applyFont="1" applyFill="1"/>
    <xf numFmtId="0" fontId="12" fillId="170" borderId="0" xfId="0" applyFont="1" applyFill="1"/>
    <xf numFmtId="0" fontId="46" fillId="170" borderId="71" xfId="0" applyFont="1" applyFill="1" applyBorder="1"/>
    <xf numFmtId="0" fontId="46" fillId="6" borderId="71" xfId="0" applyFont="1" applyFill="1" applyBorder="1"/>
    <xf numFmtId="0" fontId="46" fillId="172" borderId="71" xfId="0" applyFont="1" applyFill="1" applyBorder="1"/>
    <xf numFmtId="0" fontId="0" fillId="2" borderId="0" xfId="0" applyNumberFormat="1" applyFill="1" applyAlignment="1">
      <alignment horizontal="left"/>
    </xf>
    <xf numFmtId="0" fontId="0" fillId="149" borderId="0" xfId="0" applyNumberFormat="1" applyFill="1" applyAlignment="1">
      <alignment horizontal="left"/>
    </xf>
    <xf numFmtId="14" fontId="0" fillId="0" borderId="0" xfId="0" applyNumberFormat="1"/>
    <xf numFmtId="300" fontId="0" fillId="0" borderId="0" xfId="0" applyNumberFormat="1"/>
    <xf numFmtId="9" fontId="0" fillId="0" borderId="0" xfId="0" applyNumberFormat="1"/>
    <xf numFmtId="0" fontId="46" fillId="149" borderId="71" xfId="0" applyFont="1" applyFill="1" applyBorder="1"/>
    <xf numFmtId="10" fontId="5" fillId="149" borderId="71" xfId="2911" applyNumberFormat="1" applyFont="1" applyFill="1" applyBorder="1" applyAlignment="1">
      <alignment horizontal="center"/>
    </xf>
    <xf numFmtId="10" fontId="12" fillId="149" borderId="0" xfId="0" applyNumberFormat="1" applyFont="1" applyFill="1"/>
    <xf numFmtId="10" fontId="12" fillId="173" borderId="0" xfId="0" applyNumberFormat="1" applyFont="1" applyFill="1"/>
    <xf numFmtId="0" fontId="249" fillId="172" borderId="71" xfId="0" applyFont="1" applyFill="1" applyBorder="1"/>
    <xf numFmtId="10" fontId="250" fillId="149" borderId="0" xfId="0" applyNumberFormat="1" applyFont="1" applyFill="1"/>
    <xf numFmtId="165" fontId="251" fillId="0" borderId="106" xfId="1" applyFont="1" applyBorder="1" applyAlignment="1">
      <alignment horizontal="center"/>
    </xf>
    <xf numFmtId="0" fontId="46" fillId="174" borderId="70" xfId="0" applyFont="1" applyFill="1" applyBorder="1"/>
    <xf numFmtId="0" fontId="12" fillId="174" borderId="0" xfId="0" quotePrefix="1" applyFont="1" applyFill="1"/>
    <xf numFmtId="168" fontId="12" fillId="174" borderId="0" xfId="1" applyNumberFormat="1" applyFont="1" applyFill="1"/>
    <xf numFmtId="0" fontId="12" fillId="145" borderId="0" xfId="0" applyFont="1" applyFill="1" applyAlignment="1">
      <alignment horizontal="right"/>
    </xf>
    <xf numFmtId="0" fontId="12" fillId="174" borderId="0" xfId="0" quotePrefix="1" applyFont="1" applyFill="1" applyAlignment="1">
      <alignment horizontal="right"/>
    </xf>
    <xf numFmtId="0" fontId="12" fillId="154" borderId="0" xfId="0" applyFont="1" applyFill="1" applyAlignment="1">
      <alignment horizontal="right"/>
    </xf>
    <xf numFmtId="0" fontId="234" fillId="0" borderId="0" xfId="0" applyFont="1"/>
    <xf numFmtId="0" fontId="0" fillId="2" borderId="0" xfId="0" applyFill="1" applyAlignment="1">
      <alignment vertical="center"/>
    </xf>
    <xf numFmtId="0" fontId="2" fillId="2" borderId="0" xfId="0" applyFont="1" applyFill="1" applyAlignment="1">
      <alignment vertical="center"/>
    </xf>
    <xf numFmtId="167" fontId="0" fillId="0" borderId="32" xfId="0" applyNumberForma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2" xfId="0" applyBorder="1" applyAlignment="1">
      <alignment vertical="center" wrapText="1"/>
    </xf>
    <xf numFmtId="0" fontId="0" fillId="0" borderId="80" xfId="0" applyBorder="1" applyAlignment="1" applyProtection="1">
      <alignment vertical="center"/>
      <protection locked="0"/>
    </xf>
    <xf numFmtId="167" fontId="2" fillId="175" borderId="66" xfId="2911" applyNumberFormat="1" applyFont="1" applyFill="1" applyBorder="1" applyAlignment="1">
      <alignment horizontal="center" vertical="center" wrapText="1"/>
    </xf>
    <xf numFmtId="167" fontId="2" fillId="175" borderId="122" xfId="2911" applyNumberFormat="1" applyFont="1" applyFill="1" applyBorder="1" applyAlignment="1">
      <alignment horizontal="center" vertical="center" wrapText="1"/>
    </xf>
    <xf numFmtId="167" fontId="244" fillId="149" borderId="2" xfId="0" applyNumberFormat="1" applyFont="1" applyFill="1" applyBorder="1" applyAlignment="1">
      <alignment horizontal="center" vertical="center" wrapText="1"/>
    </xf>
    <xf numFmtId="167" fontId="244" fillId="167" borderId="2" xfId="0" applyNumberFormat="1" applyFont="1" applyFill="1" applyBorder="1" applyAlignment="1">
      <alignment horizontal="center" vertical="center" wrapText="1"/>
    </xf>
    <xf numFmtId="0" fontId="2" fillId="167" borderId="132" xfId="0" applyFont="1" applyFill="1" applyBorder="1" applyAlignment="1" applyProtection="1">
      <alignment horizontal="center" vertical="center" wrapText="1"/>
      <protection locked="0"/>
    </xf>
    <xf numFmtId="0" fontId="2" fillId="167" borderId="26" xfId="0" applyFont="1" applyFill="1" applyBorder="1" applyAlignment="1" applyProtection="1">
      <alignment horizontal="center" vertical="center" wrapText="1"/>
      <protection locked="0"/>
    </xf>
    <xf numFmtId="0" fontId="2" fillId="2" borderId="121" xfId="0" applyFont="1" applyFill="1" applyBorder="1" applyAlignment="1" applyProtection="1">
      <alignment horizontal="center" vertical="center" wrapText="1"/>
      <protection locked="0"/>
    </xf>
    <xf numFmtId="0" fontId="2" fillId="174" borderId="0" xfId="0" applyFont="1" applyFill="1" applyAlignment="1">
      <alignment horizontal="center" vertical="center" wrapText="1"/>
    </xf>
    <xf numFmtId="0" fontId="252" fillId="0" borderId="0" xfId="0" applyFont="1" applyAlignment="1">
      <alignment horizontal="center" vertical="center" wrapText="1"/>
    </xf>
    <xf numFmtId="0" fontId="244" fillId="0" borderId="98" xfId="0" applyFont="1" applyBorder="1" applyAlignment="1">
      <alignment vertical="center"/>
    </xf>
    <xf numFmtId="167" fontId="0" fillId="0" borderId="81" xfId="466" applyNumberFormat="1" applyFont="1" applyFill="1" applyBorder="1" applyAlignment="1">
      <alignment horizontal="center" vertical="center"/>
    </xf>
    <xf numFmtId="167" fontId="1" fillId="0" borderId="0" xfId="2911" applyNumberFormat="1" applyFont="1" applyFill="1" applyBorder="1" applyAlignment="1">
      <alignment horizontal="center" vertical="center"/>
    </xf>
    <xf numFmtId="167" fontId="219" fillId="0" borderId="0" xfId="2911" applyNumberFormat="1" applyFont="1" applyBorder="1" applyAlignment="1">
      <alignment horizontal="center" vertical="center"/>
    </xf>
    <xf numFmtId="167" fontId="0" fillId="174" borderId="82" xfId="2911" applyNumberFormat="1" applyFont="1" applyFill="1" applyBorder="1" applyAlignment="1">
      <alignment horizontal="center" vertical="center"/>
    </xf>
    <xf numFmtId="3" fontId="7" fillId="0" borderId="78" xfId="466" applyNumberFormat="1" applyFont="1" applyBorder="1" applyAlignment="1">
      <alignment horizontal="center" vertical="center"/>
    </xf>
    <xf numFmtId="298" fontId="7" fillId="0" borderId="82" xfId="466" applyNumberFormat="1" applyFont="1" applyBorder="1" applyAlignment="1">
      <alignment horizontal="center" vertical="center"/>
    </xf>
    <xf numFmtId="0" fontId="0" fillId="0" borderId="82" xfId="0" applyBorder="1" applyAlignment="1" applyProtection="1">
      <alignment vertical="center"/>
      <protection locked="0"/>
    </xf>
    <xf numFmtId="0" fontId="0" fillId="174" borderId="0" xfId="0" applyFill="1"/>
    <xf numFmtId="167" fontId="219" fillId="0" borderId="0" xfId="2911" applyNumberFormat="1" applyFont="1" applyAlignment="1">
      <alignment horizontal="center" vertical="center"/>
    </xf>
    <xf numFmtId="3" fontId="7" fillId="0" borderId="98" xfId="466" applyNumberFormat="1" applyFont="1" applyBorder="1" applyAlignment="1">
      <alignment horizontal="center" vertical="center"/>
    </xf>
    <xf numFmtId="167" fontId="253" fillId="0" borderId="82" xfId="2911" applyNumberFormat="1" applyFont="1" applyFill="1" applyBorder="1" applyAlignment="1">
      <alignment horizontal="center" vertical="center"/>
    </xf>
    <xf numFmtId="167" fontId="6" fillId="2" borderId="0" xfId="2911" applyNumberFormat="1" applyFont="1" applyFill="1" applyBorder="1" applyAlignment="1">
      <alignment horizontal="center" vertical="center"/>
    </xf>
    <xf numFmtId="0" fontId="244" fillId="171" borderId="98" xfId="0" applyFont="1" applyFill="1" applyBorder="1" applyAlignment="1">
      <alignment vertical="center"/>
    </xf>
    <xf numFmtId="167" fontId="6" fillId="0" borderId="0" xfId="2911" applyNumberFormat="1" applyFont="1" applyBorder="1" applyAlignment="1">
      <alignment horizontal="center" vertical="center"/>
    </xf>
    <xf numFmtId="298" fontId="7" fillId="2" borderId="82" xfId="466" applyNumberFormat="1" applyFont="1" applyFill="1" applyBorder="1" applyAlignment="1">
      <alignment horizontal="center" vertical="center"/>
    </xf>
    <xf numFmtId="0" fontId="6" fillId="2" borderId="82" xfId="0" applyFont="1" applyFill="1" applyBorder="1" applyAlignment="1" applyProtection="1">
      <alignment vertical="center"/>
      <protection locked="0"/>
    </xf>
    <xf numFmtId="0" fontId="244" fillId="176" borderId="98" xfId="0" applyFont="1" applyFill="1" applyBorder="1" applyAlignment="1">
      <alignment vertical="center"/>
    </xf>
    <xf numFmtId="298" fontId="0" fillId="176" borderId="0" xfId="466" applyNumberFormat="1" applyFont="1" applyFill="1" applyBorder="1" applyAlignment="1">
      <alignment vertical="center"/>
    </xf>
    <xf numFmtId="0" fontId="0" fillId="176" borderId="82" xfId="0" applyFill="1" applyBorder="1" applyAlignment="1">
      <alignment vertical="center"/>
    </xf>
    <xf numFmtId="298" fontId="0" fillId="176" borderId="98" xfId="466" applyNumberFormat="1" applyFont="1" applyFill="1" applyBorder="1" applyAlignment="1">
      <alignment horizontal="center" vertical="center"/>
    </xf>
    <xf numFmtId="298" fontId="0" fillId="176" borderId="81" xfId="466" applyNumberFormat="1" applyFont="1" applyFill="1" applyBorder="1" applyAlignment="1">
      <alignment horizontal="center" vertical="center"/>
    </xf>
    <xf numFmtId="0" fontId="0" fillId="176" borderId="81" xfId="0" applyFill="1" applyBorder="1" applyAlignment="1">
      <alignment horizontal="center" vertical="center"/>
    </xf>
    <xf numFmtId="167" fontId="1" fillId="176" borderId="0" xfId="2911" applyNumberFormat="1" applyFont="1" applyFill="1" applyBorder="1" applyAlignment="1">
      <alignment horizontal="center" vertical="center"/>
    </xf>
    <xf numFmtId="167" fontId="1" fillId="176" borderId="82" xfId="2911" applyNumberFormat="1" applyFont="1" applyFill="1" applyBorder="1" applyAlignment="1">
      <alignment horizontal="center" vertical="center"/>
    </xf>
    <xf numFmtId="0" fontId="0" fillId="176" borderId="0" xfId="0" applyFill="1" applyAlignment="1">
      <alignment horizontal="center" vertical="center"/>
    </xf>
    <xf numFmtId="0" fontId="0" fillId="176" borderId="82" xfId="0" applyFill="1" applyBorder="1" applyAlignment="1">
      <alignment horizontal="center" vertical="center"/>
    </xf>
    <xf numFmtId="167" fontId="0" fillId="176" borderId="81" xfId="2911" applyNumberFormat="1" applyFont="1" applyFill="1" applyBorder="1" applyAlignment="1">
      <alignment horizontal="center" vertical="center"/>
    </xf>
    <xf numFmtId="167" fontId="0" fillId="176" borderId="82" xfId="2911" applyNumberFormat="1" applyFont="1" applyFill="1" applyBorder="1" applyAlignment="1">
      <alignment horizontal="center" vertical="center"/>
    </xf>
    <xf numFmtId="298" fontId="7" fillId="176" borderId="82" xfId="466" applyNumberFormat="1" applyFont="1" applyFill="1" applyBorder="1" applyAlignment="1">
      <alignment horizontal="center" vertical="center"/>
    </xf>
    <xf numFmtId="167" fontId="0" fillId="176" borderId="0" xfId="2911" applyNumberFormat="1" applyFont="1" applyFill="1" applyBorder="1" applyAlignment="1">
      <alignment horizontal="center" vertical="center"/>
    </xf>
    <xf numFmtId="0" fontId="0" fillId="176" borderId="0" xfId="0" applyFill="1" applyAlignment="1">
      <alignment vertical="center" wrapText="1"/>
    </xf>
    <xf numFmtId="298" fontId="0" fillId="176" borderId="124" xfId="0" applyNumberFormat="1" applyFill="1" applyBorder="1" applyAlignment="1" applyProtection="1">
      <alignment vertical="center" wrapText="1"/>
      <protection locked="0"/>
    </xf>
    <xf numFmtId="167" fontId="0" fillId="176" borderId="0" xfId="2911" applyNumberFormat="1" applyFont="1" applyFill="1" applyBorder="1" applyAlignment="1" applyProtection="1">
      <alignment vertical="center" wrapText="1"/>
      <protection locked="0"/>
    </xf>
    <xf numFmtId="298" fontId="0" fillId="176" borderId="0" xfId="0" applyNumberFormat="1" applyFill="1" applyProtection="1">
      <protection locked="0"/>
    </xf>
    <xf numFmtId="167" fontId="0" fillId="176" borderId="0" xfId="2911" applyNumberFormat="1" applyFont="1" applyFill="1" applyBorder="1" applyProtection="1">
      <protection locked="0"/>
    </xf>
    <xf numFmtId="0" fontId="0" fillId="176" borderId="125" xfId="0" applyFill="1" applyBorder="1" applyAlignment="1" applyProtection="1">
      <alignment vertical="center"/>
      <protection locked="0"/>
    </xf>
    <xf numFmtId="0" fontId="0" fillId="176" borderId="82" xfId="0" applyFill="1" applyBorder="1" applyAlignment="1" applyProtection="1">
      <alignment vertical="center"/>
      <protection locked="0"/>
    </xf>
    <xf numFmtId="167" fontId="1" fillId="174" borderId="0" xfId="2911" applyNumberFormat="1" applyFont="1" applyFill="1" applyBorder="1" applyAlignment="1">
      <alignment horizontal="center" vertical="center"/>
    </xf>
    <xf numFmtId="10" fontId="6" fillId="0" borderId="0" xfId="2911" applyNumberFormat="1" applyFont="1" applyBorder="1" applyAlignment="1">
      <alignment horizontal="center" vertical="center"/>
    </xf>
    <xf numFmtId="298" fontId="0" fillId="0" borderId="82" xfId="466" applyNumberFormat="1" applyFont="1" applyBorder="1" applyAlignment="1">
      <alignment horizontal="center" vertical="center"/>
    </xf>
    <xf numFmtId="167" fontId="1" fillId="174" borderId="82" xfId="2911" applyNumberFormat="1" applyFont="1" applyFill="1" applyBorder="1" applyAlignment="1">
      <alignment horizontal="center" vertical="center"/>
    </xf>
    <xf numFmtId="167" fontId="6" fillId="0" borderId="82" xfId="2911" applyNumberFormat="1" applyFont="1" applyBorder="1" applyAlignment="1">
      <alignment horizontal="center" vertical="center"/>
    </xf>
    <xf numFmtId="167" fontId="6" fillId="148" borderId="0" xfId="2911" applyNumberFormat="1" applyFont="1" applyFill="1" applyBorder="1" applyAlignment="1">
      <alignment horizontal="center" vertical="center"/>
    </xf>
    <xf numFmtId="167" fontId="6" fillId="174" borderId="82" xfId="2911" applyNumberFormat="1" applyFont="1" applyFill="1" applyBorder="1" applyAlignment="1">
      <alignment horizontal="center" vertical="center"/>
    </xf>
    <xf numFmtId="10" fontId="0" fillId="174" borderId="82" xfId="2911" applyNumberFormat="1" applyFont="1" applyFill="1" applyBorder="1" applyAlignment="1">
      <alignment horizontal="center" vertical="center"/>
    </xf>
    <xf numFmtId="0" fontId="6" fillId="148" borderId="82" xfId="0" applyFont="1" applyFill="1" applyBorder="1" applyAlignment="1" applyProtection="1">
      <alignment vertical="center"/>
      <protection locked="0"/>
    </xf>
    <xf numFmtId="167" fontId="219" fillId="0" borderId="82" xfId="2911" applyNumberFormat="1" applyFont="1" applyBorder="1" applyAlignment="1">
      <alignment horizontal="center" vertical="center"/>
    </xf>
    <xf numFmtId="167" fontId="253" fillId="2" borderId="0" xfId="2911" applyNumberFormat="1" applyFont="1" applyFill="1" applyBorder="1" applyAlignment="1">
      <alignment horizontal="center" vertical="center"/>
    </xf>
    <xf numFmtId="10" fontId="6" fillId="2" borderId="0" xfId="2911" applyNumberFormat="1" applyFont="1" applyFill="1" applyBorder="1" applyAlignment="1">
      <alignment horizontal="center" vertical="center"/>
    </xf>
    <xf numFmtId="167" fontId="219" fillId="0" borderId="82" xfId="2911" applyNumberFormat="1" applyFont="1" applyBorder="1" applyAlignment="1">
      <alignment horizontal="center" vertical="center" wrapText="1"/>
    </xf>
    <xf numFmtId="167" fontId="6" fillId="0" borderId="82" xfId="2911" applyNumberFormat="1" applyFont="1" applyFill="1" applyBorder="1" applyAlignment="1">
      <alignment horizontal="center" vertical="center"/>
    </xf>
    <xf numFmtId="167" fontId="219" fillId="0" borderId="0" xfId="2911" applyNumberFormat="1" applyFont="1" applyBorder="1" applyAlignment="1">
      <alignment horizontal="center" vertical="center" wrapText="1"/>
    </xf>
    <xf numFmtId="10" fontId="6" fillId="0" borderId="82" xfId="2911" applyNumberFormat="1" applyFont="1" applyFill="1" applyBorder="1" applyAlignment="1">
      <alignment horizontal="center" vertical="center"/>
    </xf>
    <xf numFmtId="167" fontId="0" fillId="0" borderId="0" xfId="2911" applyNumberFormat="1" applyFont="1" applyFill="1" applyBorder="1" applyAlignment="1">
      <alignment horizontal="center" vertical="center"/>
    </xf>
    <xf numFmtId="10" fontId="6" fillId="0" borderId="82" xfId="2911" applyNumberFormat="1" applyFont="1" applyBorder="1" applyAlignment="1">
      <alignment horizontal="center" vertical="center"/>
    </xf>
    <xf numFmtId="10" fontId="6" fillId="2" borderId="82" xfId="2911" applyNumberFormat="1" applyFont="1" applyFill="1" applyBorder="1" applyAlignment="1">
      <alignment horizontal="center" vertical="center"/>
    </xf>
    <xf numFmtId="0" fontId="6" fillId="2" borderId="125" xfId="0" applyFont="1" applyFill="1" applyBorder="1" applyAlignment="1" applyProtection="1">
      <alignment vertical="center"/>
      <protection locked="0"/>
    </xf>
    <xf numFmtId="167" fontId="7" fillId="0" borderId="81" xfId="2911" applyNumberFormat="1" applyFont="1" applyFill="1" applyBorder="1" applyAlignment="1">
      <alignment horizontal="center" vertical="center"/>
    </xf>
    <xf numFmtId="10" fontId="6" fillId="0" borderId="81" xfId="2911" applyNumberFormat="1" applyFont="1" applyBorder="1" applyAlignment="1">
      <alignment horizontal="center" vertical="center"/>
    </xf>
    <xf numFmtId="10" fontId="6" fillId="2" borderId="0" xfId="2911" applyNumberFormat="1" applyFont="1" applyFill="1" applyBorder="1" applyAlignment="1">
      <alignment horizontal="center" vertical="center" wrapText="1"/>
    </xf>
    <xf numFmtId="0" fontId="7" fillId="0" borderId="82" xfId="0" applyFont="1" applyBorder="1" applyAlignment="1" applyProtection="1">
      <alignment vertical="center"/>
      <protection locked="0"/>
    </xf>
    <xf numFmtId="167" fontId="6" fillId="0" borderId="123" xfId="2911" applyNumberFormat="1" applyFont="1" applyBorder="1" applyAlignment="1">
      <alignment horizontal="center" vertical="center"/>
    </xf>
    <xf numFmtId="167" fontId="6" fillId="0" borderId="81" xfId="2911" applyNumberFormat="1" applyFont="1" applyBorder="1" applyAlignment="1">
      <alignment horizontal="center" vertical="center"/>
    </xf>
    <xf numFmtId="167" fontId="0" fillId="0" borderId="0" xfId="2911" applyNumberFormat="1" applyFont="1" applyFill="1" applyBorder="1" applyAlignment="1">
      <alignment horizontal="center" vertical="center" wrapText="1"/>
    </xf>
    <xf numFmtId="167" fontId="7" fillId="0" borderId="81" xfId="466" applyNumberFormat="1" applyFont="1" applyFill="1" applyBorder="1" applyAlignment="1">
      <alignment horizontal="center" vertical="center"/>
    </xf>
    <xf numFmtId="10" fontId="219" fillId="0" borderId="0" xfId="2911" applyNumberFormat="1" applyFont="1" applyBorder="1" applyAlignment="1">
      <alignment horizontal="center" vertical="center"/>
    </xf>
    <xf numFmtId="298" fontId="0" fillId="2" borderId="82" xfId="466" applyNumberFormat="1" applyFont="1" applyFill="1" applyBorder="1" applyAlignment="1">
      <alignment horizontal="center" vertical="center"/>
    </xf>
    <xf numFmtId="167" fontId="6" fillId="0" borderId="82" xfId="2911" applyNumberFormat="1" applyFont="1" applyFill="1" applyBorder="1" applyAlignment="1">
      <alignment horizontal="center" vertical="center" wrapText="1"/>
    </xf>
    <xf numFmtId="10" fontId="0" fillId="148" borderId="82" xfId="2911" applyNumberFormat="1" applyFont="1" applyFill="1" applyBorder="1" applyAlignment="1">
      <alignment horizontal="center" vertical="center"/>
    </xf>
    <xf numFmtId="0" fontId="0" fillId="148" borderId="125" xfId="0" applyFill="1" applyBorder="1" applyAlignment="1" applyProtection="1">
      <alignment vertical="center"/>
      <protection locked="0"/>
    </xf>
    <xf numFmtId="0" fontId="0" fillId="0" borderId="82" xfId="0" applyBorder="1" applyAlignment="1">
      <alignment vertical="center" wrapText="1"/>
    </xf>
    <xf numFmtId="167" fontId="0" fillId="0" borderId="0" xfId="466" applyNumberFormat="1" applyFont="1" applyFill="1" applyBorder="1" applyAlignment="1">
      <alignment horizontal="center" vertical="center"/>
    </xf>
    <xf numFmtId="10" fontId="6" fillId="0" borderId="0" xfId="2911" applyNumberFormat="1" applyFont="1" applyBorder="1" applyAlignment="1">
      <alignment horizontal="center" vertical="center" wrapText="1"/>
    </xf>
    <xf numFmtId="10" fontId="6" fillId="148" borderId="0" xfId="2911" applyNumberFormat="1" applyFont="1" applyFill="1" applyBorder="1" applyAlignment="1">
      <alignment horizontal="center" vertical="center" wrapText="1"/>
    </xf>
    <xf numFmtId="0" fontId="6" fillId="0" borderId="82" xfId="0" applyFont="1" applyBorder="1" applyAlignment="1" applyProtection="1">
      <alignment vertical="center"/>
      <protection locked="0"/>
    </xf>
    <xf numFmtId="10" fontId="6" fillId="0" borderId="0" xfId="2911" applyNumberFormat="1" applyFont="1" applyFill="1" applyBorder="1" applyAlignment="1">
      <alignment horizontal="center" vertical="center" wrapText="1"/>
    </xf>
    <xf numFmtId="10" fontId="6" fillId="0" borderId="82" xfId="2911" applyNumberFormat="1" applyFont="1" applyFill="1" applyBorder="1" applyAlignment="1">
      <alignment horizontal="center" vertical="center" wrapText="1"/>
    </xf>
    <xf numFmtId="0" fontId="0" fillId="0" borderId="125" xfId="0" applyBorder="1" applyAlignment="1" applyProtection="1">
      <alignment horizontal="center" vertical="center"/>
      <protection locked="0"/>
    </xf>
    <xf numFmtId="10" fontId="0" fillId="0" borderId="0" xfId="2911" applyNumberFormat="1" applyFont="1" applyAlignment="1">
      <alignment horizontal="center" vertical="center"/>
    </xf>
    <xf numFmtId="298" fontId="0" fillId="176" borderId="0" xfId="466" applyNumberFormat="1" applyFont="1" applyFill="1" applyBorder="1" applyAlignment="1">
      <alignment horizontal="center" vertical="center"/>
    </xf>
    <xf numFmtId="167" fontId="0" fillId="176" borderId="123" xfId="2911" applyNumberFormat="1" applyFont="1" applyFill="1" applyBorder="1" applyAlignment="1">
      <alignment horizontal="center" vertical="center"/>
    </xf>
    <xf numFmtId="298" fontId="0" fillId="176" borderId="82" xfId="466" applyNumberFormat="1" applyFont="1" applyFill="1" applyBorder="1" applyAlignment="1">
      <alignment horizontal="center" vertical="center"/>
    </xf>
    <xf numFmtId="167" fontId="0" fillId="144" borderId="0" xfId="2911" applyNumberFormat="1" applyFont="1" applyFill="1" applyBorder="1" applyAlignment="1">
      <alignment horizontal="center" vertical="center"/>
    </xf>
    <xf numFmtId="298" fontId="0" fillId="0" borderId="98" xfId="466" applyNumberFormat="1" applyFont="1" applyFill="1" applyBorder="1" applyAlignment="1">
      <alignment horizontal="center" vertical="center"/>
    </xf>
    <xf numFmtId="0" fontId="0" fillId="0" borderId="82" xfId="466" applyNumberFormat="1" applyFont="1" applyBorder="1" applyAlignment="1">
      <alignment horizontal="center" vertical="center"/>
    </xf>
    <xf numFmtId="0" fontId="244" fillId="0" borderId="87" xfId="0" applyFont="1" applyBorder="1" applyAlignment="1">
      <alignment vertical="center"/>
    </xf>
    <xf numFmtId="298" fontId="0" fillId="0" borderId="87" xfId="466" applyNumberFormat="1" applyFont="1" applyFill="1" applyBorder="1" applyAlignment="1">
      <alignment horizontal="center" vertical="center"/>
    </xf>
    <xf numFmtId="167" fontId="0" fillId="0" borderId="83" xfId="466" applyNumberFormat="1" applyFont="1" applyFill="1" applyBorder="1" applyAlignment="1">
      <alignment horizontal="center" vertical="center"/>
    </xf>
    <xf numFmtId="167" fontId="0" fillId="0" borderId="84" xfId="2911" applyNumberFormat="1" applyFont="1" applyFill="1" applyBorder="1" applyAlignment="1">
      <alignment horizontal="center" vertical="center"/>
    </xf>
    <xf numFmtId="167" fontId="0" fillId="174" borderId="84" xfId="2911" applyNumberFormat="1" applyFont="1" applyFill="1" applyBorder="1" applyAlignment="1">
      <alignment horizontal="center" vertical="center"/>
    </xf>
    <xf numFmtId="3" fontId="7" fillId="0" borderId="87" xfId="466" applyNumberFormat="1" applyFont="1" applyBorder="1" applyAlignment="1">
      <alignment horizontal="center" vertical="center"/>
    </xf>
    <xf numFmtId="298" fontId="0" fillId="0" borderId="84" xfId="466" applyNumberFormat="1" applyFont="1" applyBorder="1" applyAlignment="1">
      <alignment horizontal="center" vertical="center"/>
    </xf>
    <xf numFmtId="0" fontId="0" fillId="0" borderId="46" xfId="0" applyBorder="1" applyAlignment="1">
      <alignment vertical="center" wrapText="1"/>
    </xf>
    <xf numFmtId="298" fontId="0" fillId="0" borderId="133" xfId="0" applyNumberFormat="1" applyBorder="1" applyAlignment="1" applyProtection="1">
      <alignment vertical="center" wrapText="1"/>
      <protection locked="0"/>
    </xf>
    <xf numFmtId="167" fontId="0" fillId="0" borderId="46" xfId="2911" applyNumberFormat="1" applyFont="1" applyBorder="1" applyAlignment="1" applyProtection="1">
      <alignment vertical="center" wrapText="1"/>
      <protection locked="0"/>
    </xf>
    <xf numFmtId="298" fontId="0" fillId="0" borderId="46" xfId="0" applyNumberFormat="1" applyBorder="1" applyProtection="1">
      <protection locked="0"/>
    </xf>
    <xf numFmtId="167" fontId="0" fillId="0" borderId="46" xfId="2911" applyNumberFormat="1" applyFont="1" applyBorder="1" applyProtection="1">
      <protection locked="0"/>
    </xf>
    <xf numFmtId="0" fontId="0" fillId="0" borderId="134" xfId="0" applyBorder="1" applyAlignment="1" applyProtection="1">
      <alignment vertical="center"/>
      <protection locked="0"/>
    </xf>
    <xf numFmtId="0" fontId="0" fillId="0" borderId="84" xfId="0" applyBorder="1" applyAlignment="1" applyProtection="1">
      <alignment vertical="center"/>
      <protection locked="0"/>
    </xf>
    <xf numFmtId="298" fontId="2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0" fontId="2" fillId="0" borderId="0" xfId="2911" applyNumberFormat="1" applyFont="1" applyAlignment="1">
      <alignment horizontal="center" vertical="center"/>
    </xf>
    <xf numFmtId="167" fontId="2" fillId="0" borderId="0" xfId="2911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167" fontId="2" fillId="0" borderId="0" xfId="2911" applyNumberFormat="1" applyFont="1"/>
    <xf numFmtId="14" fontId="0" fillId="2" borderId="0" xfId="0" applyNumberFormat="1" applyFill="1"/>
    <xf numFmtId="0" fontId="240" fillId="0" borderId="0" xfId="0" applyFont="1" applyAlignment="1">
      <alignment wrapText="1"/>
    </xf>
    <xf numFmtId="293" fontId="73" fillId="0" borderId="0" xfId="0" applyNumberFormat="1" applyFont="1" applyAlignment="1">
      <alignment horizontal="center"/>
    </xf>
    <xf numFmtId="168" fontId="0" fillId="148" borderId="7" xfId="466" applyNumberFormat="1" applyFont="1" applyFill="1" applyBorder="1"/>
    <xf numFmtId="168" fontId="0" fillId="168" borderId="7" xfId="466" applyNumberFormat="1" applyFont="1" applyFill="1" applyBorder="1"/>
    <xf numFmtId="168" fontId="0" fillId="148" borderId="129" xfId="466" applyNumberFormat="1" applyFont="1" applyFill="1" applyBorder="1"/>
    <xf numFmtId="168" fontId="0" fillId="154" borderId="7" xfId="466" applyNumberFormat="1" applyFont="1" applyFill="1" applyBorder="1"/>
    <xf numFmtId="168" fontId="0" fillId="148" borderId="128" xfId="466" applyNumberFormat="1" applyFont="1" applyFill="1" applyBorder="1"/>
    <xf numFmtId="168" fontId="0" fillId="6" borderId="7" xfId="0" applyNumberFormat="1" applyFill="1" applyBorder="1"/>
    <xf numFmtId="0" fontId="0" fillId="6" borderId="7" xfId="0" applyFill="1" applyBorder="1"/>
    <xf numFmtId="168" fontId="0" fillId="2" borderId="7" xfId="466" applyNumberFormat="1" applyFont="1" applyFill="1" applyBorder="1"/>
    <xf numFmtId="168" fontId="0" fillId="2" borderId="130" xfId="466" applyNumberFormat="1" applyFont="1" applyFill="1" applyBorder="1"/>
    <xf numFmtId="3" fontId="0" fillId="2" borderId="7" xfId="0" applyNumberFormat="1" applyFill="1" applyBorder="1"/>
    <xf numFmtId="168" fontId="0" fillId="0" borderId="0" xfId="466" applyNumberFormat="1" applyFont="1"/>
    <xf numFmtId="168" fontId="0" fillId="163" borderId="0" xfId="466" applyNumberFormat="1" applyFont="1" applyFill="1"/>
    <xf numFmtId="168" fontId="0" fillId="176" borderId="0" xfId="466" applyNumberFormat="1" applyFont="1" applyFill="1"/>
    <xf numFmtId="0" fontId="0" fillId="176" borderId="0" xfId="0" applyFill="1"/>
    <xf numFmtId="43" fontId="0" fillId="0" borderId="0" xfId="466" applyFont="1"/>
    <xf numFmtId="43" fontId="0" fillId="149" borderId="0" xfId="466" applyFont="1" applyFill="1"/>
    <xf numFmtId="168" fontId="0" fillId="176" borderId="0" xfId="1" applyNumberFormat="1" applyFont="1" applyFill="1"/>
    <xf numFmtId="168" fontId="7" fillId="0" borderId="0" xfId="1" applyNumberFormat="1" applyFont="1" applyFill="1"/>
    <xf numFmtId="168" fontId="12" fillId="2" borderId="0" xfId="0" applyNumberFormat="1" applyFont="1" applyFill="1"/>
    <xf numFmtId="0" fontId="5" fillId="61" borderId="0" xfId="0" applyFont="1" applyFill="1" applyBorder="1" applyAlignment="1">
      <alignment vertical="top"/>
    </xf>
    <xf numFmtId="290" fontId="0" fillId="144" borderId="0" xfId="0" applyNumberFormat="1" applyFill="1"/>
    <xf numFmtId="290" fontId="0" fillId="161" borderId="0" xfId="0" applyNumberFormat="1" applyFill="1"/>
    <xf numFmtId="0" fontId="229" fillId="144" borderId="0" xfId="0" applyFont="1" applyFill="1" applyAlignment="1">
      <alignment horizontal="right"/>
    </xf>
    <xf numFmtId="0" fontId="229" fillId="144" borderId="0" xfId="0" applyFont="1" applyFill="1"/>
    <xf numFmtId="168" fontId="229" fillId="144" borderId="0" xfId="0" applyNumberFormat="1" applyFont="1" applyFill="1"/>
    <xf numFmtId="168" fontId="229" fillId="144" borderId="0" xfId="1" applyNumberFormat="1" applyFont="1" applyFill="1" applyBorder="1"/>
    <xf numFmtId="167" fontId="229" fillId="144" borderId="0" xfId="2911" applyNumberFormat="1" applyFont="1" applyFill="1" applyBorder="1"/>
    <xf numFmtId="0" fontId="229" fillId="149" borderId="0" xfId="0" applyFont="1" applyFill="1" applyAlignment="1">
      <alignment horizontal="right"/>
    </xf>
    <xf numFmtId="0" fontId="229" fillId="149" borderId="0" xfId="0" applyFont="1" applyFill="1"/>
    <xf numFmtId="168" fontId="229" fillId="149" borderId="0" xfId="0" applyNumberFormat="1" applyFont="1" applyFill="1"/>
    <xf numFmtId="168" fontId="229" fillId="149" borderId="0" xfId="1" applyNumberFormat="1" applyFont="1" applyFill="1" applyBorder="1"/>
    <xf numFmtId="167" fontId="229" fillId="149" borderId="0" xfId="2911" applyNumberFormat="1" applyFont="1" applyFill="1" applyBorder="1"/>
    <xf numFmtId="168" fontId="229" fillId="149" borderId="0" xfId="0" applyNumberFormat="1" applyFont="1" applyFill="1" applyBorder="1"/>
    <xf numFmtId="165" fontId="12" fillId="0" borderId="0" xfId="0" applyNumberFormat="1" applyFont="1" applyFill="1"/>
    <xf numFmtId="167" fontId="0" fillId="0" borderId="0" xfId="2911" applyNumberFormat="1" applyFont="1"/>
    <xf numFmtId="168" fontId="5" fillId="0" borderId="107" xfId="1" applyNumberFormat="1" applyFont="1" applyFill="1" applyBorder="1" applyAlignment="1">
      <alignment horizontal="left"/>
    </xf>
    <xf numFmtId="168" fontId="5" fillId="0" borderId="107" xfId="1" applyNumberFormat="1" applyFont="1" applyFill="1" applyBorder="1" applyAlignment="1">
      <alignment horizontal="center"/>
    </xf>
    <xf numFmtId="165" fontId="218" fillId="166" borderId="0" xfId="1" applyFont="1" applyFill="1" applyAlignment="1">
      <alignment horizontal="center" wrapText="1"/>
    </xf>
    <xf numFmtId="0" fontId="2" fillId="0" borderId="32" xfId="0" applyFont="1" applyBorder="1" applyAlignment="1" applyProtection="1">
      <alignment horizontal="center" vertical="center" wrapText="1"/>
      <protection locked="0"/>
    </xf>
    <xf numFmtId="0" fontId="2" fillId="167" borderId="78" xfId="0" applyFont="1" applyFill="1" applyBorder="1" applyAlignment="1">
      <alignment horizontal="center" vertical="center" wrapText="1"/>
    </xf>
    <xf numFmtId="0" fontId="2" fillId="167" borderId="98" xfId="0" applyFont="1" applyFill="1" applyBorder="1" applyAlignment="1">
      <alignment horizontal="center" vertical="center" wrapText="1"/>
    </xf>
    <xf numFmtId="0" fontId="2" fillId="167" borderId="87" xfId="0" applyFont="1" applyFill="1" applyBorder="1" applyAlignment="1">
      <alignment horizontal="center" vertical="center" wrapText="1"/>
    </xf>
    <xf numFmtId="0" fontId="2" fillId="0" borderId="79" xfId="0" applyFont="1" applyBorder="1" applyAlignment="1">
      <alignment horizontal="center" vertical="center"/>
    </xf>
    <xf numFmtId="0" fontId="2" fillId="0" borderId="80" xfId="0" applyFont="1" applyBorder="1" applyAlignment="1">
      <alignment horizontal="center" vertical="center"/>
    </xf>
    <xf numFmtId="167" fontId="2" fillId="0" borderId="66" xfId="2911" applyNumberFormat="1" applyFont="1" applyBorder="1" applyAlignment="1">
      <alignment horizontal="center" vertical="center"/>
    </xf>
    <xf numFmtId="167" fontId="2" fillId="0" borderId="26" xfId="2911" applyNumberFormat="1" applyFont="1" applyBorder="1" applyAlignment="1">
      <alignment horizontal="center" vertical="center"/>
    </xf>
    <xf numFmtId="167" fontId="2" fillId="0" borderId="121" xfId="2911" applyNumberFormat="1" applyFont="1" applyBorder="1" applyAlignment="1">
      <alignment horizontal="center" vertical="center"/>
    </xf>
    <xf numFmtId="167" fontId="2" fillId="0" borderId="79" xfId="2911" applyNumberFormat="1" applyFont="1" applyBorder="1" applyAlignment="1">
      <alignment horizontal="center" vertical="center"/>
    </xf>
    <xf numFmtId="167" fontId="2" fillId="0" borderId="32" xfId="2911" applyNumberFormat="1" applyFont="1" applyBorder="1" applyAlignment="1">
      <alignment horizontal="center" vertical="center"/>
    </xf>
    <xf numFmtId="167" fontId="2" fillId="0" borderId="80" xfId="2911" applyNumberFormat="1" applyFont="1" applyBorder="1" applyAlignment="1">
      <alignment horizontal="center" vertical="center"/>
    </xf>
    <xf numFmtId="0" fontId="10" fillId="152" borderId="85" xfId="0" applyFont="1" applyFill="1" applyBorder="1" applyAlignment="1">
      <alignment horizontal="center" vertical="center" wrapText="1"/>
    </xf>
    <xf numFmtId="0" fontId="10" fillId="152" borderId="86" xfId="0" applyFont="1" applyFill="1" applyBorder="1" applyAlignment="1">
      <alignment horizontal="center" vertical="center" wrapText="1"/>
    </xf>
    <xf numFmtId="0" fontId="10" fillId="148" borderId="78" xfId="0" applyFont="1" applyFill="1" applyBorder="1" applyAlignment="1">
      <alignment horizontal="center" vertical="center" wrapText="1"/>
    </xf>
    <xf numFmtId="0" fontId="10" fillId="148" borderId="87" xfId="0" applyFont="1" applyFill="1" applyBorder="1" applyAlignment="1">
      <alignment horizontal="center" vertical="center" wrapText="1"/>
    </xf>
    <xf numFmtId="0" fontId="10" fillId="148" borderId="79" xfId="0" applyFont="1" applyFill="1" applyBorder="1" applyAlignment="1">
      <alignment horizontal="center" vertical="center" wrapText="1"/>
    </xf>
    <xf numFmtId="0" fontId="10" fillId="148" borderId="83" xfId="0" applyFont="1" applyFill="1" applyBorder="1" applyAlignment="1">
      <alignment horizontal="center" vertical="center" wrapText="1"/>
    </xf>
  </cellXfs>
  <cellStyles count="2914">
    <cellStyle name="_x0013_" xfId="957" xr:uid="{00000000-0005-0000-0000-000000000000}"/>
    <cellStyle name="_x0013_ 2" xfId="958" xr:uid="{00000000-0005-0000-0000-000001000000}"/>
    <cellStyle name="$1000s (0)" xfId="39" xr:uid="{00000000-0005-0000-0000-000002000000}"/>
    <cellStyle name="%" xfId="40" xr:uid="{00000000-0005-0000-0000-000003000000}"/>
    <cellStyle name="% 2" xfId="41" xr:uid="{00000000-0005-0000-0000-000004000000}"/>
    <cellStyle name="% 2 2" xfId="42" xr:uid="{00000000-0005-0000-0000-000005000000}"/>
    <cellStyle name="% 3" xfId="43" xr:uid="{00000000-0005-0000-0000-000006000000}"/>
    <cellStyle name="% 4" xfId="44" xr:uid="{00000000-0005-0000-0000-000007000000}"/>
    <cellStyle name="% 5" xfId="959" xr:uid="{00000000-0005-0000-0000-000008000000}"/>
    <cellStyle name="%_cAPEX" xfId="45" xr:uid="{00000000-0005-0000-0000-000009000000}"/>
    <cellStyle name="%_cAPEX (2)" xfId="46" xr:uid="{00000000-0005-0000-0000-00000A000000}"/>
    <cellStyle name="%_CAPEX BD" xfId="47" xr:uid="{00000000-0005-0000-0000-00000B000000}"/>
    <cellStyle name="%_CAPEX Other" xfId="48" xr:uid="{00000000-0005-0000-0000-00000C000000}"/>
    <cellStyle name="??" xfId="960" xr:uid="{00000000-0005-0000-0000-00000D000000}"/>
    <cellStyle name="?? [0.00]_PRODUCT DETAIL Q1" xfId="961" xr:uid="{00000000-0005-0000-0000-00000E000000}"/>
    <cellStyle name="?? [0]_??" xfId="962" xr:uid="{00000000-0005-0000-0000-00000F000000}"/>
    <cellStyle name="???? [0.00]_PRODUCT DETAIL Q1" xfId="963" xr:uid="{00000000-0005-0000-0000-000010000000}"/>
    <cellStyle name="????_PRODUCT DETAIL Q1" xfId="964" xr:uid="{00000000-0005-0000-0000-000011000000}"/>
    <cellStyle name="??_(????)??????" xfId="965" xr:uid="{00000000-0005-0000-0000-000012000000}"/>
    <cellStyle name="_$Rollup77" xfId="966" xr:uid="{00000000-0005-0000-0000-000013000000}"/>
    <cellStyle name="_$Rollup77 2" xfId="967" xr:uid="{00000000-0005-0000-0000-000014000000}"/>
    <cellStyle name="_%(SignOnly)" xfId="968" xr:uid="{00000000-0005-0000-0000-000015000000}"/>
    <cellStyle name="_%(SignOnly) 2" xfId="969" xr:uid="{00000000-0005-0000-0000-000016000000}"/>
    <cellStyle name="_%(SignOnly) 3" xfId="970" xr:uid="{00000000-0005-0000-0000-000017000000}"/>
    <cellStyle name="_%(SignSpaceOnly)" xfId="971" xr:uid="{00000000-0005-0000-0000-000018000000}"/>
    <cellStyle name="_%(SignSpaceOnly) 2" xfId="972" xr:uid="{00000000-0005-0000-0000-000019000000}"/>
    <cellStyle name="_%(SignSpaceOnly) 3" xfId="973" xr:uid="{00000000-0005-0000-0000-00001A000000}"/>
    <cellStyle name="__ [0]___" xfId="974" xr:uid="{00000000-0005-0000-0000-00001B000000}"/>
    <cellStyle name="__ [0]___ 2" xfId="975" xr:uid="{00000000-0005-0000-0000-00001C000000}"/>
    <cellStyle name="__ [0]____" xfId="976" xr:uid="{00000000-0005-0000-0000-00001D000000}"/>
    <cellStyle name="__ [0]____ 2" xfId="977" xr:uid="{00000000-0005-0000-0000-00001E000000}"/>
    <cellStyle name="__ [0]______" xfId="978" xr:uid="{00000000-0005-0000-0000-00001F000000}"/>
    <cellStyle name="__ [0]______ 2" xfId="979" xr:uid="{00000000-0005-0000-0000-000020000000}"/>
    <cellStyle name="__ [0]__________" xfId="980" xr:uid="{00000000-0005-0000-0000-000021000000}"/>
    <cellStyle name="__ [0]__________ 2" xfId="981" xr:uid="{00000000-0005-0000-0000-000022000000}"/>
    <cellStyle name="__ [0]___________EWC 43.5MW8oMtresc 3_25_021" xfId="982" xr:uid="{00000000-0005-0000-0000-000023000000}"/>
    <cellStyle name="__ [0]___________EWC 43.5MW8oMtresc 3_25_021 2" xfId="983" xr:uid="{00000000-0005-0000-0000-000024000000}"/>
    <cellStyle name="__ [0]___________EWC 43.5MW8oMtresc 3_25_02v2" xfId="984" xr:uid="{00000000-0005-0000-0000-000025000000}"/>
    <cellStyle name="__ [0]___________EWC 43.5MW8oMtresc 3_25_02v2 2" xfId="985" xr:uid="{00000000-0005-0000-0000-000026000000}"/>
    <cellStyle name="__ [0]___________EWC 43.5MW8oMtresc 3_25_02v2w_esc" xfId="986" xr:uid="{00000000-0005-0000-0000-000027000000}"/>
    <cellStyle name="__ [0]___________EWC 43.5MW8oMtresc 3_25_02v2w_esc 2" xfId="987" xr:uid="{00000000-0005-0000-0000-000028000000}"/>
    <cellStyle name="__ [0]___________Wind farm - operation CF" xfId="988" xr:uid="{00000000-0005-0000-0000-000029000000}"/>
    <cellStyle name="__ [0]___________Wind farm - operation CF 2" xfId="989" xr:uid="{00000000-0005-0000-0000-00002A000000}"/>
    <cellStyle name="__ [0]_______EWC 43.5MW8oMtresc 3_25_021" xfId="990" xr:uid="{00000000-0005-0000-0000-00002B000000}"/>
    <cellStyle name="__ [0]_______EWC 43.5MW8oMtresc 3_25_021 2" xfId="991" xr:uid="{00000000-0005-0000-0000-00002C000000}"/>
    <cellStyle name="__ [0]_______EWC 43.5MW8oMtresc 3_25_02v2" xfId="992" xr:uid="{00000000-0005-0000-0000-00002D000000}"/>
    <cellStyle name="__ [0]_______EWC 43.5MW8oMtresc 3_25_02v2 2" xfId="993" xr:uid="{00000000-0005-0000-0000-00002E000000}"/>
    <cellStyle name="__ [0]_______EWC 43.5MW8oMtresc 3_25_02v2w_esc" xfId="994" xr:uid="{00000000-0005-0000-0000-00002F000000}"/>
    <cellStyle name="__ [0]_______EWC 43.5MW8oMtresc 3_25_02v2w_esc 2" xfId="995" xr:uid="{00000000-0005-0000-0000-000030000000}"/>
    <cellStyle name="__ [0]_______Wind farm - operation CF" xfId="996" xr:uid="{00000000-0005-0000-0000-000031000000}"/>
    <cellStyle name="__ [0]_______Wind farm - operation CF 2" xfId="997" xr:uid="{00000000-0005-0000-0000-000032000000}"/>
    <cellStyle name="__ [0]_____EWC 43.5MW8oMtresc 3_25_021" xfId="998" xr:uid="{00000000-0005-0000-0000-000033000000}"/>
    <cellStyle name="__ [0]_____EWC 43.5MW8oMtresc 3_25_021 2" xfId="999" xr:uid="{00000000-0005-0000-0000-000034000000}"/>
    <cellStyle name="__ [0]_____EWC 43.5MW8oMtresc 3_25_02v2" xfId="1000" xr:uid="{00000000-0005-0000-0000-000035000000}"/>
    <cellStyle name="__ [0]_____EWC 43.5MW8oMtresc 3_25_02v2 2" xfId="1001" xr:uid="{00000000-0005-0000-0000-000036000000}"/>
    <cellStyle name="__ [0]_____EWC 43.5MW8oMtresc 3_25_02v2w_esc" xfId="1002" xr:uid="{00000000-0005-0000-0000-000037000000}"/>
    <cellStyle name="__ [0]_____EWC 43.5MW8oMtresc 3_25_02v2w_esc 2" xfId="1003" xr:uid="{00000000-0005-0000-0000-000038000000}"/>
    <cellStyle name="__ [0]_____Wind farm - operation CF" xfId="1004" xr:uid="{00000000-0005-0000-0000-000039000000}"/>
    <cellStyle name="__ [0]_____Wind farm - operation CF 2" xfId="1005" xr:uid="{00000000-0005-0000-0000-00003A000000}"/>
    <cellStyle name="__ [0]____EWC 43.5MW8oMtresc 3_25_021" xfId="1006" xr:uid="{00000000-0005-0000-0000-00003B000000}"/>
    <cellStyle name="__ [0]____EWC 43.5MW8oMtresc 3_25_021 2" xfId="1007" xr:uid="{00000000-0005-0000-0000-00003C000000}"/>
    <cellStyle name="__ [0]____EWC 43.5MW8oMtresc 3_25_02v2" xfId="1008" xr:uid="{00000000-0005-0000-0000-00003D000000}"/>
    <cellStyle name="__ [0]____EWC 43.5MW8oMtresc 3_25_02v2 2" xfId="1009" xr:uid="{00000000-0005-0000-0000-00003E000000}"/>
    <cellStyle name="__ [0]____EWC 43.5MW8oMtresc 3_25_02v2w_esc" xfId="1010" xr:uid="{00000000-0005-0000-0000-00003F000000}"/>
    <cellStyle name="__ [0]____EWC 43.5MW8oMtresc 3_25_02v2w_esc 2" xfId="1011" xr:uid="{00000000-0005-0000-0000-000040000000}"/>
    <cellStyle name="__ [0]____Wind farm - operation CF" xfId="1012" xr:uid="{00000000-0005-0000-0000-000041000000}"/>
    <cellStyle name="__ [0]____Wind farm - operation CF 2" xfId="1013" xr:uid="{00000000-0005-0000-0000-000042000000}"/>
    <cellStyle name="__ [0]_94___" xfId="1014" xr:uid="{00000000-0005-0000-0000-000043000000}"/>
    <cellStyle name="__ [0]_94___ 2" xfId="1015" xr:uid="{00000000-0005-0000-0000-000044000000}"/>
    <cellStyle name="__ [0]_94____EWC 43.5MW8oMtresc 3_25_021" xfId="1016" xr:uid="{00000000-0005-0000-0000-000045000000}"/>
    <cellStyle name="__ [0]_94____EWC 43.5MW8oMtresc 3_25_021 2" xfId="1017" xr:uid="{00000000-0005-0000-0000-000046000000}"/>
    <cellStyle name="__ [0]_94____EWC 43.5MW8oMtresc 3_25_02v2" xfId="1018" xr:uid="{00000000-0005-0000-0000-000047000000}"/>
    <cellStyle name="__ [0]_94____EWC 43.5MW8oMtresc 3_25_02v2 2" xfId="1019" xr:uid="{00000000-0005-0000-0000-000048000000}"/>
    <cellStyle name="__ [0]_94____EWC 43.5MW8oMtresc 3_25_02v2w_esc" xfId="1020" xr:uid="{00000000-0005-0000-0000-000049000000}"/>
    <cellStyle name="__ [0]_94____EWC 43.5MW8oMtresc 3_25_02v2w_esc 2" xfId="1021" xr:uid="{00000000-0005-0000-0000-00004A000000}"/>
    <cellStyle name="__ [0]_94____Wind farm - operation CF" xfId="1022" xr:uid="{00000000-0005-0000-0000-00004B000000}"/>
    <cellStyle name="__ [0]_94____Wind farm - operation CF 2" xfId="1023" xr:uid="{00000000-0005-0000-0000-00004C000000}"/>
    <cellStyle name="__ [0]_dimon" xfId="1024" xr:uid="{00000000-0005-0000-0000-00004D000000}"/>
    <cellStyle name="__ [0]_dimon 2" xfId="1025" xr:uid="{00000000-0005-0000-0000-00004E000000}"/>
    <cellStyle name="__ [0]_form" xfId="1026" xr:uid="{00000000-0005-0000-0000-00004F000000}"/>
    <cellStyle name="__ [0]_form 2" xfId="1027" xr:uid="{00000000-0005-0000-0000-000050000000}"/>
    <cellStyle name="__ [0]_form_EWC 43.5MW8oMtresc 3_25_021" xfId="1028" xr:uid="{00000000-0005-0000-0000-000051000000}"/>
    <cellStyle name="__ [0]_form_EWC 43.5MW8oMtresc 3_25_021 2" xfId="1029" xr:uid="{00000000-0005-0000-0000-000052000000}"/>
    <cellStyle name="__ [0]_form_EWC 43.5MW8oMtresc 3_25_02v2" xfId="1030" xr:uid="{00000000-0005-0000-0000-000053000000}"/>
    <cellStyle name="__ [0]_form_EWC 43.5MW8oMtresc 3_25_02v2 2" xfId="1031" xr:uid="{00000000-0005-0000-0000-000054000000}"/>
    <cellStyle name="__ [0]_form_EWC 43.5MW8oMtresc 3_25_02v2w_esc" xfId="1032" xr:uid="{00000000-0005-0000-0000-000055000000}"/>
    <cellStyle name="__ [0]_form_EWC 43.5MW8oMtresc 3_25_02v2w_esc 2" xfId="1033" xr:uid="{00000000-0005-0000-0000-000056000000}"/>
    <cellStyle name="__ [0]_form_Wind farm - operation CF" xfId="1034" xr:uid="{00000000-0005-0000-0000-000057000000}"/>
    <cellStyle name="__ [0]_form_Wind farm - operation CF 2" xfId="1035" xr:uid="{00000000-0005-0000-0000-000058000000}"/>
    <cellStyle name="__ [0]_laroux" xfId="1036" xr:uid="{00000000-0005-0000-0000-000059000000}"/>
    <cellStyle name="__ [0]_laroux 2" xfId="1037" xr:uid="{00000000-0005-0000-0000-00005A000000}"/>
    <cellStyle name="__ [0]_laroux_1" xfId="1038" xr:uid="{00000000-0005-0000-0000-00005B000000}"/>
    <cellStyle name="__ [0]_laroux_1_EWC 43.5MW8oMtresc 3_25_021" xfId="1039" xr:uid="{00000000-0005-0000-0000-00005C000000}"/>
    <cellStyle name="__ [0]_laroux_1_EWC 43.5MW8oMtresc 3_25_02v2" xfId="1040" xr:uid="{00000000-0005-0000-0000-00005D000000}"/>
    <cellStyle name="__ [0]_laroux_1_EWC 43.5MW8oMtresc 3_25_02v2w_esc" xfId="1041" xr:uid="{00000000-0005-0000-0000-00005E000000}"/>
    <cellStyle name="__ [0]_laroux_1_Wind farm - operation CF" xfId="1042" xr:uid="{00000000-0005-0000-0000-00005F000000}"/>
    <cellStyle name="__ [0]_laroux_2" xfId="1043" xr:uid="{00000000-0005-0000-0000-000060000000}"/>
    <cellStyle name="__ [0]_laroux_2 2" xfId="1044" xr:uid="{00000000-0005-0000-0000-000061000000}"/>
    <cellStyle name="__ [0]_laroux_EWC 43.5MW8oMtresc 3_25_021" xfId="1045" xr:uid="{00000000-0005-0000-0000-000062000000}"/>
    <cellStyle name="__ [0]_laroux_EWC 43.5MW8oMtresc 3_25_021 2" xfId="1046" xr:uid="{00000000-0005-0000-0000-000063000000}"/>
    <cellStyle name="__ [0]_laroux_EWC 43.5MW8oMtresc 3_25_021_1" xfId="1047" xr:uid="{00000000-0005-0000-0000-000064000000}"/>
    <cellStyle name="__ [0]_laroux_EWC 43.5MW8oMtresc 3_25_021_1 2" xfId="1048" xr:uid="{00000000-0005-0000-0000-000065000000}"/>
    <cellStyle name="__ [0]_laroux_EWC 43.5MW8oMtresc 3_25_02v2" xfId="1049" xr:uid="{00000000-0005-0000-0000-000066000000}"/>
    <cellStyle name="__ [0]_laroux_EWC 43.5MW8oMtresc 3_25_02v2 2" xfId="1050" xr:uid="{00000000-0005-0000-0000-000067000000}"/>
    <cellStyle name="__ [0]_laroux_EWC 43.5MW8oMtresc 3_25_02v2w_esc" xfId="1051" xr:uid="{00000000-0005-0000-0000-000068000000}"/>
    <cellStyle name="__ [0]_laroux_EWC 43.5MW8oMtresc 3_25_02v2w_esc 2" xfId="1052" xr:uid="{00000000-0005-0000-0000-000069000000}"/>
    <cellStyle name="__ [0]_laroux_Wind farm - operation CF" xfId="1053" xr:uid="{00000000-0005-0000-0000-00006A000000}"/>
    <cellStyle name="__ [0]_laroux_Wind farm - operation CF 2" xfId="1054" xr:uid="{00000000-0005-0000-0000-00006B000000}"/>
    <cellStyle name="__ [0]_PERSONAL" xfId="1055" xr:uid="{00000000-0005-0000-0000-00006C000000}"/>
    <cellStyle name="__ [0]_PERSONAL 2" xfId="1056" xr:uid="{00000000-0005-0000-0000-00006D000000}"/>
    <cellStyle name="__ [0]_PERSONAL_1" xfId="1057" xr:uid="{00000000-0005-0000-0000-00006E000000}"/>
    <cellStyle name="__ [0]_PERSONAL_1 2" xfId="1058" xr:uid="{00000000-0005-0000-0000-00006F000000}"/>
    <cellStyle name="__ [0]_PERSONAL_1_EWC 43.5MW8oMtresc 3_25_021" xfId="1059" xr:uid="{00000000-0005-0000-0000-000070000000}"/>
    <cellStyle name="__ [0]_PERSONAL_1_EWC 43.5MW8oMtresc 3_25_021 2" xfId="1060" xr:uid="{00000000-0005-0000-0000-000071000000}"/>
    <cellStyle name="__ [0]_PERSONAL_1_EWC 43.5MW8oMtresc 3_25_02v2" xfId="1061" xr:uid="{00000000-0005-0000-0000-000072000000}"/>
    <cellStyle name="__ [0]_PERSONAL_1_EWC 43.5MW8oMtresc 3_25_02v2 2" xfId="1062" xr:uid="{00000000-0005-0000-0000-000073000000}"/>
    <cellStyle name="__ [0]_PERSONAL_1_EWC 43.5MW8oMtresc 3_25_02v2w_esc" xfId="1063" xr:uid="{00000000-0005-0000-0000-000074000000}"/>
    <cellStyle name="__ [0]_PERSONAL_1_EWC 43.5MW8oMtresc 3_25_02v2w_esc 2" xfId="1064" xr:uid="{00000000-0005-0000-0000-000075000000}"/>
    <cellStyle name="__ [0]_PERSONAL_1_Wind farm - operation CF" xfId="1065" xr:uid="{00000000-0005-0000-0000-000076000000}"/>
    <cellStyle name="__ [0]_PERSONAL_1_Wind farm - operation CF 2" xfId="1066" xr:uid="{00000000-0005-0000-0000-000077000000}"/>
    <cellStyle name="__ [0]_PERSONAL_2" xfId="1067" xr:uid="{00000000-0005-0000-0000-000078000000}"/>
    <cellStyle name="__ [0]_PERSONAL_2 2" xfId="1068" xr:uid="{00000000-0005-0000-0000-000079000000}"/>
    <cellStyle name="__ [0]_PERSONAL_2_EWC 43.5MW8oMtresc 3_25_021" xfId="1069" xr:uid="{00000000-0005-0000-0000-00007A000000}"/>
    <cellStyle name="__ [0]_PERSONAL_2_EWC 43.5MW8oMtresc 3_25_021 2" xfId="1070" xr:uid="{00000000-0005-0000-0000-00007B000000}"/>
    <cellStyle name="__ [0]_PERSONAL_2_EWC 43.5MW8oMtresc 3_25_02v2" xfId="1071" xr:uid="{00000000-0005-0000-0000-00007C000000}"/>
    <cellStyle name="__ [0]_PERSONAL_2_EWC 43.5MW8oMtresc 3_25_02v2 2" xfId="1072" xr:uid="{00000000-0005-0000-0000-00007D000000}"/>
    <cellStyle name="__ [0]_PERSONAL_2_EWC 43.5MW8oMtresc 3_25_02v2w_esc" xfId="1073" xr:uid="{00000000-0005-0000-0000-00007E000000}"/>
    <cellStyle name="__ [0]_PERSONAL_2_EWC 43.5MW8oMtresc 3_25_02v2w_esc 2" xfId="1074" xr:uid="{00000000-0005-0000-0000-00007F000000}"/>
    <cellStyle name="__ [0]_PERSONAL_2_Wind farm - operation CF" xfId="1075" xr:uid="{00000000-0005-0000-0000-000080000000}"/>
    <cellStyle name="__ [0]_PERSONAL_2_Wind farm - operation CF 2" xfId="1076" xr:uid="{00000000-0005-0000-0000-000081000000}"/>
    <cellStyle name="__ [0]_PERSONAL_3" xfId="1077" xr:uid="{00000000-0005-0000-0000-000082000000}"/>
    <cellStyle name="__ [0]_PERSONAL_3 2" xfId="1078" xr:uid="{00000000-0005-0000-0000-000083000000}"/>
    <cellStyle name="__ [0]_PERSONAL_EWC 43.5MW8oMtresc 3_25_021" xfId="1079" xr:uid="{00000000-0005-0000-0000-000084000000}"/>
    <cellStyle name="__ [0]_PERSONAL_EWC 43.5MW8oMtresc 3_25_021 2" xfId="1080" xr:uid="{00000000-0005-0000-0000-000085000000}"/>
    <cellStyle name="__ [0]_PERSONAL_EWC 43.5MW8oMtresc 3_25_02v2" xfId="1081" xr:uid="{00000000-0005-0000-0000-000086000000}"/>
    <cellStyle name="__ [0]_PERSONAL_EWC 43.5MW8oMtresc 3_25_02v2 2" xfId="1082" xr:uid="{00000000-0005-0000-0000-000087000000}"/>
    <cellStyle name="__ [0]_PERSONAL_EWC 43.5MW8oMtresc 3_25_02v2w_esc" xfId="1083" xr:uid="{00000000-0005-0000-0000-000088000000}"/>
    <cellStyle name="__ [0]_PERSONAL_EWC 43.5MW8oMtresc 3_25_02v2w_esc 2" xfId="1084" xr:uid="{00000000-0005-0000-0000-000089000000}"/>
    <cellStyle name="__ [0]_PERSONAL_EWC 43.5MW8oMtresc 3_25_02v2w_esc_1" xfId="1085" xr:uid="{00000000-0005-0000-0000-00008A000000}"/>
    <cellStyle name="__ [0]_PERSONAL_EWC 43.5MW8oMtresc 3_25_02v2w_esc_1 2" xfId="1086" xr:uid="{00000000-0005-0000-0000-00008B000000}"/>
    <cellStyle name="__ [0]_PERSONAL_Wind farm - operation CF" xfId="1087" xr:uid="{00000000-0005-0000-0000-00008C000000}"/>
    <cellStyle name="__ [0]_PERSONAL_Wind farm - operation CF 2" xfId="1088" xr:uid="{00000000-0005-0000-0000-00008D000000}"/>
    <cellStyle name="__ [0]_Sheet2" xfId="1089" xr:uid="{00000000-0005-0000-0000-00008E000000}"/>
    <cellStyle name="__ [0]_Sheet2 2" xfId="1090" xr:uid="{00000000-0005-0000-0000-00008F000000}"/>
    <cellStyle name="____.____" xfId="1091" xr:uid="{00000000-0005-0000-0000-000090000000}"/>
    <cellStyle name="____._____NE Budgets ROCK 4-28-07 NS" xfId="1092" xr:uid="{00000000-0005-0000-0000-000091000000}"/>
    <cellStyle name="____._____New England Budgets Mar 14" xfId="1093" xr:uid="{00000000-0005-0000-0000-000092000000}"/>
    <cellStyle name="_____" xfId="1094" xr:uid="{00000000-0005-0000-0000-000093000000}"/>
    <cellStyle name="______" xfId="1095" xr:uid="{00000000-0005-0000-0000-000094000000}"/>
    <cellStyle name="_______" xfId="1096" xr:uid="{00000000-0005-0000-0000-000095000000}"/>
    <cellStyle name="________" xfId="1097" xr:uid="{00000000-0005-0000-0000-000096000000}"/>
    <cellStyle name="__________" xfId="1098" xr:uid="{00000000-0005-0000-0000-000097000000}"/>
    <cellStyle name="____________" xfId="1099" xr:uid="{00000000-0005-0000-0000-000098000000}"/>
    <cellStyle name="____________ 2" xfId="1100" xr:uid="{00000000-0005-0000-0000-000099000000}"/>
    <cellStyle name="_____________EWC 43.5MW8oMtresc 3_25_021" xfId="1101" xr:uid="{00000000-0005-0000-0000-00009A000000}"/>
    <cellStyle name="_____________EWC 43.5MW8oMtresc 3_25_021_1" xfId="1102" xr:uid="{00000000-0005-0000-0000-00009B000000}"/>
    <cellStyle name="_____________EWC 43.5MW8oMtresc 3_25_021_1 2" xfId="1103" xr:uid="{00000000-0005-0000-0000-00009C000000}"/>
    <cellStyle name="_____________EWC 43.5MW8oMtresc 3_25_021_NE Budgets ROCK 4-28-07 NS" xfId="1104" xr:uid="{00000000-0005-0000-0000-00009D000000}"/>
    <cellStyle name="_____________EWC 43.5MW8oMtresc 3_25_021_New England Budgets Mar 14" xfId="1105" xr:uid="{00000000-0005-0000-0000-00009E000000}"/>
    <cellStyle name="_____________EWC 43.5MW8oMtresc 3_25_02v2" xfId="1106" xr:uid="{00000000-0005-0000-0000-00009F000000}"/>
    <cellStyle name="_____________EWC 43.5MW8oMtresc 3_25_02v2 2" xfId="1107" xr:uid="{00000000-0005-0000-0000-0000A0000000}"/>
    <cellStyle name="_____________EWC 43.5MW8oMtresc 3_25_02v2_1" xfId="1108" xr:uid="{00000000-0005-0000-0000-0000A1000000}"/>
    <cellStyle name="_____________EWC 43.5MW8oMtresc 3_25_02v2_1 2" xfId="1109" xr:uid="{00000000-0005-0000-0000-0000A2000000}"/>
    <cellStyle name="_____________EWC 43.5MW8oMtresc 3_25_02v2w_esc" xfId="1110" xr:uid="{00000000-0005-0000-0000-0000A3000000}"/>
    <cellStyle name="_____________EWC 43.5MW8oMtresc 3_25_02v2w_esc 2" xfId="1111" xr:uid="{00000000-0005-0000-0000-0000A4000000}"/>
    <cellStyle name="_____________EWC 43.5MW8oMtresc 3_25_02v2w_esc_1" xfId="1112" xr:uid="{00000000-0005-0000-0000-0000A5000000}"/>
    <cellStyle name="_____________EWC 43.5MW8oMtresc 3_25_02v2w_esc_1 2" xfId="1113" xr:uid="{00000000-0005-0000-0000-0000A6000000}"/>
    <cellStyle name="_____________Wind farm - operation CF" xfId="1114" xr:uid="{00000000-0005-0000-0000-0000A7000000}"/>
    <cellStyle name="_____________Wind farm - operation CF_1" xfId="1115" xr:uid="{00000000-0005-0000-0000-0000A8000000}"/>
    <cellStyle name="_____________Wind farm - operation CF_1 2" xfId="1116" xr:uid="{00000000-0005-0000-0000-0000A9000000}"/>
    <cellStyle name="_____________Wind farm - operation CF_NE Budgets ROCK 4-28-07 NS" xfId="1117" xr:uid="{00000000-0005-0000-0000-0000AA000000}"/>
    <cellStyle name="_____________Wind farm - operation CF_New England Budgets Mar 14" xfId="1118" xr:uid="{00000000-0005-0000-0000-0000AB000000}"/>
    <cellStyle name="___________EWC 43.5MW8oMtresc 3_25_021" xfId="1119" xr:uid="{00000000-0005-0000-0000-0000AC000000}"/>
    <cellStyle name="___________EWC 43.5MW8oMtresc 3_25_021_NE Budgets ROCK 4-28-07 NS" xfId="1120" xr:uid="{00000000-0005-0000-0000-0000AD000000}"/>
    <cellStyle name="___________EWC 43.5MW8oMtresc 3_25_021_New England Budgets Mar 14" xfId="1121" xr:uid="{00000000-0005-0000-0000-0000AE000000}"/>
    <cellStyle name="___________EWC 43.5MW8oMtresc 3_25_02v2" xfId="1122" xr:uid="{00000000-0005-0000-0000-0000AF000000}"/>
    <cellStyle name="___________EWC 43.5MW8oMtresc 3_25_02v2_NE Budgets ROCK 4-28-07 NS" xfId="1123" xr:uid="{00000000-0005-0000-0000-0000B0000000}"/>
    <cellStyle name="___________EWC 43.5MW8oMtresc 3_25_02v2_New England Budgets Mar 14" xfId="1124" xr:uid="{00000000-0005-0000-0000-0000B1000000}"/>
    <cellStyle name="___________EWC 43.5MW8oMtresc 3_25_02v2w_esc" xfId="1125" xr:uid="{00000000-0005-0000-0000-0000B2000000}"/>
    <cellStyle name="___________EWC 43.5MW8oMtresc 3_25_02v2w_esc_NE Budgets ROCK 4-28-07 NS" xfId="1126" xr:uid="{00000000-0005-0000-0000-0000B3000000}"/>
    <cellStyle name="___________EWC 43.5MW8oMtresc 3_25_02v2w_esc_New England Budgets Mar 14" xfId="1127" xr:uid="{00000000-0005-0000-0000-0000B4000000}"/>
    <cellStyle name="___________NE Budgets ROCK 4-28-07 NS" xfId="1128" xr:uid="{00000000-0005-0000-0000-0000B5000000}"/>
    <cellStyle name="___________New England Budgets Mar 14" xfId="1129" xr:uid="{00000000-0005-0000-0000-0000B6000000}"/>
    <cellStyle name="___________Wind farm - operation CF" xfId="1130" xr:uid="{00000000-0005-0000-0000-0000B7000000}"/>
    <cellStyle name="___________Wind farm - operation CF_NE Budgets ROCK 4-28-07 NS" xfId="1131" xr:uid="{00000000-0005-0000-0000-0000B8000000}"/>
    <cellStyle name="___________Wind farm - operation CF_New England Budgets Mar 14" xfId="1132" xr:uid="{00000000-0005-0000-0000-0000B9000000}"/>
    <cellStyle name="_________1" xfId="1133" xr:uid="{00000000-0005-0000-0000-0000BA000000}"/>
    <cellStyle name="_________1_NE Budgets ROCK 4-28-07 NS" xfId="1134" xr:uid="{00000000-0005-0000-0000-0000BB000000}"/>
    <cellStyle name="_________1_New England Budgets Mar 14" xfId="1135" xr:uid="{00000000-0005-0000-0000-0000BC000000}"/>
    <cellStyle name="_________2" xfId="1136" xr:uid="{00000000-0005-0000-0000-0000BD000000}"/>
    <cellStyle name="_________2_NE Budgets ROCK 4-28-07 NS" xfId="1137" xr:uid="{00000000-0005-0000-0000-0000BE000000}"/>
    <cellStyle name="_________2_New England Budgets Mar 14" xfId="1138" xr:uid="{00000000-0005-0000-0000-0000BF000000}"/>
    <cellStyle name="_________EWC 43.5MW8oMtresc 3_25_021" xfId="1139" xr:uid="{00000000-0005-0000-0000-0000C0000000}"/>
    <cellStyle name="_________EWC 43.5MW8oMtresc 3_25_021 2" xfId="1140" xr:uid="{00000000-0005-0000-0000-0000C1000000}"/>
    <cellStyle name="_________EWC 43.5MW8oMtresc 3_25_021_1" xfId="1141" xr:uid="{00000000-0005-0000-0000-0000C2000000}"/>
    <cellStyle name="_________EWC 43.5MW8oMtresc 3_25_021_1_NE Budgets ROCK 4-28-07 NS" xfId="1142" xr:uid="{00000000-0005-0000-0000-0000C3000000}"/>
    <cellStyle name="_________EWC 43.5MW8oMtresc 3_25_021_1_New England Budgets Mar 14" xfId="1143" xr:uid="{00000000-0005-0000-0000-0000C4000000}"/>
    <cellStyle name="_________EWC 43.5MW8oMtresc 3_25_02v2" xfId="1144" xr:uid="{00000000-0005-0000-0000-0000C5000000}"/>
    <cellStyle name="_________EWC 43.5MW8oMtresc 3_25_02v2 2" xfId="1145" xr:uid="{00000000-0005-0000-0000-0000C6000000}"/>
    <cellStyle name="_________EWC 43.5MW8oMtresc 3_25_02v2_1" xfId="1146" xr:uid="{00000000-0005-0000-0000-0000C7000000}"/>
    <cellStyle name="_________EWC 43.5MW8oMtresc 3_25_02v2_1 2" xfId="1147" xr:uid="{00000000-0005-0000-0000-0000C8000000}"/>
    <cellStyle name="_________EWC 43.5MW8oMtresc 3_25_02v2w_esc" xfId="1148" xr:uid="{00000000-0005-0000-0000-0000C9000000}"/>
    <cellStyle name="_________EWC 43.5MW8oMtresc 3_25_02v2w_esc_1" xfId="1149" xr:uid="{00000000-0005-0000-0000-0000CA000000}"/>
    <cellStyle name="_________EWC 43.5MW8oMtresc 3_25_02v2w_esc_1 2" xfId="1150" xr:uid="{00000000-0005-0000-0000-0000CB000000}"/>
    <cellStyle name="_________EWC 43.5MW8oMtresc 3_25_02v2w_esc_NE Budgets ROCK 4-28-07 NS" xfId="1151" xr:uid="{00000000-0005-0000-0000-0000CC000000}"/>
    <cellStyle name="_________EWC 43.5MW8oMtresc 3_25_02v2w_esc_New England Budgets Mar 14" xfId="1152" xr:uid="{00000000-0005-0000-0000-0000CD000000}"/>
    <cellStyle name="_________NE Budgets ROCK 4-28-07 NS" xfId="1153" xr:uid="{00000000-0005-0000-0000-0000CE000000}"/>
    <cellStyle name="_________New England Budgets Mar 14" xfId="1154" xr:uid="{00000000-0005-0000-0000-0000CF000000}"/>
    <cellStyle name="_________Wind farm - operation CF" xfId="1155" xr:uid="{00000000-0005-0000-0000-0000D0000000}"/>
    <cellStyle name="_________Wind farm - operation CF 2" xfId="1156" xr:uid="{00000000-0005-0000-0000-0000D1000000}"/>
    <cellStyle name="_________Wind farm - operation CF_1" xfId="1157" xr:uid="{00000000-0005-0000-0000-0000D2000000}"/>
    <cellStyle name="_________Wind farm - operation CF_1 2" xfId="1158" xr:uid="{00000000-0005-0000-0000-0000D3000000}"/>
    <cellStyle name="________1" xfId="1159" xr:uid="{00000000-0005-0000-0000-0000D4000000}"/>
    <cellStyle name="________1_NE Budgets ROCK 4-28-07 NS" xfId="1160" xr:uid="{00000000-0005-0000-0000-0000D5000000}"/>
    <cellStyle name="________1_New England Budgets Mar 14" xfId="1161" xr:uid="{00000000-0005-0000-0000-0000D6000000}"/>
    <cellStyle name="________NE Budgets ROCK 4-28-07 NS" xfId="1162" xr:uid="{00000000-0005-0000-0000-0000D7000000}"/>
    <cellStyle name="________New England Budgets Mar 14" xfId="1163" xr:uid="{00000000-0005-0000-0000-0000D8000000}"/>
    <cellStyle name="_______EWC 43.5MW8oMtresc 3_25_021" xfId="1164" xr:uid="{00000000-0005-0000-0000-0000D9000000}"/>
    <cellStyle name="_______EWC 43.5MW8oMtresc 3_25_021 2" xfId="1165" xr:uid="{00000000-0005-0000-0000-0000DA000000}"/>
    <cellStyle name="_______EWC 43.5MW8oMtresc 3_25_021_1" xfId="1166" xr:uid="{00000000-0005-0000-0000-0000DB000000}"/>
    <cellStyle name="_______EWC 43.5MW8oMtresc 3_25_021_1 2" xfId="1167" xr:uid="{00000000-0005-0000-0000-0000DC000000}"/>
    <cellStyle name="_______EWC 43.5MW8oMtresc 3_25_02v2" xfId="1168" xr:uid="{00000000-0005-0000-0000-0000DD000000}"/>
    <cellStyle name="_______EWC 43.5MW8oMtresc 3_25_02v2 2" xfId="1169" xr:uid="{00000000-0005-0000-0000-0000DE000000}"/>
    <cellStyle name="_______EWC 43.5MW8oMtresc 3_25_02v2_1" xfId="1170" xr:uid="{00000000-0005-0000-0000-0000DF000000}"/>
    <cellStyle name="_______EWC 43.5MW8oMtresc 3_25_02v2_1 2" xfId="1171" xr:uid="{00000000-0005-0000-0000-0000E0000000}"/>
    <cellStyle name="_______EWC 43.5MW8oMtresc 3_25_02v2_2" xfId="1172" xr:uid="{00000000-0005-0000-0000-0000E1000000}"/>
    <cellStyle name="_______EWC 43.5MW8oMtresc 3_25_02v2_2_NE Budgets ROCK 4-28-07 NS" xfId="1173" xr:uid="{00000000-0005-0000-0000-0000E2000000}"/>
    <cellStyle name="_______EWC 43.5MW8oMtresc 3_25_02v2_2_New England Budgets Mar 14" xfId="1174" xr:uid="{00000000-0005-0000-0000-0000E3000000}"/>
    <cellStyle name="_______EWC 43.5MW8oMtresc 3_25_02v2w_esc" xfId="1175" xr:uid="{00000000-0005-0000-0000-0000E4000000}"/>
    <cellStyle name="_______EWC 43.5MW8oMtresc 3_25_02v2w_esc_1" xfId="1176" xr:uid="{00000000-0005-0000-0000-0000E5000000}"/>
    <cellStyle name="_______EWC 43.5MW8oMtresc 3_25_02v2w_esc_1 2" xfId="1177" xr:uid="{00000000-0005-0000-0000-0000E6000000}"/>
    <cellStyle name="_______EWC 43.5MW8oMtresc 3_25_02v2w_esc_2" xfId="1178" xr:uid="{00000000-0005-0000-0000-0000E7000000}"/>
    <cellStyle name="_______EWC 43.5MW8oMtresc 3_25_02v2w_esc_2 2" xfId="1179" xr:uid="{00000000-0005-0000-0000-0000E8000000}"/>
    <cellStyle name="_______EWC 43.5MW8oMtresc 3_25_02v2w_esc_NE Budgets ROCK 4-28-07 NS" xfId="1180" xr:uid="{00000000-0005-0000-0000-0000E9000000}"/>
    <cellStyle name="_______EWC 43.5MW8oMtresc 3_25_02v2w_esc_New England Budgets Mar 14" xfId="1181" xr:uid="{00000000-0005-0000-0000-0000EA000000}"/>
    <cellStyle name="_______NE Budgets ROCK 4-28-07 NS" xfId="1182" xr:uid="{00000000-0005-0000-0000-0000EB000000}"/>
    <cellStyle name="_______New England Budgets Mar 14" xfId="1183" xr:uid="{00000000-0005-0000-0000-0000EC000000}"/>
    <cellStyle name="_______Wind farm - operation CF" xfId="1184" xr:uid="{00000000-0005-0000-0000-0000ED000000}"/>
    <cellStyle name="_______Wind farm - operation CF 2" xfId="1185" xr:uid="{00000000-0005-0000-0000-0000EE000000}"/>
    <cellStyle name="_______Wind farm - operation CF_1" xfId="1186" xr:uid="{00000000-0005-0000-0000-0000EF000000}"/>
    <cellStyle name="_______Wind farm - operation CF_1 2" xfId="1187" xr:uid="{00000000-0005-0000-0000-0000F0000000}"/>
    <cellStyle name="______1" xfId="1188" xr:uid="{00000000-0005-0000-0000-0000F1000000}"/>
    <cellStyle name="______1_NE Budgets ROCK 4-28-07 NS" xfId="1189" xr:uid="{00000000-0005-0000-0000-0000F2000000}"/>
    <cellStyle name="______1_New England Budgets Mar 14" xfId="1190" xr:uid="{00000000-0005-0000-0000-0000F3000000}"/>
    <cellStyle name="______EWC 43.5MW8oMtresc 3_25_021" xfId="1191" xr:uid="{00000000-0005-0000-0000-0000F4000000}"/>
    <cellStyle name="______EWC 43.5MW8oMtresc 3_25_021 2" xfId="1192" xr:uid="{00000000-0005-0000-0000-0000F5000000}"/>
    <cellStyle name="______EWC 43.5MW8oMtresc 3_25_021_1" xfId="1193" xr:uid="{00000000-0005-0000-0000-0000F6000000}"/>
    <cellStyle name="______EWC 43.5MW8oMtresc 3_25_021_1_NE Budgets ROCK 4-28-07 NS" xfId="1194" xr:uid="{00000000-0005-0000-0000-0000F7000000}"/>
    <cellStyle name="______EWC 43.5MW8oMtresc 3_25_021_1_New England Budgets Mar 14" xfId="1195" xr:uid="{00000000-0005-0000-0000-0000F8000000}"/>
    <cellStyle name="______EWC 43.5MW8oMtresc 3_25_021_2" xfId="1196" xr:uid="{00000000-0005-0000-0000-0000F9000000}"/>
    <cellStyle name="______EWC 43.5MW8oMtresc 3_25_021_2_NE Budgets ROCK 4-28-07 NS" xfId="1197" xr:uid="{00000000-0005-0000-0000-0000FA000000}"/>
    <cellStyle name="______EWC 43.5MW8oMtresc 3_25_021_2_New England Budgets Mar 14" xfId="1198" xr:uid="{00000000-0005-0000-0000-0000FB000000}"/>
    <cellStyle name="______EWC 43.5MW8oMtresc 3_25_02v2" xfId="1199" xr:uid="{00000000-0005-0000-0000-0000FC000000}"/>
    <cellStyle name="______EWC 43.5MW8oMtresc 3_25_02v2 2" xfId="1200" xr:uid="{00000000-0005-0000-0000-0000FD000000}"/>
    <cellStyle name="______EWC 43.5MW8oMtresc 3_25_02v2_1" xfId="1201" xr:uid="{00000000-0005-0000-0000-0000FE000000}"/>
    <cellStyle name="______EWC 43.5MW8oMtresc 3_25_02v2_1 2" xfId="1202" xr:uid="{00000000-0005-0000-0000-0000FF000000}"/>
    <cellStyle name="______EWC 43.5MW8oMtresc 3_25_02v2w_esc" xfId="1203" xr:uid="{00000000-0005-0000-0000-000000010000}"/>
    <cellStyle name="______EWC 43.5MW8oMtresc 3_25_02v2w_esc_1" xfId="1204" xr:uid="{00000000-0005-0000-0000-000001010000}"/>
    <cellStyle name="______EWC 43.5MW8oMtresc 3_25_02v2w_esc_1 2" xfId="1205" xr:uid="{00000000-0005-0000-0000-000002010000}"/>
    <cellStyle name="______EWC 43.5MW8oMtresc 3_25_02v2w_esc_2" xfId="1206" xr:uid="{00000000-0005-0000-0000-000003010000}"/>
    <cellStyle name="______EWC 43.5MW8oMtresc 3_25_02v2w_esc_2_NE Budgets ROCK 4-28-07 NS" xfId="1207" xr:uid="{00000000-0005-0000-0000-000004010000}"/>
    <cellStyle name="______EWC 43.5MW8oMtresc 3_25_02v2w_esc_2_New England Budgets Mar 14" xfId="1208" xr:uid="{00000000-0005-0000-0000-000005010000}"/>
    <cellStyle name="______EWC 43.5MW8oMtresc 3_25_02v2w_esc_3" xfId="1209" xr:uid="{00000000-0005-0000-0000-000006010000}"/>
    <cellStyle name="______EWC 43.5MW8oMtresc 3_25_02v2w_esc_3 2" xfId="1210" xr:uid="{00000000-0005-0000-0000-000007010000}"/>
    <cellStyle name="______EWC 43.5MW8oMtresc 3_25_02v2w_esc_NE Budgets ROCK 4-28-07 NS" xfId="1211" xr:uid="{00000000-0005-0000-0000-000008010000}"/>
    <cellStyle name="______EWC 43.5MW8oMtresc 3_25_02v2w_esc_New England Budgets Mar 14" xfId="1212" xr:uid="{00000000-0005-0000-0000-000009010000}"/>
    <cellStyle name="______NE Budgets ROCK 4-28-07 NS" xfId="1213" xr:uid="{00000000-0005-0000-0000-00000A010000}"/>
    <cellStyle name="______New England Budgets Mar 14" xfId="1214" xr:uid="{00000000-0005-0000-0000-00000B010000}"/>
    <cellStyle name="______Wind farm - operation CF" xfId="1215" xr:uid="{00000000-0005-0000-0000-00000C010000}"/>
    <cellStyle name="______Wind farm - operation CF_1" xfId="1216" xr:uid="{00000000-0005-0000-0000-00000D010000}"/>
    <cellStyle name="______Wind farm - operation CF_1 2" xfId="1217" xr:uid="{00000000-0005-0000-0000-00000E010000}"/>
    <cellStyle name="______Wind farm - operation CF_2" xfId="1218" xr:uid="{00000000-0005-0000-0000-00000F010000}"/>
    <cellStyle name="______Wind farm - operation CF_2 2" xfId="1219" xr:uid="{00000000-0005-0000-0000-000010010000}"/>
    <cellStyle name="______Wind farm - operation CF_NE Budgets ROCK 4-28-07 NS" xfId="1220" xr:uid="{00000000-0005-0000-0000-000011010000}"/>
    <cellStyle name="______Wind farm - operation CF_New England Budgets Mar 14" xfId="1221" xr:uid="{00000000-0005-0000-0000-000012010000}"/>
    <cellStyle name="___94___" xfId="1222" xr:uid="{00000000-0005-0000-0000-000013010000}"/>
    <cellStyle name="___94___ 2" xfId="1223" xr:uid="{00000000-0005-0000-0000-000014010000}"/>
    <cellStyle name="___94____EWC 43.5MW8oMtresc 3_25_021" xfId="1224" xr:uid="{00000000-0005-0000-0000-000015010000}"/>
    <cellStyle name="___94____EWC 43.5MW8oMtresc 3_25_021 2" xfId="1225" xr:uid="{00000000-0005-0000-0000-000016010000}"/>
    <cellStyle name="___94____EWC 43.5MW8oMtresc 3_25_021_1" xfId="1226" xr:uid="{00000000-0005-0000-0000-000017010000}"/>
    <cellStyle name="___94____EWC 43.5MW8oMtresc 3_25_021_1 2" xfId="1227" xr:uid="{00000000-0005-0000-0000-000018010000}"/>
    <cellStyle name="___94____EWC 43.5MW8oMtresc 3_25_02v2" xfId="1228" xr:uid="{00000000-0005-0000-0000-000019010000}"/>
    <cellStyle name="___94____EWC 43.5MW8oMtresc 3_25_02v2 2" xfId="1229" xr:uid="{00000000-0005-0000-0000-00001A010000}"/>
    <cellStyle name="___94____EWC 43.5MW8oMtresc 3_25_02v2w_esc" xfId="1230" xr:uid="{00000000-0005-0000-0000-00001B010000}"/>
    <cellStyle name="___94____EWC 43.5MW8oMtresc 3_25_02v2w_esc 2" xfId="1231" xr:uid="{00000000-0005-0000-0000-00001C010000}"/>
    <cellStyle name="___94____Wind farm - operation CF" xfId="1232" xr:uid="{00000000-0005-0000-0000-00001D010000}"/>
    <cellStyle name="___94____Wind farm - operation CF 2" xfId="1233" xr:uid="{00000000-0005-0000-0000-00001E010000}"/>
    <cellStyle name="___97___" xfId="1234" xr:uid="{00000000-0005-0000-0000-00001F010000}"/>
    <cellStyle name="___97____NE Budgets ROCK 4-28-07 NS" xfId="1235" xr:uid="{00000000-0005-0000-0000-000020010000}"/>
    <cellStyle name="___97____New England Budgets Mar 14" xfId="1236" xr:uid="{00000000-0005-0000-0000-000021010000}"/>
    <cellStyle name="___970120" xfId="1237" xr:uid="{00000000-0005-0000-0000-000022010000}"/>
    <cellStyle name="___BEBU_GI" xfId="1238" xr:uid="{00000000-0005-0000-0000-000023010000}"/>
    <cellStyle name="___BEBU_GI_NE Budgets ROCK 4-28-07 NS" xfId="1239" xr:uid="{00000000-0005-0000-0000-000024010000}"/>
    <cellStyle name="___BEBU_GI_New England Budgets Mar 14" xfId="1240" xr:uid="{00000000-0005-0000-0000-000025010000}"/>
    <cellStyle name="___dimon" xfId="1241" xr:uid="{00000000-0005-0000-0000-000026010000}"/>
    <cellStyle name="___dimon 2" xfId="1242" xr:uid="{00000000-0005-0000-0000-000027010000}"/>
    <cellStyle name="___dimon_EWC 43.5MW8oMtresc 3_25_021" xfId="1243" xr:uid="{00000000-0005-0000-0000-000028010000}"/>
    <cellStyle name="___dimon_EWC 43.5MW8oMtresc 3_25_021 2" xfId="1244" xr:uid="{00000000-0005-0000-0000-000029010000}"/>
    <cellStyle name="___dimon_EWC 43.5MW8oMtresc 3_25_021_NE Budgets ROCK 4-28-07 NS" xfId="1245" xr:uid="{00000000-0005-0000-0000-00002A010000}"/>
    <cellStyle name="___dimon_EWC 43.5MW8oMtresc 3_25_021_NE Budgets ROCK 4-28-07 NS 2" xfId="1246" xr:uid="{00000000-0005-0000-0000-00002B010000}"/>
    <cellStyle name="___dimon_EWC 43.5MW8oMtresc 3_25_021_New England Budgets Mar 14" xfId="1247" xr:uid="{00000000-0005-0000-0000-00002C010000}"/>
    <cellStyle name="___dimon_EWC 43.5MW8oMtresc 3_25_021_New England Budgets Mar 14 2" xfId="1248" xr:uid="{00000000-0005-0000-0000-00002D010000}"/>
    <cellStyle name="___dimon_EWC 43.5MW8oMtresc 3_25_021_New England Budgets Mar 14_Asset Management Expenses NY '08 11-1-07" xfId="1249" xr:uid="{00000000-0005-0000-0000-00002E010000}"/>
    <cellStyle name="___dimon_EWC 43.5MW8oMtresc 3_25_021_New England Budgets Mar 14_Asset Management Expenses NY '08 11-1-07 2" xfId="1250" xr:uid="{00000000-0005-0000-0000-00002F010000}"/>
    <cellStyle name="___dimon_EWC 43.5MW8oMtresc 3_25_021_New England Budgets Mar 14_Chateaugay" xfId="1251" xr:uid="{00000000-0005-0000-0000-000030010000}"/>
    <cellStyle name="___dimon_EWC 43.5MW8oMtresc 3_25_021_New England Budgets Mar 14_Chateaugay 2" xfId="1252" xr:uid="{00000000-0005-0000-0000-000031010000}"/>
    <cellStyle name="___dimon_EWC 43.5MW8oMtresc 3_25_02v2" xfId="1253" xr:uid="{00000000-0005-0000-0000-000032010000}"/>
    <cellStyle name="___dimon_EWC 43.5MW8oMtresc 3_25_02v2 2" xfId="1254" xr:uid="{00000000-0005-0000-0000-000033010000}"/>
    <cellStyle name="___dimon_EWC 43.5MW8oMtresc 3_25_02v2_NE Budgets ROCK 4-28-07 NS" xfId="1255" xr:uid="{00000000-0005-0000-0000-000034010000}"/>
    <cellStyle name="___dimon_EWC 43.5MW8oMtresc 3_25_02v2_NE Budgets ROCK 4-28-07 NS 2" xfId="1256" xr:uid="{00000000-0005-0000-0000-000035010000}"/>
    <cellStyle name="___dimon_EWC 43.5MW8oMtresc 3_25_02v2_New England Budgets Mar 14" xfId="1257" xr:uid="{00000000-0005-0000-0000-000036010000}"/>
    <cellStyle name="___dimon_EWC 43.5MW8oMtresc 3_25_02v2_New England Budgets Mar 14 2" xfId="1258" xr:uid="{00000000-0005-0000-0000-000037010000}"/>
    <cellStyle name="___dimon_EWC 43.5MW8oMtresc 3_25_02v2_New England Budgets Mar 14_Asset Management Expenses NY '08 11-1-07" xfId="1259" xr:uid="{00000000-0005-0000-0000-000038010000}"/>
    <cellStyle name="___dimon_EWC 43.5MW8oMtresc 3_25_02v2_New England Budgets Mar 14_Asset Management Expenses NY '08 11-1-07 2" xfId="1260" xr:uid="{00000000-0005-0000-0000-000039010000}"/>
    <cellStyle name="___dimon_EWC 43.5MW8oMtresc 3_25_02v2_New England Budgets Mar 14_Chateaugay" xfId="1261" xr:uid="{00000000-0005-0000-0000-00003A010000}"/>
    <cellStyle name="___dimon_EWC 43.5MW8oMtresc 3_25_02v2_New England Budgets Mar 14_Chateaugay 2" xfId="1262" xr:uid="{00000000-0005-0000-0000-00003B010000}"/>
    <cellStyle name="___dimon_EWC 43.5MW8oMtresc 3_25_02v2w_esc" xfId="1263" xr:uid="{00000000-0005-0000-0000-00003C010000}"/>
    <cellStyle name="___dimon_EWC 43.5MW8oMtresc 3_25_02v2w_esc 2" xfId="1264" xr:uid="{00000000-0005-0000-0000-00003D010000}"/>
    <cellStyle name="___dimon_NE Budgets ROCK 4-28-07 NS" xfId="1265" xr:uid="{00000000-0005-0000-0000-00003E010000}"/>
    <cellStyle name="___dimon_NE Budgets ROCK 4-28-07 NS 2" xfId="1266" xr:uid="{00000000-0005-0000-0000-00003F010000}"/>
    <cellStyle name="___dimon_New England Budgets Mar 14" xfId="1267" xr:uid="{00000000-0005-0000-0000-000040010000}"/>
    <cellStyle name="___dimon_New England Budgets Mar 14 2" xfId="1268" xr:uid="{00000000-0005-0000-0000-000041010000}"/>
    <cellStyle name="___dimon_New England Budgets Mar 14_Asset Management Expenses NY '08 11-1-07" xfId="1269" xr:uid="{00000000-0005-0000-0000-000042010000}"/>
    <cellStyle name="___dimon_New England Budgets Mar 14_Asset Management Expenses NY '08 11-1-07 2" xfId="1270" xr:uid="{00000000-0005-0000-0000-000043010000}"/>
    <cellStyle name="___dimon_New England Budgets Mar 14_Chateaugay" xfId="1271" xr:uid="{00000000-0005-0000-0000-000044010000}"/>
    <cellStyle name="___dimon_New England Budgets Mar 14_Chateaugay 2" xfId="1272" xr:uid="{00000000-0005-0000-0000-000045010000}"/>
    <cellStyle name="___dimon_Wind farm - operation CF" xfId="1273" xr:uid="{00000000-0005-0000-0000-000046010000}"/>
    <cellStyle name="___dimon_Wind farm - operation CF 2" xfId="1274" xr:uid="{00000000-0005-0000-0000-000047010000}"/>
    <cellStyle name="___form" xfId="1275" xr:uid="{00000000-0005-0000-0000-000048010000}"/>
    <cellStyle name="___form 2" xfId="1276" xr:uid="{00000000-0005-0000-0000-000049010000}"/>
    <cellStyle name="___form_EWC 43.5MW8oMtresc 3_25_021" xfId="1277" xr:uid="{00000000-0005-0000-0000-00004A010000}"/>
    <cellStyle name="___form_EWC 43.5MW8oMtresc 3_25_021_1" xfId="1278" xr:uid="{00000000-0005-0000-0000-00004B010000}"/>
    <cellStyle name="___form_EWC 43.5MW8oMtresc 3_25_021_1 2" xfId="1279" xr:uid="{00000000-0005-0000-0000-00004C010000}"/>
    <cellStyle name="___form_EWC 43.5MW8oMtresc 3_25_021_NE Budgets ROCK 4-28-07 NS" xfId="1280" xr:uid="{00000000-0005-0000-0000-00004D010000}"/>
    <cellStyle name="___form_EWC 43.5MW8oMtresc 3_25_021_New England Budgets Mar 14" xfId="1281" xr:uid="{00000000-0005-0000-0000-00004E010000}"/>
    <cellStyle name="___form_EWC 43.5MW8oMtresc 3_25_02v2" xfId="1282" xr:uid="{00000000-0005-0000-0000-00004F010000}"/>
    <cellStyle name="___form_EWC 43.5MW8oMtresc 3_25_02v2 2" xfId="1283" xr:uid="{00000000-0005-0000-0000-000050010000}"/>
    <cellStyle name="___form_EWC 43.5MW8oMtresc 3_25_02v2_1" xfId="1284" xr:uid="{00000000-0005-0000-0000-000051010000}"/>
    <cellStyle name="___form_EWC 43.5MW8oMtresc 3_25_02v2_1 2" xfId="1285" xr:uid="{00000000-0005-0000-0000-000052010000}"/>
    <cellStyle name="___form_EWC 43.5MW8oMtresc 3_25_02v2w_esc" xfId="1286" xr:uid="{00000000-0005-0000-0000-000053010000}"/>
    <cellStyle name="___form_EWC 43.5MW8oMtresc 3_25_02v2w_esc 2" xfId="1287" xr:uid="{00000000-0005-0000-0000-000054010000}"/>
    <cellStyle name="___form_Wind farm - operation CF" xfId="1288" xr:uid="{00000000-0005-0000-0000-000055010000}"/>
    <cellStyle name="___form_Wind farm - operation CF 2" xfId="1289" xr:uid="{00000000-0005-0000-0000-000056010000}"/>
    <cellStyle name="___form_Wind farm - operation CF_1" xfId="1290" xr:uid="{00000000-0005-0000-0000-000057010000}"/>
    <cellStyle name="___form_Wind farm - operation CF_1_NE Budgets ROCK 4-28-07 NS" xfId="1291" xr:uid="{00000000-0005-0000-0000-000058010000}"/>
    <cellStyle name="___form_Wind farm - operation CF_1_New England Budgets Mar 14" xfId="1292" xr:uid="{00000000-0005-0000-0000-000059010000}"/>
    <cellStyle name="___ga_PB" xfId="1293" xr:uid="{00000000-0005-0000-0000-00005A010000}"/>
    <cellStyle name="___ga_PB_NE Budgets ROCK 4-28-07 NS" xfId="1294" xr:uid="{00000000-0005-0000-0000-00005B010000}"/>
    <cellStyle name="___ga_PB_New England Budgets Mar 14" xfId="1295" xr:uid="{00000000-0005-0000-0000-00005C010000}"/>
    <cellStyle name="___laroux" xfId="1296" xr:uid="{00000000-0005-0000-0000-00005D010000}"/>
    <cellStyle name="___laroux 2" xfId="1297" xr:uid="{00000000-0005-0000-0000-00005E010000}"/>
    <cellStyle name="___laroux_1" xfId="1298" xr:uid="{00000000-0005-0000-0000-00005F010000}"/>
    <cellStyle name="___laroux_1_EWC 43.5MW8oMtresc 3_25_021" xfId="1299" xr:uid="{00000000-0005-0000-0000-000060010000}"/>
    <cellStyle name="___laroux_1_EWC 43.5MW8oMtresc 3_25_021_1" xfId="1300" xr:uid="{00000000-0005-0000-0000-000061010000}"/>
    <cellStyle name="___laroux_1_EWC 43.5MW8oMtresc 3_25_021_2" xfId="1301" xr:uid="{00000000-0005-0000-0000-000062010000}"/>
    <cellStyle name="___laroux_1_EWC 43.5MW8oMtresc 3_25_021_2_NE Budgets ROCK 4-28-07 NS" xfId="1302" xr:uid="{00000000-0005-0000-0000-000063010000}"/>
    <cellStyle name="___laroux_1_EWC 43.5MW8oMtresc 3_25_021_2_New England Budgets Mar 14" xfId="1303" xr:uid="{00000000-0005-0000-0000-000064010000}"/>
    <cellStyle name="___laroux_1_EWC 43.5MW8oMtresc 3_25_02v2" xfId="1304" xr:uid="{00000000-0005-0000-0000-000065010000}"/>
    <cellStyle name="___laroux_1_EWC 43.5MW8oMtresc 3_25_02v2_1" xfId="1305" xr:uid="{00000000-0005-0000-0000-000066010000}"/>
    <cellStyle name="___laroux_1_EWC 43.5MW8oMtresc 3_25_02v2w_esc" xfId="1306" xr:uid="{00000000-0005-0000-0000-000067010000}"/>
    <cellStyle name="___laroux_1_EWC 43.5MW8oMtresc 3_25_02v2w_esc_1" xfId="1307" xr:uid="{00000000-0005-0000-0000-000068010000}"/>
    <cellStyle name="___laroux_1_EWC 43.5MW8oMtresc 3_25_02v2w_esc_1_NE Budgets ROCK 4-28-07 NS" xfId="1308" xr:uid="{00000000-0005-0000-0000-000069010000}"/>
    <cellStyle name="___laroux_1_EWC 43.5MW8oMtresc 3_25_02v2w_esc_1_New England Budgets Mar 14" xfId="1309" xr:uid="{00000000-0005-0000-0000-00006A010000}"/>
    <cellStyle name="___laroux_1_EWC 43.5MW8oMtresc 3_25_02v2w_esc_2" xfId="1310" xr:uid="{00000000-0005-0000-0000-00006B010000}"/>
    <cellStyle name="___laroux_1_NE Budgets ROCK 4-28-07 NS" xfId="1311" xr:uid="{00000000-0005-0000-0000-00006C010000}"/>
    <cellStyle name="___laroux_1_New England Budgets Mar 14" xfId="1312" xr:uid="{00000000-0005-0000-0000-00006D010000}"/>
    <cellStyle name="___laroux_1_Wind farm - operation CF" xfId="1313" xr:uid="{00000000-0005-0000-0000-00006E010000}"/>
    <cellStyle name="___laroux_1_Wind farm - operation CF_1" xfId="1314" xr:uid="{00000000-0005-0000-0000-00006F010000}"/>
    <cellStyle name="___laroux_2" xfId="1315" xr:uid="{00000000-0005-0000-0000-000070010000}"/>
    <cellStyle name="___laroux_2_EWC 43.5MW8oMtresc 3_25_021" xfId="1316" xr:uid="{00000000-0005-0000-0000-000071010000}"/>
    <cellStyle name="___laroux_2_EWC 43.5MW8oMtresc 3_25_021 2" xfId="1317" xr:uid="{00000000-0005-0000-0000-000072010000}"/>
    <cellStyle name="___laroux_2_EWC 43.5MW8oMtresc 3_25_021_1" xfId="1318" xr:uid="{00000000-0005-0000-0000-000073010000}"/>
    <cellStyle name="___laroux_2_EWC 43.5MW8oMtresc 3_25_021_1_NE Budgets ROCK 4-28-07 NS" xfId="1319" xr:uid="{00000000-0005-0000-0000-000074010000}"/>
    <cellStyle name="___laroux_2_EWC 43.5MW8oMtresc 3_25_021_1_New England Budgets Mar 14" xfId="1320" xr:uid="{00000000-0005-0000-0000-000075010000}"/>
    <cellStyle name="___laroux_2_EWC 43.5MW8oMtresc 3_25_02v2" xfId="1321" xr:uid="{00000000-0005-0000-0000-000076010000}"/>
    <cellStyle name="___laroux_2_EWC 43.5MW8oMtresc 3_25_02v2_NE Budgets ROCK 4-28-07 NS" xfId="1322" xr:uid="{00000000-0005-0000-0000-000077010000}"/>
    <cellStyle name="___laroux_2_EWC 43.5MW8oMtresc 3_25_02v2_New England Budgets Mar 14" xfId="1323" xr:uid="{00000000-0005-0000-0000-000078010000}"/>
    <cellStyle name="___laroux_2_EWC 43.5MW8oMtresc 3_25_02v2w_esc" xfId="1324" xr:uid="{00000000-0005-0000-0000-000079010000}"/>
    <cellStyle name="___laroux_2_EWC 43.5MW8oMtresc 3_25_02v2w_esc_1" xfId="1325" xr:uid="{00000000-0005-0000-0000-00007A010000}"/>
    <cellStyle name="___laroux_2_EWC 43.5MW8oMtresc 3_25_02v2w_esc_1 2" xfId="1326" xr:uid="{00000000-0005-0000-0000-00007B010000}"/>
    <cellStyle name="___laroux_2_EWC 43.5MW8oMtresc 3_25_02v2w_esc_NE Budgets ROCK 4-28-07 NS" xfId="1327" xr:uid="{00000000-0005-0000-0000-00007C010000}"/>
    <cellStyle name="___laroux_2_EWC 43.5MW8oMtresc 3_25_02v2w_esc_New England Budgets Mar 14" xfId="1328" xr:uid="{00000000-0005-0000-0000-00007D010000}"/>
    <cellStyle name="___laroux_2_NE Budgets ROCK 4-28-07 NS" xfId="1329" xr:uid="{00000000-0005-0000-0000-00007E010000}"/>
    <cellStyle name="___laroux_2_New England Budgets Mar 14" xfId="1330" xr:uid="{00000000-0005-0000-0000-00007F010000}"/>
    <cellStyle name="___laroux_2_Wind farm - operation CF" xfId="1331" xr:uid="{00000000-0005-0000-0000-000080010000}"/>
    <cellStyle name="___laroux_2_Wind farm - operation CF 2" xfId="1332" xr:uid="{00000000-0005-0000-0000-000081010000}"/>
    <cellStyle name="___laroux_3" xfId="1333" xr:uid="{00000000-0005-0000-0000-000082010000}"/>
    <cellStyle name="___laroux_3_NE Budgets ROCK 4-28-07 NS" xfId="1334" xr:uid="{00000000-0005-0000-0000-000083010000}"/>
    <cellStyle name="___laroux_3_New England Budgets Mar 14" xfId="1335" xr:uid="{00000000-0005-0000-0000-000084010000}"/>
    <cellStyle name="___laroux_4" xfId="1336" xr:uid="{00000000-0005-0000-0000-000085010000}"/>
    <cellStyle name="___laroux_4_NE Budgets ROCK 4-28-07 NS" xfId="1337" xr:uid="{00000000-0005-0000-0000-000086010000}"/>
    <cellStyle name="___laroux_4_New England Budgets Mar 14" xfId="1338" xr:uid="{00000000-0005-0000-0000-000087010000}"/>
    <cellStyle name="___laroux_5" xfId="1339" xr:uid="{00000000-0005-0000-0000-000088010000}"/>
    <cellStyle name="___laroux_6" xfId="1340" xr:uid="{00000000-0005-0000-0000-000089010000}"/>
    <cellStyle name="___laroux_6_NE Budgets ROCK 4-28-07 NS" xfId="1341" xr:uid="{00000000-0005-0000-0000-00008A010000}"/>
    <cellStyle name="___laroux_6_New England Budgets Mar 14" xfId="1342" xr:uid="{00000000-0005-0000-0000-00008B010000}"/>
    <cellStyle name="___laroux_7" xfId="1343" xr:uid="{00000000-0005-0000-0000-00008C010000}"/>
    <cellStyle name="___laroux_7_NE Budgets ROCK 4-28-07 NS" xfId="1344" xr:uid="{00000000-0005-0000-0000-00008D010000}"/>
    <cellStyle name="___laroux_7_New England Budgets Mar 14" xfId="1345" xr:uid="{00000000-0005-0000-0000-00008E010000}"/>
    <cellStyle name="___laroux_8" xfId="1346" xr:uid="{00000000-0005-0000-0000-00008F010000}"/>
    <cellStyle name="___laroux_8 2" xfId="1347" xr:uid="{00000000-0005-0000-0000-000090010000}"/>
    <cellStyle name="___laroux_8_NE Budgets ROCK 4-28-07 NS" xfId="1348" xr:uid="{00000000-0005-0000-0000-000091010000}"/>
    <cellStyle name="___laroux_8_NE Budgets ROCK 4-28-07 NS 2" xfId="1349" xr:uid="{00000000-0005-0000-0000-000092010000}"/>
    <cellStyle name="___laroux_8_New England Budgets Mar 14" xfId="1350" xr:uid="{00000000-0005-0000-0000-000093010000}"/>
    <cellStyle name="___laroux_8_New England Budgets Mar 14 2" xfId="1351" xr:uid="{00000000-0005-0000-0000-000094010000}"/>
    <cellStyle name="___laroux_8_New England Budgets Mar 14_Asset Management Expenses NY '08 11-1-07" xfId="1352" xr:uid="{00000000-0005-0000-0000-000095010000}"/>
    <cellStyle name="___laroux_8_New England Budgets Mar 14_Asset Management Expenses NY '08 11-1-07 2" xfId="1353" xr:uid="{00000000-0005-0000-0000-000096010000}"/>
    <cellStyle name="___laroux_8_New England Budgets Mar 14_Chateaugay" xfId="1354" xr:uid="{00000000-0005-0000-0000-000097010000}"/>
    <cellStyle name="___laroux_8_New England Budgets Mar 14_Chateaugay 2" xfId="1355" xr:uid="{00000000-0005-0000-0000-000098010000}"/>
    <cellStyle name="___laroux_EWC 43.5MW8oMtresc 3_25_021" xfId="1356" xr:uid="{00000000-0005-0000-0000-000099010000}"/>
    <cellStyle name="___laroux_EWC 43.5MW8oMtresc 3_25_021_1" xfId="1357" xr:uid="{00000000-0005-0000-0000-00009A010000}"/>
    <cellStyle name="___laroux_EWC 43.5MW8oMtresc 3_25_021_1 2" xfId="1358" xr:uid="{00000000-0005-0000-0000-00009B010000}"/>
    <cellStyle name="___laroux_EWC 43.5MW8oMtresc 3_25_021_NE Budgets ROCK 4-28-07 NS" xfId="1359" xr:uid="{00000000-0005-0000-0000-00009C010000}"/>
    <cellStyle name="___laroux_EWC 43.5MW8oMtresc 3_25_021_New England Budgets Mar 14" xfId="1360" xr:uid="{00000000-0005-0000-0000-00009D010000}"/>
    <cellStyle name="___laroux_EWC 43.5MW8oMtresc 3_25_02v2" xfId="1361" xr:uid="{00000000-0005-0000-0000-00009E010000}"/>
    <cellStyle name="___laroux_EWC 43.5MW8oMtresc 3_25_02v2 2" xfId="1362" xr:uid="{00000000-0005-0000-0000-00009F010000}"/>
    <cellStyle name="___laroux_EWC 43.5MW8oMtresc 3_25_02v2_1" xfId="1363" xr:uid="{00000000-0005-0000-0000-0000A0010000}"/>
    <cellStyle name="___laroux_EWC 43.5MW8oMtresc 3_25_02v2_1_NE Budgets ROCK 4-28-07 NS" xfId="1364" xr:uid="{00000000-0005-0000-0000-0000A1010000}"/>
    <cellStyle name="___laroux_EWC 43.5MW8oMtresc 3_25_02v2_1_New England Budgets Mar 14" xfId="1365" xr:uid="{00000000-0005-0000-0000-0000A2010000}"/>
    <cellStyle name="___laroux_EWC 43.5MW8oMtresc 3_25_02v2_2" xfId="1366" xr:uid="{00000000-0005-0000-0000-0000A3010000}"/>
    <cellStyle name="___laroux_EWC 43.5MW8oMtresc 3_25_02v2_2 2" xfId="1367" xr:uid="{00000000-0005-0000-0000-0000A4010000}"/>
    <cellStyle name="___laroux_EWC 43.5MW8oMtresc 3_25_02v2w_esc" xfId="1368" xr:uid="{00000000-0005-0000-0000-0000A5010000}"/>
    <cellStyle name="___laroux_EWC 43.5MW8oMtresc 3_25_02v2w_esc 2" xfId="1369" xr:uid="{00000000-0005-0000-0000-0000A6010000}"/>
    <cellStyle name="___laroux_EWC 43.5MW8oMtresc 3_25_02v2w_esc_1" xfId="1370" xr:uid="{00000000-0005-0000-0000-0000A7010000}"/>
    <cellStyle name="___laroux_EWC 43.5MW8oMtresc 3_25_02v2w_esc_1_NE Budgets ROCK 4-28-07 NS" xfId="1371" xr:uid="{00000000-0005-0000-0000-0000A8010000}"/>
    <cellStyle name="___laroux_EWC 43.5MW8oMtresc 3_25_02v2w_esc_1_New England Budgets Mar 14" xfId="1372" xr:uid="{00000000-0005-0000-0000-0000A9010000}"/>
    <cellStyle name="___laroux_Wind farm - operation CF" xfId="1373" xr:uid="{00000000-0005-0000-0000-0000AA010000}"/>
    <cellStyle name="___laroux_Wind farm - operation CF 2" xfId="1374" xr:uid="{00000000-0005-0000-0000-0000AB010000}"/>
    <cellStyle name="___laroux_Wind farm - operation CF_1" xfId="1375" xr:uid="{00000000-0005-0000-0000-0000AC010000}"/>
    <cellStyle name="___laroux_Wind farm - operation CF_1_NE Budgets ROCK 4-28-07 NS" xfId="1376" xr:uid="{00000000-0005-0000-0000-0000AD010000}"/>
    <cellStyle name="___laroux_Wind farm - operation CF_1_New England Budgets Mar 14" xfId="1377" xr:uid="{00000000-0005-0000-0000-0000AE010000}"/>
    <cellStyle name="___PERSONAL" xfId="1378" xr:uid="{00000000-0005-0000-0000-0000AF010000}"/>
    <cellStyle name="___PERSONAL_1" xfId="1379" xr:uid="{00000000-0005-0000-0000-0000B0010000}"/>
    <cellStyle name="___PERSONAL_1 2" xfId="1380" xr:uid="{00000000-0005-0000-0000-0000B1010000}"/>
    <cellStyle name="___PERSONAL_1_EWC 43.5MW8oMtresc 3_25_021" xfId="1381" xr:uid="{00000000-0005-0000-0000-0000B2010000}"/>
    <cellStyle name="___PERSONAL_1_EWC 43.5MW8oMtresc 3_25_021_1" xfId="1382" xr:uid="{00000000-0005-0000-0000-0000B3010000}"/>
    <cellStyle name="___PERSONAL_1_EWC 43.5MW8oMtresc 3_25_021_1 2" xfId="1383" xr:uid="{00000000-0005-0000-0000-0000B4010000}"/>
    <cellStyle name="___PERSONAL_1_EWC 43.5MW8oMtresc 3_25_021_NE Budgets ROCK 4-28-07 NS" xfId="1384" xr:uid="{00000000-0005-0000-0000-0000B5010000}"/>
    <cellStyle name="___PERSONAL_1_EWC 43.5MW8oMtresc 3_25_021_New England Budgets Mar 14" xfId="1385" xr:uid="{00000000-0005-0000-0000-0000B6010000}"/>
    <cellStyle name="___PERSONAL_1_EWC 43.5MW8oMtresc 3_25_02v2" xfId="1386" xr:uid="{00000000-0005-0000-0000-0000B7010000}"/>
    <cellStyle name="___PERSONAL_1_EWC 43.5MW8oMtresc 3_25_02v2_1" xfId="1387" xr:uid="{00000000-0005-0000-0000-0000B8010000}"/>
    <cellStyle name="___PERSONAL_1_EWC 43.5MW8oMtresc 3_25_02v2_1 2" xfId="1388" xr:uid="{00000000-0005-0000-0000-0000B9010000}"/>
    <cellStyle name="___PERSONAL_1_EWC 43.5MW8oMtresc 3_25_02v2_2" xfId="1389" xr:uid="{00000000-0005-0000-0000-0000BA010000}"/>
    <cellStyle name="___PERSONAL_1_EWC 43.5MW8oMtresc 3_25_02v2_2 2" xfId="1390" xr:uid="{00000000-0005-0000-0000-0000BB010000}"/>
    <cellStyle name="___PERSONAL_1_EWC 43.5MW8oMtresc 3_25_02v2_NE Budgets ROCK 4-28-07 NS" xfId="1391" xr:uid="{00000000-0005-0000-0000-0000BC010000}"/>
    <cellStyle name="___PERSONAL_1_EWC 43.5MW8oMtresc 3_25_02v2_New England Budgets Mar 14" xfId="1392" xr:uid="{00000000-0005-0000-0000-0000BD010000}"/>
    <cellStyle name="___PERSONAL_1_EWC 43.5MW8oMtresc 3_25_02v2w_esc" xfId="1393" xr:uid="{00000000-0005-0000-0000-0000BE010000}"/>
    <cellStyle name="___PERSONAL_1_EWC 43.5MW8oMtresc 3_25_02v2w_esc 2" xfId="1394" xr:uid="{00000000-0005-0000-0000-0000BF010000}"/>
    <cellStyle name="___PERSONAL_1_EWC 43.5MW8oMtresc 3_25_02v2w_esc_1" xfId="1395" xr:uid="{00000000-0005-0000-0000-0000C0010000}"/>
    <cellStyle name="___PERSONAL_1_EWC 43.5MW8oMtresc 3_25_02v2w_esc_1 2" xfId="1396" xr:uid="{00000000-0005-0000-0000-0000C1010000}"/>
    <cellStyle name="___PERSONAL_1_Wind farm - operation CF" xfId="1397" xr:uid="{00000000-0005-0000-0000-0000C2010000}"/>
    <cellStyle name="___PERSONAL_1_Wind farm - operation CF_1" xfId="1398" xr:uid="{00000000-0005-0000-0000-0000C3010000}"/>
    <cellStyle name="___PERSONAL_1_Wind farm - operation CF_1 2" xfId="1399" xr:uid="{00000000-0005-0000-0000-0000C4010000}"/>
    <cellStyle name="___PERSONAL_1_Wind farm - operation CF_NE Budgets ROCK 4-28-07 NS" xfId="1400" xr:uid="{00000000-0005-0000-0000-0000C5010000}"/>
    <cellStyle name="___PERSONAL_1_Wind farm - operation CF_New England Budgets Mar 14" xfId="1401" xr:uid="{00000000-0005-0000-0000-0000C6010000}"/>
    <cellStyle name="___PERSONAL_2" xfId="1402" xr:uid="{00000000-0005-0000-0000-0000C7010000}"/>
    <cellStyle name="___PERSONAL_2 2" xfId="1403" xr:uid="{00000000-0005-0000-0000-0000C8010000}"/>
    <cellStyle name="___PERSONAL_2_EWC 43.5MW8oMtresc 3_25_021" xfId="1404" xr:uid="{00000000-0005-0000-0000-0000C9010000}"/>
    <cellStyle name="___PERSONAL_2_EWC 43.5MW8oMtresc 3_25_021 2" xfId="1405" xr:uid="{00000000-0005-0000-0000-0000CA010000}"/>
    <cellStyle name="___PERSONAL_2_EWC 43.5MW8oMtresc 3_25_021_1" xfId="1406" xr:uid="{00000000-0005-0000-0000-0000CB010000}"/>
    <cellStyle name="___PERSONAL_2_EWC 43.5MW8oMtresc 3_25_021_1 2" xfId="1407" xr:uid="{00000000-0005-0000-0000-0000CC010000}"/>
    <cellStyle name="___PERSONAL_2_EWC 43.5MW8oMtresc 3_25_021_1_NE Budgets ROCK 4-28-07 NS" xfId="1408" xr:uid="{00000000-0005-0000-0000-0000CD010000}"/>
    <cellStyle name="___PERSONAL_2_EWC 43.5MW8oMtresc 3_25_021_1_NE Budgets ROCK 4-28-07 NS 2" xfId="1409" xr:uid="{00000000-0005-0000-0000-0000CE010000}"/>
    <cellStyle name="___PERSONAL_2_EWC 43.5MW8oMtresc 3_25_021_1_New England Budgets Mar 14" xfId="1410" xr:uid="{00000000-0005-0000-0000-0000CF010000}"/>
    <cellStyle name="___PERSONAL_2_EWC 43.5MW8oMtresc 3_25_021_1_New England Budgets Mar 14 2" xfId="1411" xr:uid="{00000000-0005-0000-0000-0000D0010000}"/>
    <cellStyle name="___PERSONAL_2_EWC 43.5MW8oMtresc 3_25_021_1_New England Budgets Mar 14_Asset Management Expenses NY '08 11-1-07" xfId="1412" xr:uid="{00000000-0005-0000-0000-0000D1010000}"/>
    <cellStyle name="___PERSONAL_2_EWC 43.5MW8oMtresc 3_25_021_1_New England Budgets Mar 14_Asset Management Expenses NY '08 11-1-07 2" xfId="1413" xr:uid="{00000000-0005-0000-0000-0000D2010000}"/>
    <cellStyle name="___PERSONAL_2_EWC 43.5MW8oMtresc 3_25_021_1_New England Budgets Mar 14_Chateaugay" xfId="1414" xr:uid="{00000000-0005-0000-0000-0000D3010000}"/>
    <cellStyle name="___PERSONAL_2_EWC 43.5MW8oMtresc 3_25_021_1_New England Budgets Mar 14_Chateaugay 2" xfId="1415" xr:uid="{00000000-0005-0000-0000-0000D4010000}"/>
    <cellStyle name="___PERSONAL_2_EWC 43.5MW8oMtresc 3_25_02v2" xfId="1416" xr:uid="{00000000-0005-0000-0000-0000D5010000}"/>
    <cellStyle name="___PERSONAL_2_EWC 43.5MW8oMtresc 3_25_02v2 2" xfId="1417" xr:uid="{00000000-0005-0000-0000-0000D6010000}"/>
    <cellStyle name="___PERSONAL_2_EWC 43.5MW8oMtresc 3_25_02v2w_esc" xfId="1418" xr:uid="{00000000-0005-0000-0000-0000D7010000}"/>
    <cellStyle name="___PERSONAL_2_EWC 43.5MW8oMtresc 3_25_02v2w_esc 2" xfId="1419" xr:uid="{00000000-0005-0000-0000-0000D8010000}"/>
    <cellStyle name="___PERSONAL_2_EWC 43.5MW8oMtresc 3_25_02v2w_esc_1" xfId="1420" xr:uid="{00000000-0005-0000-0000-0000D9010000}"/>
    <cellStyle name="___PERSONAL_2_EWC 43.5MW8oMtresc 3_25_02v2w_esc_1 2" xfId="1421" xr:uid="{00000000-0005-0000-0000-0000DA010000}"/>
    <cellStyle name="___PERSONAL_2_EWC 43.5MW8oMtresc 3_25_02v2w_esc_NE Budgets ROCK 4-28-07 NS" xfId="1422" xr:uid="{00000000-0005-0000-0000-0000DB010000}"/>
    <cellStyle name="___PERSONAL_2_EWC 43.5MW8oMtresc 3_25_02v2w_esc_NE Budgets ROCK 4-28-07 NS 2" xfId="1423" xr:uid="{00000000-0005-0000-0000-0000DC010000}"/>
    <cellStyle name="___PERSONAL_2_EWC 43.5MW8oMtresc 3_25_02v2w_esc_New England Budgets Mar 14" xfId="1424" xr:uid="{00000000-0005-0000-0000-0000DD010000}"/>
    <cellStyle name="___PERSONAL_2_EWC 43.5MW8oMtresc 3_25_02v2w_esc_New England Budgets Mar 14 2" xfId="1425" xr:uid="{00000000-0005-0000-0000-0000DE010000}"/>
    <cellStyle name="___PERSONAL_2_EWC 43.5MW8oMtresc 3_25_02v2w_esc_New England Budgets Mar 14_Asset Management Expenses NY '08 11-1-07" xfId="1426" xr:uid="{00000000-0005-0000-0000-0000DF010000}"/>
    <cellStyle name="___PERSONAL_2_EWC 43.5MW8oMtresc 3_25_02v2w_esc_New England Budgets Mar 14_Asset Management Expenses NY '08 11-1-07 2" xfId="1427" xr:uid="{00000000-0005-0000-0000-0000E0010000}"/>
    <cellStyle name="___PERSONAL_2_EWC 43.5MW8oMtresc 3_25_02v2w_esc_New England Budgets Mar 14_Chateaugay" xfId="1428" xr:uid="{00000000-0005-0000-0000-0000E1010000}"/>
    <cellStyle name="___PERSONAL_2_EWC 43.5MW8oMtresc 3_25_02v2w_esc_New England Budgets Mar 14_Chateaugay 2" xfId="1429" xr:uid="{00000000-0005-0000-0000-0000E2010000}"/>
    <cellStyle name="___PERSONAL_2_NE Budgets ROCK 4-28-07 NS" xfId="1430" xr:uid="{00000000-0005-0000-0000-0000E3010000}"/>
    <cellStyle name="___PERSONAL_2_NE Budgets ROCK 4-28-07 NS 2" xfId="1431" xr:uid="{00000000-0005-0000-0000-0000E4010000}"/>
    <cellStyle name="___PERSONAL_2_New England Budgets Mar 14" xfId="1432" xr:uid="{00000000-0005-0000-0000-0000E5010000}"/>
    <cellStyle name="___PERSONAL_2_New England Budgets Mar 14 2" xfId="1433" xr:uid="{00000000-0005-0000-0000-0000E6010000}"/>
    <cellStyle name="___PERSONAL_2_New England Budgets Mar 14_Asset Management Expenses NY '08 11-1-07" xfId="1434" xr:uid="{00000000-0005-0000-0000-0000E7010000}"/>
    <cellStyle name="___PERSONAL_2_New England Budgets Mar 14_Asset Management Expenses NY '08 11-1-07 2" xfId="1435" xr:uid="{00000000-0005-0000-0000-0000E8010000}"/>
    <cellStyle name="___PERSONAL_2_New England Budgets Mar 14_Chateaugay" xfId="1436" xr:uid="{00000000-0005-0000-0000-0000E9010000}"/>
    <cellStyle name="___PERSONAL_2_New England Budgets Mar 14_Chateaugay 2" xfId="1437" xr:uid="{00000000-0005-0000-0000-0000EA010000}"/>
    <cellStyle name="___PERSONAL_2_Wind farm - operation CF" xfId="1438" xr:uid="{00000000-0005-0000-0000-0000EB010000}"/>
    <cellStyle name="___PERSONAL_2_Wind farm - operation CF 2" xfId="1439" xr:uid="{00000000-0005-0000-0000-0000EC010000}"/>
    <cellStyle name="___PERSONAL_2_Wind farm - operation CF_1" xfId="1440" xr:uid="{00000000-0005-0000-0000-0000ED010000}"/>
    <cellStyle name="___PERSONAL_2_Wind farm - operation CF_1 2" xfId="1441" xr:uid="{00000000-0005-0000-0000-0000EE010000}"/>
    <cellStyle name="___PERSONAL_3" xfId="1442" xr:uid="{00000000-0005-0000-0000-0000EF010000}"/>
    <cellStyle name="___PERSONAL_3_EWC 43.5MW8oMtresc 3_25_021" xfId="1443" xr:uid="{00000000-0005-0000-0000-0000F0010000}"/>
    <cellStyle name="___PERSONAL_3_EWC 43.5MW8oMtresc 3_25_021_NE Budgets ROCK 4-28-07 NS" xfId="1444" xr:uid="{00000000-0005-0000-0000-0000F1010000}"/>
    <cellStyle name="___PERSONAL_3_EWC 43.5MW8oMtresc 3_25_021_New England Budgets Mar 14" xfId="1445" xr:uid="{00000000-0005-0000-0000-0000F2010000}"/>
    <cellStyle name="___PERSONAL_3_EWC 43.5MW8oMtresc 3_25_02v2" xfId="1446" xr:uid="{00000000-0005-0000-0000-0000F3010000}"/>
    <cellStyle name="___PERSONAL_3_EWC 43.5MW8oMtresc 3_25_02v2_NE Budgets ROCK 4-28-07 NS" xfId="1447" xr:uid="{00000000-0005-0000-0000-0000F4010000}"/>
    <cellStyle name="___PERSONAL_3_EWC 43.5MW8oMtresc 3_25_02v2_New England Budgets Mar 14" xfId="1448" xr:uid="{00000000-0005-0000-0000-0000F5010000}"/>
    <cellStyle name="___PERSONAL_3_EWC 43.5MW8oMtresc 3_25_02v2w_esc" xfId="1449" xr:uid="{00000000-0005-0000-0000-0000F6010000}"/>
    <cellStyle name="___PERSONAL_3_EWC 43.5MW8oMtresc 3_25_02v2w_esc_1" xfId="1450" xr:uid="{00000000-0005-0000-0000-0000F7010000}"/>
    <cellStyle name="___PERSONAL_3_EWC 43.5MW8oMtresc 3_25_02v2w_esc_1 2" xfId="1451" xr:uid="{00000000-0005-0000-0000-0000F8010000}"/>
    <cellStyle name="___PERSONAL_3_EWC 43.5MW8oMtresc 3_25_02v2w_esc_NE Budgets ROCK 4-28-07 NS" xfId="1452" xr:uid="{00000000-0005-0000-0000-0000F9010000}"/>
    <cellStyle name="___PERSONAL_3_EWC 43.5MW8oMtresc 3_25_02v2w_esc_New England Budgets Mar 14" xfId="1453" xr:uid="{00000000-0005-0000-0000-0000FA010000}"/>
    <cellStyle name="___PERSONAL_3_NE Budgets ROCK 4-28-07 NS" xfId="1454" xr:uid="{00000000-0005-0000-0000-0000FB010000}"/>
    <cellStyle name="___PERSONAL_3_New England Budgets Mar 14" xfId="1455" xr:uid="{00000000-0005-0000-0000-0000FC010000}"/>
    <cellStyle name="___PERSONAL_3_Wind farm - operation CF" xfId="1456" xr:uid="{00000000-0005-0000-0000-0000FD010000}"/>
    <cellStyle name="___PERSONAL_3_Wind farm - operation CF 2" xfId="1457" xr:uid="{00000000-0005-0000-0000-0000FE010000}"/>
    <cellStyle name="___PERSONAL_4" xfId="1458" xr:uid="{00000000-0005-0000-0000-0000FF010000}"/>
    <cellStyle name="___PERSONAL_4_NE Budgets ROCK 4-28-07 NS" xfId="1459" xr:uid="{00000000-0005-0000-0000-000000020000}"/>
    <cellStyle name="___PERSONAL_4_New England Budgets Mar 14" xfId="1460" xr:uid="{00000000-0005-0000-0000-000001020000}"/>
    <cellStyle name="___PERSONAL_EWC 43.5MW8oMtresc 3_25_021" xfId="1461" xr:uid="{00000000-0005-0000-0000-000002020000}"/>
    <cellStyle name="___PERSONAL_EWC 43.5MW8oMtresc 3_25_021 2" xfId="1462" xr:uid="{00000000-0005-0000-0000-000003020000}"/>
    <cellStyle name="___PERSONAL_EWC 43.5MW8oMtresc 3_25_02v2" xfId="1463" xr:uid="{00000000-0005-0000-0000-000004020000}"/>
    <cellStyle name="___PERSONAL_EWC 43.5MW8oMtresc 3_25_02v2 2" xfId="1464" xr:uid="{00000000-0005-0000-0000-000005020000}"/>
    <cellStyle name="___PERSONAL_EWC 43.5MW8oMtresc 3_25_02v2_1" xfId="1465" xr:uid="{00000000-0005-0000-0000-000006020000}"/>
    <cellStyle name="___PERSONAL_EWC 43.5MW8oMtresc 3_25_02v2w_esc" xfId="1466" xr:uid="{00000000-0005-0000-0000-000007020000}"/>
    <cellStyle name="___PERSONAL_EWC 43.5MW8oMtresc 3_25_02v2w_esc 2" xfId="1467" xr:uid="{00000000-0005-0000-0000-000008020000}"/>
    <cellStyle name="___PERSONAL_EWC 43.5MW8oMtresc 3_25_02v2w_esc_1" xfId="1468" xr:uid="{00000000-0005-0000-0000-000009020000}"/>
    <cellStyle name="___PERSONAL_EWC 43.5MW8oMtresc 3_25_02v2w_esc_1 2" xfId="1469" xr:uid="{00000000-0005-0000-0000-00000A020000}"/>
    <cellStyle name="___PERSONAL_Wind farm - operation CF" xfId="1470" xr:uid="{00000000-0005-0000-0000-00000B020000}"/>
    <cellStyle name="___PERSONAL_Wind farm - operation CF 2" xfId="1471" xr:uid="{00000000-0005-0000-0000-00000C020000}"/>
    <cellStyle name="___PERSONAL_Wind farm - operation CF_1" xfId="1472" xr:uid="{00000000-0005-0000-0000-00000D020000}"/>
    <cellStyle name="___PERSONAL_Wind farm - operation CF_1 2" xfId="1473" xr:uid="{00000000-0005-0000-0000-00000E020000}"/>
    <cellStyle name="___Query11" xfId="1474" xr:uid="{00000000-0005-0000-0000-00000F020000}"/>
    <cellStyle name="___Query11 2" xfId="1475" xr:uid="{00000000-0005-0000-0000-000010020000}"/>
    <cellStyle name="___Query11_NE Budgets ROCK 4-28-07 NS" xfId="1476" xr:uid="{00000000-0005-0000-0000-000011020000}"/>
    <cellStyle name="___Query11_NE Budgets ROCK 4-28-07 NS 2" xfId="1477" xr:uid="{00000000-0005-0000-0000-000012020000}"/>
    <cellStyle name="___Query11_New England Budgets Mar 14" xfId="1478" xr:uid="{00000000-0005-0000-0000-000013020000}"/>
    <cellStyle name="___Query11_New England Budgets Mar 14 2" xfId="1479" xr:uid="{00000000-0005-0000-0000-000014020000}"/>
    <cellStyle name="___Query11_New England Budgets Mar 14_Asset Management Expenses NY '08 11-1-07" xfId="1480" xr:uid="{00000000-0005-0000-0000-000015020000}"/>
    <cellStyle name="___Query11_New England Budgets Mar 14_Asset Management Expenses NY '08 11-1-07 2" xfId="1481" xr:uid="{00000000-0005-0000-0000-000016020000}"/>
    <cellStyle name="___Query11_New England Budgets Mar 14_Chateaugay" xfId="1482" xr:uid="{00000000-0005-0000-0000-000017020000}"/>
    <cellStyle name="___Query11_New England Budgets Mar 14_Chateaugay 2" xfId="1483" xr:uid="{00000000-0005-0000-0000-000018020000}"/>
    <cellStyle name="___Sheet1" xfId="1484" xr:uid="{00000000-0005-0000-0000-000019020000}"/>
    <cellStyle name="___Sheet1 (2)" xfId="1485" xr:uid="{00000000-0005-0000-0000-00001A020000}"/>
    <cellStyle name="___Sheet1 (2)_NE Budgets ROCK 4-28-07 NS" xfId="1486" xr:uid="{00000000-0005-0000-0000-00001B020000}"/>
    <cellStyle name="___Sheet1 (2)_New England Budgets Mar 14" xfId="1487" xr:uid="{00000000-0005-0000-0000-00001C020000}"/>
    <cellStyle name="___Sheet1_NE Budgets ROCK 4-28-07 NS" xfId="1488" xr:uid="{00000000-0005-0000-0000-00001D020000}"/>
    <cellStyle name="___Sheet1_New England Budgets Mar 14" xfId="1489" xr:uid="{00000000-0005-0000-0000-00001E020000}"/>
    <cellStyle name="___Sheet2" xfId="1490" xr:uid="{00000000-0005-0000-0000-00001F020000}"/>
    <cellStyle name="___Sheet2_EWC 43.5MW8oMtresc 3_25_021" xfId="1491" xr:uid="{00000000-0005-0000-0000-000020020000}"/>
    <cellStyle name="___Sheet2_EWC 43.5MW8oMtresc 3_25_021 2" xfId="1492" xr:uid="{00000000-0005-0000-0000-000021020000}"/>
    <cellStyle name="___Sheet2_EWC 43.5MW8oMtresc 3_25_021_1" xfId="1493" xr:uid="{00000000-0005-0000-0000-000022020000}"/>
    <cellStyle name="___Sheet2_EWC 43.5MW8oMtresc 3_25_021_1_NE Budgets ROCK 4-28-07 NS" xfId="1494" xr:uid="{00000000-0005-0000-0000-000023020000}"/>
    <cellStyle name="___Sheet2_EWC 43.5MW8oMtresc 3_25_021_1_New England Budgets Mar 14" xfId="1495" xr:uid="{00000000-0005-0000-0000-000024020000}"/>
    <cellStyle name="___Sheet2_EWC 43.5MW8oMtresc 3_25_02v2" xfId="1496" xr:uid="{00000000-0005-0000-0000-000025020000}"/>
    <cellStyle name="___Sheet2_EWC 43.5MW8oMtresc 3_25_02v2 2" xfId="1497" xr:uid="{00000000-0005-0000-0000-000026020000}"/>
    <cellStyle name="___Sheet2_EWC 43.5MW8oMtresc 3_25_02v2_1" xfId="1498" xr:uid="{00000000-0005-0000-0000-000027020000}"/>
    <cellStyle name="___Sheet2_EWC 43.5MW8oMtresc 3_25_02v2_1_NE Budgets ROCK 4-28-07 NS" xfId="1499" xr:uid="{00000000-0005-0000-0000-000028020000}"/>
    <cellStyle name="___Sheet2_EWC 43.5MW8oMtresc 3_25_02v2_1_New England Budgets Mar 14" xfId="1500" xr:uid="{00000000-0005-0000-0000-000029020000}"/>
    <cellStyle name="___Sheet2_EWC 43.5MW8oMtresc 3_25_02v2w_esc" xfId="1501" xr:uid="{00000000-0005-0000-0000-00002A020000}"/>
    <cellStyle name="___Sheet2_EWC 43.5MW8oMtresc 3_25_02v2w_esc 2" xfId="1502" xr:uid="{00000000-0005-0000-0000-00002B020000}"/>
    <cellStyle name="___Sheet2_NE Budgets ROCK 4-28-07 NS" xfId="1503" xr:uid="{00000000-0005-0000-0000-00002C020000}"/>
    <cellStyle name="___Sheet2_New England Budgets Mar 14" xfId="1504" xr:uid="{00000000-0005-0000-0000-00002D020000}"/>
    <cellStyle name="___Sheet2_Wind farm - operation CF" xfId="1505" xr:uid="{00000000-0005-0000-0000-00002E020000}"/>
    <cellStyle name="___Sheet2_Wind farm - operation CF 2" xfId="1506" xr:uid="{00000000-0005-0000-0000-00002F020000}"/>
    <cellStyle name="_2007 Budget 2-22-2007" xfId="1507" xr:uid="{00000000-0005-0000-0000-000030020000}"/>
    <cellStyle name="_2007 Budget 2-22-2007 2" xfId="1508" xr:uid="{00000000-0005-0000-0000-000031020000}"/>
    <cellStyle name="_2008 Budgets draft 10-27 Woods" xfId="1509" xr:uid="{00000000-0005-0000-0000-000032020000}"/>
    <cellStyle name="_2008 Budgets draft 10-27 Woods 2" xfId="1510" xr:uid="{00000000-0005-0000-0000-000033020000}"/>
    <cellStyle name="_2008 Budgets draft 10-27 Woods_Asset Management Expenses NY '08 11-1-07" xfId="1511" xr:uid="{00000000-0005-0000-0000-000034020000}"/>
    <cellStyle name="_2008 Budgets draft 10-27 Woods_Asset Management Expenses NY '08 11-1-07 2" xfId="1512" xr:uid="{00000000-0005-0000-0000-000035020000}"/>
    <cellStyle name="_2008 Budgets draft 10-27 Woods_Chateaugay" xfId="1513" xr:uid="{00000000-0005-0000-0000-000036020000}"/>
    <cellStyle name="_2008 Budgets draft 10-27 Woods_Chateaugay 2" xfId="1514" xr:uid="{00000000-0005-0000-0000-000037020000}"/>
    <cellStyle name="_2009 MV1&amp;2 LTF Model 11-14-2008 - Round 3Val_vMaster" xfId="1515" xr:uid="{00000000-0005-0000-0000-000038020000}"/>
    <cellStyle name="_2009 MV1&amp;2 LTF Model 11-14-2008 - Round 3Val_vMaster 2" xfId="1516" xr:uid="{00000000-0005-0000-0000-000039020000}"/>
    <cellStyle name="_5-yr Pre-tax Inc011702" xfId="1517" xr:uid="{00000000-0005-0000-0000-00003A020000}"/>
    <cellStyle name="_5-yr Pre-tax Inc011702 2" xfId="1518" xr:uid="{00000000-0005-0000-0000-00003B020000}"/>
    <cellStyle name="_AnnualData" xfId="1519" xr:uid="{00000000-0005-0000-0000-00003C020000}"/>
    <cellStyle name="_AnnualData 2" xfId="1520" xr:uid="{00000000-0005-0000-0000-00003D020000}"/>
    <cellStyle name="_Approval_Dec05_SeaWest" xfId="1521" xr:uid="{00000000-0005-0000-0000-00003E020000}"/>
    <cellStyle name="_Approval_Dec05_SeaWest 2" xfId="1522" xr:uid="{00000000-0005-0000-0000-00003F020000}"/>
    <cellStyle name="_Approval_Dec05_SeaWest_Rev" xfId="1523" xr:uid="{00000000-0005-0000-0000-000040020000}"/>
    <cellStyle name="_Approval_Dec05_SeaWest_Rev 2" xfId="1524" xr:uid="{00000000-0005-0000-0000-000041020000}"/>
    <cellStyle name="_Approval_Dec06" xfId="1525" xr:uid="{00000000-0005-0000-0000-000042020000}"/>
    <cellStyle name="_Approval_Dec06 (3)" xfId="1526" xr:uid="{00000000-0005-0000-0000-000043020000}"/>
    <cellStyle name="_Approval_Dec06 (3) 2" xfId="1527" xr:uid="{00000000-0005-0000-0000-000044020000}"/>
    <cellStyle name="_Approval_Dec06 2" xfId="1528" xr:uid="{00000000-0005-0000-0000-000045020000}"/>
    <cellStyle name="_Approval_Dec06 3" xfId="1529" xr:uid="{00000000-0005-0000-0000-000046020000}"/>
    <cellStyle name="_Approval_Dec06 4" xfId="1530" xr:uid="{00000000-0005-0000-0000-000047020000}"/>
    <cellStyle name="_Asset Mngmnt 20 yr projection2-20-07" xfId="1531" xr:uid="{00000000-0005-0000-0000-000048020000}"/>
    <cellStyle name="_Asset Mngmnt 20 yr projection2-20-07 2" xfId="1532" xr:uid="{00000000-0005-0000-0000-000049020000}"/>
    <cellStyle name="_BGI" xfId="1533" xr:uid="{00000000-0005-0000-0000-00004A020000}"/>
    <cellStyle name="_BGI 2" xfId="1534" xr:uid="{00000000-0005-0000-0000-00004B020000}"/>
    <cellStyle name="_Book1" xfId="1535" xr:uid="{00000000-0005-0000-0000-00004C020000}"/>
    <cellStyle name="_Book1 2" xfId="1536" xr:uid="{00000000-0005-0000-0000-00004D020000}"/>
    <cellStyle name="_Book1_Elbow Creek - GED Curve - 12 4 07Padoma Base" xfId="1537" xr:uid="{00000000-0005-0000-0000-00004E020000}"/>
    <cellStyle name="_Book1_Elbow Creek - GED Curve - 12 4 07Padoma Base 2" xfId="1538" xr:uid="{00000000-0005-0000-0000-00004F020000}"/>
    <cellStyle name="_Book2" xfId="1539" xr:uid="{00000000-0005-0000-0000-000050020000}"/>
    <cellStyle name="_Book2 2" xfId="1540" xr:uid="{00000000-0005-0000-0000-000051020000}"/>
    <cellStyle name="_Budget_Template_Venu Nambiar (3)" xfId="1541" xr:uid="{00000000-0005-0000-0000-000052020000}"/>
    <cellStyle name="_Chat &amp; Brandon Jan Report" xfId="1542" xr:uid="{00000000-0005-0000-0000-000053020000}"/>
    <cellStyle name="_Chat &amp; Brandon Jan Report 2" xfId="1543" xr:uid="{00000000-0005-0000-0000-000054020000}"/>
    <cellStyle name="_Chat &amp; Brandon Jan Report_Asset Management Expenses NY '08 11-1-07" xfId="1544" xr:uid="{00000000-0005-0000-0000-000055020000}"/>
    <cellStyle name="_Chat &amp; Brandon Jan Report_Asset Management Expenses NY '08 11-1-07 2" xfId="1545" xr:uid="{00000000-0005-0000-0000-000056020000}"/>
    <cellStyle name="_Chat &amp; Brandon Jan Report_Chateaugay" xfId="1546" xr:uid="{00000000-0005-0000-0000-000057020000}"/>
    <cellStyle name="_Chat &amp; Brandon Jan Report_Chateaugay 2" xfId="1547" xr:uid="{00000000-0005-0000-0000-000058020000}"/>
    <cellStyle name="_Cili_2003 Budget Chigen" xfId="1548" xr:uid="{00000000-0005-0000-0000-000059020000}"/>
    <cellStyle name="_Cili_2003 Budget Chigen 2" xfId="1549" xr:uid="{00000000-0005-0000-0000-00005A020000}"/>
    <cellStyle name="_Comma" xfId="1550" xr:uid="{00000000-0005-0000-0000-00005B020000}"/>
    <cellStyle name="_Comma 2" xfId="1551" xr:uid="{00000000-0005-0000-0000-00005C020000}"/>
    <cellStyle name="_Comma 3" xfId="1552" xr:uid="{00000000-0005-0000-0000-00005D020000}"/>
    <cellStyle name="_Comma_08 Great Plains OMv2(v3)" xfId="1553" xr:uid="{00000000-0005-0000-0000-00005E020000}"/>
    <cellStyle name="_Comma_08 Great Plains OMv2(v3) 2" xfId="1554" xr:uid="{00000000-0005-0000-0000-00005F020000}"/>
    <cellStyle name="_Comma_Altona Capital Budget 8-3-07" xfId="1555" xr:uid="{00000000-0005-0000-0000-000060020000}"/>
    <cellStyle name="_Comma_Altona Capital Budget 8-3-07 2" xfId="1556" xr:uid="{00000000-0005-0000-0000-000061020000}"/>
    <cellStyle name="_Comma_Book1" xfId="1557" xr:uid="{00000000-0005-0000-0000-000062020000}"/>
    <cellStyle name="_Comma_Book1 2" xfId="1558" xr:uid="{00000000-0005-0000-0000-000063020000}"/>
    <cellStyle name="_Comma_CapEx" xfId="1559" xr:uid="{00000000-0005-0000-0000-000064020000}"/>
    <cellStyle name="_Comma_CapEx 2" xfId="1560" xr:uid="{00000000-0005-0000-0000-000065020000}"/>
    <cellStyle name="_Comma_Cost" xfId="1561" xr:uid="{00000000-0005-0000-0000-000066020000}"/>
    <cellStyle name="_Comma_Cost 2" xfId="1562" xr:uid="{00000000-0005-0000-0000-000067020000}"/>
    <cellStyle name="_Comma_Dev + Const" xfId="1563" xr:uid="{00000000-0005-0000-0000-000068020000}"/>
    <cellStyle name="_Comma_Dev + Const 2" xfId="1564" xr:uid="{00000000-0005-0000-0000-000069020000}"/>
    <cellStyle name="_Comma_Finace Fee" xfId="1565" xr:uid="{00000000-0005-0000-0000-00006A020000}"/>
    <cellStyle name="_Comma_Finace Fee 2" xfId="1566" xr:uid="{00000000-0005-0000-0000-00006B020000}"/>
    <cellStyle name="_Comma_Operating budget for Declan - Jan 2010" xfId="1567" xr:uid="{00000000-0005-0000-0000-00006C020000}"/>
    <cellStyle name="_Comma_Operating budget for Declan - Jan 2010 2" xfId="1568" xr:uid="{00000000-0005-0000-0000-00006D020000}"/>
    <cellStyle name="_Comma_Overhead" xfId="1569" xr:uid="{00000000-0005-0000-0000-00006E020000}"/>
    <cellStyle name="_Comma_Overhead 2" xfId="1570" xr:uid="{00000000-0005-0000-0000-00006F020000}"/>
    <cellStyle name="_Comma_Sheet1" xfId="1571" xr:uid="{00000000-0005-0000-0000-000070020000}"/>
    <cellStyle name="_Comma_Sheet1 2" xfId="1572" xr:uid="{00000000-0005-0000-0000-000071020000}"/>
    <cellStyle name="_Comma_Turbine" xfId="1573" xr:uid="{00000000-0005-0000-0000-000072020000}"/>
    <cellStyle name="_Comma_Turbine 2" xfId="1574" xr:uid="{00000000-0005-0000-0000-000073020000}"/>
    <cellStyle name="_Comma_Turbine Financing" xfId="1575" xr:uid="{00000000-0005-0000-0000-000074020000}"/>
    <cellStyle name="_Comma_Turbine Financing 2" xfId="1576" xr:uid="{00000000-0005-0000-0000-000075020000}"/>
    <cellStyle name="_Compiled Alt Clint Ellen Bliss Wfield Chat Chrry Cntvl Budgets 11-6-06 match to capital budget" xfId="1577" xr:uid="{00000000-0005-0000-0000-000076020000}"/>
    <cellStyle name="_Compiled Alt Clint Ellen Bliss Wfield Chat Chrry Cntvl Budgets 11-6-06 match to capital budget 2" xfId="1578" xr:uid="{00000000-0005-0000-0000-000077020000}"/>
    <cellStyle name="_Compiled Alt Clint Ellen Bliss Wfield Chat Chrry Cntvl Budgets 11-6-06 match to capital budget_Asset Management Expenses NY '08 11-1-07" xfId="1579" xr:uid="{00000000-0005-0000-0000-000078020000}"/>
    <cellStyle name="_Compiled Alt Clint Ellen Bliss Wfield Chat Chrry Cntvl Budgets 11-6-06 match to capital budget_Asset Management Expenses NY '08 11-1-07 2" xfId="1580" xr:uid="{00000000-0005-0000-0000-000079020000}"/>
    <cellStyle name="_Compiled Alt Clint Ellen Bliss Wfield Chat Chrry Cntvl Budgets 11-6-06 match to capital budget_Chateaugay" xfId="1581" xr:uid="{00000000-0005-0000-0000-00007A020000}"/>
    <cellStyle name="_Compiled Alt Clint Ellen Bliss Wfield Chat Chrry Cntvl Budgets 11-6-06 match to capital budget_Chateaugay 2" xfId="1582" xr:uid="{00000000-0005-0000-0000-00007B020000}"/>
    <cellStyle name="_Compiled Noble Development Budget All Projects rev 11-30-06" xfId="1583" xr:uid="{00000000-0005-0000-0000-00007C020000}"/>
    <cellStyle name="_Compiled Noble Development Budget All Projects rev 11-30-06 2" xfId="1584" xr:uid="{00000000-0005-0000-0000-00007D020000}"/>
    <cellStyle name="_Compiled Noble Development Budget All Projects rev 11-30-06_Asset Management Expenses NY '08 11-1-07" xfId="1585" xr:uid="{00000000-0005-0000-0000-00007E020000}"/>
    <cellStyle name="_Compiled Noble Development Budget All Projects rev 11-30-06_Asset Management Expenses NY '08 11-1-07 2" xfId="1586" xr:uid="{00000000-0005-0000-0000-00007F020000}"/>
    <cellStyle name="_Compiled Noble Development Budget All Projects rev 11-30-06_Chateaugay" xfId="1587" xr:uid="{00000000-0005-0000-0000-000080020000}"/>
    <cellStyle name="_Compiled Noble Development Budget All Projects rev 11-30-06_Chateaugay 2" xfId="1588" xr:uid="{00000000-0005-0000-0000-000081020000}"/>
    <cellStyle name="_Compiled Noble Development Budget All Projects rev 12-1-06" xfId="1589" xr:uid="{00000000-0005-0000-0000-000082020000}"/>
    <cellStyle name="_Compiled Noble Development Budget All Projects rev 12-1-06 2" xfId="1590" xr:uid="{00000000-0005-0000-0000-000083020000}"/>
    <cellStyle name="_Compiled Noble Development Budget All Projects rev 12-1-06_Asset Management Expenses NY '08 11-1-07" xfId="1591" xr:uid="{00000000-0005-0000-0000-000084020000}"/>
    <cellStyle name="_Compiled Noble Development Budget All Projects rev 12-1-06_Asset Management Expenses NY '08 11-1-07 2" xfId="1592" xr:uid="{00000000-0005-0000-0000-000085020000}"/>
    <cellStyle name="_Compiled Noble Development Budget All Projects rev 12-1-06_Chateaugay" xfId="1593" xr:uid="{00000000-0005-0000-0000-000086020000}"/>
    <cellStyle name="_Compiled Noble Development Budget All Projects rev 12-1-06_Chateaugay 2" xfId="1594" xr:uid="{00000000-0005-0000-0000-000087020000}"/>
    <cellStyle name="_Construction Financing" xfId="1595" xr:uid="{00000000-0005-0000-0000-000088020000}"/>
    <cellStyle name="_Construction Financing 2" xfId="1596" xr:uid="{00000000-0005-0000-0000-000089020000}"/>
    <cellStyle name="_Copy of Construction Budget Overview - 9 18 07" xfId="1597" xr:uid="{00000000-0005-0000-0000-00008A020000}"/>
    <cellStyle name="_Copy of Construction Budget Overview - 9 18 07 2" xfId="1598" xr:uid="{00000000-0005-0000-0000-00008B020000}"/>
    <cellStyle name="_Currency" xfId="1599" xr:uid="{00000000-0005-0000-0000-00008C020000}"/>
    <cellStyle name="_Currency 2" xfId="1600" xr:uid="{00000000-0005-0000-0000-00008D020000}"/>
    <cellStyle name="_Currency 3" xfId="1601" xr:uid="{00000000-0005-0000-0000-00008E020000}"/>
    <cellStyle name="_Currency_08 Great Plains OMv2(v3)" xfId="1602" xr:uid="{00000000-0005-0000-0000-00008F020000}"/>
    <cellStyle name="_Currency_08 Great Plains OMv2(v3) 2" xfId="1603" xr:uid="{00000000-0005-0000-0000-000090020000}"/>
    <cellStyle name="_Currency_Altona Capital Budget 8-3-07" xfId="1604" xr:uid="{00000000-0005-0000-0000-000091020000}"/>
    <cellStyle name="_Currency_Altona Capital Budget 8-3-07 2" xfId="1605" xr:uid="{00000000-0005-0000-0000-000092020000}"/>
    <cellStyle name="_Currency_Book1" xfId="1606" xr:uid="{00000000-0005-0000-0000-000093020000}"/>
    <cellStyle name="_Currency_Book1 2" xfId="1607" xr:uid="{00000000-0005-0000-0000-000094020000}"/>
    <cellStyle name="_Currency_CapEx" xfId="1608" xr:uid="{00000000-0005-0000-0000-000095020000}"/>
    <cellStyle name="_Currency_CapEx 2" xfId="1609" xr:uid="{00000000-0005-0000-0000-000096020000}"/>
    <cellStyle name="_Currency_Cost" xfId="1610" xr:uid="{00000000-0005-0000-0000-000097020000}"/>
    <cellStyle name="_Currency_Cost 2" xfId="1611" xr:uid="{00000000-0005-0000-0000-000098020000}"/>
    <cellStyle name="_Currency_Dev + Const" xfId="1612" xr:uid="{00000000-0005-0000-0000-000099020000}"/>
    <cellStyle name="_Currency_Dev + Const 2" xfId="1613" xr:uid="{00000000-0005-0000-0000-00009A020000}"/>
    <cellStyle name="_Currency_Finace Fee" xfId="1614" xr:uid="{00000000-0005-0000-0000-00009B020000}"/>
    <cellStyle name="_Currency_Finace Fee 2" xfId="1615" xr:uid="{00000000-0005-0000-0000-00009C020000}"/>
    <cellStyle name="_Currency_Operating budget for Declan - Jan 2010" xfId="1616" xr:uid="{00000000-0005-0000-0000-00009D020000}"/>
    <cellStyle name="_Currency_Operating budget for Declan - Jan 2010 2" xfId="1617" xr:uid="{00000000-0005-0000-0000-00009E020000}"/>
    <cellStyle name="_Currency_Overhead" xfId="1618" xr:uid="{00000000-0005-0000-0000-00009F020000}"/>
    <cellStyle name="_Currency_Overhead 2" xfId="1619" xr:uid="{00000000-0005-0000-0000-0000A0020000}"/>
    <cellStyle name="_Currency_Senior Notes April 3" xfId="1620" xr:uid="{00000000-0005-0000-0000-0000A1020000}"/>
    <cellStyle name="_Currency_Senior Notes April 3 2" xfId="1621" xr:uid="{00000000-0005-0000-0000-0000A2020000}"/>
    <cellStyle name="_Currency_Sheet1" xfId="1622" xr:uid="{00000000-0005-0000-0000-0000A3020000}"/>
    <cellStyle name="_Currency_Sheet1 2" xfId="1623" xr:uid="{00000000-0005-0000-0000-0000A4020000}"/>
    <cellStyle name="_Currency_Turbine" xfId="1624" xr:uid="{00000000-0005-0000-0000-0000A5020000}"/>
    <cellStyle name="_Currency_Turbine 2" xfId="1625" xr:uid="{00000000-0005-0000-0000-0000A6020000}"/>
    <cellStyle name="_Currency_Turbine Financing" xfId="1626" xr:uid="{00000000-0005-0000-0000-0000A7020000}"/>
    <cellStyle name="_Currency_Turbine Financing 2" xfId="1627" xr:uid="{00000000-0005-0000-0000-0000A8020000}"/>
    <cellStyle name="_CurrencySpace" xfId="1628" xr:uid="{00000000-0005-0000-0000-0000A9020000}"/>
    <cellStyle name="_CurrencySpace 2" xfId="1629" xr:uid="{00000000-0005-0000-0000-0000AA020000}"/>
    <cellStyle name="_CurrencySpace 3" xfId="1630" xr:uid="{00000000-0005-0000-0000-0000AB020000}"/>
    <cellStyle name="_CurrencySpace_08 Great Plains OMv2(v3)" xfId="1631" xr:uid="{00000000-0005-0000-0000-0000AC020000}"/>
    <cellStyle name="_CurrencySpace_08 Great Plains OMv2(v3) 2" xfId="1632" xr:uid="{00000000-0005-0000-0000-0000AD020000}"/>
    <cellStyle name="_CurrencySpace_Altona Capital Budget 8-3-07" xfId="1633" xr:uid="{00000000-0005-0000-0000-0000AE020000}"/>
    <cellStyle name="_CurrencySpace_Altona Capital Budget 8-3-07 2" xfId="1634" xr:uid="{00000000-0005-0000-0000-0000AF020000}"/>
    <cellStyle name="_CurrencySpace_Book1" xfId="1635" xr:uid="{00000000-0005-0000-0000-0000B0020000}"/>
    <cellStyle name="_CurrencySpace_Book1 2" xfId="1636" xr:uid="{00000000-0005-0000-0000-0000B1020000}"/>
    <cellStyle name="_CurrencySpace_CapEx" xfId="1637" xr:uid="{00000000-0005-0000-0000-0000B2020000}"/>
    <cellStyle name="_CurrencySpace_CapEx 2" xfId="1638" xr:uid="{00000000-0005-0000-0000-0000B3020000}"/>
    <cellStyle name="_CurrencySpace_Cost" xfId="1639" xr:uid="{00000000-0005-0000-0000-0000B4020000}"/>
    <cellStyle name="_CurrencySpace_Cost 2" xfId="1640" xr:uid="{00000000-0005-0000-0000-0000B5020000}"/>
    <cellStyle name="_CurrencySpace_Dev + Const" xfId="1641" xr:uid="{00000000-0005-0000-0000-0000B6020000}"/>
    <cellStyle name="_CurrencySpace_Dev + Const 2" xfId="1642" xr:uid="{00000000-0005-0000-0000-0000B7020000}"/>
    <cellStyle name="_CurrencySpace_Finace Fee" xfId="1643" xr:uid="{00000000-0005-0000-0000-0000B8020000}"/>
    <cellStyle name="_CurrencySpace_Finace Fee 2" xfId="1644" xr:uid="{00000000-0005-0000-0000-0000B9020000}"/>
    <cellStyle name="_CurrencySpace_Operating budget for Declan - Jan 2010" xfId="1645" xr:uid="{00000000-0005-0000-0000-0000BA020000}"/>
    <cellStyle name="_CurrencySpace_Operating budget for Declan - Jan 2010 2" xfId="1646" xr:uid="{00000000-0005-0000-0000-0000BB020000}"/>
    <cellStyle name="_CurrencySpace_Overhead" xfId="1647" xr:uid="{00000000-0005-0000-0000-0000BC020000}"/>
    <cellStyle name="_CurrencySpace_Overhead 2" xfId="1648" xr:uid="{00000000-0005-0000-0000-0000BD020000}"/>
    <cellStyle name="_CurrencySpace_Sheet1" xfId="1649" xr:uid="{00000000-0005-0000-0000-0000BE020000}"/>
    <cellStyle name="_CurrencySpace_Sheet1 2" xfId="1650" xr:uid="{00000000-0005-0000-0000-0000BF020000}"/>
    <cellStyle name="_CurrencySpace_Turbine" xfId="1651" xr:uid="{00000000-0005-0000-0000-0000C0020000}"/>
    <cellStyle name="_CurrencySpace_Turbine 2" xfId="1652" xr:uid="{00000000-0005-0000-0000-0000C1020000}"/>
    <cellStyle name="_CurrencySpace_Turbine Financing" xfId="1653" xr:uid="{00000000-0005-0000-0000-0000C2020000}"/>
    <cellStyle name="_CurrencySpace_Turbine Financing 2" xfId="1654" xr:uid="{00000000-0005-0000-0000-0000C3020000}"/>
    <cellStyle name="_Data" xfId="1655" xr:uid="{00000000-0005-0000-0000-0000C4020000}"/>
    <cellStyle name="_Data 2" xfId="1656" xr:uid="{00000000-0005-0000-0000-0000C5020000}"/>
    <cellStyle name="_Debt_Dec06" xfId="1657" xr:uid="{00000000-0005-0000-0000-0000C6020000}"/>
    <cellStyle name="_Debt_Dec06 2" xfId="1658" xr:uid="{00000000-0005-0000-0000-0000C7020000}"/>
    <cellStyle name="_Debt_Dec07" xfId="1659" xr:uid="{00000000-0005-0000-0000-0000C8020000}"/>
    <cellStyle name="_Debt_Dec07 2" xfId="1660" xr:uid="{00000000-0005-0000-0000-0000C9020000}"/>
    <cellStyle name="_Depn Calcs" xfId="1661" xr:uid="{00000000-0005-0000-0000-0000CA020000}"/>
    <cellStyle name="_Economics" xfId="1662" xr:uid="{00000000-0005-0000-0000-0000CB020000}"/>
    <cellStyle name="_Economics 2" xfId="1663" xr:uid="{00000000-0005-0000-0000-0000CC020000}"/>
    <cellStyle name="_Economics_Asset Management Expenses NY '08 11-1-07" xfId="1664" xr:uid="{00000000-0005-0000-0000-0000CD020000}"/>
    <cellStyle name="_Economics_Asset Management Expenses NY '08 11-1-07 2" xfId="1665" xr:uid="{00000000-0005-0000-0000-0000CE020000}"/>
    <cellStyle name="_Economics_Chateaugay" xfId="1666" xr:uid="{00000000-0005-0000-0000-0000CF020000}"/>
    <cellStyle name="_Economics_Chateaugay 2" xfId="1667" xr:uid="{00000000-0005-0000-0000-0000D0020000}"/>
    <cellStyle name="_Elbow Creek - GED Curve - 12 4 07Padoma Base" xfId="1668" xr:uid="{00000000-0005-0000-0000-0000D1020000}"/>
    <cellStyle name="_Elbow Creek - GED Curve - 12 4 07Padoma Base 2" xfId="1669" xr:uid="{00000000-0005-0000-0000-0000D2020000}"/>
    <cellStyle name="_Enterprise Waterfall.v3" xfId="1670" xr:uid="{00000000-0005-0000-0000-0000D3020000}"/>
    <cellStyle name="_Enterprise Waterfall.v3 2" xfId="1671" xr:uid="{00000000-0005-0000-0000-0000D4020000}"/>
    <cellStyle name="_EPS Oct01Bud" xfId="1672" xr:uid="{00000000-0005-0000-0000-0000D5020000}"/>
    <cellStyle name="_EPS Oct01Bud 2" xfId="1673" xr:uid="{00000000-0005-0000-0000-0000D6020000}"/>
    <cellStyle name="_Estimates of DKK need to Pay DK" xfId="1674" xr:uid="{00000000-0005-0000-0000-0000D7020000}"/>
    <cellStyle name="_Estimates of DKK need to Pay DK 2" xfId="1675" xr:uid="{00000000-0005-0000-0000-0000D8020000}"/>
    <cellStyle name="_Euro" xfId="1676" xr:uid="{00000000-0005-0000-0000-0000D9020000}"/>
    <cellStyle name="_Euro 2" xfId="1677" xr:uid="{00000000-0005-0000-0000-0000DA020000}"/>
    <cellStyle name="_Euro 3" xfId="1678" xr:uid="{00000000-0005-0000-0000-0000DB020000}"/>
    <cellStyle name="_Feuil1" xfId="1679" xr:uid="{00000000-0005-0000-0000-0000DC020000}"/>
    <cellStyle name="_ForecastToday v4" xfId="1680" xr:uid="{00000000-0005-0000-0000-0000DD020000}"/>
    <cellStyle name="_ForecastToday v4 2" xfId="1681" xr:uid="{00000000-0005-0000-0000-0000DE020000}"/>
    <cellStyle name="_Gener Bond Trade Ticket" xfId="1682" xr:uid="{00000000-0005-0000-0000-0000DF020000}"/>
    <cellStyle name="_Gener Bond Trade Ticket 2" xfId="1683" xr:uid="{00000000-0005-0000-0000-0000E0020000}"/>
    <cellStyle name="_Gener Bond Trade Ticket 3" xfId="1684" xr:uid="{00000000-0005-0000-0000-0000E1020000}"/>
    <cellStyle name="_Gener Bond Trade Ticket_Fixed Asset St Patrick  to 31122010 VF (LP) final" xfId="1685" xr:uid="{00000000-0005-0000-0000-0000E2020000}"/>
    <cellStyle name="_Granbury-F-Machine" xfId="1686" xr:uid="{00000000-0005-0000-0000-0000E3020000}"/>
    <cellStyle name="_Granbury-F-Machine 2" xfId="1687" xr:uid="{00000000-0005-0000-0000-0000E4020000}"/>
    <cellStyle name="_Granite" xfId="1688" xr:uid="{00000000-0005-0000-0000-0000E5020000}"/>
    <cellStyle name="_Granite 2" xfId="1689" xr:uid="{00000000-0005-0000-0000-0000E6020000}"/>
    <cellStyle name="_Heading" xfId="1690" xr:uid="{00000000-0005-0000-0000-0000E7020000}"/>
    <cellStyle name="_Heading 2" xfId="1691" xr:uid="{00000000-0005-0000-0000-0000E8020000}"/>
    <cellStyle name="_Heading 3" xfId="1692" xr:uid="{00000000-0005-0000-0000-0000E9020000}"/>
    <cellStyle name="_Highlight" xfId="1693" xr:uid="{00000000-0005-0000-0000-0000EA020000}"/>
    <cellStyle name="_Highlight 2" xfId="1694" xr:uid="{00000000-0005-0000-0000-0000EB020000}"/>
    <cellStyle name="_Highlight 3" xfId="1695" xr:uid="{00000000-0005-0000-0000-0000EC020000}"/>
    <cellStyle name="_Inputs" xfId="1696" xr:uid="{00000000-0005-0000-0000-0000ED020000}"/>
    <cellStyle name="_Inputs 2" xfId="1697" xr:uid="{00000000-0005-0000-0000-0000EE020000}"/>
    <cellStyle name="_Inputs_Asset Management Expenses NY '08 11-1-07" xfId="1698" xr:uid="{00000000-0005-0000-0000-0000EF020000}"/>
    <cellStyle name="_Inputs_Asset Management Expenses NY '08 11-1-07 2" xfId="1699" xr:uid="{00000000-0005-0000-0000-0000F0020000}"/>
    <cellStyle name="_Inputs_Chateaugay" xfId="1700" xr:uid="{00000000-0005-0000-0000-0000F1020000}"/>
    <cellStyle name="_Inputs_Chateaugay 2" xfId="1701" xr:uid="{00000000-0005-0000-0000-0000F2020000}"/>
    <cellStyle name="_Ironwood" xfId="1702" xr:uid="{00000000-0005-0000-0000-0000F3020000}"/>
    <cellStyle name="_Ironwood 2" xfId="1703" xr:uid="{00000000-0005-0000-0000-0000F4020000}"/>
    <cellStyle name="_Ironwood_LB36a" xfId="1704" xr:uid="{00000000-0005-0000-0000-0000F5020000}"/>
    <cellStyle name="_Ironwood_LB36a 2" xfId="1705" xr:uid="{00000000-0005-0000-0000-0000F6020000}"/>
    <cellStyle name="_J(1).2.2.1 SIIF Valuation 2008-10-08 vMaster Round 3 (GS2)_valuation FX v2" xfId="1706" xr:uid="{00000000-0005-0000-0000-0000F7020000}"/>
    <cellStyle name="_J(1).2.2.1 SIIF Valuation 2008-10-08 vMaster Round 3 (GS2)_valuation FX v2 2" xfId="1707" xr:uid="{00000000-0005-0000-0000-0000F8020000}"/>
    <cellStyle name="_JEs Embedded and Derivatives 4Q08" xfId="1708" xr:uid="{00000000-0005-0000-0000-0000F9020000}"/>
    <cellStyle name="_JEs Embedded and Derivatives 4Q08 2" xfId="1709" xr:uid="{00000000-0005-0000-0000-0000FA020000}"/>
    <cellStyle name="_JEs Embedded and Derivatives 4Q08 3" xfId="1710" xr:uid="{00000000-0005-0000-0000-0000FB020000}"/>
    <cellStyle name="_JEs Embedded and Derivatives 4Q08 New" xfId="1711" xr:uid="{00000000-0005-0000-0000-0000FC020000}"/>
    <cellStyle name="_JEs Embedded and Derivatives 4Q08 New 2" xfId="1712" xr:uid="{00000000-0005-0000-0000-0000FD020000}"/>
    <cellStyle name="_JEs Embedded and Derivatives 4Q08 New 3" xfId="1713" xr:uid="{00000000-0005-0000-0000-0000FE020000}"/>
    <cellStyle name="_Jordan Trade Ticket - JBIC" xfId="1714" xr:uid="{00000000-0005-0000-0000-0000FF020000}"/>
    <cellStyle name="_Jordan Trade Ticket - JBIC 2" xfId="1715" xr:uid="{00000000-0005-0000-0000-000000030000}"/>
    <cellStyle name="_Jordan Trade Ticket - JBIC 3" xfId="1716" xr:uid="{00000000-0005-0000-0000-000001030000}"/>
    <cellStyle name="_Jordan Trade Ticket - JBIC_Fixed Asset St Patrick  to 31122010 VF (LP) final" xfId="1717" xr:uid="{00000000-0005-0000-0000-000002030000}"/>
    <cellStyle name="_Jordan Trade Tickets" xfId="1718" xr:uid="{00000000-0005-0000-0000-000003030000}"/>
    <cellStyle name="_Jordan Trade Tickets 2" xfId="1719" xr:uid="{00000000-0005-0000-0000-000004030000}"/>
    <cellStyle name="_Jordan Trade Tickets 3" xfId="1720" xr:uid="{00000000-0005-0000-0000-000005030000}"/>
    <cellStyle name="_Jordan Trade Tickets_Fixed Asset St Patrick  to 31122010 VF (LP) final" xfId="1721" xr:uid="{00000000-0005-0000-0000-000006030000}"/>
    <cellStyle name="_JPMP PAPS Clinton Model -- 27 April 2005" xfId="1722" xr:uid="{00000000-0005-0000-0000-000007030000}"/>
    <cellStyle name="_JPMP PAPS Clinton Model -- 27 April 2005 2" xfId="1723" xr:uid="{00000000-0005-0000-0000-000008030000}"/>
    <cellStyle name="_JPMP PAPS Clinton Model -- 27 April 2005_Asset Management Expenses NY '08 11-1-07" xfId="1724" xr:uid="{00000000-0005-0000-0000-000009030000}"/>
    <cellStyle name="_JPMP PAPS Clinton Model -- 27 April 2005_Asset Management Expenses NY '08 11-1-07 2" xfId="1725" xr:uid="{00000000-0005-0000-0000-00000A030000}"/>
    <cellStyle name="_JPMP PAPS Clinton Model -- 27 April 2005_Chateaugay" xfId="1726" xr:uid="{00000000-0005-0000-0000-00000B030000}"/>
    <cellStyle name="_JPMP PAPS Clinton Model -- 27 April 2005_Chateaugay 2" xfId="1727" xr:uid="{00000000-0005-0000-0000-00000C030000}"/>
    <cellStyle name="_JPMP waterfall 5-1-06_x" xfId="1728" xr:uid="{00000000-0005-0000-0000-00000D030000}"/>
    <cellStyle name="_JPMP waterfall 5-1-06_x 2" xfId="1729" xr:uid="{00000000-0005-0000-0000-00000E030000}"/>
    <cellStyle name="_JPMP waterfall 5-1-06_x_Asset Management Expenses NY '08 11-1-07" xfId="1730" xr:uid="{00000000-0005-0000-0000-00000F030000}"/>
    <cellStyle name="_JPMP waterfall 5-1-06_x_Asset Management Expenses NY '08 11-1-07 2" xfId="1731" xr:uid="{00000000-0005-0000-0000-000010030000}"/>
    <cellStyle name="_JPMP waterfall 5-1-06_x_Chateaugay" xfId="1732" xr:uid="{00000000-0005-0000-0000-000011030000}"/>
    <cellStyle name="_JPMP waterfall 5-1-06_x_Chateaugay 2" xfId="1733" xr:uid="{00000000-0005-0000-0000-000012030000}"/>
    <cellStyle name="_Mountain View_SF_Appendix A2" xfId="1734" xr:uid="{00000000-0005-0000-0000-000013030000}"/>
    <cellStyle name="_Mountain View_SF_Appendix A2 2" xfId="1735" xr:uid="{00000000-0005-0000-0000-000014030000}"/>
    <cellStyle name="_MSA Budget 2007 rev11-21-06" xfId="1736" xr:uid="{00000000-0005-0000-0000-000015030000}"/>
    <cellStyle name="_MSA Budget 2007 rev11-21-06 2" xfId="1737" xr:uid="{00000000-0005-0000-0000-000016030000}"/>
    <cellStyle name="_MSA Budget 2007 rev11-21-06_Asset Management Expenses NY '08 11-1-07" xfId="1738" xr:uid="{00000000-0005-0000-0000-000017030000}"/>
    <cellStyle name="_MSA Budget 2007 rev11-21-06_Asset Management Expenses NY '08 11-1-07 2" xfId="1739" xr:uid="{00000000-0005-0000-0000-000018030000}"/>
    <cellStyle name="_MSA Budget 2007 rev11-21-06_Chateaugay" xfId="1740" xr:uid="{00000000-0005-0000-0000-000019030000}"/>
    <cellStyle name="_MSA Budget 2007 rev11-21-06_Chateaugay 2" xfId="1741" xr:uid="{00000000-0005-0000-0000-00001A030000}"/>
    <cellStyle name="_MSA Budget 2007 rev11-6-06" xfId="1742" xr:uid="{00000000-0005-0000-0000-00001B030000}"/>
    <cellStyle name="_MSA Budget 2007 rev11-6-06 2" xfId="1743" xr:uid="{00000000-0005-0000-0000-00001C030000}"/>
    <cellStyle name="_MSA Budget 2007 rev11-6-06_Asset Management Expenses NY '08 11-1-07" xfId="1744" xr:uid="{00000000-0005-0000-0000-00001D030000}"/>
    <cellStyle name="_MSA Budget 2007 rev11-6-06_Asset Management Expenses NY '08 11-1-07 2" xfId="1745" xr:uid="{00000000-0005-0000-0000-00001E030000}"/>
    <cellStyle name="_MSA Budget 2007 rev11-6-06_Chateaugay" xfId="1746" xr:uid="{00000000-0005-0000-0000-00001F030000}"/>
    <cellStyle name="_MSA Budget 2007 rev11-6-06_Chateaugay 2" xfId="1747" xr:uid="{00000000-0005-0000-0000-000020030000}"/>
    <cellStyle name="_Multiple" xfId="1748" xr:uid="{00000000-0005-0000-0000-000021030000}"/>
    <cellStyle name="_Multiple 2" xfId="1749" xr:uid="{00000000-0005-0000-0000-000022030000}"/>
    <cellStyle name="_Multiple 3" xfId="1750" xr:uid="{00000000-0005-0000-0000-000023030000}"/>
    <cellStyle name="_Multiple_08 Great Plains OMv2(v3)" xfId="1751" xr:uid="{00000000-0005-0000-0000-000024030000}"/>
    <cellStyle name="_Multiple_08 Great Plains OMv2(v3) 2" xfId="1752" xr:uid="{00000000-0005-0000-0000-000025030000}"/>
    <cellStyle name="_Multiple_Altona Capital Budget 8-3-07" xfId="1753" xr:uid="{00000000-0005-0000-0000-000026030000}"/>
    <cellStyle name="_Multiple_Altona Capital Budget 8-3-07 2" xfId="1754" xr:uid="{00000000-0005-0000-0000-000027030000}"/>
    <cellStyle name="_Multiple_Book1" xfId="1755" xr:uid="{00000000-0005-0000-0000-000028030000}"/>
    <cellStyle name="_Multiple_Book1 2" xfId="1756" xr:uid="{00000000-0005-0000-0000-000029030000}"/>
    <cellStyle name="_Multiple_CapEx" xfId="1757" xr:uid="{00000000-0005-0000-0000-00002A030000}"/>
    <cellStyle name="_Multiple_CapEx 2" xfId="1758" xr:uid="{00000000-0005-0000-0000-00002B030000}"/>
    <cellStyle name="_Multiple_Cost" xfId="1759" xr:uid="{00000000-0005-0000-0000-00002C030000}"/>
    <cellStyle name="_Multiple_Cost 2" xfId="1760" xr:uid="{00000000-0005-0000-0000-00002D030000}"/>
    <cellStyle name="_Multiple_Dev + Const" xfId="1761" xr:uid="{00000000-0005-0000-0000-00002E030000}"/>
    <cellStyle name="_Multiple_Dev + Const 2" xfId="1762" xr:uid="{00000000-0005-0000-0000-00002F030000}"/>
    <cellStyle name="_Multiple_Finace Fee" xfId="1763" xr:uid="{00000000-0005-0000-0000-000030030000}"/>
    <cellStyle name="_Multiple_Finace Fee 2" xfId="1764" xr:uid="{00000000-0005-0000-0000-000031030000}"/>
    <cellStyle name="_Multiple_Operating budget for Declan - Jan 2010" xfId="1765" xr:uid="{00000000-0005-0000-0000-000032030000}"/>
    <cellStyle name="_Multiple_Operating budget for Declan - Jan 2010 2" xfId="1766" xr:uid="{00000000-0005-0000-0000-000033030000}"/>
    <cellStyle name="_Multiple_Overhead" xfId="1767" xr:uid="{00000000-0005-0000-0000-000034030000}"/>
    <cellStyle name="_Multiple_Overhead 2" xfId="1768" xr:uid="{00000000-0005-0000-0000-000035030000}"/>
    <cellStyle name="_Multiple_Sheet1" xfId="1769" xr:uid="{00000000-0005-0000-0000-000036030000}"/>
    <cellStyle name="_Multiple_Sheet1 2" xfId="1770" xr:uid="{00000000-0005-0000-0000-000037030000}"/>
    <cellStyle name="_Multiple_Turbine" xfId="1771" xr:uid="{00000000-0005-0000-0000-000038030000}"/>
    <cellStyle name="_Multiple_Turbine 2" xfId="1772" xr:uid="{00000000-0005-0000-0000-000039030000}"/>
    <cellStyle name="_Multiple_Turbine Financing" xfId="1773" xr:uid="{00000000-0005-0000-0000-00003A030000}"/>
    <cellStyle name="_Multiple_Turbine Financing 2" xfId="1774" xr:uid="{00000000-0005-0000-0000-00003B030000}"/>
    <cellStyle name="_MultipleSpace" xfId="1775" xr:uid="{00000000-0005-0000-0000-00003C030000}"/>
    <cellStyle name="_MultipleSpace 2" xfId="1776" xr:uid="{00000000-0005-0000-0000-00003D030000}"/>
    <cellStyle name="_MultipleSpace 3" xfId="1777" xr:uid="{00000000-0005-0000-0000-00003E030000}"/>
    <cellStyle name="_MultipleSpace_08 Great Plains OMv2(v3)" xfId="1778" xr:uid="{00000000-0005-0000-0000-00003F030000}"/>
    <cellStyle name="_MultipleSpace_08 Great Plains OMv2(v3) 2" xfId="1779" xr:uid="{00000000-0005-0000-0000-000040030000}"/>
    <cellStyle name="_MultipleSpace_Altona Capital Budget 8-3-07" xfId="1780" xr:uid="{00000000-0005-0000-0000-000041030000}"/>
    <cellStyle name="_MultipleSpace_Altona Capital Budget 8-3-07 2" xfId="1781" xr:uid="{00000000-0005-0000-0000-000042030000}"/>
    <cellStyle name="_MultipleSpace_Book1" xfId="1782" xr:uid="{00000000-0005-0000-0000-000043030000}"/>
    <cellStyle name="_MultipleSpace_Book1 2" xfId="1783" xr:uid="{00000000-0005-0000-0000-000044030000}"/>
    <cellStyle name="_MultipleSpace_CapEx" xfId="1784" xr:uid="{00000000-0005-0000-0000-000045030000}"/>
    <cellStyle name="_MultipleSpace_CapEx 2" xfId="1785" xr:uid="{00000000-0005-0000-0000-000046030000}"/>
    <cellStyle name="_MultipleSpace_Cost" xfId="1786" xr:uid="{00000000-0005-0000-0000-000047030000}"/>
    <cellStyle name="_MultipleSpace_Cost 2" xfId="1787" xr:uid="{00000000-0005-0000-0000-000048030000}"/>
    <cellStyle name="_MultipleSpace_Dev + Const" xfId="1788" xr:uid="{00000000-0005-0000-0000-000049030000}"/>
    <cellStyle name="_MultipleSpace_Dev + Const 2" xfId="1789" xr:uid="{00000000-0005-0000-0000-00004A030000}"/>
    <cellStyle name="_MultipleSpace_Finace Fee" xfId="1790" xr:uid="{00000000-0005-0000-0000-00004B030000}"/>
    <cellStyle name="_MultipleSpace_Finace Fee 2" xfId="1791" xr:uid="{00000000-0005-0000-0000-00004C030000}"/>
    <cellStyle name="_MultipleSpace_Operating budget for Declan - Jan 2010" xfId="1792" xr:uid="{00000000-0005-0000-0000-00004D030000}"/>
    <cellStyle name="_MultipleSpace_Operating budget for Declan - Jan 2010 2" xfId="1793" xr:uid="{00000000-0005-0000-0000-00004E030000}"/>
    <cellStyle name="_MultipleSpace_Overhead" xfId="1794" xr:uid="{00000000-0005-0000-0000-00004F030000}"/>
    <cellStyle name="_MultipleSpace_Overhead 2" xfId="1795" xr:uid="{00000000-0005-0000-0000-000050030000}"/>
    <cellStyle name="_MultipleSpace_Sheet1" xfId="1796" xr:uid="{00000000-0005-0000-0000-000051030000}"/>
    <cellStyle name="_MultipleSpace_Sheet1 2" xfId="1797" xr:uid="{00000000-0005-0000-0000-000052030000}"/>
    <cellStyle name="_MultipleSpace_Turbine" xfId="1798" xr:uid="{00000000-0005-0000-0000-000053030000}"/>
    <cellStyle name="_MultipleSpace_Turbine 2" xfId="1799" xr:uid="{00000000-0005-0000-0000-000054030000}"/>
    <cellStyle name="_MultipleSpace_Turbine Financing" xfId="1800" xr:uid="{00000000-0005-0000-0000-000055030000}"/>
    <cellStyle name="_MultipleSpace_Turbine Financing 2" xfId="1801" xr:uid="{00000000-0005-0000-0000-000056030000}"/>
    <cellStyle name="_NA_IS" xfId="1802" xr:uid="{00000000-0005-0000-0000-000057030000}"/>
    <cellStyle name="_NA_IS 2" xfId="1803" xr:uid="{00000000-0005-0000-0000-000058030000}"/>
    <cellStyle name="_NA-Grid 1006v2 (2)" xfId="1804" xr:uid="{00000000-0005-0000-0000-000059030000}"/>
    <cellStyle name="_NA-Grid 1006v2 (2) 2" xfId="1805" xr:uid="{00000000-0005-0000-0000-00005A030000}"/>
    <cellStyle name="_NE Budgets" xfId="1806" xr:uid="{00000000-0005-0000-0000-00005B030000}"/>
    <cellStyle name="_NE Budgets 2" xfId="1807" xr:uid="{00000000-0005-0000-0000-00005C030000}"/>
    <cellStyle name="_NE Budgets_Asset Management Expenses NY '08 11-1-07" xfId="1808" xr:uid="{00000000-0005-0000-0000-00005D030000}"/>
    <cellStyle name="_NE Budgets_Asset Management Expenses NY '08 11-1-07 2" xfId="1809" xr:uid="{00000000-0005-0000-0000-00005E030000}"/>
    <cellStyle name="_NE Budgets_Chateaugay" xfId="1810" xr:uid="{00000000-0005-0000-0000-00005F030000}"/>
    <cellStyle name="_NE Budgets_Chateaugay 2" xfId="1811" xr:uid="{00000000-0005-0000-0000-000060030000}"/>
    <cellStyle name="_North Rhins Mar 10 Accounts for AES - US GAAP (BPC) v1.0" xfId="1812" xr:uid="{00000000-0005-0000-0000-000061030000}"/>
    <cellStyle name="_NR_AESmodel_postclose_110809 Round 3 v3" xfId="1813" xr:uid="{00000000-0005-0000-0000-000062030000}"/>
    <cellStyle name="_NR_AESmodel_postclose_110809 Round 3 v3 2" xfId="1814" xr:uid="{00000000-0005-0000-0000-000063030000}"/>
    <cellStyle name="_NR_AESmodel_postclose_110809 Round 4 v2" xfId="1815" xr:uid="{00000000-0005-0000-0000-000064030000}"/>
    <cellStyle name="_NR_AESmodel_postclose_110809 Round 4 v2 2" xfId="1816" xr:uid="{00000000-0005-0000-0000-000065030000}"/>
    <cellStyle name="_NR_AESmodel_t1comshare_vMaster_FX Template" xfId="1817" xr:uid="{00000000-0005-0000-0000-000066030000}"/>
    <cellStyle name="_NR_AESmodel_t1comshare_vMaster_FX Template 2" xfId="1818" xr:uid="{00000000-0005-0000-0000-000067030000}"/>
    <cellStyle name="_NRG Payment Miletones" xfId="1819" xr:uid="{00000000-0005-0000-0000-000068030000}"/>
    <cellStyle name="_NRG Payment Miletones 2" xfId="1820" xr:uid="{00000000-0005-0000-0000-000069030000}"/>
    <cellStyle name="_OCI Amort Calc" xfId="1821" xr:uid="{00000000-0005-0000-0000-00006A030000}"/>
    <cellStyle name="_Operating budget for Declan - Jan 2010" xfId="1822" xr:uid="{00000000-0005-0000-0000-00006B030000}"/>
    <cellStyle name="_Operating budget for Declan - Jan 2010 2" xfId="1823" xr:uid="{00000000-0005-0000-0000-00006C030000}"/>
    <cellStyle name="_Other_data022802" xfId="1824" xr:uid="{00000000-0005-0000-0000-00006D030000}"/>
    <cellStyle name="_Other_data022802 2" xfId="1825" xr:uid="{00000000-0005-0000-0000-00006E030000}"/>
    <cellStyle name="_Output" xfId="1826" xr:uid="{00000000-0005-0000-0000-00006F030000}"/>
    <cellStyle name="_Output 2" xfId="1827" xr:uid="{00000000-0005-0000-0000-000070030000}"/>
    <cellStyle name="_Pass thru (ASM) 4-18-07" xfId="1828" xr:uid="{00000000-0005-0000-0000-000071030000}"/>
    <cellStyle name="_Pass thru (ASM) 4-18-07 2" xfId="1829" xr:uid="{00000000-0005-0000-0000-000072030000}"/>
    <cellStyle name="_Percent" xfId="1830" xr:uid="{00000000-0005-0000-0000-000073030000}"/>
    <cellStyle name="_Percent 2" xfId="1831" xr:uid="{00000000-0005-0000-0000-000074030000}"/>
    <cellStyle name="_PercentSpace" xfId="1832" xr:uid="{00000000-0005-0000-0000-000075030000}"/>
    <cellStyle name="_PercentSpace 2" xfId="1833" xr:uid="{00000000-0005-0000-0000-000076030000}"/>
    <cellStyle name="_PILOT  HOST 18May07 (2)" xfId="1834" xr:uid="{00000000-0005-0000-0000-000077030000}"/>
    <cellStyle name="_PILOT  HOST 18May07 (2) 2" xfId="1835" xr:uid="{00000000-0005-0000-0000-000078030000}"/>
    <cellStyle name="_Project Budget Templates Combo rev 2" xfId="1836" xr:uid="{00000000-0005-0000-0000-000079030000}"/>
    <cellStyle name="_Project Budget Templates Combo rev 2 2" xfId="1837" xr:uid="{00000000-0005-0000-0000-00007A030000}"/>
    <cellStyle name="_Project Budget Templates Combo rev 2_Asset Management Expenses NY '08 11-1-07" xfId="1838" xr:uid="{00000000-0005-0000-0000-00007B030000}"/>
    <cellStyle name="_Project Budget Templates Combo rev 2_Asset Management Expenses NY '08 11-1-07 2" xfId="1839" xr:uid="{00000000-0005-0000-0000-00007C030000}"/>
    <cellStyle name="_Project Budget Templates Combo rev 2_Chateaugay" xfId="1840" xr:uid="{00000000-0005-0000-0000-00007D030000}"/>
    <cellStyle name="_Project Budget Templates Combo rev 2_Chateaugay 2" xfId="1841" xr:uid="{00000000-0005-0000-0000-00007E030000}"/>
    <cellStyle name="_Project Development Budget - BD - Consolidated" xfId="1842" xr:uid="{00000000-0005-0000-0000-00007F030000}"/>
    <cellStyle name="_x0013__Project Development Budget - BD - Consolidated" xfId="1843" xr:uid="{00000000-0005-0000-0000-000080030000}"/>
    <cellStyle name="_Project Development Budget - BD - Consolidated 2" xfId="1844" xr:uid="{00000000-0005-0000-0000-000081030000}"/>
    <cellStyle name="_x0013__Project Development Budget - BD - Consolidated 2" xfId="1845" xr:uid="{00000000-0005-0000-0000-000082030000}"/>
    <cellStyle name="_Project Development Budget - BD - Consolidated 3" xfId="1846" xr:uid="{00000000-0005-0000-0000-000083030000}"/>
    <cellStyle name="_x0013__Project Development Budget - BD - Consolidated 3" xfId="1847" xr:uid="{00000000-0005-0000-0000-000084030000}"/>
    <cellStyle name="_Project Development Budget - BD - Consolidated 4" xfId="1848" xr:uid="{00000000-0005-0000-0000-000085030000}"/>
    <cellStyle name="_x0013__Project Development Budget - BD - Consolidated 4" xfId="1849" xr:uid="{00000000-0005-0000-0000-000086030000}"/>
    <cellStyle name="_Project Development Budget - BD - Consolidated 5" xfId="1850" xr:uid="{00000000-0005-0000-0000-000087030000}"/>
    <cellStyle name="_x0013__Project Development Budget - BD - Consolidated 5" xfId="1851" xr:uid="{00000000-0005-0000-0000-000088030000}"/>
    <cellStyle name="_Project Development Budget - BD - Consolidated 6" xfId="1852" xr:uid="{00000000-0005-0000-0000-000089030000}"/>
    <cellStyle name="_x0013__Project Development Budget - BD - Consolidated 6" xfId="1853" xr:uid="{00000000-0005-0000-0000-00008A030000}"/>
    <cellStyle name="_Project Orchid 020707" xfId="1854" xr:uid="{00000000-0005-0000-0000-00008B030000}"/>
    <cellStyle name="_Project Orchid 020707 2" xfId="1855" xr:uid="{00000000-0005-0000-0000-00008C030000}"/>
    <cellStyle name="_Property Tax" xfId="1856" xr:uid="{00000000-0005-0000-0000-00008D030000}"/>
    <cellStyle name="_Property Tax 2" xfId="1857" xr:uid="{00000000-0005-0000-0000-00008E030000}"/>
    <cellStyle name="_Proposed Wfield Chat Chrry Cntvl Budgets history compared rev 10-31-06rev1" xfId="1858" xr:uid="{00000000-0005-0000-0000-00008F030000}"/>
    <cellStyle name="_Proposed Wfield Chat Chrry Cntvl Budgets history compared rev 10-31-06rev1 2" xfId="1859" xr:uid="{00000000-0005-0000-0000-000090030000}"/>
    <cellStyle name="_Proposed Wfield Chat Chrry Cntvl Budgets history compared rev 10-31-06rev1_Asset Management Expenses NY '08 11-1-07" xfId="1860" xr:uid="{00000000-0005-0000-0000-000091030000}"/>
    <cellStyle name="_Proposed Wfield Chat Chrry Cntvl Budgets history compared rev 10-31-06rev1_Asset Management Expenses NY '08 11-1-07 2" xfId="1861" xr:uid="{00000000-0005-0000-0000-000092030000}"/>
    <cellStyle name="_Proposed Wfield Chat Chrry Cntvl Budgets history compared rev 10-31-06rev1_Chateaugay" xfId="1862" xr:uid="{00000000-0005-0000-0000-000093030000}"/>
    <cellStyle name="_Proposed Wfield Chat Chrry Cntvl Budgets history compared rev 10-31-06rev1_Chateaugay 2" xfId="1863" xr:uid="{00000000-0005-0000-0000-000094030000}"/>
    <cellStyle name="_Regional" xfId="1864" xr:uid="{00000000-0005-0000-0000-000095030000}"/>
    <cellStyle name="_Regional 2" xfId="1865" xr:uid="{00000000-0005-0000-0000-000096030000}"/>
    <cellStyle name="_Rigel 112106 Base Case $132m" xfId="1866" xr:uid="{00000000-0005-0000-0000-000097030000}"/>
    <cellStyle name="_Rigel 112106 Base Case $132m 2" xfId="1867" xr:uid="{00000000-0005-0000-0000-000098030000}"/>
    <cellStyle name="_SeaWest2005-07-16 (Ellen Sun)" xfId="1868" xr:uid="{00000000-0005-0000-0000-000099030000}"/>
    <cellStyle name="_SeaWest2005-07-16 (Ellen Sun) 2" xfId="1869" xr:uid="{00000000-0005-0000-0000-00009A030000}"/>
    <cellStyle name="_Sheet1" xfId="1870" xr:uid="{00000000-0005-0000-0000-00009B030000}"/>
    <cellStyle name="_Sheet1 2" xfId="1871" xr:uid="{00000000-0005-0000-0000-00009C030000}"/>
    <cellStyle name="_Sheet1_AnnualData" xfId="1872" xr:uid="{00000000-0005-0000-0000-00009D030000}"/>
    <cellStyle name="_Sheet1_AnnualData 2" xfId="1873" xr:uid="{00000000-0005-0000-0000-00009E030000}"/>
    <cellStyle name="_Sheet1_Asset Management Expenses NY '08 11-1-07" xfId="1874" xr:uid="{00000000-0005-0000-0000-00009F030000}"/>
    <cellStyle name="_Sheet1_Asset Management Expenses NY '08 11-1-07 2" xfId="1875" xr:uid="{00000000-0005-0000-0000-0000A0030000}"/>
    <cellStyle name="_Sheet1_Book1" xfId="1876" xr:uid="{00000000-0005-0000-0000-0000A1030000}"/>
    <cellStyle name="_Sheet1_Book1 2" xfId="1877" xr:uid="{00000000-0005-0000-0000-0000A2030000}"/>
    <cellStyle name="_Sheet1_Chateaugay" xfId="1878" xr:uid="{00000000-0005-0000-0000-0000A3030000}"/>
    <cellStyle name="_Sheet1_Chateaugay 2" xfId="1879" xr:uid="{00000000-0005-0000-0000-0000A4030000}"/>
    <cellStyle name="_Sheet1_Pass thru (ASM) 4-18-07" xfId="1880" xr:uid="{00000000-0005-0000-0000-0000A5030000}"/>
    <cellStyle name="_Sheet1_Pass thru (ASM) 4-18-07 2" xfId="1881" xr:uid="{00000000-0005-0000-0000-0000A6030000}"/>
    <cellStyle name="_Sheet1_PILOT  HOST 18May07 (2)" xfId="1882" xr:uid="{00000000-0005-0000-0000-0000A7030000}"/>
    <cellStyle name="_Sheet1_PILOT  HOST 18May07 (2) 2" xfId="1883" xr:uid="{00000000-0005-0000-0000-0000A8030000}"/>
    <cellStyle name="_Sheet1_Property Tax" xfId="1884" xr:uid="{00000000-0005-0000-0000-0000A9030000}"/>
    <cellStyle name="_Sheet1_Property Tax 2" xfId="1885" xr:uid="{00000000-0005-0000-0000-0000AA030000}"/>
    <cellStyle name="_Sheet2" xfId="1886" xr:uid="{00000000-0005-0000-0000-0000AB030000}"/>
    <cellStyle name="_Sheet2 2" xfId="1887" xr:uid="{00000000-0005-0000-0000-0000AC030000}"/>
    <cellStyle name="_Sheet2_Asset Management Expenses NY '08 11-1-07" xfId="1888" xr:uid="{00000000-0005-0000-0000-0000AD030000}"/>
    <cellStyle name="_Sheet2_Asset Management Expenses NY '08 11-1-07 2" xfId="1889" xr:uid="{00000000-0005-0000-0000-0000AE030000}"/>
    <cellStyle name="_Sheet2_Chateaugay" xfId="1890" xr:uid="{00000000-0005-0000-0000-0000AF030000}"/>
    <cellStyle name="_Sheet2_Chateaugay 2" xfId="1891" xr:uid="{00000000-0005-0000-0000-0000B0030000}"/>
    <cellStyle name="_Sherbino 20070618" xfId="1892" xr:uid="{00000000-0005-0000-0000-0000B1030000}"/>
    <cellStyle name="_Sherbino 20070618 2" xfId="1893" xr:uid="{00000000-0005-0000-0000-0000B2030000}"/>
    <cellStyle name="_Sherbino 20070620" xfId="1894" xr:uid="{00000000-0005-0000-0000-0000B3030000}"/>
    <cellStyle name="_Sherbino 20070620 2" xfId="1895" xr:uid="{00000000-0005-0000-0000-0000B4030000}"/>
    <cellStyle name="_Sherbino Const Budget Overview R 1 110907" xfId="1896" xr:uid="{00000000-0005-0000-0000-0000B5030000}"/>
    <cellStyle name="_Sherbino Const Budget Overview R 1 110907 2" xfId="1897" xr:uid="{00000000-0005-0000-0000-0000B6030000}"/>
    <cellStyle name="_SoleOwner" xfId="1898" xr:uid="{00000000-0005-0000-0000-0000B7030000}"/>
    <cellStyle name="_SoleOwner 2" xfId="1899" xr:uid="{00000000-0005-0000-0000-0000B8030000}"/>
    <cellStyle name="_SoleOwner_Asset Management Expenses NY '08 11-1-07" xfId="1900" xr:uid="{00000000-0005-0000-0000-0000B9030000}"/>
    <cellStyle name="_SoleOwner_Asset Management Expenses NY '08 11-1-07 2" xfId="1901" xr:uid="{00000000-0005-0000-0000-0000BA030000}"/>
    <cellStyle name="_SoleOwner_Chateaugay" xfId="1902" xr:uid="{00000000-0005-0000-0000-0000BB030000}"/>
    <cellStyle name="_SoleOwner_Chateaugay 2" xfId="1903" xr:uid="{00000000-0005-0000-0000-0000BC030000}"/>
    <cellStyle name="_Spreadsheet Inventory" xfId="1904" xr:uid="{00000000-0005-0000-0000-0000BD030000}"/>
    <cellStyle name="_Spreadsheet Inventory 2" xfId="1905" xr:uid="{00000000-0005-0000-0000-0000BE030000}"/>
    <cellStyle name="_Spreadsheet Inventory 3" xfId="1906" xr:uid="{00000000-0005-0000-0000-0000BF030000}"/>
    <cellStyle name="_Spreadsheet Inventory_Fixed Asset St Patrick  to 31122010 VF (LP) final" xfId="1907" xr:uid="{00000000-0005-0000-0000-0000C0030000}"/>
    <cellStyle name="_StPatrick FS Apr 2010" xfId="1908" xr:uid="{00000000-0005-0000-0000-0000C1030000}"/>
    <cellStyle name="_StPatrick FS Jun 2010 v3" xfId="1909" xr:uid="{00000000-0005-0000-0000-0000C2030000}"/>
    <cellStyle name="_StPatrickCheckListAndAccrualsJanuary2010" xfId="1910" xr:uid="{00000000-0005-0000-0000-0000C3030000}"/>
    <cellStyle name="_StPatrickCheckListAndAccrualsJanuary2010 2" xfId="1911" xr:uid="{00000000-0005-0000-0000-0000C4030000}"/>
    <cellStyle name="_StPatrickCheckListAndAccrualsJanuary2010_Fixed Asset St Patrick  to 31122010 VF (LP) final" xfId="1912" xr:uid="{00000000-0005-0000-0000-0000C5030000}"/>
    <cellStyle name="_SubHeading" xfId="1913" xr:uid="{00000000-0005-0000-0000-0000C6030000}"/>
    <cellStyle name="_SubHeading 2" xfId="1914" xr:uid="{00000000-0005-0000-0000-0000C7030000}"/>
    <cellStyle name="_SubHeading 3" xfId="1915" xr:uid="{00000000-0005-0000-0000-0000C8030000}"/>
    <cellStyle name="_Table" xfId="1916" xr:uid="{00000000-0005-0000-0000-0000C9030000}"/>
    <cellStyle name="_Table 2" xfId="1917" xr:uid="{00000000-0005-0000-0000-0000CA030000}"/>
    <cellStyle name="_Table 3" xfId="1918" xr:uid="{00000000-0005-0000-0000-0000CB030000}"/>
    <cellStyle name="_Table_Operating budget for Declan - Jan 2010" xfId="1919" xr:uid="{00000000-0005-0000-0000-0000CC030000}"/>
    <cellStyle name="_TableHead" xfId="1920" xr:uid="{00000000-0005-0000-0000-0000CD030000}"/>
    <cellStyle name="_TableHead 2" xfId="1921" xr:uid="{00000000-0005-0000-0000-0000CE030000}"/>
    <cellStyle name="_TableHead 3" xfId="1922" xr:uid="{00000000-0005-0000-0000-0000CF030000}"/>
    <cellStyle name="_TableHead_Operating budget for Declan - Jan 2010" xfId="1923" xr:uid="{00000000-0005-0000-0000-0000D0030000}"/>
    <cellStyle name="_TableRowHead" xfId="1924" xr:uid="{00000000-0005-0000-0000-0000D1030000}"/>
    <cellStyle name="_TableRowHead 2" xfId="1925" xr:uid="{00000000-0005-0000-0000-0000D2030000}"/>
    <cellStyle name="_TableRowHead 3" xfId="1926" xr:uid="{00000000-0005-0000-0000-0000D3030000}"/>
    <cellStyle name="_TableSuperHead" xfId="1927" xr:uid="{00000000-0005-0000-0000-0000D4030000}"/>
    <cellStyle name="_TableSuperHead 2" xfId="1928" xr:uid="{00000000-0005-0000-0000-0000D5030000}"/>
    <cellStyle name="_TableSuperHead 3" xfId="1929" xr:uid="{00000000-0005-0000-0000-0000D6030000}"/>
    <cellStyle name="_Thumb Budget 5-30-06" xfId="1930" xr:uid="{00000000-0005-0000-0000-0000D7030000}"/>
    <cellStyle name="_Thumb Budget 5-30-06 2" xfId="1931" xr:uid="{00000000-0005-0000-0000-0000D8030000}"/>
    <cellStyle name="_Thumb Budget 5-30-06_Asset Management Expenses NY '08 11-1-07" xfId="1932" xr:uid="{00000000-0005-0000-0000-0000D9030000}"/>
    <cellStyle name="_Thumb Budget 5-30-06_Asset Management Expenses NY '08 11-1-07 2" xfId="1933" xr:uid="{00000000-0005-0000-0000-0000DA030000}"/>
    <cellStyle name="_Thumb Budget 5-30-06_Chateaugay" xfId="1934" xr:uid="{00000000-0005-0000-0000-0000DB030000}"/>
    <cellStyle name="_Thumb Budget 5-30-06_Chateaugay 2" xfId="1935" xr:uid="{00000000-0005-0000-0000-0000DC030000}"/>
    <cellStyle name="_WF-Waterfall" xfId="1936" xr:uid="{00000000-0005-0000-0000-0000DD030000}"/>
    <cellStyle name="_WF-Waterfall 2" xfId="1937" xr:uid="{00000000-0005-0000-0000-0000DE030000}"/>
    <cellStyle name="_WF-Waterfall_Asset Management Expenses NY '08 11-1-07" xfId="1938" xr:uid="{00000000-0005-0000-0000-0000DF030000}"/>
    <cellStyle name="_WF-Waterfall_Asset Management Expenses NY '08 11-1-07 2" xfId="1939" xr:uid="{00000000-0005-0000-0000-0000E0030000}"/>
    <cellStyle name="_WF-Waterfall_Chateaugay" xfId="1940" xr:uid="{00000000-0005-0000-0000-0000E1030000}"/>
    <cellStyle name="_WF-Waterfall_Chateaugay 2" xfId="1941" xr:uid="{00000000-0005-0000-0000-0000E2030000}"/>
    <cellStyle name="_Yaponcha 113006" xfId="1942" xr:uid="{00000000-0005-0000-0000-0000E3030000}"/>
    <cellStyle name="_Yaponcha 113006 2" xfId="1943" xr:uid="{00000000-0005-0000-0000-0000E4030000}"/>
    <cellStyle name="~Capacity (0)" xfId="1944" xr:uid="{00000000-0005-0000-0000-0000E5030000}"/>
    <cellStyle name="~Capacity (1)" xfId="1945" xr:uid="{00000000-0005-0000-0000-0000E6030000}"/>
    <cellStyle name="~Escalation" xfId="1946" xr:uid="{00000000-0005-0000-0000-0000E7030000}"/>
    <cellStyle name="~Gas (0)" xfId="1947" xr:uid="{00000000-0005-0000-0000-0000E8030000}"/>
    <cellStyle name="~Gas Price" xfId="1948" xr:uid="{00000000-0005-0000-0000-0000E9030000}"/>
    <cellStyle name="~Power (0)" xfId="1949" xr:uid="{00000000-0005-0000-0000-0000EA030000}"/>
    <cellStyle name="~Power Price" xfId="1950" xr:uid="{00000000-0005-0000-0000-0000EB030000}"/>
    <cellStyle name="˙˙˙˙˙˙˙˙˙˙˙˙˙˙˙˙˙˙˙˙˙˙˙˙˙˙˙˙˙˙˙˙˙˙˙˙˙˙˙˙˙_x0008_" xfId="1951" xr:uid="{00000000-0005-0000-0000-0000EC030000}"/>
    <cellStyle name="’Ê‰Ý [0.00]_Area" xfId="49" xr:uid="{00000000-0005-0000-0000-0000ED030000}"/>
    <cellStyle name="’Ê‰Ý_Area" xfId="50" xr:uid="{00000000-0005-0000-0000-0000EE030000}"/>
    <cellStyle name="£ BP" xfId="1952" xr:uid="{00000000-0005-0000-0000-0000EF030000}"/>
    <cellStyle name="¥ JY" xfId="1953" xr:uid="{00000000-0005-0000-0000-0000F0030000}"/>
    <cellStyle name="=C:\WINNT\SYSTEM32\COMMAND.COM" xfId="1954" xr:uid="{00000000-0005-0000-0000-0000F1030000}"/>
    <cellStyle name="=C:\WINNT\SYSTEM32\COMMAND.COM 2" xfId="1955" xr:uid="{00000000-0005-0000-0000-0000F2030000}"/>
    <cellStyle name="=C:\WINNT\SYSTEM32\COMMAND.COM 3" xfId="1956" xr:uid="{00000000-0005-0000-0000-0000F3030000}"/>
    <cellStyle name="=C:\WINNT\SYSTEM32\COMMAND.COM 4" xfId="1957" xr:uid="{00000000-0005-0000-0000-0000F4030000}"/>
    <cellStyle name="=C:\WINNT\SYSTEM32\COMMAND.COM 5" xfId="1958" xr:uid="{00000000-0005-0000-0000-0000F5030000}"/>
    <cellStyle name="=C:\WINNT\SYSTEM32\COMMAND.COM_Fixed Asset St Patrick  to 31122010 VF (LP) final" xfId="1959" xr:uid="{00000000-0005-0000-0000-0000F6030000}"/>
    <cellStyle name="=C:\WINNT35\SYSTEM32\COMMAND.COM" xfId="1960" xr:uid="{00000000-0005-0000-0000-0000F7030000}"/>
    <cellStyle name="=C:\WINNT35\SYSTEM32\COMMAND.COM 2" xfId="1961" xr:uid="{00000000-0005-0000-0000-0000F8030000}"/>
    <cellStyle name="§Q\?1@" xfId="51" xr:uid="{00000000-0005-0000-0000-0000F9030000}"/>
    <cellStyle name="•W€_Area" xfId="52" xr:uid="{00000000-0005-0000-0000-0000FA030000}"/>
    <cellStyle name="•W_Area" xfId="53" xr:uid="{00000000-0005-0000-0000-0000FB030000}"/>
    <cellStyle name="1000s (0)" xfId="54" xr:uid="{00000000-0005-0000-0000-0000FC030000}"/>
    <cellStyle name="20 % - Accent1" xfId="21" builtinId="30" customBuiltin="1"/>
    <cellStyle name="20 % - Accent1 2" xfId="55" xr:uid="{00000000-0005-0000-0000-0000FE030000}"/>
    <cellStyle name="20 % - Accent1 2 2" xfId="56" xr:uid="{00000000-0005-0000-0000-0000FF030000}"/>
    <cellStyle name="20 % - Accent1 2 3" xfId="1962" xr:uid="{00000000-0005-0000-0000-000000040000}"/>
    <cellStyle name="20 % - Accent2" xfId="24" builtinId="34" customBuiltin="1"/>
    <cellStyle name="20 % - Accent2 2" xfId="57" xr:uid="{00000000-0005-0000-0000-000002040000}"/>
    <cellStyle name="20 % - Accent2 2 2" xfId="58" xr:uid="{00000000-0005-0000-0000-000003040000}"/>
    <cellStyle name="20 % - Accent2 2 3" xfId="1963" xr:uid="{00000000-0005-0000-0000-000004040000}"/>
    <cellStyle name="20 % - Accent3" xfId="27" builtinId="38" customBuiltin="1"/>
    <cellStyle name="20 % - Accent3 2" xfId="59" xr:uid="{00000000-0005-0000-0000-000006040000}"/>
    <cellStyle name="20 % - Accent3 2 2" xfId="60" xr:uid="{00000000-0005-0000-0000-000007040000}"/>
    <cellStyle name="20 % - Accent3 2 3" xfId="1964" xr:uid="{00000000-0005-0000-0000-000008040000}"/>
    <cellStyle name="20 % - Accent4" xfId="30" builtinId="42" customBuiltin="1"/>
    <cellStyle name="20 % - Accent4 2" xfId="61" xr:uid="{00000000-0005-0000-0000-00000A040000}"/>
    <cellStyle name="20 % - Accent4 2 2" xfId="62" xr:uid="{00000000-0005-0000-0000-00000B040000}"/>
    <cellStyle name="20 % - Accent4 2 3" xfId="1965" xr:uid="{00000000-0005-0000-0000-00000C040000}"/>
    <cellStyle name="20 % - Accent5" xfId="33" builtinId="46" customBuiltin="1"/>
    <cellStyle name="20 % - Accent5 2" xfId="63" xr:uid="{00000000-0005-0000-0000-00000E040000}"/>
    <cellStyle name="20 % - Accent5 2 2" xfId="64" xr:uid="{00000000-0005-0000-0000-00000F040000}"/>
    <cellStyle name="20 % - Accent5 2 3" xfId="1966" xr:uid="{00000000-0005-0000-0000-000010040000}"/>
    <cellStyle name="20 % - Accent6" xfId="36" builtinId="50" customBuiltin="1"/>
    <cellStyle name="20 % - Accent6 2" xfId="65" xr:uid="{00000000-0005-0000-0000-000012040000}"/>
    <cellStyle name="20 % - Accent6 2 2" xfId="66" xr:uid="{00000000-0005-0000-0000-000013040000}"/>
    <cellStyle name="20 % - Accent6 2 3" xfId="1967" xr:uid="{00000000-0005-0000-0000-000014040000}"/>
    <cellStyle name="20% - Accent1 2" xfId="67" xr:uid="{00000000-0005-0000-0000-000015040000}"/>
    <cellStyle name="20% - Accent1 2 2" xfId="68" xr:uid="{00000000-0005-0000-0000-000016040000}"/>
    <cellStyle name="20% - Accent1 2 2 2" xfId="69" xr:uid="{00000000-0005-0000-0000-000017040000}"/>
    <cellStyle name="20% - Accent1 2 3" xfId="70" xr:uid="{00000000-0005-0000-0000-000018040000}"/>
    <cellStyle name="20% - Accent1 2 4" xfId="71" xr:uid="{00000000-0005-0000-0000-000019040000}"/>
    <cellStyle name="20% - Accent1 2_Book Report Rinnovabili v1" xfId="72" xr:uid="{00000000-0005-0000-0000-00001A040000}"/>
    <cellStyle name="20% - Accent1 3" xfId="73" xr:uid="{00000000-0005-0000-0000-00001B040000}"/>
    <cellStyle name="20% - Accent1 3 2" xfId="74" xr:uid="{00000000-0005-0000-0000-00001C040000}"/>
    <cellStyle name="20% - Accent1 3 3" xfId="1968" xr:uid="{00000000-0005-0000-0000-00001D040000}"/>
    <cellStyle name="20% - Accent1 4" xfId="75" xr:uid="{00000000-0005-0000-0000-00001E040000}"/>
    <cellStyle name="20% - Accent1 4 2" xfId="76" xr:uid="{00000000-0005-0000-0000-00001F040000}"/>
    <cellStyle name="20% - Accent1 4 3" xfId="1969" xr:uid="{00000000-0005-0000-0000-000020040000}"/>
    <cellStyle name="20% - Accent1 5" xfId="77" xr:uid="{00000000-0005-0000-0000-000021040000}"/>
    <cellStyle name="20% - Accent1 5 2" xfId="1970" xr:uid="{00000000-0005-0000-0000-000022040000}"/>
    <cellStyle name="20% - Accent1 6" xfId="78" xr:uid="{00000000-0005-0000-0000-000023040000}"/>
    <cellStyle name="20% - Accent1 6 2" xfId="1971" xr:uid="{00000000-0005-0000-0000-000024040000}"/>
    <cellStyle name="20% - Accent1 7" xfId="79" xr:uid="{00000000-0005-0000-0000-000025040000}"/>
    <cellStyle name="20% - Accent1 7 2" xfId="1972" xr:uid="{00000000-0005-0000-0000-000026040000}"/>
    <cellStyle name="20% - Accent1 8" xfId="80" xr:uid="{00000000-0005-0000-0000-000027040000}"/>
    <cellStyle name="20% - Accent1 8 2" xfId="1973" xr:uid="{00000000-0005-0000-0000-000028040000}"/>
    <cellStyle name="20% - Accent1 9" xfId="81" xr:uid="{00000000-0005-0000-0000-000029040000}"/>
    <cellStyle name="20% - Accent2 2" xfId="82" xr:uid="{00000000-0005-0000-0000-00002A040000}"/>
    <cellStyle name="20% - Accent2 2 2" xfId="83" xr:uid="{00000000-0005-0000-0000-00002B040000}"/>
    <cellStyle name="20% - Accent2 2 2 2" xfId="84" xr:uid="{00000000-0005-0000-0000-00002C040000}"/>
    <cellStyle name="20% - Accent2 2 3" xfId="85" xr:uid="{00000000-0005-0000-0000-00002D040000}"/>
    <cellStyle name="20% - Accent2 2 4" xfId="86" xr:uid="{00000000-0005-0000-0000-00002E040000}"/>
    <cellStyle name="20% - Accent2 2_Book Report Rinnovabili v1" xfId="87" xr:uid="{00000000-0005-0000-0000-00002F040000}"/>
    <cellStyle name="20% - Accent2 3" xfId="88" xr:uid="{00000000-0005-0000-0000-000030040000}"/>
    <cellStyle name="20% - Accent2 3 2" xfId="89" xr:uid="{00000000-0005-0000-0000-000031040000}"/>
    <cellStyle name="20% - Accent2 3 3" xfId="1974" xr:uid="{00000000-0005-0000-0000-000032040000}"/>
    <cellStyle name="20% - Accent2 4" xfId="90" xr:uid="{00000000-0005-0000-0000-000033040000}"/>
    <cellStyle name="20% - Accent2 4 2" xfId="91" xr:uid="{00000000-0005-0000-0000-000034040000}"/>
    <cellStyle name="20% - Accent2 4 3" xfId="1975" xr:uid="{00000000-0005-0000-0000-000035040000}"/>
    <cellStyle name="20% - Accent2 5" xfId="92" xr:uid="{00000000-0005-0000-0000-000036040000}"/>
    <cellStyle name="20% - Accent2 5 2" xfId="1976" xr:uid="{00000000-0005-0000-0000-000037040000}"/>
    <cellStyle name="20% - Accent2 6" xfId="93" xr:uid="{00000000-0005-0000-0000-000038040000}"/>
    <cellStyle name="20% - Accent2 6 2" xfId="1977" xr:uid="{00000000-0005-0000-0000-000039040000}"/>
    <cellStyle name="20% - Accent2 7" xfId="94" xr:uid="{00000000-0005-0000-0000-00003A040000}"/>
    <cellStyle name="20% - Accent2 7 2" xfId="1978" xr:uid="{00000000-0005-0000-0000-00003B040000}"/>
    <cellStyle name="20% - Accent2 8" xfId="95" xr:uid="{00000000-0005-0000-0000-00003C040000}"/>
    <cellStyle name="20% - Accent2 8 2" xfId="1979" xr:uid="{00000000-0005-0000-0000-00003D040000}"/>
    <cellStyle name="20% - Accent2 9" xfId="96" xr:uid="{00000000-0005-0000-0000-00003E040000}"/>
    <cellStyle name="20% - Accent3 2" xfId="97" xr:uid="{00000000-0005-0000-0000-00003F040000}"/>
    <cellStyle name="20% - Accent3 2 2" xfId="98" xr:uid="{00000000-0005-0000-0000-000040040000}"/>
    <cellStyle name="20% - Accent3 2 2 2" xfId="99" xr:uid="{00000000-0005-0000-0000-000041040000}"/>
    <cellStyle name="20% - Accent3 2 3" xfId="100" xr:uid="{00000000-0005-0000-0000-000042040000}"/>
    <cellStyle name="20% - Accent3 2 4" xfId="101" xr:uid="{00000000-0005-0000-0000-000043040000}"/>
    <cellStyle name="20% - Accent3 2_Book Report Rinnovabili v1" xfId="102" xr:uid="{00000000-0005-0000-0000-000044040000}"/>
    <cellStyle name="20% - Accent3 3" xfId="103" xr:uid="{00000000-0005-0000-0000-000045040000}"/>
    <cellStyle name="20% - Accent3 3 2" xfId="104" xr:uid="{00000000-0005-0000-0000-000046040000}"/>
    <cellStyle name="20% - Accent3 3 3" xfId="1980" xr:uid="{00000000-0005-0000-0000-000047040000}"/>
    <cellStyle name="20% - Accent3 4" xfId="105" xr:uid="{00000000-0005-0000-0000-000048040000}"/>
    <cellStyle name="20% - Accent3 4 2" xfId="106" xr:uid="{00000000-0005-0000-0000-000049040000}"/>
    <cellStyle name="20% - Accent3 4 3" xfId="1981" xr:uid="{00000000-0005-0000-0000-00004A040000}"/>
    <cellStyle name="20% - Accent3 5" xfId="107" xr:uid="{00000000-0005-0000-0000-00004B040000}"/>
    <cellStyle name="20% - Accent3 5 2" xfId="1982" xr:uid="{00000000-0005-0000-0000-00004C040000}"/>
    <cellStyle name="20% - Accent3 6" xfId="108" xr:uid="{00000000-0005-0000-0000-00004D040000}"/>
    <cellStyle name="20% - Accent3 6 2" xfId="1983" xr:uid="{00000000-0005-0000-0000-00004E040000}"/>
    <cellStyle name="20% - Accent3 7" xfId="109" xr:uid="{00000000-0005-0000-0000-00004F040000}"/>
    <cellStyle name="20% - Accent3 7 2" xfId="1984" xr:uid="{00000000-0005-0000-0000-000050040000}"/>
    <cellStyle name="20% - Accent3 8" xfId="110" xr:uid="{00000000-0005-0000-0000-000051040000}"/>
    <cellStyle name="20% - Accent3 8 2" xfId="1985" xr:uid="{00000000-0005-0000-0000-000052040000}"/>
    <cellStyle name="20% - Accent3 9" xfId="111" xr:uid="{00000000-0005-0000-0000-000053040000}"/>
    <cellStyle name="20% - Accent4 2" xfId="112" xr:uid="{00000000-0005-0000-0000-000054040000}"/>
    <cellStyle name="20% - Accent4 2 2" xfId="113" xr:uid="{00000000-0005-0000-0000-000055040000}"/>
    <cellStyle name="20% - Accent4 2 2 2" xfId="114" xr:uid="{00000000-0005-0000-0000-000056040000}"/>
    <cellStyle name="20% - Accent4 2 3" xfId="115" xr:uid="{00000000-0005-0000-0000-000057040000}"/>
    <cellStyle name="20% - Accent4 2 4" xfId="116" xr:uid="{00000000-0005-0000-0000-000058040000}"/>
    <cellStyle name="20% - Accent4 2_Book Report Rinnovabili v1" xfId="117" xr:uid="{00000000-0005-0000-0000-000059040000}"/>
    <cellStyle name="20% - Accent4 3" xfId="118" xr:uid="{00000000-0005-0000-0000-00005A040000}"/>
    <cellStyle name="20% - Accent4 3 2" xfId="119" xr:uid="{00000000-0005-0000-0000-00005B040000}"/>
    <cellStyle name="20% - Accent4 3 3" xfId="1986" xr:uid="{00000000-0005-0000-0000-00005C040000}"/>
    <cellStyle name="20% - Accent4 4" xfId="120" xr:uid="{00000000-0005-0000-0000-00005D040000}"/>
    <cellStyle name="20% - Accent4 4 2" xfId="121" xr:uid="{00000000-0005-0000-0000-00005E040000}"/>
    <cellStyle name="20% - Accent4 4 3" xfId="1987" xr:uid="{00000000-0005-0000-0000-00005F040000}"/>
    <cellStyle name="20% - Accent4 5" xfId="122" xr:uid="{00000000-0005-0000-0000-000060040000}"/>
    <cellStyle name="20% - Accent4 5 2" xfId="1988" xr:uid="{00000000-0005-0000-0000-000061040000}"/>
    <cellStyle name="20% - Accent4 6" xfId="123" xr:uid="{00000000-0005-0000-0000-000062040000}"/>
    <cellStyle name="20% - Accent4 6 2" xfId="1989" xr:uid="{00000000-0005-0000-0000-000063040000}"/>
    <cellStyle name="20% - Accent4 7" xfId="124" xr:uid="{00000000-0005-0000-0000-000064040000}"/>
    <cellStyle name="20% - Accent4 7 2" xfId="1990" xr:uid="{00000000-0005-0000-0000-000065040000}"/>
    <cellStyle name="20% - Accent4 8" xfId="125" xr:uid="{00000000-0005-0000-0000-000066040000}"/>
    <cellStyle name="20% - Accent4 8 2" xfId="1991" xr:uid="{00000000-0005-0000-0000-000067040000}"/>
    <cellStyle name="20% - Accent4 9" xfId="126" xr:uid="{00000000-0005-0000-0000-000068040000}"/>
    <cellStyle name="20% - Accent5 2" xfId="127" xr:uid="{00000000-0005-0000-0000-000069040000}"/>
    <cellStyle name="20% - Accent5 2 2" xfId="128" xr:uid="{00000000-0005-0000-0000-00006A040000}"/>
    <cellStyle name="20% - Accent5 2 2 2" xfId="129" xr:uid="{00000000-0005-0000-0000-00006B040000}"/>
    <cellStyle name="20% - Accent5 2 3" xfId="130" xr:uid="{00000000-0005-0000-0000-00006C040000}"/>
    <cellStyle name="20% - Accent5 2 4" xfId="131" xr:uid="{00000000-0005-0000-0000-00006D040000}"/>
    <cellStyle name="20% - Accent5 2_Book Report Rinnovabili v1" xfId="132" xr:uid="{00000000-0005-0000-0000-00006E040000}"/>
    <cellStyle name="20% - Accent5 3" xfId="133" xr:uid="{00000000-0005-0000-0000-00006F040000}"/>
    <cellStyle name="20% - Accent5 3 2" xfId="134" xr:uid="{00000000-0005-0000-0000-000070040000}"/>
    <cellStyle name="20% - Accent5 3 3" xfId="1992" xr:uid="{00000000-0005-0000-0000-000071040000}"/>
    <cellStyle name="20% - Accent5 4" xfId="135" xr:uid="{00000000-0005-0000-0000-000072040000}"/>
    <cellStyle name="20% - Accent5 4 2" xfId="136" xr:uid="{00000000-0005-0000-0000-000073040000}"/>
    <cellStyle name="20% - Accent5 4 3" xfId="1993" xr:uid="{00000000-0005-0000-0000-000074040000}"/>
    <cellStyle name="20% - Accent5 5" xfId="137" xr:uid="{00000000-0005-0000-0000-000075040000}"/>
    <cellStyle name="20% - Accent5 5 2" xfId="1994" xr:uid="{00000000-0005-0000-0000-000076040000}"/>
    <cellStyle name="20% - Accent5 6" xfId="138" xr:uid="{00000000-0005-0000-0000-000077040000}"/>
    <cellStyle name="20% - Accent5 6 2" xfId="1995" xr:uid="{00000000-0005-0000-0000-000078040000}"/>
    <cellStyle name="20% - Accent5 7" xfId="139" xr:uid="{00000000-0005-0000-0000-000079040000}"/>
    <cellStyle name="20% - Accent5 7 2" xfId="1996" xr:uid="{00000000-0005-0000-0000-00007A040000}"/>
    <cellStyle name="20% - Accent5 8" xfId="140" xr:uid="{00000000-0005-0000-0000-00007B040000}"/>
    <cellStyle name="20% - Accent5 8 2" xfId="1997" xr:uid="{00000000-0005-0000-0000-00007C040000}"/>
    <cellStyle name="20% - Accent5 9" xfId="141" xr:uid="{00000000-0005-0000-0000-00007D040000}"/>
    <cellStyle name="20% - Accent6 2" xfId="142" xr:uid="{00000000-0005-0000-0000-00007E040000}"/>
    <cellStyle name="20% - Accent6 2 2" xfId="143" xr:uid="{00000000-0005-0000-0000-00007F040000}"/>
    <cellStyle name="20% - Accent6 2 2 2" xfId="144" xr:uid="{00000000-0005-0000-0000-000080040000}"/>
    <cellStyle name="20% - Accent6 2 3" xfId="145" xr:uid="{00000000-0005-0000-0000-000081040000}"/>
    <cellStyle name="20% - Accent6 2 4" xfId="146" xr:uid="{00000000-0005-0000-0000-000082040000}"/>
    <cellStyle name="20% - Accent6 2_Book Report Rinnovabili v1" xfId="147" xr:uid="{00000000-0005-0000-0000-000083040000}"/>
    <cellStyle name="20% - Accent6 3" xfId="148" xr:uid="{00000000-0005-0000-0000-000084040000}"/>
    <cellStyle name="20% - Accent6 3 2" xfId="149" xr:uid="{00000000-0005-0000-0000-000085040000}"/>
    <cellStyle name="20% - Accent6 3 3" xfId="1998" xr:uid="{00000000-0005-0000-0000-000086040000}"/>
    <cellStyle name="20% - Accent6 4" xfId="150" xr:uid="{00000000-0005-0000-0000-000087040000}"/>
    <cellStyle name="20% - Accent6 4 2" xfId="151" xr:uid="{00000000-0005-0000-0000-000088040000}"/>
    <cellStyle name="20% - Accent6 4 3" xfId="1999" xr:uid="{00000000-0005-0000-0000-000089040000}"/>
    <cellStyle name="20% - Accent6 5" xfId="152" xr:uid="{00000000-0005-0000-0000-00008A040000}"/>
    <cellStyle name="20% - Accent6 5 2" xfId="2000" xr:uid="{00000000-0005-0000-0000-00008B040000}"/>
    <cellStyle name="20% - Accent6 6" xfId="153" xr:uid="{00000000-0005-0000-0000-00008C040000}"/>
    <cellStyle name="20% - Accent6 6 2" xfId="2001" xr:uid="{00000000-0005-0000-0000-00008D040000}"/>
    <cellStyle name="20% - Accent6 7" xfId="154" xr:uid="{00000000-0005-0000-0000-00008E040000}"/>
    <cellStyle name="20% - Accent6 7 2" xfId="2002" xr:uid="{00000000-0005-0000-0000-00008F040000}"/>
    <cellStyle name="20% - Accent6 8" xfId="155" xr:uid="{00000000-0005-0000-0000-000090040000}"/>
    <cellStyle name="20% - Accent6 8 2" xfId="2003" xr:uid="{00000000-0005-0000-0000-000091040000}"/>
    <cellStyle name="20% - Accent6 9" xfId="156" xr:uid="{00000000-0005-0000-0000-000092040000}"/>
    <cellStyle name="20% - Ênfase1" xfId="2004" xr:uid="{00000000-0005-0000-0000-000093040000}"/>
    <cellStyle name="20% - Ênfase2" xfId="2005" xr:uid="{00000000-0005-0000-0000-000094040000}"/>
    <cellStyle name="20% - Ênfase3" xfId="2006" xr:uid="{00000000-0005-0000-0000-000095040000}"/>
    <cellStyle name="20% - Ênfase4" xfId="2007" xr:uid="{00000000-0005-0000-0000-000096040000}"/>
    <cellStyle name="20% - Ênfase5" xfId="2008" xr:uid="{00000000-0005-0000-0000-000097040000}"/>
    <cellStyle name="20% - Ênfase6" xfId="2009" xr:uid="{00000000-0005-0000-0000-000098040000}"/>
    <cellStyle name="20% - Énfasis1" xfId="157" xr:uid="{00000000-0005-0000-0000-000099040000}"/>
    <cellStyle name="20% - Énfasis2" xfId="158" xr:uid="{00000000-0005-0000-0000-00009A040000}"/>
    <cellStyle name="20% - Énfasis3" xfId="159" xr:uid="{00000000-0005-0000-0000-00009B040000}"/>
    <cellStyle name="20% - Énfasis4" xfId="160" xr:uid="{00000000-0005-0000-0000-00009C040000}"/>
    <cellStyle name="20% - Énfasis5" xfId="161" xr:uid="{00000000-0005-0000-0000-00009D040000}"/>
    <cellStyle name="20% - Énfasis6" xfId="162" xr:uid="{00000000-0005-0000-0000-00009E040000}"/>
    <cellStyle name="20% - Акцент1" xfId="2010" xr:uid="{00000000-0005-0000-0000-00009F040000}"/>
    <cellStyle name="20% - Акцент2" xfId="2011" xr:uid="{00000000-0005-0000-0000-0000A0040000}"/>
    <cellStyle name="20% - Акцент3" xfId="2012" xr:uid="{00000000-0005-0000-0000-0000A1040000}"/>
    <cellStyle name="20% - Акцент4" xfId="2013" xr:uid="{00000000-0005-0000-0000-0000A2040000}"/>
    <cellStyle name="20% - Акцент5" xfId="2014" xr:uid="{00000000-0005-0000-0000-0000A3040000}"/>
    <cellStyle name="20% - Акцент6" xfId="2015" xr:uid="{00000000-0005-0000-0000-0000A4040000}"/>
    <cellStyle name="2001 Budget" xfId="2016" xr:uid="{00000000-0005-0000-0000-0000A5040000}"/>
    <cellStyle name="40 % - Accent1" xfId="22" builtinId="31" customBuiltin="1"/>
    <cellStyle name="40 % - Accent1 2" xfId="163" xr:uid="{00000000-0005-0000-0000-0000A7040000}"/>
    <cellStyle name="40 % - Accent1 2 2" xfId="164" xr:uid="{00000000-0005-0000-0000-0000A8040000}"/>
    <cellStyle name="40 % - Accent1 2 3" xfId="2017" xr:uid="{00000000-0005-0000-0000-0000A9040000}"/>
    <cellStyle name="40 % - Accent2" xfId="25" builtinId="35" customBuiltin="1"/>
    <cellStyle name="40 % - Accent2 2" xfId="165" xr:uid="{00000000-0005-0000-0000-0000AB040000}"/>
    <cellStyle name="40 % - Accent2 2 2" xfId="166" xr:uid="{00000000-0005-0000-0000-0000AC040000}"/>
    <cellStyle name="40 % - Accent2 2 3" xfId="2018" xr:uid="{00000000-0005-0000-0000-0000AD040000}"/>
    <cellStyle name="40 % - Accent3" xfId="28" builtinId="39" customBuiltin="1"/>
    <cellStyle name="40 % - Accent3 2" xfId="167" xr:uid="{00000000-0005-0000-0000-0000AF040000}"/>
    <cellStyle name="40 % - Accent3 2 2" xfId="168" xr:uid="{00000000-0005-0000-0000-0000B0040000}"/>
    <cellStyle name="40 % - Accent3 2 3" xfId="2019" xr:uid="{00000000-0005-0000-0000-0000B1040000}"/>
    <cellStyle name="40 % - Accent4" xfId="31" builtinId="43" customBuiltin="1"/>
    <cellStyle name="40 % - Accent4 2" xfId="169" xr:uid="{00000000-0005-0000-0000-0000B3040000}"/>
    <cellStyle name="40 % - Accent4 2 2" xfId="170" xr:uid="{00000000-0005-0000-0000-0000B4040000}"/>
    <cellStyle name="40 % - Accent4 2 3" xfId="2020" xr:uid="{00000000-0005-0000-0000-0000B5040000}"/>
    <cellStyle name="40 % - Accent5" xfId="34" builtinId="47" customBuiltin="1"/>
    <cellStyle name="40 % - Accent5 2" xfId="171" xr:uid="{00000000-0005-0000-0000-0000B7040000}"/>
    <cellStyle name="40 % - Accent5 2 2" xfId="172" xr:uid="{00000000-0005-0000-0000-0000B8040000}"/>
    <cellStyle name="40 % - Accent5 2 3" xfId="2021" xr:uid="{00000000-0005-0000-0000-0000B9040000}"/>
    <cellStyle name="40 % - Accent6" xfId="37" builtinId="51" customBuiltin="1"/>
    <cellStyle name="40 % - Accent6 2" xfId="173" xr:uid="{00000000-0005-0000-0000-0000BB040000}"/>
    <cellStyle name="40 % - Accent6 2 2" xfId="174" xr:uid="{00000000-0005-0000-0000-0000BC040000}"/>
    <cellStyle name="40 % - Accent6 2 3" xfId="2022" xr:uid="{00000000-0005-0000-0000-0000BD040000}"/>
    <cellStyle name="40% - Accent1 2" xfId="175" xr:uid="{00000000-0005-0000-0000-0000BE040000}"/>
    <cellStyle name="40% - Accent1 2 2" xfId="176" xr:uid="{00000000-0005-0000-0000-0000BF040000}"/>
    <cellStyle name="40% - Accent1 2 2 2" xfId="177" xr:uid="{00000000-0005-0000-0000-0000C0040000}"/>
    <cellStyle name="40% - Accent1 2 3" xfId="178" xr:uid="{00000000-0005-0000-0000-0000C1040000}"/>
    <cellStyle name="40% - Accent1 2 4" xfId="179" xr:uid="{00000000-0005-0000-0000-0000C2040000}"/>
    <cellStyle name="40% - Accent1 2_Book Report Rinnovabili v1" xfId="180" xr:uid="{00000000-0005-0000-0000-0000C3040000}"/>
    <cellStyle name="40% - Accent1 3" xfId="181" xr:uid="{00000000-0005-0000-0000-0000C4040000}"/>
    <cellStyle name="40% - Accent1 3 2" xfId="182" xr:uid="{00000000-0005-0000-0000-0000C5040000}"/>
    <cellStyle name="40% - Accent1 3 3" xfId="2023" xr:uid="{00000000-0005-0000-0000-0000C6040000}"/>
    <cellStyle name="40% - Accent1 4" xfId="183" xr:uid="{00000000-0005-0000-0000-0000C7040000}"/>
    <cellStyle name="40% - Accent1 4 2" xfId="184" xr:uid="{00000000-0005-0000-0000-0000C8040000}"/>
    <cellStyle name="40% - Accent1 4 3" xfId="2024" xr:uid="{00000000-0005-0000-0000-0000C9040000}"/>
    <cellStyle name="40% - Accent1 5" xfId="185" xr:uid="{00000000-0005-0000-0000-0000CA040000}"/>
    <cellStyle name="40% - Accent1 5 2" xfId="2025" xr:uid="{00000000-0005-0000-0000-0000CB040000}"/>
    <cellStyle name="40% - Accent1 6" xfId="186" xr:uid="{00000000-0005-0000-0000-0000CC040000}"/>
    <cellStyle name="40% - Accent1 6 2" xfId="2026" xr:uid="{00000000-0005-0000-0000-0000CD040000}"/>
    <cellStyle name="40% - Accent1 7" xfId="187" xr:uid="{00000000-0005-0000-0000-0000CE040000}"/>
    <cellStyle name="40% - Accent1 7 2" xfId="2027" xr:uid="{00000000-0005-0000-0000-0000CF040000}"/>
    <cellStyle name="40% - Accent1 8" xfId="188" xr:uid="{00000000-0005-0000-0000-0000D0040000}"/>
    <cellStyle name="40% - Accent1 8 2" xfId="2028" xr:uid="{00000000-0005-0000-0000-0000D1040000}"/>
    <cellStyle name="40% - Accent1 9" xfId="189" xr:uid="{00000000-0005-0000-0000-0000D2040000}"/>
    <cellStyle name="40% - Accent2 2" xfId="190" xr:uid="{00000000-0005-0000-0000-0000D3040000}"/>
    <cellStyle name="40% - Accent2 2 2" xfId="191" xr:uid="{00000000-0005-0000-0000-0000D4040000}"/>
    <cellStyle name="40% - Accent2 2 2 2" xfId="192" xr:uid="{00000000-0005-0000-0000-0000D5040000}"/>
    <cellStyle name="40% - Accent2 2 3" xfId="193" xr:uid="{00000000-0005-0000-0000-0000D6040000}"/>
    <cellStyle name="40% - Accent2 2 4" xfId="194" xr:uid="{00000000-0005-0000-0000-0000D7040000}"/>
    <cellStyle name="40% - Accent2 2_Book Report Rinnovabili v1" xfId="195" xr:uid="{00000000-0005-0000-0000-0000D8040000}"/>
    <cellStyle name="40% - Accent2 3" xfId="196" xr:uid="{00000000-0005-0000-0000-0000D9040000}"/>
    <cellStyle name="40% - Accent2 3 2" xfId="197" xr:uid="{00000000-0005-0000-0000-0000DA040000}"/>
    <cellStyle name="40% - Accent2 3 3" xfId="2029" xr:uid="{00000000-0005-0000-0000-0000DB040000}"/>
    <cellStyle name="40% - Accent2 4" xfId="198" xr:uid="{00000000-0005-0000-0000-0000DC040000}"/>
    <cellStyle name="40% - Accent2 4 2" xfId="199" xr:uid="{00000000-0005-0000-0000-0000DD040000}"/>
    <cellStyle name="40% - Accent2 4 3" xfId="2030" xr:uid="{00000000-0005-0000-0000-0000DE040000}"/>
    <cellStyle name="40% - Accent2 5" xfId="200" xr:uid="{00000000-0005-0000-0000-0000DF040000}"/>
    <cellStyle name="40% - Accent2 5 2" xfId="2031" xr:uid="{00000000-0005-0000-0000-0000E0040000}"/>
    <cellStyle name="40% - Accent2 6" xfId="201" xr:uid="{00000000-0005-0000-0000-0000E1040000}"/>
    <cellStyle name="40% - Accent2 6 2" xfId="2032" xr:uid="{00000000-0005-0000-0000-0000E2040000}"/>
    <cellStyle name="40% - Accent2 7" xfId="202" xr:uid="{00000000-0005-0000-0000-0000E3040000}"/>
    <cellStyle name="40% - Accent2 7 2" xfId="2033" xr:uid="{00000000-0005-0000-0000-0000E4040000}"/>
    <cellStyle name="40% - Accent2 8" xfId="203" xr:uid="{00000000-0005-0000-0000-0000E5040000}"/>
    <cellStyle name="40% - Accent2 8 2" xfId="2034" xr:uid="{00000000-0005-0000-0000-0000E6040000}"/>
    <cellStyle name="40% - Accent2 9" xfId="204" xr:uid="{00000000-0005-0000-0000-0000E7040000}"/>
    <cellStyle name="40% - Accent3 2" xfId="205" xr:uid="{00000000-0005-0000-0000-0000E8040000}"/>
    <cellStyle name="40% - Accent3 2 2" xfId="206" xr:uid="{00000000-0005-0000-0000-0000E9040000}"/>
    <cellStyle name="40% - Accent3 2 2 2" xfId="207" xr:uid="{00000000-0005-0000-0000-0000EA040000}"/>
    <cellStyle name="40% - Accent3 2 3" xfId="208" xr:uid="{00000000-0005-0000-0000-0000EB040000}"/>
    <cellStyle name="40% - Accent3 2 4" xfId="209" xr:uid="{00000000-0005-0000-0000-0000EC040000}"/>
    <cellStyle name="40% - Accent3 2_Book Report Rinnovabili v1" xfId="210" xr:uid="{00000000-0005-0000-0000-0000ED040000}"/>
    <cellStyle name="40% - Accent3 3" xfId="211" xr:uid="{00000000-0005-0000-0000-0000EE040000}"/>
    <cellStyle name="40% - Accent3 3 2" xfId="212" xr:uid="{00000000-0005-0000-0000-0000EF040000}"/>
    <cellStyle name="40% - Accent3 3 3" xfId="2035" xr:uid="{00000000-0005-0000-0000-0000F0040000}"/>
    <cellStyle name="40% - Accent3 4" xfId="213" xr:uid="{00000000-0005-0000-0000-0000F1040000}"/>
    <cellStyle name="40% - Accent3 4 2" xfId="214" xr:uid="{00000000-0005-0000-0000-0000F2040000}"/>
    <cellStyle name="40% - Accent3 4 3" xfId="2036" xr:uid="{00000000-0005-0000-0000-0000F3040000}"/>
    <cellStyle name="40% - Accent3 5" xfId="215" xr:uid="{00000000-0005-0000-0000-0000F4040000}"/>
    <cellStyle name="40% - Accent3 5 2" xfId="2037" xr:uid="{00000000-0005-0000-0000-0000F5040000}"/>
    <cellStyle name="40% - Accent3 6" xfId="216" xr:uid="{00000000-0005-0000-0000-0000F6040000}"/>
    <cellStyle name="40% - Accent3 6 2" xfId="2038" xr:uid="{00000000-0005-0000-0000-0000F7040000}"/>
    <cellStyle name="40% - Accent3 7" xfId="217" xr:uid="{00000000-0005-0000-0000-0000F8040000}"/>
    <cellStyle name="40% - Accent3 7 2" xfId="2039" xr:uid="{00000000-0005-0000-0000-0000F9040000}"/>
    <cellStyle name="40% - Accent3 8" xfId="218" xr:uid="{00000000-0005-0000-0000-0000FA040000}"/>
    <cellStyle name="40% - Accent3 8 2" xfId="2040" xr:uid="{00000000-0005-0000-0000-0000FB040000}"/>
    <cellStyle name="40% - Accent3 9" xfId="219" xr:uid="{00000000-0005-0000-0000-0000FC040000}"/>
    <cellStyle name="40% - Accent4 2" xfId="220" xr:uid="{00000000-0005-0000-0000-0000FD040000}"/>
    <cellStyle name="40% - Accent4 2 2" xfId="221" xr:uid="{00000000-0005-0000-0000-0000FE040000}"/>
    <cellStyle name="40% - Accent4 2 2 2" xfId="222" xr:uid="{00000000-0005-0000-0000-0000FF040000}"/>
    <cellStyle name="40% - Accent4 2 3" xfId="223" xr:uid="{00000000-0005-0000-0000-000000050000}"/>
    <cellStyle name="40% - Accent4 2 4" xfId="224" xr:uid="{00000000-0005-0000-0000-000001050000}"/>
    <cellStyle name="40% - Accent4 2_Book Report Rinnovabili v1" xfId="225" xr:uid="{00000000-0005-0000-0000-000002050000}"/>
    <cellStyle name="40% - Accent4 3" xfId="226" xr:uid="{00000000-0005-0000-0000-000003050000}"/>
    <cellStyle name="40% - Accent4 3 2" xfId="227" xr:uid="{00000000-0005-0000-0000-000004050000}"/>
    <cellStyle name="40% - Accent4 3 3" xfId="2041" xr:uid="{00000000-0005-0000-0000-000005050000}"/>
    <cellStyle name="40% - Accent4 4" xfId="228" xr:uid="{00000000-0005-0000-0000-000006050000}"/>
    <cellStyle name="40% - Accent4 4 2" xfId="229" xr:uid="{00000000-0005-0000-0000-000007050000}"/>
    <cellStyle name="40% - Accent4 4 3" xfId="2042" xr:uid="{00000000-0005-0000-0000-000008050000}"/>
    <cellStyle name="40% - Accent4 5" xfId="230" xr:uid="{00000000-0005-0000-0000-000009050000}"/>
    <cellStyle name="40% - Accent4 5 2" xfId="2043" xr:uid="{00000000-0005-0000-0000-00000A050000}"/>
    <cellStyle name="40% - Accent4 6" xfId="231" xr:uid="{00000000-0005-0000-0000-00000B050000}"/>
    <cellStyle name="40% - Accent4 6 2" xfId="2044" xr:uid="{00000000-0005-0000-0000-00000C050000}"/>
    <cellStyle name="40% - Accent4 7" xfId="232" xr:uid="{00000000-0005-0000-0000-00000D050000}"/>
    <cellStyle name="40% - Accent4 7 2" xfId="2045" xr:uid="{00000000-0005-0000-0000-00000E050000}"/>
    <cellStyle name="40% - Accent4 8" xfId="233" xr:uid="{00000000-0005-0000-0000-00000F050000}"/>
    <cellStyle name="40% - Accent4 8 2" xfId="2046" xr:uid="{00000000-0005-0000-0000-000010050000}"/>
    <cellStyle name="40% - Accent4 9" xfId="234" xr:uid="{00000000-0005-0000-0000-000011050000}"/>
    <cellStyle name="40% - Accent5 2" xfId="235" xr:uid="{00000000-0005-0000-0000-000012050000}"/>
    <cellStyle name="40% - Accent5 2 2" xfId="236" xr:uid="{00000000-0005-0000-0000-000013050000}"/>
    <cellStyle name="40% - Accent5 2 2 2" xfId="237" xr:uid="{00000000-0005-0000-0000-000014050000}"/>
    <cellStyle name="40% - Accent5 2 3" xfId="238" xr:uid="{00000000-0005-0000-0000-000015050000}"/>
    <cellStyle name="40% - Accent5 2 4" xfId="239" xr:uid="{00000000-0005-0000-0000-000016050000}"/>
    <cellStyle name="40% - Accent5 2_Book Report Rinnovabili v1" xfId="240" xr:uid="{00000000-0005-0000-0000-000017050000}"/>
    <cellStyle name="40% - Accent5 3" xfId="241" xr:uid="{00000000-0005-0000-0000-000018050000}"/>
    <cellStyle name="40% - Accent5 3 2" xfId="242" xr:uid="{00000000-0005-0000-0000-000019050000}"/>
    <cellStyle name="40% - Accent5 3 3" xfId="2047" xr:uid="{00000000-0005-0000-0000-00001A050000}"/>
    <cellStyle name="40% - Accent5 4" xfId="243" xr:uid="{00000000-0005-0000-0000-00001B050000}"/>
    <cellStyle name="40% - Accent5 4 2" xfId="244" xr:uid="{00000000-0005-0000-0000-00001C050000}"/>
    <cellStyle name="40% - Accent5 4 3" xfId="2048" xr:uid="{00000000-0005-0000-0000-00001D050000}"/>
    <cellStyle name="40% - Accent5 5" xfId="245" xr:uid="{00000000-0005-0000-0000-00001E050000}"/>
    <cellStyle name="40% - Accent5 5 2" xfId="2049" xr:uid="{00000000-0005-0000-0000-00001F050000}"/>
    <cellStyle name="40% - Accent5 6" xfId="246" xr:uid="{00000000-0005-0000-0000-000020050000}"/>
    <cellStyle name="40% - Accent5 6 2" xfId="2050" xr:uid="{00000000-0005-0000-0000-000021050000}"/>
    <cellStyle name="40% - Accent5 7" xfId="247" xr:uid="{00000000-0005-0000-0000-000022050000}"/>
    <cellStyle name="40% - Accent5 7 2" xfId="2051" xr:uid="{00000000-0005-0000-0000-000023050000}"/>
    <cellStyle name="40% - Accent5 8" xfId="248" xr:uid="{00000000-0005-0000-0000-000024050000}"/>
    <cellStyle name="40% - Accent5 8 2" xfId="2052" xr:uid="{00000000-0005-0000-0000-000025050000}"/>
    <cellStyle name="40% - Accent5 9" xfId="249" xr:uid="{00000000-0005-0000-0000-000026050000}"/>
    <cellStyle name="40% - Accent6 2" xfId="250" xr:uid="{00000000-0005-0000-0000-000027050000}"/>
    <cellStyle name="40% - Accent6 2 2" xfId="251" xr:uid="{00000000-0005-0000-0000-000028050000}"/>
    <cellStyle name="40% - Accent6 2 2 2" xfId="252" xr:uid="{00000000-0005-0000-0000-000029050000}"/>
    <cellStyle name="40% - Accent6 2 3" xfId="253" xr:uid="{00000000-0005-0000-0000-00002A050000}"/>
    <cellStyle name="40% - Accent6 2 4" xfId="254" xr:uid="{00000000-0005-0000-0000-00002B050000}"/>
    <cellStyle name="40% - Accent6 2_Book Report Rinnovabili v1" xfId="255" xr:uid="{00000000-0005-0000-0000-00002C050000}"/>
    <cellStyle name="40% - Accent6 3" xfId="256" xr:uid="{00000000-0005-0000-0000-00002D050000}"/>
    <cellStyle name="40% - Accent6 3 2" xfId="257" xr:uid="{00000000-0005-0000-0000-00002E050000}"/>
    <cellStyle name="40% - Accent6 3 3" xfId="2053" xr:uid="{00000000-0005-0000-0000-00002F050000}"/>
    <cellStyle name="40% - Accent6 4" xfId="258" xr:uid="{00000000-0005-0000-0000-000030050000}"/>
    <cellStyle name="40% - Accent6 4 2" xfId="259" xr:uid="{00000000-0005-0000-0000-000031050000}"/>
    <cellStyle name="40% - Accent6 4 3" xfId="2054" xr:uid="{00000000-0005-0000-0000-000032050000}"/>
    <cellStyle name="40% - Accent6 5" xfId="260" xr:uid="{00000000-0005-0000-0000-000033050000}"/>
    <cellStyle name="40% - Accent6 5 2" xfId="2055" xr:uid="{00000000-0005-0000-0000-000034050000}"/>
    <cellStyle name="40% - Accent6 6" xfId="261" xr:uid="{00000000-0005-0000-0000-000035050000}"/>
    <cellStyle name="40% - Accent6 6 2" xfId="2056" xr:uid="{00000000-0005-0000-0000-000036050000}"/>
    <cellStyle name="40% - Accent6 7" xfId="262" xr:uid="{00000000-0005-0000-0000-000037050000}"/>
    <cellStyle name="40% - Accent6 7 2" xfId="2057" xr:uid="{00000000-0005-0000-0000-000038050000}"/>
    <cellStyle name="40% - Accent6 8" xfId="263" xr:uid="{00000000-0005-0000-0000-000039050000}"/>
    <cellStyle name="40% - Accent6 8 2" xfId="2058" xr:uid="{00000000-0005-0000-0000-00003A050000}"/>
    <cellStyle name="40% - Accent6 9" xfId="264" xr:uid="{00000000-0005-0000-0000-00003B050000}"/>
    <cellStyle name="40% - Ênfase1" xfId="2059" xr:uid="{00000000-0005-0000-0000-00003C050000}"/>
    <cellStyle name="40% - Ênfase2" xfId="2060" xr:uid="{00000000-0005-0000-0000-00003D050000}"/>
    <cellStyle name="40% - Ênfase3" xfId="2061" xr:uid="{00000000-0005-0000-0000-00003E050000}"/>
    <cellStyle name="40% - Ênfase4" xfId="2062" xr:uid="{00000000-0005-0000-0000-00003F050000}"/>
    <cellStyle name="40% - Ênfase5" xfId="2063" xr:uid="{00000000-0005-0000-0000-000040050000}"/>
    <cellStyle name="40% - Ênfase6" xfId="2064" xr:uid="{00000000-0005-0000-0000-000041050000}"/>
    <cellStyle name="40% - Énfasis1" xfId="265" xr:uid="{00000000-0005-0000-0000-000042050000}"/>
    <cellStyle name="40% - Énfasis2" xfId="266" xr:uid="{00000000-0005-0000-0000-000043050000}"/>
    <cellStyle name="40% - Énfasis3" xfId="267" xr:uid="{00000000-0005-0000-0000-000044050000}"/>
    <cellStyle name="40% - Énfasis4" xfId="268" xr:uid="{00000000-0005-0000-0000-000045050000}"/>
    <cellStyle name="40% - Énfasis5" xfId="269" xr:uid="{00000000-0005-0000-0000-000046050000}"/>
    <cellStyle name="40% - Énfasis6" xfId="270" xr:uid="{00000000-0005-0000-0000-000047050000}"/>
    <cellStyle name="40% - Акцент1" xfId="2065" xr:uid="{00000000-0005-0000-0000-000048050000}"/>
    <cellStyle name="40% - Акцент2" xfId="2066" xr:uid="{00000000-0005-0000-0000-000049050000}"/>
    <cellStyle name="40% - Акцент3" xfId="2067" xr:uid="{00000000-0005-0000-0000-00004A050000}"/>
    <cellStyle name="40% - Акцент4" xfId="2068" xr:uid="{00000000-0005-0000-0000-00004B050000}"/>
    <cellStyle name="40% - Акцент5" xfId="2069" xr:uid="{00000000-0005-0000-0000-00004C050000}"/>
    <cellStyle name="40% - Акцент6" xfId="2070" xr:uid="{00000000-0005-0000-0000-00004D050000}"/>
    <cellStyle name="60 % - Accent1 2" xfId="2071" xr:uid="{00000000-0005-0000-0000-00004F050000}"/>
    <cellStyle name="60 % - Accent1 3" xfId="947" xr:uid="{00000000-0005-0000-0000-000076050000}"/>
    <cellStyle name="60 % - Accent2 2" xfId="2072" xr:uid="{00000000-0005-0000-0000-000051050000}"/>
    <cellStyle name="60 % - Accent2 3" xfId="948" xr:uid="{00000000-0005-0000-0000-000078050000}"/>
    <cellStyle name="60 % - Accent3 2" xfId="2073" xr:uid="{00000000-0005-0000-0000-000053050000}"/>
    <cellStyle name="60 % - Accent3 3" xfId="949" xr:uid="{00000000-0005-0000-0000-00007A050000}"/>
    <cellStyle name="60 % - Accent4 2" xfId="2074" xr:uid="{00000000-0005-0000-0000-000055050000}"/>
    <cellStyle name="60 % - Accent4 3" xfId="950" xr:uid="{00000000-0005-0000-0000-00007C050000}"/>
    <cellStyle name="60 % - Accent5 2" xfId="2075" xr:uid="{00000000-0005-0000-0000-000057050000}"/>
    <cellStyle name="60 % - Accent5 3" xfId="951" xr:uid="{00000000-0005-0000-0000-00007E050000}"/>
    <cellStyle name="60 % - Accent6 2" xfId="2076" xr:uid="{00000000-0005-0000-0000-000059050000}"/>
    <cellStyle name="60 % - Accent6 3" xfId="952" xr:uid="{00000000-0005-0000-0000-000080050000}"/>
    <cellStyle name="60% - Accent1 2" xfId="271" xr:uid="{00000000-0005-0000-0000-00005A050000}"/>
    <cellStyle name="60% - Accent1 2 2" xfId="272" xr:uid="{00000000-0005-0000-0000-00005B050000}"/>
    <cellStyle name="60% - Accent1 3" xfId="2077" xr:uid="{00000000-0005-0000-0000-00005C050000}"/>
    <cellStyle name="60% - Accent1 4" xfId="2078" xr:uid="{00000000-0005-0000-0000-00005D050000}"/>
    <cellStyle name="60% - Accent1 5" xfId="2079" xr:uid="{00000000-0005-0000-0000-00005E050000}"/>
    <cellStyle name="60% - Accent1 6" xfId="2080" xr:uid="{00000000-0005-0000-0000-00005F050000}"/>
    <cellStyle name="60% - Accent2 2" xfId="273" xr:uid="{00000000-0005-0000-0000-000060050000}"/>
    <cellStyle name="60% - Accent2 2 2" xfId="274" xr:uid="{00000000-0005-0000-0000-000061050000}"/>
    <cellStyle name="60% - Accent2 3" xfId="2081" xr:uid="{00000000-0005-0000-0000-000062050000}"/>
    <cellStyle name="60% - Accent2 4" xfId="2082" xr:uid="{00000000-0005-0000-0000-000063050000}"/>
    <cellStyle name="60% - Accent2 5" xfId="2083" xr:uid="{00000000-0005-0000-0000-000064050000}"/>
    <cellStyle name="60% - Accent2 6" xfId="2084" xr:uid="{00000000-0005-0000-0000-000065050000}"/>
    <cellStyle name="60% - Accent3 2" xfId="275" xr:uid="{00000000-0005-0000-0000-000066050000}"/>
    <cellStyle name="60% - Accent3 2 2" xfId="276" xr:uid="{00000000-0005-0000-0000-000067050000}"/>
    <cellStyle name="60% - Accent3 3" xfId="2085" xr:uid="{00000000-0005-0000-0000-000068050000}"/>
    <cellStyle name="60% - Accent3 4" xfId="2086" xr:uid="{00000000-0005-0000-0000-000069050000}"/>
    <cellStyle name="60% - Accent3 5" xfId="2087" xr:uid="{00000000-0005-0000-0000-00006A050000}"/>
    <cellStyle name="60% - Accent3 6" xfId="2088" xr:uid="{00000000-0005-0000-0000-00006B050000}"/>
    <cellStyle name="60% - Accent4 2" xfId="277" xr:uid="{00000000-0005-0000-0000-00006C050000}"/>
    <cellStyle name="60% - Accent4 2 2" xfId="278" xr:uid="{00000000-0005-0000-0000-00006D050000}"/>
    <cellStyle name="60% - Accent4 3" xfId="2089" xr:uid="{00000000-0005-0000-0000-00006E050000}"/>
    <cellStyle name="60% - Accent4 4" xfId="2090" xr:uid="{00000000-0005-0000-0000-00006F050000}"/>
    <cellStyle name="60% - Accent4 5" xfId="2091" xr:uid="{00000000-0005-0000-0000-000070050000}"/>
    <cellStyle name="60% - Accent4 6" xfId="2092" xr:uid="{00000000-0005-0000-0000-000071050000}"/>
    <cellStyle name="60% - Accent5 2" xfId="279" xr:uid="{00000000-0005-0000-0000-000072050000}"/>
    <cellStyle name="60% - Accent5 2 2" xfId="280" xr:uid="{00000000-0005-0000-0000-000073050000}"/>
    <cellStyle name="60% - Accent5 3" xfId="2093" xr:uid="{00000000-0005-0000-0000-000074050000}"/>
    <cellStyle name="60% - Accent5 4" xfId="2094" xr:uid="{00000000-0005-0000-0000-000075050000}"/>
    <cellStyle name="60% - Accent5 5" xfId="2095" xr:uid="{00000000-0005-0000-0000-000076050000}"/>
    <cellStyle name="60% - Accent5 6" xfId="2096" xr:uid="{00000000-0005-0000-0000-000077050000}"/>
    <cellStyle name="60% - Accent6 2" xfId="281" xr:uid="{00000000-0005-0000-0000-000078050000}"/>
    <cellStyle name="60% - Accent6 2 2" xfId="282" xr:uid="{00000000-0005-0000-0000-000079050000}"/>
    <cellStyle name="60% - Accent6 3" xfId="2097" xr:uid="{00000000-0005-0000-0000-00007A050000}"/>
    <cellStyle name="60% - Accent6 4" xfId="2098" xr:uid="{00000000-0005-0000-0000-00007B050000}"/>
    <cellStyle name="60% - Accent6 5" xfId="2099" xr:uid="{00000000-0005-0000-0000-00007C050000}"/>
    <cellStyle name="60% - Accent6 6" xfId="2100" xr:uid="{00000000-0005-0000-0000-00007D050000}"/>
    <cellStyle name="60% - Ênfase1" xfId="2101" xr:uid="{00000000-0005-0000-0000-00007E050000}"/>
    <cellStyle name="60% - Ênfase2" xfId="2102" xr:uid="{00000000-0005-0000-0000-00007F050000}"/>
    <cellStyle name="60% - Ênfase3" xfId="2103" xr:uid="{00000000-0005-0000-0000-000080050000}"/>
    <cellStyle name="60% - Ênfase4" xfId="2104" xr:uid="{00000000-0005-0000-0000-000081050000}"/>
    <cellStyle name="60% - Ênfase5" xfId="2105" xr:uid="{00000000-0005-0000-0000-000082050000}"/>
    <cellStyle name="60% - Ênfase6" xfId="2106" xr:uid="{00000000-0005-0000-0000-000083050000}"/>
    <cellStyle name="60% - Énfasis1" xfId="283" xr:uid="{00000000-0005-0000-0000-000084050000}"/>
    <cellStyle name="60% - Énfasis2" xfId="284" xr:uid="{00000000-0005-0000-0000-000085050000}"/>
    <cellStyle name="60% - Énfasis3" xfId="285" xr:uid="{00000000-0005-0000-0000-000086050000}"/>
    <cellStyle name="60% - Énfasis4" xfId="286" xr:uid="{00000000-0005-0000-0000-000087050000}"/>
    <cellStyle name="60% - Énfasis5" xfId="287" xr:uid="{00000000-0005-0000-0000-000088050000}"/>
    <cellStyle name="60% - Énfasis6" xfId="288" xr:uid="{00000000-0005-0000-0000-000089050000}"/>
    <cellStyle name="60% - Акцент1" xfId="2107" xr:uid="{00000000-0005-0000-0000-00008A050000}"/>
    <cellStyle name="60% - Акцент2" xfId="2108" xr:uid="{00000000-0005-0000-0000-00008B050000}"/>
    <cellStyle name="60% - Акцент3" xfId="2109" xr:uid="{00000000-0005-0000-0000-00008C050000}"/>
    <cellStyle name="60% - Акцент4" xfId="2110" xr:uid="{00000000-0005-0000-0000-00008D050000}"/>
    <cellStyle name="60% - Акцент5" xfId="2111" xr:uid="{00000000-0005-0000-0000-00008E050000}"/>
    <cellStyle name="60% - Акцент6" xfId="2112" xr:uid="{00000000-0005-0000-0000-00008F050000}"/>
    <cellStyle name="8" xfId="2113" xr:uid="{00000000-0005-0000-0000-000090050000}"/>
    <cellStyle name="A3 297 x 420 mm" xfId="2114" xr:uid="{00000000-0005-0000-0000-000091050000}"/>
    <cellStyle name="aa" xfId="289" xr:uid="{00000000-0005-0000-0000-000092050000}"/>
    <cellStyle name="aa 2" xfId="290" xr:uid="{00000000-0005-0000-0000-000093050000}"/>
    <cellStyle name="aa 3" xfId="291" xr:uid="{00000000-0005-0000-0000-000094050000}"/>
    <cellStyle name="aa 4" xfId="292" xr:uid="{00000000-0005-0000-0000-000095050000}"/>
    <cellStyle name="Accent1" xfId="20" builtinId="29" customBuiltin="1"/>
    <cellStyle name="Accent1 2" xfId="293" xr:uid="{00000000-0005-0000-0000-000097050000}"/>
    <cellStyle name="Accent1 2 2" xfId="294" xr:uid="{00000000-0005-0000-0000-000098050000}"/>
    <cellStyle name="Accent1 3" xfId="2115" xr:uid="{00000000-0005-0000-0000-000099050000}"/>
    <cellStyle name="Accent1 4" xfId="2116" xr:uid="{00000000-0005-0000-0000-00009A050000}"/>
    <cellStyle name="Accent1 5" xfId="2117" xr:uid="{00000000-0005-0000-0000-00009B050000}"/>
    <cellStyle name="Accent1 6" xfId="2118" xr:uid="{00000000-0005-0000-0000-00009C050000}"/>
    <cellStyle name="Accent2" xfId="23" builtinId="33" customBuiltin="1"/>
    <cellStyle name="Accent2 2" xfId="295" xr:uid="{00000000-0005-0000-0000-00009E050000}"/>
    <cellStyle name="Accent2 2 2" xfId="296" xr:uid="{00000000-0005-0000-0000-00009F050000}"/>
    <cellStyle name="Accent2 3" xfId="2119" xr:uid="{00000000-0005-0000-0000-0000A0050000}"/>
    <cellStyle name="Accent2 4" xfId="2120" xr:uid="{00000000-0005-0000-0000-0000A1050000}"/>
    <cellStyle name="Accent2 5" xfId="2121" xr:uid="{00000000-0005-0000-0000-0000A2050000}"/>
    <cellStyle name="Accent2 6" xfId="2122" xr:uid="{00000000-0005-0000-0000-0000A3050000}"/>
    <cellStyle name="Accent3" xfId="26" builtinId="37" customBuiltin="1"/>
    <cellStyle name="Accent3 2" xfId="297" xr:uid="{00000000-0005-0000-0000-0000A5050000}"/>
    <cellStyle name="Accent3 2 2" xfId="298" xr:uid="{00000000-0005-0000-0000-0000A6050000}"/>
    <cellStyle name="Accent3 3" xfId="2123" xr:uid="{00000000-0005-0000-0000-0000A7050000}"/>
    <cellStyle name="Accent3 4" xfId="2124" xr:uid="{00000000-0005-0000-0000-0000A8050000}"/>
    <cellStyle name="Accent3 5" xfId="2125" xr:uid="{00000000-0005-0000-0000-0000A9050000}"/>
    <cellStyle name="Accent3 6" xfId="2126" xr:uid="{00000000-0005-0000-0000-0000AA050000}"/>
    <cellStyle name="Accent4" xfId="29" builtinId="41" customBuiltin="1"/>
    <cellStyle name="Accent4 2" xfId="299" xr:uid="{00000000-0005-0000-0000-0000AC050000}"/>
    <cellStyle name="Accent4 2 2" xfId="300" xr:uid="{00000000-0005-0000-0000-0000AD050000}"/>
    <cellStyle name="Accent4 3" xfId="2127" xr:uid="{00000000-0005-0000-0000-0000AE050000}"/>
    <cellStyle name="Accent4 4" xfId="2128" xr:uid="{00000000-0005-0000-0000-0000AF050000}"/>
    <cellStyle name="Accent4 5" xfId="2129" xr:uid="{00000000-0005-0000-0000-0000B0050000}"/>
    <cellStyle name="Accent4 6" xfId="2130" xr:uid="{00000000-0005-0000-0000-0000B1050000}"/>
    <cellStyle name="Accent5" xfId="32" builtinId="45" customBuiltin="1"/>
    <cellStyle name="Accent5 2" xfId="301" xr:uid="{00000000-0005-0000-0000-0000B3050000}"/>
    <cellStyle name="Accent5 2 2" xfId="302" xr:uid="{00000000-0005-0000-0000-0000B4050000}"/>
    <cellStyle name="Accent5 3" xfId="2131" xr:uid="{00000000-0005-0000-0000-0000B5050000}"/>
    <cellStyle name="Accent5 4" xfId="2132" xr:uid="{00000000-0005-0000-0000-0000B6050000}"/>
    <cellStyle name="Accent5 5" xfId="2133" xr:uid="{00000000-0005-0000-0000-0000B7050000}"/>
    <cellStyle name="Accent5 6" xfId="2134" xr:uid="{00000000-0005-0000-0000-0000B8050000}"/>
    <cellStyle name="Accent6" xfId="35" builtinId="49" customBuiltin="1"/>
    <cellStyle name="Accent6 2" xfId="303" xr:uid="{00000000-0005-0000-0000-0000BA050000}"/>
    <cellStyle name="Accent6 2 2" xfId="304" xr:uid="{00000000-0005-0000-0000-0000BB050000}"/>
    <cellStyle name="Accent6 3" xfId="2135" xr:uid="{00000000-0005-0000-0000-0000BC050000}"/>
    <cellStyle name="Accent6 4" xfId="2136" xr:uid="{00000000-0005-0000-0000-0000BD050000}"/>
    <cellStyle name="Accent6 5" xfId="2137" xr:uid="{00000000-0005-0000-0000-0000BE050000}"/>
    <cellStyle name="Accent6 6" xfId="2138" xr:uid="{00000000-0005-0000-0000-0000BF050000}"/>
    <cellStyle name="Accounting" xfId="2139" xr:uid="{00000000-0005-0000-0000-0000C0050000}"/>
    <cellStyle name="Accounting 2" xfId="2140" xr:uid="{00000000-0005-0000-0000-0000C1050000}"/>
    <cellStyle name="active" xfId="305" xr:uid="{00000000-0005-0000-0000-0000C2050000}"/>
    <cellStyle name="AeE­ [0]_INQUIRY ¿µ¾÷AßAø " xfId="2141" xr:uid="{00000000-0005-0000-0000-0000C3050000}"/>
    <cellStyle name="AeE­_INQUIRY ¿µ¾÷AßAø " xfId="2142" xr:uid="{00000000-0005-0000-0000-0000C4050000}"/>
    <cellStyle name="AFE" xfId="2143" xr:uid="{00000000-0005-0000-0000-0000C5050000}"/>
    <cellStyle name="AFE 2" xfId="2144" xr:uid="{00000000-0005-0000-0000-0000C6050000}"/>
    <cellStyle name="Arial 10" xfId="2145" xr:uid="{00000000-0005-0000-0000-0000C7050000}"/>
    <cellStyle name="Arial 10 2" xfId="2146" xr:uid="{00000000-0005-0000-0000-0000C8050000}"/>
    <cellStyle name="Arial 12" xfId="2147" xr:uid="{00000000-0005-0000-0000-0000C9050000}"/>
    <cellStyle name="Arial 12 2" xfId="2148" xr:uid="{00000000-0005-0000-0000-0000CA050000}"/>
    <cellStyle name="Assumption" xfId="2149" xr:uid="{00000000-0005-0000-0000-0000CB050000}"/>
    <cellStyle name="AÞ¸¶ [0]_INQUIRY ¿µ¾÷AßAø " xfId="2150" xr:uid="{00000000-0005-0000-0000-0000CC050000}"/>
    <cellStyle name="AÞ¸¶_INQUIRY ¿µ¾÷AßAø " xfId="2151" xr:uid="{00000000-0005-0000-0000-0000CD050000}"/>
    <cellStyle name="Avertissement" xfId="16" builtinId="11" customBuiltin="1"/>
    <cellStyle name="Avertissement 2" xfId="2152" xr:uid="{00000000-0005-0000-0000-0000CF050000}"/>
    <cellStyle name="background" xfId="2153" xr:uid="{00000000-0005-0000-0000-0000D0050000}"/>
    <cellStyle name="background 2" xfId="2154" xr:uid="{00000000-0005-0000-0000-0000D1050000}"/>
    <cellStyle name="Bad 2" xfId="306" xr:uid="{00000000-0005-0000-0000-0000D2050000}"/>
    <cellStyle name="Bad 2 2" xfId="307" xr:uid="{00000000-0005-0000-0000-0000D3050000}"/>
    <cellStyle name="Bad 3" xfId="2155" xr:uid="{00000000-0005-0000-0000-0000D4050000}"/>
    <cellStyle name="Bad 4" xfId="2156" xr:uid="{00000000-0005-0000-0000-0000D5050000}"/>
    <cellStyle name="Bad 5" xfId="2157" xr:uid="{00000000-0005-0000-0000-0000D6050000}"/>
    <cellStyle name="Bad 6" xfId="2158" xr:uid="{00000000-0005-0000-0000-0000D7050000}"/>
    <cellStyle name="Blank" xfId="2159" xr:uid="{00000000-0005-0000-0000-0000D8050000}"/>
    <cellStyle name="BM Input" xfId="2160" xr:uid="{00000000-0005-0000-0000-0000D9050000}"/>
    <cellStyle name="BM Input 2" xfId="2161" xr:uid="{00000000-0005-0000-0000-0000DA050000}"/>
    <cellStyle name="BM Input 3" xfId="2162" xr:uid="{00000000-0005-0000-0000-0000DB050000}"/>
    <cellStyle name="Body" xfId="2163" xr:uid="{00000000-0005-0000-0000-0000DC050000}"/>
    <cellStyle name="Bold/Border" xfId="2164" xr:uid="{00000000-0005-0000-0000-0000DD050000}"/>
    <cellStyle name="Bom" xfId="2165" xr:uid="{00000000-0005-0000-0000-0000DE050000}"/>
    <cellStyle name="Border Heavy" xfId="2166" xr:uid="{00000000-0005-0000-0000-0000DF050000}"/>
    <cellStyle name="Border Thin" xfId="2167" xr:uid="{00000000-0005-0000-0000-0000E0050000}"/>
    <cellStyle name="British Pound" xfId="2168" xr:uid="{00000000-0005-0000-0000-0000E1050000}"/>
    <cellStyle name="British Pound 2" xfId="2169" xr:uid="{00000000-0005-0000-0000-0000E2050000}"/>
    <cellStyle name="Budget" xfId="2170" xr:uid="{00000000-0005-0000-0000-0000E3050000}"/>
    <cellStyle name="Buena" xfId="308" xr:uid="{00000000-0005-0000-0000-0000E4050000}"/>
    <cellStyle name="Bullet" xfId="2171" xr:uid="{00000000-0005-0000-0000-0000E5050000}"/>
    <cellStyle name="C?AØ_¿µ¾÷CoE² " xfId="2172" xr:uid="{00000000-0005-0000-0000-0000E6050000}"/>
    <cellStyle name="Calc" xfId="2173" xr:uid="{00000000-0005-0000-0000-0000E7050000}"/>
    <cellStyle name="Calc -" xfId="2174" xr:uid="{00000000-0005-0000-0000-0000E8050000}"/>
    <cellStyle name="Calc $" xfId="2175" xr:uid="{00000000-0005-0000-0000-0000E9050000}"/>
    <cellStyle name="Calc %" xfId="2176" xr:uid="{00000000-0005-0000-0000-0000EA050000}"/>
    <cellStyle name="Calc £" xfId="2177" xr:uid="{00000000-0005-0000-0000-0000EB050000}"/>
    <cellStyle name="Calc €" xfId="2178" xr:uid="{00000000-0005-0000-0000-0000EC050000}"/>
    <cellStyle name="Calc 2" xfId="2179" xr:uid="{00000000-0005-0000-0000-0000ED050000}"/>
    <cellStyle name="Calc DDMMYY" xfId="2180" xr:uid="{00000000-0005-0000-0000-0000EE050000}"/>
    <cellStyle name="Calc DDMMYY 2" xfId="2181" xr:uid="{00000000-0005-0000-0000-0000EF050000}"/>
    <cellStyle name="Calcul" xfId="13" builtinId="22" customBuiltin="1"/>
    <cellStyle name="Calcul 2" xfId="2182" xr:uid="{00000000-0005-0000-0000-0000F1050000}"/>
    <cellStyle name="Calculation 2" xfId="309" xr:uid="{00000000-0005-0000-0000-0000F2050000}"/>
    <cellStyle name="Calculation 2 2" xfId="310" xr:uid="{00000000-0005-0000-0000-0000F3050000}"/>
    <cellStyle name="Calculation 3" xfId="2183" xr:uid="{00000000-0005-0000-0000-0000F4050000}"/>
    <cellStyle name="Calculation 4" xfId="2184" xr:uid="{00000000-0005-0000-0000-0000F5050000}"/>
    <cellStyle name="Calculation 5" xfId="2185" xr:uid="{00000000-0005-0000-0000-0000F6050000}"/>
    <cellStyle name="Calculation 6" xfId="2186" xr:uid="{00000000-0005-0000-0000-0000F7050000}"/>
    <cellStyle name="Cálculo" xfId="311" xr:uid="{00000000-0005-0000-0000-0000F8050000}"/>
    <cellStyle name="CALDAS" xfId="2187" xr:uid="{00000000-0005-0000-0000-0000F9050000}"/>
    <cellStyle name="Case" xfId="2188" xr:uid="{00000000-0005-0000-0000-0000FA050000}"/>
    <cellStyle name="Case 2" xfId="2189" xr:uid="{00000000-0005-0000-0000-0000FB050000}"/>
    <cellStyle name="cd" xfId="2190" xr:uid="{00000000-0005-0000-0000-0000FC050000}"/>
    <cellStyle name="cd 2" xfId="2191" xr:uid="{00000000-0005-0000-0000-0000FD050000}"/>
    <cellStyle name="Celda de comprobación" xfId="312" xr:uid="{00000000-0005-0000-0000-0000FE050000}"/>
    <cellStyle name="Celda vinculada" xfId="313" xr:uid="{00000000-0005-0000-0000-0000FF050000}"/>
    <cellStyle name="Celle" xfId="314" xr:uid="{00000000-0005-0000-0000-000000060000}"/>
    <cellStyle name="Cellule liée" xfId="14" builtinId="24" customBuiltin="1"/>
    <cellStyle name="Cellule liée 2" xfId="2192" xr:uid="{00000000-0005-0000-0000-000002060000}"/>
    <cellStyle name="Célula de Verificação" xfId="2193" xr:uid="{00000000-0005-0000-0000-000003060000}"/>
    <cellStyle name="Célula de Verificação 2" xfId="2869" xr:uid="{00000000-0005-0000-0000-000004060000}"/>
    <cellStyle name="Célula Vinculada" xfId="2194" xr:uid="{00000000-0005-0000-0000-000005060000}"/>
    <cellStyle name="Check Cell 2" xfId="315" xr:uid="{00000000-0005-0000-0000-000006060000}"/>
    <cellStyle name="Check Cell 2 2" xfId="316" xr:uid="{00000000-0005-0000-0000-000007060000}"/>
    <cellStyle name="Check Cell 2 3" xfId="2195" xr:uid="{00000000-0005-0000-0000-000008060000}"/>
    <cellStyle name="Check Cell 3" xfId="2196" xr:uid="{00000000-0005-0000-0000-000009060000}"/>
    <cellStyle name="Check Cell 4" xfId="2197" xr:uid="{00000000-0005-0000-0000-00000A060000}"/>
    <cellStyle name="Check Cell 4 2" xfId="2870" xr:uid="{00000000-0005-0000-0000-00000B060000}"/>
    <cellStyle name="Check Cell 5" xfId="2198" xr:uid="{00000000-0005-0000-0000-00000C060000}"/>
    <cellStyle name="Check Cell 5 2" xfId="2871" xr:uid="{00000000-0005-0000-0000-00000D060000}"/>
    <cellStyle name="Check Cell 6" xfId="2199" xr:uid="{00000000-0005-0000-0000-00000E060000}"/>
    <cellStyle name="Check Cell 6 2" xfId="2872" xr:uid="{00000000-0005-0000-0000-00000F060000}"/>
    <cellStyle name="Chk -" xfId="2200" xr:uid="{00000000-0005-0000-0000-000010060000}"/>
    <cellStyle name="Chk $" xfId="2201" xr:uid="{00000000-0005-0000-0000-000011060000}"/>
    <cellStyle name="Chk %" xfId="2202" xr:uid="{00000000-0005-0000-0000-000012060000}"/>
    <cellStyle name="Chk £" xfId="2203" xr:uid="{00000000-0005-0000-0000-000013060000}"/>
    <cellStyle name="Chk €" xfId="2204" xr:uid="{00000000-0005-0000-0000-000014060000}"/>
    <cellStyle name="Chk DDMMYY" xfId="2205" xr:uid="{00000000-0005-0000-0000-000015060000}"/>
    <cellStyle name="Chk DDMMYY 2" xfId="2206" xr:uid="{00000000-0005-0000-0000-000016060000}"/>
    <cellStyle name="Clarify" xfId="2207" xr:uid="{00000000-0005-0000-0000-000017060000}"/>
    <cellStyle name="Code" xfId="2208" xr:uid="{00000000-0005-0000-0000-000018060000}"/>
    <cellStyle name="Code 2" xfId="2209" xr:uid="{00000000-0005-0000-0000-000019060000}"/>
    <cellStyle name="Code Section" xfId="2210" xr:uid="{00000000-0005-0000-0000-00001A060000}"/>
    <cellStyle name="ColBlue" xfId="317" xr:uid="{00000000-0005-0000-0000-00001B060000}"/>
    <cellStyle name="ColC" xfId="2211" xr:uid="{00000000-0005-0000-0000-00001C060000}"/>
    <cellStyle name="ColD" xfId="2212" xr:uid="{00000000-0005-0000-0000-00001D060000}"/>
    <cellStyle name="ColGreen" xfId="318" xr:uid="{00000000-0005-0000-0000-00001E060000}"/>
    <cellStyle name="ColRed" xfId="319" xr:uid="{00000000-0005-0000-0000-00001F060000}"/>
    <cellStyle name="ColumnHeading" xfId="320" xr:uid="{00000000-0005-0000-0000-000020060000}"/>
    <cellStyle name="Comma  - Style1" xfId="321" xr:uid="{00000000-0005-0000-0000-000021060000}"/>
    <cellStyle name="Comma  - Style1 2" xfId="2213" xr:uid="{00000000-0005-0000-0000-000022060000}"/>
    <cellStyle name="Comma  - Style2" xfId="322" xr:uid="{00000000-0005-0000-0000-000023060000}"/>
    <cellStyle name="Comma  - Style2 2" xfId="2214" xr:uid="{00000000-0005-0000-0000-000024060000}"/>
    <cellStyle name="Comma  - Style3" xfId="323" xr:uid="{00000000-0005-0000-0000-000025060000}"/>
    <cellStyle name="Comma  - Style3 2" xfId="2215" xr:uid="{00000000-0005-0000-0000-000026060000}"/>
    <cellStyle name="Comma  - Style4" xfId="324" xr:uid="{00000000-0005-0000-0000-000027060000}"/>
    <cellStyle name="Comma  - Style4 2" xfId="2216" xr:uid="{00000000-0005-0000-0000-000028060000}"/>
    <cellStyle name="Comma  - Style5" xfId="325" xr:uid="{00000000-0005-0000-0000-000029060000}"/>
    <cellStyle name="Comma  - Style5 2" xfId="2217" xr:uid="{00000000-0005-0000-0000-00002A060000}"/>
    <cellStyle name="Comma  - Style6" xfId="326" xr:uid="{00000000-0005-0000-0000-00002B060000}"/>
    <cellStyle name="Comma  - Style6 2" xfId="2218" xr:uid="{00000000-0005-0000-0000-00002C060000}"/>
    <cellStyle name="Comma  - Style7" xfId="327" xr:uid="{00000000-0005-0000-0000-00002D060000}"/>
    <cellStyle name="Comma  - Style7 2" xfId="2219" xr:uid="{00000000-0005-0000-0000-00002E060000}"/>
    <cellStyle name="Comma  - Style8" xfId="328" xr:uid="{00000000-0005-0000-0000-00002F060000}"/>
    <cellStyle name="Comma  - Style8 2" xfId="2220" xr:uid="{00000000-0005-0000-0000-000030060000}"/>
    <cellStyle name="Comma (1)" xfId="329" xr:uid="{00000000-0005-0000-0000-000031060000}"/>
    <cellStyle name="Comma (2)" xfId="330" xr:uid="{00000000-0005-0000-0000-000032060000}"/>
    <cellStyle name="Comma [1]" xfId="2221" xr:uid="{00000000-0005-0000-0000-000033060000}"/>
    <cellStyle name="Comma [2]" xfId="2222" xr:uid="{00000000-0005-0000-0000-000034060000}"/>
    <cellStyle name="Comma [3]" xfId="2223" xr:uid="{00000000-0005-0000-0000-000035060000}"/>
    <cellStyle name="Comma 0" xfId="331" xr:uid="{00000000-0005-0000-0000-000036060000}"/>
    <cellStyle name="Comma 10" xfId="332" xr:uid="{00000000-0005-0000-0000-000037060000}"/>
    <cellStyle name="Comma 10 2" xfId="2224" xr:uid="{00000000-0005-0000-0000-000038060000}"/>
    <cellStyle name="Comma 11" xfId="333" xr:uid="{00000000-0005-0000-0000-000039060000}"/>
    <cellStyle name="Comma 11 2" xfId="2225" xr:uid="{00000000-0005-0000-0000-00003A060000}"/>
    <cellStyle name="Comma 12" xfId="334" xr:uid="{00000000-0005-0000-0000-00003B060000}"/>
    <cellStyle name="Comma 12 2" xfId="335" xr:uid="{00000000-0005-0000-0000-00003C060000}"/>
    <cellStyle name="Comma 12 3" xfId="2226" xr:uid="{00000000-0005-0000-0000-00003D060000}"/>
    <cellStyle name="Comma 13" xfId="336" xr:uid="{00000000-0005-0000-0000-00003E060000}"/>
    <cellStyle name="Comma 13 2" xfId="2227" xr:uid="{00000000-0005-0000-0000-00003F060000}"/>
    <cellStyle name="Comma 14" xfId="337" xr:uid="{00000000-0005-0000-0000-000040060000}"/>
    <cellStyle name="Comma 14 2" xfId="2228" xr:uid="{00000000-0005-0000-0000-000041060000}"/>
    <cellStyle name="Comma 15" xfId="338" xr:uid="{00000000-0005-0000-0000-000042060000}"/>
    <cellStyle name="Comma 15 2" xfId="2229" xr:uid="{00000000-0005-0000-0000-000043060000}"/>
    <cellStyle name="Comma 16" xfId="339" xr:uid="{00000000-0005-0000-0000-000044060000}"/>
    <cellStyle name="Comma 16 2" xfId="2230" xr:uid="{00000000-0005-0000-0000-000045060000}"/>
    <cellStyle name="Comma 17" xfId="340" xr:uid="{00000000-0005-0000-0000-000046060000}"/>
    <cellStyle name="Comma 17 2" xfId="2231" xr:uid="{00000000-0005-0000-0000-000047060000}"/>
    <cellStyle name="Comma 18" xfId="341" xr:uid="{00000000-0005-0000-0000-000048060000}"/>
    <cellStyle name="Comma 18 2" xfId="2232" xr:uid="{00000000-0005-0000-0000-000049060000}"/>
    <cellStyle name="Comma 19" xfId="342" xr:uid="{00000000-0005-0000-0000-00004A060000}"/>
    <cellStyle name="Comma 19 2" xfId="2233" xr:uid="{00000000-0005-0000-0000-00004B060000}"/>
    <cellStyle name="Comma 2" xfId="343" xr:uid="{00000000-0005-0000-0000-00004C060000}"/>
    <cellStyle name="Comma 2 2" xfId="344" xr:uid="{00000000-0005-0000-0000-00004D060000}"/>
    <cellStyle name="Comma 2 2 2" xfId="345" xr:uid="{00000000-0005-0000-0000-00004E060000}"/>
    <cellStyle name="Comma 2 3" xfId="346" xr:uid="{00000000-0005-0000-0000-00004F060000}"/>
    <cellStyle name="Comma 2 3 2" xfId="347" xr:uid="{00000000-0005-0000-0000-000050060000}"/>
    <cellStyle name="Comma 2 3 2 2" xfId="2236" xr:uid="{00000000-0005-0000-0000-000051060000}"/>
    <cellStyle name="Comma 2 3 3" xfId="2237" xr:uid="{00000000-0005-0000-0000-000052060000}"/>
    <cellStyle name="Comma 2 3 4" xfId="2235" xr:uid="{00000000-0005-0000-0000-000053060000}"/>
    <cellStyle name="Comma 2 4" xfId="348" xr:uid="{00000000-0005-0000-0000-000054060000}"/>
    <cellStyle name="Comma 2 5" xfId="349" xr:uid="{00000000-0005-0000-0000-000055060000}"/>
    <cellStyle name="Comma 2 6" xfId="350" xr:uid="{00000000-0005-0000-0000-000056060000}"/>
    <cellStyle name="Comma 2 7" xfId="2234" xr:uid="{00000000-0005-0000-0000-000057060000}"/>
    <cellStyle name="Comma 2_FA REC 3" xfId="2238" xr:uid="{00000000-0005-0000-0000-000058060000}"/>
    <cellStyle name="Comma 20" xfId="351" xr:uid="{00000000-0005-0000-0000-000059060000}"/>
    <cellStyle name="Comma 20 2" xfId="2239" xr:uid="{00000000-0005-0000-0000-00005A060000}"/>
    <cellStyle name="Comma 21" xfId="2240" xr:uid="{00000000-0005-0000-0000-00005B060000}"/>
    <cellStyle name="Comma 3" xfId="352" xr:uid="{00000000-0005-0000-0000-00005C060000}"/>
    <cellStyle name="Comma 3 2" xfId="353" xr:uid="{00000000-0005-0000-0000-00005D060000}"/>
    <cellStyle name="Comma 3 2 2" xfId="2242" xr:uid="{00000000-0005-0000-0000-00005E060000}"/>
    <cellStyle name="Comma 3 3" xfId="354" xr:uid="{00000000-0005-0000-0000-00005F060000}"/>
    <cellStyle name="Comma 3 3 2" xfId="2243" xr:uid="{00000000-0005-0000-0000-000060060000}"/>
    <cellStyle name="Comma 3 4" xfId="355" xr:uid="{00000000-0005-0000-0000-000061060000}"/>
    <cellStyle name="Comma 3 5" xfId="2241" xr:uid="{00000000-0005-0000-0000-000062060000}"/>
    <cellStyle name="Comma 4" xfId="356" xr:uid="{00000000-0005-0000-0000-000063060000}"/>
    <cellStyle name="Comma 4 2" xfId="357" xr:uid="{00000000-0005-0000-0000-000064060000}"/>
    <cellStyle name="Comma 4 2 2" xfId="2246" xr:uid="{00000000-0005-0000-0000-000065060000}"/>
    <cellStyle name="Comma 4 2 3" xfId="2247" xr:uid="{00000000-0005-0000-0000-000066060000}"/>
    <cellStyle name="Comma 4 2 4" xfId="2245" xr:uid="{00000000-0005-0000-0000-000067060000}"/>
    <cellStyle name="Comma 4 3" xfId="358" xr:uid="{00000000-0005-0000-0000-000068060000}"/>
    <cellStyle name="Comma 4 3 2" xfId="2248" xr:uid="{00000000-0005-0000-0000-000069060000}"/>
    <cellStyle name="Comma 4 4" xfId="2244" xr:uid="{00000000-0005-0000-0000-00006A060000}"/>
    <cellStyle name="Comma 5" xfId="359" xr:uid="{00000000-0005-0000-0000-00006B060000}"/>
    <cellStyle name="Comma 5 2" xfId="360" xr:uid="{00000000-0005-0000-0000-00006C060000}"/>
    <cellStyle name="Comma 5 2 2" xfId="2251" xr:uid="{00000000-0005-0000-0000-00006D060000}"/>
    <cellStyle name="Comma 5 2 3" xfId="2252" xr:uid="{00000000-0005-0000-0000-00006E060000}"/>
    <cellStyle name="Comma 5 2 4" xfId="2250" xr:uid="{00000000-0005-0000-0000-00006F060000}"/>
    <cellStyle name="Comma 5 3" xfId="361" xr:uid="{00000000-0005-0000-0000-000070060000}"/>
    <cellStyle name="Comma 5 3 2" xfId="2253" xr:uid="{00000000-0005-0000-0000-000071060000}"/>
    <cellStyle name="Comma 5 4" xfId="2249" xr:uid="{00000000-0005-0000-0000-000072060000}"/>
    <cellStyle name="Comma 5_FA REC 3" xfId="2254" xr:uid="{00000000-0005-0000-0000-000073060000}"/>
    <cellStyle name="Comma 6" xfId="362" xr:uid="{00000000-0005-0000-0000-000074060000}"/>
    <cellStyle name="Comma 6 2" xfId="363" xr:uid="{00000000-0005-0000-0000-000075060000}"/>
    <cellStyle name="Comma 6 2 2" xfId="2256" xr:uid="{00000000-0005-0000-0000-000076060000}"/>
    <cellStyle name="Comma 6 3" xfId="2257" xr:uid="{00000000-0005-0000-0000-000077060000}"/>
    <cellStyle name="Comma 6 4" xfId="2255" xr:uid="{00000000-0005-0000-0000-000078060000}"/>
    <cellStyle name="Comma 7" xfId="364" xr:uid="{00000000-0005-0000-0000-000079060000}"/>
    <cellStyle name="Comma 7 2" xfId="2258" xr:uid="{00000000-0005-0000-0000-00007A060000}"/>
    <cellStyle name="Comma 8" xfId="365" xr:uid="{00000000-0005-0000-0000-00007B060000}"/>
    <cellStyle name="Comma 8 2" xfId="2260" xr:uid="{00000000-0005-0000-0000-00007C060000}"/>
    <cellStyle name="Comma 8 3" xfId="2261" xr:uid="{00000000-0005-0000-0000-00007D060000}"/>
    <cellStyle name="Comma 8 4" xfId="2259" xr:uid="{00000000-0005-0000-0000-00007E060000}"/>
    <cellStyle name="Comma 9" xfId="366" xr:uid="{00000000-0005-0000-0000-00007F060000}"/>
    <cellStyle name="Comma 9 2" xfId="2262" xr:uid="{00000000-0005-0000-0000-000080060000}"/>
    <cellStyle name="Comma, 1 dec" xfId="367" xr:uid="{00000000-0005-0000-0000-000081060000}"/>
    <cellStyle name="Comma, 1 dec 2" xfId="368" xr:uid="{00000000-0005-0000-0000-000082060000}"/>
    <cellStyle name="Comma, 1 dec 3" xfId="369" xr:uid="{00000000-0005-0000-0000-000083060000}"/>
    <cellStyle name="Comma, 1 dec 4" xfId="370" xr:uid="{00000000-0005-0000-0000-000084060000}"/>
    <cellStyle name="Comma?GCPM premium skills" xfId="371" xr:uid="{00000000-0005-0000-0000-000085060000}"/>
    <cellStyle name="Comma_Budget 2009 #213 WBG" xfId="372" xr:uid="{00000000-0005-0000-0000-000086060000}"/>
    <cellStyle name="CommaDU" xfId="2263" xr:uid="{00000000-0005-0000-0000-000087060000}"/>
    <cellStyle name="CommaɟGCPM premium skills" xfId="373" xr:uid="{00000000-0005-0000-0000-000088060000}"/>
    <cellStyle name="CommaU" xfId="2264" xr:uid="{00000000-0005-0000-0000-000089060000}"/>
    <cellStyle name="Commentaire 2" xfId="374" xr:uid="{00000000-0005-0000-0000-00008A060000}"/>
    <cellStyle name="Commentaire 2 2" xfId="375" xr:uid="{00000000-0005-0000-0000-00008B060000}"/>
    <cellStyle name="Commentaire 2 2 2" xfId="376" xr:uid="{00000000-0005-0000-0000-00008C060000}"/>
    <cellStyle name="Commentaire 2 3" xfId="377" xr:uid="{00000000-0005-0000-0000-00008D060000}"/>
    <cellStyle name="Commentaire 2 4" xfId="2265" xr:uid="{00000000-0005-0000-0000-00008E060000}"/>
    <cellStyle name="Commentaire 3" xfId="378" xr:uid="{00000000-0005-0000-0000-00008F060000}"/>
    <cellStyle name="Commentaire 3 2" xfId="379" xr:uid="{00000000-0005-0000-0000-000090060000}"/>
    <cellStyle name="Curr" xfId="2266" xr:uid="{00000000-0005-0000-0000-000091060000}"/>
    <cellStyle name="Curr 2" xfId="2267" xr:uid="{00000000-0005-0000-0000-000092060000}"/>
    <cellStyle name="CurrDU" xfId="2268" xr:uid="{00000000-0005-0000-0000-000093060000}"/>
    <cellStyle name="Currency (0)" xfId="380" xr:uid="{00000000-0005-0000-0000-000094060000}"/>
    <cellStyle name="Currency (2)" xfId="381" xr:uid="{00000000-0005-0000-0000-000095060000}"/>
    <cellStyle name="Currency [$0]" xfId="2269" xr:uid="{00000000-0005-0000-0000-000096060000}"/>
    <cellStyle name="Currency [$0] 2" xfId="2270" xr:uid="{00000000-0005-0000-0000-000097060000}"/>
    <cellStyle name="Currency [£0]" xfId="2271" xr:uid="{00000000-0005-0000-0000-000098060000}"/>
    <cellStyle name="Currency [1]" xfId="2272" xr:uid="{00000000-0005-0000-0000-000099060000}"/>
    <cellStyle name="Currency [1] 2" xfId="2273" xr:uid="{00000000-0005-0000-0000-00009A060000}"/>
    <cellStyle name="Currency [2]" xfId="2274" xr:uid="{00000000-0005-0000-0000-00009B060000}"/>
    <cellStyle name="Currency [3]" xfId="2275" xr:uid="{00000000-0005-0000-0000-00009C060000}"/>
    <cellStyle name="Currency 0" xfId="382" xr:uid="{00000000-0005-0000-0000-00009D060000}"/>
    <cellStyle name="Currency 2" xfId="383" xr:uid="{00000000-0005-0000-0000-00009E060000}"/>
    <cellStyle name="Currency 2 2" xfId="384" xr:uid="{00000000-0005-0000-0000-00009F060000}"/>
    <cellStyle name="Currency 2 2 2" xfId="2277" xr:uid="{00000000-0005-0000-0000-0000A0060000}"/>
    <cellStyle name="Currency 2 3" xfId="385" xr:uid="{00000000-0005-0000-0000-0000A1060000}"/>
    <cellStyle name="Currency 2 3 2" xfId="2278" xr:uid="{00000000-0005-0000-0000-0000A2060000}"/>
    <cellStyle name="Currency 2 4" xfId="2276" xr:uid="{00000000-0005-0000-0000-0000A3060000}"/>
    <cellStyle name="Currency 3" xfId="386" xr:uid="{00000000-0005-0000-0000-0000A4060000}"/>
    <cellStyle name="Currency 3 2" xfId="387" xr:uid="{00000000-0005-0000-0000-0000A5060000}"/>
    <cellStyle name="Currency 3 2 2" xfId="2280" xr:uid="{00000000-0005-0000-0000-0000A6060000}"/>
    <cellStyle name="Currency 3 3" xfId="2279" xr:uid="{00000000-0005-0000-0000-0000A7060000}"/>
    <cellStyle name="Currency 4" xfId="388" xr:uid="{00000000-0005-0000-0000-0000A8060000}"/>
    <cellStyle name="Currency 4 2" xfId="2281" xr:uid="{00000000-0005-0000-0000-0000A9060000}"/>
    <cellStyle name="CurrU" xfId="2282" xr:uid="{00000000-0005-0000-0000-0000AA060000}"/>
    <cellStyle name="Dash" xfId="2283" xr:uid="{00000000-0005-0000-0000-0000AB060000}"/>
    <cellStyle name="Date" xfId="2284" xr:uid="{00000000-0005-0000-0000-0000AC060000}"/>
    <cellStyle name="Date 2" xfId="2285" xr:uid="{00000000-0005-0000-0000-0000AD060000}"/>
    <cellStyle name="Date Aligned" xfId="389" xr:uid="{00000000-0005-0000-0000-0000AE060000}"/>
    <cellStyle name="DateTime" xfId="2286" xr:uid="{00000000-0005-0000-0000-0000AF060000}"/>
    <cellStyle name="DateTime 2" xfId="2287" xr:uid="{00000000-0005-0000-0000-0000B0060000}"/>
    <cellStyle name="dohm" xfId="2288" xr:uid="{00000000-0005-0000-0000-0000B1060000}"/>
    <cellStyle name="dohm1" xfId="2289" xr:uid="{00000000-0005-0000-0000-0000B2060000}"/>
    <cellStyle name="dohm2" xfId="2290" xr:uid="{00000000-0005-0000-0000-0000B3060000}"/>
    <cellStyle name="Dotted Line" xfId="390" xr:uid="{00000000-0005-0000-0000-0000B4060000}"/>
    <cellStyle name="Double Accounting" xfId="2291" xr:uid="{00000000-0005-0000-0000-0000B5060000}"/>
    <cellStyle name="Empty1" xfId="2292" xr:uid="{00000000-0005-0000-0000-0000B6060000}"/>
    <cellStyle name="Empty1 2" xfId="2293" xr:uid="{00000000-0005-0000-0000-0000B7060000}"/>
    <cellStyle name="Encabezado 4" xfId="391" xr:uid="{00000000-0005-0000-0000-0000B8060000}"/>
    <cellStyle name="Ênfase1" xfId="2294" xr:uid="{00000000-0005-0000-0000-0000B9060000}"/>
    <cellStyle name="Ênfase2" xfId="2295" xr:uid="{00000000-0005-0000-0000-0000BA060000}"/>
    <cellStyle name="Ênfase3" xfId="2296" xr:uid="{00000000-0005-0000-0000-0000BB060000}"/>
    <cellStyle name="Ênfase4" xfId="2297" xr:uid="{00000000-0005-0000-0000-0000BC060000}"/>
    <cellStyle name="Ênfase5" xfId="2298" xr:uid="{00000000-0005-0000-0000-0000BD060000}"/>
    <cellStyle name="Ênfase6" xfId="2299" xr:uid="{00000000-0005-0000-0000-0000BE060000}"/>
    <cellStyle name="Énfasis1" xfId="392" xr:uid="{00000000-0005-0000-0000-0000BF060000}"/>
    <cellStyle name="Énfasis2" xfId="393" xr:uid="{00000000-0005-0000-0000-0000C0060000}"/>
    <cellStyle name="Énfasis3" xfId="394" xr:uid="{00000000-0005-0000-0000-0000C1060000}"/>
    <cellStyle name="Énfasis4" xfId="395" xr:uid="{00000000-0005-0000-0000-0000C2060000}"/>
    <cellStyle name="Énfasis5" xfId="396" xr:uid="{00000000-0005-0000-0000-0000C3060000}"/>
    <cellStyle name="Énfasis6" xfId="397" xr:uid="{00000000-0005-0000-0000-0000C4060000}"/>
    <cellStyle name="Entrada" xfId="398" xr:uid="{00000000-0005-0000-0000-0000C5060000}"/>
    <cellStyle name="Entrée" xfId="11" builtinId="20" customBuiltin="1"/>
    <cellStyle name="Entrée 2" xfId="2300" xr:uid="{00000000-0005-0000-0000-0000C7060000}"/>
    <cellStyle name="Eric1" xfId="2301" xr:uid="{00000000-0005-0000-0000-0000C8060000}"/>
    <cellStyle name="Eric1 2" xfId="2302" xr:uid="{00000000-0005-0000-0000-0000C9060000}"/>
    <cellStyle name="Eric2" xfId="2303" xr:uid="{00000000-0005-0000-0000-0000CA060000}"/>
    <cellStyle name="Eric3" xfId="2304" xr:uid="{00000000-0005-0000-0000-0000CB060000}"/>
    <cellStyle name="Error_Check" xfId="2305" xr:uid="{00000000-0005-0000-0000-0000CC060000}"/>
    <cellStyle name="ErrorMessage" xfId="2306" xr:uid="{00000000-0005-0000-0000-0000CD060000}"/>
    <cellStyle name="Escalation" xfId="2307" xr:uid="{00000000-0005-0000-0000-0000CE060000}"/>
    <cellStyle name="Euro" xfId="399" xr:uid="{00000000-0005-0000-0000-0000CF060000}"/>
    <cellStyle name="Euro 2" xfId="400" xr:uid="{00000000-0005-0000-0000-0000D0060000}"/>
    <cellStyle name="Euro 2 2" xfId="2310" xr:uid="{00000000-0005-0000-0000-0000D1060000}"/>
    <cellStyle name="Euro 2 3" xfId="2309" xr:uid="{00000000-0005-0000-0000-0000D2060000}"/>
    <cellStyle name="Euro 2 4" xfId="2879" xr:uid="{00000000-0005-0000-0000-0000D3060000}"/>
    <cellStyle name="Euro 3" xfId="401" xr:uid="{00000000-0005-0000-0000-0000D4060000}"/>
    <cellStyle name="Euro 3 2" xfId="2311" xr:uid="{00000000-0005-0000-0000-0000D5060000}"/>
    <cellStyle name="Euro 4" xfId="402" xr:uid="{00000000-0005-0000-0000-0000D6060000}"/>
    <cellStyle name="Euro 4 2" xfId="2312" xr:uid="{00000000-0005-0000-0000-0000D7060000}"/>
    <cellStyle name="Euro 5" xfId="2313" xr:uid="{00000000-0005-0000-0000-0000D8060000}"/>
    <cellStyle name="Euro 6" xfId="2308" xr:uid="{00000000-0005-0000-0000-0000D9060000}"/>
    <cellStyle name="Euro 7" xfId="2878" xr:uid="{00000000-0005-0000-0000-0000DA060000}"/>
    <cellStyle name="Ex_MISTO" xfId="2314" xr:uid="{00000000-0005-0000-0000-0000DB060000}"/>
    <cellStyle name="Explanation" xfId="2315" xr:uid="{00000000-0005-0000-0000-0000DC060000}"/>
    <cellStyle name="Explanatory Text 2" xfId="403" xr:uid="{00000000-0005-0000-0000-0000DD060000}"/>
    <cellStyle name="Explanatory Text 2 2" xfId="404" xr:uid="{00000000-0005-0000-0000-0000DE060000}"/>
    <cellStyle name="Explanatory Text 3" xfId="2316" xr:uid="{00000000-0005-0000-0000-0000DF060000}"/>
    <cellStyle name="Explanatory Text 4" xfId="2317" xr:uid="{00000000-0005-0000-0000-0000E0060000}"/>
    <cellStyle name="Explanatory Text 5" xfId="2318" xr:uid="{00000000-0005-0000-0000-0000E1060000}"/>
    <cellStyle name="First Column" xfId="2319" xr:uid="{00000000-0005-0000-0000-0000E2060000}"/>
    <cellStyle name="First Column 2" xfId="2320" xr:uid="{00000000-0005-0000-0000-0000E3060000}"/>
    <cellStyle name="Fixed" xfId="2321" xr:uid="{00000000-0005-0000-0000-0000E4060000}"/>
    <cellStyle name="Fixed 2" xfId="2322" xr:uid="{00000000-0005-0000-0000-0000E5060000}"/>
    <cellStyle name="Footnote" xfId="405" xr:uid="{00000000-0005-0000-0000-0000E6060000}"/>
    <cellStyle name="Footnote 2" xfId="2323" xr:uid="{00000000-0005-0000-0000-0000E7060000}"/>
    <cellStyle name="frazione" xfId="406" xr:uid="{00000000-0005-0000-0000-0000E8060000}"/>
    <cellStyle name="fred" xfId="2324" xr:uid="{00000000-0005-0000-0000-0000E9060000}"/>
    <cellStyle name="Fred%" xfId="2325" xr:uid="{00000000-0005-0000-0000-0000EA060000}"/>
    <cellStyle name="Fred% 2" xfId="2326" xr:uid="{00000000-0005-0000-0000-0000EB060000}"/>
    <cellStyle name="Good 2" xfId="407" xr:uid="{00000000-0005-0000-0000-0000EC060000}"/>
    <cellStyle name="Good 2 2" xfId="408" xr:uid="{00000000-0005-0000-0000-0000ED060000}"/>
    <cellStyle name="Good 3" xfId="2327" xr:uid="{00000000-0005-0000-0000-0000EE060000}"/>
    <cellStyle name="Good 4" xfId="2328" xr:uid="{00000000-0005-0000-0000-0000EF060000}"/>
    <cellStyle name="Good 5" xfId="2329" xr:uid="{00000000-0005-0000-0000-0000F0060000}"/>
    <cellStyle name="Good 6" xfId="2330" xr:uid="{00000000-0005-0000-0000-0000F1060000}"/>
    <cellStyle name="Grey" xfId="409" xr:uid="{00000000-0005-0000-0000-0000F2060000}"/>
    <cellStyle name="Grey 2" xfId="2331" xr:uid="{00000000-0005-0000-0000-0000F3060000}"/>
    <cellStyle name="Hard number" xfId="410" xr:uid="{00000000-0005-0000-0000-0000F4060000}"/>
    <cellStyle name="Hard number 2" xfId="411" xr:uid="{00000000-0005-0000-0000-0000F5060000}"/>
    <cellStyle name="Hard number 2 2" xfId="412" xr:uid="{00000000-0005-0000-0000-0000F6060000}"/>
    <cellStyle name="Hard number 2 3" xfId="413" xr:uid="{00000000-0005-0000-0000-0000F7060000}"/>
    <cellStyle name="Hard number 3" xfId="414" xr:uid="{00000000-0005-0000-0000-0000F8060000}"/>
    <cellStyle name="Hard Percent" xfId="415" xr:uid="{00000000-0005-0000-0000-0000F9060000}"/>
    <cellStyle name="Header" xfId="416" xr:uid="{00000000-0005-0000-0000-0000FA060000}"/>
    <cellStyle name="Header 1" xfId="2333" xr:uid="{00000000-0005-0000-0000-0000FB060000}"/>
    <cellStyle name="Header 1 2" xfId="2334" xr:uid="{00000000-0005-0000-0000-0000FC060000}"/>
    <cellStyle name="HEADER 10" xfId="2873" xr:uid="{00000000-0005-0000-0000-0000FD060000}"/>
    <cellStyle name="Header 2" xfId="2335" xr:uid="{00000000-0005-0000-0000-0000FE060000}"/>
    <cellStyle name="Header 2 2" xfId="2336" xr:uid="{00000000-0005-0000-0000-0000FF060000}"/>
    <cellStyle name="Header 3" xfId="2337" xr:uid="{00000000-0005-0000-0000-000000070000}"/>
    <cellStyle name="Header 3 2" xfId="2338" xr:uid="{00000000-0005-0000-0000-000001070000}"/>
    <cellStyle name="Header 4" xfId="2339" xr:uid="{00000000-0005-0000-0000-000002070000}"/>
    <cellStyle name="Header 5" xfId="2340" xr:uid="{00000000-0005-0000-0000-000003070000}"/>
    <cellStyle name="Header 5 2" xfId="2341" xr:uid="{00000000-0005-0000-0000-000004070000}"/>
    <cellStyle name="Header 6" xfId="2342" xr:uid="{00000000-0005-0000-0000-000005070000}"/>
    <cellStyle name="Header 6 2" xfId="2343" xr:uid="{00000000-0005-0000-0000-000006070000}"/>
    <cellStyle name="HEADER 7" xfId="2332" xr:uid="{00000000-0005-0000-0000-000007070000}"/>
    <cellStyle name="HEADER 8" xfId="2874" xr:uid="{00000000-0005-0000-0000-000008070000}"/>
    <cellStyle name="HEADER 9" xfId="2868" xr:uid="{00000000-0005-0000-0000-000009070000}"/>
    <cellStyle name="Header1" xfId="417" xr:uid="{00000000-0005-0000-0000-00000A070000}"/>
    <cellStyle name="Header1 2" xfId="2344" xr:uid="{00000000-0005-0000-0000-00000B070000}"/>
    <cellStyle name="Header2" xfId="418" xr:uid="{00000000-0005-0000-0000-00000C070000}"/>
    <cellStyle name="Heading 1 2" xfId="419" xr:uid="{00000000-0005-0000-0000-00000D070000}"/>
    <cellStyle name="Heading 1 2 2" xfId="420" xr:uid="{00000000-0005-0000-0000-00000E070000}"/>
    <cellStyle name="Heading 1 3" xfId="2345" xr:uid="{00000000-0005-0000-0000-00000F070000}"/>
    <cellStyle name="Heading 1 4" xfId="2346" xr:uid="{00000000-0005-0000-0000-000010070000}"/>
    <cellStyle name="Heading 1 5" xfId="2347" xr:uid="{00000000-0005-0000-0000-000011070000}"/>
    <cellStyle name="Heading 2 2" xfId="421" xr:uid="{00000000-0005-0000-0000-000012070000}"/>
    <cellStyle name="Heading 2 2 2" xfId="422" xr:uid="{00000000-0005-0000-0000-000013070000}"/>
    <cellStyle name="Heading 2 3" xfId="2348" xr:uid="{00000000-0005-0000-0000-000014070000}"/>
    <cellStyle name="Heading 2 4" xfId="2349" xr:uid="{00000000-0005-0000-0000-000015070000}"/>
    <cellStyle name="Heading 2 5" xfId="2350" xr:uid="{00000000-0005-0000-0000-000016070000}"/>
    <cellStyle name="Heading 3 2" xfId="423" xr:uid="{00000000-0005-0000-0000-000017070000}"/>
    <cellStyle name="Heading 3 2 2" xfId="424" xr:uid="{00000000-0005-0000-0000-000018070000}"/>
    <cellStyle name="Heading 3 3" xfId="2351" xr:uid="{00000000-0005-0000-0000-000019070000}"/>
    <cellStyle name="Heading 3 4" xfId="2352" xr:uid="{00000000-0005-0000-0000-00001A070000}"/>
    <cellStyle name="Heading 3 5" xfId="2353" xr:uid="{00000000-0005-0000-0000-00001B070000}"/>
    <cellStyle name="Heading 4 2" xfId="425" xr:uid="{00000000-0005-0000-0000-00001C070000}"/>
    <cellStyle name="Heading 4 2 2" xfId="426" xr:uid="{00000000-0005-0000-0000-00001D070000}"/>
    <cellStyle name="Heading 4 3" xfId="2354" xr:uid="{00000000-0005-0000-0000-00001E070000}"/>
    <cellStyle name="Heading 4 4" xfId="2355" xr:uid="{00000000-0005-0000-0000-00001F070000}"/>
    <cellStyle name="Heading 4 5" xfId="2356" xr:uid="{00000000-0005-0000-0000-000020070000}"/>
    <cellStyle name="Heading1" xfId="2357" xr:uid="{00000000-0005-0000-0000-000021070000}"/>
    <cellStyle name="Heading2" xfId="2358" xr:uid="{00000000-0005-0000-0000-000022070000}"/>
    <cellStyle name="Heading2 2" xfId="2359" xr:uid="{00000000-0005-0000-0000-000023070000}"/>
    <cellStyle name="Heading3" xfId="2360" xr:uid="{00000000-0005-0000-0000-000024070000}"/>
    <cellStyle name="Headings" xfId="2361" xr:uid="{00000000-0005-0000-0000-000025070000}"/>
    <cellStyle name="Hidden" xfId="2362" xr:uid="{00000000-0005-0000-0000-000026070000}"/>
    <cellStyle name="HIGHLIGHT" xfId="2363" xr:uid="{00000000-0005-0000-0000-000027070000}"/>
    <cellStyle name="Historical" xfId="427" xr:uid="{00000000-0005-0000-0000-000028070000}"/>
    <cellStyle name="HUD" xfId="2364" xr:uid="{00000000-0005-0000-0000-000029070000}"/>
    <cellStyle name="HUD Forms" xfId="2365" xr:uid="{00000000-0005-0000-0000-00002A070000}"/>
    <cellStyle name="Hyperlink 2" xfId="2366" xr:uid="{00000000-0005-0000-0000-00002B070000}"/>
    <cellStyle name="Hyperlink 3" xfId="2367" xr:uid="{00000000-0005-0000-0000-00002C070000}"/>
    <cellStyle name="Hyperlink seguido_COF" xfId="2368" xr:uid="{00000000-0005-0000-0000-00002D070000}"/>
    <cellStyle name="Hypertextový odkaz" xfId="428" xr:uid="{00000000-0005-0000-0000-00002E070000}"/>
    <cellStyle name="Hypertextový odkaz 2" xfId="2880" xr:uid="{00000000-0005-0000-0000-00002F070000}"/>
    <cellStyle name="in2" xfId="2369" xr:uid="{00000000-0005-0000-0000-000030070000}"/>
    <cellStyle name="in2 2" xfId="2370" xr:uid="{00000000-0005-0000-0000-000031070000}"/>
    <cellStyle name="Incorrecto" xfId="429" xr:uid="{00000000-0005-0000-0000-000032070000}"/>
    <cellStyle name="Incorreto" xfId="2371" xr:uid="{00000000-0005-0000-0000-000033070000}"/>
    <cellStyle name="Input -" xfId="2372" xr:uid="{00000000-0005-0000-0000-000034070000}"/>
    <cellStyle name="Input $" xfId="2373" xr:uid="{00000000-0005-0000-0000-000035070000}"/>
    <cellStyle name="Input %" xfId="2374" xr:uid="{00000000-0005-0000-0000-000036070000}"/>
    <cellStyle name="Input [yellow]" xfId="430" xr:uid="{00000000-0005-0000-0000-000037070000}"/>
    <cellStyle name="Input [yellow] 2" xfId="2375" xr:uid="{00000000-0005-0000-0000-000038070000}"/>
    <cellStyle name="Input £" xfId="2376" xr:uid="{00000000-0005-0000-0000-000039070000}"/>
    <cellStyle name="Input €" xfId="2377" xr:uid="{00000000-0005-0000-0000-00003A070000}"/>
    <cellStyle name="Input 10" xfId="2378" xr:uid="{00000000-0005-0000-0000-00003B070000}"/>
    <cellStyle name="Input 11" xfId="2379" xr:uid="{00000000-0005-0000-0000-00003C070000}"/>
    <cellStyle name="Input 12" xfId="2380" xr:uid="{00000000-0005-0000-0000-00003D070000}"/>
    <cellStyle name="Input 13" xfId="2381" xr:uid="{00000000-0005-0000-0000-00003E070000}"/>
    <cellStyle name="Input 14" xfId="2382" xr:uid="{00000000-0005-0000-0000-00003F070000}"/>
    <cellStyle name="Input 15" xfId="2383" xr:uid="{00000000-0005-0000-0000-000040070000}"/>
    <cellStyle name="Input 16" xfId="2384" xr:uid="{00000000-0005-0000-0000-000041070000}"/>
    <cellStyle name="Input 17" xfId="2385" xr:uid="{00000000-0005-0000-0000-000042070000}"/>
    <cellStyle name="Input 18" xfId="2386" xr:uid="{00000000-0005-0000-0000-000043070000}"/>
    <cellStyle name="Input 19" xfId="2387" xr:uid="{00000000-0005-0000-0000-000044070000}"/>
    <cellStyle name="Input 2" xfId="431" xr:uid="{00000000-0005-0000-0000-000045070000}"/>
    <cellStyle name="Input 2 2" xfId="432" xr:uid="{00000000-0005-0000-0000-000046070000}"/>
    <cellStyle name="Input 20" xfId="2388" xr:uid="{00000000-0005-0000-0000-000047070000}"/>
    <cellStyle name="Input 21" xfId="2389" xr:uid="{00000000-0005-0000-0000-000048070000}"/>
    <cellStyle name="Input 22" xfId="2390" xr:uid="{00000000-0005-0000-0000-000049070000}"/>
    <cellStyle name="Input 23" xfId="2391" xr:uid="{00000000-0005-0000-0000-00004A070000}"/>
    <cellStyle name="Input 24" xfId="2392" xr:uid="{00000000-0005-0000-0000-00004B070000}"/>
    <cellStyle name="Input 25" xfId="2393" xr:uid="{00000000-0005-0000-0000-00004C070000}"/>
    <cellStyle name="Input 26" xfId="2394" xr:uid="{00000000-0005-0000-0000-00004D070000}"/>
    <cellStyle name="Input 27" xfId="2395" xr:uid="{00000000-0005-0000-0000-00004E070000}"/>
    <cellStyle name="Input 28" xfId="2396" xr:uid="{00000000-0005-0000-0000-00004F070000}"/>
    <cellStyle name="Input 29" xfId="2397" xr:uid="{00000000-0005-0000-0000-000050070000}"/>
    <cellStyle name="Input 3" xfId="433" xr:uid="{00000000-0005-0000-0000-000051070000}"/>
    <cellStyle name="Input 30" xfId="2398" xr:uid="{00000000-0005-0000-0000-000052070000}"/>
    <cellStyle name="Input 4" xfId="434" xr:uid="{00000000-0005-0000-0000-000053070000}"/>
    <cellStyle name="Input 4 2" xfId="2399" xr:uid="{00000000-0005-0000-0000-000054070000}"/>
    <cellStyle name="Input 5" xfId="2400" xr:uid="{00000000-0005-0000-0000-000055070000}"/>
    <cellStyle name="Input 6" xfId="2401" xr:uid="{00000000-0005-0000-0000-000056070000}"/>
    <cellStyle name="Input 7" xfId="2402" xr:uid="{00000000-0005-0000-0000-000057070000}"/>
    <cellStyle name="Input 8" xfId="2403" xr:uid="{00000000-0005-0000-0000-000058070000}"/>
    <cellStyle name="Input 9" xfId="2404" xr:uid="{00000000-0005-0000-0000-000059070000}"/>
    <cellStyle name="Input DDMMYY" xfId="2405" xr:uid="{00000000-0005-0000-0000-00005A070000}"/>
    <cellStyle name="Input DDMMYY 2" xfId="2406" xr:uid="{00000000-0005-0000-0000-00005B070000}"/>
    <cellStyle name="InputComma" xfId="2407" xr:uid="{00000000-0005-0000-0000-00005C070000}"/>
    <cellStyle name="inputdate" xfId="2408" xr:uid="{00000000-0005-0000-0000-00005D070000}"/>
    <cellStyle name="inputpercent" xfId="2409" xr:uid="{00000000-0005-0000-0000-00005E070000}"/>
    <cellStyle name="Insatisfaisant" xfId="10" builtinId="27" customBuiltin="1"/>
    <cellStyle name="Insatisfaisant 2" xfId="2410" xr:uid="{00000000-0005-0000-0000-000060070000}"/>
    <cellStyle name="Lien hypertexte 2" xfId="435" xr:uid="{00000000-0005-0000-0000-000061070000}"/>
    <cellStyle name="Lien hypertexte 2 2" xfId="2411" xr:uid="{00000000-0005-0000-0000-000062070000}"/>
    <cellStyle name="Lien hypertexte 3" xfId="2412" xr:uid="{00000000-0005-0000-0000-000063070000}"/>
    <cellStyle name="Linked" xfId="2413" xr:uid="{00000000-0005-0000-0000-000064070000}"/>
    <cellStyle name="Linked 2" xfId="2414" xr:uid="{00000000-0005-0000-0000-000065070000}"/>
    <cellStyle name="Linked Cell 2" xfId="436" xr:uid="{00000000-0005-0000-0000-000066070000}"/>
    <cellStyle name="Linked Cell 2 2" xfId="437" xr:uid="{00000000-0005-0000-0000-000067070000}"/>
    <cellStyle name="Linked Cell 3" xfId="2415" xr:uid="{00000000-0005-0000-0000-000068070000}"/>
    <cellStyle name="Linked Cell 4" xfId="2416" xr:uid="{00000000-0005-0000-0000-000069070000}"/>
    <cellStyle name="Linked Cell 5" xfId="2417" xr:uid="{00000000-0005-0000-0000-00006A070000}"/>
    <cellStyle name="LirekWh" xfId="438" xr:uid="{00000000-0005-0000-0000-00006B070000}"/>
    <cellStyle name="LirekWh2" xfId="439" xr:uid="{00000000-0005-0000-0000-00006C070000}"/>
    <cellStyle name="m/d/yy" xfId="2418" xr:uid="{00000000-0005-0000-0000-00006D070000}"/>
    <cellStyle name="MainTitle" xfId="440" xr:uid="{00000000-0005-0000-0000-00006E070000}"/>
    <cellStyle name="Memo" xfId="2419" xr:uid="{00000000-0005-0000-0000-00006F070000}"/>
    <cellStyle name="Migliaia (0)" xfId="2420" xr:uid="{00000000-0005-0000-0000-000070070000}"/>
    <cellStyle name="Migliaia (0) 2" xfId="2421" xr:uid="{00000000-0005-0000-0000-000071070000}"/>
    <cellStyle name="Migliaia (0)_ SLIDE " xfId="441" xr:uid="{00000000-0005-0000-0000-000072070000}"/>
    <cellStyle name="Migliaia 2" xfId="442" xr:uid="{00000000-0005-0000-0000-000073070000}"/>
    <cellStyle name="Migliaia 2 2" xfId="443" xr:uid="{00000000-0005-0000-0000-000074070000}"/>
    <cellStyle name="Migliaia 3" xfId="444" xr:uid="{00000000-0005-0000-0000-000075070000}"/>
    <cellStyle name="Migliaia 3 2" xfId="445" xr:uid="{00000000-0005-0000-0000-000076070000}"/>
    <cellStyle name="Migliaia 3 3" xfId="446" xr:uid="{00000000-0005-0000-0000-000077070000}"/>
    <cellStyle name="Migliaia 4" xfId="447" xr:uid="{00000000-0005-0000-0000-000078070000}"/>
    <cellStyle name="Migliaia 4 2" xfId="448" xr:uid="{00000000-0005-0000-0000-000079070000}"/>
    <cellStyle name="Migliaia 5" xfId="449" xr:uid="{00000000-0005-0000-0000-00007A070000}"/>
    <cellStyle name="Migliaia 6" xfId="450" xr:uid="{00000000-0005-0000-0000-00007B070000}"/>
    <cellStyle name="Migliaia 6 2" xfId="451" xr:uid="{00000000-0005-0000-0000-00007C070000}"/>
    <cellStyle name="Migliaia 7" xfId="452" xr:uid="{00000000-0005-0000-0000-00007D070000}"/>
    <cellStyle name="Migliaia 8" xfId="453" xr:uid="{00000000-0005-0000-0000-00007E070000}"/>
    <cellStyle name="Migliaia 8 2" xfId="454" xr:uid="{00000000-0005-0000-0000-00007F070000}"/>
    <cellStyle name="Migliaia 9" xfId="455" xr:uid="{00000000-0005-0000-0000-000080070000}"/>
    <cellStyle name="Millares [0]_Deudas EDC 122001" xfId="2422" xr:uid="{00000000-0005-0000-0000-000081070000}"/>
    <cellStyle name="Millares_Acuerdo definitivo para el MEM 19 de Octubre v5" xfId="2423" xr:uid="{00000000-0005-0000-0000-000082070000}"/>
    <cellStyle name="Milliers" xfId="1" builtinId="3"/>
    <cellStyle name="Milliers 10" xfId="38" xr:uid="{00000000-0005-0000-0000-0000A0070000}"/>
    <cellStyle name="Milliers 11" xfId="2913" xr:uid="{D1393CEC-E91C-438B-A84B-BC2539195E5A}"/>
    <cellStyle name="Milliers 2" xfId="4" xr:uid="{00000000-0005-0000-0000-000031000000}"/>
    <cellStyle name="Milliers 2 2" xfId="2" xr:uid="{00000000-0005-0000-0000-000001000000}"/>
    <cellStyle name="Milliers 2 2 2" xfId="458" xr:uid="{00000000-0005-0000-0000-000086070000}"/>
    <cellStyle name="Milliers 2 2 3" xfId="2424" xr:uid="{00000000-0005-0000-0000-000087070000}"/>
    <cellStyle name="Milliers 2 2 4" xfId="2881" xr:uid="{00000000-0005-0000-0000-000088070000}"/>
    <cellStyle name="Milliers 2 2 5" xfId="457" xr:uid="{00000000-0005-0000-0000-000085070000}"/>
    <cellStyle name="Milliers 2 3" xfId="2425" xr:uid="{00000000-0005-0000-0000-000089070000}"/>
    <cellStyle name="Milliers 2 3 2" xfId="2883" xr:uid="{00000000-0005-0000-0000-00008A070000}"/>
    <cellStyle name="Milliers 2 3 3" xfId="2882" xr:uid="{00000000-0005-0000-0000-00008B070000}"/>
    <cellStyle name="Milliers 2 4" xfId="2426" xr:uid="{00000000-0005-0000-0000-00008C070000}"/>
    <cellStyle name="Milliers 2 4 2" xfId="2884" xr:uid="{00000000-0005-0000-0000-00008D070000}"/>
    <cellStyle name="Milliers 2 5" xfId="2427" xr:uid="{00000000-0005-0000-0000-00008E070000}"/>
    <cellStyle name="Milliers 2 5 2" xfId="2885" xr:uid="{00000000-0005-0000-0000-00008F070000}"/>
    <cellStyle name="Milliers 2 6" xfId="2861" xr:uid="{00000000-0005-0000-0000-000090070000}"/>
    <cellStyle name="Milliers 2 7" xfId="954" xr:uid="{00000000-0005-0000-0000-000091070000}"/>
    <cellStyle name="Milliers 2 8" xfId="456" xr:uid="{00000000-0005-0000-0000-000084070000}"/>
    <cellStyle name="Milliers 3" xfId="459" xr:uid="{00000000-0005-0000-0000-000092070000}"/>
    <cellStyle name="Milliers 3 2" xfId="460" xr:uid="{00000000-0005-0000-0000-000093070000}"/>
    <cellStyle name="Milliers 3 2 2" xfId="461" xr:uid="{00000000-0005-0000-0000-000094070000}"/>
    <cellStyle name="Milliers 3 2 3" xfId="2429" xr:uid="{00000000-0005-0000-0000-000095070000}"/>
    <cellStyle name="Milliers 3 2 4" xfId="2887" xr:uid="{00000000-0005-0000-0000-000096070000}"/>
    <cellStyle name="Milliers 3 3" xfId="2430" xr:uid="{00000000-0005-0000-0000-000097070000}"/>
    <cellStyle name="Milliers 3 3 2" xfId="2888" xr:uid="{00000000-0005-0000-0000-000098070000}"/>
    <cellStyle name="Milliers 3 4" xfId="2863" xr:uid="{00000000-0005-0000-0000-000099070000}"/>
    <cellStyle name="Milliers 3 4 2" xfId="2889" xr:uid="{00000000-0005-0000-0000-00009A070000}"/>
    <cellStyle name="Milliers 3 5" xfId="2428" xr:uid="{00000000-0005-0000-0000-00009B070000}"/>
    <cellStyle name="Milliers 3 6" xfId="2886" xr:uid="{00000000-0005-0000-0000-00009C070000}"/>
    <cellStyle name="Milliers 4" xfId="462" xr:uid="{00000000-0005-0000-0000-00009D070000}"/>
    <cellStyle name="Milliers 4 2" xfId="463" xr:uid="{00000000-0005-0000-0000-00009E070000}"/>
    <cellStyle name="Milliers 4 2 2" xfId="2432" xr:uid="{00000000-0005-0000-0000-00009F070000}"/>
    <cellStyle name="Milliers 4 2 3" xfId="2890" xr:uid="{00000000-0005-0000-0000-0000A0070000}"/>
    <cellStyle name="Milliers 4 3" xfId="464" xr:uid="{00000000-0005-0000-0000-0000A1070000}"/>
    <cellStyle name="Milliers 4 3 2" xfId="2433" xr:uid="{00000000-0005-0000-0000-0000A2070000}"/>
    <cellStyle name="Milliers 4 4" xfId="465" xr:uid="{00000000-0005-0000-0000-0000A3070000}"/>
    <cellStyle name="Milliers 4 4 2" xfId="2434" xr:uid="{00000000-0005-0000-0000-0000A4070000}"/>
    <cellStyle name="Milliers 4 5" xfId="2867" xr:uid="{00000000-0005-0000-0000-0000A5070000}"/>
    <cellStyle name="Milliers 4 6" xfId="2864" xr:uid="{00000000-0005-0000-0000-0000A6070000}"/>
    <cellStyle name="Milliers 4 7" xfId="2431" xr:uid="{00000000-0005-0000-0000-0000A7070000}"/>
    <cellStyle name="Milliers 5" xfId="466" xr:uid="{00000000-0005-0000-0000-0000A8070000}"/>
    <cellStyle name="Milliers 5 2" xfId="467" xr:uid="{00000000-0005-0000-0000-0000A9070000}"/>
    <cellStyle name="Milliers 5 2 2" xfId="2436" xr:uid="{00000000-0005-0000-0000-0000AA070000}"/>
    <cellStyle name="Milliers 5 2 3" xfId="2892" xr:uid="{00000000-0005-0000-0000-0000AB070000}"/>
    <cellStyle name="Milliers 5 3" xfId="2437" xr:uid="{00000000-0005-0000-0000-0000AC070000}"/>
    <cellStyle name="Milliers 5 4" xfId="2435" xr:uid="{00000000-0005-0000-0000-0000AD070000}"/>
    <cellStyle name="Milliers 5 5" xfId="2891" xr:uid="{00000000-0005-0000-0000-0000AE070000}"/>
    <cellStyle name="Milliers 6" xfId="468" xr:uid="{00000000-0005-0000-0000-0000AF070000}"/>
    <cellStyle name="Milliers 6 2" xfId="469" xr:uid="{00000000-0005-0000-0000-0000B0070000}"/>
    <cellStyle name="Milliers 6 2 2" xfId="2439" xr:uid="{00000000-0005-0000-0000-0000B1070000}"/>
    <cellStyle name="Milliers 6 3" xfId="2440" xr:uid="{00000000-0005-0000-0000-0000B2070000}"/>
    <cellStyle name="Milliers 6 4" xfId="2438" xr:uid="{00000000-0005-0000-0000-0000B3070000}"/>
    <cellStyle name="Milliers 6 5" xfId="2893" xr:uid="{00000000-0005-0000-0000-0000B4070000}"/>
    <cellStyle name="Milliers 7" xfId="470" xr:uid="{00000000-0005-0000-0000-0000B5070000}"/>
    <cellStyle name="Milliers 7 2" xfId="2441" xr:uid="{00000000-0005-0000-0000-0000B6070000}"/>
    <cellStyle name="Milliers 7 3" xfId="2894" xr:uid="{00000000-0005-0000-0000-0000B7070000}"/>
    <cellStyle name="Milliers 8" xfId="471" xr:uid="{00000000-0005-0000-0000-0000B8070000}"/>
    <cellStyle name="Milliers 8 2" xfId="2442" xr:uid="{00000000-0005-0000-0000-0000B9070000}"/>
    <cellStyle name="Milliers 8 3" xfId="2895" xr:uid="{00000000-0005-0000-0000-0000BA070000}"/>
    <cellStyle name="Milliers 9" xfId="2877" xr:uid="{00000000-0005-0000-0000-0000BB070000}"/>
    <cellStyle name="Moeda [0]_0701_Amortiz Difer SpotMarket - Urug" xfId="2443" xr:uid="{00000000-0005-0000-0000-0000BC070000}"/>
    <cellStyle name="Moeda_0701_Amortiz Difer SpotMarket - Urug" xfId="2444" xr:uid="{00000000-0005-0000-0000-0000BD070000}"/>
    <cellStyle name="Moneda [0]_EDC 2002 v6 Versión Definitiva" xfId="2445" xr:uid="{00000000-0005-0000-0000-0000BE070000}"/>
    <cellStyle name="Monétaire 2" xfId="472" xr:uid="{00000000-0005-0000-0000-0000BF070000}"/>
    <cellStyle name="Monétaire 2 2" xfId="473" xr:uid="{00000000-0005-0000-0000-0000C0070000}"/>
    <cellStyle name="Monétaire 2 2 2" xfId="474" xr:uid="{00000000-0005-0000-0000-0000C1070000}"/>
    <cellStyle name="Monétaire 2 3" xfId="2446" xr:uid="{00000000-0005-0000-0000-0000C2070000}"/>
    <cellStyle name="Monétaire 2 4" xfId="2896" xr:uid="{00000000-0005-0000-0000-0000C3070000}"/>
    <cellStyle name="Monétaire 3" xfId="475" xr:uid="{00000000-0005-0000-0000-0000C4070000}"/>
    <cellStyle name="Monétaire 3 2" xfId="2447" xr:uid="{00000000-0005-0000-0000-0000C5070000}"/>
    <cellStyle name="Monétaire 3 3" xfId="2897" xr:uid="{00000000-0005-0000-0000-0000C6070000}"/>
    <cellStyle name="Monétaire 4" xfId="476" xr:uid="{00000000-0005-0000-0000-0000C7070000}"/>
    <cellStyle name="Monétaire 5" xfId="477" xr:uid="{00000000-0005-0000-0000-0000C8070000}"/>
    <cellStyle name="Month" xfId="2448" xr:uid="{00000000-0005-0000-0000-0000C9070000}"/>
    <cellStyle name="Month-long" xfId="2449" xr:uid="{00000000-0005-0000-0000-0000CA070000}"/>
    <cellStyle name="Month-short" xfId="2450" xr:uid="{00000000-0005-0000-0000-0000CB070000}"/>
    <cellStyle name="Mon-yr" xfId="2451" xr:uid="{00000000-0005-0000-0000-0000CC070000}"/>
    <cellStyle name="Multiple" xfId="478" xr:uid="{00000000-0005-0000-0000-0000CD070000}"/>
    <cellStyle name="Multiple 2" xfId="2452" xr:uid="{00000000-0005-0000-0000-0000CE070000}"/>
    <cellStyle name="Name" xfId="2453" xr:uid="{00000000-0005-0000-0000-0000CF070000}"/>
    <cellStyle name="Needed Input" xfId="2454" xr:uid="{00000000-0005-0000-0000-0000D0070000}"/>
    <cellStyle name="Neutra" xfId="2455" xr:uid="{00000000-0005-0000-0000-0000D1070000}"/>
    <cellStyle name="Neutral 2" xfId="479" xr:uid="{00000000-0005-0000-0000-0000D2070000}"/>
    <cellStyle name="Neutral 2 2" xfId="480" xr:uid="{00000000-0005-0000-0000-0000D3070000}"/>
    <cellStyle name="Neutral 3" xfId="2456" xr:uid="{00000000-0005-0000-0000-0000D4070000}"/>
    <cellStyle name="Neutral 4" xfId="2457" xr:uid="{00000000-0005-0000-0000-0000D5070000}"/>
    <cellStyle name="Neutral 5" xfId="2458" xr:uid="{00000000-0005-0000-0000-0000D6070000}"/>
    <cellStyle name="Neutral 6" xfId="2459" xr:uid="{00000000-0005-0000-0000-0000D7070000}"/>
    <cellStyle name="Neutre 2" xfId="2460" xr:uid="{00000000-0005-0000-0000-0000D9070000}"/>
    <cellStyle name="Neutre 3" xfId="946" xr:uid="{00000000-0005-0000-0000-0000F5070000}"/>
    <cellStyle name="no dec" xfId="2461" xr:uid="{00000000-0005-0000-0000-0000DA070000}"/>
    <cellStyle name="No decimals" xfId="2462" xr:uid="{00000000-0005-0000-0000-0000DB070000}"/>
    <cellStyle name="Non défini" xfId="481" xr:uid="{00000000-0005-0000-0000-0000DC070000}"/>
    <cellStyle name="Norma?_Staffing_1_OSS-I Venture 1 Client 7-19(GJP) v3" xfId="482" xr:uid="{00000000-0005-0000-0000-0000DD070000}"/>
    <cellStyle name="Normal" xfId="0" builtinId="0"/>
    <cellStyle name="Normal - Input" xfId="2463" xr:uid="{00000000-0005-0000-0000-0000DF070000}"/>
    <cellStyle name="Normal - Style1" xfId="483" xr:uid="{00000000-0005-0000-0000-0000E0070000}"/>
    <cellStyle name="Normal - Style1 2" xfId="484" xr:uid="{00000000-0005-0000-0000-0000E1070000}"/>
    <cellStyle name="Normal - Style2" xfId="485" xr:uid="{00000000-0005-0000-0000-0000E2070000}"/>
    <cellStyle name="Normal - Style3" xfId="486" xr:uid="{00000000-0005-0000-0000-0000E3070000}"/>
    <cellStyle name="Normal - Style4" xfId="487" xr:uid="{00000000-0005-0000-0000-0000E4070000}"/>
    <cellStyle name="Normal - Style5" xfId="488" xr:uid="{00000000-0005-0000-0000-0000E5070000}"/>
    <cellStyle name="Normal - Style6" xfId="489" xr:uid="{00000000-0005-0000-0000-0000E6070000}"/>
    <cellStyle name="Normal - Style7" xfId="490" xr:uid="{00000000-0005-0000-0000-0000E7070000}"/>
    <cellStyle name="Normal - Style8" xfId="491" xr:uid="{00000000-0005-0000-0000-0000E8070000}"/>
    <cellStyle name="Normal 10" xfId="492" xr:uid="{00000000-0005-0000-0000-0000E9070000}"/>
    <cellStyle name="Normal 10 2" xfId="2464" xr:uid="{00000000-0005-0000-0000-0000EA070000}"/>
    <cellStyle name="Normal 10 3" xfId="2898" xr:uid="{00000000-0005-0000-0000-0000EB070000}"/>
    <cellStyle name="Normal 100" xfId="493" xr:uid="{00000000-0005-0000-0000-0000EC070000}"/>
    <cellStyle name="Normal 101" xfId="494" xr:uid="{00000000-0005-0000-0000-0000ED070000}"/>
    <cellStyle name="Normal 102" xfId="495" xr:uid="{00000000-0005-0000-0000-0000EE070000}"/>
    <cellStyle name="Normal 103" xfId="496" xr:uid="{00000000-0005-0000-0000-0000EF070000}"/>
    <cellStyle name="Normal 104" xfId="497" xr:uid="{00000000-0005-0000-0000-0000F0070000}"/>
    <cellStyle name="Normal 105" xfId="498" xr:uid="{00000000-0005-0000-0000-0000F1070000}"/>
    <cellStyle name="Normal 106" xfId="499" xr:uid="{00000000-0005-0000-0000-0000F2070000}"/>
    <cellStyle name="Normal 107" xfId="500" xr:uid="{00000000-0005-0000-0000-0000F3070000}"/>
    <cellStyle name="Normal 108" xfId="501" xr:uid="{00000000-0005-0000-0000-0000F4070000}"/>
    <cellStyle name="Normal 109" xfId="502" xr:uid="{00000000-0005-0000-0000-0000F5070000}"/>
    <cellStyle name="Normal 11" xfId="503" xr:uid="{00000000-0005-0000-0000-0000F6070000}"/>
    <cellStyle name="Normal 11 2" xfId="2466" xr:uid="{00000000-0005-0000-0000-0000F7070000}"/>
    <cellStyle name="Normal 11 3" xfId="2465" xr:uid="{00000000-0005-0000-0000-0000F8070000}"/>
    <cellStyle name="Normal 110" xfId="504" xr:uid="{00000000-0005-0000-0000-0000F9070000}"/>
    <cellStyle name="Normal 111" xfId="505" xr:uid="{00000000-0005-0000-0000-0000FA070000}"/>
    <cellStyle name="Normal 112" xfId="506" xr:uid="{00000000-0005-0000-0000-0000FB070000}"/>
    <cellStyle name="Normal 113" xfId="507" xr:uid="{00000000-0005-0000-0000-0000FC070000}"/>
    <cellStyle name="Normal 114" xfId="508" xr:uid="{00000000-0005-0000-0000-0000FD070000}"/>
    <cellStyle name="Normal 115" xfId="509" xr:uid="{00000000-0005-0000-0000-0000FE070000}"/>
    <cellStyle name="Normal 116" xfId="510" xr:uid="{00000000-0005-0000-0000-0000FF070000}"/>
    <cellStyle name="Normal 117" xfId="511" xr:uid="{00000000-0005-0000-0000-000000080000}"/>
    <cellStyle name="Normal 118" xfId="512" xr:uid="{00000000-0005-0000-0000-000001080000}"/>
    <cellStyle name="Normal 119" xfId="513" xr:uid="{00000000-0005-0000-0000-000002080000}"/>
    <cellStyle name="Normal 12" xfId="514" xr:uid="{00000000-0005-0000-0000-000003080000}"/>
    <cellStyle name="Normal 12 2" xfId="2468" xr:uid="{00000000-0005-0000-0000-000004080000}"/>
    <cellStyle name="Normal 12 3" xfId="2467" xr:uid="{00000000-0005-0000-0000-000005080000}"/>
    <cellStyle name="Normal 120" xfId="515" xr:uid="{00000000-0005-0000-0000-000006080000}"/>
    <cellStyle name="Normal 121" xfId="516" xr:uid="{00000000-0005-0000-0000-000007080000}"/>
    <cellStyle name="Normal 122" xfId="517" xr:uid="{00000000-0005-0000-0000-000008080000}"/>
    <cellStyle name="Normal 123" xfId="518" xr:uid="{00000000-0005-0000-0000-000009080000}"/>
    <cellStyle name="Normal 124" xfId="519" xr:uid="{00000000-0005-0000-0000-00000A080000}"/>
    <cellStyle name="Normal 125" xfId="520" xr:uid="{00000000-0005-0000-0000-00000B080000}"/>
    <cellStyle name="Normal 126" xfId="521" xr:uid="{00000000-0005-0000-0000-00000C080000}"/>
    <cellStyle name="Normal 127" xfId="522" xr:uid="{00000000-0005-0000-0000-00000D080000}"/>
    <cellStyle name="Normal 128" xfId="2912" xr:uid="{BC666ABB-5ED9-4318-AC1C-75F62F729E08}"/>
    <cellStyle name="Normal 13" xfId="523" xr:uid="{00000000-0005-0000-0000-00000E080000}"/>
    <cellStyle name="Normal 13 2" xfId="524" xr:uid="{00000000-0005-0000-0000-00000F080000}"/>
    <cellStyle name="Normal 13 2 2" xfId="2469" xr:uid="{00000000-0005-0000-0000-000010080000}"/>
    <cellStyle name="Normal 13 3" xfId="525" xr:uid="{00000000-0005-0000-0000-000011080000}"/>
    <cellStyle name="Normal 13 4" xfId="526" xr:uid="{00000000-0005-0000-0000-000012080000}"/>
    <cellStyle name="Normal 13 5" xfId="527" xr:uid="{00000000-0005-0000-0000-000013080000}"/>
    <cellStyle name="Normal 13 6" xfId="528" xr:uid="{00000000-0005-0000-0000-000014080000}"/>
    <cellStyle name="Normal 13 7" xfId="529" xr:uid="{00000000-0005-0000-0000-000015080000}"/>
    <cellStyle name="Normal 13 8" xfId="530" xr:uid="{00000000-0005-0000-0000-000016080000}"/>
    <cellStyle name="Normal 13 9" xfId="531" xr:uid="{00000000-0005-0000-0000-000017080000}"/>
    <cellStyle name="Normal 14" xfId="532" xr:uid="{00000000-0005-0000-0000-000018080000}"/>
    <cellStyle name="Normal 14 2" xfId="533" xr:uid="{00000000-0005-0000-0000-000019080000}"/>
    <cellStyle name="Normal 14 2 2" xfId="2470" xr:uid="{00000000-0005-0000-0000-00001A080000}"/>
    <cellStyle name="Normal 14 3" xfId="534" xr:uid="{00000000-0005-0000-0000-00001B080000}"/>
    <cellStyle name="Normal 14 4" xfId="535" xr:uid="{00000000-0005-0000-0000-00001C080000}"/>
    <cellStyle name="Normal 14 5" xfId="536" xr:uid="{00000000-0005-0000-0000-00001D080000}"/>
    <cellStyle name="Normal 14 6" xfId="537" xr:uid="{00000000-0005-0000-0000-00001E080000}"/>
    <cellStyle name="Normal 14 7" xfId="538" xr:uid="{00000000-0005-0000-0000-00001F080000}"/>
    <cellStyle name="Normal 14 8" xfId="539" xr:uid="{00000000-0005-0000-0000-000020080000}"/>
    <cellStyle name="Normal 14 9" xfId="540" xr:uid="{00000000-0005-0000-0000-000021080000}"/>
    <cellStyle name="Normal 15" xfId="541" xr:uid="{00000000-0005-0000-0000-000022080000}"/>
    <cellStyle name="Normal 15 2" xfId="542" xr:uid="{00000000-0005-0000-0000-000023080000}"/>
    <cellStyle name="Normal 15 2 2" xfId="2471" xr:uid="{00000000-0005-0000-0000-000024080000}"/>
    <cellStyle name="Normal 16" xfId="543" xr:uid="{00000000-0005-0000-0000-000025080000}"/>
    <cellStyle name="Normal 16 2" xfId="544" xr:uid="{00000000-0005-0000-0000-000026080000}"/>
    <cellStyle name="Normal 16 2 2" xfId="2473" xr:uid="{00000000-0005-0000-0000-000027080000}"/>
    <cellStyle name="Normal 16 3" xfId="2472" xr:uid="{00000000-0005-0000-0000-000028080000}"/>
    <cellStyle name="Normal 17" xfId="545" xr:uid="{00000000-0005-0000-0000-000029080000}"/>
    <cellStyle name="Normal 17 2" xfId="2475" xr:uid="{00000000-0005-0000-0000-00002A080000}"/>
    <cellStyle name="Normal 17 3" xfId="2474" xr:uid="{00000000-0005-0000-0000-00002B080000}"/>
    <cellStyle name="Normal 18" xfId="546" xr:uid="{00000000-0005-0000-0000-00002C080000}"/>
    <cellStyle name="Normal 18 2" xfId="2477" xr:uid="{00000000-0005-0000-0000-00002D080000}"/>
    <cellStyle name="Normal 18 3" xfId="2476" xr:uid="{00000000-0005-0000-0000-00002E080000}"/>
    <cellStyle name="Normal 19" xfId="547" xr:uid="{00000000-0005-0000-0000-00002F080000}"/>
    <cellStyle name="Normal 19 2" xfId="2479" xr:uid="{00000000-0005-0000-0000-000030080000}"/>
    <cellStyle name="Normal 19 3" xfId="2478" xr:uid="{00000000-0005-0000-0000-000031080000}"/>
    <cellStyle name="Normal 2" xfId="3" xr:uid="{00000000-0005-0000-0000-000003000000}"/>
    <cellStyle name="Normal 2 2" xfId="549" xr:uid="{00000000-0005-0000-0000-000033080000}"/>
    <cellStyle name="Normal 2 2 2" xfId="550" xr:uid="{00000000-0005-0000-0000-000034080000}"/>
    <cellStyle name="Normal 2 2 2 2" xfId="551" xr:uid="{00000000-0005-0000-0000-000035080000}"/>
    <cellStyle name="Normal 2 2 2 3" xfId="552" xr:uid="{00000000-0005-0000-0000-000036080000}"/>
    <cellStyle name="Normal 2 2 2 4" xfId="2481" xr:uid="{00000000-0005-0000-0000-000037080000}"/>
    <cellStyle name="Normal 2 2 3" xfId="553" xr:uid="{00000000-0005-0000-0000-000038080000}"/>
    <cellStyle name="Normal 2 2 4" xfId="953" xr:uid="{00000000-0005-0000-0000-000039080000}"/>
    <cellStyle name="Normal 2 2_Operational KPI" xfId="554" xr:uid="{00000000-0005-0000-0000-00003A080000}"/>
    <cellStyle name="Normal 2 3" xfId="555" xr:uid="{00000000-0005-0000-0000-00003B080000}"/>
    <cellStyle name="Normal 2 3 2" xfId="556" xr:uid="{00000000-0005-0000-0000-00003C080000}"/>
    <cellStyle name="Normal 2 3 3" xfId="2482" xr:uid="{00000000-0005-0000-0000-00003D080000}"/>
    <cellStyle name="Normal 2 4" xfId="557" xr:uid="{00000000-0005-0000-0000-00003E080000}"/>
    <cellStyle name="Normal 2 4 2" xfId="558" xr:uid="{00000000-0005-0000-0000-00003F080000}"/>
    <cellStyle name="Normal 2 4 3" xfId="2483" xr:uid="{00000000-0005-0000-0000-000040080000}"/>
    <cellStyle name="Normal 2 4 4" xfId="2899" xr:uid="{00000000-0005-0000-0000-000041080000}"/>
    <cellStyle name="Normal 2 5" xfId="559" xr:uid="{00000000-0005-0000-0000-000042080000}"/>
    <cellStyle name="Normal 2 5 2" xfId="2484" xr:uid="{00000000-0005-0000-0000-000043080000}"/>
    <cellStyle name="Normal 2 6" xfId="2862" xr:uid="{00000000-0005-0000-0000-000044080000}"/>
    <cellStyle name="Normal 2 7" xfId="2480" xr:uid="{00000000-0005-0000-0000-000045080000}"/>
    <cellStyle name="Normal 2 8" xfId="548" xr:uid="{00000000-0005-0000-0000-000032080000}"/>
    <cellStyle name="Normal 2_Chateaugay" xfId="2485" xr:uid="{00000000-0005-0000-0000-000046080000}"/>
    <cellStyle name="Normal 20" xfId="560" xr:uid="{00000000-0005-0000-0000-000047080000}"/>
    <cellStyle name="Normal 20 2" xfId="2487" xr:uid="{00000000-0005-0000-0000-000048080000}"/>
    <cellStyle name="Normal 20 3" xfId="2486" xr:uid="{00000000-0005-0000-0000-000049080000}"/>
    <cellStyle name="Normal 21" xfId="561" xr:uid="{00000000-0005-0000-0000-00004A080000}"/>
    <cellStyle name="Normal 21 2" xfId="2489" xr:uid="{00000000-0005-0000-0000-00004B080000}"/>
    <cellStyle name="Normal 21 3" xfId="2488" xr:uid="{00000000-0005-0000-0000-00004C080000}"/>
    <cellStyle name="Normal 22" xfId="562" xr:uid="{00000000-0005-0000-0000-00004D080000}"/>
    <cellStyle name="Normal 22 2" xfId="2491" xr:uid="{00000000-0005-0000-0000-00004E080000}"/>
    <cellStyle name="Normal 22 3" xfId="2490" xr:uid="{00000000-0005-0000-0000-00004F080000}"/>
    <cellStyle name="Normal 23" xfId="563" xr:uid="{00000000-0005-0000-0000-000050080000}"/>
    <cellStyle name="Normal 23 2" xfId="564" xr:uid="{00000000-0005-0000-0000-000051080000}"/>
    <cellStyle name="Normal 23 2 2" xfId="2493" xr:uid="{00000000-0005-0000-0000-000052080000}"/>
    <cellStyle name="Normal 23 3" xfId="2492" xr:uid="{00000000-0005-0000-0000-000053080000}"/>
    <cellStyle name="Normal 24" xfId="565" xr:uid="{00000000-0005-0000-0000-000054080000}"/>
    <cellStyle name="Normal 24 2" xfId="2495" xr:uid="{00000000-0005-0000-0000-000055080000}"/>
    <cellStyle name="Normal 24 3" xfId="2494" xr:uid="{00000000-0005-0000-0000-000056080000}"/>
    <cellStyle name="Normal 25" xfId="566" xr:uid="{00000000-0005-0000-0000-000057080000}"/>
    <cellStyle name="Normal 25 2" xfId="2497" xr:uid="{00000000-0005-0000-0000-000058080000}"/>
    <cellStyle name="Normal 25 3" xfId="2496" xr:uid="{00000000-0005-0000-0000-000059080000}"/>
    <cellStyle name="Normal 26" xfId="567" xr:uid="{00000000-0005-0000-0000-00005A080000}"/>
    <cellStyle name="Normal 26 2" xfId="2499" xr:uid="{00000000-0005-0000-0000-00005B080000}"/>
    <cellStyle name="Normal 26 3" xfId="2498" xr:uid="{00000000-0005-0000-0000-00005C080000}"/>
    <cellStyle name="Normal 27" xfId="568" xr:uid="{00000000-0005-0000-0000-00005D080000}"/>
    <cellStyle name="Normal 27 2" xfId="2501" xr:uid="{00000000-0005-0000-0000-00005E080000}"/>
    <cellStyle name="Normal 27 3" xfId="2500" xr:uid="{00000000-0005-0000-0000-00005F080000}"/>
    <cellStyle name="Normal 28" xfId="569" xr:uid="{00000000-0005-0000-0000-000060080000}"/>
    <cellStyle name="Normal 28 2" xfId="2503" xr:uid="{00000000-0005-0000-0000-000061080000}"/>
    <cellStyle name="Normal 28 3" xfId="2502" xr:uid="{00000000-0005-0000-0000-000062080000}"/>
    <cellStyle name="Normal 29" xfId="570" xr:uid="{00000000-0005-0000-0000-000063080000}"/>
    <cellStyle name="Normal 29 2" xfId="2505" xr:uid="{00000000-0005-0000-0000-000064080000}"/>
    <cellStyle name="Normal 29 3" xfId="2504" xr:uid="{00000000-0005-0000-0000-000065080000}"/>
    <cellStyle name="Normal 3" xfId="571" xr:uid="{00000000-0005-0000-0000-000066080000}"/>
    <cellStyle name="Normal 3 2" xfId="572" xr:uid="{00000000-0005-0000-0000-000067080000}"/>
    <cellStyle name="Normal 3 2 2" xfId="573" xr:uid="{00000000-0005-0000-0000-000068080000}"/>
    <cellStyle name="Normal 3 3" xfId="574" xr:uid="{00000000-0005-0000-0000-000069080000}"/>
    <cellStyle name="Normal 3 3 2" xfId="575" xr:uid="{00000000-0005-0000-0000-00006A080000}"/>
    <cellStyle name="Normal 3 3 2 2" xfId="576" xr:uid="{00000000-0005-0000-0000-00006B080000}"/>
    <cellStyle name="Normal 3 3 2 2 2" xfId="577" xr:uid="{00000000-0005-0000-0000-00006C080000}"/>
    <cellStyle name="Normal 3 3 2 3" xfId="578" xr:uid="{00000000-0005-0000-0000-00006D080000}"/>
    <cellStyle name="Normal 3 3 3" xfId="579" xr:uid="{00000000-0005-0000-0000-00006E080000}"/>
    <cellStyle name="Normal 3 3 3 2" xfId="580" xr:uid="{00000000-0005-0000-0000-00006F080000}"/>
    <cellStyle name="Normal 3 3 4" xfId="581" xr:uid="{00000000-0005-0000-0000-000070080000}"/>
    <cellStyle name="Normal 3 3 5" xfId="2506" xr:uid="{00000000-0005-0000-0000-000071080000}"/>
    <cellStyle name="Normal 3 4" xfId="582" xr:uid="{00000000-0005-0000-0000-000072080000}"/>
    <cellStyle name="Normal 3 4 2" xfId="583" xr:uid="{00000000-0005-0000-0000-000073080000}"/>
    <cellStyle name="Normal 3 4 2 2" xfId="584" xr:uid="{00000000-0005-0000-0000-000074080000}"/>
    <cellStyle name="Normal 3 4 3" xfId="585" xr:uid="{00000000-0005-0000-0000-000075080000}"/>
    <cellStyle name="Normal 3 4 4" xfId="2900" xr:uid="{00000000-0005-0000-0000-000076080000}"/>
    <cellStyle name="Normal 3 5" xfId="586" xr:uid="{00000000-0005-0000-0000-000077080000}"/>
    <cellStyle name="Normal 3 5 2" xfId="587" xr:uid="{00000000-0005-0000-0000-000078080000}"/>
    <cellStyle name="Normal 3 6" xfId="588" xr:uid="{00000000-0005-0000-0000-000079080000}"/>
    <cellStyle name="Normal 3 6 2" xfId="589" xr:uid="{00000000-0005-0000-0000-00007A080000}"/>
    <cellStyle name="Normal 3 7" xfId="590" xr:uid="{00000000-0005-0000-0000-00007B080000}"/>
    <cellStyle name="Normal 3_Book Report Rinnovabili v1" xfId="591" xr:uid="{00000000-0005-0000-0000-00007C080000}"/>
    <cellStyle name="Normal 30" xfId="592" xr:uid="{00000000-0005-0000-0000-00007D080000}"/>
    <cellStyle name="Normal 30 2" xfId="2507" xr:uid="{00000000-0005-0000-0000-00007E080000}"/>
    <cellStyle name="Normal 31" xfId="593" xr:uid="{00000000-0005-0000-0000-00007F080000}"/>
    <cellStyle name="Normal 31 2" xfId="2508" xr:uid="{00000000-0005-0000-0000-000080080000}"/>
    <cellStyle name="Normal 32" xfId="594" xr:uid="{00000000-0005-0000-0000-000081080000}"/>
    <cellStyle name="Normal 32 2" xfId="2509" xr:uid="{00000000-0005-0000-0000-000082080000}"/>
    <cellStyle name="Normal 33" xfId="595" xr:uid="{00000000-0005-0000-0000-000083080000}"/>
    <cellStyle name="Normal 33 2" xfId="2510" xr:uid="{00000000-0005-0000-0000-000084080000}"/>
    <cellStyle name="Normal 34" xfId="596" xr:uid="{00000000-0005-0000-0000-000085080000}"/>
    <cellStyle name="Normal 34 2" xfId="2511" xr:uid="{00000000-0005-0000-0000-000086080000}"/>
    <cellStyle name="Normal 35" xfId="597" xr:uid="{00000000-0005-0000-0000-000087080000}"/>
    <cellStyle name="Normal 35 2" xfId="2512" xr:uid="{00000000-0005-0000-0000-000088080000}"/>
    <cellStyle name="Normal 36" xfId="598" xr:uid="{00000000-0005-0000-0000-000089080000}"/>
    <cellStyle name="Normal 36 2" xfId="2513" xr:uid="{00000000-0005-0000-0000-00008A080000}"/>
    <cellStyle name="Normal 37" xfId="599" xr:uid="{00000000-0005-0000-0000-00008B080000}"/>
    <cellStyle name="Normal 37 2" xfId="2514" xr:uid="{00000000-0005-0000-0000-00008C080000}"/>
    <cellStyle name="Normal 38" xfId="600" xr:uid="{00000000-0005-0000-0000-00008D080000}"/>
    <cellStyle name="Normal 38 2" xfId="2515" xr:uid="{00000000-0005-0000-0000-00008E080000}"/>
    <cellStyle name="Normal 39" xfId="601" xr:uid="{00000000-0005-0000-0000-00008F080000}"/>
    <cellStyle name="Normal 39 2" xfId="2516" xr:uid="{00000000-0005-0000-0000-000090080000}"/>
    <cellStyle name="Normal 4" xfId="602" xr:uid="{00000000-0005-0000-0000-000091080000}"/>
    <cellStyle name="Normal 4 2" xfId="603" xr:uid="{00000000-0005-0000-0000-000092080000}"/>
    <cellStyle name="Normal 4 2 2" xfId="604" xr:uid="{00000000-0005-0000-0000-000093080000}"/>
    <cellStyle name="Normal 4 2 2 2" xfId="605" xr:uid="{00000000-0005-0000-0000-000094080000}"/>
    <cellStyle name="Normal 4 2 2 2 2" xfId="606" xr:uid="{00000000-0005-0000-0000-000095080000}"/>
    <cellStyle name="Normal 4 2 2 3" xfId="607" xr:uid="{00000000-0005-0000-0000-000096080000}"/>
    <cellStyle name="Normal 4 2 3" xfId="608" xr:uid="{00000000-0005-0000-0000-000097080000}"/>
    <cellStyle name="Normal 4 2 3 2" xfId="609" xr:uid="{00000000-0005-0000-0000-000098080000}"/>
    <cellStyle name="Normal 4 2 4" xfId="610" xr:uid="{00000000-0005-0000-0000-000099080000}"/>
    <cellStyle name="Normal 4 2 5" xfId="2518" xr:uid="{00000000-0005-0000-0000-00009A080000}"/>
    <cellStyle name="Normal 4 3" xfId="611" xr:uid="{00000000-0005-0000-0000-00009B080000}"/>
    <cellStyle name="Normal 4 3 2" xfId="612" xr:uid="{00000000-0005-0000-0000-00009C080000}"/>
    <cellStyle name="Normal 4 3 2 2" xfId="613" xr:uid="{00000000-0005-0000-0000-00009D080000}"/>
    <cellStyle name="Normal 4 3 3" xfId="614" xr:uid="{00000000-0005-0000-0000-00009E080000}"/>
    <cellStyle name="Normal 4 3 4" xfId="2519" xr:uid="{00000000-0005-0000-0000-00009F080000}"/>
    <cellStyle name="Normal 4 3 5" xfId="2901" xr:uid="{00000000-0005-0000-0000-0000A0080000}"/>
    <cellStyle name="Normal 4 4" xfId="615" xr:uid="{00000000-0005-0000-0000-0000A1080000}"/>
    <cellStyle name="Normal 4 4 2" xfId="616" xr:uid="{00000000-0005-0000-0000-0000A2080000}"/>
    <cellStyle name="Normal 4 4 3" xfId="2520" xr:uid="{00000000-0005-0000-0000-0000A3080000}"/>
    <cellStyle name="Normal 4 5" xfId="617" xr:uid="{00000000-0005-0000-0000-0000A4080000}"/>
    <cellStyle name="Normal 4 5 2" xfId="618" xr:uid="{00000000-0005-0000-0000-0000A5080000}"/>
    <cellStyle name="Normal 4 6" xfId="619" xr:uid="{00000000-0005-0000-0000-0000A6080000}"/>
    <cellStyle name="Normal 4 6 2" xfId="620" xr:uid="{00000000-0005-0000-0000-0000A7080000}"/>
    <cellStyle name="Normal 4 7" xfId="621" xr:uid="{00000000-0005-0000-0000-0000A8080000}"/>
    <cellStyle name="Normal 4 8" xfId="2517" xr:uid="{00000000-0005-0000-0000-0000A9080000}"/>
    <cellStyle name="Normal 4_FA REC 3" xfId="2521" xr:uid="{00000000-0005-0000-0000-0000AA080000}"/>
    <cellStyle name="Normal 40" xfId="622" xr:uid="{00000000-0005-0000-0000-0000AB080000}"/>
    <cellStyle name="Normal 40 2" xfId="2522" xr:uid="{00000000-0005-0000-0000-0000AC080000}"/>
    <cellStyle name="Normal 41" xfId="623" xr:uid="{00000000-0005-0000-0000-0000AD080000}"/>
    <cellStyle name="Normal 41 2" xfId="2523" xr:uid="{00000000-0005-0000-0000-0000AE080000}"/>
    <cellStyle name="Normal 42" xfId="624" xr:uid="{00000000-0005-0000-0000-0000AF080000}"/>
    <cellStyle name="Normal 42 2" xfId="2524" xr:uid="{00000000-0005-0000-0000-0000B0080000}"/>
    <cellStyle name="Normal 43" xfId="625" xr:uid="{00000000-0005-0000-0000-0000B1080000}"/>
    <cellStyle name="Normal 43 2" xfId="2525" xr:uid="{00000000-0005-0000-0000-0000B2080000}"/>
    <cellStyle name="Normal 44" xfId="626" xr:uid="{00000000-0005-0000-0000-0000B3080000}"/>
    <cellStyle name="Normal 44 2" xfId="2526" xr:uid="{00000000-0005-0000-0000-0000B4080000}"/>
    <cellStyle name="Normal 45" xfId="627" xr:uid="{00000000-0005-0000-0000-0000B5080000}"/>
    <cellStyle name="Normal 45 2" xfId="2527" xr:uid="{00000000-0005-0000-0000-0000B6080000}"/>
    <cellStyle name="Normal 46" xfId="628" xr:uid="{00000000-0005-0000-0000-0000B7080000}"/>
    <cellStyle name="Normal 46 2" xfId="2528" xr:uid="{00000000-0005-0000-0000-0000B8080000}"/>
    <cellStyle name="Normal 47" xfId="629" xr:uid="{00000000-0005-0000-0000-0000B9080000}"/>
    <cellStyle name="Normal 47 2" xfId="2529" xr:uid="{00000000-0005-0000-0000-0000BA080000}"/>
    <cellStyle name="Normal 48" xfId="630" xr:uid="{00000000-0005-0000-0000-0000BB080000}"/>
    <cellStyle name="Normal 48 2" xfId="2530" xr:uid="{00000000-0005-0000-0000-0000BC080000}"/>
    <cellStyle name="Normal 49" xfId="631" xr:uid="{00000000-0005-0000-0000-0000BD080000}"/>
    <cellStyle name="Normal 49 2" xfId="2531" xr:uid="{00000000-0005-0000-0000-0000BE080000}"/>
    <cellStyle name="Normal 5" xfId="632" xr:uid="{00000000-0005-0000-0000-0000BF080000}"/>
    <cellStyle name="Normal 5 2" xfId="633" xr:uid="{00000000-0005-0000-0000-0000C0080000}"/>
    <cellStyle name="Normal 5 2 2" xfId="634" xr:uid="{00000000-0005-0000-0000-0000C1080000}"/>
    <cellStyle name="Normal 5 2 3" xfId="2532" xr:uid="{00000000-0005-0000-0000-0000C2080000}"/>
    <cellStyle name="Normal 5 3" xfId="635" xr:uid="{00000000-0005-0000-0000-0000C3080000}"/>
    <cellStyle name="Normal 5 3 2" xfId="636" xr:uid="{00000000-0005-0000-0000-0000C4080000}"/>
    <cellStyle name="Normal 5 4" xfId="637" xr:uid="{00000000-0005-0000-0000-0000C5080000}"/>
    <cellStyle name="Normal 50" xfId="638" xr:uid="{00000000-0005-0000-0000-0000C6080000}"/>
    <cellStyle name="Normal 50 2" xfId="2533" xr:uid="{00000000-0005-0000-0000-0000C7080000}"/>
    <cellStyle name="Normal 51" xfId="639" xr:uid="{00000000-0005-0000-0000-0000C8080000}"/>
    <cellStyle name="Normal 51 2" xfId="2534" xr:uid="{00000000-0005-0000-0000-0000C9080000}"/>
    <cellStyle name="Normal 52" xfId="640" xr:uid="{00000000-0005-0000-0000-0000CA080000}"/>
    <cellStyle name="Normal 52 2" xfId="2535" xr:uid="{00000000-0005-0000-0000-0000CB080000}"/>
    <cellStyle name="Normal 53" xfId="641" xr:uid="{00000000-0005-0000-0000-0000CC080000}"/>
    <cellStyle name="Normal 53 2" xfId="2536" xr:uid="{00000000-0005-0000-0000-0000CD080000}"/>
    <cellStyle name="Normal 54" xfId="642" xr:uid="{00000000-0005-0000-0000-0000CE080000}"/>
    <cellStyle name="Normal 54 2" xfId="2537" xr:uid="{00000000-0005-0000-0000-0000CF080000}"/>
    <cellStyle name="Normal 55" xfId="643" xr:uid="{00000000-0005-0000-0000-0000D0080000}"/>
    <cellStyle name="Normal 55 2" xfId="2538" xr:uid="{00000000-0005-0000-0000-0000D1080000}"/>
    <cellStyle name="Normal 56" xfId="644" xr:uid="{00000000-0005-0000-0000-0000D2080000}"/>
    <cellStyle name="Normal 56 2" xfId="2539" xr:uid="{00000000-0005-0000-0000-0000D3080000}"/>
    <cellStyle name="Normal 57" xfId="645" xr:uid="{00000000-0005-0000-0000-0000D4080000}"/>
    <cellStyle name="Normal 57 2" xfId="2540" xr:uid="{00000000-0005-0000-0000-0000D5080000}"/>
    <cellStyle name="Normal 58" xfId="646" xr:uid="{00000000-0005-0000-0000-0000D6080000}"/>
    <cellStyle name="Normal 58 2" xfId="2541" xr:uid="{00000000-0005-0000-0000-0000D7080000}"/>
    <cellStyle name="Normal 59" xfId="647" xr:uid="{00000000-0005-0000-0000-0000D8080000}"/>
    <cellStyle name="Normal 59 2" xfId="2542" xr:uid="{00000000-0005-0000-0000-0000D9080000}"/>
    <cellStyle name="Normal 6" xfId="648" xr:uid="{00000000-0005-0000-0000-0000DA080000}"/>
    <cellStyle name="Normal 6 2" xfId="649" xr:uid="{00000000-0005-0000-0000-0000DB080000}"/>
    <cellStyle name="Normal 6 2 2" xfId="2543" xr:uid="{00000000-0005-0000-0000-0000DC080000}"/>
    <cellStyle name="Normal 6 2 3" xfId="2902" xr:uid="{00000000-0005-0000-0000-0000DD080000}"/>
    <cellStyle name="Normal 6 3" xfId="650" xr:uid="{00000000-0005-0000-0000-0000DE080000}"/>
    <cellStyle name="Normal 6 3 2" xfId="2903" xr:uid="{00000000-0005-0000-0000-0000DF080000}"/>
    <cellStyle name="Normal 60" xfId="651" xr:uid="{00000000-0005-0000-0000-0000E0080000}"/>
    <cellStyle name="Normal 60 2" xfId="2544" xr:uid="{00000000-0005-0000-0000-0000E1080000}"/>
    <cellStyle name="Normal 61" xfId="652" xr:uid="{00000000-0005-0000-0000-0000E2080000}"/>
    <cellStyle name="Normal 61 2" xfId="2545" xr:uid="{00000000-0005-0000-0000-0000E3080000}"/>
    <cellStyle name="Normal 62" xfId="653" xr:uid="{00000000-0005-0000-0000-0000E4080000}"/>
    <cellStyle name="Normal 62 2" xfId="2546" xr:uid="{00000000-0005-0000-0000-0000E5080000}"/>
    <cellStyle name="Normal 63" xfId="654" xr:uid="{00000000-0005-0000-0000-0000E6080000}"/>
    <cellStyle name="Normal 63 2" xfId="2547" xr:uid="{00000000-0005-0000-0000-0000E7080000}"/>
    <cellStyle name="Normal 64" xfId="655" xr:uid="{00000000-0005-0000-0000-0000E8080000}"/>
    <cellStyle name="Normal 64 2" xfId="2548" xr:uid="{00000000-0005-0000-0000-0000E9080000}"/>
    <cellStyle name="Normal 65" xfId="656" xr:uid="{00000000-0005-0000-0000-0000EA080000}"/>
    <cellStyle name="Normal 65 2" xfId="2549" xr:uid="{00000000-0005-0000-0000-0000EB080000}"/>
    <cellStyle name="Normal 66" xfId="657" xr:uid="{00000000-0005-0000-0000-0000EC080000}"/>
    <cellStyle name="Normal 66 2" xfId="2550" xr:uid="{00000000-0005-0000-0000-0000ED080000}"/>
    <cellStyle name="Normal 67" xfId="658" xr:uid="{00000000-0005-0000-0000-0000EE080000}"/>
    <cellStyle name="Normal 67 2" xfId="2551" xr:uid="{00000000-0005-0000-0000-0000EF080000}"/>
    <cellStyle name="Normal 68" xfId="659" xr:uid="{00000000-0005-0000-0000-0000F0080000}"/>
    <cellStyle name="Normal 68 2" xfId="955" xr:uid="{00000000-0005-0000-0000-0000F1080000}"/>
    <cellStyle name="Normal 69" xfId="660" xr:uid="{00000000-0005-0000-0000-0000F2080000}"/>
    <cellStyle name="Normal 69 2" xfId="956" xr:uid="{00000000-0005-0000-0000-0000F3080000}"/>
    <cellStyle name="Normal 7" xfId="661" xr:uid="{00000000-0005-0000-0000-0000F4080000}"/>
    <cellStyle name="Normal 7 2" xfId="662" xr:uid="{00000000-0005-0000-0000-0000F5080000}"/>
    <cellStyle name="Normal 7 2 2" xfId="2552" xr:uid="{00000000-0005-0000-0000-0000F6080000}"/>
    <cellStyle name="Normal 7 2 3" xfId="2905" xr:uid="{00000000-0005-0000-0000-0000F7080000}"/>
    <cellStyle name="Normal 7 3" xfId="663" xr:uid="{00000000-0005-0000-0000-0000F8080000}"/>
    <cellStyle name="Normal 7 3 2" xfId="2906" xr:uid="{00000000-0005-0000-0000-0000F9080000}"/>
    <cellStyle name="Normal 7 4" xfId="2904" xr:uid="{00000000-0005-0000-0000-0000FA080000}"/>
    <cellStyle name="Normal 70" xfId="664" xr:uid="{00000000-0005-0000-0000-0000FB080000}"/>
    <cellStyle name="Normal 70 2" xfId="2553" xr:uid="{00000000-0005-0000-0000-0000FC080000}"/>
    <cellStyle name="Normal 71" xfId="665" xr:uid="{00000000-0005-0000-0000-0000FD080000}"/>
    <cellStyle name="Normal 71 2" xfId="2554" xr:uid="{00000000-0005-0000-0000-0000FE080000}"/>
    <cellStyle name="Normal 72" xfId="666" xr:uid="{00000000-0005-0000-0000-0000FF080000}"/>
    <cellStyle name="Normal 72 2" xfId="2555" xr:uid="{00000000-0005-0000-0000-000000090000}"/>
    <cellStyle name="Normal 73" xfId="667" xr:uid="{00000000-0005-0000-0000-000001090000}"/>
    <cellStyle name="Normal 73 2" xfId="2556" xr:uid="{00000000-0005-0000-0000-000002090000}"/>
    <cellStyle name="Normal 74" xfId="668" xr:uid="{00000000-0005-0000-0000-000003090000}"/>
    <cellStyle name="Normal 74 2" xfId="2860" xr:uid="{00000000-0005-0000-0000-000004090000}"/>
    <cellStyle name="Normal 75" xfId="669" xr:uid="{00000000-0005-0000-0000-000005090000}"/>
    <cellStyle name="Normal 75 2" xfId="2866" xr:uid="{00000000-0005-0000-0000-000006090000}"/>
    <cellStyle name="Normal 76" xfId="670" xr:uid="{00000000-0005-0000-0000-000007090000}"/>
    <cellStyle name="Normal 76 2" xfId="2865" xr:uid="{00000000-0005-0000-0000-000008090000}"/>
    <cellStyle name="Normal 77" xfId="671" xr:uid="{00000000-0005-0000-0000-000009090000}"/>
    <cellStyle name="Normal 78" xfId="672" xr:uid="{00000000-0005-0000-0000-00000A090000}"/>
    <cellStyle name="Normal 79" xfId="673" xr:uid="{00000000-0005-0000-0000-00000B090000}"/>
    <cellStyle name="Normal 8" xfId="674" xr:uid="{00000000-0005-0000-0000-00000C090000}"/>
    <cellStyle name="Normal 8 2" xfId="675" xr:uid="{00000000-0005-0000-0000-00000D090000}"/>
    <cellStyle name="Normal 8 2 2" xfId="2557" xr:uid="{00000000-0005-0000-0000-00000E090000}"/>
    <cellStyle name="Normal 8 3" xfId="676" xr:uid="{00000000-0005-0000-0000-00000F090000}"/>
    <cellStyle name="Normal 8 4" xfId="677" xr:uid="{00000000-0005-0000-0000-000010090000}"/>
    <cellStyle name="Normal 80" xfId="678" xr:uid="{00000000-0005-0000-0000-000011090000}"/>
    <cellStyle name="Normal 81" xfId="679" xr:uid="{00000000-0005-0000-0000-000012090000}"/>
    <cellStyle name="Normal 82" xfId="680" xr:uid="{00000000-0005-0000-0000-000013090000}"/>
    <cellStyle name="Normal 83" xfId="681" xr:uid="{00000000-0005-0000-0000-000014090000}"/>
    <cellStyle name="Normal 84" xfId="682" xr:uid="{00000000-0005-0000-0000-000015090000}"/>
    <cellStyle name="Normal 85" xfId="683" xr:uid="{00000000-0005-0000-0000-000016090000}"/>
    <cellStyle name="Normal 86" xfId="684" xr:uid="{00000000-0005-0000-0000-000017090000}"/>
    <cellStyle name="Normal 87" xfId="685" xr:uid="{00000000-0005-0000-0000-000018090000}"/>
    <cellStyle name="Normal 88" xfId="686" xr:uid="{00000000-0005-0000-0000-000019090000}"/>
    <cellStyle name="Normal 89" xfId="687" xr:uid="{00000000-0005-0000-0000-00001A090000}"/>
    <cellStyle name="Normal 9" xfId="688" xr:uid="{00000000-0005-0000-0000-00001B090000}"/>
    <cellStyle name="Normal 9 2" xfId="689" xr:uid="{00000000-0005-0000-0000-00001C090000}"/>
    <cellStyle name="Normal 9 2 2" xfId="2558" xr:uid="{00000000-0005-0000-0000-00001D090000}"/>
    <cellStyle name="Normal 9 3" xfId="690" xr:uid="{00000000-0005-0000-0000-00001E090000}"/>
    <cellStyle name="Normal 9 4" xfId="2907" xr:uid="{00000000-0005-0000-0000-00001F090000}"/>
    <cellStyle name="Normal 90" xfId="691" xr:uid="{00000000-0005-0000-0000-000020090000}"/>
    <cellStyle name="Normal 91" xfId="692" xr:uid="{00000000-0005-0000-0000-000021090000}"/>
    <cellStyle name="Normal 92" xfId="693" xr:uid="{00000000-0005-0000-0000-000022090000}"/>
    <cellStyle name="Normal 93" xfId="694" xr:uid="{00000000-0005-0000-0000-000023090000}"/>
    <cellStyle name="Normal 94" xfId="695" xr:uid="{00000000-0005-0000-0000-000024090000}"/>
    <cellStyle name="Normal 95" xfId="696" xr:uid="{00000000-0005-0000-0000-000025090000}"/>
    <cellStyle name="Normal 96" xfId="697" xr:uid="{00000000-0005-0000-0000-000026090000}"/>
    <cellStyle name="Normal 97" xfId="698" xr:uid="{00000000-0005-0000-0000-000027090000}"/>
    <cellStyle name="Normal 98" xfId="699" xr:uid="{00000000-0005-0000-0000-000028090000}"/>
    <cellStyle name="Normal 99" xfId="700" xr:uid="{00000000-0005-0000-0000-000029090000}"/>
    <cellStyle name="Normál_Borsod" xfId="2559" xr:uid="{00000000-0005-0000-0000-00002A090000}"/>
    <cellStyle name="Normaɬ_Staffing_1_OSS-I Venture 1 Client 7-19(GJP) v3" xfId="701" xr:uid="{00000000-0005-0000-0000-00002D090000}"/>
    <cellStyle name="Normale 10" xfId="702" xr:uid="{00000000-0005-0000-0000-00002E090000}"/>
    <cellStyle name="Normale 13" xfId="703" xr:uid="{00000000-0005-0000-0000-00002F090000}"/>
    <cellStyle name="Normale 18" xfId="704" xr:uid="{00000000-0005-0000-0000-000030090000}"/>
    <cellStyle name="Normale 2" xfId="705" xr:uid="{00000000-0005-0000-0000-000031090000}"/>
    <cellStyle name="Normale 2 2" xfId="706" xr:uid="{00000000-0005-0000-0000-000032090000}"/>
    <cellStyle name="Normale 2 2 2" xfId="707" xr:uid="{00000000-0005-0000-0000-000033090000}"/>
    <cellStyle name="Normale 2 2 3" xfId="708" xr:uid="{00000000-0005-0000-0000-000034090000}"/>
    <cellStyle name="Normale 2 2_Package_vers38_SVIL" xfId="709" xr:uid="{00000000-0005-0000-0000-000035090000}"/>
    <cellStyle name="Normale 2 3" xfId="710" xr:uid="{00000000-0005-0000-0000-000036090000}"/>
    <cellStyle name="Normale 2 3 2" xfId="711" xr:uid="{00000000-0005-0000-0000-000037090000}"/>
    <cellStyle name="Normale 2 3 3" xfId="712" xr:uid="{00000000-0005-0000-0000-000038090000}"/>
    <cellStyle name="Normale 2 3_Package_vers38_SVIL" xfId="713" xr:uid="{00000000-0005-0000-0000-000039090000}"/>
    <cellStyle name="Normale 2 4" xfId="714" xr:uid="{00000000-0005-0000-0000-00003A090000}"/>
    <cellStyle name="Normale 2 4 2" xfId="715" xr:uid="{00000000-0005-0000-0000-00003B090000}"/>
    <cellStyle name="Normale 2 4_Package_vers38_SVIL" xfId="716" xr:uid="{00000000-0005-0000-0000-00003C090000}"/>
    <cellStyle name="Normale 2 5" xfId="717" xr:uid="{00000000-0005-0000-0000-00003D090000}"/>
    <cellStyle name="Normale 2 5 2" xfId="718" xr:uid="{00000000-0005-0000-0000-00003E090000}"/>
    <cellStyle name="Normale 2 5_Package_vers38_SVIL" xfId="719" xr:uid="{00000000-0005-0000-0000-00003F090000}"/>
    <cellStyle name="Normale 2 6" xfId="720" xr:uid="{00000000-0005-0000-0000-000040090000}"/>
    <cellStyle name="Normale 2 6 2" xfId="721" xr:uid="{00000000-0005-0000-0000-000041090000}"/>
    <cellStyle name="Normale 2 7" xfId="722" xr:uid="{00000000-0005-0000-0000-000042090000}"/>
    <cellStyle name="Normale 2 7 2" xfId="723" xr:uid="{00000000-0005-0000-0000-000043090000}"/>
    <cellStyle name="Normale 2 8" xfId="724" xr:uid="{00000000-0005-0000-0000-000044090000}"/>
    <cellStyle name="Normale 2 8 2" xfId="725" xr:uid="{00000000-0005-0000-0000-000045090000}"/>
    <cellStyle name="Normale 2_Book Report Rinnovabili v1" xfId="726" xr:uid="{00000000-0005-0000-0000-000046090000}"/>
    <cellStyle name="Normale 3" xfId="727" xr:uid="{00000000-0005-0000-0000-000047090000}"/>
    <cellStyle name="Normale 3 2" xfId="728" xr:uid="{00000000-0005-0000-0000-000048090000}"/>
    <cellStyle name="Normale 3 2 2" xfId="729" xr:uid="{00000000-0005-0000-0000-000049090000}"/>
    <cellStyle name="Normale 3 2 2 2" xfId="730" xr:uid="{00000000-0005-0000-0000-00004A090000}"/>
    <cellStyle name="Normale 3 2 2 3" xfId="731" xr:uid="{00000000-0005-0000-0000-00004B090000}"/>
    <cellStyle name="Normale 3 2 2_Package_vers38_SVIL" xfId="732" xr:uid="{00000000-0005-0000-0000-00004C090000}"/>
    <cellStyle name="Normale 3 2 3" xfId="733" xr:uid="{00000000-0005-0000-0000-00004D090000}"/>
    <cellStyle name="Normale 3 2_Package_vers38_SVIL" xfId="734" xr:uid="{00000000-0005-0000-0000-00004E090000}"/>
    <cellStyle name="Normale 3 3" xfId="735" xr:uid="{00000000-0005-0000-0000-00004F090000}"/>
    <cellStyle name="Normale 3 3 2" xfId="736" xr:uid="{00000000-0005-0000-0000-000050090000}"/>
    <cellStyle name="Normale 3 3_Package_vers38_SVIL" xfId="737" xr:uid="{00000000-0005-0000-0000-000051090000}"/>
    <cellStyle name="Normale 3 4" xfId="738" xr:uid="{00000000-0005-0000-0000-000052090000}"/>
    <cellStyle name="Normale 3 4 2" xfId="739" xr:uid="{00000000-0005-0000-0000-000053090000}"/>
    <cellStyle name="Normale 3 4_Package_vers38_SVIL" xfId="740" xr:uid="{00000000-0005-0000-0000-000054090000}"/>
    <cellStyle name="Normale 3 5" xfId="741" xr:uid="{00000000-0005-0000-0000-000055090000}"/>
    <cellStyle name="Normale 3 6" xfId="742" xr:uid="{00000000-0005-0000-0000-000056090000}"/>
    <cellStyle name="Normale 3 7" xfId="743" xr:uid="{00000000-0005-0000-0000-000057090000}"/>
    <cellStyle name="Normale 3 8" xfId="744" xr:uid="{00000000-0005-0000-0000-000058090000}"/>
    <cellStyle name="Normale 4" xfId="745" xr:uid="{00000000-0005-0000-0000-000059090000}"/>
    <cellStyle name="Normale 4 2" xfId="746" xr:uid="{00000000-0005-0000-0000-00005A090000}"/>
    <cellStyle name="Normale 5" xfId="747" xr:uid="{00000000-0005-0000-0000-00005B090000}"/>
    <cellStyle name="Normale 5 2" xfId="748" xr:uid="{00000000-0005-0000-0000-00005C090000}"/>
    <cellStyle name="Normale 5 3" xfId="749" xr:uid="{00000000-0005-0000-0000-00005D090000}"/>
    <cellStyle name="Normale 5 4" xfId="750" xr:uid="{00000000-0005-0000-0000-00005E090000}"/>
    <cellStyle name="Normale 6" xfId="751" xr:uid="{00000000-0005-0000-0000-00005F090000}"/>
    <cellStyle name="Normale 6 4" xfId="752" xr:uid="{00000000-0005-0000-0000-000060090000}"/>
    <cellStyle name="Normale 6 6" xfId="753" xr:uid="{00000000-0005-0000-0000-000061090000}"/>
    <cellStyle name="Normale 6 7" xfId="754" xr:uid="{00000000-0005-0000-0000-000062090000}"/>
    <cellStyle name="Normale 6_Divisional Book Report 2011v. 2003 2" xfId="755" xr:uid="{00000000-0005-0000-0000-000063090000}"/>
    <cellStyle name="Normale 7" xfId="756" xr:uid="{00000000-0005-0000-0000-000064090000}"/>
    <cellStyle name="Normale 8 2" xfId="757" xr:uid="{00000000-0005-0000-0000-000065090000}"/>
    <cellStyle name="Normale 9 3" xfId="758" xr:uid="{00000000-0005-0000-0000-000066090000}"/>
    <cellStyle name="Normale_Tariff v1 year demand v2" xfId="2908" xr:uid="{00000000-0005-0000-0000-000067090000}"/>
    <cellStyle name="Normale-2" xfId="759" xr:uid="{00000000-0005-0000-0000-000068090000}"/>
    <cellStyle name="normální_systemizace k 1 1 2008" xfId="2560" xr:uid="{00000000-0005-0000-0000-000069090000}"/>
    <cellStyle name="Not in Use" xfId="2561" xr:uid="{00000000-0005-0000-0000-00006A090000}"/>
    <cellStyle name="Nota" xfId="2562" xr:uid="{00000000-0005-0000-0000-00006B090000}"/>
    <cellStyle name="Notas" xfId="760" xr:uid="{00000000-0005-0000-0000-00006C090000}"/>
    <cellStyle name="Note" xfId="17" builtinId="10" customBuiltin="1"/>
    <cellStyle name="Note 2" xfId="761" xr:uid="{00000000-0005-0000-0000-00006E090000}"/>
    <cellStyle name="Note 2 2" xfId="762" xr:uid="{00000000-0005-0000-0000-00006F090000}"/>
    <cellStyle name="Note 2 2 2" xfId="763" xr:uid="{00000000-0005-0000-0000-000070090000}"/>
    <cellStyle name="Note 2 2 3" xfId="2563" xr:uid="{00000000-0005-0000-0000-000071090000}"/>
    <cellStyle name="Note 2 3" xfId="764" xr:uid="{00000000-0005-0000-0000-000072090000}"/>
    <cellStyle name="Note 2 3 2" xfId="765" xr:uid="{00000000-0005-0000-0000-000073090000}"/>
    <cellStyle name="Note 2 4" xfId="766" xr:uid="{00000000-0005-0000-0000-000074090000}"/>
    <cellStyle name="Note 3" xfId="767" xr:uid="{00000000-0005-0000-0000-000075090000}"/>
    <cellStyle name="Note 3 2" xfId="768" xr:uid="{00000000-0005-0000-0000-000076090000}"/>
    <cellStyle name="Note 3 3" xfId="2564" xr:uid="{00000000-0005-0000-0000-000077090000}"/>
    <cellStyle name="Note 4" xfId="769" xr:uid="{00000000-0005-0000-0000-000078090000}"/>
    <cellStyle name="Note 4 2" xfId="770" xr:uid="{00000000-0005-0000-0000-000079090000}"/>
    <cellStyle name="Note 4 3" xfId="2565" xr:uid="{00000000-0005-0000-0000-00007A090000}"/>
    <cellStyle name="Note 5" xfId="771" xr:uid="{00000000-0005-0000-0000-00007B090000}"/>
    <cellStyle name="Note 5 2" xfId="2566" xr:uid="{00000000-0005-0000-0000-00007C090000}"/>
    <cellStyle name="Note 6" xfId="772" xr:uid="{00000000-0005-0000-0000-00007D090000}"/>
    <cellStyle name="Note 6 2" xfId="2567" xr:uid="{00000000-0005-0000-0000-00007E090000}"/>
    <cellStyle name="Note 7" xfId="773" xr:uid="{00000000-0005-0000-0000-00007F090000}"/>
    <cellStyle name="Note 7 2" xfId="2569" xr:uid="{00000000-0005-0000-0000-000080090000}"/>
    <cellStyle name="Note 7 3" xfId="2570" xr:uid="{00000000-0005-0000-0000-000081090000}"/>
    <cellStyle name="Note 7 4" xfId="2568" xr:uid="{00000000-0005-0000-0000-000082090000}"/>
    <cellStyle name="Note 8" xfId="774" xr:uid="{00000000-0005-0000-0000-000083090000}"/>
    <cellStyle name="Note 8 2" xfId="2572" xr:uid="{00000000-0005-0000-0000-000084090000}"/>
    <cellStyle name="Note 8 3" xfId="2573" xr:uid="{00000000-0005-0000-0000-000085090000}"/>
    <cellStyle name="Note 8 4" xfId="2571" xr:uid="{00000000-0005-0000-0000-000086090000}"/>
    <cellStyle name="Note 9" xfId="775" xr:uid="{00000000-0005-0000-0000-000087090000}"/>
    <cellStyle name="Note 9 2" xfId="2574" xr:uid="{00000000-0005-0000-0000-000088090000}"/>
    <cellStyle name="NotPercent" xfId="2575" xr:uid="{00000000-0005-0000-0000-000089090000}"/>
    <cellStyle name="NotPercent 2" xfId="2576" xr:uid="{00000000-0005-0000-0000-00008A090000}"/>
    <cellStyle name="Œ…‹æØ‚è [0.00]_Area" xfId="776" xr:uid="{00000000-0005-0000-0000-00008B090000}"/>
    <cellStyle name="Œ…‹æØ‚è_Area" xfId="777" xr:uid="{00000000-0005-0000-0000-00008C090000}"/>
    <cellStyle name="OFSL -" xfId="2577" xr:uid="{00000000-0005-0000-0000-00008D090000}"/>
    <cellStyle name="OFSL $" xfId="2578" xr:uid="{00000000-0005-0000-0000-00008E090000}"/>
    <cellStyle name="OFSL %" xfId="2579" xr:uid="{00000000-0005-0000-0000-00008F090000}"/>
    <cellStyle name="OFSL £" xfId="2580" xr:uid="{00000000-0005-0000-0000-000090090000}"/>
    <cellStyle name="OFSL €" xfId="2581" xr:uid="{00000000-0005-0000-0000-000091090000}"/>
    <cellStyle name="OFSL DDMMYY" xfId="2582" xr:uid="{00000000-0005-0000-0000-000092090000}"/>
    <cellStyle name="OFSL DDMMYY 2" xfId="2583" xr:uid="{00000000-0005-0000-0000-000093090000}"/>
    <cellStyle name="OperisDateOutputs" xfId="2584" xr:uid="{00000000-0005-0000-0000-000094090000}"/>
    <cellStyle name="OperisDateOutputs 2" xfId="2585" xr:uid="{00000000-0005-0000-0000-000095090000}"/>
    <cellStyle name="OperisMoneyWorkings" xfId="2586" xr:uid="{00000000-0005-0000-0000-000096090000}"/>
    <cellStyle name="OperisMoneyWorkings 2" xfId="2587" xr:uid="{00000000-0005-0000-0000-000097090000}"/>
    <cellStyle name="OSL -" xfId="2588" xr:uid="{00000000-0005-0000-0000-000098090000}"/>
    <cellStyle name="OSL - 2" xfId="2589" xr:uid="{00000000-0005-0000-0000-000099090000}"/>
    <cellStyle name="OSL $" xfId="2590" xr:uid="{00000000-0005-0000-0000-00009A090000}"/>
    <cellStyle name="OSL $ 2" xfId="2591" xr:uid="{00000000-0005-0000-0000-00009B090000}"/>
    <cellStyle name="OSL %" xfId="2592" xr:uid="{00000000-0005-0000-0000-00009C090000}"/>
    <cellStyle name="OSL % 2" xfId="2593" xr:uid="{00000000-0005-0000-0000-00009D090000}"/>
    <cellStyle name="OSL £" xfId="2594" xr:uid="{00000000-0005-0000-0000-00009E090000}"/>
    <cellStyle name="OSL £ 2" xfId="2595" xr:uid="{00000000-0005-0000-0000-00009F090000}"/>
    <cellStyle name="OSL €" xfId="2596" xr:uid="{00000000-0005-0000-0000-0000A0090000}"/>
    <cellStyle name="OSL € 2" xfId="2597" xr:uid="{00000000-0005-0000-0000-0000A1090000}"/>
    <cellStyle name="OSL DDMMYY" xfId="2598" xr:uid="{00000000-0005-0000-0000-0000A2090000}"/>
    <cellStyle name="OSL DDMMYY 2" xfId="2599" xr:uid="{00000000-0005-0000-0000-0000A3090000}"/>
    <cellStyle name="Outlined" xfId="2600" xr:uid="{00000000-0005-0000-0000-0000A4090000}"/>
    <cellStyle name="Output 2" xfId="778" xr:uid="{00000000-0005-0000-0000-0000A5090000}"/>
    <cellStyle name="Output 2 2" xfId="779" xr:uid="{00000000-0005-0000-0000-0000A6090000}"/>
    <cellStyle name="Output 3" xfId="780" xr:uid="{00000000-0005-0000-0000-0000A7090000}"/>
    <cellStyle name="Output 3 2" xfId="2601" xr:uid="{00000000-0005-0000-0000-0000A8090000}"/>
    <cellStyle name="Output 4" xfId="781" xr:uid="{00000000-0005-0000-0000-0000A9090000}"/>
    <cellStyle name="Output 4 2" xfId="2602" xr:uid="{00000000-0005-0000-0000-0000AA090000}"/>
    <cellStyle name="Output 5" xfId="2603" xr:uid="{00000000-0005-0000-0000-0000AB090000}"/>
    <cellStyle name="Output 6" xfId="2604" xr:uid="{00000000-0005-0000-0000-0000AC090000}"/>
    <cellStyle name="OUTPUT AMOUNTS" xfId="2605" xr:uid="{00000000-0005-0000-0000-0000AD090000}"/>
    <cellStyle name="OUTPUT COLUMN HEADINGS" xfId="2606" xr:uid="{00000000-0005-0000-0000-0000AE090000}"/>
    <cellStyle name="OUTPUT LINE ITEMS" xfId="2607" xr:uid="{00000000-0005-0000-0000-0000AF090000}"/>
    <cellStyle name="OUTPUT REPORT HEADING" xfId="2608" xr:uid="{00000000-0005-0000-0000-0000B0090000}"/>
    <cellStyle name="OUTPUT REPORT TITLE" xfId="2609" xr:uid="{00000000-0005-0000-0000-0000B1090000}"/>
    <cellStyle name="Outputs (Locked)" xfId="2610" xr:uid="{00000000-0005-0000-0000-0000B2090000}"/>
    <cellStyle name="Outputs (Locked) 2" xfId="2611" xr:uid="{00000000-0005-0000-0000-0000B3090000}"/>
    <cellStyle name="Page Heading Large" xfId="2612" xr:uid="{00000000-0005-0000-0000-0000B4090000}"/>
    <cellStyle name="Page Heading Small" xfId="2613" xr:uid="{00000000-0005-0000-0000-0000B5090000}"/>
    <cellStyle name="Page Number" xfId="782" xr:uid="{00000000-0005-0000-0000-0000B6090000}"/>
    <cellStyle name="Page Title" xfId="2614" xr:uid="{00000000-0005-0000-0000-0000B7090000}"/>
    <cellStyle name="PB Table Heading" xfId="2615" xr:uid="{00000000-0005-0000-0000-0000B8090000}"/>
    <cellStyle name="PB Table Highlight1" xfId="2616" xr:uid="{00000000-0005-0000-0000-0000B9090000}"/>
    <cellStyle name="PB Table Highlight2" xfId="2617" xr:uid="{00000000-0005-0000-0000-0000BA090000}"/>
    <cellStyle name="PB Table Highlight2 2" xfId="2618" xr:uid="{00000000-0005-0000-0000-0000BB090000}"/>
    <cellStyle name="PB Table Highlight3" xfId="2619" xr:uid="{00000000-0005-0000-0000-0000BC090000}"/>
    <cellStyle name="PB Table Highlight3 2" xfId="2620" xr:uid="{00000000-0005-0000-0000-0000BD090000}"/>
    <cellStyle name="PB Table Standard Row" xfId="2621" xr:uid="{00000000-0005-0000-0000-0000BE090000}"/>
    <cellStyle name="PB Table Subtotal Row" xfId="2622" xr:uid="{00000000-0005-0000-0000-0000BF090000}"/>
    <cellStyle name="PB Table Subtotal Row 2" xfId="2623" xr:uid="{00000000-0005-0000-0000-0000C0090000}"/>
    <cellStyle name="PB Table Total Row" xfId="2624" xr:uid="{00000000-0005-0000-0000-0000C1090000}"/>
    <cellStyle name="Percent (1)" xfId="783" xr:uid="{00000000-0005-0000-0000-0000C2090000}"/>
    <cellStyle name="Percent (2)" xfId="784" xr:uid="{00000000-0005-0000-0000-0000C3090000}"/>
    <cellStyle name="Percent [0]" xfId="2625" xr:uid="{00000000-0005-0000-0000-0000C4090000}"/>
    <cellStyle name="Percent [1]" xfId="2626" xr:uid="{00000000-0005-0000-0000-0000C5090000}"/>
    <cellStyle name="Percent [2]" xfId="785" xr:uid="{00000000-0005-0000-0000-0000C6090000}"/>
    <cellStyle name="Percent [2] 2" xfId="2627" xr:uid="{00000000-0005-0000-0000-0000C7090000}"/>
    <cellStyle name="Percent 10" xfId="786" xr:uid="{00000000-0005-0000-0000-0000C8090000}"/>
    <cellStyle name="Percent 11" xfId="787" xr:uid="{00000000-0005-0000-0000-0000C9090000}"/>
    <cellStyle name="Percent 2" xfId="788" xr:uid="{00000000-0005-0000-0000-0000CA090000}"/>
    <cellStyle name="Percent 2 2" xfId="789" xr:uid="{00000000-0005-0000-0000-0000CB090000}"/>
    <cellStyle name="Percent 2 2 2" xfId="790" xr:uid="{00000000-0005-0000-0000-0000CC090000}"/>
    <cellStyle name="Percent 2 2 3" xfId="2629" xr:uid="{00000000-0005-0000-0000-0000CD090000}"/>
    <cellStyle name="Percent 2 3" xfId="791" xr:uid="{00000000-0005-0000-0000-0000CE090000}"/>
    <cellStyle name="Percent 2 3 2" xfId="2630" xr:uid="{00000000-0005-0000-0000-0000CF090000}"/>
    <cellStyle name="Percent 2 4" xfId="2628" xr:uid="{00000000-0005-0000-0000-0000D0090000}"/>
    <cellStyle name="Percent 3" xfId="792" xr:uid="{00000000-0005-0000-0000-0000D1090000}"/>
    <cellStyle name="Percent 3 2" xfId="793" xr:uid="{00000000-0005-0000-0000-0000D2090000}"/>
    <cellStyle name="Percent 3 2 2" xfId="2632" xr:uid="{00000000-0005-0000-0000-0000D3090000}"/>
    <cellStyle name="Percent 3 3" xfId="794" xr:uid="{00000000-0005-0000-0000-0000D4090000}"/>
    <cellStyle name="Percent 3 4" xfId="2631" xr:uid="{00000000-0005-0000-0000-0000D5090000}"/>
    <cellStyle name="Percent 4" xfId="795" xr:uid="{00000000-0005-0000-0000-0000D6090000}"/>
    <cellStyle name="Percent 4 2" xfId="2634" xr:uid="{00000000-0005-0000-0000-0000D7090000}"/>
    <cellStyle name="Percent 4 3" xfId="2633" xr:uid="{00000000-0005-0000-0000-0000D8090000}"/>
    <cellStyle name="Percent 5" xfId="796" xr:uid="{00000000-0005-0000-0000-0000D9090000}"/>
    <cellStyle name="Percent 5 2" xfId="2635" xr:uid="{00000000-0005-0000-0000-0000DA090000}"/>
    <cellStyle name="Percent 6" xfId="797" xr:uid="{00000000-0005-0000-0000-0000DB090000}"/>
    <cellStyle name="Percent 6 2" xfId="2636" xr:uid="{00000000-0005-0000-0000-0000DC090000}"/>
    <cellStyle name="Percent 7" xfId="798" xr:uid="{00000000-0005-0000-0000-0000DD090000}"/>
    <cellStyle name="Percent 7 2" xfId="2637" xr:uid="{00000000-0005-0000-0000-0000DE090000}"/>
    <cellStyle name="Percent 8" xfId="799" xr:uid="{00000000-0005-0000-0000-0000DF090000}"/>
    <cellStyle name="Percent 8 2" xfId="2638" xr:uid="{00000000-0005-0000-0000-0000E0090000}"/>
    <cellStyle name="Percent 9" xfId="800" xr:uid="{00000000-0005-0000-0000-0000E1090000}"/>
    <cellStyle name="Percent 9 2" xfId="2639" xr:uid="{00000000-0005-0000-0000-0000E2090000}"/>
    <cellStyle name="Percent Hard" xfId="2640" xr:uid="{00000000-0005-0000-0000-0000E3090000}"/>
    <cellStyle name="Percent Hard 2" xfId="2641" xr:uid="{00000000-0005-0000-0000-0000E4090000}"/>
    <cellStyle name="percentage" xfId="801" xr:uid="{00000000-0005-0000-0000-0000E5090000}"/>
    <cellStyle name="Percentuale 2" xfId="802" xr:uid="{00000000-0005-0000-0000-0000E6090000}"/>
    <cellStyle name="Percentuale 2 2" xfId="803" xr:uid="{00000000-0005-0000-0000-0000E7090000}"/>
    <cellStyle name="Percentuale 3" xfId="804" xr:uid="{00000000-0005-0000-0000-0000E8090000}"/>
    <cellStyle name="Percentuale 4" xfId="805" xr:uid="{00000000-0005-0000-0000-0000E9090000}"/>
    <cellStyle name="Percentuale 5" xfId="806" xr:uid="{00000000-0005-0000-0000-0000EA090000}"/>
    <cellStyle name="PillarData" xfId="807" xr:uid="{00000000-0005-0000-0000-0000EB090000}"/>
    <cellStyle name="PillarHeading" xfId="808" xr:uid="{00000000-0005-0000-0000-0000EC090000}"/>
    <cellStyle name="PillarText" xfId="809" xr:uid="{00000000-0005-0000-0000-0000ED090000}"/>
    <cellStyle name="PillarTotal" xfId="810" xr:uid="{00000000-0005-0000-0000-0000EE090000}"/>
    <cellStyle name="Placeholder" xfId="2642" xr:uid="{00000000-0005-0000-0000-0000EF090000}"/>
    <cellStyle name="Porcentual_Deudas EDC 122001" xfId="2643" xr:uid="{00000000-0005-0000-0000-0000F0090000}"/>
    <cellStyle name="Pourcentage" xfId="2911" builtinId="5"/>
    <cellStyle name="Pourcentage 2" xfId="811" xr:uid="{00000000-0005-0000-0000-0000F2090000}"/>
    <cellStyle name="Pourcentage 2 2" xfId="812" xr:uid="{00000000-0005-0000-0000-0000F3090000}"/>
    <cellStyle name="Pourcentage 2 2 2" xfId="2644" xr:uid="{00000000-0005-0000-0000-0000F4090000}"/>
    <cellStyle name="Pourcentage 3" xfId="813" xr:uid="{00000000-0005-0000-0000-0000F5090000}"/>
    <cellStyle name="Pourcentage 3 2" xfId="2645" xr:uid="{00000000-0005-0000-0000-0000F6090000}"/>
    <cellStyle name="Pourcentage 3 3" xfId="2909" xr:uid="{00000000-0005-0000-0000-0000F7090000}"/>
    <cellStyle name="Pourcentage 4" xfId="814" xr:uid="{00000000-0005-0000-0000-0000F8090000}"/>
    <cellStyle name="Pourcentage 4 2" xfId="2647" xr:uid="{00000000-0005-0000-0000-0000F9090000}"/>
    <cellStyle name="Pourcentage 4 3" xfId="2646" xr:uid="{00000000-0005-0000-0000-0000FA090000}"/>
    <cellStyle name="Pourcentage 5" xfId="815" xr:uid="{00000000-0005-0000-0000-0000FB090000}"/>
    <cellStyle name="Pourcentage 5 2" xfId="816" xr:uid="{00000000-0005-0000-0000-0000FC090000}"/>
    <cellStyle name="Pourcentage 5 3" xfId="817" xr:uid="{00000000-0005-0000-0000-0000FD090000}"/>
    <cellStyle name="Power Price" xfId="2648" xr:uid="{00000000-0005-0000-0000-0000FE090000}"/>
    <cellStyle name="Present Value" xfId="2649" xr:uid="{00000000-0005-0000-0000-0000FF090000}"/>
    <cellStyle name="PSChar" xfId="2650" xr:uid="{00000000-0005-0000-0000-0000000A0000}"/>
    <cellStyle name="PSChar 2" xfId="2651" xr:uid="{00000000-0005-0000-0000-0000010A0000}"/>
    <cellStyle name="PSDate" xfId="2652" xr:uid="{00000000-0005-0000-0000-0000020A0000}"/>
    <cellStyle name="PSDate 2" xfId="2653" xr:uid="{00000000-0005-0000-0000-0000030A0000}"/>
    <cellStyle name="PSDec" xfId="2654" xr:uid="{00000000-0005-0000-0000-0000040A0000}"/>
    <cellStyle name="PSDec 2" xfId="2655" xr:uid="{00000000-0005-0000-0000-0000050A0000}"/>
    <cellStyle name="PSHeading" xfId="2656" xr:uid="{00000000-0005-0000-0000-0000060A0000}"/>
    <cellStyle name="PSInt" xfId="2657" xr:uid="{00000000-0005-0000-0000-0000070A0000}"/>
    <cellStyle name="PSInt 2" xfId="2658" xr:uid="{00000000-0005-0000-0000-0000080A0000}"/>
    <cellStyle name="PSSpacer" xfId="2659" xr:uid="{00000000-0005-0000-0000-0000090A0000}"/>
    <cellStyle name="PSSpacer 2" xfId="2660" xr:uid="{00000000-0005-0000-0000-00000A0A0000}"/>
    <cellStyle name="quotefisse" xfId="818" xr:uid="{00000000-0005-0000-0000-00000B0A0000}"/>
    <cellStyle name="RangeName" xfId="2661" xr:uid="{00000000-0005-0000-0000-00000C0A0000}"/>
    <cellStyle name="RangeName 2" xfId="2662" xr:uid="{00000000-0005-0000-0000-00000D0A0000}"/>
    <cellStyle name="Relative" xfId="2663" xr:uid="{00000000-0005-0000-0000-00000E0A0000}"/>
    <cellStyle name="Results" xfId="2664" xr:uid="{00000000-0005-0000-0000-00000F0A0000}"/>
    <cellStyle name="Results 2" xfId="2665" xr:uid="{00000000-0005-0000-0000-0000100A0000}"/>
    <cellStyle name="Russian Normal" xfId="2666" xr:uid="{00000000-0005-0000-0000-0000110A0000}"/>
    <cellStyle name="S0" xfId="819" xr:uid="{00000000-0005-0000-0000-0000120A0000}"/>
    <cellStyle name="S1" xfId="820" xr:uid="{00000000-0005-0000-0000-0000130A0000}"/>
    <cellStyle name="S2" xfId="821" xr:uid="{00000000-0005-0000-0000-0000140A0000}"/>
    <cellStyle name="S3" xfId="822" xr:uid="{00000000-0005-0000-0000-0000150A0000}"/>
    <cellStyle name="S4" xfId="823" xr:uid="{00000000-0005-0000-0000-0000160A0000}"/>
    <cellStyle name="S5" xfId="824" xr:uid="{00000000-0005-0000-0000-0000170A0000}"/>
    <cellStyle name="S6" xfId="825" xr:uid="{00000000-0005-0000-0000-0000180A0000}"/>
    <cellStyle name="S7" xfId="826" xr:uid="{00000000-0005-0000-0000-0000190A0000}"/>
    <cellStyle name="S8" xfId="827" xr:uid="{00000000-0005-0000-0000-00001A0A0000}"/>
    <cellStyle name="Saída" xfId="2667" xr:uid="{00000000-0005-0000-0000-00001B0A0000}"/>
    <cellStyle name="Salida" xfId="828" xr:uid="{00000000-0005-0000-0000-00001C0A0000}"/>
    <cellStyle name="SAPBEXaggData" xfId="829" xr:uid="{00000000-0005-0000-0000-00001D0A0000}"/>
    <cellStyle name="SAPBEXaggDataEmph" xfId="830" xr:uid="{00000000-0005-0000-0000-00001E0A0000}"/>
    <cellStyle name="SAPBEXaggItem" xfId="831" xr:uid="{00000000-0005-0000-0000-00001F0A0000}"/>
    <cellStyle name="SAPBEXaggItem 2" xfId="832" xr:uid="{00000000-0005-0000-0000-0000200A0000}"/>
    <cellStyle name="SAPBEXaggItemX" xfId="833" xr:uid="{00000000-0005-0000-0000-0000210A0000}"/>
    <cellStyle name="SAPBEXaggItemX 2" xfId="834" xr:uid="{00000000-0005-0000-0000-0000220A0000}"/>
    <cellStyle name="SAPBEXchaText" xfId="835" xr:uid="{00000000-0005-0000-0000-0000230A0000}"/>
    <cellStyle name="SAPBEXexcBad7" xfId="836" xr:uid="{00000000-0005-0000-0000-0000240A0000}"/>
    <cellStyle name="SAPBEXexcBad7 2" xfId="837" xr:uid="{00000000-0005-0000-0000-0000250A0000}"/>
    <cellStyle name="SAPBEXexcBad8" xfId="838" xr:uid="{00000000-0005-0000-0000-0000260A0000}"/>
    <cellStyle name="SAPBEXexcBad8 2" xfId="839" xr:uid="{00000000-0005-0000-0000-0000270A0000}"/>
    <cellStyle name="SAPBEXexcBad9" xfId="840" xr:uid="{00000000-0005-0000-0000-0000280A0000}"/>
    <cellStyle name="SAPBEXexcBad9 2" xfId="841" xr:uid="{00000000-0005-0000-0000-0000290A0000}"/>
    <cellStyle name="SAPBEXexcCritical4" xfId="842" xr:uid="{00000000-0005-0000-0000-00002A0A0000}"/>
    <cellStyle name="SAPBEXexcCritical4 2" xfId="843" xr:uid="{00000000-0005-0000-0000-00002B0A0000}"/>
    <cellStyle name="SAPBEXexcCritical5" xfId="844" xr:uid="{00000000-0005-0000-0000-00002C0A0000}"/>
    <cellStyle name="SAPBEXexcCritical5 2" xfId="845" xr:uid="{00000000-0005-0000-0000-00002D0A0000}"/>
    <cellStyle name="SAPBEXexcCritical6" xfId="846" xr:uid="{00000000-0005-0000-0000-00002E0A0000}"/>
    <cellStyle name="SAPBEXexcCritical6 2" xfId="847" xr:uid="{00000000-0005-0000-0000-00002F0A0000}"/>
    <cellStyle name="SAPBEXexcGood1" xfId="848" xr:uid="{00000000-0005-0000-0000-0000300A0000}"/>
    <cellStyle name="SAPBEXexcGood1 2" xfId="849" xr:uid="{00000000-0005-0000-0000-0000310A0000}"/>
    <cellStyle name="SAPBEXexcGood2" xfId="850" xr:uid="{00000000-0005-0000-0000-0000320A0000}"/>
    <cellStyle name="SAPBEXexcGood2 2" xfId="851" xr:uid="{00000000-0005-0000-0000-0000330A0000}"/>
    <cellStyle name="SAPBEXexcGood3" xfId="852" xr:uid="{00000000-0005-0000-0000-0000340A0000}"/>
    <cellStyle name="SAPBEXexcGood3 2" xfId="853" xr:uid="{00000000-0005-0000-0000-0000350A0000}"/>
    <cellStyle name="SAPBEXfilterDrill" xfId="854" xr:uid="{00000000-0005-0000-0000-0000360A0000}"/>
    <cellStyle name="SAPBEXfilterDrill 2" xfId="855" xr:uid="{00000000-0005-0000-0000-0000370A0000}"/>
    <cellStyle name="SAPBEXfilterItem" xfId="856" xr:uid="{00000000-0005-0000-0000-0000380A0000}"/>
    <cellStyle name="SAPBEXfilterText" xfId="857" xr:uid="{00000000-0005-0000-0000-0000390A0000}"/>
    <cellStyle name="SAPBEXformats" xfId="858" xr:uid="{00000000-0005-0000-0000-00003A0A0000}"/>
    <cellStyle name="SAPBEXformats 2" xfId="859" xr:uid="{00000000-0005-0000-0000-00003B0A0000}"/>
    <cellStyle name="SAPBEXheaderItem" xfId="860" xr:uid="{00000000-0005-0000-0000-00003C0A0000}"/>
    <cellStyle name="SAPBEXheaderItem 2" xfId="861" xr:uid="{00000000-0005-0000-0000-00003D0A0000}"/>
    <cellStyle name="SAPBEXheaderText" xfId="862" xr:uid="{00000000-0005-0000-0000-00003E0A0000}"/>
    <cellStyle name="SAPBEXheaderText 2" xfId="863" xr:uid="{00000000-0005-0000-0000-00003F0A0000}"/>
    <cellStyle name="SAPBEXHLevel0" xfId="864" xr:uid="{00000000-0005-0000-0000-0000400A0000}"/>
    <cellStyle name="SAPBEXHLevel0 2" xfId="865" xr:uid="{00000000-0005-0000-0000-0000410A0000}"/>
    <cellStyle name="SAPBEXHLevel0 2 2" xfId="866" xr:uid="{00000000-0005-0000-0000-0000420A0000}"/>
    <cellStyle name="SAPBEXHLevel0 2 3" xfId="867" xr:uid="{00000000-0005-0000-0000-0000430A0000}"/>
    <cellStyle name="SAPBEXHLevel0 3" xfId="868" xr:uid="{00000000-0005-0000-0000-0000440A0000}"/>
    <cellStyle name="SAPBEXHLevel0X" xfId="869" xr:uid="{00000000-0005-0000-0000-0000450A0000}"/>
    <cellStyle name="SAPBEXHLevel0X 2" xfId="870" xr:uid="{00000000-0005-0000-0000-0000460A0000}"/>
    <cellStyle name="SAPBEXHLevel1" xfId="871" xr:uid="{00000000-0005-0000-0000-0000470A0000}"/>
    <cellStyle name="SAPBEXHLevel1 2" xfId="872" xr:uid="{00000000-0005-0000-0000-0000480A0000}"/>
    <cellStyle name="SAPBEXHLevel1 2 2" xfId="873" xr:uid="{00000000-0005-0000-0000-0000490A0000}"/>
    <cellStyle name="SAPBEXHLevel1 2 3" xfId="874" xr:uid="{00000000-0005-0000-0000-00004A0A0000}"/>
    <cellStyle name="SAPBEXHLevel1 3" xfId="875" xr:uid="{00000000-0005-0000-0000-00004B0A0000}"/>
    <cellStyle name="SAPBEXHLevel1X" xfId="876" xr:uid="{00000000-0005-0000-0000-00004C0A0000}"/>
    <cellStyle name="SAPBEXHLevel1X 2" xfId="877" xr:uid="{00000000-0005-0000-0000-00004D0A0000}"/>
    <cellStyle name="SAPBEXHLevel2" xfId="878" xr:uid="{00000000-0005-0000-0000-00004E0A0000}"/>
    <cellStyle name="SAPBEXHLevel2 2" xfId="879" xr:uid="{00000000-0005-0000-0000-00004F0A0000}"/>
    <cellStyle name="SAPBEXHLevel2 2 2" xfId="880" xr:uid="{00000000-0005-0000-0000-0000500A0000}"/>
    <cellStyle name="SAPBEXHLevel2 2 3" xfId="881" xr:uid="{00000000-0005-0000-0000-0000510A0000}"/>
    <cellStyle name="SAPBEXHLevel2 3" xfId="882" xr:uid="{00000000-0005-0000-0000-0000520A0000}"/>
    <cellStyle name="SAPBEXHLevel2X" xfId="883" xr:uid="{00000000-0005-0000-0000-0000530A0000}"/>
    <cellStyle name="SAPBEXHLevel2X 2" xfId="884" xr:uid="{00000000-0005-0000-0000-0000540A0000}"/>
    <cellStyle name="SAPBEXHLevel3" xfId="885" xr:uid="{00000000-0005-0000-0000-0000550A0000}"/>
    <cellStyle name="SAPBEXHLevel3 2" xfId="886" xr:uid="{00000000-0005-0000-0000-0000560A0000}"/>
    <cellStyle name="SAPBEXHLevel3 2 2" xfId="887" xr:uid="{00000000-0005-0000-0000-0000570A0000}"/>
    <cellStyle name="SAPBEXHLevel3 2 3" xfId="888" xr:uid="{00000000-0005-0000-0000-0000580A0000}"/>
    <cellStyle name="SAPBEXHLevel3 3" xfId="889" xr:uid="{00000000-0005-0000-0000-0000590A0000}"/>
    <cellStyle name="SAPBEXHLevel3X" xfId="890" xr:uid="{00000000-0005-0000-0000-00005A0A0000}"/>
    <cellStyle name="SAPBEXHLevel3X 2" xfId="891" xr:uid="{00000000-0005-0000-0000-00005B0A0000}"/>
    <cellStyle name="SAPBEXresData" xfId="892" xr:uid="{00000000-0005-0000-0000-00005C0A0000}"/>
    <cellStyle name="SAPBEXresData 2" xfId="893" xr:uid="{00000000-0005-0000-0000-00005D0A0000}"/>
    <cellStyle name="SAPBEXresDataEmph" xfId="894" xr:uid="{00000000-0005-0000-0000-00005E0A0000}"/>
    <cellStyle name="SAPBEXresDataEmph 2" xfId="895" xr:uid="{00000000-0005-0000-0000-00005F0A0000}"/>
    <cellStyle name="SAPBEXresItem" xfId="896" xr:uid="{00000000-0005-0000-0000-0000600A0000}"/>
    <cellStyle name="SAPBEXresItemX" xfId="897" xr:uid="{00000000-0005-0000-0000-0000610A0000}"/>
    <cellStyle name="SAPBEXresItemX 2" xfId="898" xr:uid="{00000000-0005-0000-0000-0000620A0000}"/>
    <cellStyle name="SAPBEXstdData" xfId="899" xr:uid="{00000000-0005-0000-0000-0000630A0000}"/>
    <cellStyle name="SAPBEXstdDataEmph" xfId="900" xr:uid="{00000000-0005-0000-0000-0000640A0000}"/>
    <cellStyle name="SAPBEXstdDataEmph 2" xfId="901" xr:uid="{00000000-0005-0000-0000-0000650A0000}"/>
    <cellStyle name="SAPBEXstdItem" xfId="902" xr:uid="{00000000-0005-0000-0000-0000660A0000}"/>
    <cellStyle name="SAPBEXstdItem 2" xfId="903" xr:uid="{00000000-0005-0000-0000-0000670A0000}"/>
    <cellStyle name="SAPBEXstdItemX" xfId="904" xr:uid="{00000000-0005-0000-0000-0000680A0000}"/>
    <cellStyle name="SAPBEXstdItemX 2" xfId="905" xr:uid="{00000000-0005-0000-0000-0000690A0000}"/>
    <cellStyle name="SAPBEXtitle" xfId="906" xr:uid="{00000000-0005-0000-0000-00006A0A0000}"/>
    <cellStyle name="SAPBEXtitle 2" xfId="907" xr:uid="{00000000-0005-0000-0000-00006B0A0000}"/>
    <cellStyle name="SAPBEXundefined" xfId="908" xr:uid="{00000000-0005-0000-0000-00006C0A0000}"/>
    <cellStyle name="SAPBEXundefined 2" xfId="909" xr:uid="{00000000-0005-0000-0000-00006D0A0000}"/>
    <cellStyle name="Satisfaisant" xfId="9" builtinId="26" customBuiltin="1"/>
    <cellStyle name="Satisfaisant 2" xfId="2668" xr:uid="{00000000-0005-0000-0000-00006F0A0000}"/>
    <cellStyle name="Sect1" xfId="2669" xr:uid="{00000000-0005-0000-0000-0000700A0000}"/>
    <cellStyle name="Section Heading-Large" xfId="2670" xr:uid="{00000000-0005-0000-0000-0000710A0000}"/>
    <cellStyle name="Section Heading-Small" xfId="2671" xr:uid="{00000000-0005-0000-0000-0000720A0000}"/>
    <cellStyle name="Sep. milhar [0]" xfId="2672" xr:uid="{00000000-0005-0000-0000-0000730A0000}"/>
    <cellStyle name="Sep. milhar [0] 2" xfId="2673" xr:uid="{00000000-0005-0000-0000-0000740A0000}"/>
    <cellStyle name="Separador de milhares [0]_COF" xfId="2674" xr:uid="{00000000-0005-0000-0000-0000750A0000}"/>
    <cellStyle name="Separador de milhares_COF" xfId="2675" xr:uid="{00000000-0005-0000-0000-0000760A0000}"/>
    <cellStyle name="shade" xfId="2676" xr:uid="{00000000-0005-0000-0000-0000770A0000}"/>
    <cellStyle name="shade 2" xfId="2677" xr:uid="{00000000-0005-0000-0000-0000780A0000}"/>
    <cellStyle name="Shaded" xfId="2678" xr:uid="{00000000-0005-0000-0000-0000790A0000}"/>
    <cellStyle name="Single Accounting" xfId="2679" xr:uid="{00000000-0005-0000-0000-00007A0A0000}"/>
    <cellStyle name="Sledovaný hypertextový odkaz" xfId="910" xr:uid="{00000000-0005-0000-0000-00007B0A0000}"/>
    <cellStyle name="Sledovaný hypertextový odkaz 2" xfId="2910" xr:uid="{00000000-0005-0000-0000-00007C0A0000}"/>
    <cellStyle name="Sortie" xfId="12" builtinId="21" customBuiltin="1"/>
    <cellStyle name="Sortie 2" xfId="2680" xr:uid="{00000000-0005-0000-0000-00007E0A0000}"/>
    <cellStyle name="Standard_Fujitsu-Bewertungen" xfId="2681" xr:uid="{00000000-0005-0000-0000-00007F0A0000}"/>
    <cellStyle name="Stile 1" xfId="911" xr:uid="{00000000-0005-0000-0000-0000800A0000}"/>
    <cellStyle name="STYL1 - Style1" xfId="2682" xr:uid="{00000000-0005-0000-0000-0000810A0000}"/>
    <cellStyle name="STYL1 - Style1 2" xfId="2683" xr:uid="{00000000-0005-0000-0000-0000820A0000}"/>
    <cellStyle name="Style 1" xfId="912" xr:uid="{00000000-0005-0000-0000-0000830A0000}"/>
    <cellStyle name="Style 1 2" xfId="913" xr:uid="{00000000-0005-0000-0000-0000840A0000}"/>
    <cellStyle name="Style 1 2 2" xfId="914" xr:uid="{00000000-0005-0000-0000-0000850A0000}"/>
    <cellStyle name="Style 1 2 2 2" xfId="915" xr:uid="{00000000-0005-0000-0000-0000860A0000}"/>
    <cellStyle name="Style 1 2 2 3" xfId="2686" xr:uid="{00000000-0005-0000-0000-0000870A0000}"/>
    <cellStyle name="Style 1 2 3" xfId="916" xr:uid="{00000000-0005-0000-0000-0000880A0000}"/>
    <cellStyle name="Style 1 2 4" xfId="2685" xr:uid="{00000000-0005-0000-0000-0000890A0000}"/>
    <cellStyle name="Style 1 3" xfId="917" xr:uid="{00000000-0005-0000-0000-00008A0A0000}"/>
    <cellStyle name="Style 1 3 2" xfId="2687" xr:uid="{00000000-0005-0000-0000-00008B0A0000}"/>
    <cellStyle name="Style 1 4" xfId="918" xr:uid="{00000000-0005-0000-0000-00008C0A0000}"/>
    <cellStyle name="Style 1 4 2" xfId="2688" xr:uid="{00000000-0005-0000-0000-00008D0A0000}"/>
    <cellStyle name="Style 1 5" xfId="919" xr:uid="{00000000-0005-0000-0000-00008E0A0000}"/>
    <cellStyle name="Style 1 6" xfId="2684" xr:uid="{00000000-0005-0000-0000-00008F0A0000}"/>
    <cellStyle name="Style 1_Asset Management Expenses NY '08 11-1-07" xfId="2689" xr:uid="{00000000-0005-0000-0000-0000900A0000}"/>
    <cellStyle name="Style 21" xfId="2690" xr:uid="{00000000-0005-0000-0000-0000910A0000}"/>
    <cellStyle name="Style 21 2" xfId="2691" xr:uid="{00000000-0005-0000-0000-0000920A0000}"/>
    <cellStyle name="Style 21 2 2" xfId="2692" xr:uid="{00000000-0005-0000-0000-0000930A0000}"/>
    <cellStyle name="Style 21 3" xfId="2693" xr:uid="{00000000-0005-0000-0000-0000940A0000}"/>
    <cellStyle name="Style 22" xfId="2694" xr:uid="{00000000-0005-0000-0000-0000950A0000}"/>
    <cellStyle name="Style 22 2" xfId="2695" xr:uid="{00000000-0005-0000-0000-0000960A0000}"/>
    <cellStyle name="Style 22 2 2" xfId="2696" xr:uid="{00000000-0005-0000-0000-0000970A0000}"/>
    <cellStyle name="Style 22 3" xfId="2697" xr:uid="{00000000-0005-0000-0000-0000980A0000}"/>
    <cellStyle name="Style 23" xfId="2698" xr:uid="{00000000-0005-0000-0000-0000990A0000}"/>
    <cellStyle name="Style 23 2" xfId="2699" xr:uid="{00000000-0005-0000-0000-00009A0A0000}"/>
    <cellStyle name="Style 24" xfId="2700" xr:uid="{00000000-0005-0000-0000-00009B0A0000}"/>
    <cellStyle name="Style 24 2" xfId="2701" xr:uid="{00000000-0005-0000-0000-00009C0A0000}"/>
    <cellStyle name="Style 25" xfId="2702" xr:uid="{00000000-0005-0000-0000-00009D0A0000}"/>
    <cellStyle name="Style 25 2" xfId="2703" xr:uid="{00000000-0005-0000-0000-00009E0A0000}"/>
    <cellStyle name="Style 26" xfId="2704" xr:uid="{00000000-0005-0000-0000-00009F0A0000}"/>
    <cellStyle name="Style 26 2" xfId="2705" xr:uid="{00000000-0005-0000-0000-0000A00A0000}"/>
    <cellStyle name="Style 27" xfId="2706" xr:uid="{00000000-0005-0000-0000-0000A10A0000}"/>
    <cellStyle name="Style 27 2" xfId="2707" xr:uid="{00000000-0005-0000-0000-0000A20A0000}"/>
    <cellStyle name="Style 28" xfId="2708" xr:uid="{00000000-0005-0000-0000-0000A30A0000}"/>
    <cellStyle name="Style 28 2" xfId="2709" xr:uid="{00000000-0005-0000-0000-0000A40A0000}"/>
    <cellStyle name="Style 29" xfId="2710" xr:uid="{00000000-0005-0000-0000-0000A50A0000}"/>
    <cellStyle name="Style 29 2" xfId="2711" xr:uid="{00000000-0005-0000-0000-0000A60A0000}"/>
    <cellStyle name="Style 30" xfId="2712" xr:uid="{00000000-0005-0000-0000-0000A70A0000}"/>
    <cellStyle name="Style 30 2" xfId="2713" xr:uid="{00000000-0005-0000-0000-0000A80A0000}"/>
    <cellStyle name="Style 31" xfId="2714" xr:uid="{00000000-0005-0000-0000-0000A90A0000}"/>
    <cellStyle name="Style 31 2" xfId="2715" xr:uid="{00000000-0005-0000-0000-0000AA0A0000}"/>
    <cellStyle name="Style 32" xfId="2716" xr:uid="{00000000-0005-0000-0000-0000AB0A0000}"/>
    <cellStyle name="Style 32 2" xfId="2717" xr:uid="{00000000-0005-0000-0000-0000AC0A0000}"/>
    <cellStyle name="Style 33" xfId="2718" xr:uid="{00000000-0005-0000-0000-0000AD0A0000}"/>
    <cellStyle name="Style 33 2" xfId="2719" xr:uid="{00000000-0005-0000-0000-0000AE0A0000}"/>
    <cellStyle name="Style 34" xfId="2720" xr:uid="{00000000-0005-0000-0000-0000AF0A0000}"/>
    <cellStyle name="Style 34 2" xfId="2721" xr:uid="{00000000-0005-0000-0000-0000B00A0000}"/>
    <cellStyle name="Style 35" xfId="2722" xr:uid="{00000000-0005-0000-0000-0000B10A0000}"/>
    <cellStyle name="Style 35 2" xfId="2723" xr:uid="{00000000-0005-0000-0000-0000B20A0000}"/>
    <cellStyle name="STYLE1" xfId="2724" xr:uid="{00000000-0005-0000-0000-0000B30A0000}"/>
    <cellStyle name="STYLE2" xfId="2725" xr:uid="{00000000-0005-0000-0000-0000B40A0000}"/>
    <cellStyle name="STYLE3" xfId="2726" xr:uid="{00000000-0005-0000-0000-0000B50A0000}"/>
    <cellStyle name="STYLE4" xfId="2727" xr:uid="{00000000-0005-0000-0000-0000B60A0000}"/>
    <cellStyle name="SubHeading 1" xfId="2728" xr:uid="{00000000-0005-0000-0000-0000B70A0000}"/>
    <cellStyle name="SubHeading 2" xfId="2729" xr:uid="{00000000-0005-0000-0000-0000B80A0000}"/>
    <cellStyle name="Subtitle" xfId="920" xr:uid="{00000000-0005-0000-0000-0000B90A0000}"/>
    <cellStyle name="Subtotal -" xfId="2730" xr:uid="{00000000-0005-0000-0000-0000BA0A0000}"/>
    <cellStyle name="Subtotal $" xfId="2731" xr:uid="{00000000-0005-0000-0000-0000BB0A0000}"/>
    <cellStyle name="Subtotal %" xfId="2732" xr:uid="{00000000-0005-0000-0000-0000BC0A0000}"/>
    <cellStyle name="Subtotal £" xfId="2733" xr:uid="{00000000-0005-0000-0000-0000BD0A0000}"/>
    <cellStyle name="Subtotal €" xfId="2734" xr:uid="{00000000-0005-0000-0000-0000BE0A0000}"/>
    <cellStyle name="Subtotal 1 -" xfId="2735" xr:uid="{00000000-0005-0000-0000-0000BF0A0000}"/>
    <cellStyle name="Subtotal 1 $" xfId="2736" xr:uid="{00000000-0005-0000-0000-0000C00A0000}"/>
    <cellStyle name="Subtotal 1 %" xfId="2737" xr:uid="{00000000-0005-0000-0000-0000C10A0000}"/>
    <cellStyle name="Subtotal 1 £" xfId="2738" xr:uid="{00000000-0005-0000-0000-0000C20A0000}"/>
    <cellStyle name="Subtotal 1 €" xfId="2739" xr:uid="{00000000-0005-0000-0000-0000C30A0000}"/>
    <cellStyle name="Subttotal 2 -" xfId="2740" xr:uid="{00000000-0005-0000-0000-0000C40A0000}"/>
    <cellStyle name="Subttotal 2 $" xfId="2741" xr:uid="{00000000-0005-0000-0000-0000C50A0000}"/>
    <cellStyle name="Subttotal 2 %" xfId="2742" xr:uid="{00000000-0005-0000-0000-0000C60A0000}"/>
    <cellStyle name="Subttotal 2 £" xfId="2743" xr:uid="{00000000-0005-0000-0000-0000C70A0000}"/>
    <cellStyle name="Subttotal 2 €" xfId="2744" xr:uid="{00000000-0005-0000-0000-0000C80A0000}"/>
    <cellStyle name="summation" xfId="2745" xr:uid="{00000000-0005-0000-0000-0000C90A0000}"/>
    <cellStyle name="Table Col Head" xfId="2746" xr:uid="{00000000-0005-0000-0000-0000CA0A0000}"/>
    <cellStyle name="Table Head" xfId="921" xr:uid="{00000000-0005-0000-0000-0000CB0A0000}"/>
    <cellStyle name="Table Head Aligned" xfId="922" xr:uid="{00000000-0005-0000-0000-0000CC0A0000}"/>
    <cellStyle name="Table Head Blue" xfId="923" xr:uid="{00000000-0005-0000-0000-0000CD0A0000}"/>
    <cellStyle name="Table Head Green" xfId="924" xr:uid="{00000000-0005-0000-0000-0000CE0A0000}"/>
    <cellStyle name="Table Heading" xfId="2747" xr:uid="{00000000-0005-0000-0000-0000CF0A0000}"/>
    <cellStyle name="Table Heading 2" xfId="2748" xr:uid="{00000000-0005-0000-0000-0000D00A0000}"/>
    <cellStyle name="Table Sub Head" xfId="2749" xr:uid="{00000000-0005-0000-0000-0000D10A0000}"/>
    <cellStyle name="Table Title" xfId="925" xr:uid="{00000000-0005-0000-0000-0000D20A0000}"/>
    <cellStyle name="Table Title 2" xfId="2750" xr:uid="{00000000-0005-0000-0000-0000D30A0000}"/>
    <cellStyle name="Table Units" xfId="926" xr:uid="{00000000-0005-0000-0000-0000D40A0000}"/>
    <cellStyle name="Table Units 2" xfId="2751" xr:uid="{00000000-0005-0000-0000-0000D50A0000}"/>
    <cellStyle name="Temp1" xfId="2752" xr:uid="{00000000-0005-0000-0000-0000D60A0000}"/>
    <cellStyle name="Temp1 2" xfId="2753" xr:uid="{00000000-0005-0000-0000-0000D70A0000}"/>
    <cellStyle name="Text" xfId="927" xr:uid="{00000000-0005-0000-0000-0000D80A0000}"/>
    <cellStyle name="Texte explicatif" xfId="18" builtinId="53" customBuiltin="1"/>
    <cellStyle name="Texte explicatif 2" xfId="2754" xr:uid="{00000000-0005-0000-0000-0000DA0A0000}"/>
    <cellStyle name="Texto de advertencia" xfId="928" xr:uid="{00000000-0005-0000-0000-0000DB0A0000}"/>
    <cellStyle name="Texto de Aviso" xfId="2755" xr:uid="{00000000-0005-0000-0000-0000DC0A0000}"/>
    <cellStyle name="Texto explicativo" xfId="929" xr:uid="{00000000-0005-0000-0000-0000DD0A0000}"/>
    <cellStyle name="Thousands" xfId="2756" xr:uid="{00000000-0005-0000-0000-0000DE0A0000}"/>
    <cellStyle name="TimeLine" xfId="2757" xr:uid="{00000000-0005-0000-0000-0000DF0A0000}"/>
    <cellStyle name="TimeLine 2" xfId="2758" xr:uid="{00000000-0005-0000-0000-0000E00A0000}"/>
    <cellStyle name="Times 10" xfId="2759" xr:uid="{00000000-0005-0000-0000-0000E10A0000}"/>
    <cellStyle name="Times 12" xfId="2760" xr:uid="{00000000-0005-0000-0000-0000E20A0000}"/>
    <cellStyle name="Times 12 2" xfId="2761" xr:uid="{00000000-0005-0000-0000-0000E30A0000}"/>
    <cellStyle name="Times New Roman" xfId="2762" xr:uid="{00000000-0005-0000-0000-0000E40A0000}"/>
    <cellStyle name="Title 2" xfId="930" xr:uid="{00000000-0005-0000-0000-0000E50A0000}"/>
    <cellStyle name="Title 2 2" xfId="931" xr:uid="{00000000-0005-0000-0000-0000E60A0000}"/>
    <cellStyle name="Title 3" xfId="2763" xr:uid="{00000000-0005-0000-0000-0000E70A0000}"/>
    <cellStyle name="Title 4" xfId="2764" xr:uid="{00000000-0005-0000-0000-0000E80A0000}"/>
    <cellStyle name="Title 5" xfId="2765" xr:uid="{00000000-0005-0000-0000-0000E90A0000}"/>
    <cellStyle name="Title1" xfId="2766" xr:uid="{00000000-0005-0000-0000-0000EA0A0000}"/>
    <cellStyle name="Title1 2" xfId="2767" xr:uid="{00000000-0005-0000-0000-0000EB0A0000}"/>
    <cellStyle name="Titoli in corsivo" xfId="932" xr:uid="{00000000-0005-0000-0000-0000EC0A0000}"/>
    <cellStyle name="Titre 2" xfId="2768" xr:uid="{00000000-0005-0000-0000-0000EE0A0000}"/>
    <cellStyle name="Titre 3" xfId="945" xr:uid="{00000000-0005-0000-0000-0000040B0000}"/>
    <cellStyle name="Titre 1" xfId="5" builtinId="16" customBuiltin="1"/>
    <cellStyle name="Titre 1 2" xfId="2769" xr:uid="{00000000-0005-0000-0000-0000F00A0000}"/>
    <cellStyle name="Titre 2" xfId="6" builtinId="17" customBuiltin="1"/>
    <cellStyle name="Titre 2 2" xfId="2770" xr:uid="{00000000-0005-0000-0000-0000F20A0000}"/>
    <cellStyle name="Titre 3" xfId="7" builtinId="18" customBuiltin="1"/>
    <cellStyle name="Titre 3 2" xfId="2771" xr:uid="{00000000-0005-0000-0000-0000F40A0000}"/>
    <cellStyle name="Titre 4" xfId="8" builtinId="19" customBuiltin="1"/>
    <cellStyle name="Titre 4 2" xfId="2772" xr:uid="{00000000-0005-0000-0000-0000F60A0000}"/>
    <cellStyle name="Título" xfId="933" xr:uid="{00000000-0005-0000-0000-0000F70A0000}"/>
    <cellStyle name="Título 1" xfId="934" xr:uid="{00000000-0005-0000-0000-0000F80A0000}"/>
    <cellStyle name="Título 2" xfId="935" xr:uid="{00000000-0005-0000-0000-0000F90A0000}"/>
    <cellStyle name="Título 3" xfId="936" xr:uid="{00000000-0005-0000-0000-0000FA0A0000}"/>
    <cellStyle name="Título 4" xfId="2773" xr:uid="{00000000-0005-0000-0000-0000FB0A0000}"/>
    <cellStyle name="TL 6Mth" xfId="2774" xr:uid="{00000000-0005-0000-0000-0000FC0A0000}"/>
    <cellStyle name="TL 6Mth 2" xfId="2775" xr:uid="{00000000-0005-0000-0000-0000FD0A0000}"/>
    <cellStyle name="TL DDMMYY" xfId="2776" xr:uid="{00000000-0005-0000-0000-0000FE0A0000}"/>
    <cellStyle name="TL DDMMYY 2" xfId="2777" xr:uid="{00000000-0005-0000-0000-0000FF0A0000}"/>
    <cellStyle name="TL FY" xfId="2778" xr:uid="{00000000-0005-0000-0000-0000000B0000}"/>
    <cellStyle name="TL FY 2" xfId="2779" xr:uid="{00000000-0005-0000-0000-0000010B0000}"/>
    <cellStyle name="TL Qtr" xfId="2780" xr:uid="{00000000-0005-0000-0000-0000020B0000}"/>
    <cellStyle name="TL Qtr 2" xfId="2781" xr:uid="{00000000-0005-0000-0000-0000030B0000}"/>
    <cellStyle name="Total" xfId="19" builtinId="25" customBuiltin="1"/>
    <cellStyle name="Total -" xfId="2782" xr:uid="{00000000-0005-0000-0000-0000050B0000}"/>
    <cellStyle name="Total $" xfId="2783" xr:uid="{00000000-0005-0000-0000-0000060B0000}"/>
    <cellStyle name="Total %" xfId="2784" xr:uid="{00000000-0005-0000-0000-0000070B0000}"/>
    <cellStyle name="Total £" xfId="2785" xr:uid="{00000000-0005-0000-0000-0000080B0000}"/>
    <cellStyle name="Total €" xfId="2786" xr:uid="{00000000-0005-0000-0000-0000090B0000}"/>
    <cellStyle name="Total 10" xfId="2787" xr:uid="{00000000-0005-0000-0000-00000A0B0000}"/>
    <cellStyle name="Total 11" xfId="2788" xr:uid="{00000000-0005-0000-0000-00000B0B0000}"/>
    <cellStyle name="Total 12" xfId="2789" xr:uid="{00000000-0005-0000-0000-00000C0B0000}"/>
    <cellStyle name="Total 13" xfId="2790" xr:uid="{00000000-0005-0000-0000-00000D0B0000}"/>
    <cellStyle name="Total 14" xfId="2791" xr:uid="{00000000-0005-0000-0000-00000E0B0000}"/>
    <cellStyle name="Total 15" xfId="2792" xr:uid="{00000000-0005-0000-0000-00000F0B0000}"/>
    <cellStyle name="Total 16" xfId="2793" xr:uid="{00000000-0005-0000-0000-0000100B0000}"/>
    <cellStyle name="Total 17" xfId="2794" xr:uid="{00000000-0005-0000-0000-0000110B0000}"/>
    <cellStyle name="Total 18" xfId="2795" xr:uid="{00000000-0005-0000-0000-0000120B0000}"/>
    <cellStyle name="Total 19" xfId="2796" xr:uid="{00000000-0005-0000-0000-0000130B0000}"/>
    <cellStyle name="Total 2" xfId="937" xr:uid="{00000000-0005-0000-0000-0000140B0000}"/>
    <cellStyle name="Total 2 2" xfId="938" xr:uid="{00000000-0005-0000-0000-0000150B0000}"/>
    <cellStyle name="Total 2 3" xfId="939" xr:uid="{00000000-0005-0000-0000-0000160B0000}"/>
    <cellStyle name="Total 3" xfId="2797" xr:uid="{00000000-0005-0000-0000-0000170B0000}"/>
    <cellStyle name="Total 4" xfId="2798" xr:uid="{00000000-0005-0000-0000-0000180B0000}"/>
    <cellStyle name="Total 5" xfId="2799" xr:uid="{00000000-0005-0000-0000-0000190B0000}"/>
    <cellStyle name="Total 6" xfId="2800" xr:uid="{00000000-0005-0000-0000-00001A0B0000}"/>
    <cellStyle name="Total 7" xfId="2801" xr:uid="{00000000-0005-0000-0000-00001B0B0000}"/>
    <cellStyle name="Total 8" xfId="2802" xr:uid="{00000000-0005-0000-0000-00001C0B0000}"/>
    <cellStyle name="Total 9" xfId="2803" xr:uid="{00000000-0005-0000-0000-00001D0B0000}"/>
    <cellStyle name="Total1" xfId="2804" xr:uid="{00000000-0005-0000-0000-00001E0B0000}"/>
    <cellStyle name="Total2" xfId="2805" xr:uid="{00000000-0005-0000-0000-00001F0B0000}"/>
    <cellStyle name="Total3" xfId="2806" xr:uid="{00000000-0005-0000-0000-0000200B0000}"/>
    <cellStyle name="Total4" xfId="2807" xr:uid="{00000000-0005-0000-0000-0000210B0000}"/>
    <cellStyle name="Total5" xfId="2808" xr:uid="{00000000-0005-0000-0000-0000220B0000}"/>
    <cellStyle name="Totale centrale" xfId="940" xr:uid="{00000000-0005-0000-0000-0000230B0000}"/>
    <cellStyle name="ubordinated Debt" xfId="2809" xr:uid="{00000000-0005-0000-0000-0000240B0000}"/>
    <cellStyle name="Unprot" xfId="2810" xr:uid="{00000000-0005-0000-0000-0000250B0000}"/>
    <cellStyle name="Unprot$" xfId="2811" xr:uid="{00000000-0005-0000-0000-0000260B0000}"/>
    <cellStyle name="Unprot_Asset Management Expenses NY '08 11-1-07" xfId="2812" xr:uid="{00000000-0005-0000-0000-0000270B0000}"/>
    <cellStyle name="Unprotect" xfId="2813" xr:uid="{00000000-0005-0000-0000-0000280B0000}"/>
    <cellStyle name="Update" xfId="941" xr:uid="{00000000-0005-0000-0000-0000290B0000}"/>
    <cellStyle name="Valuta (0)" xfId="2814" xr:uid="{00000000-0005-0000-0000-00002A0B0000}"/>
    <cellStyle name="Valuta (0) 2" xfId="2815" xr:uid="{00000000-0005-0000-0000-00002B0B0000}"/>
    <cellStyle name="Valuta (0)_ SLIDE " xfId="942" xr:uid="{00000000-0005-0000-0000-00002C0B0000}"/>
    <cellStyle name="Vérification" xfId="15" builtinId="23" customBuiltin="1"/>
    <cellStyle name="Vérification 2" xfId="2816" xr:uid="{00000000-0005-0000-0000-00002E0B0000}"/>
    <cellStyle name="Vérification 2 2" xfId="2875" xr:uid="{00000000-0005-0000-0000-00002F0B0000}"/>
    <cellStyle name="Währung_Würzburg V72 HVB" xfId="2817" xr:uid="{00000000-0005-0000-0000-0000300B0000}"/>
    <cellStyle name="Warning Text 2" xfId="943" xr:uid="{00000000-0005-0000-0000-0000310B0000}"/>
    <cellStyle name="Warning Text 2 2" xfId="944" xr:uid="{00000000-0005-0000-0000-0000320B0000}"/>
    <cellStyle name="Warning Text 3" xfId="2818" xr:uid="{00000000-0005-0000-0000-0000330B0000}"/>
    <cellStyle name="Warning Text 4" xfId="2819" xr:uid="{00000000-0005-0000-0000-0000340B0000}"/>
    <cellStyle name="Warning Text 5" xfId="2820" xr:uid="{00000000-0005-0000-0000-0000350B0000}"/>
    <cellStyle name="Year" xfId="2821" xr:uid="{00000000-0005-0000-0000-0000360B0000}"/>
    <cellStyle name="Yen" xfId="2822" xr:uid="{00000000-0005-0000-0000-0000370B0000}"/>
    <cellStyle name="Yen 2" xfId="2823" xr:uid="{00000000-0005-0000-0000-0000380B0000}"/>
    <cellStyle name="Zero" xfId="2824" xr:uid="{00000000-0005-0000-0000-0000390B0000}"/>
    <cellStyle name="Акцент1" xfId="2825" xr:uid="{00000000-0005-0000-0000-00003A0B0000}"/>
    <cellStyle name="Акцент2" xfId="2826" xr:uid="{00000000-0005-0000-0000-00003B0B0000}"/>
    <cellStyle name="Акцент3" xfId="2827" xr:uid="{00000000-0005-0000-0000-00003C0B0000}"/>
    <cellStyle name="Акцент4" xfId="2828" xr:uid="{00000000-0005-0000-0000-00003D0B0000}"/>
    <cellStyle name="Акцент5" xfId="2829" xr:uid="{00000000-0005-0000-0000-00003E0B0000}"/>
    <cellStyle name="Акцент6" xfId="2830" xr:uid="{00000000-0005-0000-0000-00003F0B0000}"/>
    <cellStyle name="Ввод " xfId="2831" xr:uid="{00000000-0005-0000-0000-0000400B0000}"/>
    <cellStyle name="Вывод" xfId="2832" xr:uid="{00000000-0005-0000-0000-0000410B0000}"/>
    <cellStyle name="Вычисление" xfId="2833" xr:uid="{00000000-0005-0000-0000-0000420B0000}"/>
    <cellStyle name="Заголовок 1" xfId="2834" xr:uid="{00000000-0005-0000-0000-0000430B0000}"/>
    <cellStyle name="Заголовок 2" xfId="2835" xr:uid="{00000000-0005-0000-0000-0000440B0000}"/>
    <cellStyle name="Заголовок 3" xfId="2836" xr:uid="{00000000-0005-0000-0000-0000450B0000}"/>
    <cellStyle name="Заголовок 4" xfId="2837" xr:uid="{00000000-0005-0000-0000-0000460B0000}"/>
    <cellStyle name="Итог" xfId="2838" xr:uid="{00000000-0005-0000-0000-0000470B0000}"/>
    <cellStyle name="Контрольная ячейка" xfId="2839" xr:uid="{00000000-0005-0000-0000-0000480B0000}"/>
    <cellStyle name="Контрольная ячейка 2" xfId="2876" xr:uid="{00000000-0005-0000-0000-0000490B0000}"/>
    <cellStyle name="Название" xfId="2840" xr:uid="{00000000-0005-0000-0000-00004A0B0000}"/>
    <cellStyle name="Нейтральный" xfId="2841" xr:uid="{00000000-0005-0000-0000-00004B0B0000}"/>
    <cellStyle name="Обычный_Import" xfId="2842" xr:uid="{00000000-0005-0000-0000-00004C0B0000}"/>
    <cellStyle name="Плохой" xfId="2843" xr:uid="{00000000-0005-0000-0000-00004D0B0000}"/>
    <cellStyle name="Пояснение" xfId="2844" xr:uid="{00000000-0005-0000-0000-00004E0B0000}"/>
    <cellStyle name="Примечание" xfId="2845" xr:uid="{00000000-0005-0000-0000-00004F0B0000}"/>
    <cellStyle name="Связанная ячейка" xfId="2846" xr:uid="{00000000-0005-0000-0000-0000500B0000}"/>
    <cellStyle name="Текст предупреждения" xfId="2847" xr:uid="{00000000-0005-0000-0000-0000510B0000}"/>
    <cellStyle name="Хороший" xfId="2848" xr:uid="{00000000-0005-0000-0000-0000520B0000}"/>
    <cellStyle name="똿뗦먛귟 [0.00]_PRODUCT DETAIL Q1" xfId="2849" xr:uid="{00000000-0005-0000-0000-0000530B0000}"/>
    <cellStyle name="똿뗦먛귟_PRODUCT DETAIL Q1" xfId="2850" xr:uid="{00000000-0005-0000-0000-0000540B0000}"/>
    <cellStyle name="믅됞 [0.00]_PRODUCT DETAIL Q1" xfId="2851" xr:uid="{00000000-0005-0000-0000-0000550B0000}"/>
    <cellStyle name="믅됞_PRODUCT DETAIL Q1" xfId="2852" xr:uid="{00000000-0005-0000-0000-0000560B0000}"/>
    <cellStyle name="뷭?_BOOKSHIP" xfId="2853" xr:uid="{00000000-0005-0000-0000-0000570B0000}"/>
    <cellStyle name="콤마 [0]_1202" xfId="2854" xr:uid="{00000000-0005-0000-0000-0000580B0000}"/>
    <cellStyle name="콤마_1202" xfId="2855" xr:uid="{00000000-0005-0000-0000-0000590B0000}"/>
    <cellStyle name="통화 [0]_1202" xfId="2856" xr:uid="{00000000-0005-0000-0000-00005A0B0000}"/>
    <cellStyle name="통화_1202" xfId="2857" xr:uid="{00000000-0005-0000-0000-00005B0B0000}"/>
    <cellStyle name="표준_(정보부문)월별인원계획" xfId="2858" xr:uid="{00000000-0005-0000-0000-00005C0B0000}"/>
    <cellStyle name="常规_Sheet1" xfId="2859" xr:uid="{00000000-0005-0000-0000-00005D0B0000}"/>
  </cellStyles>
  <dxfs count="16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numFmt numFmtId="3" formatCode="#,##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\ _€_-;\-* #,##0\ _€_-;_-* &quot;-&quot;??\ _€_-;_-@_-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numFmt numFmtId="3" formatCode="#,##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\ _€_-;\-* #,##0\ _€_-;_-* &quot;-&quot;??\ _€_-;_-@_-"/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21" Type="http://schemas.openxmlformats.org/officeDocument/2006/relationships/externalLink" Target="externalLinks/externalLink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microsoft.com/office/2017/10/relationships/person" Target="persons/person.xml"/><Relationship Id="rId37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theme" Target="theme/theme1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pivotCacheDefinition" Target="pivotCache/pivotCacheDefinition4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66</xdr:col>
      <xdr:colOff>63500</xdr:colOff>
      <xdr:row>3</xdr:row>
      <xdr:rowOff>0</xdr:rowOff>
    </xdr:from>
    <xdr:to>
      <xdr:col>71</xdr:col>
      <xdr:colOff>240846</xdr:colOff>
      <xdr:row>9</xdr:row>
      <xdr:rowOff>331689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451AB6F-CD89-4149-8CDC-07E78A95A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13625" y="476250"/>
          <a:ext cx="3609521" cy="76825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oralex.sharepoint.com/Users/stephanie_mesropyan/Dropbox%20(Boralex%20France)/05_Controle%20de%20gestion/BP/2018/Production%20et%20revenus/Stats/Input%20stat%20dispo%20capacit&#233;%20B18%20LV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oralex.sharepoint.com/sites/Budget2022-Productibles/Documents%20partages/General/Productibles%20-%20Budget%20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oralex.sharepoint.com/Users/stephanie_mesropyan/Documents/Mod&#232;le%20saisie%20OTP%20par%20batch_tests%20formules%20pour%20lo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&amp;R grosscap"/>
      <sheetName val="ctrl capacité"/>
      <sheetName val="capacité (2)"/>
      <sheetName val="capacité"/>
      <sheetName val="dispo"/>
    </sheetNames>
    <sheetDataSet>
      <sheetData sheetId="0"/>
      <sheetData sheetId="1"/>
      <sheetData sheetId="2"/>
      <sheetData sheetId="3">
        <row r="1">
          <cell r="C1" t="str">
            <v>E5030</v>
          </cell>
          <cell r="D1" t="str">
            <v>NO_DATAVIEWS</v>
          </cell>
          <cell r="E1" t="str">
            <v>NO_DEPARTMENTS</v>
          </cell>
          <cell r="F1" t="str">
            <v>NO_CATEGORIES</v>
          </cell>
          <cell r="G1" t="str">
            <v>NO_OBJECTS</v>
          </cell>
          <cell r="H1" t="str">
            <v>NO_DETAILS</v>
          </cell>
          <cell r="I1" t="str">
            <v>NO_SCENARIOS</v>
          </cell>
          <cell r="J1" t="str">
            <v>NO_CURRENCIES</v>
          </cell>
          <cell r="K1">
            <v>8000</v>
          </cell>
        </row>
        <row r="2">
          <cell r="C2" t="str">
            <v>E5030</v>
          </cell>
          <cell r="D2" t="str">
            <v>NO_DATAVIEWS</v>
          </cell>
          <cell r="E2" t="str">
            <v>NO_DEPARTMENTS</v>
          </cell>
          <cell r="F2" t="str">
            <v>NO_CATEGORIES</v>
          </cell>
          <cell r="G2" t="str">
            <v>NO_OBJECTS</v>
          </cell>
          <cell r="H2" t="str">
            <v>NO_DETAILS</v>
          </cell>
          <cell r="I2" t="str">
            <v>NO_SCENARIOS</v>
          </cell>
          <cell r="J2" t="str">
            <v>NO_CURRENCIES</v>
          </cell>
          <cell r="K2">
            <v>8000</v>
          </cell>
        </row>
        <row r="3">
          <cell r="C3" t="str">
            <v>E5030</v>
          </cell>
          <cell r="D3" t="str">
            <v>NO_DATAVIEWS</v>
          </cell>
          <cell r="E3" t="str">
            <v>NO_DEPARTMENTS</v>
          </cell>
          <cell r="F3" t="str">
            <v>NO_CATEGORIES</v>
          </cell>
          <cell r="G3" t="str">
            <v>NO_OBJECTS</v>
          </cell>
          <cell r="H3" t="str">
            <v>NO_DETAILS</v>
          </cell>
          <cell r="I3" t="str">
            <v>NO_SCENARIOS</v>
          </cell>
          <cell r="J3" t="str">
            <v>NO_CURRENCIES</v>
          </cell>
          <cell r="K3">
            <v>8000</v>
          </cell>
        </row>
        <row r="4">
          <cell r="C4" t="str">
            <v>E5030</v>
          </cell>
          <cell r="D4" t="str">
            <v>NO_DATAVIEWS</v>
          </cell>
          <cell r="E4" t="str">
            <v>NO_DEPARTMENTS</v>
          </cell>
          <cell r="F4" t="str">
            <v>NO_CATEGORIES</v>
          </cell>
          <cell r="G4" t="str">
            <v>NO_OBJECTS</v>
          </cell>
          <cell r="H4" t="str">
            <v>NO_DETAILS</v>
          </cell>
          <cell r="I4" t="str">
            <v>NO_SCENARIOS</v>
          </cell>
          <cell r="J4" t="str">
            <v>NO_CURRENCIES</v>
          </cell>
          <cell r="K4">
            <v>8000</v>
          </cell>
        </row>
        <row r="5">
          <cell r="C5" t="str">
            <v>E5030</v>
          </cell>
          <cell r="D5" t="str">
            <v>NO_DATAVIEWS</v>
          </cell>
          <cell r="E5" t="str">
            <v>NO_DEPARTMENTS</v>
          </cell>
          <cell r="F5" t="str">
            <v>NO_CATEGORIES</v>
          </cell>
          <cell r="G5" t="str">
            <v>NO_OBJECTS</v>
          </cell>
          <cell r="H5" t="str">
            <v>NO_DETAILS</v>
          </cell>
          <cell r="I5" t="str">
            <v>NO_SCENARIOS</v>
          </cell>
          <cell r="J5" t="str">
            <v>NO_CURRENCIES</v>
          </cell>
          <cell r="K5">
            <v>8000</v>
          </cell>
        </row>
        <row r="6">
          <cell r="C6" t="str">
            <v>E5030</v>
          </cell>
          <cell r="D6" t="str">
            <v>NO_DATAVIEWS</v>
          </cell>
          <cell r="E6" t="str">
            <v>NO_DEPARTMENTS</v>
          </cell>
          <cell r="F6" t="str">
            <v>NO_CATEGORIES</v>
          </cell>
          <cell r="G6" t="str">
            <v>NO_OBJECTS</v>
          </cell>
          <cell r="H6" t="str">
            <v>NO_DETAILS</v>
          </cell>
          <cell r="I6" t="str">
            <v>NO_SCENARIOS</v>
          </cell>
          <cell r="J6" t="str">
            <v>NO_CURRENCIES</v>
          </cell>
          <cell r="K6">
            <v>8000</v>
          </cell>
        </row>
        <row r="7">
          <cell r="C7" t="str">
            <v>E5030</v>
          </cell>
          <cell r="D7" t="str">
            <v>NO_DATAVIEWS</v>
          </cell>
          <cell r="E7" t="str">
            <v>NO_DEPARTMENTS</v>
          </cell>
          <cell r="F7" t="str">
            <v>NO_CATEGORIES</v>
          </cell>
          <cell r="G7" t="str">
            <v>NO_OBJECTS</v>
          </cell>
          <cell r="H7" t="str">
            <v>NO_DETAILS</v>
          </cell>
          <cell r="I7" t="str">
            <v>NO_SCENARIOS</v>
          </cell>
          <cell r="J7" t="str">
            <v>NO_CURRENCIES</v>
          </cell>
          <cell r="K7">
            <v>8000</v>
          </cell>
        </row>
        <row r="8">
          <cell r="C8" t="str">
            <v>E5030</v>
          </cell>
          <cell r="D8" t="str">
            <v>NO_DATAVIEWS</v>
          </cell>
          <cell r="E8" t="str">
            <v>NO_DEPARTMENTS</v>
          </cell>
          <cell r="F8" t="str">
            <v>NO_CATEGORIES</v>
          </cell>
          <cell r="G8" t="str">
            <v>NO_OBJECTS</v>
          </cell>
          <cell r="H8" t="str">
            <v>NO_DETAILS</v>
          </cell>
          <cell r="I8" t="str">
            <v>NO_SCENARIOS</v>
          </cell>
          <cell r="J8" t="str">
            <v>NO_CURRENCIES</v>
          </cell>
          <cell r="K8">
            <v>8000</v>
          </cell>
        </row>
        <row r="9">
          <cell r="C9" t="str">
            <v>E5030</v>
          </cell>
          <cell r="D9" t="str">
            <v>NO_DATAVIEWS</v>
          </cell>
          <cell r="E9" t="str">
            <v>NO_DEPARTMENTS</v>
          </cell>
          <cell r="F9" t="str">
            <v>NO_CATEGORIES</v>
          </cell>
          <cell r="G9" t="str">
            <v>NO_OBJECTS</v>
          </cell>
          <cell r="H9" t="str">
            <v>NO_DETAILS</v>
          </cell>
          <cell r="I9" t="str">
            <v>NO_SCENARIOS</v>
          </cell>
          <cell r="J9" t="str">
            <v>NO_CURRENCIES</v>
          </cell>
          <cell r="K9">
            <v>8000</v>
          </cell>
        </row>
        <row r="10">
          <cell r="C10" t="str">
            <v>E5030</v>
          </cell>
          <cell r="D10" t="str">
            <v>NO_DATAVIEWS</v>
          </cell>
          <cell r="E10" t="str">
            <v>NO_DEPARTMENTS</v>
          </cell>
          <cell r="F10" t="str">
            <v>NO_CATEGORIES</v>
          </cell>
          <cell r="G10" t="str">
            <v>NO_OBJECTS</v>
          </cell>
          <cell r="H10" t="str">
            <v>NO_DETAILS</v>
          </cell>
          <cell r="I10" t="str">
            <v>NO_SCENARIOS</v>
          </cell>
          <cell r="J10" t="str">
            <v>NO_CURRENCIES</v>
          </cell>
          <cell r="K10">
            <v>8000</v>
          </cell>
        </row>
        <row r="11">
          <cell r="C11" t="str">
            <v>E5030</v>
          </cell>
          <cell r="D11" t="str">
            <v>NO_DATAVIEWS</v>
          </cell>
          <cell r="E11" t="str">
            <v>NO_DEPARTMENTS</v>
          </cell>
          <cell r="F11" t="str">
            <v>NO_CATEGORIES</v>
          </cell>
          <cell r="G11" t="str">
            <v>NO_OBJECTS</v>
          </cell>
          <cell r="H11" t="str">
            <v>NO_DETAILS</v>
          </cell>
          <cell r="I11" t="str">
            <v>NO_SCENARIOS</v>
          </cell>
          <cell r="J11" t="str">
            <v>NO_CURRENCIES</v>
          </cell>
          <cell r="K11">
            <v>8000</v>
          </cell>
        </row>
        <row r="12">
          <cell r="C12" t="str">
            <v>E5030</v>
          </cell>
          <cell r="D12" t="str">
            <v>NO_DATAVIEWS</v>
          </cell>
          <cell r="E12" t="str">
            <v>NO_DEPARTMENTS</v>
          </cell>
          <cell r="F12" t="str">
            <v>NO_CATEGORIES</v>
          </cell>
          <cell r="G12" t="str">
            <v>NO_OBJECTS</v>
          </cell>
          <cell r="H12" t="str">
            <v>NO_DETAILS</v>
          </cell>
          <cell r="I12" t="str">
            <v>NO_SCENARIOS</v>
          </cell>
          <cell r="J12" t="str">
            <v>NO_CURRENCIES</v>
          </cell>
          <cell r="K12">
            <v>8000</v>
          </cell>
        </row>
        <row r="13">
          <cell r="C13" t="str">
            <v>E5040</v>
          </cell>
          <cell r="D13" t="str">
            <v>NO_DATAVIEWS</v>
          </cell>
          <cell r="E13" t="str">
            <v>NO_DEPARTMENTS</v>
          </cell>
          <cell r="F13" t="str">
            <v>NO_CATEGORIES</v>
          </cell>
          <cell r="G13" t="str">
            <v>NO_OBJECTS</v>
          </cell>
          <cell r="H13" t="str">
            <v>NO_DETAILS</v>
          </cell>
          <cell r="I13" t="str">
            <v>NO_SCENARIOS</v>
          </cell>
          <cell r="J13" t="str">
            <v>NO_CURRENCIES</v>
          </cell>
          <cell r="K13">
            <v>4000</v>
          </cell>
        </row>
        <row r="14">
          <cell r="C14" t="str">
            <v>E5040</v>
          </cell>
          <cell r="D14" t="str">
            <v>NO_DATAVIEWS</v>
          </cell>
          <cell r="E14" t="str">
            <v>NO_DEPARTMENTS</v>
          </cell>
          <cell r="F14" t="str">
            <v>NO_CATEGORIES</v>
          </cell>
          <cell r="G14" t="str">
            <v>NO_OBJECTS</v>
          </cell>
          <cell r="H14" t="str">
            <v>NO_DETAILS</v>
          </cell>
          <cell r="I14" t="str">
            <v>NO_SCENARIOS</v>
          </cell>
          <cell r="J14" t="str">
            <v>NO_CURRENCIES</v>
          </cell>
          <cell r="K14">
            <v>4000</v>
          </cell>
        </row>
        <row r="15">
          <cell r="C15" t="str">
            <v>E5040</v>
          </cell>
          <cell r="D15" t="str">
            <v>NO_DATAVIEWS</v>
          </cell>
          <cell r="E15" t="str">
            <v>NO_DEPARTMENTS</v>
          </cell>
          <cell r="F15" t="str">
            <v>NO_CATEGORIES</v>
          </cell>
          <cell r="G15" t="str">
            <v>NO_OBJECTS</v>
          </cell>
          <cell r="H15" t="str">
            <v>NO_DETAILS</v>
          </cell>
          <cell r="I15" t="str">
            <v>NO_SCENARIOS</v>
          </cell>
          <cell r="J15" t="str">
            <v>NO_CURRENCIES</v>
          </cell>
          <cell r="K15">
            <v>4000</v>
          </cell>
        </row>
        <row r="16">
          <cell r="C16" t="str">
            <v>E5040</v>
          </cell>
          <cell r="D16" t="str">
            <v>NO_DATAVIEWS</v>
          </cell>
          <cell r="E16" t="str">
            <v>NO_DEPARTMENTS</v>
          </cell>
          <cell r="F16" t="str">
            <v>NO_CATEGORIES</v>
          </cell>
          <cell r="G16" t="str">
            <v>NO_OBJECTS</v>
          </cell>
          <cell r="H16" t="str">
            <v>NO_DETAILS</v>
          </cell>
          <cell r="I16" t="str">
            <v>NO_SCENARIOS</v>
          </cell>
          <cell r="J16" t="str">
            <v>NO_CURRENCIES</v>
          </cell>
          <cell r="K16">
            <v>4000</v>
          </cell>
        </row>
        <row r="17">
          <cell r="C17" t="str">
            <v>E5040</v>
          </cell>
          <cell r="D17" t="str">
            <v>NO_DATAVIEWS</v>
          </cell>
          <cell r="E17" t="str">
            <v>NO_DEPARTMENTS</v>
          </cell>
          <cell r="F17" t="str">
            <v>NO_CATEGORIES</v>
          </cell>
          <cell r="G17" t="str">
            <v>NO_OBJECTS</v>
          </cell>
          <cell r="H17" t="str">
            <v>NO_DETAILS</v>
          </cell>
          <cell r="I17" t="str">
            <v>NO_SCENARIOS</v>
          </cell>
          <cell r="J17" t="str">
            <v>NO_CURRENCIES</v>
          </cell>
          <cell r="K17">
            <v>4000</v>
          </cell>
        </row>
        <row r="18">
          <cell r="C18" t="str">
            <v>E5040</v>
          </cell>
          <cell r="D18" t="str">
            <v>NO_DATAVIEWS</v>
          </cell>
          <cell r="E18" t="str">
            <v>NO_DEPARTMENTS</v>
          </cell>
          <cell r="F18" t="str">
            <v>NO_CATEGORIES</v>
          </cell>
          <cell r="G18" t="str">
            <v>NO_OBJECTS</v>
          </cell>
          <cell r="H18" t="str">
            <v>NO_DETAILS</v>
          </cell>
          <cell r="I18" t="str">
            <v>NO_SCENARIOS</v>
          </cell>
          <cell r="J18" t="str">
            <v>NO_CURRENCIES</v>
          </cell>
          <cell r="K18">
            <v>4000</v>
          </cell>
        </row>
        <row r="19">
          <cell r="C19" t="str">
            <v>E5040</v>
          </cell>
          <cell r="D19" t="str">
            <v>NO_DATAVIEWS</v>
          </cell>
          <cell r="E19" t="str">
            <v>NO_DEPARTMENTS</v>
          </cell>
          <cell r="F19" t="str">
            <v>NO_CATEGORIES</v>
          </cell>
          <cell r="G19" t="str">
            <v>NO_OBJECTS</v>
          </cell>
          <cell r="H19" t="str">
            <v>NO_DETAILS</v>
          </cell>
          <cell r="I19" t="str">
            <v>NO_SCENARIOS</v>
          </cell>
          <cell r="J19" t="str">
            <v>NO_CURRENCIES</v>
          </cell>
          <cell r="K19">
            <v>4000</v>
          </cell>
        </row>
        <row r="20">
          <cell r="C20" t="str">
            <v>E5040</v>
          </cell>
          <cell r="D20" t="str">
            <v>NO_DATAVIEWS</v>
          </cell>
          <cell r="E20" t="str">
            <v>NO_DEPARTMENTS</v>
          </cell>
          <cell r="F20" t="str">
            <v>NO_CATEGORIES</v>
          </cell>
          <cell r="G20" t="str">
            <v>NO_OBJECTS</v>
          </cell>
          <cell r="H20" t="str">
            <v>NO_DETAILS</v>
          </cell>
          <cell r="I20" t="str">
            <v>NO_SCENARIOS</v>
          </cell>
          <cell r="J20" t="str">
            <v>NO_CURRENCIES</v>
          </cell>
          <cell r="K20">
            <v>4000</v>
          </cell>
        </row>
        <row r="21">
          <cell r="C21" t="str">
            <v>E5040</v>
          </cell>
          <cell r="D21" t="str">
            <v>NO_DATAVIEWS</v>
          </cell>
          <cell r="E21" t="str">
            <v>NO_DEPARTMENTS</v>
          </cell>
          <cell r="F21" t="str">
            <v>NO_CATEGORIES</v>
          </cell>
          <cell r="G21" t="str">
            <v>NO_OBJECTS</v>
          </cell>
          <cell r="H21" t="str">
            <v>NO_DETAILS</v>
          </cell>
          <cell r="I21" t="str">
            <v>NO_SCENARIOS</v>
          </cell>
          <cell r="J21" t="str">
            <v>NO_CURRENCIES</v>
          </cell>
          <cell r="K21">
            <v>4000</v>
          </cell>
        </row>
        <row r="22">
          <cell r="C22" t="str">
            <v>E5040</v>
          </cell>
          <cell r="D22" t="str">
            <v>NO_DATAVIEWS</v>
          </cell>
          <cell r="E22" t="str">
            <v>NO_DEPARTMENTS</v>
          </cell>
          <cell r="F22" t="str">
            <v>NO_CATEGORIES</v>
          </cell>
          <cell r="G22" t="str">
            <v>NO_OBJECTS</v>
          </cell>
          <cell r="H22" t="str">
            <v>NO_DETAILS</v>
          </cell>
          <cell r="I22" t="str">
            <v>NO_SCENARIOS</v>
          </cell>
          <cell r="J22" t="str">
            <v>NO_CURRENCIES</v>
          </cell>
          <cell r="K22">
            <v>4000</v>
          </cell>
        </row>
        <row r="23">
          <cell r="C23" t="str">
            <v>E5040</v>
          </cell>
          <cell r="D23" t="str">
            <v>NO_DATAVIEWS</v>
          </cell>
          <cell r="E23" t="str">
            <v>NO_DEPARTMENTS</v>
          </cell>
          <cell r="F23" t="str">
            <v>NO_CATEGORIES</v>
          </cell>
          <cell r="G23" t="str">
            <v>NO_OBJECTS</v>
          </cell>
          <cell r="H23" t="str">
            <v>NO_DETAILS</v>
          </cell>
          <cell r="I23" t="str">
            <v>NO_SCENARIOS</v>
          </cell>
          <cell r="J23" t="str">
            <v>NO_CURRENCIES</v>
          </cell>
          <cell r="K23">
            <v>4000</v>
          </cell>
        </row>
        <row r="24">
          <cell r="C24" t="str">
            <v>E5040</v>
          </cell>
          <cell r="D24" t="str">
            <v>NO_DATAVIEWS</v>
          </cell>
          <cell r="E24" t="str">
            <v>NO_DEPARTMENTS</v>
          </cell>
          <cell r="F24" t="str">
            <v>NO_CATEGORIES</v>
          </cell>
          <cell r="G24" t="str">
            <v>NO_OBJECTS</v>
          </cell>
          <cell r="H24" t="str">
            <v>NO_DETAILS</v>
          </cell>
          <cell r="I24" t="str">
            <v>NO_SCENARIOS</v>
          </cell>
          <cell r="J24" t="str">
            <v>NO_CURRENCIES</v>
          </cell>
          <cell r="K24">
            <v>4000</v>
          </cell>
        </row>
        <row r="25">
          <cell r="C25" t="str">
            <v>E5050</v>
          </cell>
          <cell r="D25" t="str">
            <v>NO_DATAVIEWS</v>
          </cell>
          <cell r="E25" t="str">
            <v>NO_DEPARTMENTS</v>
          </cell>
          <cell r="F25" t="str">
            <v>NO_CATEGORIES</v>
          </cell>
          <cell r="G25" t="str">
            <v>NO_OBJECTS</v>
          </cell>
          <cell r="H25" t="str">
            <v>NO_DETAILS</v>
          </cell>
          <cell r="I25" t="str">
            <v>NO_SCENARIOS</v>
          </cell>
          <cell r="J25" t="str">
            <v>NO_CURRENCIES</v>
          </cell>
          <cell r="K25">
            <v>12000</v>
          </cell>
        </row>
        <row r="26">
          <cell r="C26" t="str">
            <v>E5050</v>
          </cell>
          <cell r="D26" t="str">
            <v>NO_DATAVIEWS</v>
          </cell>
          <cell r="E26" t="str">
            <v>NO_DEPARTMENTS</v>
          </cell>
          <cell r="F26" t="str">
            <v>NO_CATEGORIES</v>
          </cell>
          <cell r="G26" t="str">
            <v>NO_OBJECTS</v>
          </cell>
          <cell r="H26" t="str">
            <v>NO_DETAILS</v>
          </cell>
          <cell r="I26" t="str">
            <v>NO_SCENARIOS</v>
          </cell>
          <cell r="J26" t="str">
            <v>NO_CURRENCIES</v>
          </cell>
          <cell r="K26">
            <v>12000</v>
          </cell>
        </row>
        <row r="27">
          <cell r="C27" t="str">
            <v>E5050</v>
          </cell>
          <cell r="D27" t="str">
            <v>NO_DATAVIEWS</v>
          </cell>
          <cell r="E27" t="str">
            <v>NO_DEPARTMENTS</v>
          </cell>
          <cell r="F27" t="str">
            <v>NO_CATEGORIES</v>
          </cell>
          <cell r="G27" t="str">
            <v>NO_OBJECTS</v>
          </cell>
          <cell r="H27" t="str">
            <v>NO_DETAILS</v>
          </cell>
          <cell r="I27" t="str">
            <v>NO_SCENARIOS</v>
          </cell>
          <cell r="J27" t="str">
            <v>NO_CURRENCIES</v>
          </cell>
          <cell r="K27">
            <v>12000</v>
          </cell>
        </row>
        <row r="28">
          <cell r="C28" t="str">
            <v>E5050</v>
          </cell>
          <cell r="D28" t="str">
            <v>NO_DATAVIEWS</v>
          </cell>
          <cell r="E28" t="str">
            <v>NO_DEPARTMENTS</v>
          </cell>
          <cell r="F28" t="str">
            <v>NO_CATEGORIES</v>
          </cell>
          <cell r="G28" t="str">
            <v>NO_OBJECTS</v>
          </cell>
          <cell r="H28" t="str">
            <v>NO_DETAILS</v>
          </cell>
          <cell r="I28" t="str">
            <v>NO_SCENARIOS</v>
          </cell>
          <cell r="J28" t="str">
            <v>NO_CURRENCIES</v>
          </cell>
          <cell r="K28">
            <v>12000</v>
          </cell>
        </row>
        <row r="29">
          <cell r="C29" t="str">
            <v>E5050</v>
          </cell>
          <cell r="D29" t="str">
            <v>NO_DATAVIEWS</v>
          </cell>
          <cell r="E29" t="str">
            <v>NO_DEPARTMENTS</v>
          </cell>
          <cell r="F29" t="str">
            <v>NO_CATEGORIES</v>
          </cell>
          <cell r="G29" t="str">
            <v>NO_OBJECTS</v>
          </cell>
          <cell r="H29" t="str">
            <v>NO_DETAILS</v>
          </cell>
          <cell r="I29" t="str">
            <v>NO_SCENARIOS</v>
          </cell>
          <cell r="J29" t="str">
            <v>NO_CURRENCIES</v>
          </cell>
          <cell r="K29">
            <v>12000</v>
          </cell>
        </row>
        <row r="30">
          <cell r="C30" t="str">
            <v>E5050</v>
          </cell>
          <cell r="D30" t="str">
            <v>NO_DATAVIEWS</v>
          </cell>
          <cell r="E30" t="str">
            <v>NO_DEPARTMENTS</v>
          </cell>
          <cell r="F30" t="str">
            <v>NO_CATEGORIES</v>
          </cell>
          <cell r="G30" t="str">
            <v>NO_OBJECTS</v>
          </cell>
          <cell r="H30" t="str">
            <v>NO_DETAILS</v>
          </cell>
          <cell r="I30" t="str">
            <v>NO_SCENARIOS</v>
          </cell>
          <cell r="J30" t="str">
            <v>NO_CURRENCIES</v>
          </cell>
          <cell r="K30">
            <v>12000</v>
          </cell>
        </row>
        <row r="31">
          <cell r="C31" t="str">
            <v>E5050</v>
          </cell>
          <cell r="D31" t="str">
            <v>NO_DATAVIEWS</v>
          </cell>
          <cell r="E31" t="str">
            <v>NO_DEPARTMENTS</v>
          </cell>
          <cell r="F31" t="str">
            <v>NO_CATEGORIES</v>
          </cell>
          <cell r="G31" t="str">
            <v>NO_OBJECTS</v>
          </cell>
          <cell r="H31" t="str">
            <v>NO_DETAILS</v>
          </cell>
          <cell r="I31" t="str">
            <v>NO_SCENARIOS</v>
          </cell>
          <cell r="J31" t="str">
            <v>NO_CURRENCIES</v>
          </cell>
          <cell r="K31">
            <v>12000</v>
          </cell>
        </row>
        <row r="32">
          <cell r="C32" t="str">
            <v>E5050</v>
          </cell>
          <cell r="D32" t="str">
            <v>NO_DATAVIEWS</v>
          </cell>
          <cell r="E32" t="str">
            <v>NO_DEPARTMENTS</v>
          </cell>
          <cell r="F32" t="str">
            <v>NO_CATEGORIES</v>
          </cell>
          <cell r="G32" t="str">
            <v>NO_OBJECTS</v>
          </cell>
          <cell r="H32" t="str">
            <v>NO_DETAILS</v>
          </cell>
          <cell r="I32" t="str">
            <v>NO_SCENARIOS</v>
          </cell>
          <cell r="J32" t="str">
            <v>NO_CURRENCIES</v>
          </cell>
          <cell r="K32">
            <v>12000</v>
          </cell>
        </row>
        <row r="33">
          <cell r="C33" t="str">
            <v>E5050</v>
          </cell>
          <cell r="D33" t="str">
            <v>NO_DATAVIEWS</v>
          </cell>
          <cell r="E33" t="str">
            <v>NO_DEPARTMENTS</v>
          </cell>
          <cell r="F33" t="str">
            <v>NO_CATEGORIES</v>
          </cell>
          <cell r="G33" t="str">
            <v>NO_OBJECTS</v>
          </cell>
          <cell r="H33" t="str">
            <v>NO_DETAILS</v>
          </cell>
          <cell r="I33" t="str">
            <v>NO_SCENARIOS</v>
          </cell>
          <cell r="J33" t="str">
            <v>NO_CURRENCIES</v>
          </cell>
          <cell r="K33">
            <v>12000</v>
          </cell>
        </row>
        <row r="34">
          <cell r="C34" t="str">
            <v>E5050</v>
          </cell>
          <cell r="D34" t="str">
            <v>NO_DATAVIEWS</v>
          </cell>
          <cell r="E34" t="str">
            <v>NO_DEPARTMENTS</v>
          </cell>
          <cell r="F34" t="str">
            <v>NO_CATEGORIES</v>
          </cell>
          <cell r="G34" t="str">
            <v>NO_OBJECTS</v>
          </cell>
          <cell r="H34" t="str">
            <v>NO_DETAILS</v>
          </cell>
          <cell r="I34" t="str">
            <v>NO_SCENARIOS</v>
          </cell>
          <cell r="J34" t="str">
            <v>NO_CURRENCIES</v>
          </cell>
          <cell r="K34">
            <v>12000</v>
          </cell>
        </row>
        <row r="35">
          <cell r="C35" t="str">
            <v>E5050</v>
          </cell>
          <cell r="D35" t="str">
            <v>NO_DATAVIEWS</v>
          </cell>
          <cell r="E35" t="str">
            <v>NO_DEPARTMENTS</v>
          </cell>
          <cell r="F35" t="str">
            <v>NO_CATEGORIES</v>
          </cell>
          <cell r="G35" t="str">
            <v>NO_OBJECTS</v>
          </cell>
          <cell r="H35" t="str">
            <v>NO_DETAILS</v>
          </cell>
          <cell r="I35" t="str">
            <v>NO_SCENARIOS</v>
          </cell>
          <cell r="J35" t="str">
            <v>NO_CURRENCIES</v>
          </cell>
          <cell r="K35">
            <v>12000</v>
          </cell>
        </row>
        <row r="36">
          <cell r="C36" t="str">
            <v>E5050</v>
          </cell>
          <cell r="D36" t="str">
            <v>NO_DATAVIEWS</v>
          </cell>
          <cell r="E36" t="str">
            <v>NO_DEPARTMENTS</v>
          </cell>
          <cell r="F36" t="str">
            <v>NO_CATEGORIES</v>
          </cell>
          <cell r="G36" t="str">
            <v>NO_OBJECTS</v>
          </cell>
          <cell r="H36" t="str">
            <v>NO_DETAILS</v>
          </cell>
          <cell r="I36" t="str">
            <v>NO_SCENARIOS</v>
          </cell>
          <cell r="J36" t="str">
            <v>NO_CURRENCIES</v>
          </cell>
          <cell r="K36">
            <v>12000</v>
          </cell>
        </row>
        <row r="37">
          <cell r="C37" t="str">
            <v>E5070</v>
          </cell>
          <cell r="D37" t="str">
            <v>NO_DATAVIEWS</v>
          </cell>
          <cell r="E37" t="str">
            <v>NO_DEPARTMENTS</v>
          </cell>
          <cell r="F37" t="str">
            <v>NO_CATEGORIES</v>
          </cell>
          <cell r="G37" t="str">
            <v>NO_OBJECTS</v>
          </cell>
          <cell r="H37" t="str">
            <v>NO_DETAILS</v>
          </cell>
          <cell r="I37" t="str">
            <v>NO_SCENARIOS</v>
          </cell>
          <cell r="J37" t="str">
            <v>NO_CURRENCIES</v>
          </cell>
          <cell r="K37">
            <v>10500</v>
          </cell>
        </row>
        <row r="38">
          <cell r="C38" t="str">
            <v>E5070</v>
          </cell>
          <cell r="D38" t="str">
            <v>NO_DATAVIEWS</v>
          </cell>
          <cell r="E38" t="str">
            <v>NO_DEPARTMENTS</v>
          </cell>
          <cell r="F38" t="str">
            <v>NO_CATEGORIES</v>
          </cell>
          <cell r="G38" t="str">
            <v>NO_OBJECTS</v>
          </cell>
          <cell r="H38" t="str">
            <v>NO_DETAILS</v>
          </cell>
          <cell r="I38" t="str">
            <v>NO_SCENARIOS</v>
          </cell>
          <cell r="J38" t="str">
            <v>NO_CURRENCIES</v>
          </cell>
          <cell r="K38">
            <v>10500</v>
          </cell>
        </row>
        <row r="39">
          <cell r="C39" t="str">
            <v>E5070</v>
          </cell>
          <cell r="D39" t="str">
            <v>NO_DATAVIEWS</v>
          </cell>
          <cell r="E39" t="str">
            <v>NO_DEPARTMENTS</v>
          </cell>
          <cell r="F39" t="str">
            <v>NO_CATEGORIES</v>
          </cell>
          <cell r="G39" t="str">
            <v>NO_OBJECTS</v>
          </cell>
          <cell r="H39" t="str">
            <v>NO_DETAILS</v>
          </cell>
          <cell r="I39" t="str">
            <v>NO_SCENARIOS</v>
          </cell>
          <cell r="J39" t="str">
            <v>NO_CURRENCIES</v>
          </cell>
          <cell r="K39">
            <v>10500</v>
          </cell>
        </row>
        <row r="40">
          <cell r="C40" t="str">
            <v>E5070</v>
          </cell>
          <cell r="D40" t="str">
            <v>NO_DATAVIEWS</v>
          </cell>
          <cell r="E40" t="str">
            <v>NO_DEPARTMENTS</v>
          </cell>
          <cell r="F40" t="str">
            <v>NO_CATEGORIES</v>
          </cell>
          <cell r="G40" t="str">
            <v>NO_OBJECTS</v>
          </cell>
          <cell r="H40" t="str">
            <v>NO_DETAILS</v>
          </cell>
          <cell r="I40" t="str">
            <v>NO_SCENARIOS</v>
          </cell>
          <cell r="J40" t="str">
            <v>NO_CURRENCIES</v>
          </cell>
          <cell r="K40">
            <v>10500</v>
          </cell>
        </row>
        <row r="41">
          <cell r="C41" t="str">
            <v>E5070</v>
          </cell>
          <cell r="D41" t="str">
            <v>NO_DATAVIEWS</v>
          </cell>
          <cell r="E41" t="str">
            <v>NO_DEPARTMENTS</v>
          </cell>
          <cell r="F41" t="str">
            <v>NO_CATEGORIES</v>
          </cell>
          <cell r="G41" t="str">
            <v>NO_OBJECTS</v>
          </cell>
          <cell r="H41" t="str">
            <v>NO_DETAILS</v>
          </cell>
          <cell r="I41" t="str">
            <v>NO_SCENARIOS</v>
          </cell>
          <cell r="J41" t="str">
            <v>NO_CURRENCIES</v>
          </cell>
          <cell r="K41">
            <v>10500</v>
          </cell>
        </row>
        <row r="42">
          <cell r="C42" t="str">
            <v>E5070</v>
          </cell>
          <cell r="D42" t="str">
            <v>NO_DATAVIEWS</v>
          </cell>
          <cell r="E42" t="str">
            <v>NO_DEPARTMENTS</v>
          </cell>
          <cell r="F42" t="str">
            <v>NO_CATEGORIES</v>
          </cell>
          <cell r="G42" t="str">
            <v>NO_OBJECTS</v>
          </cell>
          <cell r="H42" t="str">
            <v>NO_DETAILS</v>
          </cell>
          <cell r="I42" t="str">
            <v>NO_SCENARIOS</v>
          </cell>
          <cell r="J42" t="str">
            <v>NO_CURRENCIES</v>
          </cell>
          <cell r="K42">
            <v>10500</v>
          </cell>
        </row>
        <row r="43">
          <cell r="C43" t="str">
            <v>E5070</v>
          </cell>
          <cell r="D43" t="str">
            <v>NO_DATAVIEWS</v>
          </cell>
          <cell r="E43" t="str">
            <v>NO_DEPARTMENTS</v>
          </cell>
          <cell r="F43" t="str">
            <v>NO_CATEGORIES</v>
          </cell>
          <cell r="G43" t="str">
            <v>NO_OBJECTS</v>
          </cell>
          <cell r="H43" t="str">
            <v>NO_DETAILS</v>
          </cell>
          <cell r="I43" t="str">
            <v>NO_SCENARIOS</v>
          </cell>
          <cell r="J43" t="str">
            <v>NO_CURRENCIES</v>
          </cell>
          <cell r="K43">
            <v>10500</v>
          </cell>
        </row>
        <row r="44">
          <cell r="C44" t="str">
            <v>E5070</v>
          </cell>
          <cell r="D44" t="str">
            <v>NO_DATAVIEWS</v>
          </cell>
          <cell r="E44" t="str">
            <v>NO_DEPARTMENTS</v>
          </cell>
          <cell r="F44" t="str">
            <v>NO_CATEGORIES</v>
          </cell>
          <cell r="G44" t="str">
            <v>NO_OBJECTS</v>
          </cell>
          <cell r="H44" t="str">
            <v>NO_DETAILS</v>
          </cell>
          <cell r="I44" t="str">
            <v>NO_SCENARIOS</v>
          </cell>
          <cell r="J44" t="str">
            <v>NO_CURRENCIES</v>
          </cell>
          <cell r="K44">
            <v>10500</v>
          </cell>
        </row>
        <row r="45">
          <cell r="C45" t="str">
            <v>E5070</v>
          </cell>
          <cell r="D45" t="str">
            <v>NO_DATAVIEWS</v>
          </cell>
          <cell r="E45" t="str">
            <v>NO_DEPARTMENTS</v>
          </cell>
          <cell r="F45" t="str">
            <v>NO_CATEGORIES</v>
          </cell>
          <cell r="G45" t="str">
            <v>NO_OBJECTS</v>
          </cell>
          <cell r="H45" t="str">
            <v>NO_DETAILS</v>
          </cell>
          <cell r="I45" t="str">
            <v>NO_SCENARIOS</v>
          </cell>
          <cell r="J45" t="str">
            <v>NO_CURRENCIES</v>
          </cell>
          <cell r="K45">
            <v>10500</v>
          </cell>
        </row>
        <row r="46">
          <cell r="C46" t="str">
            <v>E5070</v>
          </cell>
          <cell r="D46" t="str">
            <v>NO_DATAVIEWS</v>
          </cell>
          <cell r="E46" t="str">
            <v>NO_DEPARTMENTS</v>
          </cell>
          <cell r="F46" t="str">
            <v>NO_CATEGORIES</v>
          </cell>
          <cell r="G46" t="str">
            <v>NO_OBJECTS</v>
          </cell>
          <cell r="H46" t="str">
            <v>NO_DETAILS</v>
          </cell>
          <cell r="I46" t="str">
            <v>NO_SCENARIOS</v>
          </cell>
          <cell r="J46" t="str">
            <v>NO_CURRENCIES</v>
          </cell>
          <cell r="K46">
            <v>10500</v>
          </cell>
        </row>
        <row r="47">
          <cell r="C47" t="str">
            <v>E5070</v>
          </cell>
          <cell r="D47" t="str">
            <v>NO_DATAVIEWS</v>
          </cell>
          <cell r="E47" t="str">
            <v>NO_DEPARTMENTS</v>
          </cell>
          <cell r="F47" t="str">
            <v>NO_CATEGORIES</v>
          </cell>
          <cell r="G47" t="str">
            <v>NO_OBJECTS</v>
          </cell>
          <cell r="H47" t="str">
            <v>NO_DETAILS</v>
          </cell>
          <cell r="I47" t="str">
            <v>NO_SCENARIOS</v>
          </cell>
          <cell r="J47" t="str">
            <v>NO_CURRENCIES</v>
          </cell>
          <cell r="K47">
            <v>10500</v>
          </cell>
        </row>
        <row r="48">
          <cell r="C48" t="str">
            <v>E5070</v>
          </cell>
          <cell r="D48" t="str">
            <v>NO_DATAVIEWS</v>
          </cell>
          <cell r="E48" t="str">
            <v>NO_DEPARTMENTS</v>
          </cell>
          <cell r="F48" t="str">
            <v>NO_CATEGORIES</v>
          </cell>
          <cell r="G48" t="str">
            <v>NO_OBJECTS</v>
          </cell>
          <cell r="H48" t="str">
            <v>NO_DETAILS</v>
          </cell>
          <cell r="I48" t="str">
            <v>NO_SCENARIOS</v>
          </cell>
          <cell r="J48" t="str">
            <v>NO_CURRENCIES</v>
          </cell>
          <cell r="K48">
            <v>10500</v>
          </cell>
        </row>
        <row r="49">
          <cell r="C49" t="str">
            <v>E5080</v>
          </cell>
          <cell r="D49" t="str">
            <v>NO_DATAVIEWS</v>
          </cell>
          <cell r="E49" t="str">
            <v>NO_DEPARTMENTS</v>
          </cell>
          <cell r="F49" t="str">
            <v>NO_CATEGORIES</v>
          </cell>
          <cell r="G49" t="str">
            <v>NO_OBJECTS</v>
          </cell>
          <cell r="H49" t="str">
            <v>NO_DETAILS</v>
          </cell>
          <cell r="I49" t="str">
            <v>NO_SCENARIOS</v>
          </cell>
          <cell r="J49" t="str">
            <v>NO_CURRENCIES</v>
          </cell>
          <cell r="K49">
            <v>7500</v>
          </cell>
        </row>
        <row r="50">
          <cell r="C50" t="str">
            <v>E5080</v>
          </cell>
          <cell r="D50" t="str">
            <v>NO_DATAVIEWS</v>
          </cell>
          <cell r="E50" t="str">
            <v>NO_DEPARTMENTS</v>
          </cell>
          <cell r="F50" t="str">
            <v>NO_CATEGORIES</v>
          </cell>
          <cell r="G50" t="str">
            <v>NO_OBJECTS</v>
          </cell>
          <cell r="H50" t="str">
            <v>NO_DETAILS</v>
          </cell>
          <cell r="I50" t="str">
            <v>NO_SCENARIOS</v>
          </cell>
          <cell r="J50" t="str">
            <v>NO_CURRENCIES</v>
          </cell>
          <cell r="K50">
            <v>7500</v>
          </cell>
        </row>
        <row r="51">
          <cell r="C51" t="str">
            <v>E5080</v>
          </cell>
          <cell r="D51" t="str">
            <v>NO_DATAVIEWS</v>
          </cell>
          <cell r="E51" t="str">
            <v>NO_DEPARTMENTS</v>
          </cell>
          <cell r="F51" t="str">
            <v>NO_CATEGORIES</v>
          </cell>
          <cell r="G51" t="str">
            <v>NO_OBJECTS</v>
          </cell>
          <cell r="H51" t="str">
            <v>NO_DETAILS</v>
          </cell>
          <cell r="I51" t="str">
            <v>NO_SCENARIOS</v>
          </cell>
          <cell r="J51" t="str">
            <v>NO_CURRENCIES</v>
          </cell>
          <cell r="K51">
            <v>7500</v>
          </cell>
        </row>
        <row r="52">
          <cell r="C52" t="str">
            <v>E5080</v>
          </cell>
          <cell r="D52" t="str">
            <v>NO_DATAVIEWS</v>
          </cell>
          <cell r="E52" t="str">
            <v>NO_DEPARTMENTS</v>
          </cell>
          <cell r="F52" t="str">
            <v>NO_CATEGORIES</v>
          </cell>
          <cell r="G52" t="str">
            <v>NO_OBJECTS</v>
          </cell>
          <cell r="H52" t="str">
            <v>NO_DETAILS</v>
          </cell>
          <cell r="I52" t="str">
            <v>NO_SCENARIOS</v>
          </cell>
          <cell r="J52" t="str">
            <v>NO_CURRENCIES</v>
          </cell>
          <cell r="K52">
            <v>7500</v>
          </cell>
        </row>
        <row r="53">
          <cell r="C53" t="str">
            <v>E5080</v>
          </cell>
          <cell r="D53" t="str">
            <v>NO_DATAVIEWS</v>
          </cell>
          <cell r="E53" t="str">
            <v>NO_DEPARTMENTS</v>
          </cell>
          <cell r="F53" t="str">
            <v>NO_CATEGORIES</v>
          </cell>
          <cell r="G53" t="str">
            <v>NO_OBJECTS</v>
          </cell>
          <cell r="H53" t="str">
            <v>NO_DETAILS</v>
          </cell>
          <cell r="I53" t="str">
            <v>NO_SCENARIOS</v>
          </cell>
          <cell r="J53" t="str">
            <v>NO_CURRENCIES</v>
          </cell>
          <cell r="K53">
            <v>7500</v>
          </cell>
        </row>
        <row r="54">
          <cell r="C54" t="str">
            <v>E5080</v>
          </cell>
          <cell r="D54" t="str">
            <v>NO_DATAVIEWS</v>
          </cell>
          <cell r="E54" t="str">
            <v>NO_DEPARTMENTS</v>
          </cell>
          <cell r="F54" t="str">
            <v>NO_CATEGORIES</v>
          </cell>
          <cell r="G54" t="str">
            <v>NO_OBJECTS</v>
          </cell>
          <cell r="H54" t="str">
            <v>NO_DETAILS</v>
          </cell>
          <cell r="I54" t="str">
            <v>NO_SCENARIOS</v>
          </cell>
          <cell r="J54" t="str">
            <v>NO_CURRENCIES</v>
          </cell>
          <cell r="K54">
            <v>7500</v>
          </cell>
        </row>
        <row r="55">
          <cell r="C55" t="str">
            <v>E5080</v>
          </cell>
          <cell r="D55" t="str">
            <v>NO_DATAVIEWS</v>
          </cell>
          <cell r="E55" t="str">
            <v>NO_DEPARTMENTS</v>
          </cell>
          <cell r="F55" t="str">
            <v>NO_CATEGORIES</v>
          </cell>
          <cell r="G55" t="str">
            <v>NO_OBJECTS</v>
          </cell>
          <cell r="H55" t="str">
            <v>NO_DETAILS</v>
          </cell>
          <cell r="I55" t="str">
            <v>NO_SCENARIOS</v>
          </cell>
          <cell r="J55" t="str">
            <v>NO_CURRENCIES</v>
          </cell>
          <cell r="K55">
            <v>7500</v>
          </cell>
        </row>
        <row r="56">
          <cell r="C56" t="str">
            <v>E5080</v>
          </cell>
          <cell r="D56" t="str">
            <v>NO_DATAVIEWS</v>
          </cell>
          <cell r="E56" t="str">
            <v>NO_DEPARTMENTS</v>
          </cell>
          <cell r="F56" t="str">
            <v>NO_CATEGORIES</v>
          </cell>
          <cell r="G56" t="str">
            <v>NO_OBJECTS</v>
          </cell>
          <cell r="H56" t="str">
            <v>NO_DETAILS</v>
          </cell>
          <cell r="I56" t="str">
            <v>NO_SCENARIOS</v>
          </cell>
          <cell r="J56" t="str">
            <v>NO_CURRENCIES</v>
          </cell>
          <cell r="K56">
            <v>7500</v>
          </cell>
        </row>
        <row r="57">
          <cell r="C57" t="str">
            <v>E5080</v>
          </cell>
          <cell r="D57" t="str">
            <v>NO_DATAVIEWS</v>
          </cell>
          <cell r="E57" t="str">
            <v>NO_DEPARTMENTS</v>
          </cell>
          <cell r="F57" t="str">
            <v>NO_CATEGORIES</v>
          </cell>
          <cell r="G57" t="str">
            <v>NO_OBJECTS</v>
          </cell>
          <cell r="H57" t="str">
            <v>NO_DETAILS</v>
          </cell>
          <cell r="I57" t="str">
            <v>NO_SCENARIOS</v>
          </cell>
          <cell r="J57" t="str">
            <v>NO_CURRENCIES</v>
          </cell>
          <cell r="K57">
            <v>7500</v>
          </cell>
        </row>
        <row r="58">
          <cell r="C58" t="str">
            <v>E5080</v>
          </cell>
          <cell r="D58" t="str">
            <v>NO_DATAVIEWS</v>
          </cell>
          <cell r="E58" t="str">
            <v>NO_DEPARTMENTS</v>
          </cell>
          <cell r="F58" t="str">
            <v>NO_CATEGORIES</v>
          </cell>
          <cell r="G58" t="str">
            <v>NO_OBJECTS</v>
          </cell>
          <cell r="H58" t="str">
            <v>NO_DETAILS</v>
          </cell>
          <cell r="I58" t="str">
            <v>NO_SCENARIOS</v>
          </cell>
          <cell r="J58" t="str">
            <v>NO_CURRENCIES</v>
          </cell>
          <cell r="K58">
            <v>7500</v>
          </cell>
        </row>
        <row r="59">
          <cell r="C59" t="str">
            <v>E5080</v>
          </cell>
          <cell r="D59" t="str">
            <v>NO_DATAVIEWS</v>
          </cell>
          <cell r="E59" t="str">
            <v>NO_DEPARTMENTS</v>
          </cell>
          <cell r="F59" t="str">
            <v>NO_CATEGORIES</v>
          </cell>
          <cell r="G59" t="str">
            <v>NO_OBJECTS</v>
          </cell>
          <cell r="H59" t="str">
            <v>NO_DETAILS</v>
          </cell>
          <cell r="I59" t="str">
            <v>NO_SCENARIOS</v>
          </cell>
          <cell r="J59" t="str">
            <v>NO_CURRENCIES</v>
          </cell>
          <cell r="K59">
            <v>7500</v>
          </cell>
        </row>
        <row r="60">
          <cell r="C60" t="str">
            <v>E5080</v>
          </cell>
          <cell r="D60" t="str">
            <v>NO_DATAVIEWS</v>
          </cell>
          <cell r="E60" t="str">
            <v>NO_DEPARTMENTS</v>
          </cell>
          <cell r="F60" t="str">
            <v>NO_CATEGORIES</v>
          </cell>
          <cell r="G60" t="str">
            <v>NO_OBJECTS</v>
          </cell>
          <cell r="H60" t="str">
            <v>NO_DETAILS</v>
          </cell>
          <cell r="I60" t="str">
            <v>NO_SCENARIOS</v>
          </cell>
          <cell r="J60" t="str">
            <v>NO_CURRENCIES</v>
          </cell>
          <cell r="K60">
            <v>7500</v>
          </cell>
        </row>
        <row r="61">
          <cell r="C61" t="str">
            <v>E5090</v>
          </cell>
          <cell r="D61" t="str">
            <v>NO_DATAVIEWS</v>
          </cell>
          <cell r="E61" t="str">
            <v>NO_DEPARTMENTS</v>
          </cell>
          <cell r="F61" t="str">
            <v>NO_CATEGORIES</v>
          </cell>
          <cell r="G61" t="str">
            <v>NO_OBJECTS</v>
          </cell>
          <cell r="H61" t="str">
            <v>NO_DETAILS</v>
          </cell>
          <cell r="I61" t="str">
            <v>NO_SCENARIOS</v>
          </cell>
          <cell r="J61" t="str">
            <v>NO_CURRENCIES</v>
          </cell>
          <cell r="K61">
            <v>10500</v>
          </cell>
        </row>
        <row r="62">
          <cell r="C62" t="str">
            <v>E5090</v>
          </cell>
          <cell r="D62" t="str">
            <v>NO_DATAVIEWS</v>
          </cell>
          <cell r="E62" t="str">
            <v>NO_DEPARTMENTS</v>
          </cell>
          <cell r="F62" t="str">
            <v>NO_CATEGORIES</v>
          </cell>
          <cell r="G62" t="str">
            <v>NO_OBJECTS</v>
          </cell>
          <cell r="H62" t="str">
            <v>NO_DETAILS</v>
          </cell>
          <cell r="I62" t="str">
            <v>NO_SCENARIOS</v>
          </cell>
          <cell r="J62" t="str">
            <v>NO_CURRENCIES</v>
          </cell>
          <cell r="K62">
            <v>10500</v>
          </cell>
        </row>
        <row r="63">
          <cell r="C63" t="str">
            <v>E5090</v>
          </cell>
          <cell r="D63" t="str">
            <v>NO_DATAVIEWS</v>
          </cell>
          <cell r="E63" t="str">
            <v>NO_DEPARTMENTS</v>
          </cell>
          <cell r="F63" t="str">
            <v>NO_CATEGORIES</v>
          </cell>
          <cell r="G63" t="str">
            <v>NO_OBJECTS</v>
          </cell>
          <cell r="H63" t="str">
            <v>NO_DETAILS</v>
          </cell>
          <cell r="I63" t="str">
            <v>NO_SCENARIOS</v>
          </cell>
          <cell r="J63" t="str">
            <v>NO_CURRENCIES</v>
          </cell>
          <cell r="K63">
            <v>10500</v>
          </cell>
        </row>
        <row r="64">
          <cell r="C64" t="str">
            <v>E5090</v>
          </cell>
          <cell r="D64" t="str">
            <v>NO_DATAVIEWS</v>
          </cell>
          <cell r="E64" t="str">
            <v>NO_DEPARTMENTS</v>
          </cell>
          <cell r="F64" t="str">
            <v>NO_CATEGORIES</v>
          </cell>
          <cell r="G64" t="str">
            <v>NO_OBJECTS</v>
          </cell>
          <cell r="H64" t="str">
            <v>NO_DETAILS</v>
          </cell>
          <cell r="I64" t="str">
            <v>NO_SCENARIOS</v>
          </cell>
          <cell r="J64" t="str">
            <v>NO_CURRENCIES</v>
          </cell>
          <cell r="K64">
            <v>10500</v>
          </cell>
        </row>
        <row r="65">
          <cell r="C65" t="str">
            <v>E5090</v>
          </cell>
          <cell r="D65" t="str">
            <v>NO_DATAVIEWS</v>
          </cell>
          <cell r="E65" t="str">
            <v>NO_DEPARTMENTS</v>
          </cell>
          <cell r="F65" t="str">
            <v>NO_CATEGORIES</v>
          </cell>
          <cell r="G65" t="str">
            <v>NO_OBJECTS</v>
          </cell>
          <cell r="H65" t="str">
            <v>NO_DETAILS</v>
          </cell>
          <cell r="I65" t="str">
            <v>NO_SCENARIOS</v>
          </cell>
          <cell r="J65" t="str">
            <v>NO_CURRENCIES</v>
          </cell>
          <cell r="K65">
            <v>10500</v>
          </cell>
        </row>
        <row r="66">
          <cell r="C66" t="str">
            <v>E5090</v>
          </cell>
          <cell r="D66" t="str">
            <v>NO_DATAVIEWS</v>
          </cell>
          <cell r="E66" t="str">
            <v>NO_DEPARTMENTS</v>
          </cell>
          <cell r="F66" t="str">
            <v>NO_CATEGORIES</v>
          </cell>
          <cell r="G66" t="str">
            <v>NO_OBJECTS</v>
          </cell>
          <cell r="H66" t="str">
            <v>NO_DETAILS</v>
          </cell>
          <cell r="I66" t="str">
            <v>NO_SCENARIOS</v>
          </cell>
          <cell r="J66" t="str">
            <v>NO_CURRENCIES</v>
          </cell>
          <cell r="K66">
            <v>10500</v>
          </cell>
        </row>
        <row r="67">
          <cell r="C67" t="str">
            <v>E5090</v>
          </cell>
          <cell r="D67" t="str">
            <v>NO_DATAVIEWS</v>
          </cell>
          <cell r="E67" t="str">
            <v>NO_DEPARTMENTS</v>
          </cell>
          <cell r="F67" t="str">
            <v>NO_CATEGORIES</v>
          </cell>
          <cell r="G67" t="str">
            <v>NO_OBJECTS</v>
          </cell>
          <cell r="H67" t="str">
            <v>NO_DETAILS</v>
          </cell>
          <cell r="I67" t="str">
            <v>NO_SCENARIOS</v>
          </cell>
          <cell r="J67" t="str">
            <v>NO_CURRENCIES</v>
          </cell>
          <cell r="K67">
            <v>10500</v>
          </cell>
        </row>
        <row r="68">
          <cell r="C68" t="str">
            <v>E5090</v>
          </cell>
          <cell r="D68" t="str">
            <v>NO_DATAVIEWS</v>
          </cell>
          <cell r="E68" t="str">
            <v>NO_DEPARTMENTS</v>
          </cell>
          <cell r="F68" t="str">
            <v>NO_CATEGORIES</v>
          </cell>
          <cell r="G68" t="str">
            <v>NO_OBJECTS</v>
          </cell>
          <cell r="H68" t="str">
            <v>NO_DETAILS</v>
          </cell>
          <cell r="I68" t="str">
            <v>NO_SCENARIOS</v>
          </cell>
          <cell r="J68" t="str">
            <v>NO_CURRENCIES</v>
          </cell>
          <cell r="K68">
            <v>10500</v>
          </cell>
        </row>
        <row r="69">
          <cell r="C69" t="str">
            <v>E5090</v>
          </cell>
          <cell r="D69" t="str">
            <v>NO_DATAVIEWS</v>
          </cell>
          <cell r="E69" t="str">
            <v>NO_DEPARTMENTS</v>
          </cell>
          <cell r="F69" t="str">
            <v>NO_CATEGORIES</v>
          </cell>
          <cell r="G69" t="str">
            <v>NO_OBJECTS</v>
          </cell>
          <cell r="H69" t="str">
            <v>NO_DETAILS</v>
          </cell>
          <cell r="I69" t="str">
            <v>NO_SCENARIOS</v>
          </cell>
          <cell r="J69" t="str">
            <v>NO_CURRENCIES</v>
          </cell>
          <cell r="K69">
            <v>10500</v>
          </cell>
        </row>
        <row r="70">
          <cell r="C70" t="str">
            <v>E5090</v>
          </cell>
          <cell r="D70" t="str">
            <v>NO_DATAVIEWS</v>
          </cell>
          <cell r="E70" t="str">
            <v>NO_DEPARTMENTS</v>
          </cell>
          <cell r="F70" t="str">
            <v>NO_CATEGORIES</v>
          </cell>
          <cell r="G70" t="str">
            <v>NO_OBJECTS</v>
          </cell>
          <cell r="H70" t="str">
            <v>NO_DETAILS</v>
          </cell>
          <cell r="I70" t="str">
            <v>NO_SCENARIOS</v>
          </cell>
          <cell r="J70" t="str">
            <v>NO_CURRENCIES</v>
          </cell>
          <cell r="K70">
            <v>10500</v>
          </cell>
        </row>
        <row r="71">
          <cell r="C71" t="str">
            <v>E5090</v>
          </cell>
          <cell r="D71" t="str">
            <v>NO_DATAVIEWS</v>
          </cell>
          <cell r="E71" t="str">
            <v>NO_DEPARTMENTS</v>
          </cell>
          <cell r="F71" t="str">
            <v>NO_CATEGORIES</v>
          </cell>
          <cell r="G71" t="str">
            <v>NO_OBJECTS</v>
          </cell>
          <cell r="H71" t="str">
            <v>NO_DETAILS</v>
          </cell>
          <cell r="I71" t="str">
            <v>NO_SCENARIOS</v>
          </cell>
          <cell r="J71" t="str">
            <v>NO_CURRENCIES</v>
          </cell>
          <cell r="K71">
            <v>10500</v>
          </cell>
        </row>
        <row r="72">
          <cell r="C72" t="str">
            <v>E5090</v>
          </cell>
          <cell r="D72" t="str">
            <v>NO_DATAVIEWS</v>
          </cell>
          <cell r="E72" t="str">
            <v>NO_DEPARTMENTS</v>
          </cell>
          <cell r="F72" t="str">
            <v>NO_CATEGORIES</v>
          </cell>
          <cell r="G72" t="str">
            <v>NO_OBJECTS</v>
          </cell>
          <cell r="H72" t="str">
            <v>NO_DETAILS</v>
          </cell>
          <cell r="I72" t="str">
            <v>NO_SCENARIOS</v>
          </cell>
          <cell r="J72" t="str">
            <v>NO_CURRENCIES</v>
          </cell>
          <cell r="K72">
            <v>10500</v>
          </cell>
        </row>
        <row r="73">
          <cell r="C73" t="str">
            <v>E5100</v>
          </cell>
          <cell r="D73" t="str">
            <v>NO_DATAVIEWS</v>
          </cell>
          <cell r="E73" t="str">
            <v>NO_DEPARTMENTS</v>
          </cell>
          <cell r="F73" t="str">
            <v>NO_CATEGORIES</v>
          </cell>
          <cell r="G73" t="str">
            <v>NO_OBJECTS</v>
          </cell>
          <cell r="H73" t="str">
            <v>NO_DETAILS</v>
          </cell>
          <cell r="I73" t="str">
            <v>NO_SCENARIOS</v>
          </cell>
          <cell r="J73" t="str">
            <v>NO_CURRENCIES</v>
          </cell>
          <cell r="K73">
            <v>10500</v>
          </cell>
        </row>
        <row r="74">
          <cell r="C74" t="str">
            <v>E5100</v>
          </cell>
          <cell r="D74" t="str">
            <v>NO_DATAVIEWS</v>
          </cell>
          <cell r="E74" t="str">
            <v>NO_DEPARTMENTS</v>
          </cell>
          <cell r="F74" t="str">
            <v>NO_CATEGORIES</v>
          </cell>
          <cell r="G74" t="str">
            <v>NO_OBJECTS</v>
          </cell>
          <cell r="H74" t="str">
            <v>NO_DETAILS</v>
          </cell>
          <cell r="I74" t="str">
            <v>NO_SCENARIOS</v>
          </cell>
          <cell r="J74" t="str">
            <v>NO_CURRENCIES</v>
          </cell>
          <cell r="K74">
            <v>10500</v>
          </cell>
        </row>
        <row r="75">
          <cell r="C75" t="str">
            <v>E5100</v>
          </cell>
          <cell r="D75" t="str">
            <v>NO_DATAVIEWS</v>
          </cell>
          <cell r="E75" t="str">
            <v>NO_DEPARTMENTS</v>
          </cell>
          <cell r="F75" t="str">
            <v>NO_CATEGORIES</v>
          </cell>
          <cell r="G75" t="str">
            <v>NO_OBJECTS</v>
          </cell>
          <cell r="H75" t="str">
            <v>NO_DETAILS</v>
          </cell>
          <cell r="I75" t="str">
            <v>NO_SCENARIOS</v>
          </cell>
          <cell r="J75" t="str">
            <v>NO_CURRENCIES</v>
          </cell>
          <cell r="K75">
            <v>10500</v>
          </cell>
        </row>
        <row r="76">
          <cell r="C76" t="str">
            <v>E5100</v>
          </cell>
          <cell r="D76" t="str">
            <v>NO_DATAVIEWS</v>
          </cell>
          <cell r="E76" t="str">
            <v>NO_DEPARTMENTS</v>
          </cell>
          <cell r="F76" t="str">
            <v>NO_CATEGORIES</v>
          </cell>
          <cell r="G76" t="str">
            <v>NO_OBJECTS</v>
          </cell>
          <cell r="H76" t="str">
            <v>NO_DETAILS</v>
          </cell>
          <cell r="I76" t="str">
            <v>NO_SCENARIOS</v>
          </cell>
          <cell r="J76" t="str">
            <v>NO_CURRENCIES</v>
          </cell>
          <cell r="K76">
            <v>10500</v>
          </cell>
        </row>
        <row r="77">
          <cell r="C77" t="str">
            <v>E5100</v>
          </cell>
          <cell r="D77" t="str">
            <v>NO_DATAVIEWS</v>
          </cell>
          <cell r="E77" t="str">
            <v>NO_DEPARTMENTS</v>
          </cell>
          <cell r="F77" t="str">
            <v>NO_CATEGORIES</v>
          </cell>
          <cell r="G77" t="str">
            <v>NO_OBJECTS</v>
          </cell>
          <cell r="H77" t="str">
            <v>NO_DETAILS</v>
          </cell>
          <cell r="I77" t="str">
            <v>NO_SCENARIOS</v>
          </cell>
          <cell r="J77" t="str">
            <v>NO_CURRENCIES</v>
          </cell>
          <cell r="K77">
            <v>10500</v>
          </cell>
        </row>
        <row r="78">
          <cell r="C78" t="str">
            <v>E5100</v>
          </cell>
          <cell r="D78" t="str">
            <v>NO_DATAVIEWS</v>
          </cell>
          <cell r="E78" t="str">
            <v>NO_DEPARTMENTS</v>
          </cell>
          <cell r="F78" t="str">
            <v>NO_CATEGORIES</v>
          </cell>
          <cell r="G78" t="str">
            <v>NO_OBJECTS</v>
          </cell>
          <cell r="H78" t="str">
            <v>NO_DETAILS</v>
          </cell>
          <cell r="I78" t="str">
            <v>NO_SCENARIOS</v>
          </cell>
          <cell r="J78" t="str">
            <v>NO_CURRENCIES</v>
          </cell>
          <cell r="K78">
            <v>10500</v>
          </cell>
        </row>
        <row r="79">
          <cell r="C79" t="str">
            <v>E5100</v>
          </cell>
          <cell r="D79" t="str">
            <v>NO_DATAVIEWS</v>
          </cell>
          <cell r="E79" t="str">
            <v>NO_DEPARTMENTS</v>
          </cell>
          <cell r="F79" t="str">
            <v>NO_CATEGORIES</v>
          </cell>
          <cell r="G79" t="str">
            <v>NO_OBJECTS</v>
          </cell>
          <cell r="H79" t="str">
            <v>NO_DETAILS</v>
          </cell>
          <cell r="I79" t="str">
            <v>NO_SCENARIOS</v>
          </cell>
          <cell r="J79" t="str">
            <v>NO_CURRENCIES</v>
          </cell>
          <cell r="K79">
            <v>10500</v>
          </cell>
        </row>
        <row r="80">
          <cell r="C80" t="str">
            <v>E5100</v>
          </cell>
          <cell r="D80" t="str">
            <v>NO_DATAVIEWS</v>
          </cell>
          <cell r="E80" t="str">
            <v>NO_DEPARTMENTS</v>
          </cell>
          <cell r="F80" t="str">
            <v>NO_CATEGORIES</v>
          </cell>
          <cell r="G80" t="str">
            <v>NO_OBJECTS</v>
          </cell>
          <cell r="H80" t="str">
            <v>NO_DETAILS</v>
          </cell>
          <cell r="I80" t="str">
            <v>NO_SCENARIOS</v>
          </cell>
          <cell r="J80" t="str">
            <v>NO_CURRENCIES</v>
          </cell>
          <cell r="K80">
            <v>10500</v>
          </cell>
        </row>
        <row r="81">
          <cell r="C81" t="str">
            <v>E5100</v>
          </cell>
          <cell r="D81" t="str">
            <v>NO_DATAVIEWS</v>
          </cell>
          <cell r="E81" t="str">
            <v>NO_DEPARTMENTS</v>
          </cell>
          <cell r="F81" t="str">
            <v>NO_CATEGORIES</v>
          </cell>
          <cell r="G81" t="str">
            <v>NO_OBJECTS</v>
          </cell>
          <cell r="H81" t="str">
            <v>NO_DETAILS</v>
          </cell>
          <cell r="I81" t="str">
            <v>NO_SCENARIOS</v>
          </cell>
          <cell r="J81" t="str">
            <v>NO_CURRENCIES</v>
          </cell>
          <cell r="K81">
            <v>10500</v>
          </cell>
        </row>
        <row r="82">
          <cell r="C82" t="str">
            <v>E5100</v>
          </cell>
          <cell r="D82" t="str">
            <v>NO_DATAVIEWS</v>
          </cell>
          <cell r="E82" t="str">
            <v>NO_DEPARTMENTS</v>
          </cell>
          <cell r="F82" t="str">
            <v>NO_CATEGORIES</v>
          </cell>
          <cell r="G82" t="str">
            <v>NO_OBJECTS</v>
          </cell>
          <cell r="H82" t="str">
            <v>NO_DETAILS</v>
          </cell>
          <cell r="I82" t="str">
            <v>NO_SCENARIOS</v>
          </cell>
          <cell r="J82" t="str">
            <v>NO_CURRENCIES</v>
          </cell>
          <cell r="K82">
            <v>10500</v>
          </cell>
        </row>
        <row r="83">
          <cell r="C83" t="str">
            <v>E5100</v>
          </cell>
          <cell r="D83" t="str">
            <v>NO_DATAVIEWS</v>
          </cell>
          <cell r="E83" t="str">
            <v>NO_DEPARTMENTS</v>
          </cell>
          <cell r="F83" t="str">
            <v>NO_CATEGORIES</v>
          </cell>
          <cell r="G83" t="str">
            <v>NO_OBJECTS</v>
          </cell>
          <cell r="H83" t="str">
            <v>NO_DETAILS</v>
          </cell>
          <cell r="I83" t="str">
            <v>NO_SCENARIOS</v>
          </cell>
          <cell r="J83" t="str">
            <v>NO_CURRENCIES</v>
          </cell>
          <cell r="K83">
            <v>10500</v>
          </cell>
        </row>
        <row r="84">
          <cell r="C84" t="str">
            <v>E5100</v>
          </cell>
          <cell r="D84" t="str">
            <v>NO_DATAVIEWS</v>
          </cell>
          <cell r="E84" t="str">
            <v>NO_DEPARTMENTS</v>
          </cell>
          <cell r="F84" t="str">
            <v>NO_CATEGORIES</v>
          </cell>
          <cell r="G84" t="str">
            <v>NO_OBJECTS</v>
          </cell>
          <cell r="H84" t="str">
            <v>NO_DETAILS</v>
          </cell>
          <cell r="I84" t="str">
            <v>NO_SCENARIOS</v>
          </cell>
          <cell r="J84" t="str">
            <v>NO_CURRENCIES</v>
          </cell>
          <cell r="K84">
            <v>10500</v>
          </cell>
        </row>
        <row r="85">
          <cell r="C85" t="str">
            <v>E5110</v>
          </cell>
          <cell r="D85" t="str">
            <v>NO_DATAVIEWS</v>
          </cell>
          <cell r="E85" t="str">
            <v>NO_DEPARTMENTS</v>
          </cell>
          <cell r="F85" t="str">
            <v>NO_CATEGORIES</v>
          </cell>
          <cell r="G85" t="str">
            <v>NO_OBJECTS</v>
          </cell>
          <cell r="H85" t="str">
            <v>NO_DETAILS</v>
          </cell>
          <cell r="I85" t="str">
            <v>NO_SCENARIOS</v>
          </cell>
          <cell r="J85" t="str">
            <v>NO_CURRENCIES</v>
          </cell>
          <cell r="K85">
            <v>9000</v>
          </cell>
        </row>
        <row r="86">
          <cell r="C86" t="str">
            <v>E5110</v>
          </cell>
          <cell r="D86" t="str">
            <v>NO_DATAVIEWS</v>
          </cell>
          <cell r="E86" t="str">
            <v>NO_DEPARTMENTS</v>
          </cell>
          <cell r="F86" t="str">
            <v>NO_CATEGORIES</v>
          </cell>
          <cell r="G86" t="str">
            <v>NO_OBJECTS</v>
          </cell>
          <cell r="H86" t="str">
            <v>NO_DETAILS</v>
          </cell>
          <cell r="I86" t="str">
            <v>NO_SCENARIOS</v>
          </cell>
          <cell r="J86" t="str">
            <v>NO_CURRENCIES</v>
          </cell>
          <cell r="K86">
            <v>9000</v>
          </cell>
        </row>
        <row r="87">
          <cell r="C87" t="str">
            <v>E5110</v>
          </cell>
          <cell r="D87" t="str">
            <v>NO_DATAVIEWS</v>
          </cell>
          <cell r="E87" t="str">
            <v>NO_DEPARTMENTS</v>
          </cell>
          <cell r="F87" t="str">
            <v>NO_CATEGORIES</v>
          </cell>
          <cell r="G87" t="str">
            <v>NO_OBJECTS</v>
          </cell>
          <cell r="H87" t="str">
            <v>NO_DETAILS</v>
          </cell>
          <cell r="I87" t="str">
            <v>NO_SCENARIOS</v>
          </cell>
          <cell r="J87" t="str">
            <v>NO_CURRENCIES</v>
          </cell>
          <cell r="K87">
            <v>9000</v>
          </cell>
        </row>
        <row r="88">
          <cell r="C88" t="str">
            <v>E5110</v>
          </cell>
          <cell r="D88" t="str">
            <v>NO_DATAVIEWS</v>
          </cell>
          <cell r="E88" t="str">
            <v>NO_DEPARTMENTS</v>
          </cell>
          <cell r="F88" t="str">
            <v>NO_CATEGORIES</v>
          </cell>
          <cell r="G88" t="str">
            <v>NO_OBJECTS</v>
          </cell>
          <cell r="H88" t="str">
            <v>NO_DETAILS</v>
          </cell>
          <cell r="I88" t="str">
            <v>NO_SCENARIOS</v>
          </cell>
          <cell r="J88" t="str">
            <v>NO_CURRENCIES</v>
          </cell>
          <cell r="K88">
            <v>9000</v>
          </cell>
        </row>
        <row r="89">
          <cell r="C89" t="str">
            <v>E5110</v>
          </cell>
          <cell r="D89" t="str">
            <v>NO_DATAVIEWS</v>
          </cell>
          <cell r="E89" t="str">
            <v>NO_DEPARTMENTS</v>
          </cell>
          <cell r="F89" t="str">
            <v>NO_CATEGORIES</v>
          </cell>
          <cell r="G89" t="str">
            <v>NO_OBJECTS</v>
          </cell>
          <cell r="H89" t="str">
            <v>NO_DETAILS</v>
          </cell>
          <cell r="I89" t="str">
            <v>NO_SCENARIOS</v>
          </cell>
          <cell r="J89" t="str">
            <v>NO_CURRENCIES</v>
          </cell>
          <cell r="K89">
            <v>9000</v>
          </cell>
        </row>
        <row r="90">
          <cell r="C90" t="str">
            <v>E5110</v>
          </cell>
          <cell r="D90" t="str">
            <v>NO_DATAVIEWS</v>
          </cell>
          <cell r="E90" t="str">
            <v>NO_DEPARTMENTS</v>
          </cell>
          <cell r="F90" t="str">
            <v>NO_CATEGORIES</v>
          </cell>
          <cell r="G90" t="str">
            <v>NO_OBJECTS</v>
          </cell>
          <cell r="H90" t="str">
            <v>NO_DETAILS</v>
          </cell>
          <cell r="I90" t="str">
            <v>NO_SCENARIOS</v>
          </cell>
          <cell r="J90" t="str">
            <v>NO_CURRENCIES</v>
          </cell>
          <cell r="K90">
            <v>9000</v>
          </cell>
        </row>
        <row r="91">
          <cell r="C91" t="str">
            <v>E5110</v>
          </cell>
          <cell r="D91" t="str">
            <v>NO_DATAVIEWS</v>
          </cell>
          <cell r="E91" t="str">
            <v>NO_DEPARTMENTS</v>
          </cell>
          <cell r="F91" t="str">
            <v>NO_CATEGORIES</v>
          </cell>
          <cell r="G91" t="str">
            <v>NO_OBJECTS</v>
          </cell>
          <cell r="H91" t="str">
            <v>NO_DETAILS</v>
          </cell>
          <cell r="I91" t="str">
            <v>NO_SCENARIOS</v>
          </cell>
          <cell r="J91" t="str">
            <v>NO_CURRENCIES</v>
          </cell>
          <cell r="K91">
            <v>9000</v>
          </cell>
        </row>
        <row r="92">
          <cell r="C92" t="str">
            <v>E5110</v>
          </cell>
          <cell r="D92" t="str">
            <v>NO_DATAVIEWS</v>
          </cell>
          <cell r="E92" t="str">
            <v>NO_DEPARTMENTS</v>
          </cell>
          <cell r="F92" t="str">
            <v>NO_CATEGORIES</v>
          </cell>
          <cell r="G92" t="str">
            <v>NO_OBJECTS</v>
          </cell>
          <cell r="H92" t="str">
            <v>NO_DETAILS</v>
          </cell>
          <cell r="I92" t="str">
            <v>NO_SCENARIOS</v>
          </cell>
          <cell r="J92" t="str">
            <v>NO_CURRENCIES</v>
          </cell>
          <cell r="K92">
            <v>9000</v>
          </cell>
        </row>
        <row r="93">
          <cell r="C93" t="str">
            <v>E5110</v>
          </cell>
          <cell r="D93" t="str">
            <v>NO_DATAVIEWS</v>
          </cell>
          <cell r="E93" t="str">
            <v>NO_DEPARTMENTS</v>
          </cell>
          <cell r="F93" t="str">
            <v>NO_CATEGORIES</v>
          </cell>
          <cell r="G93" t="str">
            <v>NO_OBJECTS</v>
          </cell>
          <cell r="H93" t="str">
            <v>NO_DETAILS</v>
          </cell>
          <cell r="I93" t="str">
            <v>NO_SCENARIOS</v>
          </cell>
          <cell r="J93" t="str">
            <v>NO_CURRENCIES</v>
          </cell>
          <cell r="K93">
            <v>9000</v>
          </cell>
        </row>
        <row r="94">
          <cell r="C94" t="str">
            <v>E5110</v>
          </cell>
          <cell r="D94" t="str">
            <v>NO_DATAVIEWS</v>
          </cell>
          <cell r="E94" t="str">
            <v>NO_DEPARTMENTS</v>
          </cell>
          <cell r="F94" t="str">
            <v>NO_CATEGORIES</v>
          </cell>
          <cell r="G94" t="str">
            <v>NO_OBJECTS</v>
          </cell>
          <cell r="H94" t="str">
            <v>NO_DETAILS</v>
          </cell>
          <cell r="I94" t="str">
            <v>NO_SCENARIOS</v>
          </cell>
          <cell r="J94" t="str">
            <v>NO_CURRENCIES</v>
          </cell>
          <cell r="K94">
            <v>9000</v>
          </cell>
        </row>
        <row r="95">
          <cell r="C95" t="str">
            <v>E5110</v>
          </cell>
          <cell r="D95" t="str">
            <v>NO_DATAVIEWS</v>
          </cell>
          <cell r="E95" t="str">
            <v>NO_DEPARTMENTS</v>
          </cell>
          <cell r="F95" t="str">
            <v>NO_CATEGORIES</v>
          </cell>
          <cell r="G95" t="str">
            <v>NO_OBJECTS</v>
          </cell>
          <cell r="H95" t="str">
            <v>NO_DETAILS</v>
          </cell>
          <cell r="I95" t="str">
            <v>NO_SCENARIOS</v>
          </cell>
          <cell r="J95" t="str">
            <v>NO_CURRENCIES</v>
          </cell>
          <cell r="K95">
            <v>9000</v>
          </cell>
        </row>
        <row r="96">
          <cell r="C96" t="str">
            <v>E5110</v>
          </cell>
          <cell r="D96" t="str">
            <v>NO_DATAVIEWS</v>
          </cell>
          <cell r="E96" t="str">
            <v>NO_DEPARTMENTS</v>
          </cell>
          <cell r="F96" t="str">
            <v>NO_CATEGORIES</v>
          </cell>
          <cell r="G96" t="str">
            <v>NO_OBJECTS</v>
          </cell>
          <cell r="H96" t="str">
            <v>NO_DETAILS</v>
          </cell>
          <cell r="I96" t="str">
            <v>NO_SCENARIOS</v>
          </cell>
          <cell r="J96" t="str">
            <v>NO_CURRENCIES</v>
          </cell>
          <cell r="K96">
            <v>9000</v>
          </cell>
        </row>
        <row r="97">
          <cell r="C97" t="str">
            <v>E5120</v>
          </cell>
          <cell r="D97" t="str">
            <v>NO_DATAVIEWS</v>
          </cell>
          <cell r="E97" t="str">
            <v>NO_DEPARTMENTS</v>
          </cell>
          <cell r="F97" t="str">
            <v>NO_CATEGORIES</v>
          </cell>
          <cell r="G97" t="str">
            <v>NO_OBJECTS</v>
          </cell>
          <cell r="H97" t="str">
            <v>NO_DETAILS</v>
          </cell>
          <cell r="I97" t="str">
            <v>NO_SCENARIOS</v>
          </cell>
          <cell r="J97" t="str">
            <v>NO_CURRENCIES</v>
          </cell>
          <cell r="K97">
            <v>9000</v>
          </cell>
        </row>
        <row r="98">
          <cell r="C98" t="str">
            <v>E5120</v>
          </cell>
          <cell r="D98" t="str">
            <v>NO_DATAVIEWS</v>
          </cell>
          <cell r="E98" t="str">
            <v>NO_DEPARTMENTS</v>
          </cell>
          <cell r="F98" t="str">
            <v>NO_CATEGORIES</v>
          </cell>
          <cell r="G98" t="str">
            <v>NO_OBJECTS</v>
          </cell>
          <cell r="H98" t="str">
            <v>NO_DETAILS</v>
          </cell>
          <cell r="I98" t="str">
            <v>NO_SCENARIOS</v>
          </cell>
          <cell r="J98" t="str">
            <v>NO_CURRENCIES</v>
          </cell>
          <cell r="K98">
            <v>9000</v>
          </cell>
        </row>
        <row r="99">
          <cell r="C99" t="str">
            <v>E5120</v>
          </cell>
          <cell r="D99" t="str">
            <v>NO_DATAVIEWS</v>
          </cell>
          <cell r="E99" t="str">
            <v>NO_DEPARTMENTS</v>
          </cell>
          <cell r="F99" t="str">
            <v>NO_CATEGORIES</v>
          </cell>
          <cell r="G99" t="str">
            <v>NO_OBJECTS</v>
          </cell>
          <cell r="H99" t="str">
            <v>NO_DETAILS</v>
          </cell>
          <cell r="I99" t="str">
            <v>NO_SCENARIOS</v>
          </cell>
          <cell r="J99" t="str">
            <v>NO_CURRENCIES</v>
          </cell>
          <cell r="K99">
            <v>9000</v>
          </cell>
        </row>
        <row r="100">
          <cell r="C100" t="str">
            <v>E5120</v>
          </cell>
          <cell r="D100" t="str">
            <v>NO_DATAVIEWS</v>
          </cell>
          <cell r="E100" t="str">
            <v>NO_DEPARTMENTS</v>
          </cell>
          <cell r="F100" t="str">
            <v>NO_CATEGORIES</v>
          </cell>
          <cell r="G100" t="str">
            <v>NO_OBJECTS</v>
          </cell>
          <cell r="H100" t="str">
            <v>NO_DETAILS</v>
          </cell>
          <cell r="I100" t="str">
            <v>NO_SCENARIOS</v>
          </cell>
          <cell r="J100" t="str">
            <v>NO_CURRENCIES</v>
          </cell>
          <cell r="K100">
            <v>9000</v>
          </cell>
        </row>
        <row r="101">
          <cell r="C101" t="str">
            <v>E5120</v>
          </cell>
          <cell r="D101" t="str">
            <v>NO_DATAVIEWS</v>
          </cell>
          <cell r="E101" t="str">
            <v>NO_DEPARTMENTS</v>
          </cell>
          <cell r="F101" t="str">
            <v>NO_CATEGORIES</v>
          </cell>
          <cell r="G101" t="str">
            <v>NO_OBJECTS</v>
          </cell>
          <cell r="H101" t="str">
            <v>NO_DETAILS</v>
          </cell>
          <cell r="I101" t="str">
            <v>NO_SCENARIOS</v>
          </cell>
          <cell r="J101" t="str">
            <v>NO_CURRENCIES</v>
          </cell>
          <cell r="K101">
            <v>9000</v>
          </cell>
        </row>
        <row r="102">
          <cell r="C102" t="str">
            <v>E5120</v>
          </cell>
          <cell r="D102" t="str">
            <v>NO_DATAVIEWS</v>
          </cell>
          <cell r="E102" t="str">
            <v>NO_DEPARTMENTS</v>
          </cell>
          <cell r="F102" t="str">
            <v>NO_CATEGORIES</v>
          </cell>
          <cell r="G102" t="str">
            <v>NO_OBJECTS</v>
          </cell>
          <cell r="H102" t="str">
            <v>NO_DETAILS</v>
          </cell>
          <cell r="I102" t="str">
            <v>NO_SCENARIOS</v>
          </cell>
          <cell r="J102" t="str">
            <v>NO_CURRENCIES</v>
          </cell>
          <cell r="K102">
            <v>9000</v>
          </cell>
        </row>
        <row r="103">
          <cell r="C103" t="str">
            <v>E5120</v>
          </cell>
          <cell r="D103" t="str">
            <v>NO_DATAVIEWS</v>
          </cell>
          <cell r="E103" t="str">
            <v>NO_DEPARTMENTS</v>
          </cell>
          <cell r="F103" t="str">
            <v>NO_CATEGORIES</v>
          </cell>
          <cell r="G103" t="str">
            <v>NO_OBJECTS</v>
          </cell>
          <cell r="H103" t="str">
            <v>NO_DETAILS</v>
          </cell>
          <cell r="I103" t="str">
            <v>NO_SCENARIOS</v>
          </cell>
          <cell r="J103" t="str">
            <v>NO_CURRENCIES</v>
          </cell>
          <cell r="K103">
            <v>9000</v>
          </cell>
        </row>
        <row r="104">
          <cell r="C104" t="str">
            <v>E5120</v>
          </cell>
          <cell r="D104" t="str">
            <v>NO_DATAVIEWS</v>
          </cell>
          <cell r="E104" t="str">
            <v>NO_DEPARTMENTS</v>
          </cell>
          <cell r="F104" t="str">
            <v>NO_CATEGORIES</v>
          </cell>
          <cell r="G104" t="str">
            <v>NO_OBJECTS</v>
          </cell>
          <cell r="H104" t="str">
            <v>NO_DETAILS</v>
          </cell>
          <cell r="I104" t="str">
            <v>NO_SCENARIOS</v>
          </cell>
          <cell r="J104" t="str">
            <v>NO_CURRENCIES</v>
          </cell>
          <cell r="K104">
            <v>9000</v>
          </cell>
        </row>
        <row r="105">
          <cell r="C105" t="str">
            <v>E5120</v>
          </cell>
          <cell r="D105" t="str">
            <v>NO_DATAVIEWS</v>
          </cell>
          <cell r="E105" t="str">
            <v>NO_DEPARTMENTS</v>
          </cell>
          <cell r="F105" t="str">
            <v>NO_CATEGORIES</v>
          </cell>
          <cell r="G105" t="str">
            <v>NO_OBJECTS</v>
          </cell>
          <cell r="H105" t="str">
            <v>NO_DETAILS</v>
          </cell>
          <cell r="I105" t="str">
            <v>NO_SCENARIOS</v>
          </cell>
          <cell r="J105" t="str">
            <v>NO_CURRENCIES</v>
          </cell>
          <cell r="K105">
            <v>9000</v>
          </cell>
        </row>
        <row r="106">
          <cell r="C106" t="str">
            <v>E5120</v>
          </cell>
          <cell r="D106" t="str">
            <v>NO_DATAVIEWS</v>
          </cell>
          <cell r="E106" t="str">
            <v>NO_DEPARTMENTS</v>
          </cell>
          <cell r="F106" t="str">
            <v>NO_CATEGORIES</v>
          </cell>
          <cell r="G106" t="str">
            <v>NO_OBJECTS</v>
          </cell>
          <cell r="H106" t="str">
            <v>NO_DETAILS</v>
          </cell>
          <cell r="I106" t="str">
            <v>NO_SCENARIOS</v>
          </cell>
          <cell r="J106" t="str">
            <v>NO_CURRENCIES</v>
          </cell>
          <cell r="K106">
            <v>9000</v>
          </cell>
        </row>
        <row r="107">
          <cell r="C107" t="str">
            <v>E5120</v>
          </cell>
          <cell r="D107" t="str">
            <v>NO_DATAVIEWS</v>
          </cell>
          <cell r="E107" t="str">
            <v>NO_DEPARTMENTS</v>
          </cell>
          <cell r="F107" t="str">
            <v>NO_CATEGORIES</v>
          </cell>
          <cell r="G107" t="str">
            <v>NO_OBJECTS</v>
          </cell>
          <cell r="H107" t="str">
            <v>NO_DETAILS</v>
          </cell>
          <cell r="I107" t="str">
            <v>NO_SCENARIOS</v>
          </cell>
          <cell r="J107" t="str">
            <v>NO_CURRENCIES</v>
          </cell>
          <cell r="K107">
            <v>9000</v>
          </cell>
        </row>
        <row r="108">
          <cell r="C108" t="str">
            <v>E5120</v>
          </cell>
          <cell r="D108" t="str">
            <v>NO_DATAVIEWS</v>
          </cell>
          <cell r="E108" t="str">
            <v>NO_DEPARTMENTS</v>
          </cell>
          <cell r="F108" t="str">
            <v>NO_CATEGORIES</v>
          </cell>
          <cell r="G108" t="str">
            <v>NO_OBJECTS</v>
          </cell>
          <cell r="H108" t="str">
            <v>NO_DETAILS</v>
          </cell>
          <cell r="I108" t="str">
            <v>NO_SCENARIOS</v>
          </cell>
          <cell r="J108" t="str">
            <v>NO_CURRENCIES</v>
          </cell>
          <cell r="K108">
            <v>9000</v>
          </cell>
        </row>
        <row r="109">
          <cell r="C109" t="str">
            <v>E5130</v>
          </cell>
          <cell r="D109" t="str">
            <v>NO_DATAVIEWS</v>
          </cell>
          <cell r="E109" t="str">
            <v>NO_DEPARTMENTS</v>
          </cell>
          <cell r="F109" t="str">
            <v>NO_CATEGORIES</v>
          </cell>
          <cell r="G109" t="str">
            <v>NO_OBJECTS</v>
          </cell>
          <cell r="H109" t="str">
            <v>NO_DETAILS</v>
          </cell>
          <cell r="I109" t="str">
            <v>NO_SCENARIOS</v>
          </cell>
          <cell r="J109" t="str">
            <v>NO_CURRENCIES</v>
          </cell>
          <cell r="K109">
            <v>8000</v>
          </cell>
        </row>
        <row r="110">
          <cell r="C110" t="str">
            <v>E5130</v>
          </cell>
          <cell r="D110" t="str">
            <v>NO_DATAVIEWS</v>
          </cell>
          <cell r="E110" t="str">
            <v>NO_DEPARTMENTS</v>
          </cell>
          <cell r="F110" t="str">
            <v>NO_CATEGORIES</v>
          </cell>
          <cell r="G110" t="str">
            <v>NO_OBJECTS</v>
          </cell>
          <cell r="H110" t="str">
            <v>NO_DETAILS</v>
          </cell>
          <cell r="I110" t="str">
            <v>NO_SCENARIOS</v>
          </cell>
          <cell r="J110" t="str">
            <v>NO_CURRENCIES</v>
          </cell>
          <cell r="K110">
            <v>8000</v>
          </cell>
        </row>
        <row r="111">
          <cell r="C111" t="str">
            <v>E5130</v>
          </cell>
          <cell r="D111" t="str">
            <v>NO_DATAVIEWS</v>
          </cell>
          <cell r="E111" t="str">
            <v>NO_DEPARTMENTS</v>
          </cell>
          <cell r="F111" t="str">
            <v>NO_CATEGORIES</v>
          </cell>
          <cell r="G111" t="str">
            <v>NO_OBJECTS</v>
          </cell>
          <cell r="H111" t="str">
            <v>NO_DETAILS</v>
          </cell>
          <cell r="I111" t="str">
            <v>NO_SCENARIOS</v>
          </cell>
          <cell r="J111" t="str">
            <v>NO_CURRENCIES</v>
          </cell>
          <cell r="K111">
            <v>8000</v>
          </cell>
        </row>
        <row r="112">
          <cell r="C112" t="str">
            <v>E5130</v>
          </cell>
          <cell r="D112" t="str">
            <v>NO_DATAVIEWS</v>
          </cell>
          <cell r="E112" t="str">
            <v>NO_DEPARTMENTS</v>
          </cell>
          <cell r="F112" t="str">
            <v>NO_CATEGORIES</v>
          </cell>
          <cell r="G112" t="str">
            <v>NO_OBJECTS</v>
          </cell>
          <cell r="H112" t="str">
            <v>NO_DETAILS</v>
          </cell>
          <cell r="I112" t="str">
            <v>NO_SCENARIOS</v>
          </cell>
          <cell r="J112" t="str">
            <v>NO_CURRENCIES</v>
          </cell>
          <cell r="K112">
            <v>8000</v>
          </cell>
        </row>
        <row r="113">
          <cell r="C113" t="str">
            <v>E5130</v>
          </cell>
          <cell r="D113" t="str">
            <v>NO_DATAVIEWS</v>
          </cell>
          <cell r="E113" t="str">
            <v>NO_DEPARTMENTS</v>
          </cell>
          <cell r="F113" t="str">
            <v>NO_CATEGORIES</v>
          </cell>
          <cell r="G113" t="str">
            <v>NO_OBJECTS</v>
          </cell>
          <cell r="H113" t="str">
            <v>NO_DETAILS</v>
          </cell>
          <cell r="I113" t="str">
            <v>NO_SCENARIOS</v>
          </cell>
          <cell r="J113" t="str">
            <v>NO_CURRENCIES</v>
          </cell>
          <cell r="K113">
            <v>8000</v>
          </cell>
        </row>
        <row r="114">
          <cell r="C114" t="str">
            <v>E5130</v>
          </cell>
          <cell r="D114" t="str">
            <v>NO_DATAVIEWS</v>
          </cell>
          <cell r="E114" t="str">
            <v>NO_DEPARTMENTS</v>
          </cell>
          <cell r="F114" t="str">
            <v>NO_CATEGORIES</v>
          </cell>
          <cell r="G114" t="str">
            <v>NO_OBJECTS</v>
          </cell>
          <cell r="H114" t="str">
            <v>NO_DETAILS</v>
          </cell>
          <cell r="I114" t="str">
            <v>NO_SCENARIOS</v>
          </cell>
          <cell r="J114" t="str">
            <v>NO_CURRENCIES</v>
          </cell>
          <cell r="K114">
            <v>8000</v>
          </cell>
        </row>
        <row r="115">
          <cell r="C115" t="str">
            <v>E5130</v>
          </cell>
          <cell r="D115" t="str">
            <v>NO_DATAVIEWS</v>
          </cell>
          <cell r="E115" t="str">
            <v>NO_DEPARTMENTS</v>
          </cell>
          <cell r="F115" t="str">
            <v>NO_CATEGORIES</v>
          </cell>
          <cell r="G115" t="str">
            <v>NO_OBJECTS</v>
          </cell>
          <cell r="H115" t="str">
            <v>NO_DETAILS</v>
          </cell>
          <cell r="I115" t="str">
            <v>NO_SCENARIOS</v>
          </cell>
          <cell r="J115" t="str">
            <v>NO_CURRENCIES</v>
          </cell>
          <cell r="K115">
            <v>8000</v>
          </cell>
        </row>
        <row r="116">
          <cell r="C116" t="str">
            <v>E5130</v>
          </cell>
          <cell r="D116" t="str">
            <v>NO_DATAVIEWS</v>
          </cell>
          <cell r="E116" t="str">
            <v>NO_DEPARTMENTS</v>
          </cell>
          <cell r="F116" t="str">
            <v>NO_CATEGORIES</v>
          </cell>
          <cell r="G116" t="str">
            <v>NO_OBJECTS</v>
          </cell>
          <cell r="H116" t="str">
            <v>NO_DETAILS</v>
          </cell>
          <cell r="I116" t="str">
            <v>NO_SCENARIOS</v>
          </cell>
          <cell r="J116" t="str">
            <v>NO_CURRENCIES</v>
          </cell>
          <cell r="K116">
            <v>8000</v>
          </cell>
        </row>
        <row r="117">
          <cell r="C117" t="str">
            <v>E5130</v>
          </cell>
          <cell r="D117" t="str">
            <v>NO_DATAVIEWS</v>
          </cell>
          <cell r="E117" t="str">
            <v>NO_DEPARTMENTS</v>
          </cell>
          <cell r="F117" t="str">
            <v>NO_CATEGORIES</v>
          </cell>
          <cell r="G117" t="str">
            <v>NO_OBJECTS</v>
          </cell>
          <cell r="H117" t="str">
            <v>NO_DETAILS</v>
          </cell>
          <cell r="I117" t="str">
            <v>NO_SCENARIOS</v>
          </cell>
          <cell r="J117" t="str">
            <v>NO_CURRENCIES</v>
          </cell>
          <cell r="K117">
            <v>8000</v>
          </cell>
        </row>
        <row r="118">
          <cell r="C118" t="str">
            <v>E5130</v>
          </cell>
          <cell r="D118" t="str">
            <v>NO_DATAVIEWS</v>
          </cell>
          <cell r="E118" t="str">
            <v>NO_DEPARTMENTS</v>
          </cell>
          <cell r="F118" t="str">
            <v>NO_CATEGORIES</v>
          </cell>
          <cell r="G118" t="str">
            <v>NO_OBJECTS</v>
          </cell>
          <cell r="H118" t="str">
            <v>NO_DETAILS</v>
          </cell>
          <cell r="I118" t="str">
            <v>NO_SCENARIOS</v>
          </cell>
          <cell r="J118" t="str">
            <v>NO_CURRENCIES</v>
          </cell>
          <cell r="K118">
            <v>8000</v>
          </cell>
        </row>
        <row r="119">
          <cell r="C119" t="str">
            <v>E5130</v>
          </cell>
          <cell r="D119" t="str">
            <v>NO_DATAVIEWS</v>
          </cell>
          <cell r="E119" t="str">
            <v>NO_DEPARTMENTS</v>
          </cell>
          <cell r="F119" t="str">
            <v>NO_CATEGORIES</v>
          </cell>
          <cell r="G119" t="str">
            <v>NO_OBJECTS</v>
          </cell>
          <cell r="H119" t="str">
            <v>NO_DETAILS</v>
          </cell>
          <cell r="I119" t="str">
            <v>NO_SCENARIOS</v>
          </cell>
          <cell r="J119" t="str">
            <v>NO_CURRENCIES</v>
          </cell>
          <cell r="K119">
            <v>8000</v>
          </cell>
        </row>
        <row r="120">
          <cell r="C120" t="str">
            <v>E5130</v>
          </cell>
          <cell r="D120" t="str">
            <v>NO_DATAVIEWS</v>
          </cell>
          <cell r="E120" t="str">
            <v>NO_DEPARTMENTS</v>
          </cell>
          <cell r="F120" t="str">
            <v>NO_CATEGORIES</v>
          </cell>
          <cell r="G120" t="str">
            <v>NO_OBJECTS</v>
          </cell>
          <cell r="H120" t="str">
            <v>NO_DETAILS</v>
          </cell>
          <cell r="I120" t="str">
            <v>NO_SCENARIOS</v>
          </cell>
          <cell r="J120" t="str">
            <v>NO_CURRENCIES</v>
          </cell>
          <cell r="K120">
            <v>8000</v>
          </cell>
        </row>
        <row r="121">
          <cell r="C121" t="str">
            <v>E5140</v>
          </cell>
          <cell r="D121" t="str">
            <v>NO_DATAVIEWS</v>
          </cell>
          <cell r="E121" t="str">
            <v>NO_DEPARTMENTS</v>
          </cell>
          <cell r="F121" t="str">
            <v>NO_CATEGORIES</v>
          </cell>
          <cell r="G121" t="str">
            <v>NO_OBJECTS</v>
          </cell>
          <cell r="H121" t="str">
            <v>NO_DETAILS</v>
          </cell>
          <cell r="I121" t="str">
            <v>NO_SCENARIOS</v>
          </cell>
          <cell r="J121" t="str">
            <v>NO_CURRENCIES</v>
          </cell>
          <cell r="K121">
            <v>13800</v>
          </cell>
        </row>
        <row r="122">
          <cell r="C122" t="str">
            <v>E5140</v>
          </cell>
          <cell r="D122" t="str">
            <v>NO_DATAVIEWS</v>
          </cell>
          <cell r="E122" t="str">
            <v>NO_DEPARTMENTS</v>
          </cell>
          <cell r="F122" t="str">
            <v>NO_CATEGORIES</v>
          </cell>
          <cell r="G122" t="str">
            <v>NO_OBJECTS</v>
          </cell>
          <cell r="H122" t="str">
            <v>NO_DETAILS</v>
          </cell>
          <cell r="I122" t="str">
            <v>NO_SCENARIOS</v>
          </cell>
          <cell r="J122" t="str">
            <v>NO_CURRENCIES</v>
          </cell>
          <cell r="K122">
            <v>13800</v>
          </cell>
        </row>
        <row r="123">
          <cell r="C123" t="str">
            <v>E5140</v>
          </cell>
          <cell r="D123" t="str">
            <v>NO_DATAVIEWS</v>
          </cell>
          <cell r="E123" t="str">
            <v>NO_DEPARTMENTS</v>
          </cell>
          <cell r="F123" t="str">
            <v>NO_CATEGORIES</v>
          </cell>
          <cell r="G123" t="str">
            <v>NO_OBJECTS</v>
          </cell>
          <cell r="H123" t="str">
            <v>NO_DETAILS</v>
          </cell>
          <cell r="I123" t="str">
            <v>NO_SCENARIOS</v>
          </cell>
          <cell r="J123" t="str">
            <v>NO_CURRENCIES</v>
          </cell>
          <cell r="K123">
            <v>13800</v>
          </cell>
        </row>
        <row r="124">
          <cell r="C124" t="str">
            <v>E5140</v>
          </cell>
          <cell r="D124" t="str">
            <v>NO_DATAVIEWS</v>
          </cell>
          <cell r="E124" t="str">
            <v>NO_DEPARTMENTS</v>
          </cell>
          <cell r="F124" t="str">
            <v>NO_CATEGORIES</v>
          </cell>
          <cell r="G124" t="str">
            <v>NO_OBJECTS</v>
          </cell>
          <cell r="H124" t="str">
            <v>NO_DETAILS</v>
          </cell>
          <cell r="I124" t="str">
            <v>NO_SCENARIOS</v>
          </cell>
          <cell r="J124" t="str">
            <v>NO_CURRENCIES</v>
          </cell>
          <cell r="K124">
            <v>13800</v>
          </cell>
        </row>
        <row r="125">
          <cell r="C125" t="str">
            <v>E5140</v>
          </cell>
          <cell r="D125" t="str">
            <v>NO_DATAVIEWS</v>
          </cell>
          <cell r="E125" t="str">
            <v>NO_DEPARTMENTS</v>
          </cell>
          <cell r="F125" t="str">
            <v>NO_CATEGORIES</v>
          </cell>
          <cell r="G125" t="str">
            <v>NO_OBJECTS</v>
          </cell>
          <cell r="H125" t="str">
            <v>NO_DETAILS</v>
          </cell>
          <cell r="I125" t="str">
            <v>NO_SCENARIOS</v>
          </cell>
          <cell r="J125" t="str">
            <v>NO_CURRENCIES</v>
          </cell>
          <cell r="K125">
            <v>13800</v>
          </cell>
        </row>
        <row r="126">
          <cell r="C126" t="str">
            <v>E5140</v>
          </cell>
          <cell r="D126" t="str">
            <v>NO_DATAVIEWS</v>
          </cell>
          <cell r="E126" t="str">
            <v>NO_DEPARTMENTS</v>
          </cell>
          <cell r="F126" t="str">
            <v>NO_CATEGORIES</v>
          </cell>
          <cell r="G126" t="str">
            <v>NO_OBJECTS</v>
          </cell>
          <cell r="H126" t="str">
            <v>NO_DETAILS</v>
          </cell>
          <cell r="I126" t="str">
            <v>NO_SCENARIOS</v>
          </cell>
          <cell r="J126" t="str">
            <v>NO_CURRENCIES</v>
          </cell>
          <cell r="K126">
            <v>13800</v>
          </cell>
        </row>
        <row r="127">
          <cell r="C127" t="str">
            <v>E5140</v>
          </cell>
          <cell r="D127" t="str">
            <v>NO_DATAVIEWS</v>
          </cell>
          <cell r="E127" t="str">
            <v>NO_DEPARTMENTS</v>
          </cell>
          <cell r="F127" t="str">
            <v>NO_CATEGORIES</v>
          </cell>
          <cell r="G127" t="str">
            <v>NO_OBJECTS</v>
          </cell>
          <cell r="H127" t="str">
            <v>NO_DETAILS</v>
          </cell>
          <cell r="I127" t="str">
            <v>NO_SCENARIOS</v>
          </cell>
          <cell r="J127" t="str">
            <v>NO_CURRENCIES</v>
          </cell>
          <cell r="K127">
            <v>13800</v>
          </cell>
        </row>
        <row r="128">
          <cell r="C128" t="str">
            <v>E5140</v>
          </cell>
          <cell r="D128" t="str">
            <v>NO_DATAVIEWS</v>
          </cell>
          <cell r="E128" t="str">
            <v>NO_DEPARTMENTS</v>
          </cell>
          <cell r="F128" t="str">
            <v>NO_CATEGORIES</v>
          </cell>
          <cell r="G128" t="str">
            <v>NO_OBJECTS</v>
          </cell>
          <cell r="H128" t="str">
            <v>NO_DETAILS</v>
          </cell>
          <cell r="I128" t="str">
            <v>NO_SCENARIOS</v>
          </cell>
          <cell r="J128" t="str">
            <v>NO_CURRENCIES</v>
          </cell>
          <cell r="K128">
            <v>13800</v>
          </cell>
        </row>
        <row r="129">
          <cell r="C129" t="str">
            <v>E5140</v>
          </cell>
          <cell r="D129" t="str">
            <v>NO_DATAVIEWS</v>
          </cell>
          <cell r="E129" t="str">
            <v>NO_DEPARTMENTS</v>
          </cell>
          <cell r="F129" t="str">
            <v>NO_CATEGORIES</v>
          </cell>
          <cell r="G129" t="str">
            <v>NO_OBJECTS</v>
          </cell>
          <cell r="H129" t="str">
            <v>NO_DETAILS</v>
          </cell>
          <cell r="I129" t="str">
            <v>NO_SCENARIOS</v>
          </cell>
          <cell r="J129" t="str">
            <v>NO_CURRENCIES</v>
          </cell>
          <cell r="K129">
            <v>13800</v>
          </cell>
        </row>
        <row r="130">
          <cell r="C130" t="str">
            <v>E5140</v>
          </cell>
          <cell r="D130" t="str">
            <v>NO_DATAVIEWS</v>
          </cell>
          <cell r="E130" t="str">
            <v>NO_DEPARTMENTS</v>
          </cell>
          <cell r="F130" t="str">
            <v>NO_CATEGORIES</v>
          </cell>
          <cell r="G130" t="str">
            <v>NO_OBJECTS</v>
          </cell>
          <cell r="H130" t="str">
            <v>NO_DETAILS</v>
          </cell>
          <cell r="I130" t="str">
            <v>NO_SCENARIOS</v>
          </cell>
          <cell r="J130" t="str">
            <v>NO_CURRENCIES</v>
          </cell>
          <cell r="K130">
            <v>13800</v>
          </cell>
        </row>
        <row r="131">
          <cell r="C131" t="str">
            <v>E5140</v>
          </cell>
          <cell r="D131" t="str">
            <v>NO_DATAVIEWS</v>
          </cell>
          <cell r="E131" t="str">
            <v>NO_DEPARTMENTS</v>
          </cell>
          <cell r="F131" t="str">
            <v>NO_CATEGORIES</v>
          </cell>
          <cell r="G131" t="str">
            <v>NO_OBJECTS</v>
          </cell>
          <cell r="H131" t="str">
            <v>NO_DETAILS</v>
          </cell>
          <cell r="I131" t="str">
            <v>NO_SCENARIOS</v>
          </cell>
          <cell r="J131" t="str">
            <v>NO_CURRENCIES</v>
          </cell>
          <cell r="K131">
            <v>13800</v>
          </cell>
        </row>
        <row r="132">
          <cell r="C132" t="str">
            <v>E5140</v>
          </cell>
          <cell r="D132" t="str">
            <v>NO_DATAVIEWS</v>
          </cell>
          <cell r="E132" t="str">
            <v>NO_DEPARTMENTS</v>
          </cell>
          <cell r="F132" t="str">
            <v>NO_CATEGORIES</v>
          </cell>
          <cell r="G132" t="str">
            <v>NO_OBJECTS</v>
          </cell>
          <cell r="H132" t="str">
            <v>NO_DETAILS</v>
          </cell>
          <cell r="I132" t="str">
            <v>NO_SCENARIOS</v>
          </cell>
          <cell r="J132" t="str">
            <v>NO_CURRENCIES</v>
          </cell>
          <cell r="K132">
            <v>13800</v>
          </cell>
        </row>
        <row r="133">
          <cell r="C133" t="str">
            <v>E5210</v>
          </cell>
          <cell r="D133" t="str">
            <v>NO_DATAVIEWS</v>
          </cell>
          <cell r="E133" t="str">
            <v>NO_DEPARTMENTS</v>
          </cell>
          <cell r="F133" t="str">
            <v>NO_CATEGORIES</v>
          </cell>
          <cell r="G133" t="str">
            <v>NO_OBJECTS</v>
          </cell>
          <cell r="H133" t="str">
            <v>NO_DETAILS</v>
          </cell>
          <cell r="I133" t="str">
            <v>NO_SCENARIOS</v>
          </cell>
          <cell r="J133" t="str">
            <v>NO_CURRENCIES</v>
          </cell>
          <cell r="K133">
            <v>4600</v>
          </cell>
        </row>
        <row r="134">
          <cell r="C134" t="str">
            <v>E5210</v>
          </cell>
          <cell r="D134" t="str">
            <v>NO_DATAVIEWS</v>
          </cell>
          <cell r="E134" t="str">
            <v>NO_DEPARTMENTS</v>
          </cell>
          <cell r="F134" t="str">
            <v>NO_CATEGORIES</v>
          </cell>
          <cell r="G134" t="str">
            <v>NO_OBJECTS</v>
          </cell>
          <cell r="H134" t="str">
            <v>NO_DETAILS</v>
          </cell>
          <cell r="I134" t="str">
            <v>NO_SCENARIOS</v>
          </cell>
          <cell r="J134" t="str">
            <v>NO_CURRENCIES</v>
          </cell>
          <cell r="K134">
            <v>4600</v>
          </cell>
        </row>
        <row r="135">
          <cell r="C135" t="str">
            <v>E5210</v>
          </cell>
          <cell r="D135" t="str">
            <v>NO_DATAVIEWS</v>
          </cell>
          <cell r="E135" t="str">
            <v>NO_DEPARTMENTS</v>
          </cell>
          <cell r="F135" t="str">
            <v>NO_CATEGORIES</v>
          </cell>
          <cell r="G135" t="str">
            <v>NO_OBJECTS</v>
          </cell>
          <cell r="H135" t="str">
            <v>NO_DETAILS</v>
          </cell>
          <cell r="I135" t="str">
            <v>NO_SCENARIOS</v>
          </cell>
          <cell r="J135" t="str">
            <v>NO_CURRENCIES</v>
          </cell>
          <cell r="K135">
            <v>4600</v>
          </cell>
        </row>
        <row r="136">
          <cell r="C136" t="str">
            <v>E5210</v>
          </cell>
          <cell r="D136" t="str">
            <v>NO_DATAVIEWS</v>
          </cell>
          <cell r="E136" t="str">
            <v>NO_DEPARTMENTS</v>
          </cell>
          <cell r="F136" t="str">
            <v>NO_CATEGORIES</v>
          </cell>
          <cell r="G136" t="str">
            <v>NO_OBJECTS</v>
          </cell>
          <cell r="H136" t="str">
            <v>NO_DETAILS</v>
          </cell>
          <cell r="I136" t="str">
            <v>NO_SCENARIOS</v>
          </cell>
          <cell r="J136" t="str">
            <v>NO_CURRENCIES</v>
          </cell>
          <cell r="K136">
            <v>4600</v>
          </cell>
        </row>
        <row r="137">
          <cell r="C137" t="str">
            <v>E5210</v>
          </cell>
          <cell r="D137" t="str">
            <v>NO_DATAVIEWS</v>
          </cell>
          <cell r="E137" t="str">
            <v>NO_DEPARTMENTS</v>
          </cell>
          <cell r="F137" t="str">
            <v>NO_CATEGORIES</v>
          </cell>
          <cell r="G137" t="str">
            <v>NO_OBJECTS</v>
          </cell>
          <cell r="H137" t="str">
            <v>NO_DETAILS</v>
          </cell>
          <cell r="I137" t="str">
            <v>NO_SCENARIOS</v>
          </cell>
          <cell r="J137" t="str">
            <v>NO_CURRENCIES</v>
          </cell>
          <cell r="K137">
            <v>4600</v>
          </cell>
        </row>
        <row r="138">
          <cell r="C138" t="str">
            <v>E5210</v>
          </cell>
          <cell r="D138" t="str">
            <v>NO_DATAVIEWS</v>
          </cell>
          <cell r="E138" t="str">
            <v>NO_DEPARTMENTS</v>
          </cell>
          <cell r="F138" t="str">
            <v>NO_CATEGORIES</v>
          </cell>
          <cell r="G138" t="str">
            <v>NO_OBJECTS</v>
          </cell>
          <cell r="H138" t="str">
            <v>NO_DETAILS</v>
          </cell>
          <cell r="I138" t="str">
            <v>NO_SCENARIOS</v>
          </cell>
          <cell r="J138" t="str">
            <v>NO_CURRENCIES</v>
          </cell>
          <cell r="K138">
            <v>4600</v>
          </cell>
        </row>
        <row r="139">
          <cell r="C139" t="str">
            <v>E5210</v>
          </cell>
          <cell r="D139" t="str">
            <v>NO_DATAVIEWS</v>
          </cell>
          <cell r="E139" t="str">
            <v>NO_DEPARTMENTS</v>
          </cell>
          <cell r="F139" t="str">
            <v>NO_CATEGORIES</v>
          </cell>
          <cell r="G139" t="str">
            <v>NO_OBJECTS</v>
          </cell>
          <cell r="H139" t="str">
            <v>NO_DETAILS</v>
          </cell>
          <cell r="I139" t="str">
            <v>NO_SCENARIOS</v>
          </cell>
          <cell r="J139" t="str">
            <v>NO_CURRENCIES</v>
          </cell>
          <cell r="K139">
            <v>4600</v>
          </cell>
        </row>
        <row r="140">
          <cell r="C140" t="str">
            <v>E5210</v>
          </cell>
          <cell r="D140" t="str">
            <v>NO_DATAVIEWS</v>
          </cell>
          <cell r="E140" t="str">
            <v>NO_DEPARTMENTS</v>
          </cell>
          <cell r="F140" t="str">
            <v>NO_CATEGORIES</v>
          </cell>
          <cell r="G140" t="str">
            <v>NO_OBJECTS</v>
          </cell>
          <cell r="H140" t="str">
            <v>NO_DETAILS</v>
          </cell>
          <cell r="I140" t="str">
            <v>NO_SCENARIOS</v>
          </cell>
          <cell r="J140" t="str">
            <v>NO_CURRENCIES</v>
          </cell>
          <cell r="K140">
            <v>4600</v>
          </cell>
        </row>
        <row r="141">
          <cell r="C141" t="str">
            <v>E5210</v>
          </cell>
          <cell r="D141" t="str">
            <v>NO_DATAVIEWS</v>
          </cell>
          <cell r="E141" t="str">
            <v>NO_DEPARTMENTS</v>
          </cell>
          <cell r="F141" t="str">
            <v>NO_CATEGORIES</v>
          </cell>
          <cell r="G141" t="str">
            <v>NO_OBJECTS</v>
          </cell>
          <cell r="H141" t="str">
            <v>NO_DETAILS</v>
          </cell>
          <cell r="I141" t="str">
            <v>NO_SCENARIOS</v>
          </cell>
          <cell r="J141" t="str">
            <v>NO_CURRENCIES</v>
          </cell>
          <cell r="K141">
            <v>4600</v>
          </cell>
        </row>
        <row r="142">
          <cell r="C142" t="str">
            <v>E5210</v>
          </cell>
          <cell r="D142" t="str">
            <v>NO_DATAVIEWS</v>
          </cell>
          <cell r="E142" t="str">
            <v>NO_DEPARTMENTS</v>
          </cell>
          <cell r="F142" t="str">
            <v>NO_CATEGORIES</v>
          </cell>
          <cell r="G142" t="str">
            <v>NO_OBJECTS</v>
          </cell>
          <cell r="H142" t="str">
            <v>NO_DETAILS</v>
          </cell>
          <cell r="I142" t="str">
            <v>NO_SCENARIOS</v>
          </cell>
          <cell r="J142" t="str">
            <v>NO_CURRENCIES</v>
          </cell>
          <cell r="K142">
            <v>4600</v>
          </cell>
        </row>
        <row r="143">
          <cell r="C143" t="str">
            <v>E5210</v>
          </cell>
          <cell r="D143" t="str">
            <v>NO_DATAVIEWS</v>
          </cell>
          <cell r="E143" t="str">
            <v>NO_DEPARTMENTS</v>
          </cell>
          <cell r="F143" t="str">
            <v>NO_CATEGORIES</v>
          </cell>
          <cell r="G143" t="str">
            <v>NO_OBJECTS</v>
          </cell>
          <cell r="H143" t="str">
            <v>NO_DETAILS</v>
          </cell>
          <cell r="I143" t="str">
            <v>NO_SCENARIOS</v>
          </cell>
          <cell r="J143" t="str">
            <v>NO_CURRENCIES</v>
          </cell>
          <cell r="K143">
            <v>4600</v>
          </cell>
        </row>
        <row r="144">
          <cell r="C144" t="str">
            <v>E5210</v>
          </cell>
          <cell r="D144" t="str">
            <v>NO_DATAVIEWS</v>
          </cell>
          <cell r="E144" t="str">
            <v>NO_DEPARTMENTS</v>
          </cell>
          <cell r="F144" t="str">
            <v>NO_CATEGORIES</v>
          </cell>
          <cell r="G144" t="str">
            <v>NO_OBJECTS</v>
          </cell>
          <cell r="H144" t="str">
            <v>NO_DETAILS</v>
          </cell>
          <cell r="I144" t="str">
            <v>NO_SCENARIOS</v>
          </cell>
          <cell r="J144" t="str">
            <v>NO_CURRENCIES</v>
          </cell>
          <cell r="K144">
            <v>4600</v>
          </cell>
        </row>
        <row r="145">
          <cell r="C145" t="str">
            <v>E5150</v>
          </cell>
          <cell r="D145" t="str">
            <v>NO_DATAVIEWS</v>
          </cell>
          <cell r="E145" t="str">
            <v>NO_DEPARTMENTS</v>
          </cell>
          <cell r="F145" t="str">
            <v>NO_CATEGORIES</v>
          </cell>
          <cell r="G145" t="str">
            <v>NO_OBJECTS</v>
          </cell>
          <cell r="H145" t="str">
            <v>NO_DETAILS</v>
          </cell>
          <cell r="I145" t="str">
            <v>NO_SCENARIOS</v>
          </cell>
          <cell r="J145" t="str">
            <v>NO_CURRENCIES</v>
          </cell>
          <cell r="K145">
            <v>4600</v>
          </cell>
        </row>
        <row r="146">
          <cell r="C146" t="str">
            <v>E5150</v>
          </cell>
          <cell r="D146" t="str">
            <v>NO_DATAVIEWS</v>
          </cell>
          <cell r="E146" t="str">
            <v>NO_DEPARTMENTS</v>
          </cell>
          <cell r="F146" t="str">
            <v>NO_CATEGORIES</v>
          </cell>
          <cell r="G146" t="str">
            <v>NO_OBJECTS</v>
          </cell>
          <cell r="H146" t="str">
            <v>NO_DETAILS</v>
          </cell>
          <cell r="I146" t="str">
            <v>NO_SCENARIOS</v>
          </cell>
          <cell r="J146" t="str">
            <v>NO_CURRENCIES</v>
          </cell>
          <cell r="K146">
            <v>4600</v>
          </cell>
        </row>
        <row r="147">
          <cell r="C147" t="str">
            <v>E5150</v>
          </cell>
          <cell r="D147" t="str">
            <v>NO_DATAVIEWS</v>
          </cell>
          <cell r="E147" t="str">
            <v>NO_DEPARTMENTS</v>
          </cell>
          <cell r="F147" t="str">
            <v>NO_CATEGORIES</v>
          </cell>
          <cell r="G147" t="str">
            <v>NO_OBJECTS</v>
          </cell>
          <cell r="H147" t="str">
            <v>NO_DETAILS</v>
          </cell>
          <cell r="I147" t="str">
            <v>NO_SCENARIOS</v>
          </cell>
          <cell r="J147" t="str">
            <v>NO_CURRENCIES</v>
          </cell>
          <cell r="K147">
            <v>4600</v>
          </cell>
        </row>
        <row r="148">
          <cell r="C148" t="str">
            <v>E5150</v>
          </cell>
          <cell r="D148" t="str">
            <v>NO_DATAVIEWS</v>
          </cell>
          <cell r="E148" t="str">
            <v>NO_DEPARTMENTS</v>
          </cell>
          <cell r="F148" t="str">
            <v>NO_CATEGORIES</v>
          </cell>
          <cell r="G148" t="str">
            <v>NO_OBJECTS</v>
          </cell>
          <cell r="H148" t="str">
            <v>NO_DETAILS</v>
          </cell>
          <cell r="I148" t="str">
            <v>NO_SCENARIOS</v>
          </cell>
          <cell r="J148" t="str">
            <v>NO_CURRENCIES</v>
          </cell>
          <cell r="K148">
            <v>4600</v>
          </cell>
        </row>
        <row r="149">
          <cell r="C149" t="str">
            <v>E5150</v>
          </cell>
          <cell r="D149" t="str">
            <v>NO_DATAVIEWS</v>
          </cell>
          <cell r="E149" t="str">
            <v>NO_DEPARTMENTS</v>
          </cell>
          <cell r="F149" t="str">
            <v>NO_CATEGORIES</v>
          </cell>
          <cell r="G149" t="str">
            <v>NO_OBJECTS</v>
          </cell>
          <cell r="H149" t="str">
            <v>NO_DETAILS</v>
          </cell>
          <cell r="I149" t="str">
            <v>NO_SCENARIOS</v>
          </cell>
          <cell r="J149" t="str">
            <v>NO_CURRENCIES</v>
          </cell>
          <cell r="K149">
            <v>4600</v>
          </cell>
        </row>
        <row r="150">
          <cell r="C150" t="str">
            <v>E5150</v>
          </cell>
          <cell r="D150" t="str">
            <v>NO_DATAVIEWS</v>
          </cell>
          <cell r="E150" t="str">
            <v>NO_DEPARTMENTS</v>
          </cell>
          <cell r="F150" t="str">
            <v>NO_CATEGORIES</v>
          </cell>
          <cell r="G150" t="str">
            <v>NO_OBJECTS</v>
          </cell>
          <cell r="H150" t="str">
            <v>NO_DETAILS</v>
          </cell>
          <cell r="I150" t="str">
            <v>NO_SCENARIOS</v>
          </cell>
          <cell r="J150" t="str">
            <v>NO_CURRENCIES</v>
          </cell>
          <cell r="K150">
            <v>4600</v>
          </cell>
        </row>
        <row r="151">
          <cell r="C151" t="str">
            <v>E5150</v>
          </cell>
          <cell r="D151" t="str">
            <v>NO_DATAVIEWS</v>
          </cell>
          <cell r="E151" t="str">
            <v>NO_DEPARTMENTS</v>
          </cell>
          <cell r="F151" t="str">
            <v>NO_CATEGORIES</v>
          </cell>
          <cell r="G151" t="str">
            <v>NO_OBJECTS</v>
          </cell>
          <cell r="H151" t="str">
            <v>NO_DETAILS</v>
          </cell>
          <cell r="I151" t="str">
            <v>NO_SCENARIOS</v>
          </cell>
          <cell r="J151" t="str">
            <v>NO_CURRENCIES</v>
          </cell>
          <cell r="K151">
            <v>4600</v>
          </cell>
        </row>
        <row r="152">
          <cell r="C152" t="str">
            <v>E5150</v>
          </cell>
          <cell r="D152" t="str">
            <v>NO_DATAVIEWS</v>
          </cell>
          <cell r="E152" t="str">
            <v>NO_DEPARTMENTS</v>
          </cell>
          <cell r="F152" t="str">
            <v>NO_CATEGORIES</v>
          </cell>
          <cell r="G152" t="str">
            <v>NO_OBJECTS</v>
          </cell>
          <cell r="H152" t="str">
            <v>NO_DETAILS</v>
          </cell>
          <cell r="I152" t="str">
            <v>NO_SCENARIOS</v>
          </cell>
          <cell r="J152" t="str">
            <v>NO_CURRENCIES</v>
          </cell>
          <cell r="K152">
            <v>4600</v>
          </cell>
        </row>
        <row r="153">
          <cell r="C153" t="str">
            <v>E5150</v>
          </cell>
          <cell r="D153" t="str">
            <v>NO_DATAVIEWS</v>
          </cell>
          <cell r="E153" t="str">
            <v>NO_DEPARTMENTS</v>
          </cell>
          <cell r="F153" t="str">
            <v>NO_CATEGORIES</v>
          </cell>
          <cell r="G153" t="str">
            <v>NO_OBJECTS</v>
          </cell>
          <cell r="H153" t="str">
            <v>NO_DETAILS</v>
          </cell>
          <cell r="I153" t="str">
            <v>NO_SCENARIOS</v>
          </cell>
          <cell r="J153" t="str">
            <v>NO_CURRENCIES</v>
          </cell>
          <cell r="K153">
            <v>4600</v>
          </cell>
        </row>
        <row r="154">
          <cell r="C154" t="str">
            <v>E5150</v>
          </cell>
          <cell r="D154" t="str">
            <v>NO_DATAVIEWS</v>
          </cell>
          <cell r="E154" t="str">
            <v>NO_DEPARTMENTS</v>
          </cell>
          <cell r="F154" t="str">
            <v>NO_CATEGORIES</v>
          </cell>
          <cell r="G154" t="str">
            <v>NO_OBJECTS</v>
          </cell>
          <cell r="H154" t="str">
            <v>NO_DETAILS</v>
          </cell>
          <cell r="I154" t="str">
            <v>NO_SCENARIOS</v>
          </cell>
          <cell r="J154" t="str">
            <v>NO_CURRENCIES</v>
          </cell>
          <cell r="K154">
            <v>4600</v>
          </cell>
        </row>
        <row r="155">
          <cell r="C155" t="str">
            <v>E5150</v>
          </cell>
          <cell r="D155" t="str">
            <v>NO_DATAVIEWS</v>
          </cell>
          <cell r="E155" t="str">
            <v>NO_DEPARTMENTS</v>
          </cell>
          <cell r="F155" t="str">
            <v>NO_CATEGORIES</v>
          </cell>
          <cell r="G155" t="str">
            <v>NO_OBJECTS</v>
          </cell>
          <cell r="H155" t="str">
            <v>NO_DETAILS</v>
          </cell>
          <cell r="I155" t="str">
            <v>NO_SCENARIOS</v>
          </cell>
          <cell r="J155" t="str">
            <v>NO_CURRENCIES</v>
          </cell>
          <cell r="K155">
            <v>4600</v>
          </cell>
        </row>
        <row r="156">
          <cell r="C156" t="str">
            <v>E5150</v>
          </cell>
          <cell r="D156" t="str">
            <v>NO_DATAVIEWS</v>
          </cell>
          <cell r="E156" t="str">
            <v>NO_DEPARTMENTS</v>
          </cell>
          <cell r="F156" t="str">
            <v>NO_CATEGORIES</v>
          </cell>
          <cell r="G156" t="str">
            <v>NO_OBJECTS</v>
          </cell>
          <cell r="H156" t="str">
            <v>NO_DETAILS</v>
          </cell>
          <cell r="I156" t="str">
            <v>NO_SCENARIOS</v>
          </cell>
          <cell r="J156" t="str">
            <v>NO_CURRENCIES</v>
          </cell>
          <cell r="K156">
            <v>4600</v>
          </cell>
        </row>
        <row r="157">
          <cell r="C157" t="str">
            <v>E5160</v>
          </cell>
          <cell r="D157" t="str">
            <v>NO_DATAVIEWS</v>
          </cell>
          <cell r="E157" t="str">
            <v>NO_DEPARTMENTS</v>
          </cell>
          <cell r="F157" t="str">
            <v>NO_CATEGORIES</v>
          </cell>
          <cell r="G157" t="str">
            <v>NO_OBJECTS</v>
          </cell>
          <cell r="H157" t="str">
            <v>NO_DETAILS</v>
          </cell>
          <cell r="I157" t="str">
            <v>NO_SCENARIOS</v>
          </cell>
          <cell r="J157" t="str">
            <v>NO_CURRENCIES</v>
          </cell>
          <cell r="K157">
            <v>9200</v>
          </cell>
        </row>
        <row r="158">
          <cell r="C158" t="str">
            <v>E5160</v>
          </cell>
          <cell r="D158" t="str">
            <v>NO_DATAVIEWS</v>
          </cell>
          <cell r="E158" t="str">
            <v>NO_DEPARTMENTS</v>
          </cell>
          <cell r="F158" t="str">
            <v>NO_CATEGORIES</v>
          </cell>
          <cell r="G158" t="str">
            <v>NO_OBJECTS</v>
          </cell>
          <cell r="H158" t="str">
            <v>NO_DETAILS</v>
          </cell>
          <cell r="I158" t="str">
            <v>NO_SCENARIOS</v>
          </cell>
          <cell r="J158" t="str">
            <v>NO_CURRENCIES</v>
          </cell>
          <cell r="K158">
            <v>9200</v>
          </cell>
        </row>
        <row r="159">
          <cell r="C159" t="str">
            <v>E5160</v>
          </cell>
          <cell r="D159" t="str">
            <v>NO_DATAVIEWS</v>
          </cell>
          <cell r="E159" t="str">
            <v>NO_DEPARTMENTS</v>
          </cell>
          <cell r="F159" t="str">
            <v>NO_CATEGORIES</v>
          </cell>
          <cell r="G159" t="str">
            <v>NO_OBJECTS</v>
          </cell>
          <cell r="H159" t="str">
            <v>NO_DETAILS</v>
          </cell>
          <cell r="I159" t="str">
            <v>NO_SCENARIOS</v>
          </cell>
          <cell r="J159" t="str">
            <v>NO_CURRENCIES</v>
          </cell>
          <cell r="K159">
            <v>9200</v>
          </cell>
        </row>
        <row r="160">
          <cell r="C160" t="str">
            <v>E5160</v>
          </cell>
          <cell r="D160" t="str">
            <v>NO_DATAVIEWS</v>
          </cell>
          <cell r="E160" t="str">
            <v>NO_DEPARTMENTS</v>
          </cell>
          <cell r="F160" t="str">
            <v>NO_CATEGORIES</v>
          </cell>
          <cell r="G160" t="str">
            <v>NO_OBJECTS</v>
          </cell>
          <cell r="H160" t="str">
            <v>NO_DETAILS</v>
          </cell>
          <cell r="I160" t="str">
            <v>NO_SCENARIOS</v>
          </cell>
          <cell r="J160" t="str">
            <v>NO_CURRENCIES</v>
          </cell>
          <cell r="K160">
            <v>9200</v>
          </cell>
        </row>
        <row r="161">
          <cell r="C161" t="str">
            <v>E5160</v>
          </cell>
          <cell r="D161" t="str">
            <v>NO_DATAVIEWS</v>
          </cell>
          <cell r="E161" t="str">
            <v>NO_DEPARTMENTS</v>
          </cell>
          <cell r="F161" t="str">
            <v>NO_CATEGORIES</v>
          </cell>
          <cell r="G161" t="str">
            <v>NO_OBJECTS</v>
          </cell>
          <cell r="H161" t="str">
            <v>NO_DETAILS</v>
          </cell>
          <cell r="I161" t="str">
            <v>NO_SCENARIOS</v>
          </cell>
          <cell r="J161" t="str">
            <v>NO_CURRENCIES</v>
          </cell>
          <cell r="K161">
            <v>9200</v>
          </cell>
        </row>
        <row r="162">
          <cell r="C162" t="str">
            <v>E5160</v>
          </cell>
          <cell r="D162" t="str">
            <v>NO_DATAVIEWS</v>
          </cell>
          <cell r="E162" t="str">
            <v>NO_DEPARTMENTS</v>
          </cell>
          <cell r="F162" t="str">
            <v>NO_CATEGORIES</v>
          </cell>
          <cell r="G162" t="str">
            <v>NO_OBJECTS</v>
          </cell>
          <cell r="H162" t="str">
            <v>NO_DETAILS</v>
          </cell>
          <cell r="I162" t="str">
            <v>NO_SCENARIOS</v>
          </cell>
          <cell r="J162" t="str">
            <v>NO_CURRENCIES</v>
          </cell>
          <cell r="K162">
            <v>9200</v>
          </cell>
        </row>
        <row r="163">
          <cell r="C163" t="str">
            <v>E5160</v>
          </cell>
          <cell r="D163" t="str">
            <v>NO_DATAVIEWS</v>
          </cell>
          <cell r="E163" t="str">
            <v>NO_DEPARTMENTS</v>
          </cell>
          <cell r="F163" t="str">
            <v>NO_CATEGORIES</v>
          </cell>
          <cell r="G163" t="str">
            <v>NO_OBJECTS</v>
          </cell>
          <cell r="H163" t="str">
            <v>NO_DETAILS</v>
          </cell>
          <cell r="I163" t="str">
            <v>NO_SCENARIOS</v>
          </cell>
          <cell r="J163" t="str">
            <v>NO_CURRENCIES</v>
          </cell>
          <cell r="K163">
            <v>9200</v>
          </cell>
        </row>
        <row r="164">
          <cell r="C164" t="str">
            <v>E5160</v>
          </cell>
          <cell r="D164" t="str">
            <v>NO_DATAVIEWS</v>
          </cell>
          <cell r="E164" t="str">
            <v>NO_DEPARTMENTS</v>
          </cell>
          <cell r="F164" t="str">
            <v>NO_CATEGORIES</v>
          </cell>
          <cell r="G164" t="str">
            <v>NO_OBJECTS</v>
          </cell>
          <cell r="H164" t="str">
            <v>NO_DETAILS</v>
          </cell>
          <cell r="I164" t="str">
            <v>NO_SCENARIOS</v>
          </cell>
          <cell r="J164" t="str">
            <v>NO_CURRENCIES</v>
          </cell>
          <cell r="K164">
            <v>9200</v>
          </cell>
        </row>
        <row r="165">
          <cell r="C165" t="str">
            <v>E5160</v>
          </cell>
          <cell r="D165" t="str">
            <v>NO_DATAVIEWS</v>
          </cell>
          <cell r="E165" t="str">
            <v>NO_DEPARTMENTS</v>
          </cell>
          <cell r="F165" t="str">
            <v>NO_CATEGORIES</v>
          </cell>
          <cell r="G165" t="str">
            <v>NO_OBJECTS</v>
          </cell>
          <cell r="H165" t="str">
            <v>NO_DETAILS</v>
          </cell>
          <cell r="I165" t="str">
            <v>NO_SCENARIOS</v>
          </cell>
          <cell r="J165" t="str">
            <v>NO_CURRENCIES</v>
          </cell>
          <cell r="K165">
            <v>9200</v>
          </cell>
        </row>
        <row r="166">
          <cell r="C166" t="str">
            <v>E5160</v>
          </cell>
          <cell r="D166" t="str">
            <v>NO_DATAVIEWS</v>
          </cell>
          <cell r="E166" t="str">
            <v>NO_DEPARTMENTS</v>
          </cell>
          <cell r="F166" t="str">
            <v>NO_CATEGORIES</v>
          </cell>
          <cell r="G166" t="str">
            <v>NO_OBJECTS</v>
          </cell>
          <cell r="H166" t="str">
            <v>NO_DETAILS</v>
          </cell>
          <cell r="I166" t="str">
            <v>NO_SCENARIOS</v>
          </cell>
          <cell r="J166" t="str">
            <v>NO_CURRENCIES</v>
          </cell>
          <cell r="K166">
            <v>9200</v>
          </cell>
        </row>
        <row r="167">
          <cell r="C167" t="str">
            <v>E5160</v>
          </cell>
          <cell r="D167" t="str">
            <v>NO_DATAVIEWS</v>
          </cell>
          <cell r="E167" t="str">
            <v>NO_DEPARTMENTS</v>
          </cell>
          <cell r="F167" t="str">
            <v>NO_CATEGORIES</v>
          </cell>
          <cell r="G167" t="str">
            <v>NO_OBJECTS</v>
          </cell>
          <cell r="H167" t="str">
            <v>NO_DETAILS</v>
          </cell>
          <cell r="I167" t="str">
            <v>NO_SCENARIOS</v>
          </cell>
          <cell r="J167" t="str">
            <v>NO_CURRENCIES</v>
          </cell>
          <cell r="K167">
            <v>9200</v>
          </cell>
        </row>
        <row r="168">
          <cell r="C168" t="str">
            <v>E5160</v>
          </cell>
          <cell r="D168" t="str">
            <v>NO_DATAVIEWS</v>
          </cell>
          <cell r="E168" t="str">
            <v>NO_DEPARTMENTS</v>
          </cell>
          <cell r="F168" t="str">
            <v>NO_CATEGORIES</v>
          </cell>
          <cell r="G168" t="str">
            <v>NO_OBJECTS</v>
          </cell>
          <cell r="H168" t="str">
            <v>NO_DETAILS</v>
          </cell>
          <cell r="I168" t="str">
            <v>NO_SCENARIOS</v>
          </cell>
          <cell r="J168" t="str">
            <v>NO_CURRENCIES</v>
          </cell>
          <cell r="K168">
            <v>9200</v>
          </cell>
        </row>
        <row r="169">
          <cell r="C169" t="str">
            <v>E5170</v>
          </cell>
          <cell r="D169" t="str">
            <v>NO_DATAVIEWS</v>
          </cell>
          <cell r="E169" t="str">
            <v>NO_DEPARTMENTS</v>
          </cell>
          <cell r="F169" t="str">
            <v>NO_CATEGORIES</v>
          </cell>
          <cell r="G169" t="str">
            <v>NO_OBJECTS</v>
          </cell>
          <cell r="H169" t="str">
            <v>NO_DETAILS</v>
          </cell>
          <cell r="I169" t="str">
            <v>NO_SCENARIOS</v>
          </cell>
          <cell r="J169" t="str">
            <v>NO_CURRENCIES</v>
          </cell>
          <cell r="K169">
            <v>30000</v>
          </cell>
        </row>
        <row r="170">
          <cell r="C170" t="str">
            <v>E5170</v>
          </cell>
          <cell r="D170" t="str">
            <v>NO_DATAVIEWS</v>
          </cell>
          <cell r="E170" t="str">
            <v>NO_DEPARTMENTS</v>
          </cell>
          <cell r="F170" t="str">
            <v>NO_CATEGORIES</v>
          </cell>
          <cell r="G170" t="str">
            <v>NO_OBJECTS</v>
          </cell>
          <cell r="H170" t="str">
            <v>NO_DETAILS</v>
          </cell>
          <cell r="I170" t="str">
            <v>NO_SCENARIOS</v>
          </cell>
          <cell r="J170" t="str">
            <v>NO_CURRENCIES</v>
          </cell>
          <cell r="K170">
            <v>30000</v>
          </cell>
        </row>
        <row r="171">
          <cell r="C171" t="str">
            <v>E5170</v>
          </cell>
          <cell r="D171" t="str">
            <v>NO_DATAVIEWS</v>
          </cell>
          <cell r="E171" t="str">
            <v>NO_DEPARTMENTS</v>
          </cell>
          <cell r="F171" t="str">
            <v>NO_CATEGORIES</v>
          </cell>
          <cell r="G171" t="str">
            <v>NO_OBJECTS</v>
          </cell>
          <cell r="H171" t="str">
            <v>NO_DETAILS</v>
          </cell>
          <cell r="I171" t="str">
            <v>NO_SCENARIOS</v>
          </cell>
          <cell r="J171" t="str">
            <v>NO_CURRENCIES</v>
          </cell>
          <cell r="K171">
            <v>30000</v>
          </cell>
        </row>
        <row r="172">
          <cell r="C172" t="str">
            <v>E5170</v>
          </cell>
          <cell r="D172" t="str">
            <v>NO_DATAVIEWS</v>
          </cell>
          <cell r="E172" t="str">
            <v>NO_DEPARTMENTS</v>
          </cell>
          <cell r="F172" t="str">
            <v>NO_CATEGORIES</v>
          </cell>
          <cell r="G172" t="str">
            <v>NO_OBJECTS</v>
          </cell>
          <cell r="H172" t="str">
            <v>NO_DETAILS</v>
          </cell>
          <cell r="I172" t="str">
            <v>NO_SCENARIOS</v>
          </cell>
          <cell r="J172" t="str">
            <v>NO_CURRENCIES</v>
          </cell>
          <cell r="K172">
            <v>30000</v>
          </cell>
        </row>
        <row r="173">
          <cell r="C173" t="str">
            <v>E5170</v>
          </cell>
          <cell r="D173" t="str">
            <v>NO_DATAVIEWS</v>
          </cell>
          <cell r="E173" t="str">
            <v>NO_DEPARTMENTS</v>
          </cell>
          <cell r="F173" t="str">
            <v>NO_CATEGORIES</v>
          </cell>
          <cell r="G173" t="str">
            <v>NO_OBJECTS</v>
          </cell>
          <cell r="H173" t="str">
            <v>NO_DETAILS</v>
          </cell>
          <cell r="I173" t="str">
            <v>NO_SCENARIOS</v>
          </cell>
          <cell r="J173" t="str">
            <v>NO_CURRENCIES</v>
          </cell>
          <cell r="K173">
            <v>30000</v>
          </cell>
        </row>
        <row r="174">
          <cell r="C174" t="str">
            <v>E5170</v>
          </cell>
          <cell r="D174" t="str">
            <v>NO_DATAVIEWS</v>
          </cell>
          <cell r="E174" t="str">
            <v>NO_DEPARTMENTS</v>
          </cell>
          <cell r="F174" t="str">
            <v>NO_CATEGORIES</v>
          </cell>
          <cell r="G174" t="str">
            <v>NO_OBJECTS</v>
          </cell>
          <cell r="H174" t="str">
            <v>NO_DETAILS</v>
          </cell>
          <cell r="I174" t="str">
            <v>NO_SCENARIOS</v>
          </cell>
          <cell r="J174" t="str">
            <v>NO_CURRENCIES</v>
          </cell>
          <cell r="K174">
            <v>30000</v>
          </cell>
        </row>
        <row r="175">
          <cell r="C175" t="str">
            <v>E5170</v>
          </cell>
          <cell r="D175" t="str">
            <v>NO_DATAVIEWS</v>
          </cell>
          <cell r="E175" t="str">
            <v>NO_DEPARTMENTS</v>
          </cell>
          <cell r="F175" t="str">
            <v>NO_CATEGORIES</v>
          </cell>
          <cell r="G175" t="str">
            <v>NO_OBJECTS</v>
          </cell>
          <cell r="H175" t="str">
            <v>NO_DETAILS</v>
          </cell>
          <cell r="I175" t="str">
            <v>NO_SCENARIOS</v>
          </cell>
          <cell r="J175" t="str">
            <v>NO_CURRENCIES</v>
          </cell>
          <cell r="K175">
            <v>30000</v>
          </cell>
        </row>
        <row r="176">
          <cell r="C176" t="str">
            <v>E5170</v>
          </cell>
          <cell r="D176" t="str">
            <v>NO_DATAVIEWS</v>
          </cell>
          <cell r="E176" t="str">
            <v>NO_DEPARTMENTS</v>
          </cell>
          <cell r="F176" t="str">
            <v>NO_CATEGORIES</v>
          </cell>
          <cell r="G176" t="str">
            <v>NO_OBJECTS</v>
          </cell>
          <cell r="H176" t="str">
            <v>NO_DETAILS</v>
          </cell>
          <cell r="I176" t="str">
            <v>NO_SCENARIOS</v>
          </cell>
          <cell r="J176" t="str">
            <v>NO_CURRENCIES</v>
          </cell>
          <cell r="K176">
            <v>30000</v>
          </cell>
        </row>
        <row r="177">
          <cell r="C177" t="str">
            <v>E5170</v>
          </cell>
          <cell r="D177" t="str">
            <v>NO_DATAVIEWS</v>
          </cell>
          <cell r="E177" t="str">
            <v>NO_DEPARTMENTS</v>
          </cell>
          <cell r="F177" t="str">
            <v>NO_CATEGORIES</v>
          </cell>
          <cell r="G177" t="str">
            <v>NO_OBJECTS</v>
          </cell>
          <cell r="H177" t="str">
            <v>NO_DETAILS</v>
          </cell>
          <cell r="I177" t="str">
            <v>NO_SCENARIOS</v>
          </cell>
          <cell r="J177" t="str">
            <v>NO_CURRENCIES</v>
          </cell>
          <cell r="K177">
            <v>30000</v>
          </cell>
        </row>
        <row r="178">
          <cell r="C178" t="str">
            <v>E5170</v>
          </cell>
          <cell r="D178" t="str">
            <v>NO_DATAVIEWS</v>
          </cell>
          <cell r="E178" t="str">
            <v>NO_DEPARTMENTS</v>
          </cell>
          <cell r="F178" t="str">
            <v>NO_CATEGORIES</v>
          </cell>
          <cell r="G178" t="str">
            <v>NO_OBJECTS</v>
          </cell>
          <cell r="H178" t="str">
            <v>NO_DETAILS</v>
          </cell>
          <cell r="I178" t="str">
            <v>NO_SCENARIOS</v>
          </cell>
          <cell r="J178" t="str">
            <v>NO_CURRENCIES</v>
          </cell>
          <cell r="K178">
            <v>30000</v>
          </cell>
        </row>
        <row r="179">
          <cell r="C179" t="str">
            <v>E5170</v>
          </cell>
          <cell r="D179" t="str">
            <v>NO_DATAVIEWS</v>
          </cell>
          <cell r="E179" t="str">
            <v>NO_DEPARTMENTS</v>
          </cell>
          <cell r="F179" t="str">
            <v>NO_CATEGORIES</v>
          </cell>
          <cell r="G179" t="str">
            <v>NO_OBJECTS</v>
          </cell>
          <cell r="H179" t="str">
            <v>NO_DETAILS</v>
          </cell>
          <cell r="I179" t="str">
            <v>NO_SCENARIOS</v>
          </cell>
          <cell r="J179" t="str">
            <v>NO_CURRENCIES</v>
          </cell>
          <cell r="K179">
            <v>30000</v>
          </cell>
        </row>
        <row r="180">
          <cell r="C180" t="str">
            <v>E5170</v>
          </cell>
          <cell r="D180" t="str">
            <v>NO_DATAVIEWS</v>
          </cell>
          <cell r="E180" t="str">
            <v>NO_DEPARTMENTS</v>
          </cell>
          <cell r="F180" t="str">
            <v>NO_CATEGORIES</v>
          </cell>
          <cell r="G180" t="str">
            <v>NO_OBJECTS</v>
          </cell>
          <cell r="H180" t="str">
            <v>NO_DETAILS</v>
          </cell>
          <cell r="I180" t="str">
            <v>NO_SCENARIOS</v>
          </cell>
          <cell r="J180" t="str">
            <v>NO_CURRENCIES</v>
          </cell>
          <cell r="K180">
            <v>30000</v>
          </cell>
        </row>
        <row r="181">
          <cell r="C181" t="str">
            <v>E5180</v>
          </cell>
          <cell r="D181" t="str">
            <v>NO_DATAVIEWS</v>
          </cell>
          <cell r="E181" t="str">
            <v>NO_DEPARTMENTS</v>
          </cell>
          <cell r="F181" t="str">
            <v>NO_CATEGORIES</v>
          </cell>
          <cell r="G181" t="str">
            <v>NO_OBJECTS</v>
          </cell>
          <cell r="H181" t="str">
            <v>NO_DETAILS</v>
          </cell>
          <cell r="I181" t="str">
            <v>NO_SCENARIOS</v>
          </cell>
          <cell r="J181" t="str">
            <v>NO_CURRENCIES</v>
          </cell>
          <cell r="K181">
            <v>10000</v>
          </cell>
        </row>
        <row r="182">
          <cell r="C182" t="str">
            <v>E5180</v>
          </cell>
          <cell r="D182" t="str">
            <v>NO_DATAVIEWS</v>
          </cell>
          <cell r="E182" t="str">
            <v>NO_DEPARTMENTS</v>
          </cell>
          <cell r="F182" t="str">
            <v>NO_CATEGORIES</v>
          </cell>
          <cell r="G182" t="str">
            <v>NO_OBJECTS</v>
          </cell>
          <cell r="H182" t="str">
            <v>NO_DETAILS</v>
          </cell>
          <cell r="I182" t="str">
            <v>NO_SCENARIOS</v>
          </cell>
          <cell r="J182" t="str">
            <v>NO_CURRENCIES</v>
          </cell>
          <cell r="K182">
            <v>10000</v>
          </cell>
        </row>
        <row r="183">
          <cell r="C183" t="str">
            <v>E5180</v>
          </cell>
          <cell r="D183" t="str">
            <v>NO_DATAVIEWS</v>
          </cell>
          <cell r="E183" t="str">
            <v>NO_DEPARTMENTS</v>
          </cell>
          <cell r="F183" t="str">
            <v>NO_CATEGORIES</v>
          </cell>
          <cell r="G183" t="str">
            <v>NO_OBJECTS</v>
          </cell>
          <cell r="H183" t="str">
            <v>NO_DETAILS</v>
          </cell>
          <cell r="I183" t="str">
            <v>NO_SCENARIOS</v>
          </cell>
          <cell r="J183" t="str">
            <v>NO_CURRENCIES</v>
          </cell>
          <cell r="K183">
            <v>10000</v>
          </cell>
        </row>
        <row r="184">
          <cell r="C184" t="str">
            <v>E5180</v>
          </cell>
          <cell r="D184" t="str">
            <v>NO_DATAVIEWS</v>
          </cell>
          <cell r="E184" t="str">
            <v>NO_DEPARTMENTS</v>
          </cell>
          <cell r="F184" t="str">
            <v>NO_CATEGORIES</v>
          </cell>
          <cell r="G184" t="str">
            <v>NO_OBJECTS</v>
          </cell>
          <cell r="H184" t="str">
            <v>NO_DETAILS</v>
          </cell>
          <cell r="I184" t="str">
            <v>NO_SCENARIOS</v>
          </cell>
          <cell r="J184" t="str">
            <v>NO_CURRENCIES</v>
          </cell>
          <cell r="K184">
            <v>10000</v>
          </cell>
        </row>
        <row r="185">
          <cell r="C185" t="str">
            <v>E5180</v>
          </cell>
          <cell r="D185" t="str">
            <v>NO_DATAVIEWS</v>
          </cell>
          <cell r="E185" t="str">
            <v>NO_DEPARTMENTS</v>
          </cell>
          <cell r="F185" t="str">
            <v>NO_CATEGORIES</v>
          </cell>
          <cell r="G185" t="str">
            <v>NO_OBJECTS</v>
          </cell>
          <cell r="H185" t="str">
            <v>NO_DETAILS</v>
          </cell>
          <cell r="I185" t="str">
            <v>NO_SCENARIOS</v>
          </cell>
          <cell r="J185" t="str">
            <v>NO_CURRENCIES</v>
          </cell>
          <cell r="K185">
            <v>10000</v>
          </cell>
        </row>
        <row r="186">
          <cell r="C186" t="str">
            <v>E5180</v>
          </cell>
          <cell r="D186" t="str">
            <v>NO_DATAVIEWS</v>
          </cell>
          <cell r="E186" t="str">
            <v>NO_DEPARTMENTS</v>
          </cell>
          <cell r="F186" t="str">
            <v>NO_CATEGORIES</v>
          </cell>
          <cell r="G186" t="str">
            <v>NO_OBJECTS</v>
          </cell>
          <cell r="H186" t="str">
            <v>NO_DETAILS</v>
          </cell>
          <cell r="I186" t="str">
            <v>NO_SCENARIOS</v>
          </cell>
          <cell r="J186" t="str">
            <v>NO_CURRENCIES</v>
          </cell>
          <cell r="K186">
            <v>10000</v>
          </cell>
        </row>
        <row r="187">
          <cell r="C187" t="str">
            <v>E5180</v>
          </cell>
          <cell r="D187" t="str">
            <v>NO_DATAVIEWS</v>
          </cell>
          <cell r="E187" t="str">
            <v>NO_DEPARTMENTS</v>
          </cell>
          <cell r="F187" t="str">
            <v>NO_CATEGORIES</v>
          </cell>
          <cell r="G187" t="str">
            <v>NO_OBJECTS</v>
          </cell>
          <cell r="H187" t="str">
            <v>NO_DETAILS</v>
          </cell>
          <cell r="I187" t="str">
            <v>NO_SCENARIOS</v>
          </cell>
          <cell r="J187" t="str">
            <v>NO_CURRENCIES</v>
          </cell>
          <cell r="K187">
            <v>10000</v>
          </cell>
        </row>
        <row r="188">
          <cell r="C188" t="str">
            <v>E5180</v>
          </cell>
          <cell r="D188" t="str">
            <v>NO_DATAVIEWS</v>
          </cell>
          <cell r="E188" t="str">
            <v>NO_DEPARTMENTS</v>
          </cell>
          <cell r="F188" t="str">
            <v>NO_CATEGORIES</v>
          </cell>
          <cell r="G188" t="str">
            <v>NO_OBJECTS</v>
          </cell>
          <cell r="H188" t="str">
            <v>NO_DETAILS</v>
          </cell>
          <cell r="I188" t="str">
            <v>NO_SCENARIOS</v>
          </cell>
          <cell r="J188" t="str">
            <v>NO_CURRENCIES</v>
          </cell>
          <cell r="K188">
            <v>10000</v>
          </cell>
        </row>
        <row r="189">
          <cell r="C189" t="str">
            <v>E5180</v>
          </cell>
          <cell r="D189" t="str">
            <v>NO_DATAVIEWS</v>
          </cell>
          <cell r="E189" t="str">
            <v>NO_DEPARTMENTS</v>
          </cell>
          <cell r="F189" t="str">
            <v>NO_CATEGORIES</v>
          </cell>
          <cell r="G189" t="str">
            <v>NO_OBJECTS</v>
          </cell>
          <cell r="H189" t="str">
            <v>NO_DETAILS</v>
          </cell>
          <cell r="I189" t="str">
            <v>NO_SCENARIOS</v>
          </cell>
          <cell r="J189" t="str">
            <v>NO_CURRENCIES</v>
          </cell>
          <cell r="K189">
            <v>10000</v>
          </cell>
        </row>
        <row r="190">
          <cell r="C190" t="str">
            <v>E5180</v>
          </cell>
          <cell r="D190" t="str">
            <v>NO_DATAVIEWS</v>
          </cell>
          <cell r="E190" t="str">
            <v>NO_DEPARTMENTS</v>
          </cell>
          <cell r="F190" t="str">
            <v>NO_CATEGORIES</v>
          </cell>
          <cell r="G190" t="str">
            <v>NO_OBJECTS</v>
          </cell>
          <cell r="H190" t="str">
            <v>NO_DETAILS</v>
          </cell>
          <cell r="I190" t="str">
            <v>NO_SCENARIOS</v>
          </cell>
          <cell r="J190" t="str">
            <v>NO_CURRENCIES</v>
          </cell>
          <cell r="K190">
            <v>10000</v>
          </cell>
        </row>
        <row r="191">
          <cell r="C191" t="str">
            <v>E5180</v>
          </cell>
          <cell r="D191" t="str">
            <v>NO_DATAVIEWS</v>
          </cell>
          <cell r="E191" t="str">
            <v>NO_DEPARTMENTS</v>
          </cell>
          <cell r="F191" t="str">
            <v>NO_CATEGORIES</v>
          </cell>
          <cell r="G191" t="str">
            <v>NO_OBJECTS</v>
          </cell>
          <cell r="H191" t="str">
            <v>NO_DETAILS</v>
          </cell>
          <cell r="I191" t="str">
            <v>NO_SCENARIOS</v>
          </cell>
          <cell r="J191" t="str">
            <v>NO_CURRENCIES</v>
          </cell>
          <cell r="K191">
            <v>10000</v>
          </cell>
        </row>
        <row r="192">
          <cell r="C192" t="str">
            <v>E5180</v>
          </cell>
          <cell r="D192" t="str">
            <v>NO_DATAVIEWS</v>
          </cell>
          <cell r="E192" t="str">
            <v>NO_DEPARTMENTS</v>
          </cell>
          <cell r="F192" t="str">
            <v>NO_CATEGORIES</v>
          </cell>
          <cell r="G192" t="str">
            <v>NO_OBJECTS</v>
          </cell>
          <cell r="H192" t="str">
            <v>NO_DETAILS</v>
          </cell>
          <cell r="I192" t="str">
            <v>NO_SCENARIOS</v>
          </cell>
          <cell r="J192" t="str">
            <v>NO_CURRENCIES</v>
          </cell>
          <cell r="K192">
            <v>10000</v>
          </cell>
        </row>
        <row r="193">
          <cell r="C193" t="str">
            <v>E5290</v>
          </cell>
          <cell r="D193" t="str">
            <v>NO_DATAVIEWS</v>
          </cell>
          <cell r="E193" t="str">
            <v>NO_DEPARTMENTS</v>
          </cell>
          <cell r="F193" t="str">
            <v>NO_CATEGORIES</v>
          </cell>
          <cell r="G193" t="str">
            <v>NO_OBJECTS</v>
          </cell>
          <cell r="H193" t="str">
            <v>NO_DETAILS</v>
          </cell>
          <cell r="I193" t="str">
            <v>NO_SCENARIOS</v>
          </cell>
          <cell r="J193" t="str">
            <v>NO_CURRENCIES</v>
          </cell>
          <cell r="K193">
            <v>34500</v>
          </cell>
        </row>
        <row r="194">
          <cell r="C194" t="str">
            <v>E5290</v>
          </cell>
          <cell r="D194" t="str">
            <v>NO_DATAVIEWS</v>
          </cell>
          <cell r="E194" t="str">
            <v>NO_DEPARTMENTS</v>
          </cell>
          <cell r="F194" t="str">
            <v>NO_CATEGORIES</v>
          </cell>
          <cell r="G194" t="str">
            <v>NO_OBJECTS</v>
          </cell>
          <cell r="H194" t="str">
            <v>NO_DETAILS</v>
          </cell>
          <cell r="I194" t="str">
            <v>NO_SCENARIOS</v>
          </cell>
          <cell r="J194" t="str">
            <v>NO_CURRENCIES</v>
          </cell>
          <cell r="K194">
            <v>34500</v>
          </cell>
        </row>
        <row r="195">
          <cell r="C195" t="str">
            <v>E5290</v>
          </cell>
          <cell r="D195" t="str">
            <v>NO_DATAVIEWS</v>
          </cell>
          <cell r="E195" t="str">
            <v>NO_DEPARTMENTS</v>
          </cell>
          <cell r="F195" t="str">
            <v>NO_CATEGORIES</v>
          </cell>
          <cell r="G195" t="str">
            <v>NO_OBJECTS</v>
          </cell>
          <cell r="H195" t="str">
            <v>NO_DETAILS</v>
          </cell>
          <cell r="I195" t="str">
            <v>NO_SCENARIOS</v>
          </cell>
          <cell r="J195" t="str">
            <v>NO_CURRENCIES</v>
          </cell>
          <cell r="K195">
            <v>34500</v>
          </cell>
        </row>
        <row r="196">
          <cell r="C196" t="str">
            <v>E5290</v>
          </cell>
          <cell r="D196" t="str">
            <v>NO_DATAVIEWS</v>
          </cell>
          <cell r="E196" t="str">
            <v>NO_DEPARTMENTS</v>
          </cell>
          <cell r="F196" t="str">
            <v>NO_CATEGORIES</v>
          </cell>
          <cell r="G196" t="str">
            <v>NO_OBJECTS</v>
          </cell>
          <cell r="H196" t="str">
            <v>NO_DETAILS</v>
          </cell>
          <cell r="I196" t="str">
            <v>NO_SCENARIOS</v>
          </cell>
          <cell r="J196" t="str">
            <v>NO_CURRENCIES</v>
          </cell>
          <cell r="K196">
            <v>34500</v>
          </cell>
        </row>
        <row r="197">
          <cell r="C197" t="str">
            <v>E5290</v>
          </cell>
          <cell r="D197" t="str">
            <v>NO_DATAVIEWS</v>
          </cell>
          <cell r="E197" t="str">
            <v>NO_DEPARTMENTS</v>
          </cell>
          <cell r="F197" t="str">
            <v>NO_CATEGORIES</v>
          </cell>
          <cell r="G197" t="str">
            <v>NO_OBJECTS</v>
          </cell>
          <cell r="H197" t="str">
            <v>NO_DETAILS</v>
          </cell>
          <cell r="I197" t="str">
            <v>NO_SCENARIOS</v>
          </cell>
          <cell r="J197" t="str">
            <v>NO_CURRENCIES</v>
          </cell>
          <cell r="K197">
            <v>34500</v>
          </cell>
        </row>
        <row r="198">
          <cell r="C198" t="str">
            <v>E5290</v>
          </cell>
          <cell r="D198" t="str">
            <v>NO_DATAVIEWS</v>
          </cell>
          <cell r="E198" t="str">
            <v>NO_DEPARTMENTS</v>
          </cell>
          <cell r="F198" t="str">
            <v>NO_CATEGORIES</v>
          </cell>
          <cell r="G198" t="str">
            <v>NO_OBJECTS</v>
          </cell>
          <cell r="H198" t="str">
            <v>NO_DETAILS</v>
          </cell>
          <cell r="I198" t="str">
            <v>NO_SCENARIOS</v>
          </cell>
          <cell r="J198" t="str">
            <v>NO_CURRENCIES</v>
          </cell>
          <cell r="K198">
            <v>34500</v>
          </cell>
        </row>
        <row r="199">
          <cell r="C199" t="str">
            <v>E5290</v>
          </cell>
          <cell r="D199" t="str">
            <v>NO_DATAVIEWS</v>
          </cell>
          <cell r="E199" t="str">
            <v>NO_DEPARTMENTS</v>
          </cell>
          <cell r="F199" t="str">
            <v>NO_CATEGORIES</v>
          </cell>
          <cell r="G199" t="str">
            <v>NO_OBJECTS</v>
          </cell>
          <cell r="H199" t="str">
            <v>NO_DETAILS</v>
          </cell>
          <cell r="I199" t="str">
            <v>NO_SCENARIOS</v>
          </cell>
          <cell r="J199" t="str">
            <v>NO_CURRENCIES</v>
          </cell>
          <cell r="K199">
            <v>34500</v>
          </cell>
        </row>
        <row r="200">
          <cell r="C200" t="str">
            <v>E5290</v>
          </cell>
          <cell r="D200" t="str">
            <v>NO_DATAVIEWS</v>
          </cell>
          <cell r="E200" t="str">
            <v>NO_DEPARTMENTS</v>
          </cell>
          <cell r="F200" t="str">
            <v>NO_CATEGORIES</v>
          </cell>
          <cell r="G200" t="str">
            <v>NO_OBJECTS</v>
          </cell>
          <cell r="H200" t="str">
            <v>NO_DETAILS</v>
          </cell>
          <cell r="I200" t="str">
            <v>NO_SCENARIOS</v>
          </cell>
          <cell r="J200" t="str">
            <v>NO_CURRENCIES</v>
          </cell>
          <cell r="K200">
            <v>34500</v>
          </cell>
        </row>
        <row r="201">
          <cell r="C201" t="str">
            <v>E5290</v>
          </cell>
          <cell r="D201" t="str">
            <v>NO_DATAVIEWS</v>
          </cell>
          <cell r="E201" t="str">
            <v>NO_DEPARTMENTS</v>
          </cell>
          <cell r="F201" t="str">
            <v>NO_CATEGORIES</v>
          </cell>
          <cell r="G201" t="str">
            <v>NO_OBJECTS</v>
          </cell>
          <cell r="H201" t="str">
            <v>NO_DETAILS</v>
          </cell>
          <cell r="I201" t="str">
            <v>NO_SCENARIOS</v>
          </cell>
          <cell r="J201" t="str">
            <v>NO_CURRENCIES</v>
          </cell>
          <cell r="K201">
            <v>34500</v>
          </cell>
        </row>
        <row r="202">
          <cell r="C202" t="str">
            <v>E5290</v>
          </cell>
          <cell r="D202" t="str">
            <v>NO_DATAVIEWS</v>
          </cell>
          <cell r="E202" t="str">
            <v>NO_DEPARTMENTS</v>
          </cell>
          <cell r="F202" t="str">
            <v>NO_CATEGORIES</v>
          </cell>
          <cell r="G202" t="str">
            <v>NO_OBJECTS</v>
          </cell>
          <cell r="H202" t="str">
            <v>NO_DETAILS</v>
          </cell>
          <cell r="I202" t="str">
            <v>NO_SCENARIOS</v>
          </cell>
          <cell r="J202" t="str">
            <v>NO_CURRENCIES</v>
          </cell>
          <cell r="K202">
            <v>34500</v>
          </cell>
        </row>
        <row r="203">
          <cell r="C203" t="str">
            <v>E5290</v>
          </cell>
          <cell r="D203" t="str">
            <v>NO_DATAVIEWS</v>
          </cell>
          <cell r="E203" t="str">
            <v>NO_DEPARTMENTS</v>
          </cell>
          <cell r="F203" t="str">
            <v>NO_CATEGORIES</v>
          </cell>
          <cell r="G203" t="str">
            <v>NO_OBJECTS</v>
          </cell>
          <cell r="H203" t="str">
            <v>NO_DETAILS</v>
          </cell>
          <cell r="I203" t="str">
            <v>NO_SCENARIOS</v>
          </cell>
          <cell r="J203" t="str">
            <v>NO_CURRENCIES</v>
          </cell>
          <cell r="K203">
            <v>34500</v>
          </cell>
        </row>
        <row r="204">
          <cell r="C204" t="str">
            <v>E5290</v>
          </cell>
          <cell r="D204" t="str">
            <v>NO_DATAVIEWS</v>
          </cell>
          <cell r="E204" t="str">
            <v>NO_DEPARTMENTS</v>
          </cell>
          <cell r="F204" t="str">
            <v>NO_CATEGORIES</v>
          </cell>
          <cell r="G204" t="str">
            <v>NO_OBJECTS</v>
          </cell>
          <cell r="H204" t="str">
            <v>NO_DETAILS</v>
          </cell>
          <cell r="I204" t="str">
            <v>NO_SCENARIOS</v>
          </cell>
          <cell r="J204" t="str">
            <v>NO_CURRENCIES</v>
          </cell>
          <cell r="K204">
            <v>34500</v>
          </cell>
        </row>
        <row r="205">
          <cell r="C205" t="str">
            <v>E5300</v>
          </cell>
          <cell r="D205" t="str">
            <v>NO_DATAVIEWS</v>
          </cell>
          <cell r="E205" t="str">
            <v>NO_DEPARTMENTS</v>
          </cell>
          <cell r="F205" t="str">
            <v>NO_CATEGORIES</v>
          </cell>
          <cell r="G205" t="str">
            <v>NO_OBJECTS</v>
          </cell>
          <cell r="H205" t="str">
            <v>NO_DETAILS</v>
          </cell>
          <cell r="I205" t="str">
            <v>NO_SCENARIOS</v>
          </cell>
          <cell r="J205" t="str">
            <v>NO_CURRENCIES</v>
          </cell>
          <cell r="K205">
            <v>8000</v>
          </cell>
        </row>
        <row r="206">
          <cell r="C206" t="str">
            <v>E5300</v>
          </cell>
          <cell r="D206" t="str">
            <v>NO_DATAVIEWS</v>
          </cell>
          <cell r="E206" t="str">
            <v>NO_DEPARTMENTS</v>
          </cell>
          <cell r="F206" t="str">
            <v>NO_CATEGORIES</v>
          </cell>
          <cell r="G206" t="str">
            <v>NO_OBJECTS</v>
          </cell>
          <cell r="H206" t="str">
            <v>NO_DETAILS</v>
          </cell>
          <cell r="I206" t="str">
            <v>NO_SCENARIOS</v>
          </cell>
          <cell r="J206" t="str">
            <v>NO_CURRENCIES</v>
          </cell>
          <cell r="K206">
            <v>8000</v>
          </cell>
        </row>
        <row r="207">
          <cell r="C207" t="str">
            <v>E5300</v>
          </cell>
          <cell r="D207" t="str">
            <v>NO_DATAVIEWS</v>
          </cell>
          <cell r="E207" t="str">
            <v>NO_DEPARTMENTS</v>
          </cell>
          <cell r="F207" t="str">
            <v>NO_CATEGORIES</v>
          </cell>
          <cell r="G207" t="str">
            <v>NO_OBJECTS</v>
          </cell>
          <cell r="H207" t="str">
            <v>NO_DETAILS</v>
          </cell>
          <cell r="I207" t="str">
            <v>NO_SCENARIOS</v>
          </cell>
          <cell r="J207" t="str">
            <v>NO_CURRENCIES</v>
          </cell>
          <cell r="K207">
            <v>8000</v>
          </cell>
        </row>
        <row r="208">
          <cell r="C208" t="str">
            <v>E5300</v>
          </cell>
          <cell r="D208" t="str">
            <v>NO_DATAVIEWS</v>
          </cell>
          <cell r="E208" t="str">
            <v>NO_DEPARTMENTS</v>
          </cell>
          <cell r="F208" t="str">
            <v>NO_CATEGORIES</v>
          </cell>
          <cell r="G208" t="str">
            <v>NO_OBJECTS</v>
          </cell>
          <cell r="H208" t="str">
            <v>NO_DETAILS</v>
          </cell>
          <cell r="I208" t="str">
            <v>NO_SCENARIOS</v>
          </cell>
          <cell r="J208" t="str">
            <v>NO_CURRENCIES</v>
          </cell>
          <cell r="K208">
            <v>8000</v>
          </cell>
        </row>
        <row r="209">
          <cell r="C209" t="str">
            <v>E5300</v>
          </cell>
          <cell r="D209" t="str">
            <v>NO_DATAVIEWS</v>
          </cell>
          <cell r="E209" t="str">
            <v>NO_DEPARTMENTS</v>
          </cell>
          <cell r="F209" t="str">
            <v>NO_CATEGORIES</v>
          </cell>
          <cell r="G209" t="str">
            <v>NO_OBJECTS</v>
          </cell>
          <cell r="H209" t="str">
            <v>NO_DETAILS</v>
          </cell>
          <cell r="I209" t="str">
            <v>NO_SCENARIOS</v>
          </cell>
          <cell r="J209" t="str">
            <v>NO_CURRENCIES</v>
          </cell>
          <cell r="K209">
            <v>8000</v>
          </cell>
        </row>
        <row r="210">
          <cell r="C210" t="str">
            <v>E5300</v>
          </cell>
          <cell r="D210" t="str">
            <v>NO_DATAVIEWS</v>
          </cell>
          <cell r="E210" t="str">
            <v>NO_DEPARTMENTS</v>
          </cell>
          <cell r="F210" t="str">
            <v>NO_CATEGORIES</v>
          </cell>
          <cell r="G210" t="str">
            <v>NO_OBJECTS</v>
          </cell>
          <cell r="H210" t="str">
            <v>NO_DETAILS</v>
          </cell>
          <cell r="I210" t="str">
            <v>NO_SCENARIOS</v>
          </cell>
          <cell r="J210" t="str">
            <v>NO_CURRENCIES</v>
          </cell>
          <cell r="K210">
            <v>8000</v>
          </cell>
        </row>
        <row r="211">
          <cell r="C211" t="str">
            <v>E5300</v>
          </cell>
          <cell r="D211" t="str">
            <v>NO_DATAVIEWS</v>
          </cell>
          <cell r="E211" t="str">
            <v>NO_DEPARTMENTS</v>
          </cell>
          <cell r="F211" t="str">
            <v>NO_CATEGORIES</v>
          </cell>
          <cell r="G211" t="str">
            <v>NO_OBJECTS</v>
          </cell>
          <cell r="H211" t="str">
            <v>NO_DETAILS</v>
          </cell>
          <cell r="I211" t="str">
            <v>NO_SCENARIOS</v>
          </cell>
          <cell r="J211" t="str">
            <v>NO_CURRENCIES</v>
          </cell>
          <cell r="K211">
            <v>8000</v>
          </cell>
        </row>
        <row r="212">
          <cell r="C212" t="str">
            <v>E5300</v>
          </cell>
          <cell r="D212" t="str">
            <v>NO_DATAVIEWS</v>
          </cell>
          <cell r="E212" t="str">
            <v>NO_DEPARTMENTS</v>
          </cell>
          <cell r="F212" t="str">
            <v>NO_CATEGORIES</v>
          </cell>
          <cell r="G212" t="str">
            <v>NO_OBJECTS</v>
          </cell>
          <cell r="H212" t="str">
            <v>NO_DETAILS</v>
          </cell>
          <cell r="I212" t="str">
            <v>NO_SCENARIOS</v>
          </cell>
          <cell r="J212" t="str">
            <v>NO_CURRENCIES</v>
          </cell>
          <cell r="K212">
            <v>8000</v>
          </cell>
        </row>
        <row r="213">
          <cell r="C213" t="str">
            <v>E5300</v>
          </cell>
          <cell r="D213" t="str">
            <v>NO_DATAVIEWS</v>
          </cell>
          <cell r="E213" t="str">
            <v>NO_DEPARTMENTS</v>
          </cell>
          <cell r="F213" t="str">
            <v>NO_CATEGORIES</v>
          </cell>
          <cell r="G213" t="str">
            <v>NO_OBJECTS</v>
          </cell>
          <cell r="H213" t="str">
            <v>NO_DETAILS</v>
          </cell>
          <cell r="I213" t="str">
            <v>NO_SCENARIOS</v>
          </cell>
          <cell r="J213" t="str">
            <v>NO_CURRENCIES</v>
          </cell>
          <cell r="K213">
            <v>8000</v>
          </cell>
        </row>
        <row r="214">
          <cell r="C214" t="str">
            <v>E5300</v>
          </cell>
          <cell r="D214" t="str">
            <v>NO_DATAVIEWS</v>
          </cell>
          <cell r="E214" t="str">
            <v>NO_DEPARTMENTS</v>
          </cell>
          <cell r="F214" t="str">
            <v>NO_CATEGORIES</v>
          </cell>
          <cell r="G214" t="str">
            <v>NO_OBJECTS</v>
          </cell>
          <cell r="H214" t="str">
            <v>NO_DETAILS</v>
          </cell>
          <cell r="I214" t="str">
            <v>NO_SCENARIOS</v>
          </cell>
          <cell r="J214" t="str">
            <v>NO_CURRENCIES</v>
          </cell>
          <cell r="K214">
            <v>8000</v>
          </cell>
        </row>
        <row r="215">
          <cell r="C215" t="str">
            <v>E5300</v>
          </cell>
          <cell r="D215" t="str">
            <v>NO_DATAVIEWS</v>
          </cell>
          <cell r="E215" t="str">
            <v>NO_DEPARTMENTS</v>
          </cell>
          <cell r="F215" t="str">
            <v>NO_CATEGORIES</v>
          </cell>
          <cell r="G215" t="str">
            <v>NO_OBJECTS</v>
          </cell>
          <cell r="H215" t="str">
            <v>NO_DETAILS</v>
          </cell>
          <cell r="I215" t="str">
            <v>NO_SCENARIOS</v>
          </cell>
          <cell r="J215" t="str">
            <v>NO_CURRENCIES</v>
          </cell>
          <cell r="K215">
            <v>8000</v>
          </cell>
        </row>
        <row r="216">
          <cell r="C216" t="str">
            <v>E5300</v>
          </cell>
          <cell r="D216" t="str">
            <v>NO_DATAVIEWS</v>
          </cell>
          <cell r="E216" t="str">
            <v>NO_DEPARTMENTS</v>
          </cell>
          <cell r="F216" t="str">
            <v>NO_CATEGORIES</v>
          </cell>
          <cell r="G216" t="str">
            <v>NO_OBJECTS</v>
          </cell>
          <cell r="H216" t="str">
            <v>NO_DETAILS</v>
          </cell>
          <cell r="I216" t="str">
            <v>NO_SCENARIOS</v>
          </cell>
          <cell r="J216" t="str">
            <v>NO_CURRENCIES</v>
          </cell>
          <cell r="K216">
            <v>8000</v>
          </cell>
        </row>
        <row r="217">
          <cell r="C217" t="str">
            <v>E5270</v>
          </cell>
          <cell r="D217" t="str">
            <v>NO_DATAVIEWS</v>
          </cell>
          <cell r="E217" t="str">
            <v>NO_DEPARTMENTS</v>
          </cell>
          <cell r="F217" t="str">
            <v>NO_CATEGORIES</v>
          </cell>
          <cell r="G217" t="str">
            <v>NO_OBJECTS</v>
          </cell>
          <cell r="H217" t="str">
            <v>NO_DETAILS</v>
          </cell>
          <cell r="I217" t="str">
            <v>NO_SCENARIOS</v>
          </cell>
          <cell r="J217" t="str">
            <v>NO_CURRENCIES</v>
          </cell>
          <cell r="K217">
            <v>26000</v>
          </cell>
        </row>
        <row r="218">
          <cell r="C218" t="str">
            <v>E5270</v>
          </cell>
          <cell r="D218" t="str">
            <v>NO_DATAVIEWS</v>
          </cell>
          <cell r="E218" t="str">
            <v>NO_DEPARTMENTS</v>
          </cell>
          <cell r="F218" t="str">
            <v>NO_CATEGORIES</v>
          </cell>
          <cell r="G218" t="str">
            <v>NO_OBJECTS</v>
          </cell>
          <cell r="H218" t="str">
            <v>NO_DETAILS</v>
          </cell>
          <cell r="I218" t="str">
            <v>NO_SCENARIOS</v>
          </cell>
          <cell r="J218" t="str">
            <v>NO_CURRENCIES</v>
          </cell>
          <cell r="K218">
            <v>26000</v>
          </cell>
        </row>
        <row r="219">
          <cell r="C219" t="str">
            <v>E5270</v>
          </cell>
          <cell r="D219" t="str">
            <v>NO_DATAVIEWS</v>
          </cell>
          <cell r="E219" t="str">
            <v>NO_DEPARTMENTS</v>
          </cell>
          <cell r="F219" t="str">
            <v>NO_CATEGORIES</v>
          </cell>
          <cell r="G219" t="str">
            <v>NO_OBJECTS</v>
          </cell>
          <cell r="H219" t="str">
            <v>NO_DETAILS</v>
          </cell>
          <cell r="I219" t="str">
            <v>NO_SCENARIOS</v>
          </cell>
          <cell r="J219" t="str">
            <v>NO_CURRENCIES</v>
          </cell>
          <cell r="K219">
            <v>26000</v>
          </cell>
        </row>
        <row r="220">
          <cell r="C220" t="str">
            <v>E5270</v>
          </cell>
          <cell r="D220" t="str">
            <v>NO_DATAVIEWS</v>
          </cell>
          <cell r="E220" t="str">
            <v>NO_DEPARTMENTS</v>
          </cell>
          <cell r="F220" t="str">
            <v>NO_CATEGORIES</v>
          </cell>
          <cell r="G220" t="str">
            <v>NO_OBJECTS</v>
          </cell>
          <cell r="H220" t="str">
            <v>NO_DETAILS</v>
          </cell>
          <cell r="I220" t="str">
            <v>NO_SCENARIOS</v>
          </cell>
          <cell r="J220" t="str">
            <v>NO_CURRENCIES</v>
          </cell>
          <cell r="K220">
            <v>26000</v>
          </cell>
        </row>
        <row r="221">
          <cell r="C221" t="str">
            <v>E5270</v>
          </cell>
          <cell r="D221" t="str">
            <v>NO_DATAVIEWS</v>
          </cell>
          <cell r="E221" t="str">
            <v>NO_DEPARTMENTS</v>
          </cell>
          <cell r="F221" t="str">
            <v>NO_CATEGORIES</v>
          </cell>
          <cell r="G221" t="str">
            <v>NO_OBJECTS</v>
          </cell>
          <cell r="H221" t="str">
            <v>NO_DETAILS</v>
          </cell>
          <cell r="I221" t="str">
            <v>NO_SCENARIOS</v>
          </cell>
          <cell r="J221" t="str">
            <v>NO_CURRENCIES</v>
          </cell>
          <cell r="K221">
            <v>26000</v>
          </cell>
        </row>
        <row r="222">
          <cell r="C222" t="str">
            <v>E5270</v>
          </cell>
          <cell r="D222" t="str">
            <v>NO_DATAVIEWS</v>
          </cell>
          <cell r="E222" t="str">
            <v>NO_DEPARTMENTS</v>
          </cell>
          <cell r="F222" t="str">
            <v>NO_CATEGORIES</v>
          </cell>
          <cell r="G222" t="str">
            <v>NO_OBJECTS</v>
          </cell>
          <cell r="H222" t="str">
            <v>NO_DETAILS</v>
          </cell>
          <cell r="I222" t="str">
            <v>NO_SCENARIOS</v>
          </cell>
          <cell r="J222" t="str">
            <v>NO_CURRENCIES</v>
          </cell>
          <cell r="K222">
            <v>26000</v>
          </cell>
        </row>
        <row r="223">
          <cell r="C223" t="str">
            <v>E5270</v>
          </cell>
          <cell r="D223" t="str">
            <v>NO_DATAVIEWS</v>
          </cell>
          <cell r="E223" t="str">
            <v>NO_DEPARTMENTS</v>
          </cell>
          <cell r="F223" t="str">
            <v>NO_CATEGORIES</v>
          </cell>
          <cell r="G223" t="str">
            <v>NO_OBJECTS</v>
          </cell>
          <cell r="H223" t="str">
            <v>NO_DETAILS</v>
          </cell>
          <cell r="I223" t="str">
            <v>NO_SCENARIOS</v>
          </cell>
          <cell r="J223" t="str">
            <v>NO_CURRENCIES</v>
          </cell>
          <cell r="K223">
            <v>26000</v>
          </cell>
        </row>
        <row r="224">
          <cell r="C224" t="str">
            <v>E5270</v>
          </cell>
          <cell r="D224" t="str">
            <v>NO_DATAVIEWS</v>
          </cell>
          <cell r="E224" t="str">
            <v>NO_DEPARTMENTS</v>
          </cell>
          <cell r="F224" t="str">
            <v>NO_CATEGORIES</v>
          </cell>
          <cell r="G224" t="str">
            <v>NO_OBJECTS</v>
          </cell>
          <cell r="H224" t="str">
            <v>NO_DETAILS</v>
          </cell>
          <cell r="I224" t="str">
            <v>NO_SCENARIOS</v>
          </cell>
          <cell r="J224" t="str">
            <v>NO_CURRENCIES</v>
          </cell>
          <cell r="K224">
            <v>26000</v>
          </cell>
        </row>
        <row r="225">
          <cell r="C225" t="str">
            <v>E5270</v>
          </cell>
          <cell r="D225" t="str">
            <v>NO_DATAVIEWS</v>
          </cell>
          <cell r="E225" t="str">
            <v>NO_DEPARTMENTS</v>
          </cell>
          <cell r="F225" t="str">
            <v>NO_CATEGORIES</v>
          </cell>
          <cell r="G225" t="str">
            <v>NO_OBJECTS</v>
          </cell>
          <cell r="H225" t="str">
            <v>NO_DETAILS</v>
          </cell>
          <cell r="I225" t="str">
            <v>NO_SCENARIOS</v>
          </cell>
          <cell r="J225" t="str">
            <v>NO_CURRENCIES</v>
          </cell>
          <cell r="K225">
            <v>26000</v>
          </cell>
        </row>
        <row r="226">
          <cell r="C226" t="str">
            <v>E5270</v>
          </cell>
          <cell r="D226" t="str">
            <v>NO_DATAVIEWS</v>
          </cell>
          <cell r="E226" t="str">
            <v>NO_DEPARTMENTS</v>
          </cell>
          <cell r="F226" t="str">
            <v>NO_CATEGORIES</v>
          </cell>
          <cell r="G226" t="str">
            <v>NO_OBJECTS</v>
          </cell>
          <cell r="H226" t="str">
            <v>NO_DETAILS</v>
          </cell>
          <cell r="I226" t="str">
            <v>NO_SCENARIOS</v>
          </cell>
          <cell r="J226" t="str">
            <v>NO_CURRENCIES</v>
          </cell>
          <cell r="K226">
            <v>26000</v>
          </cell>
        </row>
        <row r="227">
          <cell r="C227" t="str">
            <v>E5270</v>
          </cell>
          <cell r="D227" t="str">
            <v>NO_DATAVIEWS</v>
          </cell>
          <cell r="E227" t="str">
            <v>NO_DEPARTMENTS</v>
          </cell>
          <cell r="F227" t="str">
            <v>NO_CATEGORIES</v>
          </cell>
          <cell r="G227" t="str">
            <v>NO_OBJECTS</v>
          </cell>
          <cell r="H227" t="str">
            <v>NO_DETAILS</v>
          </cell>
          <cell r="I227" t="str">
            <v>NO_SCENARIOS</v>
          </cell>
          <cell r="J227" t="str">
            <v>NO_CURRENCIES</v>
          </cell>
          <cell r="K227">
            <v>26000</v>
          </cell>
        </row>
        <row r="228">
          <cell r="C228" t="str">
            <v>E5270</v>
          </cell>
          <cell r="D228" t="str">
            <v>NO_DATAVIEWS</v>
          </cell>
          <cell r="E228" t="str">
            <v>NO_DEPARTMENTS</v>
          </cell>
          <cell r="F228" t="str">
            <v>NO_CATEGORIES</v>
          </cell>
          <cell r="G228" t="str">
            <v>NO_OBJECTS</v>
          </cell>
          <cell r="H228" t="str">
            <v>NO_DETAILS</v>
          </cell>
          <cell r="I228" t="str">
            <v>NO_SCENARIOS</v>
          </cell>
          <cell r="J228" t="str">
            <v>NO_CURRENCIES</v>
          </cell>
          <cell r="K228">
            <v>26000</v>
          </cell>
        </row>
        <row r="229">
          <cell r="C229" t="str">
            <v>E5280</v>
          </cell>
          <cell r="D229" t="str">
            <v>NO_DATAVIEWS</v>
          </cell>
          <cell r="E229" t="str">
            <v>NO_DEPARTMENTS</v>
          </cell>
          <cell r="F229" t="str">
            <v>NO_CATEGORIES</v>
          </cell>
          <cell r="G229" t="str">
            <v>NO_OBJECTS</v>
          </cell>
          <cell r="H229" t="str">
            <v>NO_DETAILS</v>
          </cell>
          <cell r="I229" t="str">
            <v>NO_SCENARIOS</v>
          </cell>
          <cell r="J229" t="str">
            <v>NO_CURRENCIES</v>
          </cell>
          <cell r="K229">
            <v>6000</v>
          </cell>
        </row>
        <row r="230">
          <cell r="C230" t="str">
            <v>E5280</v>
          </cell>
          <cell r="D230" t="str">
            <v>NO_DATAVIEWS</v>
          </cell>
          <cell r="E230" t="str">
            <v>NO_DEPARTMENTS</v>
          </cell>
          <cell r="F230" t="str">
            <v>NO_CATEGORIES</v>
          </cell>
          <cell r="G230" t="str">
            <v>NO_OBJECTS</v>
          </cell>
          <cell r="H230" t="str">
            <v>NO_DETAILS</v>
          </cell>
          <cell r="I230" t="str">
            <v>NO_SCENARIOS</v>
          </cell>
          <cell r="J230" t="str">
            <v>NO_CURRENCIES</v>
          </cell>
          <cell r="K230">
            <v>6000</v>
          </cell>
        </row>
        <row r="231">
          <cell r="C231" t="str">
            <v>E5280</v>
          </cell>
          <cell r="D231" t="str">
            <v>NO_DATAVIEWS</v>
          </cell>
          <cell r="E231" t="str">
            <v>NO_DEPARTMENTS</v>
          </cell>
          <cell r="F231" t="str">
            <v>NO_CATEGORIES</v>
          </cell>
          <cell r="G231" t="str">
            <v>NO_OBJECTS</v>
          </cell>
          <cell r="H231" t="str">
            <v>NO_DETAILS</v>
          </cell>
          <cell r="I231" t="str">
            <v>NO_SCENARIOS</v>
          </cell>
          <cell r="J231" t="str">
            <v>NO_CURRENCIES</v>
          </cell>
          <cell r="K231">
            <v>6000</v>
          </cell>
        </row>
        <row r="232">
          <cell r="C232" t="str">
            <v>E5280</v>
          </cell>
          <cell r="D232" t="str">
            <v>NO_DATAVIEWS</v>
          </cell>
          <cell r="E232" t="str">
            <v>NO_DEPARTMENTS</v>
          </cell>
          <cell r="F232" t="str">
            <v>NO_CATEGORIES</v>
          </cell>
          <cell r="G232" t="str">
            <v>NO_OBJECTS</v>
          </cell>
          <cell r="H232" t="str">
            <v>NO_DETAILS</v>
          </cell>
          <cell r="I232" t="str">
            <v>NO_SCENARIOS</v>
          </cell>
          <cell r="J232" t="str">
            <v>NO_CURRENCIES</v>
          </cell>
          <cell r="K232">
            <v>6000</v>
          </cell>
        </row>
        <row r="233">
          <cell r="C233" t="str">
            <v>E5280</v>
          </cell>
          <cell r="D233" t="str">
            <v>NO_DATAVIEWS</v>
          </cell>
          <cell r="E233" t="str">
            <v>NO_DEPARTMENTS</v>
          </cell>
          <cell r="F233" t="str">
            <v>NO_CATEGORIES</v>
          </cell>
          <cell r="G233" t="str">
            <v>NO_OBJECTS</v>
          </cell>
          <cell r="H233" t="str">
            <v>NO_DETAILS</v>
          </cell>
          <cell r="I233" t="str">
            <v>NO_SCENARIOS</v>
          </cell>
          <cell r="J233" t="str">
            <v>NO_CURRENCIES</v>
          </cell>
          <cell r="K233">
            <v>6000</v>
          </cell>
        </row>
        <row r="234">
          <cell r="C234" t="str">
            <v>E5280</v>
          </cell>
          <cell r="D234" t="str">
            <v>NO_DATAVIEWS</v>
          </cell>
          <cell r="E234" t="str">
            <v>NO_DEPARTMENTS</v>
          </cell>
          <cell r="F234" t="str">
            <v>NO_CATEGORIES</v>
          </cell>
          <cell r="G234" t="str">
            <v>NO_OBJECTS</v>
          </cell>
          <cell r="H234" t="str">
            <v>NO_DETAILS</v>
          </cell>
          <cell r="I234" t="str">
            <v>NO_SCENARIOS</v>
          </cell>
          <cell r="J234" t="str">
            <v>NO_CURRENCIES</v>
          </cell>
          <cell r="K234">
            <v>6000</v>
          </cell>
        </row>
        <row r="235">
          <cell r="C235" t="str">
            <v>E5280</v>
          </cell>
          <cell r="D235" t="str">
            <v>NO_DATAVIEWS</v>
          </cell>
          <cell r="E235" t="str">
            <v>NO_DEPARTMENTS</v>
          </cell>
          <cell r="F235" t="str">
            <v>NO_CATEGORIES</v>
          </cell>
          <cell r="G235" t="str">
            <v>NO_OBJECTS</v>
          </cell>
          <cell r="H235" t="str">
            <v>NO_DETAILS</v>
          </cell>
          <cell r="I235" t="str">
            <v>NO_SCENARIOS</v>
          </cell>
          <cell r="J235" t="str">
            <v>NO_CURRENCIES</v>
          </cell>
          <cell r="K235">
            <v>6000</v>
          </cell>
        </row>
        <row r="236">
          <cell r="C236" t="str">
            <v>E5280</v>
          </cell>
          <cell r="D236" t="str">
            <v>NO_DATAVIEWS</v>
          </cell>
          <cell r="E236" t="str">
            <v>NO_DEPARTMENTS</v>
          </cell>
          <cell r="F236" t="str">
            <v>NO_CATEGORIES</v>
          </cell>
          <cell r="G236" t="str">
            <v>NO_OBJECTS</v>
          </cell>
          <cell r="H236" t="str">
            <v>NO_DETAILS</v>
          </cell>
          <cell r="I236" t="str">
            <v>NO_SCENARIOS</v>
          </cell>
          <cell r="J236" t="str">
            <v>NO_CURRENCIES</v>
          </cell>
          <cell r="K236">
            <v>6000</v>
          </cell>
        </row>
        <row r="237">
          <cell r="C237" t="str">
            <v>E5280</v>
          </cell>
          <cell r="D237" t="str">
            <v>NO_DATAVIEWS</v>
          </cell>
          <cell r="E237" t="str">
            <v>NO_DEPARTMENTS</v>
          </cell>
          <cell r="F237" t="str">
            <v>NO_CATEGORIES</v>
          </cell>
          <cell r="G237" t="str">
            <v>NO_OBJECTS</v>
          </cell>
          <cell r="H237" t="str">
            <v>NO_DETAILS</v>
          </cell>
          <cell r="I237" t="str">
            <v>NO_SCENARIOS</v>
          </cell>
          <cell r="J237" t="str">
            <v>NO_CURRENCIES</v>
          </cell>
          <cell r="K237">
            <v>6000</v>
          </cell>
        </row>
        <row r="238">
          <cell r="C238" t="str">
            <v>E5280</v>
          </cell>
          <cell r="D238" t="str">
            <v>NO_DATAVIEWS</v>
          </cell>
          <cell r="E238" t="str">
            <v>NO_DEPARTMENTS</v>
          </cell>
          <cell r="F238" t="str">
            <v>NO_CATEGORIES</v>
          </cell>
          <cell r="G238" t="str">
            <v>NO_OBJECTS</v>
          </cell>
          <cell r="H238" t="str">
            <v>NO_DETAILS</v>
          </cell>
          <cell r="I238" t="str">
            <v>NO_SCENARIOS</v>
          </cell>
          <cell r="J238" t="str">
            <v>NO_CURRENCIES</v>
          </cell>
          <cell r="K238">
            <v>6000</v>
          </cell>
        </row>
        <row r="239">
          <cell r="C239" t="str">
            <v>E5280</v>
          </cell>
          <cell r="D239" t="str">
            <v>NO_DATAVIEWS</v>
          </cell>
          <cell r="E239" t="str">
            <v>NO_DEPARTMENTS</v>
          </cell>
          <cell r="F239" t="str">
            <v>NO_CATEGORIES</v>
          </cell>
          <cell r="G239" t="str">
            <v>NO_OBJECTS</v>
          </cell>
          <cell r="H239" t="str">
            <v>NO_DETAILS</v>
          </cell>
          <cell r="I239" t="str">
            <v>NO_SCENARIOS</v>
          </cell>
          <cell r="J239" t="str">
            <v>NO_CURRENCIES</v>
          </cell>
          <cell r="K239">
            <v>6000</v>
          </cell>
        </row>
        <row r="240">
          <cell r="C240" t="str">
            <v>E5280</v>
          </cell>
          <cell r="D240" t="str">
            <v>NO_DATAVIEWS</v>
          </cell>
          <cell r="E240" t="str">
            <v>NO_DEPARTMENTS</v>
          </cell>
          <cell r="F240" t="str">
            <v>NO_CATEGORIES</v>
          </cell>
          <cell r="G240" t="str">
            <v>NO_OBJECTS</v>
          </cell>
          <cell r="H240" t="str">
            <v>NO_DETAILS</v>
          </cell>
          <cell r="I240" t="str">
            <v>NO_SCENARIOS</v>
          </cell>
          <cell r="J240" t="str">
            <v>NO_CURRENCIES</v>
          </cell>
          <cell r="K240">
            <v>6000</v>
          </cell>
        </row>
        <row r="241">
          <cell r="C241" t="str">
            <v>E5310</v>
          </cell>
          <cell r="D241" t="str">
            <v>NO_DATAVIEWS</v>
          </cell>
          <cell r="E241" t="str">
            <v>NO_DEPARTMENTS</v>
          </cell>
          <cell r="F241" t="str">
            <v>NO_CATEGORIES</v>
          </cell>
          <cell r="G241" t="str">
            <v>NO_OBJECTS</v>
          </cell>
          <cell r="H241" t="str">
            <v>NO_DETAILS</v>
          </cell>
          <cell r="I241" t="str">
            <v>NO_SCENARIOS</v>
          </cell>
          <cell r="J241" t="str">
            <v>NO_CURRENCIES</v>
          </cell>
          <cell r="K241">
            <v>22800</v>
          </cell>
        </row>
        <row r="242">
          <cell r="C242" t="str">
            <v>E5310</v>
          </cell>
          <cell r="D242" t="str">
            <v>NO_DATAVIEWS</v>
          </cell>
          <cell r="E242" t="str">
            <v>NO_DEPARTMENTS</v>
          </cell>
          <cell r="F242" t="str">
            <v>NO_CATEGORIES</v>
          </cell>
          <cell r="G242" t="str">
            <v>NO_OBJECTS</v>
          </cell>
          <cell r="H242" t="str">
            <v>NO_DETAILS</v>
          </cell>
          <cell r="I242" t="str">
            <v>NO_SCENARIOS</v>
          </cell>
          <cell r="J242" t="str">
            <v>NO_CURRENCIES</v>
          </cell>
          <cell r="K242">
            <v>22800</v>
          </cell>
        </row>
        <row r="243">
          <cell r="C243" t="str">
            <v>E5310</v>
          </cell>
          <cell r="D243" t="str">
            <v>NO_DATAVIEWS</v>
          </cell>
          <cell r="E243" t="str">
            <v>NO_DEPARTMENTS</v>
          </cell>
          <cell r="F243" t="str">
            <v>NO_CATEGORIES</v>
          </cell>
          <cell r="G243" t="str">
            <v>NO_OBJECTS</v>
          </cell>
          <cell r="H243" t="str">
            <v>NO_DETAILS</v>
          </cell>
          <cell r="I243" t="str">
            <v>NO_SCENARIOS</v>
          </cell>
          <cell r="J243" t="str">
            <v>NO_CURRENCIES</v>
          </cell>
          <cell r="K243">
            <v>22800</v>
          </cell>
        </row>
        <row r="244">
          <cell r="C244" t="str">
            <v>E5310</v>
          </cell>
          <cell r="D244" t="str">
            <v>NO_DATAVIEWS</v>
          </cell>
          <cell r="E244" t="str">
            <v>NO_DEPARTMENTS</v>
          </cell>
          <cell r="F244" t="str">
            <v>NO_CATEGORIES</v>
          </cell>
          <cell r="G244" t="str">
            <v>NO_OBJECTS</v>
          </cell>
          <cell r="H244" t="str">
            <v>NO_DETAILS</v>
          </cell>
          <cell r="I244" t="str">
            <v>NO_SCENARIOS</v>
          </cell>
          <cell r="J244" t="str">
            <v>NO_CURRENCIES</v>
          </cell>
          <cell r="K244">
            <v>22800</v>
          </cell>
        </row>
        <row r="245">
          <cell r="C245" t="str">
            <v>E5310</v>
          </cell>
          <cell r="D245" t="str">
            <v>NO_DATAVIEWS</v>
          </cell>
          <cell r="E245" t="str">
            <v>NO_DEPARTMENTS</v>
          </cell>
          <cell r="F245" t="str">
            <v>NO_CATEGORIES</v>
          </cell>
          <cell r="G245" t="str">
            <v>NO_OBJECTS</v>
          </cell>
          <cell r="H245" t="str">
            <v>NO_DETAILS</v>
          </cell>
          <cell r="I245" t="str">
            <v>NO_SCENARIOS</v>
          </cell>
          <cell r="J245" t="str">
            <v>NO_CURRENCIES</v>
          </cell>
          <cell r="K245">
            <v>22800</v>
          </cell>
        </row>
        <row r="246">
          <cell r="C246" t="str">
            <v>E5310</v>
          </cell>
          <cell r="D246" t="str">
            <v>NO_DATAVIEWS</v>
          </cell>
          <cell r="E246" t="str">
            <v>NO_DEPARTMENTS</v>
          </cell>
          <cell r="F246" t="str">
            <v>NO_CATEGORIES</v>
          </cell>
          <cell r="G246" t="str">
            <v>NO_OBJECTS</v>
          </cell>
          <cell r="H246" t="str">
            <v>NO_DETAILS</v>
          </cell>
          <cell r="I246" t="str">
            <v>NO_SCENARIOS</v>
          </cell>
          <cell r="J246" t="str">
            <v>NO_CURRENCIES</v>
          </cell>
          <cell r="K246">
            <v>22800</v>
          </cell>
        </row>
        <row r="247">
          <cell r="C247" t="str">
            <v>E5310</v>
          </cell>
          <cell r="D247" t="str">
            <v>NO_DATAVIEWS</v>
          </cell>
          <cell r="E247" t="str">
            <v>NO_DEPARTMENTS</v>
          </cell>
          <cell r="F247" t="str">
            <v>NO_CATEGORIES</v>
          </cell>
          <cell r="G247" t="str">
            <v>NO_OBJECTS</v>
          </cell>
          <cell r="H247" t="str">
            <v>NO_DETAILS</v>
          </cell>
          <cell r="I247" t="str">
            <v>NO_SCENARIOS</v>
          </cell>
          <cell r="J247" t="str">
            <v>NO_CURRENCIES</v>
          </cell>
          <cell r="K247">
            <v>22800</v>
          </cell>
        </row>
        <row r="248">
          <cell r="C248" t="str">
            <v>E5310</v>
          </cell>
          <cell r="D248" t="str">
            <v>NO_DATAVIEWS</v>
          </cell>
          <cell r="E248" t="str">
            <v>NO_DEPARTMENTS</v>
          </cell>
          <cell r="F248" t="str">
            <v>NO_CATEGORIES</v>
          </cell>
          <cell r="G248" t="str">
            <v>NO_OBJECTS</v>
          </cell>
          <cell r="H248" t="str">
            <v>NO_DETAILS</v>
          </cell>
          <cell r="I248" t="str">
            <v>NO_SCENARIOS</v>
          </cell>
          <cell r="J248" t="str">
            <v>NO_CURRENCIES</v>
          </cell>
          <cell r="K248">
            <v>22800</v>
          </cell>
        </row>
        <row r="249">
          <cell r="C249" t="str">
            <v>E5310</v>
          </cell>
          <cell r="D249" t="str">
            <v>NO_DATAVIEWS</v>
          </cell>
          <cell r="E249" t="str">
            <v>NO_DEPARTMENTS</v>
          </cell>
          <cell r="F249" t="str">
            <v>NO_CATEGORIES</v>
          </cell>
          <cell r="G249" t="str">
            <v>NO_OBJECTS</v>
          </cell>
          <cell r="H249" t="str">
            <v>NO_DETAILS</v>
          </cell>
          <cell r="I249" t="str">
            <v>NO_SCENARIOS</v>
          </cell>
          <cell r="J249" t="str">
            <v>NO_CURRENCIES</v>
          </cell>
          <cell r="K249">
            <v>22800</v>
          </cell>
        </row>
        <row r="250">
          <cell r="C250" t="str">
            <v>E5310</v>
          </cell>
          <cell r="D250" t="str">
            <v>NO_DATAVIEWS</v>
          </cell>
          <cell r="E250" t="str">
            <v>NO_DEPARTMENTS</v>
          </cell>
          <cell r="F250" t="str">
            <v>NO_CATEGORIES</v>
          </cell>
          <cell r="G250" t="str">
            <v>NO_OBJECTS</v>
          </cell>
          <cell r="H250" t="str">
            <v>NO_DETAILS</v>
          </cell>
          <cell r="I250" t="str">
            <v>NO_SCENARIOS</v>
          </cell>
          <cell r="J250" t="str">
            <v>NO_CURRENCIES</v>
          </cell>
          <cell r="K250">
            <v>22800</v>
          </cell>
        </row>
        <row r="251">
          <cell r="C251" t="str">
            <v>E5310</v>
          </cell>
          <cell r="D251" t="str">
            <v>NO_DATAVIEWS</v>
          </cell>
          <cell r="E251" t="str">
            <v>NO_DEPARTMENTS</v>
          </cell>
          <cell r="F251" t="str">
            <v>NO_CATEGORIES</v>
          </cell>
          <cell r="G251" t="str">
            <v>NO_OBJECTS</v>
          </cell>
          <cell r="H251" t="str">
            <v>NO_DETAILS</v>
          </cell>
          <cell r="I251" t="str">
            <v>NO_SCENARIOS</v>
          </cell>
          <cell r="J251" t="str">
            <v>NO_CURRENCIES</v>
          </cell>
          <cell r="K251">
            <v>22800</v>
          </cell>
        </row>
        <row r="252">
          <cell r="C252" t="str">
            <v>E5310</v>
          </cell>
          <cell r="D252" t="str">
            <v>NO_DATAVIEWS</v>
          </cell>
          <cell r="E252" t="str">
            <v>NO_DEPARTMENTS</v>
          </cell>
          <cell r="F252" t="str">
            <v>NO_CATEGORIES</v>
          </cell>
          <cell r="G252" t="str">
            <v>NO_OBJECTS</v>
          </cell>
          <cell r="H252" t="str">
            <v>NO_DETAILS</v>
          </cell>
          <cell r="I252" t="str">
            <v>NO_SCENARIOS</v>
          </cell>
          <cell r="J252" t="str">
            <v>NO_CURRENCIES</v>
          </cell>
          <cell r="K252">
            <v>22800</v>
          </cell>
        </row>
        <row r="253">
          <cell r="C253" t="str">
            <v>E5320</v>
          </cell>
          <cell r="D253" t="str">
            <v>NO_DATAVIEWS</v>
          </cell>
          <cell r="E253" t="str">
            <v>NO_DEPARTMENTS</v>
          </cell>
          <cell r="F253" t="str">
            <v>NO_CATEGORIES</v>
          </cell>
          <cell r="G253" t="str">
            <v>NO_OBJECTS</v>
          </cell>
          <cell r="H253" t="str">
            <v>NO_DETAILS</v>
          </cell>
          <cell r="I253" t="str">
            <v>NO_SCENARIOS</v>
          </cell>
          <cell r="J253" t="str">
            <v>NO_CURRENCIES</v>
          </cell>
          <cell r="K253">
            <v>22800</v>
          </cell>
        </row>
        <row r="254">
          <cell r="C254" t="str">
            <v>E5320</v>
          </cell>
          <cell r="D254" t="str">
            <v>NO_DATAVIEWS</v>
          </cell>
          <cell r="E254" t="str">
            <v>NO_DEPARTMENTS</v>
          </cell>
          <cell r="F254" t="str">
            <v>NO_CATEGORIES</v>
          </cell>
          <cell r="G254" t="str">
            <v>NO_OBJECTS</v>
          </cell>
          <cell r="H254" t="str">
            <v>NO_DETAILS</v>
          </cell>
          <cell r="I254" t="str">
            <v>NO_SCENARIOS</v>
          </cell>
          <cell r="J254" t="str">
            <v>NO_CURRENCIES</v>
          </cell>
          <cell r="K254">
            <v>22800</v>
          </cell>
        </row>
        <row r="255">
          <cell r="C255" t="str">
            <v>E5320</v>
          </cell>
          <cell r="D255" t="str">
            <v>NO_DATAVIEWS</v>
          </cell>
          <cell r="E255" t="str">
            <v>NO_DEPARTMENTS</v>
          </cell>
          <cell r="F255" t="str">
            <v>NO_CATEGORIES</v>
          </cell>
          <cell r="G255" t="str">
            <v>NO_OBJECTS</v>
          </cell>
          <cell r="H255" t="str">
            <v>NO_DETAILS</v>
          </cell>
          <cell r="I255" t="str">
            <v>NO_SCENARIOS</v>
          </cell>
          <cell r="J255" t="str">
            <v>NO_CURRENCIES</v>
          </cell>
          <cell r="K255">
            <v>22800</v>
          </cell>
        </row>
        <row r="256">
          <cell r="C256" t="str">
            <v>E5320</v>
          </cell>
          <cell r="D256" t="str">
            <v>NO_DATAVIEWS</v>
          </cell>
          <cell r="E256" t="str">
            <v>NO_DEPARTMENTS</v>
          </cell>
          <cell r="F256" t="str">
            <v>NO_CATEGORIES</v>
          </cell>
          <cell r="G256" t="str">
            <v>NO_OBJECTS</v>
          </cell>
          <cell r="H256" t="str">
            <v>NO_DETAILS</v>
          </cell>
          <cell r="I256" t="str">
            <v>NO_SCENARIOS</v>
          </cell>
          <cell r="J256" t="str">
            <v>NO_CURRENCIES</v>
          </cell>
          <cell r="K256">
            <v>22800</v>
          </cell>
        </row>
        <row r="257">
          <cell r="C257" t="str">
            <v>E5320</v>
          </cell>
          <cell r="D257" t="str">
            <v>NO_DATAVIEWS</v>
          </cell>
          <cell r="E257" t="str">
            <v>NO_DEPARTMENTS</v>
          </cell>
          <cell r="F257" t="str">
            <v>NO_CATEGORIES</v>
          </cell>
          <cell r="G257" t="str">
            <v>NO_OBJECTS</v>
          </cell>
          <cell r="H257" t="str">
            <v>NO_DETAILS</v>
          </cell>
          <cell r="I257" t="str">
            <v>NO_SCENARIOS</v>
          </cell>
          <cell r="J257" t="str">
            <v>NO_CURRENCIES</v>
          </cell>
          <cell r="K257">
            <v>22800</v>
          </cell>
        </row>
        <row r="258">
          <cell r="C258" t="str">
            <v>E5320</v>
          </cell>
          <cell r="D258" t="str">
            <v>NO_DATAVIEWS</v>
          </cell>
          <cell r="E258" t="str">
            <v>NO_DEPARTMENTS</v>
          </cell>
          <cell r="F258" t="str">
            <v>NO_CATEGORIES</v>
          </cell>
          <cell r="G258" t="str">
            <v>NO_OBJECTS</v>
          </cell>
          <cell r="H258" t="str">
            <v>NO_DETAILS</v>
          </cell>
          <cell r="I258" t="str">
            <v>NO_SCENARIOS</v>
          </cell>
          <cell r="J258" t="str">
            <v>NO_CURRENCIES</v>
          </cell>
          <cell r="K258">
            <v>22800</v>
          </cell>
        </row>
        <row r="259">
          <cell r="C259" t="str">
            <v>E5320</v>
          </cell>
          <cell r="D259" t="str">
            <v>NO_DATAVIEWS</v>
          </cell>
          <cell r="E259" t="str">
            <v>NO_DEPARTMENTS</v>
          </cell>
          <cell r="F259" t="str">
            <v>NO_CATEGORIES</v>
          </cell>
          <cell r="G259" t="str">
            <v>NO_OBJECTS</v>
          </cell>
          <cell r="H259" t="str">
            <v>NO_DETAILS</v>
          </cell>
          <cell r="I259" t="str">
            <v>NO_SCENARIOS</v>
          </cell>
          <cell r="J259" t="str">
            <v>NO_CURRENCIES</v>
          </cell>
          <cell r="K259">
            <v>22800</v>
          </cell>
        </row>
        <row r="260">
          <cell r="C260" t="str">
            <v>E5320</v>
          </cell>
          <cell r="D260" t="str">
            <v>NO_DATAVIEWS</v>
          </cell>
          <cell r="E260" t="str">
            <v>NO_DEPARTMENTS</v>
          </cell>
          <cell r="F260" t="str">
            <v>NO_CATEGORIES</v>
          </cell>
          <cell r="G260" t="str">
            <v>NO_OBJECTS</v>
          </cell>
          <cell r="H260" t="str">
            <v>NO_DETAILS</v>
          </cell>
          <cell r="I260" t="str">
            <v>NO_SCENARIOS</v>
          </cell>
          <cell r="J260" t="str">
            <v>NO_CURRENCIES</v>
          </cell>
          <cell r="K260">
            <v>22800</v>
          </cell>
        </row>
        <row r="261">
          <cell r="C261" t="str">
            <v>E5320</v>
          </cell>
          <cell r="D261" t="str">
            <v>NO_DATAVIEWS</v>
          </cell>
          <cell r="E261" t="str">
            <v>NO_DEPARTMENTS</v>
          </cell>
          <cell r="F261" t="str">
            <v>NO_CATEGORIES</v>
          </cell>
          <cell r="G261" t="str">
            <v>NO_OBJECTS</v>
          </cell>
          <cell r="H261" t="str">
            <v>NO_DETAILS</v>
          </cell>
          <cell r="I261" t="str">
            <v>NO_SCENARIOS</v>
          </cell>
          <cell r="J261" t="str">
            <v>NO_CURRENCIES</v>
          </cell>
          <cell r="K261">
            <v>22800</v>
          </cell>
        </row>
        <row r="262">
          <cell r="C262" t="str">
            <v>E5320</v>
          </cell>
          <cell r="D262" t="str">
            <v>NO_DATAVIEWS</v>
          </cell>
          <cell r="E262" t="str">
            <v>NO_DEPARTMENTS</v>
          </cell>
          <cell r="F262" t="str">
            <v>NO_CATEGORIES</v>
          </cell>
          <cell r="G262" t="str">
            <v>NO_OBJECTS</v>
          </cell>
          <cell r="H262" t="str">
            <v>NO_DETAILS</v>
          </cell>
          <cell r="I262" t="str">
            <v>NO_SCENARIOS</v>
          </cell>
          <cell r="J262" t="str">
            <v>NO_CURRENCIES</v>
          </cell>
          <cell r="K262">
            <v>22800</v>
          </cell>
        </row>
        <row r="263">
          <cell r="C263" t="str">
            <v>E5320</v>
          </cell>
          <cell r="D263" t="str">
            <v>NO_DATAVIEWS</v>
          </cell>
          <cell r="E263" t="str">
            <v>NO_DEPARTMENTS</v>
          </cell>
          <cell r="F263" t="str">
            <v>NO_CATEGORIES</v>
          </cell>
          <cell r="G263" t="str">
            <v>NO_OBJECTS</v>
          </cell>
          <cell r="H263" t="str">
            <v>NO_DETAILS</v>
          </cell>
          <cell r="I263" t="str">
            <v>NO_SCENARIOS</v>
          </cell>
          <cell r="J263" t="str">
            <v>NO_CURRENCIES</v>
          </cell>
          <cell r="K263">
            <v>22800</v>
          </cell>
        </row>
        <row r="264">
          <cell r="C264" t="str">
            <v>E5320</v>
          </cell>
          <cell r="D264" t="str">
            <v>NO_DATAVIEWS</v>
          </cell>
          <cell r="E264" t="str">
            <v>NO_DEPARTMENTS</v>
          </cell>
          <cell r="F264" t="str">
            <v>NO_CATEGORIES</v>
          </cell>
          <cell r="G264" t="str">
            <v>NO_OBJECTS</v>
          </cell>
          <cell r="H264" t="str">
            <v>NO_DETAILS</v>
          </cell>
          <cell r="I264" t="str">
            <v>NO_SCENARIOS</v>
          </cell>
          <cell r="J264" t="str">
            <v>NO_CURRENCIES</v>
          </cell>
          <cell r="K264">
            <v>22800</v>
          </cell>
        </row>
        <row r="265">
          <cell r="C265" t="str">
            <v>E5360</v>
          </cell>
          <cell r="D265" t="str">
            <v>NO_DATAVIEWS</v>
          </cell>
          <cell r="E265" t="str">
            <v>NO_DEPARTMENTS</v>
          </cell>
          <cell r="F265" t="str">
            <v>NO_CATEGORIES</v>
          </cell>
          <cell r="G265" t="str">
            <v>NO_OBJECTS</v>
          </cell>
          <cell r="H265" t="str">
            <v>NO_DETAILS</v>
          </cell>
          <cell r="I265" t="str">
            <v>NO_SCENARIOS</v>
          </cell>
          <cell r="J265" t="str">
            <v>NO_CURRENCIES</v>
          </cell>
          <cell r="K265">
            <v>14350</v>
          </cell>
        </row>
        <row r="266">
          <cell r="C266" t="str">
            <v>E5360</v>
          </cell>
          <cell r="D266" t="str">
            <v>NO_DATAVIEWS</v>
          </cell>
          <cell r="E266" t="str">
            <v>NO_DEPARTMENTS</v>
          </cell>
          <cell r="F266" t="str">
            <v>NO_CATEGORIES</v>
          </cell>
          <cell r="G266" t="str">
            <v>NO_OBJECTS</v>
          </cell>
          <cell r="H266" t="str">
            <v>NO_DETAILS</v>
          </cell>
          <cell r="I266" t="str">
            <v>NO_SCENARIOS</v>
          </cell>
          <cell r="J266" t="str">
            <v>NO_CURRENCIES</v>
          </cell>
          <cell r="K266">
            <v>14350</v>
          </cell>
        </row>
        <row r="267">
          <cell r="C267" t="str">
            <v>E5360</v>
          </cell>
          <cell r="D267" t="str">
            <v>NO_DATAVIEWS</v>
          </cell>
          <cell r="E267" t="str">
            <v>NO_DEPARTMENTS</v>
          </cell>
          <cell r="F267" t="str">
            <v>NO_CATEGORIES</v>
          </cell>
          <cell r="G267" t="str">
            <v>NO_OBJECTS</v>
          </cell>
          <cell r="H267" t="str">
            <v>NO_DETAILS</v>
          </cell>
          <cell r="I267" t="str">
            <v>NO_SCENARIOS</v>
          </cell>
          <cell r="J267" t="str">
            <v>NO_CURRENCIES</v>
          </cell>
          <cell r="K267">
            <v>14350</v>
          </cell>
        </row>
        <row r="268">
          <cell r="C268" t="str">
            <v>E5360</v>
          </cell>
          <cell r="D268" t="str">
            <v>NO_DATAVIEWS</v>
          </cell>
          <cell r="E268" t="str">
            <v>NO_DEPARTMENTS</v>
          </cell>
          <cell r="F268" t="str">
            <v>NO_CATEGORIES</v>
          </cell>
          <cell r="G268" t="str">
            <v>NO_OBJECTS</v>
          </cell>
          <cell r="H268" t="str">
            <v>NO_DETAILS</v>
          </cell>
          <cell r="I268" t="str">
            <v>NO_SCENARIOS</v>
          </cell>
          <cell r="J268" t="str">
            <v>NO_CURRENCIES</v>
          </cell>
          <cell r="K268">
            <v>14350</v>
          </cell>
        </row>
        <row r="269">
          <cell r="C269" t="str">
            <v>E5360</v>
          </cell>
          <cell r="D269" t="str">
            <v>NO_DATAVIEWS</v>
          </cell>
          <cell r="E269" t="str">
            <v>NO_DEPARTMENTS</v>
          </cell>
          <cell r="F269" t="str">
            <v>NO_CATEGORIES</v>
          </cell>
          <cell r="G269" t="str">
            <v>NO_OBJECTS</v>
          </cell>
          <cell r="H269" t="str">
            <v>NO_DETAILS</v>
          </cell>
          <cell r="I269" t="str">
            <v>NO_SCENARIOS</v>
          </cell>
          <cell r="J269" t="str">
            <v>NO_CURRENCIES</v>
          </cell>
          <cell r="K269">
            <v>14350</v>
          </cell>
        </row>
        <row r="270">
          <cell r="C270" t="str">
            <v>E5360</v>
          </cell>
          <cell r="D270" t="str">
            <v>NO_DATAVIEWS</v>
          </cell>
          <cell r="E270" t="str">
            <v>NO_DEPARTMENTS</v>
          </cell>
          <cell r="F270" t="str">
            <v>NO_CATEGORIES</v>
          </cell>
          <cell r="G270" t="str">
            <v>NO_OBJECTS</v>
          </cell>
          <cell r="H270" t="str">
            <v>NO_DETAILS</v>
          </cell>
          <cell r="I270" t="str">
            <v>NO_SCENARIOS</v>
          </cell>
          <cell r="J270" t="str">
            <v>NO_CURRENCIES</v>
          </cell>
          <cell r="K270">
            <v>14350</v>
          </cell>
        </row>
        <row r="271">
          <cell r="C271" t="str">
            <v>E5360</v>
          </cell>
          <cell r="D271" t="str">
            <v>NO_DATAVIEWS</v>
          </cell>
          <cell r="E271" t="str">
            <v>NO_DEPARTMENTS</v>
          </cell>
          <cell r="F271" t="str">
            <v>NO_CATEGORIES</v>
          </cell>
          <cell r="G271" t="str">
            <v>NO_OBJECTS</v>
          </cell>
          <cell r="H271" t="str">
            <v>NO_DETAILS</v>
          </cell>
          <cell r="I271" t="str">
            <v>NO_SCENARIOS</v>
          </cell>
          <cell r="J271" t="str">
            <v>NO_CURRENCIES</v>
          </cell>
          <cell r="K271">
            <v>14350</v>
          </cell>
        </row>
        <row r="272">
          <cell r="C272" t="str">
            <v>E5360</v>
          </cell>
          <cell r="D272" t="str">
            <v>NO_DATAVIEWS</v>
          </cell>
          <cell r="E272" t="str">
            <v>NO_DEPARTMENTS</v>
          </cell>
          <cell r="F272" t="str">
            <v>NO_CATEGORIES</v>
          </cell>
          <cell r="G272" t="str">
            <v>NO_OBJECTS</v>
          </cell>
          <cell r="H272" t="str">
            <v>NO_DETAILS</v>
          </cell>
          <cell r="I272" t="str">
            <v>NO_SCENARIOS</v>
          </cell>
          <cell r="J272" t="str">
            <v>NO_CURRENCIES</v>
          </cell>
          <cell r="K272">
            <v>14350</v>
          </cell>
        </row>
        <row r="273">
          <cell r="C273" t="str">
            <v>E5360</v>
          </cell>
          <cell r="D273" t="str">
            <v>NO_DATAVIEWS</v>
          </cell>
          <cell r="E273" t="str">
            <v>NO_DEPARTMENTS</v>
          </cell>
          <cell r="F273" t="str">
            <v>NO_CATEGORIES</v>
          </cell>
          <cell r="G273" t="str">
            <v>NO_OBJECTS</v>
          </cell>
          <cell r="H273" t="str">
            <v>NO_DETAILS</v>
          </cell>
          <cell r="I273" t="str">
            <v>NO_SCENARIOS</v>
          </cell>
          <cell r="J273" t="str">
            <v>NO_CURRENCIES</v>
          </cell>
          <cell r="K273">
            <v>14350</v>
          </cell>
        </row>
        <row r="274">
          <cell r="C274" t="str">
            <v>E5360</v>
          </cell>
          <cell r="D274" t="str">
            <v>NO_DATAVIEWS</v>
          </cell>
          <cell r="E274" t="str">
            <v>NO_DEPARTMENTS</v>
          </cell>
          <cell r="F274" t="str">
            <v>NO_CATEGORIES</v>
          </cell>
          <cell r="G274" t="str">
            <v>NO_OBJECTS</v>
          </cell>
          <cell r="H274" t="str">
            <v>NO_DETAILS</v>
          </cell>
          <cell r="I274" t="str">
            <v>NO_SCENARIOS</v>
          </cell>
          <cell r="J274" t="str">
            <v>NO_CURRENCIES</v>
          </cell>
          <cell r="K274">
            <v>14350</v>
          </cell>
        </row>
        <row r="275">
          <cell r="C275" t="str">
            <v>E5360</v>
          </cell>
          <cell r="D275" t="str">
            <v>NO_DATAVIEWS</v>
          </cell>
          <cell r="E275" t="str">
            <v>NO_DEPARTMENTS</v>
          </cell>
          <cell r="F275" t="str">
            <v>NO_CATEGORIES</v>
          </cell>
          <cell r="G275" t="str">
            <v>NO_OBJECTS</v>
          </cell>
          <cell r="H275" t="str">
            <v>NO_DETAILS</v>
          </cell>
          <cell r="I275" t="str">
            <v>NO_SCENARIOS</v>
          </cell>
          <cell r="J275" t="str">
            <v>NO_CURRENCIES</v>
          </cell>
          <cell r="K275">
            <v>14350</v>
          </cell>
        </row>
        <row r="276">
          <cell r="C276" t="str">
            <v>E5360</v>
          </cell>
          <cell r="D276" t="str">
            <v>NO_DATAVIEWS</v>
          </cell>
          <cell r="E276" t="str">
            <v>NO_DEPARTMENTS</v>
          </cell>
          <cell r="F276" t="str">
            <v>NO_CATEGORIES</v>
          </cell>
          <cell r="G276" t="str">
            <v>NO_OBJECTS</v>
          </cell>
          <cell r="H276" t="str">
            <v>NO_DETAILS</v>
          </cell>
          <cell r="I276" t="str">
            <v>NO_SCENARIOS</v>
          </cell>
          <cell r="J276" t="str">
            <v>NO_CURRENCIES</v>
          </cell>
          <cell r="K276">
            <v>14350</v>
          </cell>
        </row>
        <row r="277">
          <cell r="C277" t="str">
            <v>E5560</v>
          </cell>
          <cell r="D277" t="str">
            <v>NO_DATAVIEWS</v>
          </cell>
          <cell r="E277" t="str">
            <v>NO_DEPARTMENTS</v>
          </cell>
          <cell r="F277" t="str">
            <v>NO_CATEGORIES</v>
          </cell>
          <cell r="G277" t="str">
            <v>NO_OBJECTS</v>
          </cell>
          <cell r="H277" t="str">
            <v>NO_DETAILS</v>
          </cell>
          <cell r="I277" t="str">
            <v>NO_SCENARIOS</v>
          </cell>
          <cell r="J277" t="str">
            <v>NO_CURRENCIES</v>
          </cell>
          <cell r="K277">
            <v>13800</v>
          </cell>
        </row>
        <row r="278">
          <cell r="C278" t="str">
            <v>E5560</v>
          </cell>
          <cell r="D278" t="str">
            <v>NO_DATAVIEWS</v>
          </cell>
          <cell r="E278" t="str">
            <v>NO_DEPARTMENTS</v>
          </cell>
          <cell r="F278" t="str">
            <v>NO_CATEGORIES</v>
          </cell>
          <cell r="G278" t="str">
            <v>NO_OBJECTS</v>
          </cell>
          <cell r="H278" t="str">
            <v>NO_DETAILS</v>
          </cell>
          <cell r="I278" t="str">
            <v>NO_SCENARIOS</v>
          </cell>
          <cell r="J278" t="str">
            <v>NO_CURRENCIES</v>
          </cell>
          <cell r="K278">
            <v>13800</v>
          </cell>
        </row>
        <row r="279">
          <cell r="C279" t="str">
            <v>E5560</v>
          </cell>
          <cell r="D279" t="str">
            <v>NO_DATAVIEWS</v>
          </cell>
          <cell r="E279" t="str">
            <v>NO_DEPARTMENTS</v>
          </cell>
          <cell r="F279" t="str">
            <v>NO_CATEGORIES</v>
          </cell>
          <cell r="G279" t="str">
            <v>NO_OBJECTS</v>
          </cell>
          <cell r="H279" t="str">
            <v>NO_DETAILS</v>
          </cell>
          <cell r="I279" t="str">
            <v>NO_SCENARIOS</v>
          </cell>
          <cell r="J279" t="str">
            <v>NO_CURRENCIES</v>
          </cell>
          <cell r="K279">
            <v>13800</v>
          </cell>
        </row>
        <row r="280">
          <cell r="C280" t="str">
            <v>E5560</v>
          </cell>
          <cell r="D280" t="str">
            <v>NO_DATAVIEWS</v>
          </cell>
          <cell r="E280" t="str">
            <v>NO_DEPARTMENTS</v>
          </cell>
          <cell r="F280" t="str">
            <v>NO_CATEGORIES</v>
          </cell>
          <cell r="G280" t="str">
            <v>NO_OBJECTS</v>
          </cell>
          <cell r="H280" t="str">
            <v>NO_DETAILS</v>
          </cell>
          <cell r="I280" t="str">
            <v>NO_SCENARIOS</v>
          </cell>
          <cell r="J280" t="str">
            <v>NO_CURRENCIES</v>
          </cell>
          <cell r="K280">
            <v>13800</v>
          </cell>
        </row>
        <row r="281">
          <cell r="C281" t="str">
            <v>E5560</v>
          </cell>
          <cell r="D281" t="str">
            <v>NO_DATAVIEWS</v>
          </cell>
          <cell r="E281" t="str">
            <v>NO_DEPARTMENTS</v>
          </cell>
          <cell r="F281" t="str">
            <v>NO_CATEGORIES</v>
          </cell>
          <cell r="G281" t="str">
            <v>NO_OBJECTS</v>
          </cell>
          <cell r="H281" t="str">
            <v>NO_DETAILS</v>
          </cell>
          <cell r="I281" t="str">
            <v>NO_SCENARIOS</v>
          </cell>
          <cell r="J281" t="str">
            <v>NO_CURRENCIES</v>
          </cell>
          <cell r="K281">
            <v>13800</v>
          </cell>
        </row>
        <row r="282">
          <cell r="C282" t="str">
            <v>E5560</v>
          </cell>
          <cell r="D282" t="str">
            <v>NO_DATAVIEWS</v>
          </cell>
          <cell r="E282" t="str">
            <v>NO_DEPARTMENTS</v>
          </cell>
          <cell r="F282" t="str">
            <v>NO_CATEGORIES</v>
          </cell>
          <cell r="G282" t="str">
            <v>NO_OBJECTS</v>
          </cell>
          <cell r="H282" t="str">
            <v>NO_DETAILS</v>
          </cell>
          <cell r="I282" t="str">
            <v>NO_SCENARIOS</v>
          </cell>
          <cell r="J282" t="str">
            <v>NO_CURRENCIES</v>
          </cell>
          <cell r="K282">
            <v>13800</v>
          </cell>
        </row>
        <row r="283">
          <cell r="C283" t="str">
            <v>E5560</v>
          </cell>
          <cell r="D283" t="str">
            <v>NO_DATAVIEWS</v>
          </cell>
          <cell r="E283" t="str">
            <v>NO_DEPARTMENTS</v>
          </cell>
          <cell r="F283" t="str">
            <v>NO_CATEGORIES</v>
          </cell>
          <cell r="G283" t="str">
            <v>NO_OBJECTS</v>
          </cell>
          <cell r="H283" t="str">
            <v>NO_DETAILS</v>
          </cell>
          <cell r="I283" t="str">
            <v>NO_SCENARIOS</v>
          </cell>
          <cell r="J283" t="str">
            <v>NO_CURRENCIES</v>
          </cell>
          <cell r="K283">
            <v>13800</v>
          </cell>
        </row>
        <row r="284">
          <cell r="C284" t="str">
            <v>E5560</v>
          </cell>
          <cell r="D284" t="str">
            <v>NO_DATAVIEWS</v>
          </cell>
          <cell r="E284" t="str">
            <v>NO_DEPARTMENTS</v>
          </cell>
          <cell r="F284" t="str">
            <v>NO_CATEGORIES</v>
          </cell>
          <cell r="G284" t="str">
            <v>NO_OBJECTS</v>
          </cell>
          <cell r="H284" t="str">
            <v>NO_DETAILS</v>
          </cell>
          <cell r="I284" t="str">
            <v>NO_SCENARIOS</v>
          </cell>
          <cell r="J284" t="str">
            <v>NO_CURRENCIES</v>
          </cell>
          <cell r="K284">
            <v>13800</v>
          </cell>
        </row>
        <row r="285">
          <cell r="C285" t="str">
            <v>E5560</v>
          </cell>
          <cell r="D285" t="str">
            <v>NO_DATAVIEWS</v>
          </cell>
          <cell r="E285" t="str">
            <v>NO_DEPARTMENTS</v>
          </cell>
          <cell r="F285" t="str">
            <v>NO_CATEGORIES</v>
          </cell>
          <cell r="G285" t="str">
            <v>NO_OBJECTS</v>
          </cell>
          <cell r="H285" t="str">
            <v>NO_DETAILS</v>
          </cell>
          <cell r="I285" t="str">
            <v>NO_SCENARIOS</v>
          </cell>
          <cell r="J285" t="str">
            <v>NO_CURRENCIES</v>
          </cell>
          <cell r="K285">
            <v>13800</v>
          </cell>
        </row>
        <row r="286">
          <cell r="C286" t="str">
            <v>E5560</v>
          </cell>
          <cell r="D286" t="str">
            <v>NO_DATAVIEWS</v>
          </cell>
          <cell r="E286" t="str">
            <v>NO_DEPARTMENTS</v>
          </cell>
          <cell r="F286" t="str">
            <v>NO_CATEGORIES</v>
          </cell>
          <cell r="G286" t="str">
            <v>NO_OBJECTS</v>
          </cell>
          <cell r="H286" t="str">
            <v>NO_DETAILS</v>
          </cell>
          <cell r="I286" t="str">
            <v>NO_SCENARIOS</v>
          </cell>
          <cell r="J286" t="str">
            <v>NO_CURRENCIES</v>
          </cell>
          <cell r="K286">
            <v>13800</v>
          </cell>
        </row>
        <row r="287">
          <cell r="C287" t="str">
            <v>E5560</v>
          </cell>
          <cell r="D287" t="str">
            <v>NO_DATAVIEWS</v>
          </cell>
          <cell r="E287" t="str">
            <v>NO_DEPARTMENTS</v>
          </cell>
          <cell r="F287" t="str">
            <v>NO_CATEGORIES</v>
          </cell>
          <cell r="G287" t="str">
            <v>NO_OBJECTS</v>
          </cell>
          <cell r="H287" t="str">
            <v>NO_DETAILS</v>
          </cell>
          <cell r="I287" t="str">
            <v>NO_SCENARIOS</v>
          </cell>
          <cell r="J287" t="str">
            <v>NO_CURRENCIES</v>
          </cell>
          <cell r="K287">
            <v>13800</v>
          </cell>
        </row>
        <row r="288">
          <cell r="C288" t="str">
            <v>E5560</v>
          </cell>
          <cell r="D288" t="str">
            <v>NO_DATAVIEWS</v>
          </cell>
          <cell r="E288" t="str">
            <v>NO_DEPARTMENTS</v>
          </cell>
          <cell r="F288" t="str">
            <v>NO_CATEGORIES</v>
          </cell>
          <cell r="G288" t="str">
            <v>NO_OBJECTS</v>
          </cell>
          <cell r="H288" t="str">
            <v>NO_DETAILS</v>
          </cell>
          <cell r="I288" t="str">
            <v>NO_SCENARIOS</v>
          </cell>
          <cell r="J288" t="str">
            <v>NO_CURRENCIES</v>
          </cell>
          <cell r="K288">
            <v>13800</v>
          </cell>
        </row>
        <row r="289">
          <cell r="C289" t="str">
            <v>E5690</v>
          </cell>
          <cell r="D289" t="str">
            <v>NO_DATAVIEWS</v>
          </cell>
          <cell r="E289" t="str">
            <v>NO_DEPARTMENTS</v>
          </cell>
          <cell r="F289" t="str">
            <v>NO_CATEGORIES</v>
          </cell>
          <cell r="G289" t="str">
            <v>NO_OBJECTS</v>
          </cell>
          <cell r="H289" t="str">
            <v>NO_DETAILS</v>
          </cell>
          <cell r="I289" t="str">
            <v>NO_SCENARIOS</v>
          </cell>
          <cell r="J289" t="str">
            <v>NO_CURRENCIES</v>
          </cell>
          <cell r="K289">
            <v>10000</v>
          </cell>
        </row>
        <row r="290">
          <cell r="C290" t="str">
            <v>E5690</v>
          </cell>
          <cell r="D290" t="str">
            <v>NO_DATAVIEWS</v>
          </cell>
          <cell r="E290" t="str">
            <v>NO_DEPARTMENTS</v>
          </cell>
          <cell r="F290" t="str">
            <v>NO_CATEGORIES</v>
          </cell>
          <cell r="G290" t="str">
            <v>NO_OBJECTS</v>
          </cell>
          <cell r="H290" t="str">
            <v>NO_DETAILS</v>
          </cell>
          <cell r="I290" t="str">
            <v>NO_SCENARIOS</v>
          </cell>
          <cell r="J290" t="str">
            <v>NO_CURRENCIES</v>
          </cell>
          <cell r="K290">
            <v>10000</v>
          </cell>
        </row>
        <row r="291">
          <cell r="C291" t="str">
            <v>E5690</v>
          </cell>
          <cell r="D291" t="str">
            <v>NO_DATAVIEWS</v>
          </cell>
          <cell r="E291" t="str">
            <v>NO_DEPARTMENTS</v>
          </cell>
          <cell r="F291" t="str">
            <v>NO_CATEGORIES</v>
          </cell>
          <cell r="G291" t="str">
            <v>NO_OBJECTS</v>
          </cell>
          <cell r="H291" t="str">
            <v>NO_DETAILS</v>
          </cell>
          <cell r="I291" t="str">
            <v>NO_SCENARIOS</v>
          </cell>
          <cell r="J291" t="str">
            <v>NO_CURRENCIES</v>
          </cell>
          <cell r="K291">
            <v>10000</v>
          </cell>
        </row>
        <row r="292">
          <cell r="C292" t="str">
            <v>E5690</v>
          </cell>
          <cell r="D292" t="str">
            <v>NO_DATAVIEWS</v>
          </cell>
          <cell r="E292" t="str">
            <v>NO_DEPARTMENTS</v>
          </cell>
          <cell r="F292" t="str">
            <v>NO_CATEGORIES</v>
          </cell>
          <cell r="G292" t="str">
            <v>NO_OBJECTS</v>
          </cell>
          <cell r="H292" t="str">
            <v>NO_DETAILS</v>
          </cell>
          <cell r="I292" t="str">
            <v>NO_SCENARIOS</v>
          </cell>
          <cell r="J292" t="str">
            <v>NO_CURRENCIES</v>
          </cell>
          <cell r="K292">
            <v>10000</v>
          </cell>
        </row>
        <row r="293">
          <cell r="C293" t="str">
            <v>E5690</v>
          </cell>
          <cell r="D293" t="str">
            <v>NO_DATAVIEWS</v>
          </cell>
          <cell r="E293" t="str">
            <v>NO_DEPARTMENTS</v>
          </cell>
          <cell r="F293" t="str">
            <v>NO_CATEGORIES</v>
          </cell>
          <cell r="G293" t="str">
            <v>NO_OBJECTS</v>
          </cell>
          <cell r="H293" t="str">
            <v>NO_DETAILS</v>
          </cell>
          <cell r="I293" t="str">
            <v>NO_SCENARIOS</v>
          </cell>
          <cell r="J293" t="str">
            <v>NO_CURRENCIES</v>
          </cell>
          <cell r="K293">
            <v>10000</v>
          </cell>
        </row>
        <row r="294">
          <cell r="C294" t="str">
            <v>E5690</v>
          </cell>
          <cell r="D294" t="str">
            <v>NO_DATAVIEWS</v>
          </cell>
          <cell r="E294" t="str">
            <v>NO_DEPARTMENTS</v>
          </cell>
          <cell r="F294" t="str">
            <v>NO_CATEGORIES</v>
          </cell>
          <cell r="G294" t="str">
            <v>NO_OBJECTS</v>
          </cell>
          <cell r="H294" t="str">
            <v>NO_DETAILS</v>
          </cell>
          <cell r="I294" t="str">
            <v>NO_SCENARIOS</v>
          </cell>
          <cell r="J294" t="str">
            <v>NO_CURRENCIES</v>
          </cell>
          <cell r="K294">
            <v>10000</v>
          </cell>
        </row>
        <row r="295">
          <cell r="C295" t="str">
            <v>E5690</v>
          </cell>
          <cell r="D295" t="str">
            <v>NO_DATAVIEWS</v>
          </cell>
          <cell r="E295" t="str">
            <v>NO_DEPARTMENTS</v>
          </cell>
          <cell r="F295" t="str">
            <v>NO_CATEGORIES</v>
          </cell>
          <cell r="G295" t="str">
            <v>NO_OBJECTS</v>
          </cell>
          <cell r="H295" t="str">
            <v>NO_DETAILS</v>
          </cell>
          <cell r="I295" t="str">
            <v>NO_SCENARIOS</v>
          </cell>
          <cell r="J295" t="str">
            <v>NO_CURRENCIES</v>
          </cell>
          <cell r="K295">
            <v>10000</v>
          </cell>
        </row>
        <row r="296">
          <cell r="C296" t="str">
            <v>E5690</v>
          </cell>
          <cell r="D296" t="str">
            <v>NO_DATAVIEWS</v>
          </cell>
          <cell r="E296" t="str">
            <v>NO_DEPARTMENTS</v>
          </cell>
          <cell r="F296" t="str">
            <v>NO_CATEGORIES</v>
          </cell>
          <cell r="G296" t="str">
            <v>NO_OBJECTS</v>
          </cell>
          <cell r="H296" t="str">
            <v>NO_DETAILS</v>
          </cell>
          <cell r="I296" t="str">
            <v>NO_SCENARIOS</v>
          </cell>
          <cell r="J296" t="str">
            <v>NO_CURRENCIES</v>
          </cell>
          <cell r="K296">
            <v>10000</v>
          </cell>
        </row>
        <row r="297">
          <cell r="C297" t="str">
            <v>E5690</v>
          </cell>
          <cell r="D297" t="str">
            <v>NO_DATAVIEWS</v>
          </cell>
          <cell r="E297" t="str">
            <v>NO_DEPARTMENTS</v>
          </cell>
          <cell r="F297" t="str">
            <v>NO_CATEGORIES</v>
          </cell>
          <cell r="G297" t="str">
            <v>NO_OBJECTS</v>
          </cell>
          <cell r="H297" t="str">
            <v>NO_DETAILS</v>
          </cell>
          <cell r="I297" t="str">
            <v>NO_SCENARIOS</v>
          </cell>
          <cell r="J297" t="str">
            <v>NO_CURRENCIES</v>
          </cell>
          <cell r="K297">
            <v>10000</v>
          </cell>
        </row>
        <row r="298">
          <cell r="C298" t="str">
            <v>E5690</v>
          </cell>
          <cell r="D298" t="str">
            <v>NO_DATAVIEWS</v>
          </cell>
          <cell r="E298" t="str">
            <v>NO_DEPARTMENTS</v>
          </cell>
          <cell r="F298" t="str">
            <v>NO_CATEGORIES</v>
          </cell>
          <cell r="G298" t="str">
            <v>NO_OBJECTS</v>
          </cell>
          <cell r="H298" t="str">
            <v>NO_DETAILS</v>
          </cell>
          <cell r="I298" t="str">
            <v>NO_SCENARIOS</v>
          </cell>
          <cell r="J298" t="str">
            <v>NO_CURRENCIES</v>
          </cell>
          <cell r="K298">
            <v>10000</v>
          </cell>
        </row>
        <row r="299">
          <cell r="C299" t="str">
            <v>E5690</v>
          </cell>
          <cell r="D299" t="str">
            <v>NO_DATAVIEWS</v>
          </cell>
          <cell r="E299" t="str">
            <v>NO_DEPARTMENTS</v>
          </cell>
          <cell r="F299" t="str">
            <v>NO_CATEGORIES</v>
          </cell>
          <cell r="G299" t="str">
            <v>NO_OBJECTS</v>
          </cell>
          <cell r="H299" t="str">
            <v>NO_DETAILS</v>
          </cell>
          <cell r="I299" t="str">
            <v>NO_SCENARIOS</v>
          </cell>
          <cell r="J299" t="str">
            <v>NO_CURRENCIES</v>
          </cell>
          <cell r="K299">
            <v>10000</v>
          </cell>
        </row>
        <row r="300">
          <cell r="C300" t="str">
            <v>E5690</v>
          </cell>
          <cell r="D300" t="str">
            <v>NO_DATAVIEWS</v>
          </cell>
          <cell r="E300" t="str">
            <v>NO_DEPARTMENTS</v>
          </cell>
          <cell r="F300" t="str">
            <v>NO_CATEGORIES</v>
          </cell>
          <cell r="G300" t="str">
            <v>NO_OBJECTS</v>
          </cell>
          <cell r="H300" t="str">
            <v>NO_DETAILS</v>
          </cell>
          <cell r="I300" t="str">
            <v>NO_SCENARIOS</v>
          </cell>
          <cell r="J300" t="str">
            <v>NO_CURRENCIES</v>
          </cell>
          <cell r="K300">
            <v>10000</v>
          </cell>
        </row>
        <row r="301">
          <cell r="C301" t="str">
            <v>E5630</v>
          </cell>
          <cell r="D301" t="str">
            <v>NO_DATAVIEWS</v>
          </cell>
          <cell r="E301" t="str">
            <v>NO_DEPARTMENTS</v>
          </cell>
          <cell r="F301" t="str">
            <v>NO_CATEGORIES</v>
          </cell>
          <cell r="G301" t="str">
            <v>NO_OBJECTS</v>
          </cell>
          <cell r="H301" t="str">
            <v>NO_DETAILS</v>
          </cell>
          <cell r="I301" t="str">
            <v>NO_SCENARIOS</v>
          </cell>
          <cell r="J301" t="str">
            <v>NO_CURRENCIES</v>
          </cell>
          <cell r="K301">
            <v>24000</v>
          </cell>
        </row>
        <row r="302">
          <cell r="C302" t="str">
            <v>E5630</v>
          </cell>
          <cell r="D302" t="str">
            <v>NO_DATAVIEWS</v>
          </cell>
          <cell r="E302" t="str">
            <v>NO_DEPARTMENTS</v>
          </cell>
          <cell r="F302" t="str">
            <v>NO_CATEGORIES</v>
          </cell>
          <cell r="G302" t="str">
            <v>NO_OBJECTS</v>
          </cell>
          <cell r="H302" t="str">
            <v>NO_DETAILS</v>
          </cell>
          <cell r="I302" t="str">
            <v>NO_SCENARIOS</v>
          </cell>
          <cell r="J302" t="str">
            <v>NO_CURRENCIES</v>
          </cell>
          <cell r="K302">
            <v>24000</v>
          </cell>
        </row>
        <row r="303">
          <cell r="C303" t="str">
            <v>E5630</v>
          </cell>
          <cell r="D303" t="str">
            <v>NO_DATAVIEWS</v>
          </cell>
          <cell r="E303" t="str">
            <v>NO_DEPARTMENTS</v>
          </cell>
          <cell r="F303" t="str">
            <v>NO_CATEGORIES</v>
          </cell>
          <cell r="G303" t="str">
            <v>NO_OBJECTS</v>
          </cell>
          <cell r="H303" t="str">
            <v>NO_DETAILS</v>
          </cell>
          <cell r="I303" t="str">
            <v>NO_SCENARIOS</v>
          </cell>
          <cell r="J303" t="str">
            <v>NO_CURRENCIES</v>
          </cell>
          <cell r="K303">
            <v>24000</v>
          </cell>
        </row>
        <row r="304">
          <cell r="C304" t="str">
            <v>E5630</v>
          </cell>
          <cell r="D304" t="str">
            <v>NO_DATAVIEWS</v>
          </cell>
          <cell r="E304" t="str">
            <v>NO_DEPARTMENTS</v>
          </cell>
          <cell r="F304" t="str">
            <v>NO_CATEGORIES</v>
          </cell>
          <cell r="G304" t="str">
            <v>NO_OBJECTS</v>
          </cell>
          <cell r="H304" t="str">
            <v>NO_DETAILS</v>
          </cell>
          <cell r="I304" t="str">
            <v>NO_SCENARIOS</v>
          </cell>
          <cell r="J304" t="str">
            <v>NO_CURRENCIES</v>
          </cell>
          <cell r="K304">
            <v>24000</v>
          </cell>
        </row>
        <row r="305">
          <cell r="C305" t="str">
            <v>E5630</v>
          </cell>
          <cell r="D305" t="str">
            <v>NO_DATAVIEWS</v>
          </cell>
          <cell r="E305" t="str">
            <v>NO_DEPARTMENTS</v>
          </cell>
          <cell r="F305" t="str">
            <v>NO_CATEGORIES</v>
          </cell>
          <cell r="G305" t="str">
            <v>NO_OBJECTS</v>
          </cell>
          <cell r="H305" t="str">
            <v>NO_DETAILS</v>
          </cell>
          <cell r="I305" t="str">
            <v>NO_SCENARIOS</v>
          </cell>
          <cell r="J305" t="str">
            <v>NO_CURRENCIES</v>
          </cell>
          <cell r="K305">
            <v>24000</v>
          </cell>
        </row>
        <row r="306">
          <cell r="C306" t="str">
            <v>E5630</v>
          </cell>
          <cell r="D306" t="str">
            <v>NO_DATAVIEWS</v>
          </cell>
          <cell r="E306" t="str">
            <v>NO_DEPARTMENTS</v>
          </cell>
          <cell r="F306" t="str">
            <v>NO_CATEGORIES</v>
          </cell>
          <cell r="G306" t="str">
            <v>NO_OBJECTS</v>
          </cell>
          <cell r="H306" t="str">
            <v>NO_DETAILS</v>
          </cell>
          <cell r="I306" t="str">
            <v>NO_SCENARIOS</v>
          </cell>
          <cell r="J306" t="str">
            <v>NO_CURRENCIES</v>
          </cell>
          <cell r="K306">
            <v>24000</v>
          </cell>
        </row>
        <row r="307">
          <cell r="C307" t="str">
            <v>E5630</v>
          </cell>
          <cell r="D307" t="str">
            <v>NO_DATAVIEWS</v>
          </cell>
          <cell r="E307" t="str">
            <v>NO_DEPARTMENTS</v>
          </cell>
          <cell r="F307" t="str">
            <v>NO_CATEGORIES</v>
          </cell>
          <cell r="G307" t="str">
            <v>NO_OBJECTS</v>
          </cell>
          <cell r="H307" t="str">
            <v>NO_DETAILS</v>
          </cell>
          <cell r="I307" t="str">
            <v>NO_SCENARIOS</v>
          </cell>
          <cell r="J307" t="str">
            <v>NO_CURRENCIES</v>
          </cell>
          <cell r="K307">
            <v>24000</v>
          </cell>
        </row>
        <row r="308">
          <cell r="C308" t="str">
            <v>E5630</v>
          </cell>
          <cell r="D308" t="str">
            <v>NO_DATAVIEWS</v>
          </cell>
          <cell r="E308" t="str">
            <v>NO_DEPARTMENTS</v>
          </cell>
          <cell r="F308" t="str">
            <v>NO_CATEGORIES</v>
          </cell>
          <cell r="G308" t="str">
            <v>NO_OBJECTS</v>
          </cell>
          <cell r="H308" t="str">
            <v>NO_DETAILS</v>
          </cell>
          <cell r="I308" t="str">
            <v>NO_SCENARIOS</v>
          </cell>
          <cell r="J308" t="str">
            <v>NO_CURRENCIES</v>
          </cell>
          <cell r="K308">
            <v>24000</v>
          </cell>
        </row>
        <row r="309">
          <cell r="C309" t="str">
            <v>E5630</v>
          </cell>
          <cell r="D309" t="str">
            <v>NO_DATAVIEWS</v>
          </cell>
          <cell r="E309" t="str">
            <v>NO_DEPARTMENTS</v>
          </cell>
          <cell r="F309" t="str">
            <v>NO_CATEGORIES</v>
          </cell>
          <cell r="G309" t="str">
            <v>NO_OBJECTS</v>
          </cell>
          <cell r="H309" t="str">
            <v>NO_DETAILS</v>
          </cell>
          <cell r="I309" t="str">
            <v>NO_SCENARIOS</v>
          </cell>
          <cell r="J309" t="str">
            <v>NO_CURRENCIES</v>
          </cell>
          <cell r="K309">
            <v>24000</v>
          </cell>
        </row>
        <row r="310">
          <cell r="C310" t="str">
            <v>E5630</v>
          </cell>
          <cell r="D310" t="str">
            <v>NO_DATAVIEWS</v>
          </cell>
          <cell r="E310" t="str">
            <v>NO_DEPARTMENTS</v>
          </cell>
          <cell r="F310" t="str">
            <v>NO_CATEGORIES</v>
          </cell>
          <cell r="G310" t="str">
            <v>NO_OBJECTS</v>
          </cell>
          <cell r="H310" t="str">
            <v>NO_DETAILS</v>
          </cell>
          <cell r="I310" t="str">
            <v>NO_SCENARIOS</v>
          </cell>
          <cell r="J310" t="str">
            <v>NO_CURRENCIES</v>
          </cell>
          <cell r="K310">
            <v>24000</v>
          </cell>
        </row>
        <row r="311">
          <cell r="C311" t="str">
            <v>E5630</v>
          </cell>
          <cell r="D311" t="str">
            <v>NO_DATAVIEWS</v>
          </cell>
          <cell r="E311" t="str">
            <v>NO_DEPARTMENTS</v>
          </cell>
          <cell r="F311" t="str">
            <v>NO_CATEGORIES</v>
          </cell>
          <cell r="G311" t="str">
            <v>NO_OBJECTS</v>
          </cell>
          <cell r="H311" t="str">
            <v>NO_DETAILS</v>
          </cell>
          <cell r="I311" t="str">
            <v>NO_SCENARIOS</v>
          </cell>
          <cell r="J311" t="str">
            <v>NO_CURRENCIES</v>
          </cell>
          <cell r="K311">
            <v>24000</v>
          </cell>
        </row>
        <row r="312">
          <cell r="C312" t="str">
            <v>E5630</v>
          </cell>
          <cell r="D312" t="str">
            <v>NO_DATAVIEWS</v>
          </cell>
          <cell r="E312" t="str">
            <v>NO_DEPARTMENTS</v>
          </cell>
          <cell r="F312" t="str">
            <v>NO_CATEGORIES</v>
          </cell>
          <cell r="G312" t="str">
            <v>NO_OBJECTS</v>
          </cell>
          <cell r="H312" t="str">
            <v>NO_DETAILS</v>
          </cell>
          <cell r="I312" t="str">
            <v>NO_SCENARIOS</v>
          </cell>
          <cell r="J312" t="str">
            <v>NO_CURRENCIES</v>
          </cell>
          <cell r="K312">
            <v>24000</v>
          </cell>
        </row>
        <row r="313">
          <cell r="C313" t="str">
            <v>E5640</v>
          </cell>
          <cell r="D313" t="str">
            <v>NO_DATAVIEWS</v>
          </cell>
          <cell r="E313" t="str">
            <v>NO_DEPARTMENTS</v>
          </cell>
          <cell r="F313" t="str">
            <v>NO_CATEGORIES</v>
          </cell>
          <cell r="G313" t="str">
            <v>NO_OBJECTS</v>
          </cell>
          <cell r="H313" t="str">
            <v>NO_DETAILS</v>
          </cell>
          <cell r="I313" t="str">
            <v>NO_SCENARIOS</v>
          </cell>
          <cell r="J313" t="str">
            <v>NO_CURRENCIES</v>
          </cell>
          <cell r="K313">
            <v>23100</v>
          </cell>
        </row>
        <row r="314">
          <cell r="C314" t="str">
            <v>E5640</v>
          </cell>
          <cell r="D314" t="str">
            <v>NO_DATAVIEWS</v>
          </cell>
          <cell r="E314" t="str">
            <v>NO_DEPARTMENTS</v>
          </cell>
          <cell r="F314" t="str">
            <v>NO_CATEGORIES</v>
          </cell>
          <cell r="G314" t="str">
            <v>NO_OBJECTS</v>
          </cell>
          <cell r="H314" t="str">
            <v>NO_DETAILS</v>
          </cell>
          <cell r="I314" t="str">
            <v>NO_SCENARIOS</v>
          </cell>
          <cell r="J314" t="str">
            <v>NO_CURRENCIES</v>
          </cell>
          <cell r="K314">
            <v>23100</v>
          </cell>
        </row>
        <row r="315">
          <cell r="C315" t="str">
            <v>E5640</v>
          </cell>
          <cell r="D315" t="str">
            <v>NO_DATAVIEWS</v>
          </cell>
          <cell r="E315" t="str">
            <v>NO_DEPARTMENTS</v>
          </cell>
          <cell r="F315" t="str">
            <v>NO_CATEGORIES</v>
          </cell>
          <cell r="G315" t="str">
            <v>NO_OBJECTS</v>
          </cell>
          <cell r="H315" t="str">
            <v>NO_DETAILS</v>
          </cell>
          <cell r="I315" t="str">
            <v>NO_SCENARIOS</v>
          </cell>
          <cell r="J315" t="str">
            <v>NO_CURRENCIES</v>
          </cell>
          <cell r="K315">
            <v>23100</v>
          </cell>
        </row>
        <row r="316">
          <cell r="C316" t="str">
            <v>E5640</v>
          </cell>
          <cell r="D316" t="str">
            <v>NO_DATAVIEWS</v>
          </cell>
          <cell r="E316" t="str">
            <v>NO_DEPARTMENTS</v>
          </cell>
          <cell r="F316" t="str">
            <v>NO_CATEGORIES</v>
          </cell>
          <cell r="G316" t="str">
            <v>NO_OBJECTS</v>
          </cell>
          <cell r="H316" t="str">
            <v>NO_DETAILS</v>
          </cell>
          <cell r="I316" t="str">
            <v>NO_SCENARIOS</v>
          </cell>
          <cell r="J316" t="str">
            <v>NO_CURRENCIES</v>
          </cell>
          <cell r="K316">
            <v>23100</v>
          </cell>
        </row>
        <row r="317">
          <cell r="C317" t="str">
            <v>E5640</v>
          </cell>
          <cell r="D317" t="str">
            <v>NO_DATAVIEWS</v>
          </cell>
          <cell r="E317" t="str">
            <v>NO_DEPARTMENTS</v>
          </cell>
          <cell r="F317" t="str">
            <v>NO_CATEGORIES</v>
          </cell>
          <cell r="G317" t="str">
            <v>NO_OBJECTS</v>
          </cell>
          <cell r="H317" t="str">
            <v>NO_DETAILS</v>
          </cell>
          <cell r="I317" t="str">
            <v>NO_SCENARIOS</v>
          </cell>
          <cell r="J317" t="str">
            <v>NO_CURRENCIES</v>
          </cell>
          <cell r="K317">
            <v>23100</v>
          </cell>
        </row>
        <row r="318">
          <cell r="C318" t="str">
            <v>E5640</v>
          </cell>
          <cell r="D318" t="str">
            <v>NO_DATAVIEWS</v>
          </cell>
          <cell r="E318" t="str">
            <v>NO_DEPARTMENTS</v>
          </cell>
          <cell r="F318" t="str">
            <v>NO_CATEGORIES</v>
          </cell>
          <cell r="G318" t="str">
            <v>NO_OBJECTS</v>
          </cell>
          <cell r="H318" t="str">
            <v>NO_DETAILS</v>
          </cell>
          <cell r="I318" t="str">
            <v>NO_SCENARIOS</v>
          </cell>
          <cell r="J318" t="str">
            <v>NO_CURRENCIES</v>
          </cell>
          <cell r="K318">
            <v>23100</v>
          </cell>
        </row>
        <row r="319">
          <cell r="C319" t="str">
            <v>E5640</v>
          </cell>
          <cell r="D319" t="str">
            <v>NO_DATAVIEWS</v>
          </cell>
          <cell r="E319" t="str">
            <v>NO_DEPARTMENTS</v>
          </cell>
          <cell r="F319" t="str">
            <v>NO_CATEGORIES</v>
          </cell>
          <cell r="G319" t="str">
            <v>NO_OBJECTS</v>
          </cell>
          <cell r="H319" t="str">
            <v>NO_DETAILS</v>
          </cell>
          <cell r="I319" t="str">
            <v>NO_SCENARIOS</v>
          </cell>
          <cell r="J319" t="str">
            <v>NO_CURRENCIES</v>
          </cell>
          <cell r="K319">
            <v>23100</v>
          </cell>
        </row>
        <row r="320">
          <cell r="C320" t="str">
            <v>E5640</v>
          </cell>
          <cell r="D320" t="str">
            <v>NO_DATAVIEWS</v>
          </cell>
          <cell r="E320" t="str">
            <v>NO_DEPARTMENTS</v>
          </cell>
          <cell r="F320" t="str">
            <v>NO_CATEGORIES</v>
          </cell>
          <cell r="G320" t="str">
            <v>NO_OBJECTS</v>
          </cell>
          <cell r="H320" t="str">
            <v>NO_DETAILS</v>
          </cell>
          <cell r="I320" t="str">
            <v>NO_SCENARIOS</v>
          </cell>
          <cell r="J320" t="str">
            <v>NO_CURRENCIES</v>
          </cell>
          <cell r="K320">
            <v>23100</v>
          </cell>
        </row>
        <row r="321">
          <cell r="C321" t="str">
            <v>E5640</v>
          </cell>
          <cell r="D321" t="str">
            <v>NO_DATAVIEWS</v>
          </cell>
          <cell r="E321" t="str">
            <v>NO_DEPARTMENTS</v>
          </cell>
          <cell r="F321" t="str">
            <v>NO_CATEGORIES</v>
          </cell>
          <cell r="G321" t="str">
            <v>NO_OBJECTS</v>
          </cell>
          <cell r="H321" t="str">
            <v>NO_DETAILS</v>
          </cell>
          <cell r="I321" t="str">
            <v>NO_SCENARIOS</v>
          </cell>
          <cell r="J321" t="str">
            <v>NO_CURRENCIES</v>
          </cell>
          <cell r="K321">
            <v>23100</v>
          </cell>
        </row>
        <row r="322">
          <cell r="C322" t="str">
            <v>E5640</v>
          </cell>
          <cell r="D322" t="str">
            <v>NO_DATAVIEWS</v>
          </cell>
          <cell r="E322" t="str">
            <v>NO_DEPARTMENTS</v>
          </cell>
          <cell r="F322" t="str">
            <v>NO_CATEGORIES</v>
          </cell>
          <cell r="G322" t="str">
            <v>NO_OBJECTS</v>
          </cell>
          <cell r="H322" t="str">
            <v>NO_DETAILS</v>
          </cell>
          <cell r="I322" t="str">
            <v>NO_SCENARIOS</v>
          </cell>
          <cell r="J322" t="str">
            <v>NO_CURRENCIES</v>
          </cell>
          <cell r="K322">
            <v>23100</v>
          </cell>
        </row>
        <row r="323">
          <cell r="C323" t="str">
            <v>E5640</v>
          </cell>
          <cell r="D323" t="str">
            <v>NO_DATAVIEWS</v>
          </cell>
          <cell r="E323" t="str">
            <v>NO_DEPARTMENTS</v>
          </cell>
          <cell r="F323" t="str">
            <v>NO_CATEGORIES</v>
          </cell>
          <cell r="G323" t="str">
            <v>NO_OBJECTS</v>
          </cell>
          <cell r="H323" t="str">
            <v>NO_DETAILS</v>
          </cell>
          <cell r="I323" t="str">
            <v>NO_SCENARIOS</v>
          </cell>
          <cell r="J323" t="str">
            <v>NO_CURRENCIES</v>
          </cell>
          <cell r="K323">
            <v>23100</v>
          </cell>
        </row>
        <row r="324">
          <cell r="C324" t="str">
            <v>E5640</v>
          </cell>
          <cell r="D324" t="str">
            <v>NO_DATAVIEWS</v>
          </cell>
          <cell r="E324" t="str">
            <v>NO_DEPARTMENTS</v>
          </cell>
          <cell r="F324" t="str">
            <v>NO_CATEGORIES</v>
          </cell>
          <cell r="G324" t="str">
            <v>NO_OBJECTS</v>
          </cell>
          <cell r="H324" t="str">
            <v>NO_DETAILS</v>
          </cell>
          <cell r="I324" t="str">
            <v>NO_SCENARIOS</v>
          </cell>
          <cell r="J324" t="str">
            <v>NO_CURRENCIES</v>
          </cell>
          <cell r="K324">
            <v>23100</v>
          </cell>
        </row>
        <row r="325">
          <cell r="C325" t="str">
            <v>E5620</v>
          </cell>
          <cell r="D325" t="str">
            <v>NO_DATAVIEWS</v>
          </cell>
          <cell r="E325" t="str">
            <v>NO_DEPARTMENTS</v>
          </cell>
          <cell r="F325" t="str">
            <v>NO_CATEGORIES</v>
          </cell>
          <cell r="G325" t="str">
            <v>NO_OBJECTS</v>
          </cell>
          <cell r="H325" t="str">
            <v>NO_DETAILS</v>
          </cell>
          <cell r="I325" t="str">
            <v>NO_SCENARIOS</v>
          </cell>
          <cell r="J325" t="str">
            <v>NO_CURRENCIES</v>
          </cell>
          <cell r="K325">
            <v>29700</v>
          </cell>
        </row>
        <row r="326">
          <cell r="C326" t="str">
            <v>E5620</v>
          </cell>
          <cell r="D326" t="str">
            <v>NO_DATAVIEWS</v>
          </cell>
          <cell r="E326" t="str">
            <v>NO_DEPARTMENTS</v>
          </cell>
          <cell r="F326" t="str">
            <v>NO_CATEGORIES</v>
          </cell>
          <cell r="G326" t="str">
            <v>NO_OBJECTS</v>
          </cell>
          <cell r="H326" t="str">
            <v>NO_DETAILS</v>
          </cell>
          <cell r="I326" t="str">
            <v>NO_SCENARIOS</v>
          </cell>
          <cell r="J326" t="str">
            <v>NO_CURRENCIES</v>
          </cell>
          <cell r="K326">
            <v>29700</v>
          </cell>
        </row>
        <row r="327">
          <cell r="C327" t="str">
            <v>E5620</v>
          </cell>
          <cell r="D327" t="str">
            <v>NO_DATAVIEWS</v>
          </cell>
          <cell r="E327" t="str">
            <v>NO_DEPARTMENTS</v>
          </cell>
          <cell r="F327" t="str">
            <v>NO_CATEGORIES</v>
          </cell>
          <cell r="G327" t="str">
            <v>NO_OBJECTS</v>
          </cell>
          <cell r="H327" t="str">
            <v>NO_DETAILS</v>
          </cell>
          <cell r="I327" t="str">
            <v>NO_SCENARIOS</v>
          </cell>
          <cell r="J327" t="str">
            <v>NO_CURRENCIES</v>
          </cell>
          <cell r="K327">
            <v>29700</v>
          </cell>
        </row>
        <row r="328">
          <cell r="C328" t="str">
            <v>E5620</v>
          </cell>
          <cell r="D328" t="str">
            <v>NO_DATAVIEWS</v>
          </cell>
          <cell r="E328" t="str">
            <v>NO_DEPARTMENTS</v>
          </cell>
          <cell r="F328" t="str">
            <v>NO_CATEGORIES</v>
          </cell>
          <cell r="G328" t="str">
            <v>NO_OBJECTS</v>
          </cell>
          <cell r="H328" t="str">
            <v>NO_DETAILS</v>
          </cell>
          <cell r="I328" t="str">
            <v>NO_SCENARIOS</v>
          </cell>
          <cell r="J328" t="str">
            <v>NO_CURRENCIES</v>
          </cell>
          <cell r="K328">
            <v>29700</v>
          </cell>
        </row>
        <row r="329">
          <cell r="C329" t="str">
            <v>E5620</v>
          </cell>
          <cell r="D329" t="str">
            <v>NO_DATAVIEWS</v>
          </cell>
          <cell r="E329" t="str">
            <v>NO_DEPARTMENTS</v>
          </cell>
          <cell r="F329" t="str">
            <v>NO_CATEGORIES</v>
          </cell>
          <cell r="G329" t="str">
            <v>NO_OBJECTS</v>
          </cell>
          <cell r="H329" t="str">
            <v>NO_DETAILS</v>
          </cell>
          <cell r="I329" t="str">
            <v>NO_SCENARIOS</v>
          </cell>
          <cell r="J329" t="str">
            <v>NO_CURRENCIES</v>
          </cell>
          <cell r="K329">
            <v>29700</v>
          </cell>
        </row>
        <row r="330">
          <cell r="C330" t="str">
            <v>E5620</v>
          </cell>
          <cell r="D330" t="str">
            <v>NO_DATAVIEWS</v>
          </cell>
          <cell r="E330" t="str">
            <v>NO_DEPARTMENTS</v>
          </cell>
          <cell r="F330" t="str">
            <v>NO_CATEGORIES</v>
          </cell>
          <cell r="G330" t="str">
            <v>NO_OBJECTS</v>
          </cell>
          <cell r="H330" t="str">
            <v>NO_DETAILS</v>
          </cell>
          <cell r="I330" t="str">
            <v>NO_SCENARIOS</v>
          </cell>
          <cell r="J330" t="str">
            <v>NO_CURRENCIES</v>
          </cell>
          <cell r="K330">
            <v>29700</v>
          </cell>
        </row>
        <row r="331">
          <cell r="C331" t="str">
            <v>E5620</v>
          </cell>
          <cell r="D331" t="str">
            <v>NO_DATAVIEWS</v>
          </cell>
          <cell r="E331" t="str">
            <v>NO_DEPARTMENTS</v>
          </cell>
          <cell r="F331" t="str">
            <v>NO_CATEGORIES</v>
          </cell>
          <cell r="G331" t="str">
            <v>NO_OBJECTS</v>
          </cell>
          <cell r="H331" t="str">
            <v>NO_DETAILS</v>
          </cell>
          <cell r="I331" t="str">
            <v>NO_SCENARIOS</v>
          </cell>
          <cell r="J331" t="str">
            <v>NO_CURRENCIES</v>
          </cell>
          <cell r="K331">
            <v>29700</v>
          </cell>
        </row>
        <row r="332">
          <cell r="C332" t="str">
            <v>E5620</v>
          </cell>
          <cell r="D332" t="str">
            <v>NO_DATAVIEWS</v>
          </cell>
          <cell r="E332" t="str">
            <v>NO_DEPARTMENTS</v>
          </cell>
          <cell r="F332" t="str">
            <v>NO_CATEGORIES</v>
          </cell>
          <cell r="G332" t="str">
            <v>NO_OBJECTS</v>
          </cell>
          <cell r="H332" t="str">
            <v>NO_DETAILS</v>
          </cell>
          <cell r="I332" t="str">
            <v>NO_SCENARIOS</v>
          </cell>
          <cell r="J332" t="str">
            <v>NO_CURRENCIES</v>
          </cell>
          <cell r="K332">
            <v>29700</v>
          </cell>
        </row>
        <row r="333">
          <cell r="C333" t="str">
            <v>E5620</v>
          </cell>
          <cell r="D333" t="str">
            <v>NO_DATAVIEWS</v>
          </cell>
          <cell r="E333" t="str">
            <v>NO_DEPARTMENTS</v>
          </cell>
          <cell r="F333" t="str">
            <v>NO_CATEGORIES</v>
          </cell>
          <cell r="G333" t="str">
            <v>NO_OBJECTS</v>
          </cell>
          <cell r="H333" t="str">
            <v>NO_DETAILS</v>
          </cell>
          <cell r="I333" t="str">
            <v>NO_SCENARIOS</v>
          </cell>
          <cell r="J333" t="str">
            <v>NO_CURRENCIES</v>
          </cell>
          <cell r="K333">
            <v>29700</v>
          </cell>
        </row>
        <row r="334">
          <cell r="C334" t="str">
            <v>E5620</v>
          </cell>
          <cell r="D334" t="str">
            <v>NO_DATAVIEWS</v>
          </cell>
          <cell r="E334" t="str">
            <v>NO_DEPARTMENTS</v>
          </cell>
          <cell r="F334" t="str">
            <v>NO_CATEGORIES</v>
          </cell>
          <cell r="G334" t="str">
            <v>NO_OBJECTS</v>
          </cell>
          <cell r="H334" t="str">
            <v>NO_DETAILS</v>
          </cell>
          <cell r="I334" t="str">
            <v>NO_SCENARIOS</v>
          </cell>
          <cell r="J334" t="str">
            <v>NO_CURRENCIES</v>
          </cell>
          <cell r="K334">
            <v>29700</v>
          </cell>
        </row>
        <row r="335">
          <cell r="C335" t="str">
            <v>E5620</v>
          </cell>
          <cell r="D335" t="str">
            <v>NO_DATAVIEWS</v>
          </cell>
          <cell r="E335" t="str">
            <v>NO_DEPARTMENTS</v>
          </cell>
          <cell r="F335" t="str">
            <v>NO_CATEGORIES</v>
          </cell>
          <cell r="G335" t="str">
            <v>NO_OBJECTS</v>
          </cell>
          <cell r="H335" t="str">
            <v>NO_DETAILS</v>
          </cell>
          <cell r="I335" t="str">
            <v>NO_SCENARIOS</v>
          </cell>
          <cell r="J335" t="str">
            <v>NO_CURRENCIES</v>
          </cell>
          <cell r="K335">
            <v>29700</v>
          </cell>
        </row>
        <row r="336">
          <cell r="C336" t="str">
            <v>E5620</v>
          </cell>
          <cell r="D336" t="str">
            <v>NO_DATAVIEWS</v>
          </cell>
          <cell r="E336" t="str">
            <v>NO_DEPARTMENTS</v>
          </cell>
          <cell r="F336" t="str">
            <v>NO_CATEGORIES</v>
          </cell>
          <cell r="G336" t="str">
            <v>NO_OBJECTS</v>
          </cell>
          <cell r="H336" t="str">
            <v>NO_DETAILS</v>
          </cell>
          <cell r="I336" t="str">
            <v>NO_SCENARIOS</v>
          </cell>
          <cell r="J336" t="str">
            <v>NO_CURRENCIES</v>
          </cell>
          <cell r="K336">
            <v>29700</v>
          </cell>
        </row>
        <row r="337">
          <cell r="C337" t="str">
            <v>E5600</v>
          </cell>
          <cell r="D337" t="str">
            <v>NO_DATAVIEWS</v>
          </cell>
          <cell r="E337" t="str">
            <v>NO_DEPARTMENTS</v>
          </cell>
          <cell r="F337" t="str">
            <v>NO_CATEGORIES</v>
          </cell>
          <cell r="G337" t="str">
            <v>NO_OBJECTS</v>
          </cell>
          <cell r="H337" t="str">
            <v>NO_DETAILS</v>
          </cell>
          <cell r="I337" t="str">
            <v>NO_SCENARIOS</v>
          </cell>
          <cell r="J337" t="str">
            <v>NO_CURRENCIES</v>
          </cell>
          <cell r="K337">
            <v>0</v>
          </cell>
        </row>
        <row r="338">
          <cell r="C338" t="str">
            <v>E5600</v>
          </cell>
          <cell r="D338" t="str">
            <v>NO_DATAVIEWS</v>
          </cell>
          <cell r="E338" t="str">
            <v>NO_DEPARTMENTS</v>
          </cell>
          <cell r="F338" t="str">
            <v>NO_CATEGORIES</v>
          </cell>
          <cell r="G338" t="str">
            <v>NO_OBJECTS</v>
          </cell>
          <cell r="H338" t="str">
            <v>NO_DETAILS</v>
          </cell>
          <cell r="I338" t="str">
            <v>NO_SCENARIOS</v>
          </cell>
          <cell r="J338" t="str">
            <v>NO_CURRENCIES</v>
          </cell>
          <cell r="K338">
            <v>0</v>
          </cell>
        </row>
        <row r="339">
          <cell r="C339" t="str">
            <v>E5600</v>
          </cell>
          <cell r="D339" t="str">
            <v>NO_DATAVIEWS</v>
          </cell>
          <cell r="E339" t="str">
            <v>NO_DEPARTMENTS</v>
          </cell>
          <cell r="F339" t="str">
            <v>NO_CATEGORIES</v>
          </cell>
          <cell r="G339" t="str">
            <v>NO_OBJECTS</v>
          </cell>
          <cell r="H339" t="str">
            <v>NO_DETAILS</v>
          </cell>
          <cell r="I339" t="str">
            <v>NO_SCENARIOS</v>
          </cell>
          <cell r="J339" t="str">
            <v>NO_CURRENCIES</v>
          </cell>
          <cell r="K339">
            <v>0</v>
          </cell>
        </row>
        <row r="340">
          <cell r="C340" t="str">
            <v>E5600</v>
          </cell>
          <cell r="D340" t="str">
            <v>NO_DATAVIEWS</v>
          </cell>
          <cell r="E340" t="str">
            <v>NO_DEPARTMENTS</v>
          </cell>
          <cell r="F340" t="str">
            <v>NO_CATEGORIES</v>
          </cell>
          <cell r="G340" t="str">
            <v>NO_OBJECTS</v>
          </cell>
          <cell r="H340" t="str">
            <v>NO_DETAILS</v>
          </cell>
          <cell r="I340" t="str">
            <v>NO_SCENARIOS</v>
          </cell>
          <cell r="J340" t="str">
            <v>NO_CURRENCIES</v>
          </cell>
          <cell r="K340">
            <v>0</v>
          </cell>
        </row>
        <row r="341">
          <cell r="C341" t="str">
            <v>E5600</v>
          </cell>
          <cell r="D341" t="str">
            <v>NO_DATAVIEWS</v>
          </cell>
          <cell r="E341" t="str">
            <v>NO_DEPARTMENTS</v>
          </cell>
          <cell r="F341" t="str">
            <v>NO_CATEGORIES</v>
          </cell>
          <cell r="G341" t="str">
            <v>NO_OBJECTS</v>
          </cell>
          <cell r="H341" t="str">
            <v>NO_DETAILS</v>
          </cell>
          <cell r="I341" t="str">
            <v>NO_SCENARIOS</v>
          </cell>
          <cell r="J341" t="str">
            <v>NO_CURRENCIES</v>
          </cell>
          <cell r="K341">
            <v>0</v>
          </cell>
        </row>
        <row r="342">
          <cell r="C342" t="str">
            <v>E5600</v>
          </cell>
          <cell r="D342" t="str">
            <v>NO_DATAVIEWS</v>
          </cell>
          <cell r="E342" t="str">
            <v>NO_DEPARTMENTS</v>
          </cell>
          <cell r="F342" t="str">
            <v>NO_CATEGORIES</v>
          </cell>
          <cell r="G342" t="str">
            <v>NO_OBJECTS</v>
          </cell>
          <cell r="H342" t="str">
            <v>NO_DETAILS</v>
          </cell>
          <cell r="I342" t="str">
            <v>NO_SCENARIOS</v>
          </cell>
          <cell r="J342" t="str">
            <v>NO_CURRENCIES</v>
          </cell>
          <cell r="K342">
            <v>0</v>
          </cell>
        </row>
        <row r="343">
          <cell r="C343" t="str">
            <v>E5600</v>
          </cell>
          <cell r="D343" t="str">
            <v>NO_DATAVIEWS</v>
          </cell>
          <cell r="E343" t="str">
            <v>NO_DEPARTMENTS</v>
          </cell>
          <cell r="F343" t="str">
            <v>NO_CATEGORIES</v>
          </cell>
          <cell r="G343" t="str">
            <v>NO_OBJECTS</v>
          </cell>
          <cell r="H343" t="str">
            <v>NO_DETAILS</v>
          </cell>
          <cell r="I343" t="str">
            <v>NO_SCENARIOS</v>
          </cell>
          <cell r="J343" t="str">
            <v>NO_CURRENCIES</v>
          </cell>
          <cell r="K343">
            <v>0</v>
          </cell>
        </row>
        <row r="344">
          <cell r="C344" t="str">
            <v>E5600</v>
          </cell>
          <cell r="D344" t="str">
            <v>NO_DATAVIEWS</v>
          </cell>
          <cell r="E344" t="str">
            <v>NO_DEPARTMENTS</v>
          </cell>
          <cell r="F344" t="str">
            <v>NO_CATEGORIES</v>
          </cell>
          <cell r="G344" t="str">
            <v>NO_OBJECTS</v>
          </cell>
          <cell r="H344" t="str">
            <v>NO_DETAILS</v>
          </cell>
          <cell r="I344" t="str">
            <v>NO_SCENARIOS</v>
          </cell>
          <cell r="J344" t="str">
            <v>NO_CURRENCIES</v>
          </cell>
          <cell r="K344">
            <v>0</v>
          </cell>
        </row>
        <row r="345">
          <cell r="C345" t="str">
            <v>E5600</v>
          </cell>
          <cell r="D345" t="str">
            <v>NO_DATAVIEWS</v>
          </cell>
          <cell r="E345" t="str">
            <v>NO_DEPARTMENTS</v>
          </cell>
          <cell r="F345" t="str">
            <v>NO_CATEGORIES</v>
          </cell>
          <cell r="G345" t="str">
            <v>NO_OBJECTS</v>
          </cell>
          <cell r="H345" t="str">
            <v>NO_DETAILS</v>
          </cell>
          <cell r="I345" t="str">
            <v>NO_SCENARIOS</v>
          </cell>
          <cell r="J345" t="str">
            <v>NO_CURRENCIES</v>
          </cell>
          <cell r="K345">
            <v>0</v>
          </cell>
        </row>
        <row r="346">
          <cell r="C346" t="str">
            <v>E5600</v>
          </cell>
          <cell r="D346" t="str">
            <v>NO_DATAVIEWS</v>
          </cell>
          <cell r="E346" t="str">
            <v>NO_DEPARTMENTS</v>
          </cell>
          <cell r="F346" t="str">
            <v>NO_CATEGORIES</v>
          </cell>
          <cell r="G346" t="str">
            <v>NO_OBJECTS</v>
          </cell>
          <cell r="H346" t="str">
            <v>NO_DETAILS</v>
          </cell>
          <cell r="I346" t="str">
            <v>NO_SCENARIOS</v>
          </cell>
          <cell r="J346" t="str">
            <v>NO_CURRENCIES</v>
          </cell>
          <cell r="K346">
            <v>33000</v>
          </cell>
        </row>
        <row r="347">
          <cell r="C347" t="str">
            <v>E5600</v>
          </cell>
          <cell r="D347" t="str">
            <v>NO_DATAVIEWS</v>
          </cell>
          <cell r="E347" t="str">
            <v>NO_DEPARTMENTS</v>
          </cell>
          <cell r="F347" t="str">
            <v>NO_CATEGORIES</v>
          </cell>
          <cell r="G347" t="str">
            <v>NO_OBJECTS</v>
          </cell>
          <cell r="H347" t="str">
            <v>NO_DETAILS</v>
          </cell>
          <cell r="I347" t="str">
            <v>NO_SCENARIOS</v>
          </cell>
          <cell r="J347" t="str">
            <v>NO_CURRENCIES</v>
          </cell>
          <cell r="K347">
            <v>33000</v>
          </cell>
        </row>
        <row r="348">
          <cell r="C348" t="str">
            <v>E5600</v>
          </cell>
          <cell r="D348" t="str">
            <v>NO_DATAVIEWS</v>
          </cell>
          <cell r="E348" t="str">
            <v>NO_DEPARTMENTS</v>
          </cell>
          <cell r="F348" t="str">
            <v>NO_CATEGORIES</v>
          </cell>
          <cell r="G348" t="str">
            <v>NO_OBJECTS</v>
          </cell>
          <cell r="H348" t="str">
            <v>NO_DETAILS</v>
          </cell>
          <cell r="I348" t="str">
            <v>NO_SCENARIOS</v>
          </cell>
          <cell r="J348" t="str">
            <v>NO_CURRENCIES</v>
          </cell>
          <cell r="K348">
            <v>33000</v>
          </cell>
        </row>
        <row r="349">
          <cell r="C349" t="str">
            <v>E5700</v>
          </cell>
          <cell r="D349" t="str">
            <v>NO_DATAVIEWS</v>
          </cell>
          <cell r="E349" t="str">
            <v>NO_DEPARTMENTS</v>
          </cell>
          <cell r="F349" t="str">
            <v>NO_CATEGORIES</v>
          </cell>
          <cell r="G349" t="str">
            <v>NO_OBJECTS</v>
          </cell>
          <cell r="H349" t="str">
            <v>NO_DETAILS</v>
          </cell>
          <cell r="I349" t="str">
            <v>NO_SCENARIOS</v>
          </cell>
          <cell r="J349" t="str">
            <v>NO_CURRENCIES</v>
          </cell>
          <cell r="K349">
            <v>0</v>
          </cell>
        </row>
        <row r="350">
          <cell r="C350" t="str">
            <v>E5700</v>
          </cell>
          <cell r="D350" t="str">
            <v>NO_DATAVIEWS</v>
          </cell>
          <cell r="E350" t="str">
            <v>NO_DEPARTMENTS</v>
          </cell>
          <cell r="F350" t="str">
            <v>NO_CATEGORIES</v>
          </cell>
          <cell r="G350" t="str">
            <v>NO_OBJECTS</v>
          </cell>
          <cell r="H350" t="str">
            <v>NO_DETAILS</v>
          </cell>
          <cell r="I350" t="str">
            <v>NO_SCENARIOS</v>
          </cell>
          <cell r="J350" t="str">
            <v>NO_CURRENCIES</v>
          </cell>
          <cell r="K350">
            <v>0</v>
          </cell>
        </row>
        <row r="351">
          <cell r="C351" t="str">
            <v>E5700</v>
          </cell>
          <cell r="D351" t="str">
            <v>NO_DATAVIEWS</v>
          </cell>
          <cell r="E351" t="str">
            <v>NO_DEPARTMENTS</v>
          </cell>
          <cell r="F351" t="str">
            <v>NO_CATEGORIES</v>
          </cell>
          <cell r="G351" t="str">
            <v>NO_OBJECTS</v>
          </cell>
          <cell r="H351" t="str">
            <v>NO_DETAILS</v>
          </cell>
          <cell r="I351" t="str">
            <v>NO_SCENARIOS</v>
          </cell>
          <cell r="J351" t="str">
            <v>NO_CURRENCIES</v>
          </cell>
          <cell r="K351">
            <v>0</v>
          </cell>
        </row>
        <row r="352">
          <cell r="C352" t="str">
            <v>E5700</v>
          </cell>
          <cell r="D352" t="str">
            <v>NO_DATAVIEWS</v>
          </cell>
          <cell r="E352" t="str">
            <v>NO_DEPARTMENTS</v>
          </cell>
          <cell r="F352" t="str">
            <v>NO_CATEGORIES</v>
          </cell>
          <cell r="G352" t="str">
            <v>NO_OBJECTS</v>
          </cell>
          <cell r="H352" t="str">
            <v>NO_DETAILS</v>
          </cell>
          <cell r="I352" t="str">
            <v>NO_SCENARIOS</v>
          </cell>
          <cell r="J352" t="str">
            <v>NO_CURRENCIES</v>
          </cell>
          <cell r="K352">
            <v>0</v>
          </cell>
        </row>
        <row r="353">
          <cell r="C353" t="str">
            <v>E5700</v>
          </cell>
          <cell r="D353" t="str">
            <v>NO_DATAVIEWS</v>
          </cell>
          <cell r="E353" t="str">
            <v>NO_DEPARTMENTS</v>
          </cell>
          <cell r="F353" t="str">
            <v>NO_CATEGORIES</v>
          </cell>
          <cell r="G353" t="str">
            <v>NO_OBJECTS</v>
          </cell>
          <cell r="H353" t="str">
            <v>NO_DETAILS</v>
          </cell>
          <cell r="I353" t="str">
            <v>NO_SCENARIOS</v>
          </cell>
          <cell r="J353" t="str">
            <v>NO_CURRENCIES</v>
          </cell>
          <cell r="K353">
            <v>0</v>
          </cell>
        </row>
        <row r="354">
          <cell r="C354" t="str">
            <v>E5700</v>
          </cell>
          <cell r="D354" t="str">
            <v>NO_DATAVIEWS</v>
          </cell>
          <cell r="E354" t="str">
            <v>NO_DEPARTMENTS</v>
          </cell>
          <cell r="F354" t="str">
            <v>NO_CATEGORIES</v>
          </cell>
          <cell r="G354" t="str">
            <v>NO_OBJECTS</v>
          </cell>
          <cell r="H354" t="str">
            <v>NO_DETAILS</v>
          </cell>
          <cell r="I354" t="str">
            <v>NO_SCENARIOS</v>
          </cell>
          <cell r="J354" t="str">
            <v>NO_CURRENCIES</v>
          </cell>
          <cell r="K354">
            <v>0</v>
          </cell>
        </row>
        <row r="355">
          <cell r="C355" t="str">
            <v>E5700</v>
          </cell>
          <cell r="D355" t="str">
            <v>NO_DATAVIEWS</v>
          </cell>
          <cell r="E355" t="str">
            <v>NO_DEPARTMENTS</v>
          </cell>
          <cell r="F355" t="str">
            <v>NO_CATEGORIES</v>
          </cell>
          <cell r="G355" t="str">
            <v>NO_OBJECTS</v>
          </cell>
          <cell r="H355" t="str">
            <v>NO_DETAILS</v>
          </cell>
          <cell r="I355" t="str">
            <v>NO_SCENARIOS</v>
          </cell>
          <cell r="J355" t="str">
            <v>NO_CURRENCIES</v>
          </cell>
          <cell r="K355">
            <v>0</v>
          </cell>
        </row>
        <row r="356">
          <cell r="C356" t="str">
            <v>E5700</v>
          </cell>
          <cell r="D356" t="str">
            <v>NO_DATAVIEWS</v>
          </cell>
          <cell r="E356" t="str">
            <v>NO_DEPARTMENTS</v>
          </cell>
          <cell r="F356" t="str">
            <v>NO_CATEGORIES</v>
          </cell>
          <cell r="G356" t="str">
            <v>NO_OBJECTS</v>
          </cell>
          <cell r="H356" t="str">
            <v>NO_DETAILS</v>
          </cell>
          <cell r="I356" t="str">
            <v>NO_SCENARIOS</v>
          </cell>
          <cell r="J356" t="str">
            <v>NO_CURRENCIES</v>
          </cell>
          <cell r="K356">
            <v>0</v>
          </cell>
        </row>
        <row r="357">
          <cell r="C357" t="str">
            <v>E5700</v>
          </cell>
          <cell r="D357" t="str">
            <v>NO_DATAVIEWS</v>
          </cell>
          <cell r="E357" t="str">
            <v>NO_DEPARTMENTS</v>
          </cell>
          <cell r="F357" t="str">
            <v>NO_CATEGORIES</v>
          </cell>
          <cell r="G357" t="str">
            <v>NO_OBJECTS</v>
          </cell>
          <cell r="H357" t="str">
            <v>NO_DETAILS</v>
          </cell>
          <cell r="I357" t="str">
            <v>NO_SCENARIOS</v>
          </cell>
          <cell r="J357" t="str">
            <v>NO_CURRENCIES</v>
          </cell>
          <cell r="K357">
            <v>0</v>
          </cell>
        </row>
        <row r="358">
          <cell r="C358" t="str">
            <v>E5700</v>
          </cell>
          <cell r="D358" t="str">
            <v>NO_DATAVIEWS</v>
          </cell>
          <cell r="E358" t="str">
            <v>NO_DEPARTMENTS</v>
          </cell>
          <cell r="F358" t="str">
            <v>NO_CATEGORIES</v>
          </cell>
          <cell r="G358" t="str">
            <v>NO_OBJECTS</v>
          </cell>
          <cell r="H358" t="str">
            <v>NO_DETAILS</v>
          </cell>
          <cell r="I358" t="str">
            <v>NO_SCENARIOS</v>
          </cell>
          <cell r="J358" t="str">
            <v>NO_CURRENCIES</v>
          </cell>
          <cell r="K358">
            <v>19800</v>
          </cell>
        </row>
        <row r="359">
          <cell r="C359" t="str">
            <v>E5700</v>
          </cell>
          <cell r="D359" t="str">
            <v>NO_DATAVIEWS</v>
          </cell>
          <cell r="E359" t="str">
            <v>NO_DEPARTMENTS</v>
          </cell>
          <cell r="F359" t="str">
            <v>NO_CATEGORIES</v>
          </cell>
          <cell r="G359" t="str">
            <v>NO_OBJECTS</v>
          </cell>
          <cell r="H359" t="str">
            <v>NO_DETAILS</v>
          </cell>
          <cell r="I359" t="str">
            <v>NO_SCENARIOS</v>
          </cell>
          <cell r="J359" t="str">
            <v>NO_CURRENCIES</v>
          </cell>
          <cell r="K359">
            <v>19800</v>
          </cell>
        </row>
        <row r="360">
          <cell r="C360" t="str">
            <v>E5700</v>
          </cell>
          <cell r="D360" t="str">
            <v>NO_DATAVIEWS</v>
          </cell>
          <cell r="E360" t="str">
            <v>NO_DEPARTMENTS</v>
          </cell>
          <cell r="F360" t="str">
            <v>NO_CATEGORIES</v>
          </cell>
          <cell r="G360" t="str">
            <v>NO_OBJECTS</v>
          </cell>
          <cell r="H360" t="str">
            <v>NO_DETAILS</v>
          </cell>
          <cell r="I360" t="str">
            <v>NO_SCENARIOS</v>
          </cell>
          <cell r="J360" t="str">
            <v>NO_CURRENCIES</v>
          </cell>
          <cell r="K360">
            <v>19800</v>
          </cell>
        </row>
        <row r="361">
          <cell r="C361" t="str">
            <v>E5770</v>
          </cell>
          <cell r="D361" t="str">
            <v>NO_DATAVIEWS</v>
          </cell>
          <cell r="E361" t="str">
            <v>NO_DEPARTMENTS</v>
          </cell>
          <cell r="F361" t="str">
            <v>NO_CATEGORIES</v>
          </cell>
          <cell r="G361" t="str">
            <v>NO_OBJECTS</v>
          </cell>
          <cell r="H361" t="str">
            <v>NO_DETAILS</v>
          </cell>
          <cell r="I361" t="str">
            <v>NO_SCENARIOS</v>
          </cell>
          <cell r="J361" t="str">
            <v>NO_CURRENCIES</v>
          </cell>
          <cell r="K361">
            <v>0</v>
          </cell>
        </row>
        <row r="362">
          <cell r="C362" t="str">
            <v>E5770</v>
          </cell>
          <cell r="D362" t="str">
            <v>NO_DATAVIEWS</v>
          </cell>
          <cell r="E362" t="str">
            <v>NO_DEPARTMENTS</v>
          </cell>
          <cell r="F362" t="str">
            <v>NO_CATEGORIES</v>
          </cell>
          <cell r="G362" t="str">
            <v>NO_OBJECTS</v>
          </cell>
          <cell r="H362" t="str">
            <v>NO_DETAILS</v>
          </cell>
          <cell r="I362" t="str">
            <v>NO_SCENARIOS</v>
          </cell>
          <cell r="J362" t="str">
            <v>NO_CURRENCIES</v>
          </cell>
          <cell r="K362">
            <v>0</v>
          </cell>
        </row>
        <row r="363">
          <cell r="C363" t="str">
            <v>E5770</v>
          </cell>
          <cell r="D363" t="str">
            <v>NO_DATAVIEWS</v>
          </cell>
          <cell r="E363" t="str">
            <v>NO_DEPARTMENTS</v>
          </cell>
          <cell r="F363" t="str">
            <v>NO_CATEGORIES</v>
          </cell>
          <cell r="G363" t="str">
            <v>NO_OBJECTS</v>
          </cell>
          <cell r="H363" t="str">
            <v>NO_DETAILS</v>
          </cell>
          <cell r="I363" t="str">
            <v>NO_SCENARIOS</v>
          </cell>
          <cell r="J363" t="str">
            <v>NO_CURRENCIES</v>
          </cell>
          <cell r="K363">
            <v>0</v>
          </cell>
        </row>
        <row r="364">
          <cell r="C364" t="str">
            <v>E5770</v>
          </cell>
          <cell r="D364" t="str">
            <v>NO_DATAVIEWS</v>
          </cell>
          <cell r="E364" t="str">
            <v>NO_DEPARTMENTS</v>
          </cell>
          <cell r="F364" t="str">
            <v>NO_CATEGORIES</v>
          </cell>
          <cell r="G364" t="str">
            <v>NO_OBJECTS</v>
          </cell>
          <cell r="H364" t="str">
            <v>NO_DETAILS</v>
          </cell>
          <cell r="I364" t="str">
            <v>NO_SCENARIOS</v>
          </cell>
          <cell r="J364" t="str">
            <v>NO_CURRENCIES</v>
          </cell>
          <cell r="K364">
            <v>0</v>
          </cell>
        </row>
        <row r="365">
          <cell r="C365" t="str">
            <v>E5770</v>
          </cell>
          <cell r="D365" t="str">
            <v>NO_DATAVIEWS</v>
          </cell>
          <cell r="E365" t="str">
            <v>NO_DEPARTMENTS</v>
          </cell>
          <cell r="F365" t="str">
            <v>NO_CATEGORIES</v>
          </cell>
          <cell r="G365" t="str">
            <v>NO_OBJECTS</v>
          </cell>
          <cell r="H365" t="str">
            <v>NO_DETAILS</v>
          </cell>
          <cell r="I365" t="str">
            <v>NO_SCENARIOS</v>
          </cell>
          <cell r="J365" t="str">
            <v>NO_CURRENCIES</v>
          </cell>
          <cell r="K365">
            <v>0</v>
          </cell>
        </row>
        <row r="366">
          <cell r="C366" t="str">
            <v>E5770</v>
          </cell>
          <cell r="D366" t="str">
            <v>NO_DATAVIEWS</v>
          </cell>
          <cell r="E366" t="str">
            <v>NO_DEPARTMENTS</v>
          </cell>
          <cell r="F366" t="str">
            <v>NO_CATEGORIES</v>
          </cell>
          <cell r="G366" t="str">
            <v>NO_OBJECTS</v>
          </cell>
          <cell r="H366" t="str">
            <v>NO_DETAILS</v>
          </cell>
          <cell r="I366" t="str">
            <v>NO_SCENARIOS</v>
          </cell>
          <cell r="J366" t="str">
            <v>NO_CURRENCIES</v>
          </cell>
          <cell r="K366">
            <v>0</v>
          </cell>
        </row>
        <row r="367">
          <cell r="C367" t="str">
            <v>E5770</v>
          </cell>
          <cell r="D367" t="str">
            <v>NO_DATAVIEWS</v>
          </cell>
          <cell r="E367" t="str">
            <v>NO_DEPARTMENTS</v>
          </cell>
          <cell r="F367" t="str">
            <v>NO_CATEGORIES</v>
          </cell>
          <cell r="G367" t="str">
            <v>NO_OBJECTS</v>
          </cell>
          <cell r="H367" t="str">
            <v>NO_DETAILS</v>
          </cell>
          <cell r="I367" t="str">
            <v>NO_SCENARIOS</v>
          </cell>
          <cell r="J367" t="str">
            <v>NO_CURRENCIES</v>
          </cell>
          <cell r="K367">
            <v>0</v>
          </cell>
        </row>
        <row r="368">
          <cell r="C368" t="str">
            <v>E5770</v>
          </cell>
          <cell r="D368" t="str">
            <v>NO_DATAVIEWS</v>
          </cell>
          <cell r="E368" t="str">
            <v>NO_DEPARTMENTS</v>
          </cell>
          <cell r="F368" t="str">
            <v>NO_CATEGORIES</v>
          </cell>
          <cell r="G368" t="str">
            <v>NO_OBJECTS</v>
          </cell>
          <cell r="H368" t="str">
            <v>NO_DETAILS</v>
          </cell>
          <cell r="I368" t="str">
            <v>NO_SCENARIOS</v>
          </cell>
          <cell r="J368" t="str">
            <v>NO_CURRENCIES</v>
          </cell>
          <cell r="K368">
            <v>0</v>
          </cell>
        </row>
        <row r="369">
          <cell r="C369" t="str">
            <v>E5770</v>
          </cell>
          <cell r="D369" t="str">
            <v>NO_DATAVIEWS</v>
          </cell>
          <cell r="E369" t="str">
            <v>NO_DEPARTMENTS</v>
          </cell>
          <cell r="F369" t="str">
            <v>NO_CATEGORIES</v>
          </cell>
          <cell r="G369" t="str">
            <v>NO_OBJECTS</v>
          </cell>
          <cell r="H369" t="str">
            <v>NO_DETAILS</v>
          </cell>
          <cell r="I369" t="str">
            <v>NO_SCENARIOS</v>
          </cell>
          <cell r="J369" t="str">
            <v>NO_CURRENCIES</v>
          </cell>
          <cell r="K369">
            <v>0</v>
          </cell>
        </row>
        <row r="370">
          <cell r="C370" t="str">
            <v>E5770</v>
          </cell>
          <cell r="D370" t="str">
            <v>NO_DATAVIEWS</v>
          </cell>
          <cell r="E370" t="str">
            <v>NO_DEPARTMENTS</v>
          </cell>
          <cell r="F370" t="str">
            <v>NO_CATEGORIES</v>
          </cell>
          <cell r="G370" t="str">
            <v>NO_OBJECTS</v>
          </cell>
          <cell r="H370" t="str">
            <v>NO_DETAILS</v>
          </cell>
          <cell r="I370" t="str">
            <v>NO_SCENARIOS</v>
          </cell>
          <cell r="J370" t="str">
            <v>NO_CURRENCIES</v>
          </cell>
          <cell r="K370">
            <v>0</v>
          </cell>
        </row>
        <row r="371">
          <cell r="C371" t="str">
            <v>E5770</v>
          </cell>
          <cell r="D371" t="str">
            <v>NO_DATAVIEWS</v>
          </cell>
          <cell r="E371" t="str">
            <v>NO_DEPARTMENTS</v>
          </cell>
          <cell r="F371" t="str">
            <v>NO_CATEGORIES</v>
          </cell>
          <cell r="G371" t="str">
            <v>NO_OBJECTS</v>
          </cell>
          <cell r="H371" t="str">
            <v>NO_DETAILS</v>
          </cell>
          <cell r="I371" t="str">
            <v>NO_SCENARIOS</v>
          </cell>
          <cell r="J371" t="str">
            <v>NO_CURRENCIES</v>
          </cell>
          <cell r="K371">
            <v>0</v>
          </cell>
        </row>
        <row r="372">
          <cell r="C372" t="str">
            <v>E5770</v>
          </cell>
          <cell r="D372" t="str">
            <v>NO_DATAVIEWS</v>
          </cell>
          <cell r="E372" t="str">
            <v>NO_DEPARTMENTS</v>
          </cell>
          <cell r="F372" t="str">
            <v>NO_CATEGORIES</v>
          </cell>
          <cell r="G372" t="str">
            <v>NO_OBJECTS</v>
          </cell>
          <cell r="H372" t="str">
            <v>NO_DETAILS</v>
          </cell>
          <cell r="I372" t="str">
            <v>NO_SCENARIOS</v>
          </cell>
          <cell r="J372" t="str">
            <v>NO_CURRENCIES</v>
          </cell>
          <cell r="K372">
            <v>10000</v>
          </cell>
        </row>
        <row r="373">
          <cell r="C373" t="str">
            <v>E5810</v>
          </cell>
          <cell r="D373" t="str">
            <v>NO_DATAVIEWS</v>
          </cell>
          <cell r="E373" t="str">
            <v>NO_DEPARTMENTS</v>
          </cell>
          <cell r="F373" t="str">
            <v>NO_CATEGORIES</v>
          </cell>
          <cell r="G373" t="str">
            <v>NO_OBJECTS</v>
          </cell>
          <cell r="H373" t="str">
            <v>NO_DETAILS</v>
          </cell>
          <cell r="I373" t="str">
            <v>NO_SCENARIOS</v>
          </cell>
          <cell r="J373" t="str">
            <v>NO_CURRENCIES</v>
          </cell>
          <cell r="K373">
            <v>0</v>
          </cell>
        </row>
        <row r="374">
          <cell r="C374" t="str">
            <v>E5810</v>
          </cell>
          <cell r="D374" t="str">
            <v>NO_DATAVIEWS</v>
          </cell>
          <cell r="E374" t="str">
            <v>NO_DEPARTMENTS</v>
          </cell>
          <cell r="F374" t="str">
            <v>NO_CATEGORIES</v>
          </cell>
          <cell r="G374" t="str">
            <v>NO_OBJECTS</v>
          </cell>
          <cell r="H374" t="str">
            <v>NO_DETAILS</v>
          </cell>
          <cell r="I374" t="str">
            <v>NO_SCENARIOS</v>
          </cell>
          <cell r="J374" t="str">
            <v>NO_CURRENCIES</v>
          </cell>
          <cell r="K374">
            <v>0</v>
          </cell>
        </row>
        <row r="375">
          <cell r="C375" t="str">
            <v>E5810</v>
          </cell>
          <cell r="D375" t="str">
            <v>NO_DATAVIEWS</v>
          </cell>
          <cell r="E375" t="str">
            <v>NO_DEPARTMENTS</v>
          </cell>
          <cell r="F375" t="str">
            <v>NO_CATEGORIES</v>
          </cell>
          <cell r="G375" t="str">
            <v>NO_OBJECTS</v>
          </cell>
          <cell r="H375" t="str">
            <v>NO_DETAILS</v>
          </cell>
          <cell r="I375" t="str">
            <v>NO_SCENARIOS</v>
          </cell>
          <cell r="J375" t="str">
            <v>NO_CURRENCIES</v>
          </cell>
          <cell r="K375">
            <v>0</v>
          </cell>
        </row>
        <row r="376">
          <cell r="C376" t="str">
            <v>E5810</v>
          </cell>
          <cell r="D376" t="str">
            <v>NO_DATAVIEWS</v>
          </cell>
          <cell r="E376" t="str">
            <v>NO_DEPARTMENTS</v>
          </cell>
          <cell r="F376" t="str">
            <v>NO_CATEGORIES</v>
          </cell>
          <cell r="G376" t="str">
            <v>NO_OBJECTS</v>
          </cell>
          <cell r="H376" t="str">
            <v>NO_DETAILS</v>
          </cell>
          <cell r="I376" t="str">
            <v>NO_SCENARIOS</v>
          </cell>
          <cell r="J376" t="str">
            <v>NO_CURRENCIES</v>
          </cell>
          <cell r="K376">
            <v>0</v>
          </cell>
        </row>
        <row r="377">
          <cell r="C377" t="str">
            <v>E5810</v>
          </cell>
          <cell r="D377" t="str">
            <v>NO_DATAVIEWS</v>
          </cell>
          <cell r="E377" t="str">
            <v>NO_DEPARTMENTS</v>
          </cell>
          <cell r="F377" t="str">
            <v>NO_CATEGORIES</v>
          </cell>
          <cell r="G377" t="str">
            <v>NO_OBJECTS</v>
          </cell>
          <cell r="H377" t="str">
            <v>NO_DETAILS</v>
          </cell>
          <cell r="I377" t="str">
            <v>NO_SCENARIOS</v>
          </cell>
          <cell r="J377" t="str">
            <v>NO_CURRENCIES</v>
          </cell>
          <cell r="K377">
            <v>0</v>
          </cell>
        </row>
        <row r="378">
          <cell r="C378" t="str">
            <v>E5810</v>
          </cell>
          <cell r="D378" t="str">
            <v>NO_DATAVIEWS</v>
          </cell>
          <cell r="E378" t="str">
            <v>NO_DEPARTMENTS</v>
          </cell>
          <cell r="F378" t="str">
            <v>NO_CATEGORIES</v>
          </cell>
          <cell r="G378" t="str">
            <v>NO_OBJECTS</v>
          </cell>
          <cell r="H378" t="str">
            <v>NO_DETAILS</v>
          </cell>
          <cell r="I378" t="str">
            <v>NO_SCENARIOS</v>
          </cell>
          <cell r="J378" t="str">
            <v>NO_CURRENCIES</v>
          </cell>
          <cell r="K378">
            <v>0</v>
          </cell>
        </row>
        <row r="379">
          <cell r="C379" t="str">
            <v>E5810</v>
          </cell>
          <cell r="D379" t="str">
            <v>NO_DATAVIEWS</v>
          </cell>
          <cell r="E379" t="str">
            <v>NO_DEPARTMENTS</v>
          </cell>
          <cell r="F379" t="str">
            <v>NO_CATEGORIES</v>
          </cell>
          <cell r="G379" t="str">
            <v>NO_OBJECTS</v>
          </cell>
          <cell r="H379" t="str">
            <v>NO_DETAILS</v>
          </cell>
          <cell r="I379" t="str">
            <v>NO_SCENARIOS</v>
          </cell>
          <cell r="J379" t="str">
            <v>NO_CURRENCIES</v>
          </cell>
          <cell r="K379">
            <v>0</v>
          </cell>
        </row>
        <row r="380">
          <cell r="C380" t="str">
            <v>E5810</v>
          </cell>
          <cell r="D380" t="str">
            <v>NO_DATAVIEWS</v>
          </cell>
          <cell r="E380" t="str">
            <v>NO_DEPARTMENTS</v>
          </cell>
          <cell r="F380" t="str">
            <v>NO_CATEGORIES</v>
          </cell>
          <cell r="G380" t="str">
            <v>NO_OBJECTS</v>
          </cell>
          <cell r="H380" t="str">
            <v>NO_DETAILS</v>
          </cell>
          <cell r="I380" t="str">
            <v>NO_SCENARIOS</v>
          </cell>
          <cell r="J380" t="str">
            <v>NO_CURRENCIES</v>
          </cell>
          <cell r="K380">
            <v>0</v>
          </cell>
        </row>
        <row r="381">
          <cell r="C381" t="str">
            <v>E5810</v>
          </cell>
          <cell r="D381" t="str">
            <v>NO_DATAVIEWS</v>
          </cell>
          <cell r="E381" t="str">
            <v>NO_DEPARTMENTS</v>
          </cell>
          <cell r="F381" t="str">
            <v>NO_CATEGORIES</v>
          </cell>
          <cell r="G381" t="str">
            <v>NO_OBJECTS</v>
          </cell>
          <cell r="H381" t="str">
            <v>NO_DETAILS</v>
          </cell>
          <cell r="I381" t="str">
            <v>NO_SCENARIOS</v>
          </cell>
          <cell r="J381" t="str">
            <v>NO_CURRENCIES</v>
          </cell>
          <cell r="K381">
            <v>0</v>
          </cell>
        </row>
        <row r="382">
          <cell r="C382" t="str">
            <v>E5810</v>
          </cell>
          <cell r="D382" t="str">
            <v>NO_DATAVIEWS</v>
          </cell>
          <cell r="E382" t="str">
            <v>NO_DEPARTMENTS</v>
          </cell>
          <cell r="F382" t="str">
            <v>NO_CATEGORIES</v>
          </cell>
          <cell r="G382" t="str">
            <v>NO_OBJECTS</v>
          </cell>
          <cell r="H382" t="str">
            <v>NO_DETAILS</v>
          </cell>
          <cell r="I382" t="str">
            <v>NO_SCENARIOS</v>
          </cell>
          <cell r="J382" t="str">
            <v>NO_CURRENCIES</v>
          </cell>
          <cell r="K382">
            <v>0</v>
          </cell>
        </row>
        <row r="383">
          <cell r="C383" t="str">
            <v>E5810</v>
          </cell>
          <cell r="D383" t="str">
            <v>NO_DATAVIEWS</v>
          </cell>
          <cell r="E383" t="str">
            <v>NO_DEPARTMENTS</v>
          </cell>
          <cell r="F383" t="str">
            <v>NO_CATEGORIES</v>
          </cell>
          <cell r="G383" t="str">
            <v>NO_OBJECTS</v>
          </cell>
          <cell r="H383" t="str">
            <v>NO_DETAILS</v>
          </cell>
          <cell r="I383" t="str">
            <v>NO_SCENARIOS</v>
          </cell>
          <cell r="J383" t="str">
            <v>NO_CURRENCIES</v>
          </cell>
          <cell r="K383">
            <v>0</v>
          </cell>
        </row>
        <row r="384">
          <cell r="C384" t="str">
            <v>E5810</v>
          </cell>
          <cell r="D384" t="str">
            <v>NO_DATAVIEWS</v>
          </cell>
          <cell r="E384" t="str">
            <v>NO_DEPARTMENTS</v>
          </cell>
          <cell r="F384" t="str">
            <v>NO_CATEGORIES</v>
          </cell>
          <cell r="G384" t="str">
            <v>NO_OBJECTS</v>
          </cell>
          <cell r="H384" t="str">
            <v>NO_DETAILS</v>
          </cell>
          <cell r="I384" t="str">
            <v>NO_SCENARIOS</v>
          </cell>
          <cell r="J384" t="str">
            <v>NO_CURRENCIES</v>
          </cell>
          <cell r="K384">
            <v>25600</v>
          </cell>
        </row>
        <row r="385">
          <cell r="C385" t="str">
            <v>E5250</v>
          </cell>
          <cell r="D385" t="str">
            <v>NO_DATAVIEWS</v>
          </cell>
          <cell r="E385" t="str">
            <v>NO_DEPARTMENTS</v>
          </cell>
          <cell r="F385" t="str">
            <v>NO_CATEGORIES</v>
          </cell>
          <cell r="G385" t="str">
            <v>NO_OBJECTS</v>
          </cell>
          <cell r="H385" t="str">
            <v>NO_DETAILS</v>
          </cell>
          <cell r="I385" t="str">
            <v>NO_SCENARIOS</v>
          </cell>
          <cell r="J385" t="str">
            <v>NO_CURRENCIES</v>
          </cell>
          <cell r="K385">
            <v>4500</v>
          </cell>
        </row>
        <row r="386">
          <cell r="C386" t="str">
            <v>E5250</v>
          </cell>
          <cell r="D386" t="str">
            <v>NO_DATAVIEWS</v>
          </cell>
          <cell r="E386" t="str">
            <v>NO_DEPARTMENTS</v>
          </cell>
          <cell r="F386" t="str">
            <v>NO_CATEGORIES</v>
          </cell>
          <cell r="G386" t="str">
            <v>NO_OBJECTS</v>
          </cell>
          <cell r="H386" t="str">
            <v>NO_DETAILS</v>
          </cell>
          <cell r="I386" t="str">
            <v>NO_SCENARIOS</v>
          </cell>
          <cell r="J386" t="str">
            <v>NO_CURRENCIES</v>
          </cell>
          <cell r="K386">
            <v>4500</v>
          </cell>
        </row>
        <row r="387">
          <cell r="C387" t="str">
            <v>E5250</v>
          </cell>
          <cell r="D387" t="str">
            <v>NO_DATAVIEWS</v>
          </cell>
          <cell r="E387" t="str">
            <v>NO_DEPARTMENTS</v>
          </cell>
          <cell r="F387" t="str">
            <v>NO_CATEGORIES</v>
          </cell>
          <cell r="G387" t="str">
            <v>NO_OBJECTS</v>
          </cell>
          <cell r="H387" t="str">
            <v>NO_DETAILS</v>
          </cell>
          <cell r="I387" t="str">
            <v>NO_SCENARIOS</v>
          </cell>
          <cell r="J387" t="str">
            <v>NO_CURRENCIES</v>
          </cell>
          <cell r="K387">
            <v>4500</v>
          </cell>
        </row>
        <row r="388">
          <cell r="C388" t="str">
            <v>E5250</v>
          </cell>
          <cell r="D388" t="str">
            <v>NO_DATAVIEWS</v>
          </cell>
          <cell r="E388" t="str">
            <v>NO_DEPARTMENTS</v>
          </cell>
          <cell r="F388" t="str">
            <v>NO_CATEGORIES</v>
          </cell>
          <cell r="G388" t="str">
            <v>NO_OBJECTS</v>
          </cell>
          <cell r="H388" t="str">
            <v>NO_DETAILS</v>
          </cell>
          <cell r="I388" t="str">
            <v>NO_SCENARIOS</v>
          </cell>
          <cell r="J388" t="str">
            <v>NO_CURRENCIES</v>
          </cell>
          <cell r="K388">
            <v>4500</v>
          </cell>
        </row>
        <row r="389">
          <cell r="C389" t="str">
            <v>E5250</v>
          </cell>
          <cell r="D389" t="str">
            <v>NO_DATAVIEWS</v>
          </cell>
          <cell r="E389" t="str">
            <v>NO_DEPARTMENTS</v>
          </cell>
          <cell r="F389" t="str">
            <v>NO_CATEGORIES</v>
          </cell>
          <cell r="G389" t="str">
            <v>NO_OBJECTS</v>
          </cell>
          <cell r="H389" t="str">
            <v>NO_DETAILS</v>
          </cell>
          <cell r="I389" t="str">
            <v>NO_SCENARIOS</v>
          </cell>
          <cell r="J389" t="str">
            <v>NO_CURRENCIES</v>
          </cell>
          <cell r="K389">
            <v>4500</v>
          </cell>
        </row>
        <row r="390">
          <cell r="C390" t="str">
            <v>E5250</v>
          </cell>
          <cell r="D390" t="str">
            <v>NO_DATAVIEWS</v>
          </cell>
          <cell r="E390" t="str">
            <v>NO_DEPARTMENTS</v>
          </cell>
          <cell r="F390" t="str">
            <v>NO_CATEGORIES</v>
          </cell>
          <cell r="G390" t="str">
            <v>NO_OBJECTS</v>
          </cell>
          <cell r="H390" t="str">
            <v>NO_DETAILS</v>
          </cell>
          <cell r="I390" t="str">
            <v>NO_SCENARIOS</v>
          </cell>
          <cell r="J390" t="str">
            <v>NO_CURRENCIES</v>
          </cell>
          <cell r="K390">
            <v>4500</v>
          </cell>
        </row>
        <row r="391">
          <cell r="C391" t="str">
            <v>E5250</v>
          </cell>
          <cell r="D391" t="str">
            <v>NO_DATAVIEWS</v>
          </cell>
          <cell r="E391" t="str">
            <v>NO_DEPARTMENTS</v>
          </cell>
          <cell r="F391" t="str">
            <v>NO_CATEGORIES</v>
          </cell>
          <cell r="G391" t="str">
            <v>NO_OBJECTS</v>
          </cell>
          <cell r="H391" t="str">
            <v>NO_DETAILS</v>
          </cell>
          <cell r="I391" t="str">
            <v>NO_SCENARIOS</v>
          </cell>
          <cell r="J391" t="str">
            <v>NO_CURRENCIES</v>
          </cell>
          <cell r="K391">
            <v>4500</v>
          </cell>
        </row>
        <row r="392">
          <cell r="C392" t="str">
            <v>E5250</v>
          </cell>
          <cell r="D392" t="str">
            <v>NO_DATAVIEWS</v>
          </cell>
          <cell r="E392" t="str">
            <v>NO_DEPARTMENTS</v>
          </cell>
          <cell r="F392" t="str">
            <v>NO_CATEGORIES</v>
          </cell>
          <cell r="G392" t="str">
            <v>NO_OBJECTS</v>
          </cell>
          <cell r="H392" t="str">
            <v>NO_DETAILS</v>
          </cell>
          <cell r="I392" t="str">
            <v>NO_SCENARIOS</v>
          </cell>
          <cell r="J392" t="str">
            <v>NO_CURRENCIES</v>
          </cell>
          <cell r="K392">
            <v>4500</v>
          </cell>
        </row>
        <row r="393">
          <cell r="C393" t="str">
            <v>E5250</v>
          </cell>
          <cell r="D393" t="str">
            <v>NO_DATAVIEWS</v>
          </cell>
          <cell r="E393" t="str">
            <v>NO_DEPARTMENTS</v>
          </cell>
          <cell r="F393" t="str">
            <v>NO_CATEGORIES</v>
          </cell>
          <cell r="G393" t="str">
            <v>NO_OBJECTS</v>
          </cell>
          <cell r="H393" t="str">
            <v>NO_DETAILS</v>
          </cell>
          <cell r="I393" t="str">
            <v>NO_SCENARIOS</v>
          </cell>
          <cell r="J393" t="str">
            <v>NO_CURRENCIES</v>
          </cell>
          <cell r="K393">
            <v>4500</v>
          </cell>
        </row>
        <row r="394">
          <cell r="C394" t="str">
            <v>E5250</v>
          </cell>
          <cell r="D394" t="str">
            <v>NO_DATAVIEWS</v>
          </cell>
          <cell r="E394" t="str">
            <v>NO_DEPARTMENTS</v>
          </cell>
          <cell r="F394" t="str">
            <v>NO_CATEGORIES</v>
          </cell>
          <cell r="G394" t="str">
            <v>NO_OBJECTS</v>
          </cell>
          <cell r="H394" t="str">
            <v>NO_DETAILS</v>
          </cell>
          <cell r="I394" t="str">
            <v>NO_SCENARIOS</v>
          </cell>
          <cell r="J394" t="str">
            <v>NO_CURRENCIES</v>
          </cell>
          <cell r="K394">
            <v>4500</v>
          </cell>
        </row>
        <row r="395">
          <cell r="C395" t="str">
            <v>E5250</v>
          </cell>
          <cell r="D395" t="str">
            <v>NO_DATAVIEWS</v>
          </cell>
          <cell r="E395" t="str">
            <v>NO_DEPARTMENTS</v>
          </cell>
          <cell r="F395" t="str">
            <v>NO_CATEGORIES</v>
          </cell>
          <cell r="G395" t="str">
            <v>NO_OBJECTS</v>
          </cell>
          <cell r="H395" t="str">
            <v>NO_DETAILS</v>
          </cell>
          <cell r="I395" t="str">
            <v>NO_SCENARIOS</v>
          </cell>
          <cell r="J395" t="str">
            <v>NO_CURRENCIES</v>
          </cell>
          <cell r="K395">
            <v>4500</v>
          </cell>
        </row>
        <row r="396">
          <cell r="C396" t="str">
            <v>E5250</v>
          </cell>
          <cell r="D396" t="str">
            <v>NO_DATAVIEWS</v>
          </cell>
          <cell r="E396" t="str">
            <v>NO_DEPARTMENTS</v>
          </cell>
          <cell r="F396" t="str">
            <v>NO_CATEGORIES</v>
          </cell>
          <cell r="G396" t="str">
            <v>NO_OBJECTS</v>
          </cell>
          <cell r="H396" t="str">
            <v>NO_DETAILS</v>
          </cell>
          <cell r="I396" t="str">
            <v>NO_SCENARIOS</v>
          </cell>
          <cell r="J396" t="str">
            <v>NO_CURRENCIES</v>
          </cell>
          <cell r="K396">
            <v>4500</v>
          </cell>
        </row>
        <row r="397">
          <cell r="C397" t="str">
            <v>E5550</v>
          </cell>
          <cell r="D397" t="str">
            <v>NO_DATAVIEWS</v>
          </cell>
          <cell r="E397" t="str">
            <v>NO_DEPARTMENTS</v>
          </cell>
          <cell r="F397" t="str">
            <v>NO_CATEGORIES</v>
          </cell>
          <cell r="G397" t="str">
            <v>NO_OBJECTS</v>
          </cell>
          <cell r="H397" t="str">
            <v>NO_DETAILS</v>
          </cell>
          <cell r="I397" t="str">
            <v>NO_SCENARIOS</v>
          </cell>
          <cell r="J397" t="str">
            <v>NO_CURRENCIES</v>
          </cell>
          <cell r="K397">
            <v>10000</v>
          </cell>
        </row>
        <row r="398">
          <cell r="C398" t="str">
            <v>E5550</v>
          </cell>
          <cell r="D398" t="str">
            <v>NO_DATAVIEWS</v>
          </cell>
          <cell r="E398" t="str">
            <v>NO_DEPARTMENTS</v>
          </cell>
          <cell r="F398" t="str">
            <v>NO_CATEGORIES</v>
          </cell>
          <cell r="G398" t="str">
            <v>NO_OBJECTS</v>
          </cell>
          <cell r="H398" t="str">
            <v>NO_DETAILS</v>
          </cell>
          <cell r="I398" t="str">
            <v>NO_SCENARIOS</v>
          </cell>
          <cell r="J398" t="str">
            <v>NO_CURRENCIES</v>
          </cell>
          <cell r="K398">
            <v>10000</v>
          </cell>
        </row>
        <row r="399">
          <cell r="C399" t="str">
            <v>E5550</v>
          </cell>
          <cell r="D399" t="str">
            <v>NO_DATAVIEWS</v>
          </cell>
          <cell r="E399" t="str">
            <v>NO_DEPARTMENTS</v>
          </cell>
          <cell r="F399" t="str">
            <v>NO_CATEGORIES</v>
          </cell>
          <cell r="G399" t="str">
            <v>NO_OBJECTS</v>
          </cell>
          <cell r="H399" t="str">
            <v>NO_DETAILS</v>
          </cell>
          <cell r="I399" t="str">
            <v>NO_SCENARIOS</v>
          </cell>
          <cell r="J399" t="str">
            <v>NO_CURRENCIES</v>
          </cell>
          <cell r="K399">
            <v>10000</v>
          </cell>
        </row>
        <row r="400">
          <cell r="C400" t="str">
            <v>E5550</v>
          </cell>
          <cell r="D400" t="str">
            <v>NO_DATAVIEWS</v>
          </cell>
          <cell r="E400" t="str">
            <v>NO_DEPARTMENTS</v>
          </cell>
          <cell r="F400" t="str">
            <v>NO_CATEGORIES</v>
          </cell>
          <cell r="G400" t="str">
            <v>NO_OBJECTS</v>
          </cell>
          <cell r="H400" t="str">
            <v>NO_DETAILS</v>
          </cell>
          <cell r="I400" t="str">
            <v>NO_SCENARIOS</v>
          </cell>
          <cell r="J400" t="str">
            <v>NO_CURRENCIES</v>
          </cell>
          <cell r="K400">
            <v>10000</v>
          </cell>
        </row>
        <row r="401">
          <cell r="C401" t="str">
            <v>E5550</v>
          </cell>
          <cell r="D401" t="str">
            <v>NO_DATAVIEWS</v>
          </cell>
          <cell r="E401" t="str">
            <v>NO_DEPARTMENTS</v>
          </cell>
          <cell r="F401" t="str">
            <v>NO_CATEGORIES</v>
          </cell>
          <cell r="G401" t="str">
            <v>NO_OBJECTS</v>
          </cell>
          <cell r="H401" t="str">
            <v>NO_DETAILS</v>
          </cell>
          <cell r="I401" t="str">
            <v>NO_SCENARIOS</v>
          </cell>
          <cell r="J401" t="str">
            <v>NO_CURRENCIES</v>
          </cell>
          <cell r="K401">
            <v>10000</v>
          </cell>
        </row>
        <row r="402">
          <cell r="C402" t="str">
            <v>E5550</v>
          </cell>
          <cell r="D402" t="str">
            <v>NO_DATAVIEWS</v>
          </cell>
          <cell r="E402" t="str">
            <v>NO_DEPARTMENTS</v>
          </cell>
          <cell r="F402" t="str">
            <v>NO_CATEGORIES</v>
          </cell>
          <cell r="G402" t="str">
            <v>NO_OBJECTS</v>
          </cell>
          <cell r="H402" t="str">
            <v>NO_DETAILS</v>
          </cell>
          <cell r="I402" t="str">
            <v>NO_SCENARIOS</v>
          </cell>
          <cell r="J402" t="str">
            <v>NO_CURRENCIES</v>
          </cell>
          <cell r="K402">
            <v>10000</v>
          </cell>
        </row>
        <row r="403">
          <cell r="C403" t="str">
            <v>E5550</v>
          </cell>
          <cell r="D403" t="str">
            <v>NO_DATAVIEWS</v>
          </cell>
          <cell r="E403" t="str">
            <v>NO_DEPARTMENTS</v>
          </cell>
          <cell r="F403" t="str">
            <v>NO_CATEGORIES</v>
          </cell>
          <cell r="G403" t="str">
            <v>NO_OBJECTS</v>
          </cell>
          <cell r="H403" t="str">
            <v>NO_DETAILS</v>
          </cell>
          <cell r="I403" t="str">
            <v>NO_SCENARIOS</v>
          </cell>
          <cell r="J403" t="str">
            <v>NO_CURRENCIES</v>
          </cell>
          <cell r="K403">
            <v>10000</v>
          </cell>
        </row>
        <row r="404">
          <cell r="C404" t="str">
            <v>E5550</v>
          </cell>
          <cell r="D404" t="str">
            <v>NO_DATAVIEWS</v>
          </cell>
          <cell r="E404" t="str">
            <v>NO_DEPARTMENTS</v>
          </cell>
          <cell r="F404" t="str">
            <v>NO_CATEGORIES</v>
          </cell>
          <cell r="G404" t="str">
            <v>NO_OBJECTS</v>
          </cell>
          <cell r="H404" t="str">
            <v>NO_DETAILS</v>
          </cell>
          <cell r="I404" t="str">
            <v>NO_SCENARIOS</v>
          </cell>
          <cell r="J404" t="str">
            <v>NO_CURRENCIES</v>
          </cell>
          <cell r="K404">
            <v>10000</v>
          </cell>
        </row>
        <row r="405">
          <cell r="C405" t="str">
            <v>E5550</v>
          </cell>
          <cell r="D405" t="str">
            <v>NO_DATAVIEWS</v>
          </cell>
          <cell r="E405" t="str">
            <v>NO_DEPARTMENTS</v>
          </cell>
          <cell r="F405" t="str">
            <v>NO_CATEGORIES</v>
          </cell>
          <cell r="G405" t="str">
            <v>NO_OBJECTS</v>
          </cell>
          <cell r="H405" t="str">
            <v>NO_DETAILS</v>
          </cell>
          <cell r="I405" t="str">
            <v>NO_SCENARIOS</v>
          </cell>
          <cell r="J405" t="str">
            <v>NO_CURRENCIES</v>
          </cell>
          <cell r="K405">
            <v>10000</v>
          </cell>
        </row>
        <row r="406">
          <cell r="C406" t="str">
            <v>E5550</v>
          </cell>
          <cell r="D406" t="str">
            <v>NO_DATAVIEWS</v>
          </cell>
          <cell r="E406" t="str">
            <v>NO_DEPARTMENTS</v>
          </cell>
          <cell r="F406" t="str">
            <v>NO_CATEGORIES</v>
          </cell>
          <cell r="G406" t="str">
            <v>NO_OBJECTS</v>
          </cell>
          <cell r="H406" t="str">
            <v>NO_DETAILS</v>
          </cell>
          <cell r="I406" t="str">
            <v>NO_SCENARIOS</v>
          </cell>
          <cell r="J406" t="str">
            <v>NO_CURRENCIES</v>
          </cell>
          <cell r="K406">
            <v>10000</v>
          </cell>
        </row>
        <row r="407">
          <cell r="C407" t="str">
            <v>E5550</v>
          </cell>
          <cell r="D407" t="str">
            <v>NO_DATAVIEWS</v>
          </cell>
          <cell r="E407" t="str">
            <v>NO_DEPARTMENTS</v>
          </cell>
          <cell r="F407" t="str">
            <v>NO_CATEGORIES</v>
          </cell>
          <cell r="G407" t="str">
            <v>NO_OBJECTS</v>
          </cell>
          <cell r="H407" t="str">
            <v>NO_DETAILS</v>
          </cell>
          <cell r="I407" t="str">
            <v>NO_SCENARIOS</v>
          </cell>
          <cell r="J407" t="str">
            <v>NO_CURRENCIES</v>
          </cell>
          <cell r="K407">
            <v>10000</v>
          </cell>
        </row>
        <row r="408">
          <cell r="C408" t="str">
            <v>E5550</v>
          </cell>
          <cell r="D408" t="str">
            <v>NO_DATAVIEWS</v>
          </cell>
          <cell r="E408" t="str">
            <v>NO_DEPARTMENTS</v>
          </cell>
          <cell r="F408" t="str">
            <v>NO_CATEGORIES</v>
          </cell>
          <cell r="G408" t="str">
            <v>NO_OBJECTS</v>
          </cell>
          <cell r="H408" t="str">
            <v>NO_DETAILS</v>
          </cell>
          <cell r="I408" t="str">
            <v>NO_SCENARIOS</v>
          </cell>
          <cell r="J408" t="str">
            <v>NO_CURRENCIES</v>
          </cell>
          <cell r="K408">
            <v>10000</v>
          </cell>
        </row>
        <row r="409">
          <cell r="C409" t="str">
            <v>E5391</v>
          </cell>
          <cell r="D409" t="str">
            <v>NO_DATAVIEWS</v>
          </cell>
          <cell r="E409" t="str">
            <v>NO_DEPARTMENTS</v>
          </cell>
          <cell r="F409" t="str">
            <v>NO_CATEGORIES</v>
          </cell>
          <cell r="G409" t="str">
            <v>NO_OBJECTS</v>
          </cell>
          <cell r="H409" t="str">
            <v>NO_DETAILS</v>
          </cell>
          <cell r="I409" t="str">
            <v>NO_SCENARIOS</v>
          </cell>
          <cell r="J409" t="str">
            <v>NO_CURRENCIES</v>
          </cell>
          <cell r="K409">
            <v>8100</v>
          </cell>
        </row>
        <row r="410">
          <cell r="C410" t="str">
            <v>E5391</v>
          </cell>
          <cell r="D410" t="str">
            <v>NO_DATAVIEWS</v>
          </cell>
          <cell r="E410" t="str">
            <v>NO_DEPARTMENTS</v>
          </cell>
          <cell r="F410" t="str">
            <v>NO_CATEGORIES</v>
          </cell>
          <cell r="G410" t="str">
            <v>NO_OBJECTS</v>
          </cell>
          <cell r="H410" t="str">
            <v>NO_DETAILS</v>
          </cell>
          <cell r="I410" t="str">
            <v>NO_SCENARIOS</v>
          </cell>
          <cell r="J410" t="str">
            <v>NO_CURRENCIES</v>
          </cell>
          <cell r="K410">
            <v>8100</v>
          </cell>
        </row>
        <row r="411">
          <cell r="C411" t="str">
            <v>E5391</v>
          </cell>
          <cell r="D411" t="str">
            <v>NO_DATAVIEWS</v>
          </cell>
          <cell r="E411" t="str">
            <v>NO_DEPARTMENTS</v>
          </cell>
          <cell r="F411" t="str">
            <v>NO_CATEGORIES</v>
          </cell>
          <cell r="G411" t="str">
            <v>NO_OBJECTS</v>
          </cell>
          <cell r="H411" t="str">
            <v>NO_DETAILS</v>
          </cell>
          <cell r="I411" t="str">
            <v>NO_SCENARIOS</v>
          </cell>
          <cell r="J411" t="str">
            <v>NO_CURRENCIES</v>
          </cell>
          <cell r="K411">
            <v>8100</v>
          </cell>
        </row>
        <row r="412">
          <cell r="C412" t="str">
            <v>E5391</v>
          </cell>
          <cell r="D412" t="str">
            <v>NO_DATAVIEWS</v>
          </cell>
          <cell r="E412" t="str">
            <v>NO_DEPARTMENTS</v>
          </cell>
          <cell r="F412" t="str">
            <v>NO_CATEGORIES</v>
          </cell>
          <cell r="G412" t="str">
            <v>NO_OBJECTS</v>
          </cell>
          <cell r="H412" t="str">
            <v>NO_DETAILS</v>
          </cell>
          <cell r="I412" t="str">
            <v>NO_SCENARIOS</v>
          </cell>
          <cell r="J412" t="str">
            <v>NO_CURRENCIES</v>
          </cell>
          <cell r="K412">
            <v>8100</v>
          </cell>
        </row>
        <row r="413">
          <cell r="C413" t="str">
            <v>E5391</v>
          </cell>
          <cell r="D413" t="str">
            <v>NO_DATAVIEWS</v>
          </cell>
          <cell r="E413" t="str">
            <v>NO_DEPARTMENTS</v>
          </cell>
          <cell r="F413" t="str">
            <v>NO_CATEGORIES</v>
          </cell>
          <cell r="G413" t="str">
            <v>NO_OBJECTS</v>
          </cell>
          <cell r="H413" t="str">
            <v>NO_DETAILS</v>
          </cell>
          <cell r="I413" t="str">
            <v>NO_SCENARIOS</v>
          </cell>
          <cell r="J413" t="str">
            <v>NO_CURRENCIES</v>
          </cell>
          <cell r="K413">
            <v>8100</v>
          </cell>
        </row>
        <row r="414">
          <cell r="C414" t="str">
            <v>E5391</v>
          </cell>
          <cell r="D414" t="str">
            <v>NO_DATAVIEWS</v>
          </cell>
          <cell r="E414" t="str">
            <v>NO_DEPARTMENTS</v>
          </cell>
          <cell r="F414" t="str">
            <v>NO_CATEGORIES</v>
          </cell>
          <cell r="G414" t="str">
            <v>NO_OBJECTS</v>
          </cell>
          <cell r="H414" t="str">
            <v>NO_DETAILS</v>
          </cell>
          <cell r="I414" t="str">
            <v>NO_SCENARIOS</v>
          </cell>
          <cell r="J414" t="str">
            <v>NO_CURRENCIES</v>
          </cell>
          <cell r="K414">
            <v>8100</v>
          </cell>
        </row>
        <row r="415">
          <cell r="C415" t="str">
            <v>E5391</v>
          </cell>
          <cell r="D415" t="str">
            <v>NO_DATAVIEWS</v>
          </cell>
          <cell r="E415" t="str">
            <v>NO_DEPARTMENTS</v>
          </cell>
          <cell r="F415" t="str">
            <v>NO_CATEGORIES</v>
          </cell>
          <cell r="G415" t="str">
            <v>NO_OBJECTS</v>
          </cell>
          <cell r="H415" t="str">
            <v>NO_DETAILS</v>
          </cell>
          <cell r="I415" t="str">
            <v>NO_SCENARIOS</v>
          </cell>
          <cell r="J415" t="str">
            <v>NO_CURRENCIES</v>
          </cell>
          <cell r="K415">
            <v>8100</v>
          </cell>
        </row>
        <row r="416">
          <cell r="C416" t="str">
            <v>E5391</v>
          </cell>
          <cell r="D416" t="str">
            <v>NO_DATAVIEWS</v>
          </cell>
          <cell r="E416" t="str">
            <v>NO_DEPARTMENTS</v>
          </cell>
          <cell r="F416" t="str">
            <v>NO_CATEGORIES</v>
          </cell>
          <cell r="G416" t="str">
            <v>NO_OBJECTS</v>
          </cell>
          <cell r="H416" t="str">
            <v>NO_DETAILS</v>
          </cell>
          <cell r="I416" t="str">
            <v>NO_SCENARIOS</v>
          </cell>
          <cell r="J416" t="str">
            <v>NO_CURRENCIES</v>
          </cell>
          <cell r="K416">
            <v>8100</v>
          </cell>
        </row>
        <row r="417">
          <cell r="C417" t="str">
            <v>E5391</v>
          </cell>
          <cell r="D417" t="str">
            <v>NO_DATAVIEWS</v>
          </cell>
          <cell r="E417" t="str">
            <v>NO_DEPARTMENTS</v>
          </cell>
          <cell r="F417" t="str">
            <v>NO_CATEGORIES</v>
          </cell>
          <cell r="G417" t="str">
            <v>NO_OBJECTS</v>
          </cell>
          <cell r="H417" t="str">
            <v>NO_DETAILS</v>
          </cell>
          <cell r="I417" t="str">
            <v>NO_SCENARIOS</v>
          </cell>
          <cell r="J417" t="str">
            <v>NO_CURRENCIES</v>
          </cell>
          <cell r="K417">
            <v>8100</v>
          </cell>
        </row>
        <row r="418">
          <cell r="C418" t="str">
            <v>E5391</v>
          </cell>
          <cell r="D418" t="str">
            <v>NO_DATAVIEWS</v>
          </cell>
          <cell r="E418" t="str">
            <v>NO_DEPARTMENTS</v>
          </cell>
          <cell r="F418" t="str">
            <v>NO_CATEGORIES</v>
          </cell>
          <cell r="G418" t="str">
            <v>NO_OBJECTS</v>
          </cell>
          <cell r="H418" t="str">
            <v>NO_DETAILS</v>
          </cell>
          <cell r="I418" t="str">
            <v>NO_SCENARIOS</v>
          </cell>
          <cell r="J418" t="str">
            <v>NO_CURRENCIES</v>
          </cell>
          <cell r="K418">
            <v>8100</v>
          </cell>
        </row>
        <row r="419">
          <cell r="C419" t="str">
            <v>E5391</v>
          </cell>
          <cell r="D419" t="str">
            <v>NO_DATAVIEWS</v>
          </cell>
          <cell r="E419" t="str">
            <v>NO_DEPARTMENTS</v>
          </cell>
          <cell r="F419" t="str">
            <v>NO_CATEGORIES</v>
          </cell>
          <cell r="G419" t="str">
            <v>NO_OBJECTS</v>
          </cell>
          <cell r="H419" t="str">
            <v>NO_DETAILS</v>
          </cell>
          <cell r="I419" t="str">
            <v>NO_SCENARIOS</v>
          </cell>
          <cell r="J419" t="str">
            <v>NO_CURRENCIES</v>
          </cell>
          <cell r="K419">
            <v>8100</v>
          </cell>
        </row>
        <row r="420">
          <cell r="C420" t="str">
            <v>E5391</v>
          </cell>
          <cell r="D420" t="str">
            <v>NO_DATAVIEWS</v>
          </cell>
          <cell r="E420" t="str">
            <v>NO_DEPARTMENTS</v>
          </cell>
          <cell r="F420" t="str">
            <v>NO_CATEGORIES</v>
          </cell>
          <cell r="G420" t="str">
            <v>NO_OBJECTS</v>
          </cell>
          <cell r="H420" t="str">
            <v>NO_DETAILS</v>
          </cell>
          <cell r="I420" t="str">
            <v>NO_SCENARIOS</v>
          </cell>
          <cell r="J420" t="str">
            <v>NO_CURRENCIES</v>
          </cell>
          <cell r="K420">
            <v>8100</v>
          </cell>
        </row>
        <row r="421">
          <cell r="C421" t="str">
            <v>E5392</v>
          </cell>
          <cell r="D421" t="str">
            <v>NO_DATAVIEWS</v>
          </cell>
          <cell r="E421" t="str">
            <v>NO_DEPARTMENTS</v>
          </cell>
          <cell r="F421" t="str">
            <v>NO_CATEGORIES</v>
          </cell>
          <cell r="G421" t="str">
            <v>NO_OBJECTS</v>
          </cell>
          <cell r="H421" t="str">
            <v>NO_DETAILS</v>
          </cell>
          <cell r="I421" t="str">
            <v>NO_SCENARIOS</v>
          </cell>
          <cell r="J421" t="str">
            <v>NO_CURRENCIES</v>
          </cell>
          <cell r="K421">
            <v>8000</v>
          </cell>
        </row>
        <row r="422">
          <cell r="C422" t="str">
            <v>E5392</v>
          </cell>
          <cell r="D422" t="str">
            <v>NO_DATAVIEWS</v>
          </cell>
          <cell r="E422" t="str">
            <v>NO_DEPARTMENTS</v>
          </cell>
          <cell r="F422" t="str">
            <v>NO_CATEGORIES</v>
          </cell>
          <cell r="G422" t="str">
            <v>NO_OBJECTS</v>
          </cell>
          <cell r="H422" t="str">
            <v>NO_DETAILS</v>
          </cell>
          <cell r="I422" t="str">
            <v>NO_SCENARIOS</v>
          </cell>
          <cell r="J422" t="str">
            <v>NO_CURRENCIES</v>
          </cell>
          <cell r="K422">
            <v>8000</v>
          </cell>
        </row>
        <row r="423">
          <cell r="C423" t="str">
            <v>E5392</v>
          </cell>
          <cell r="D423" t="str">
            <v>NO_DATAVIEWS</v>
          </cell>
          <cell r="E423" t="str">
            <v>NO_DEPARTMENTS</v>
          </cell>
          <cell r="F423" t="str">
            <v>NO_CATEGORIES</v>
          </cell>
          <cell r="G423" t="str">
            <v>NO_OBJECTS</v>
          </cell>
          <cell r="H423" t="str">
            <v>NO_DETAILS</v>
          </cell>
          <cell r="I423" t="str">
            <v>NO_SCENARIOS</v>
          </cell>
          <cell r="J423" t="str">
            <v>NO_CURRENCIES</v>
          </cell>
          <cell r="K423">
            <v>8000</v>
          </cell>
        </row>
        <row r="424">
          <cell r="C424" t="str">
            <v>E5392</v>
          </cell>
          <cell r="D424" t="str">
            <v>NO_DATAVIEWS</v>
          </cell>
          <cell r="E424" t="str">
            <v>NO_DEPARTMENTS</v>
          </cell>
          <cell r="F424" t="str">
            <v>NO_CATEGORIES</v>
          </cell>
          <cell r="G424" t="str">
            <v>NO_OBJECTS</v>
          </cell>
          <cell r="H424" t="str">
            <v>NO_DETAILS</v>
          </cell>
          <cell r="I424" t="str">
            <v>NO_SCENARIOS</v>
          </cell>
          <cell r="J424" t="str">
            <v>NO_CURRENCIES</v>
          </cell>
          <cell r="K424">
            <v>8000</v>
          </cell>
        </row>
        <row r="425">
          <cell r="C425" t="str">
            <v>E5392</v>
          </cell>
          <cell r="D425" t="str">
            <v>NO_DATAVIEWS</v>
          </cell>
          <cell r="E425" t="str">
            <v>NO_DEPARTMENTS</v>
          </cell>
          <cell r="F425" t="str">
            <v>NO_CATEGORIES</v>
          </cell>
          <cell r="G425" t="str">
            <v>NO_OBJECTS</v>
          </cell>
          <cell r="H425" t="str">
            <v>NO_DETAILS</v>
          </cell>
          <cell r="I425" t="str">
            <v>NO_SCENARIOS</v>
          </cell>
          <cell r="J425" t="str">
            <v>NO_CURRENCIES</v>
          </cell>
          <cell r="K425">
            <v>8000</v>
          </cell>
        </row>
        <row r="426">
          <cell r="C426" t="str">
            <v>E5392</v>
          </cell>
          <cell r="D426" t="str">
            <v>NO_DATAVIEWS</v>
          </cell>
          <cell r="E426" t="str">
            <v>NO_DEPARTMENTS</v>
          </cell>
          <cell r="F426" t="str">
            <v>NO_CATEGORIES</v>
          </cell>
          <cell r="G426" t="str">
            <v>NO_OBJECTS</v>
          </cell>
          <cell r="H426" t="str">
            <v>NO_DETAILS</v>
          </cell>
          <cell r="I426" t="str">
            <v>NO_SCENARIOS</v>
          </cell>
          <cell r="J426" t="str">
            <v>NO_CURRENCIES</v>
          </cell>
          <cell r="K426">
            <v>8000</v>
          </cell>
        </row>
        <row r="427">
          <cell r="C427" t="str">
            <v>E5392</v>
          </cell>
          <cell r="D427" t="str">
            <v>NO_DATAVIEWS</v>
          </cell>
          <cell r="E427" t="str">
            <v>NO_DEPARTMENTS</v>
          </cell>
          <cell r="F427" t="str">
            <v>NO_CATEGORIES</v>
          </cell>
          <cell r="G427" t="str">
            <v>NO_OBJECTS</v>
          </cell>
          <cell r="H427" t="str">
            <v>NO_DETAILS</v>
          </cell>
          <cell r="I427" t="str">
            <v>NO_SCENARIOS</v>
          </cell>
          <cell r="J427" t="str">
            <v>NO_CURRENCIES</v>
          </cell>
          <cell r="K427">
            <v>8000</v>
          </cell>
        </row>
        <row r="428">
          <cell r="C428" t="str">
            <v>E5392</v>
          </cell>
          <cell r="D428" t="str">
            <v>NO_DATAVIEWS</v>
          </cell>
          <cell r="E428" t="str">
            <v>NO_DEPARTMENTS</v>
          </cell>
          <cell r="F428" t="str">
            <v>NO_CATEGORIES</v>
          </cell>
          <cell r="G428" t="str">
            <v>NO_OBJECTS</v>
          </cell>
          <cell r="H428" t="str">
            <v>NO_DETAILS</v>
          </cell>
          <cell r="I428" t="str">
            <v>NO_SCENARIOS</v>
          </cell>
          <cell r="J428" t="str">
            <v>NO_CURRENCIES</v>
          </cell>
          <cell r="K428">
            <v>8000</v>
          </cell>
        </row>
        <row r="429">
          <cell r="C429" t="str">
            <v>E5392</v>
          </cell>
          <cell r="D429" t="str">
            <v>NO_DATAVIEWS</v>
          </cell>
          <cell r="E429" t="str">
            <v>NO_DEPARTMENTS</v>
          </cell>
          <cell r="F429" t="str">
            <v>NO_CATEGORIES</v>
          </cell>
          <cell r="G429" t="str">
            <v>NO_OBJECTS</v>
          </cell>
          <cell r="H429" t="str">
            <v>NO_DETAILS</v>
          </cell>
          <cell r="I429" t="str">
            <v>NO_SCENARIOS</v>
          </cell>
          <cell r="J429" t="str">
            <v>NO_CURRENCIES</v>
          </cell>
          <cell r="K429">
            <v>8000</v>
          </cell>
        </row>
        <row r="430">
          <cell r="C430" t="str">
            <v>E5392</v>
          </cell>
          <cell r="D430" t="str">
            <v>NO_DATAVIEWS</v>
          </cell>
          <cell r="E430" t="str">
            <v>NO_DEPARTMENTS</v>
          </cell>
          <cell r="F430" t="str">
            <v>NO_CATEGORIES</v>
          </cell>
          <cell r="G430" t="str">
            <v>NO_OBJECTS</v>
          </cell>
          <cell r="H430" t="str">
            <v>NO_DETAILS</v>
          </cell>
          <cell r="I430" t="str">
            <v>NO_SCENARIOS</v>
          </cell>
          <cell r="J430" t="str">
            <v>NO_CURRENCIES</v>
          </cell>
          <cell r="K430">
            <v>8000</v>
          </cell>
        </row>
        <row r="431">
          <cell r="C431" t="str">
            <v>E5392</v>
          </cell>
          <cell r="D431" t="str">
            <v>NO_DATAVIEWS</v>
          </cell>
          <cell r="E431" t="str">
            <v>NO_DEPARTMENTS</v>
          </cell>
          <cell r="F431" t="str">
            <v>NO_CATEGORIES</v>
          </cell>
          <cell r="G431" t="str">
            <v>NO_OBJECTS</v>
          </cell>
          <cell r="H431" t="str">
            <v>NO_DETAILS</v>
          </cell>
          <cell r="I431" t="str">
            <v>NO_SCENARIOS</v>
          </cell>
          <cell r="J431" t="str">
            <v>NO_CURRENCIES</v>
          </cell>
          <cell r="K431">
            <v>8000</v>
          </cell>
        </row>
        <row r="432">
          <cell r="C432" t="str">
            <v>E5392</v>
          </cell>
          <cell r="D432" t="str">
            <v>NO_DATAVIEWS</v>
          </cell>
          <cell r="E432" t="str">
            <v>NO_DEPARTMENTS</v>
          </cell>
          <cell r="F432" t="str">
            <v>NO_CATEGORIES</v>
          </cell>
          <cell r="G432" t="str">
            <v>NO_OBJECTS</v>
          </cell>
          <cell r="H432" t="str">
            <v>NO_DETAILS</v>
          </cell>
          <cell r="I432" t="str">
            <v>NO_SCENARIOS</v>
          </cell>
          <cell r="J432" t="str">
            <v>NO_CURRENCIES</v>
          </cell>
          <cell r="K432">
            <v>8000</v>
          </cell>
        </row>
        <row r="433">
          <cell r="C433" t="str">
            <v>E5396</v>
          </cell>
          <cell r="D433" t="str">
            <v>NO_DATAVIEWS</v>
          </cell>
          <cell r="E433" t="str">
            <v>NO_DEPARTMENTS</v>
          </cell>
          <cell r="F433" t="str">
            <v>NO_CATEGORIES</v>
          </cell>
          <cell r="G433" t="str">
            <v>NO_OBJECTS</v>
          </cell>
          <cell r="H433" t="str">
            <v>NO_DETAILS</v>
          </cell>
          <cell r="I433" t="str">
            <v>NO_SCENARIOS</v>
          </cell>
          <cell r="J433" t="str">
            <v>NO_CURRENCIES</v>
          </cell>
          <cell r="K433">
            <v>12000</v>
          </cell>
        </row>
        <row r="434">
          <cell r="C434" t="str">
            <v>E5396</v>
          </cell>
          <cell r="D434" t="str">
            <v>NO_DATAVIEWS</v>
          </cell>
          <cell r="E434" t="str">
            <v>NO_DEPARTMENTS</v>
          </cell>
          <cell r="F434" t="str">
            <v>NO_CATEGORIES</v>
          </cell>
          <cell r="G434" t="str">
            <v>NO_OBJECTS</v>
          </cell>
          <cell r="H434" t="str">
            <v>NO_DETAILS</v>
          </cell>
          <cell r="I434" t="str">
            <v>NO_SCENARIOS</v>
          </cell>
          <cell r="J434" t="str">
            <v>NO_CURRENCIES</v>
          </cell>
          <cell r="K434">
            <v>12000</v>
          </cell>
        </row>
        <row r="435">
          <cell r="C435" t="str">
            <v>E5396</v>
          </cell>
          <cell r="D435" t="str">
            <v>NO_DATAVIEWS</v>
          </cell>
          <cell r="E435" t="str">
            <v>NO_DEPARTMENTS</v>
          </cell>
          <cell r="F435" t="str">
            <v>NO_CATEGORIES</v>
          </cell>
          <cell r="G435" t="str">
            <v>NO_OBJECTS</v>
          </cell>
          <cell r="H435" t="str">
            <v>NO_DETAILS</v>
          </cell>
          <cell r="I435" t="str">
            <v>NO_SCENARIOS</v>
          </cell>
          <cell r="J435" t="str">
            <v>NO_CURRENCIES</v>
          </cell>
          <cell r="K435">
            <v>12000</v>
          </cell>
        </row>
        <row r="436">
          <cell r="C436" t="str">
            <v>E5396</v>
          </cell>
          <cell r="D436" t="str">
            <v>NO_DATAVIEWS</v>
          </cell>
          <cell r="E436" t="str">
            <v>NO_DEPARTMENTS</v>
          </cell>
          <cell r="F436" t="str">
            <v>NO_CATEGORIES</v>
          </cell>
          <cell r="G436" t="str">
            <v>NO_OBJECTS</v>
          </cell>
          <cell r="H436" t="str">
            <v>NO_DETAILS</v>
          </cell>
          <cell r="I436" t="str">
            <v>NO_SCENARIOS</v>
          </cell>
          <cell r="J436" t="str">
            <v>NO_CURRENCIES</v>
          </cell>
          <cell r="K436">
            <v>12000</v>
          </cell>
        </row>
        <row r="437">
          <cell r="C437" t="str">
            <v>E5396</v>
          </cell>
          <cell r="D437" t="str">
            <v>NO_DATAVIEWS</v>
          </cell>
          <cell r="E437" t="str">
            <v>NO_DEPARTMENTS</v>
          </cell>
          <cell r="F437" t="str">
            <v>NO_CATEGORIES</v>
          </cell>
          <cell r="G437" t="str">
            <v>NO_OBJECTS</v>
          </cell>
          <cell r="H437" t="str">
            <v>NO_DETAILS</v>
          </cell>
          <cell r="I437" t="str">
            <v>NO_SCENARIOS</v>
          </cell>
          <cell r="J437" t="str">
            <v>NO_CURRENCIES</v>
          </cell>
          <cell r="K437">
            <v>12000</v>
          </cell>
        </row>
        <row r="438">
          <cell r="C438" t="str">
            <v>E5396</v>
          </cell>
          <cell r="D438" t="str">
            <v>NO_DATAVIEWS</v>
          </cell>
          <cell r="E438" t="str">
            <v>NO_DEPARTMENTS</v>
          </cell>
          <cell r="F438" t="str">
            <v>NO_CATEGORIES</v>
          </cell>
          <cell r="G438" t="str">
            <v>NO_OBJECTS</v>
          </cell>
          <cell r="H438" t="str">
            <v>NO_DETAILS</v>
          </cell>
          <cell r="I438" t="str">
            <v>NO_SCENARIOS</v>
          </cell>
          <cell r="J438" t="str">
            <v>NO_CURRENCIES</v>
          </cell>
          <cell r="K438">
            <v>12000</v>
          </cell>
        </row>
        <row r="439">
          <cell r="C439" t="str">
            <v>E5396</v>
          </cell>
          <cell r="D439" t="str">
            <v>NO_DATAVIEWS</v>
          </cell>
          <cell r="E439" t="str">
            <v>NO_DEPARTMENTS</v>
          </cell>
          <cell r="F439" t="str">
            <v>NO_CATEGORIES</v>
          </cell>
          <cell r="G439" t="str">
            <v>NO_OBJECTS</v>
          </cell>
          <cell r="H439" t="str">
            <v>NO_DETAILS</v>
          </cell>
          <cell r="I439" t="str">
            <v>NO_SCENARIOS</v>
          </cell>
          <cell r="J439" t="str">
            <v>NO_CURRENCIES</v>
          </cell>
          <cell r="K439">
            <v>12000</v>
          </cell>
        </row>
        <row r="440">
          <cell r="C440" t="str">
            <v>E5396</v>
          </cell>
          <cell r="D440" t="str">
            <v>NO_DATAVIEWS</v>
          </cell>
          <cell r="E440" t="str">
            <v>NO_DEPARTMENTS</v>
          </cell>
          <cell r="F440" t="str">
            <v>NO_CATEGORIES</v>
          </cell>
          <cell r="G440" t="str">
            <v>NO_OBJECTS</v>
          </cell>
          <cell r="H440" t="str">
            <v>NO_DETAILS</v>
          </cell>
          <cell r="I440" t="str">
            <v>NO_SCENARIOS</v>
          </cell>
          <cell r="J440" t="str">
            <v>NO_CURRENCIES</v>
          </cell>
          <cell r="K440">
            <v>12000</v>
          </cell>
        </row>
        <row r="441">
          <cell r="C441" t="str">
            <v>E5396</v>
          </cell>
          <cell r="D441" t="str">
            <v>NO_DATAVIEWS</v>
          </cell>
          <cell r="E441" t="str">
            <v>NO_DEPARTMENTS</v>
          </cell>
          <cell r="F441" t="str">
            <v>NO_CATEGORIES</v>
          </cell>
          <cell r="G441" t="str">
            <v>NO_OBJECTS</v>
          </cell>
          <cell r="H441" t="str">
            <v>NO_DETAILS</v>
          </cell>
          <cell r="I441" t="str">
            <v>NO_SCENARIOS</v>
          </cell>
          <cell r="J441" t="str">
            <v>NO_CURRENCIES</v>
          </cell>
          <cell r="K441">
            <v>12000</v>
          </cell>
        </row>
        <row r="442">
          <cell r="C442" t="str">
            <v>E5396</v>
          </cell>
          <cell r="D442" t="str">
            <v>NO_DATAVIEWS</v>
          </cell>
          <cell r="E442" t="str">
            <v>NO_DEPARTMENTS</v>
          </cell>
          <cell r="F442" t="str">
            <v>NO_CATEGORIES</v>
          </cell>
          <cell r="G442" t="str">
            <v>NO_OBJECTS</v>
          </cell>
          <cell r="H442" t="str">
            <v>NO_DETAILS</v>
          </cell>
          <cell r="I442" t="str">
            <v>NO_SCENARIOS</v>
          </cell>
          <cell r="J442" t="str">
            <v>NO_CURRENCIES</v>
          </cell>
          <cell r="K442">
            <v>12000</v>
          </cell>
        </row>
        <row r="443">
          <cell r="C443" t="str">
            <v>E5396</v>
          </cell>
          <cell r="D443" t="str">
            <v>NO_DATAVIEWS</v>
          </cell>
          <cell r="E443" t="str">
            <v>NO_DEPARTMENTS</v>
          </cell>
          <cell r="F443" t="str">
            <v>NO_CATEGORIES</v>
          </cell>
          <cell r="G443" t="str">
            <v>NO_OBJECTS</v>
          </cell>
          <cell r="H443" t="str">
            <v>NO_DETAILS</v>
          </cell>
          <cell r="I443" t="str">
            <v>NO_SCENARIOS</v>
          </cell>
          <cell r="J443" t="str">
            <v>NO_CURRENCIES</v>
          </cell>
          <cell r="K443">
            <v>12000</v>
          </cell>
        </row>
        <row r="444">
          <cell r="C444" t="str">
            <v>E5396</v>
          </cell>
          <cell r="D444" t="str">
            <v>NO_DATAVIEWS</v>
          </cell>
          <cell r="E444" t="str">
            <v>NO_DEPARTMENTS</v>
          </cell>
          <cell r="F444" t="str">
            <v>NO_CATEGORIES</v>
          </cell>
          <cell r="G444" t="str">
            <v>NO_OBJECTS</v>
          </cell>
          <cell r="H444" t="str">
            <v>NO_DETAILS</v>
          </cell>
          <cell r="I444" t="str">
            <v>NO_SCENARIOS</v>
          </cell>
          <cell r="J444" t="str">
            <v>NO_CURRENCIES</v>
          </cell>
          <cell r="K444">
            <v>12000</v>
          </cell>
        </row>
        <row r="445">
          <cell r="C445" t="str">
            <v>E5398</v>
          </cell>
          <cell r="D445" t="str">
            <v>NO_DATAVIEWS</v>
          </cell>
          <cell r="E445" t="str">
            <v>NO_DEPARTMENTS</v>
          </cell>
          <cell r="F445" t="str">
            <v>NO_CATEGORIES</v>
          </cell>
          <cell r="G445" t="str">
            <v>NO_OBJECTS</v>
          </cell>
          <cell r="H445" t="str">
            <v>NO_DETAILS</v>
          </cell>
          <cell r="I445" t="str">
            <v>NO_SCENARIOS</v>
          </cell>
          <cell r="J445" t="str">
            <v>NO_CURRENCIES</v>
          </cell>
          <cell r="K445">
            <v>18000</v>
          </cell>
        </row>
        <row r="446">
          <cell r="C446" t="str">
            <v>E5398</v>
          </cell>
          <cell r="D446" t="str">
            <v>NO_DATAVIEWS</v>
          </cell>
          <cell r="E446" t="str">
            <v>NO_DEPARTMENTS</v>
          </cell>
          <cell r="F446" t="str">
            <v>NO_CATEGORIES</v>
          </cell>
          <cell r="G446" t="str">
            <v>NO_OBJECTS</v>
          </cell>
          <cell r="H446" t="str">
            <v>NO_DETAILS</v>
          </cell>
          <cell r="I446" t="str">
            <v>NO_SCENARIOS</v>
          </cell>
          <cell r="J446" t="str">
            <v>NO_CURRENCIES</v>
          </cell>
          <cell r="K446">
            <v>18000</v>
          </cell>
        </row>
        <row r="447">
          <cell r="C447" t="str">
            <v>E5398</v>
          </cell>
          <cell r="D447" t="str">
            <v>NO_DATAVIEWS</v>
          </cell>
          <cell r="E447" t="str">
            <v>NO_DEPARTMENTS</v>
          </cell>
          <cell r="F447" t="str">
            <v>NO_CATEGORIES</v>
          </cell>
          <cell r="G447" t="str">
            <v>NO_OBJECTS</v>
          </cell>
          <cell r="H447" t="str">
            <v>NO_DETAILS</v>
          </cell>
          <cell r="I447" t="str">
            <v>NO_SCENARIOS</v>
          </cell>
          <cell r="J447" t="str">
            <v>NO_CURRENCIES</v>
          </cell>
          <cell r="K447">
            <v>18000</v>
          </cell>
        </row>
        <row r="448">
          <cell r="C448" t="str">
            <v>E5398</v>
          </cell>
          <cell r="D448" t="str">
            <v>NO_DATAVIEWS</v>
          </cell>
          <cell r="E448" t="str">
            <v>NO_DEPARTMENTS</v>
          </cell>
          <cell r="F448" t="str">
            <v>NO_CATEGORIES</v>
          </cell>
          <cell r="G448" t="str">
            <v>NO_OBJECTS</v>
          </cell>
          <cell r="H448" t="str">
            <v>NO_DETAILS</v>
          </cell>
          <cell r="I448" t="str">
            <v>NO_SCENARIOS</v>
          </cell>
          <cell r="J448" t="str">
            <v>NO_CURRENCIES</v>
          </cell>
          <cell r="K448">
            <v>18000</v>
          </cell>
        </row>
        <row r="449">
          <cell r="C449" t="str">
            <v>E5398</v>
          </cell>
          <cell r="D449" t="str">
            <v>NO_DATAVIEWS</v>
          </cell>
          <cell r="E449" t="str">
            <v>NO_DEPARTMENTS</v>
          </cell>
          <cell r="F449" t="str">
            <v>NO_CATEGORIES</v>
          </cell>
          <cell r="G449" t="str">
            <v>NO_OBJECTS</v>
          </cell>
          <cell r="H449" t="str">
            <v>NO_DETAILS</v>
          </cell>
          <cell r="I449" t="str">
            <v>NO_SCENARIOS</v>
          </cell>
          <cell r="J449" t="str">
            <v>NO_CURRENCIES</v>
          </cell>
          <cell r="K449">
            <v>18000</v>
          </cell>
        </row>
        <row r="450">
          <cell r="C450" t="str">
            <v>E5398</v>
          </cell>
          <cell r="D450" t="str">
            <v>NO_DATAVIEWS</v>
          </cell>
          <cell r="E450" t="str">
            <v>NO_DEPARTMENTS</v>
          </cell>
          <cell r="F450" t="str">
            <v>NO_CATEGORIES</v>
          </cell>
          <cell r="G450" t="str">
            <v>NO_OBJECTS</v>
          </cell>
          <cell r="H450" t="str">
            <v>NO_DETAILS</v>
          </cell>
          <cell r="I450" t="str">
            <v>NO_SCENARIOS</v>
          </cell>
          <cell r="J450" t="str">
            <v>NO_CURRENCIES</v>
          </cell>
          <cell r="K450">
            <v>18000</v>
          </cell>
        </row>
        <row r="451">
          <cell r="C451" t="str">
            <v>E5398</v>
          </cell>
          <cell r="D451" t="str">
            <v>NO_DATAVIEWS</v>
          </cell>
          <cell r="E451" t="str">
            <v>NO_DEPARTMENTS</v>
          </cell>
          <cell r="F451" t="str">
            <v>NO_CATEGORIES</v>
          </cell>
          <cell r="G451" t="str">
            <v>NO_OBJECTS</v>
          </cell>
          <cell r="H451" t="str">
            <v>NO_DETAILS</v>
          </cell>
          <cell r="I451" t="str">
            <v>NO_SCENARIOS</v>
          </cell>
          <cell r="J451" t="str">
            <v>NO_CURRENCIES</v>
          </cell>
          <cell r="K451">
            <v>18000</v>
          </cell>
        </row>
        <row r="452">
          <cell r="C452" t="str">
            <v>E5398</v>
          </cell>
          <cell r="D452" t="str">
            <v>NO_DATAVIEWS</v>
          </cell>
          <cell r="E452" t="str">
            <v>NO_DEPARTMENTS</v>
          </cell>
          <cell r="F452" t="str">
            <v>NO_CATEGORIES</v>
          </cell>
          <cell r="G452" t="str">
            <v>NO_OBJECTS</v>
          </cell>
          <cell r="H452" t="str">
            <v>NO_DETAILS</v>
          </cell>
          <cell r="I452" t="str">
            <v>NO_SCENARIOS</v>
          </cell>
          <cell r="J452" t="str">
            <v>NO_CURRENCIES</v>
          </cell>
          <cell r="K452">
            <v>18000</v>
          </cell>
        </row>
        <row r="453">
          <cell r="C453" t="str">
            <v>E5398</v>
          </cell>
          <cell r="D453" t="str">
            <v>NO_DATAVIEWS</v>
          </cell>
          <cell r="E453" t="str">
            <v>NO_DEPARTMENTS</v>
          </cell>
          <cell r="F453" t="str">
            <v>NO_CATEGORIES</v>
          </cell>
          <cell r="G453" t="str">
            <v>NO_OBJECTS</v>
          </cell>
          <cell r="H453" t="str">
            <v>NO_DETAILS</v>
          </cell>
          <cell r="I453" t="str">
            <v>NO_SCENARIOS</v>
          </cell>
          <cell r="J453" t="str">
            <v>NO_CURRENCIES</v>
          </cell>
          <cell r="K453">
            <v>18000</v>
          </cell>
        </row>
        <row r="454">
          <cell r="C454" t="str">
            <v>E5398</v>
          </cell>
          <cell r="D454" t="str">
            <v>NO_DATAVIEWS</v>
          </cell>
          <cell r="E454" t="str">
            <v>NO_DEPARTMENTS</v>
          </cell>
          <cell r="F454" t="str">
            <v>NO_CATEGORIES</v>
          </cell>
          <cell r="G454" t="str">
            <v>NO_OBJECTS</v>
          </cell>
          <cell r="H454" t="str">
            <v>NO_DETAILS</v>
          </cell>
          <cell r="I454" t="str">
            <v>NO_SCENARIOS</v>
          </cell>
          <cell r="J454" t="str">
            <v>NO_CURRENCIES</v>
          </cell>
          <cell r="K454">
            <v>18000</v>
          </cell>
        </row>
        <row r="455">
          <cell r="C455" t="str">
            <v>E5398</v>
          </cell>
          <cell r="D455" t="str">
            <v>NO_DATAVIEWS</v>
          </cell>
          <cell r="E455" t="str">
            <v>NO_DEPARTMENTS</v>
          </cell>
          <cell r="F455" t="str">
            <v>NO_CATEGORIES</v>
          </cell>
          <cell r="G455" t="str">
            <v>NO_OBJECTS</v>
          </cell>
          <cell r="H455" t="str">
            <v>NO_DETAILS</v>
          </cell>
          <cell r="I455" t="str">
            <v>NO_SCENARIOS</v>
          </cell>
          <cell r="J455" t="str">
            <v>NO_CURRENCIES</v>
          </cell>
          <cell r="K455">
            <v>18000</v>
          </cell>
        </row>
        <row r="456">
          <cell r="C456" t="str">
            <v>E5398</v>
          </cell>
          <cell r="D456" t="str">
            <v>NO_DATAVIEWS</v>
          </cell>
          <cell r="E456" t="str">
            <v>NO_DEPARTMENTS</v>
          </cell>
          <cell r="F456" t="str">
            <v>NO_CATEGORIES</v>
          </cell>
          <cell r="G456" t="str">
            <v>NO_OBJECTS</v>
          </cell>
          <cell r="H456" t="str">
            <v>NO_DETAILS</v>
          </cell>
          <cell r="I456" t="str">
            <v>NO_SCENARIOS</v>
          </cell>
          <cell r="J456" t="str">
            <v>NO_CURRENCIES</v>
          </cell>
          <cell r="K456">
            <v>18000</v>
          </cell>
        </row>
        <row r="457">
          <cell r="C457" t="str">
            <v>E5393</v>
          </cell>
          <cell r="D457" t="str">
            <v>NO_DATAVIEWS</v>
          </cell>
          <cell r="E457" t="str">
            <v>NO_DEPARTMENTS</v>
          </cell>
          <cell r="F457" t="str">
            <v>NO_CATEGORIES</v>
          </cell>
          <cell r="G457" t="str">
            <v>NO_OBJECTS</v>
          </cell>
          <cell r="H457" t="str">
            <v>NO_DETAILS</v>
          </cell>
          <cell r="I457" t="str">
            <v>NO_SCENARIOS</v>
          </cell>
          <cell r="J457" t="str">
            <v>NO_CURRENCIES</v>
          </cell>
          <cell r="K457">
            <v>30000</v>
          </cell>
        </row>
        <row r="458">
          <cell r="C458" t="str">
            <v>E5393</v>
          </cell>
          <cell r="D458" t="str">
            <v>NO_DATAVIEWS</v>
          </cell>
          <cell r="E458" t="str">
            <v>NO_DEPARTMENTS</v>
          </cell>
          <cell r="F458" t="str">
            <v>NO_CATEGORIES</v>
          </cell>
          <cell r="G458" t="str">
            <v>NO_OBJECTS</v>
          </cell>
          <cell r="H458" t="str">
            <v>NO_DETAILS</v>
          </cell>
          <cell r="I458" t="str">
            <v>NO_SCENARIOS</v>
          </cell>
          <cell r="J458" t="str">
            <v>NO_CURRENCIES</v>
          </cell>
          <cell r="K458">
            <v>30000</v>
          </cell>
        </row>
        <row r="459">
          <cell r="C459" t="str">
            <v>E5393</v>
          </cell>
          <cell r="D459" t="str">
            <v>NO_DATAVIEWS</v>
          </cell>
          <cell r="E459" t="str">
            <v>NO_DEPARTMENTS</v>
          </cell>
          <cell r="F459" t="str">
            <v>NO_CATEGORIES</v>
          </cell>
          <cell r="G459" t="str">
            <v>NO_OBJECTS</v>
          </cell>
          <cell r="H459" t="str">
            <v>NO_DETAILS</v>
          </cell>
          <cell r="I459" t="str">
            <v>NO_SCENARIOS</v>
          </cell>
          <cell r="J459" t="str">
            <v>NO_CURRENCIES</v>
          </cell>
          <cell r="K459">
            <v>30000</v>
          </cell>
        </row>
        <row r="460">
          <cell r="C460" t="str">
            <v>E5393</v>
          </cell>
          <cell r="D460" t="str">
            <v>NO_DATAVIEWS</v>
          </cell>
          <cell r="E460" t="str">
            <v>NO_DEPARTMENTS</v>
          </cell>
          <cell r="F460" t="str">
            <v>NO_CATEGORIES</v>
          </cell>
          <cell r="G460" t="str">
            <v>NO_OBJECTS</v>
          </cell>
          <cell r="H460" t="str">
            <v>NO_DETAILS</v>
          </cell>
          <cell r="I460" t="str">
            <v>NO_SCENARIOS</v>
          </cell>
          <cell r="J460" t="str">
            <v>NO_CURRENCIES</v>
          </cell>
          <cell r="K460">
            <v>30000</v>
          </cell>
        </row>
        <row r="461">
          <cell r="C461" t="str">
            <v>E5393</v>
          </cell>
          <cell r="D461" t="str">
            <v>NO_DATAVIEWS</v>
          </cell>
          <cell r="E461" t="str">
            <v>NO_DEPARTMENTS</v>
          </cell>
          <cell r="F461" t="str">
            <v>NO_CATEGORIES</v>
          </cell>
          <cell r="G461" t="str">
            <v>NO_OBJECTS</v>
          </cell>
          <cell r="H461" t="str">
            <v>NO_DETAILS</v>
          </cell>
          <cell r="I461" t="str">
            <v>NO_SCENARIOS</v>
          </cell>
          <cell r="J461" t="str">
            <v>NO_CURRENCIES</v>
          </cell>
          <cell r="K461">
            <v>30000</v>
          </cell>
        </row>
        <row r="462">
          <cell r="C462" t="str">
            <v>E5393</v>
          </cell>
          <cell r="D462" t="str">
            <v>NO_DATAVIEWS</v>
          </cell>
          <cell r="E462" t="str">
            <v>NO_DEPARTMENTS</v>
          </cell>
          <cell r="F462" t="str">
            <v>NO_CATEGORIES</v>
          </cell>
          <cell r="G462" t="str">
            <v>NO_OBJECTS</v>
          </cell>
          <cell r="H462" t="str">
            <v>NO_DETAILS</v>
          </cell>
          <cell r="I462" t="str">
            <v>NO_SCENARIOS</v>
          </cell>
          <cell r="J462" t="str">
            <v>NO_CURRENCIES</v>
          </cell>
          <cell r="K462">
            <v>30000</v>
          </cell>
        </row>
        <row r="463">
          <cell r="C463" t="str">
            <v>E5393</v>
          </cell>
          <cell r="D463" t="str">
            <v>NO_DATAVIEWS</v>
          </cell>
          <cell r="E463" t="str">
            <v>NO_DEPARTMENTS</v>
          </cell>
          <cell r="F463" t="str">
            <v>NO_CATEGORIES</v>
          </cell>
          <cell r="G463" t="str">
            <v>NO_OBJECTS</v>
          </cell>
          <cell r="H463" t="str">
            <v>NO_DETAILS</v>
          </cell>
          <cell r="I463" t="str">
            <v>NO_SCENARIOS</v>
          </cell>
          <cell r="J463" t="str">
            <v>NO_CURRENCIES</v>
          </cell>
          <cell r="K463">
            <v>30000</v>
          </cell>
        </row>
        <row r="464">
          <cell r="C464" t="str">
            <v>E5393</v>
          </cell>
          <cell r="D464" t="str">
            <v>NO_DATAVIEWS</v>
          </cell>
          <cell r="E464" t="str">
            <v>NO_DEPARTMENTS</v>
          </cell>
          <cell r="F464" t="str">
            <v>NO_CATEGORIES</v>
          </cell>
          <cell r="G464" t="str">
            <v>NO_OBJECTS</v>
          </cell>
          <cell r="H464" t="str">
            <v>NO_DETAILS</v>
          </cell>
          <cell r="I464" t="str">
            <v>NO_SCENARIOS</v>
          </cell>
          <cell r="J464" t="str">
            <v>NO_CURRENCIES</v>
          </cell>
          <cell r="K464">
            <v>30000</v>
          </cell>
        </row>
        <row r="465">
          <cell r="C465" t="str">
            <v>E5393</v>
          </cell>
          <cell r="D465" t="str">
            <v>NO_DATAVIEWS</v>
          </cell>
          <cell r="E465" t="str">
            <v>NO_DEPARTMENTS</v>
          </cell>
          <cell r="F465" t="str">
            <v>NO_CATEGORIES</v>
          </cell>
          <cell r="G465" t="str">
            <v>NO_OBJECTS</v>
          </cell>
          <cell r="H465" t="str">
            <v>NO_DETAILS</v>
          </cell>
          <cell r="I465" t="str">
            <v>NO_SCENARIOS</v>
          </cell>
          <cell r="J465" t="str">
            <v>NO_CURRENCIES</v>
          </cell>
          <cell r="K465">
            <v>30000</v>
          </cell>
        </row>
        <row r="466">
          <cell r="C466" t="str">
            <v>E5393</v>
          </cell>
          <cell r="D466" t="str">
            <v>NO_DATAVIEWS</v>
          </cell>
          <cell r="E466" t="str">
            <v>NO_DEPARTMENTS</v>
          </cell>
          <cell r="F466" t="str">
            <v>NO_CATEGORIES</v>
          </cell>
          <cell r="G466" t="str">
            <v>NO_OBJECTS</v>
          </cell>
          <cell r="H466" t="str">
            <v>NO_DETAILS</v>
          </cell>
          <cell r="I466" t="str">
            <v>NO_SCENARIOS</v>
          </cell>
          <cell r="J466" t="str">
            <v>NO_CURRENCIES</v>
          </cell>
          <cell r="K466">
            <v>30000</v>
          </cell>
        </row>
        <row r="467">
          <cell r="C467" t="str">
            <v>E5393</v>
          </cell>
          <cell r="D467" t="str">
            <v>NO_DATAVIEWS</v>
          </cell>
          <cell r="E467" t="str">
            <v>NO_DEPARTMENTS</v>
          </cell>
          <cell r="F467" t="str">
            <v>NO_CATEGORIES</v>
          </cell>
          <cell r="G467" t="str">
            <v>NO_OBJECTS</v>
          </cell>
          <cell r="H467" t="str">
            <v>NO_DETAILS</v>
          </cell>
          <cell r="I467" t="str">
            <v>NO_SCENARIOS</v>
          </cell>
          <cell r="J467" t="str">
            <v>NO_CURRENCIES</v>
          </cell>
          <cell r="K467">
            <v>30000</v>
          </cell>
        </row>
        <row r="468">
          <cell r="C468" t="str">
            <v>E5393</v>
          </cell>
          <cell r="D468" t="str">
            <v>NO_DATAVIEWS</v>
          </cell>
          <cell r="E468" t="str">
            <v>NO_DEPARTMENTS</v>
          </cell>
          <cell r="F468" t="str">
            <v>NO_CATEGORIES</v>
          </cell>
          <cell r="G468" t="str">
            <v>NO_OBJECTS</v>
          </cell>
          <cell r="H468" t="str">
            <v>NO_DETAILS</v>
          </cell>
          <cell r="I468" t="str">
            <v>NO_SCENARIOS</v>
          </cell>
          <cell r="J468" t="str">
            <v>NO_CURRENCIES</v>
          </cell>
          <cell r="K468">
            <v>30000</v>
          </cell>
        </row>
        <row r="469">
          <cell r="C469" t="str">
            <v>E5394</v>
          </cell>
          <cell r="D469" t="str">
            <v>NO_DATAVIEWS</v>
          </cell>
          <cell r="E469" t="str">
            <v>NO_DEPARTMENTS</v>
          </cell>
          <cell r="F469" t="str">
            <v>NO_CATEGORIES</v>
          </cell>
          <cell r="G469" t="str">
            <v>NO_OBJECTS</v>
          </cell>
          <cell r="H469" t="str">
            <v>NO_DETAILS</v>
          </cell>
          <cell r="I469" t="str">
            <v>NO_SCENARIOS</v>
          </cell>
          <cell r="J469" t="str">
            <v>NO_CURRENCIES</v>
          </cell>
          <cell r="K469">
            <v>10000</v>
          </cell>
        </row>
        <row r="470">
          <cell r="C470" t="str">
            <v>E5394</v>
          </cell>
          <cell r="D470" t="str">
            <v>NO_DATAVIEWS</v>
          </cell>
          <cell r="E470" t="str">
            <v>NO_DEPARTMENTS</v>
          </cell>
          <cell r="F470" t="str">
            <v>NO_CATEGORIES</v>
          </cell>
          <cell r="G470" t="str">
            <v>NO_OBJECTS</v>
          </cell>
          <cell r="H470" t="str">
            <v>NO_DETAILS</v>
          </cell>
          <cell r="I470" t="str">
            <v>NO_SCENARIOS</v>
          </cell>
          <cell r="J470" t="str">
            <v>NO_CURRENCIES</v>
          </cell>
          <cell r="K470">
            <v>10000</v>
          </cell>
        </row>
        <row r="471">
          <cell r="C471" t="str">
            <v>E5394</v>
          </cell>
          <cell r="D471" t="str">
            <v>NO_DATAVIEWS</v>
          </cell>
          <cell r="E471" t="str">
            <v>NO_DEPARTMENTS</v>
          </cell>
          <cell r="F471" t="str">
            <v>NO_CATEGORIES</v>
          </cell>
          <cell r="G471" t="str">
            <v>NO_OBJECTS</v>
          </cell>
          <cell r="H471" t="str">
            <v>NO_DETAILS</v>
          </cell>
          <cell r="I471" t="str">
            <v>NO_SCENARIOS</v>
          </cell>
          <cell r="J471" t="str">
            <v>NO_CURRENCIES</v>
          </cell>
          <cell r="K471">
            <v>10000</v>
          </cell>
        </row>
        <row r="472">
          <cell r="C472" t="str">
            <v>E5394</v>
          </cell>
          <cell r="D472" t="str">
            <v>NO_DATAVIEWS</v>
          </cell>
          <cell r="E472" t="str">
            <v>NO_DEPARTMENTS</v>
          </cell>
          <cell r="F472" t="str">
            <v>NO_CATEGORIES</v>
          </cell>
          <cell r="G472" t="str">
            <v>NO_OBJECTS</v>
          </cell>
          <cell r="H472" t="str">
            <v>NO_DETAILS</v>
          </cell>
          <cell r="I472" t="str">
            <v>NO_SCENARIOS</v>
          </cell>
          <cell r="J472" t="str">
            <v>NO_CURRENCIES</v>
          </cell>
          <cell r="K472">
            <v>10000</v>
          </cell>
        </row>
        <row r="473">
          <cell r="C473" t="str">
            <v>E5394</v>
          </cell>
          <cell r="D473" t="str">
            <v>NO_DATAVIEWS</v>
          </cell>
          <cell r="E473" t="str">
            <v>NO_DEPARTMENTS</v>
          </cell>
          <cell r="F473" t="str">
            <v>NO_CATEGORIES</v>
          </cell>
          <cell r="G473" t="str">
            <v>NO_OBJECTS</v>
          </cell>
          <cell r="H473" t="str">
            <v>NO_DETAILS</v>
          </cell>
          <cell r="I473" t="str">
            <v>NO_SCENARIOS</v>
          </cell>
          <cell r="J473" t="str">
            <v>NO_CURRENCIES</v>
          </cell>
          <cell r="K473">
            <v>10000</v>
          </cell>
        </row>
        <row r="474">
          <cell r="C474" t="str">
            <v>E5394</v>
          </cell>
          <cell r="D474" t="str">
            <v>NO_DATAVIEWS</v>
          </cell>
          <cell r="E474" t="str">
            <v>NO_DEPARTMENTS</v>
          </cell>
          <cell r="F474" t="str">
            <v>NO_CATEGORIES</v>
          </cell>
          <cell r="G474" t="str">
            <v>NO_OBJECTS</v>
          </cell>
          <cell r="H474" t="str">
            <v>NO_DETAILS</v>
          </cell>
          <cell r="I474" t="str">
            <v>NO_SCENARIOS</v>
          </cell>
          <cell r="J474" t="str">
            <v>NO_CURRENCIES</v>
          </cell>
          <cell r="K474">
            <v>10000</v>
          </cell>
        </row>
        <row r="475">
          <cell r="C475" t="str">
            <v>E5394</v>
          </cell>
          <cell r="D475" t="str">
            <v>NO_DATAVIEWS</v>
          </cell>
          <cell r="E475" t="str">
            <v>NO_DEPARTMENTS</v>
          </cell>
          <cell r="F475" t="str">
            <v>NO_CATEGORIES</v>
          </cell>
          <cell r="G475" t="str">
            <v>NO_OBJECTS</v>
          </cell>
          <cell r="H475" t="str">
            <v>NO_DETAILS</v>
          </cell>
          <cell r="I475" t="str">
            <v>NO_SCENARIOS</v>
          </cell>
          <cell r="J475" t="str">
            <v>NO_CURRENCIES</v>
          </cell>
          <cell r="K475">
            <v>10000</v>
          </cell>
        </row>
        <row r="476">
          <cell r="C476" t="str">
            <v>E5394</v>
          </cell>
          <cell r="D476" t="str">
            <v>NO_DATAVIEWS</v>
          </cell>
          <cell r="E476" t="str">
            <v>NO_DEPARTMENTS</v>
          </cell>
          <cell r="F476" t="str">
            <v>NO_CATEGORIES</v>
          </cell>
          <cell r="G476" t="str">
            <v>NO_OBJECTS</v>
          </cell>
          <cell r="H476" t="str">
            <v>NO_DETAILS</v>
          </cell>
          <cell r="I476" t="str">
            <v>NO_SCENARIOS</v>
          </cell>
          <cell r="J476" t="str">
            <v>NO_CURRENCIES</v>
          </cell>
          <cell r="K476">
            <v>10000</v>
          </cell>
        </row>
        <row r="477">
          <cell r="C477" t="str">
            <v>E5394</v>
          </cell>
          <cell r="D477" t="str">
            <v>NO_DATAVIEWS</v>
          </cell>
          <cell r="E477" t="str">
            <v>NO_DEPARTMENTS</v>
          </cell>
          <cell r="F477" t="str">
            <v>NO_CATEGORIES</v>
          </cell>
          <cell r="G477" t="str">
            <v>NO_OBJECTS</v>
          </cell>
          <cell r="H477" t="str">
            <v>NO_DETAILS</v>
          </cell>
          <cell r="I477" t="str">
            <v>NO_SCENARIOS</v>
          </cell>
          <cell r="J477" t="str">
            <v>NO_CURRENCIES</v>
          </cell>
          <cell r="K477">
            <v>10000</v>
          </cell>
        </row>
        <row r="478">
          <cell r="C478" t="str">
            <v>E5394</v>
          </cell>
          <cell r="D478" t="str">
            <v>NO_DATAVIEWS</v>
          </cell>
          <cell r="E478" t="str">
            <v>NO_DEPARTMENTS</v>
          </cell>
          <cell r="F478" t="str">
            <v>NO_CATEGORIES</v>
          </cell>
          <cell r="G478" t="str">
            <v>NO_OBJECTS</v>
          </cell>
          <cell r="H478" t="str">
            <v>NO_DETAILS</v>
          </cell>
          <cell r="I478" t="str">
            <v>NO_SCENARIOS</v>
          </cell>
          <cell r="J478" t="str">
            <v>NO_CURRENCIES</v>
          </cell>
          <cell r="K478">
            <v>10000</v>
          </cell>
        </row>
        <row r="479">
          <cell r="C479" t="str">
            <v>E5394</v>
          </cell>
          <cell r="D479" t="str">
            <v>NO_DATAVIEWS</v>
          </cell>
          <cell r="E479" t="str">
            <v>NO_DEPARTMENTS</v>
          </cell>
          <cell r="F479" t="str">
            <v>NO_CATEGORIES</v>
          </cell>
          <cell r="G479" t="str">
            <v>NO_OBJECTS</v>
          </cell>
          <cell r="H479" t="str">
            <v>NO_DETAILS</v>
          </cell>
          <cell r="I479" t="str">
            <v>NO_SCENARIOS</v>
          </cell>
          <cell r="J479" t="str">
            <v>NO_CURRENCIES</v>
          </cell>
          <cell r="K479">
            <v>10000</v>
          </cell>
        </row>
        <row r="480">
          <cell r="C480" t="str">
            <v>E5394</v>
          </cell>
          <cell r="D480" t="str">
            <v>NO_DATAVIEWS</v>
          </cell>
          <cell r="E480" t="str">
            <v>NO_DEPARTMENTS</v>
          </cell>
          <cell r="F480" t="str">
            <v>NO_CATEGORIES</v>
          </cell>
          <cell r="G480" t="str">
            <v>NO_OBJECTS</v>
          </cell>
          <cell r="H480" t="str">
            <v>NO_DETAILS</v>
          </cell>
          <cell r="I480" t="str">
            <v>NO_SCENARIOS</v>
          </cell>
          <cell r="J480" t="str">
            <v>NO_CURRENCIES</v>
          </cell>
          <cell r="K480">
            <v>10000</v>
          </cell>
        </row>
        <row r="481">
          <cell r="C481" t="str">
            <v>E5395</v>
          </cell>
          <cell r="D481" t="str">
            <v>NO_DATAVIEWS</v>
          </cell>
          <cell r="E481" t="str">
            <v>NO_DEPARTMENTS</v>
          </cell>
          <cell r="F481" t="str">
            <v>NO_CATEGORIES</v>
          </cell>
          <cell r="G481" t="str">
            <v>NO_OBJECTS</v>
          </cell>
          <cell r="H481" t="str">
            <v>NO_DETAILS</v>
          </cell>
          <cell r="I481" t="str">
            <v>NO_SCENARIOS</v>
          </cell>
          <cell r="J481" t="str">
            <v>NO_CURRENCIES</v>
          </cell>
          <cell r="K481">
            <v>28000</v>
          </cell>
        </row>
        <row r="482">
          <cell r="C482" t="str">
            <v>E5395</v>
          </cell>
          <cell r="D482" t="str">
            <v>NO_DATAVIEWS</v>
          </cell>
          <cell r="E482" t="str">
            <v>NO_DEPARTMENTS</v>
          </cell>
          <cell r="F482" t="str">
            <v>NO_CATEGORIES</v>
          </cell>
          <cell r="G482" t="str">
            <v>NO_OBJECTS</v>
          </cell>
          <cell r="H482" t="str">
            <v>NO_DETAILS</v>
          </cell>
          <cell r="I482" t="str">
            <v>NO_SCENARIOS</v>
          </cell>
          <cell r="J482" t="str">
            <v>NO_CURRENCIES</v>
          </cell>
          <cell r="K482">
            <v>28000</v>
          </cell>
        </row>
        <row r="483">
          <cell r="C483" t="str">
            <v>E5395</v>
          </cell>
          <cell r="D483" t="str">
            <v>NO_DATAVIEWS</v>
          </cell>
          <cell r="E483" t="str">
            <v>NO_DEPARTMENTS</v>
          </cell>
          <cell r="F483" t="str">
            <v>NO_CATEGORIES</v>
          </cell>
          <cell r="G483" t="str">
            <v>NO_OBJECTS</v>
          </cell>
          <cell r="H483" t="str">
            <v>NO_DETAILS</v>
          </cell>
          <cell r="I483" t="str">
            <v>NO_SCENARIOS</v>
          </cell>
          <cell r="J483" t="str">
            <v>NO_CURRENCIES</v>
          </cell>
          <cell r="K483">
            <v>28000</v>
          </cell>
        </row>
        <row r="484">
          <cell r="C484" t="str">
            <v>E5395</v>
          </cell>
          <cell r="D484" t="str">
            <v>NO_DATAVIEWS</v>
          </cell>
          <cell r="E484" t="str">
            <v>NO_DEPARTMENTS</v>
          </cell>
          <cell r="F484" t="str">
            <v>NO_CATEGORIES</v>
          </cell>
          <cell r="G484" t="str">
            <v>NO_OBJECTS</v>
          </cell>
          <cell r="H484" t="str">
            <v>NO_DETAILS</v>
          </cell>
          <cell r="I484" t="str">
            <v>NO_SCENARIOS</v>
          </cell>
          <cell r="J484" t="str">
            <v>NO_CURRENCIES</v>
          </cell>
          <cell r="K484">
            <v>28000</v>
          </cell>
        </row>
        <row r="485">
          <cell r="C485" t="str">
            <v>E5395</v>
          </cell>
          <cell r="D485" t="str">
            <v>NO_DATAVIEWS</v>
          </cell>
          <cell r="E485" t="str">
            <v>NO_DEPARTMENTS</v>
          </cell>
          <cell r="F485" t="str">
            <v>NO_CATEGORIES</v>
          </cell>
          <cell r="G485" t="str">
            <v>NO_OBJECTS</v>
          </cell>
          <cell r="H485" t="str">
            <v>NO_DETAILS</v>
          </cell>
          <cell r="I485" t="str">
            <v>NO_SCENARIOS</v>
          </cell>
          <cell r="J485" t="str">
            <v>NO_CURRENCIES</v>
          </cell>
          <cell r="K485">
            <v>28000</v>
          </cell>
        </row>
        <row r="486">
          <cell r="C486" t="str">
            <v>E5395</v>
          </cell>
          <cell r="D486" t="str">
            <v>NO_DATAVIEWS</v>
          </cell>
          <cell r="E486" t="str">
            <v>NO_DEPARTMENTS</v>
          </cell>
          <cell r="F486" t="str">
            <v>NO_CATEGORIES</v>
          </cell>
          <cell r="G486" t="str">
            <v>NO_OBJECTS</v>
          </cell>
          <cell r="H486" t="str">
            <v>NO_DETAILS</v>
          </cell>
          <cell r="I486" t="str">
            <v>NO_SCENARIOS</v>
          </cell>
          <cell r="J486" t="str">
            <v>NO_CURRENCIES</v>
          </cell>
          <cell r="K486">
            <v>28000</v>
          </cell>
        </row>
        <row r="487">
          <cell r="C487" t="str">
            <v>E5395</v>
          </cell>
          <cell r="D487" t="str">
            <v>NO_DATAVIEWS</v>
          </cell>
          <cell r="E487" t="str">
            <v>NO_DEPARTMENTS</v>
          </cell>
          <cell r="F487" t="str">
            <v>NO_CATEGORIES</v>
          </cell>
          <cell r="G487" t="str">
            <v>NO_OBJECTS</v>
          </cell>
          <cell r="H487" t="str">
            <v>NO_DETAILS</v>
          </cell>
          <cell r="I487" t="str">
            <v>NO_SCENARIOS</v>
          </cell>
          <cell r="J487" t="str">
            <v>NO_CURRENCIES</v>
          </cell>
          <cell r="K487">
            <v>28000</v>
          </cell>
        </row>
        <row r="488">
          <cell r="C488" t="str">
            <v>E5395</v>
          </cell>
          <cell r="D488" t="str">
            <v>NO_DATAVIEWS</v>
          </cell>
          <cell r="E488" t="str">
            <v>NO_DEPARTMENTS</v>
          </cell>
          <cell r="F488" t="str">
            <v>NO_CATEGORIES</v>
          </cell>
          <cell r="G488" t="str">
            <v>NO_OBJECTS</v>
          </cell>
          <cell r="H488" t="str">
            <v>NO_DETAILS</v>
          </cell>
          <cell r="I488" t="str">
            <v>NO_SCENARIOS</v>
          </cell>
          <cell r="J488" t="str">
            <v>NO_CURRENCIES</v>
          </cell>
          <cell r="K488">
            <v>28000</v>
          </cell>
        </row>
        <row r="489">
          <cell r="C489" t="str">
            <v>E5395</v>
          </cell>
          <cell r="D489" t="str">
            <v>NO_DATAVIEWS</v>
          </cell>
          <cell r="E489" t="str">
            <v>NO_DEPARTMENTS</v>
          </cell>
          <cell r="F489" t="str">
            <v>NO_CATEGORIES</v>
          </cell>
          <cell r="G489" t="str">
            <v>NO_OBJECTS</v>
          </cell>
          <cell r="H489" t="str">
            <v>NO_DETAILS</v>
          </cell>
          <cell r="I489" t="str">
            <v>NO_SCENARIOS</v>
          </cell>
          <cell r="J489" t="str">
            <v>NO_CURRENCIES</v>
          </cell>
          <cell r="K489">
            <v>28000</v>
          </cell>
        </row>
        <row r="490">
          <cell r="C490" t="str">
            <v>E5395</v>
          </cell>
          <cell r="D490" t="str">
            <v>NO_DATAVIEWS</v>
          </cell>
          <cell r="E490" t="str">
            <v>NO_DEPARTMENTS</v>
          </cell>
          <cell r="F490" t="str">
            <v>NO_CATEGORIES</v>
          </cell>
          <cell r="G490" t="str">
            <v>NO_OBJECTS</v>
          </cell>
          <cell r="H490" t="str">
            <v>NO_DETAILS</v>
          </cell>
          <cell r="I490" t="str">
            <v>NO_SCENARIOS</v>
          </cell>
          <cell r="J490" t="str">
            <v>NO_CURRENCIES</v>
          </cell>
          <cell r="K490">
            <v>28000</v>
          </cell>
        </row>
        <row r="491">
          <cell r="C491" t="str">
            <v>E5395</v>
          </cell>
          <cell r="D491" t="str">
            <v>NO_DATAVIEWS</v>
          </cell>
          <cell r="E491" t="str">
            <v>NO_DEPARTMENTS</v>
          </cell>
          <cell r="F491" t="str">
            <v>NO_CATEGORIES</v>
          </cell>
          <cell r="G491" t="str">
            <v>NO_OBJECTS</v>
          </cell>
          <cell r="H491" t="str">
            <v>NO_DETAILS</v>
          </cell>
          <cell r="I491" t="str">
            <v>NO_SCENARIOS</v>
          </cell>
          <cell r="J491" t="str">
            <v>NO_CURRENCIES</v>
          </cell>
          <cell r="K491">
            <v>28000</v>
          </cell>
        </row>
        <row r="492">
          <cell r="C492" t="str">
            <v>E5395</v>
          </cell>
          <cell r="D492" t="str">
            <v>NO_DATAVIEWS</v>
          </cell>
          <cell r="E492" t="str">
            <v>NO_DEPARTMENTS</v>
          </cell>
          <cell r="F492" t="str">
            <v>NO_CATEGORIES</v>
          </cell>
          <cell r="G492" t="str">
            <v>NO_OBJECTS</v>
          </cell>
          <cell r="H492" t="str">
            <v>NO_DETAILS</v>
          </cell>
          <cell r="I492" t="str">
            <v>NO_SCENARIOS</v>
          </cell>
          <cell r="J492" t="str">
            <v>NO_CURRENCIES</v>
          </cell>
          <cell r="K492">
            <v>28000</v>
          </cell>
        </row>
        <row r="493">
          <cell r="C493" t="str">
            <v>E5397</v>
          </cell>
          <cell r="D493" t="str">
            <v>NO_DATAVIEWS</v>
          </cell>
          <cell r="E493" t="str">
            <v>NO_DEPARTMENTS</v>
          </cell>
          <cell r="F493" t="str">
            <v>NO_CATEGORIES</v>
          </cell>
          <cell r="G493" t="str">
            <v>NO_OBJECTS</v>
          </cell>
          <cell r="H493" t="str">
            <v>NO_DETAILS</v>
          </cell>
          <cell r="I493" t="str">
            <v>NO_SCENARIOS</v>
          </cell>
          <cell r="J493" t="str">
            <v>NO_CURRENCIES</v>
          </cell>
          <cell r="K493">
            <v>10000</v>
          </cell>
        </row>
        <row r="494">
          <cell r="C494" t="str">
            <v>E5397</v>
          </cell>
          <cell r="D494" t="str">
            <v>NO_DATAVIEWS</v>
          </cell>
          <cell r="E494" t="str">
            <v>NO_DEPARTMENTS</v>
          </cell>
          <cell r="F494" t="str">
            <v>NO_CATEGORIES</v>
          </cell>
          <cell r="G494" t="str">
            <v>NO_OBJECTS</v>
          </cell>
          <cell r="H494" t="str">
            <v>NO_DETAILS</v>
          </cell>
          <cell r="I494" t="str">
            <v>NO_SCENARIOS</v>
          </cell>
          <cell r="J494" t="str">
            <v>NO_CURRENCIES</v>
          </cell>
          <cell r="K494">
            <v>10000</v>
          </cell>
        </row>
        <row r="495">
          <cell r="C495" t="str">
            <v>E5397</v>
          </cell>
          <cell r="D495" t="str">
            <v>NO_DATAVIEWS</v>
          </cell>
          <cell r="E495" t="str">
            <v>NO_DEPARTMENTS</v>
          </cell>
          <cell r="F495" t="str">
            <v>NO_CATEGORIES</v>
          </cell>
          <cell r="G495" t="str">
            <v>NO_OBJECTS</v>
          </cell>
          <cell r="H495" t="str">
            <v>NO_DETAILS</v>
          </cell>
          <cell r="I495" t="str">
            <v>NO_SCENARIOS</v>
          </cell>
          <cell r="J495" t="str">
            <v>NO_CURRENCIES</v>
          </cell>
          <cell r="K495">
            <v>10000</v>
          </cell>
        </row>
        <row r="496">
          <cell r="C496" t="str">
            <v>E5397</v>
          </cell>
          <cell r="D496" t="str">
            <v>NO_DATAVIEWS</v>
          </cell>
          <cell r="E496" t="str">
            <v>NO_DEPARTMENTS</v>
          </cell>
          <cell r="F496" t="str">
            <v>NO_CATEGORIES</v>
          </cell>
          <cell r="G496" t="str">
            <v>NO_OBJECTS</v>
          </cell>
          <cell r="H496" t="str">
            <v>NO_DETAILS</v>
          </cell>
          <cell r="I496" t="str">
            <v>NO_SCENARIOS</v>
          </cell>
          <cell r="J496" t="str">
            <v>NO_CURRENCIES</v>
          </cell>
          <cell r="K496">
            <v>10000</v>
          </cell>
        </row>
        <row r="497">
          <cell r="C497" t="str">
            <v>E5397</v>
          </cell>
          <cell r="D497" t="str">
            <v>NO_DATAVIEWS</v>
          </cell>
          <cell r="E497" t="str">
            <v>NO_DEPARTMENTS</v>
          </cell>
          <cell r="F497" t="str">
            <v>NO_CATEGORIES</v>
          </cell>
          <cell r="G497" t="str">
            <v>NO_OBJECTS</v>
          </cell>
          <cell r="H497" t="str">
            <v>NO_DETAILS</v>
          </cell>
          <cell r="I497" t="str">
            <v>NO_SCENARIOS</v>
          </cell>
          <cell r="J497" t="str">
            <v>NO_CURRENCIES</v>
          </cell>
          <cell r="K497">
            <v>10000</v>
          </cell>
        </row>
        <row r="498">
          <cell r="C498" t="str">
            <v>E5397</v>
          </cell>
          <cell r="D498" t="str">
            <v>NO_DATAVIEWS</v>
          </cell>
          <cell r="E498" t="str">
            <v>NO_DEPARTMENTS</v>
          </cell>
          <cell r="F498" t="str">
            <v>NO_CATEGORIES</v>
          </cell>
          <cell r="G498" t="str">
            <v>NO_OBJECTS</v>
          </cell>
          <cell r="H498" t="str">
            <v>NO_DETAILS</v>
          </cell>
          <cell r="I498" t="str">
            <v>NO_SCENARIOS</v>
          </cell>
          <cell r="J498" t="str">
            <v>NO_CURRENCIES</v>
          </cell>
          <cell r="K498">
            <v>10000</v>
          </cell>
        </row>
        <row r="499">
          <cell r="C499" t="str">
            <v>E5397</v>
          </cell>
          <cell r="D499" t="str">
            <v>NO_DATAVIEWS</v>
          </cell>
          <cell r="E499" t="str">
            <v>NO_DEPARTMENTS</v>
          </cell>
          <cell r="F499" t="str">
            <v>NO_CATEGORIES</v>
          </cell>
          <cell r="G499" t="str">
            <v>NO_OBJECTS</v>
          </cell>
          <cell r="H499" t="str">
            <v>NO_DETAILS</v>
          </cell>
          <cell r="I499" t="str">
            <v>NO_SCENARIOS</v>
          </cell>
          <cell r="J499" t="str">
            <v>NO_CURRENCIES</v>
          </cell>
          <cell r="K499">
            <v>10000</v>
          </cell>
        </row>
        <row r="500">
          <cell r="C500" t="str">
            <v>E5397</v>
          </cell>
          <cell r="D500" t="str">
            <v>NO_DATAVIEWS</v>
          </cell>
          <cell r="E500" t="str">
            <v>NO_DEPARTMENTS</v>
          </cell>
          <cell r="F500" t="str">
            <v>NO_CATEGORIES</v>
          </cell>
          <cell r="G500" t="str">
            <v>NO_OBJECTS</v>
          </cell>
          <cell r="H500" t="str">
            <v>NO_DETAILS</v>
          </cell>
          <cell r="I500" t="str">
            <v>NO_SCENARIOS</v>
          </cell>
          <cell r="J500" t="str">
            <v>NO_CURRENCIES</v>
          </cell>
          <cell r="K500">
            <v>10000</v>
          </cell>
        </row>
        <row r="501">
          <cell r="C501" t="str">
            <v>E5397</v>
          </cell>
          <cell r="D501" t="str">
            <v>NO_DATAVIEWS</v>
          </cell>
          <cell r="E501" t="str">
            <v>NO_DEPARTMENTS</v>
          </cell>
          <cell r="F501" t="str">
            <v>NO_CATEGORIES</v>
          </cell>
          <cell r="G501" t="str">
            <v>NO_OBJECTS</v>
          </cell>
          <cell r="H501" t="str">
            <v>NO_DETAILS</v>
          </cell>
          <cell r="I501" t="str">
            <v>NO_SCENARIOS</v>
          </cell>
          <cell r="J501" t="str">
            <v>NO_CURRENCIES</v>
          </cell>
          <cell r="K501">
            <v>10000</v>
          </cell>
        </row>
        <row r="502">
          <cell r="C502" t="str">
            <v>E5397</v>
          </cell>
          <cell r="D502" t="str">
            <v>NO_DATAVIEWS</v>
          </cell>
          <cell r="E502" t="str">
            <v>NO_DEPARTMENTS</v>
          </cell>
          <cell r="F502" t="str">
            <v>NO_CATEGORIES</v>
          </cell>
          <cell r="G502" t="str">
            <v>NO_OBJECTS</v>
          </cell>
          <cell r="H502" t="str">
            <v>NO_DETAILS</v>
          </cell>
          <cell r="I502" t="str">
            <v>NO_SCENARIOS</v>
          </cell>
          <cell r="J502" t="str">
            <v>NO_CURRENCIES</v>
          </cell>
          <cell r="K502">
            <v>10000</v>
          </cell>
        </row>
        <row r="503">
          <cell r="C503" t="str">
            <v>E5397</v>
          </cell>
          <cell r="D503" t="str">
            <v>NO_DATAVIEWS</v>
          </cell>
          <cell r="E503" t="str">
            <v>NO_DEPARTMENTS</v>
          </cell>
          <cell r="F503" t="str">
            <v>NO_CATEGORIES</v>
          </cell>
          <cell r="G503" t="str">
            <v>NO_OBJECTS</v>
          </cell>
          <cell r="H503" t="str">
            <v>NO_DETAILS</v>
          </cell>
          <cell r="I503" t="str">
            <v>NO_SCENARIOS</v>
          </cell>
          <cell r="J503" t="str">
            <v>NO_CURRENCIES</v>
          </cell>
          <cell r="K503">
            <v>10000</v>
          </cell>
        </row>
        <row r="504">
          <cell r="C504" t="str">
            <v>E5397</v>
          </cell>
          <cell r="D504" t="str">
            <v>NO_DATAVIEWS</v>
          </cell>
          <cell r="E504" t="str">
            <v>NO_DEPARTMENTS</v>
          </cell>
          <cell r="F504" t="str">
            <v>NO_CATEGORIES</v>
          </cell>
          <cell r="G504" t="str">
            <v>NO_OBJECTS</v>
          </cell>
          <cell r="H504" t="str">
            <v>NO_DETAILS</v>
          </cell>
          <cell r="I504" t="str">
            <v>NO_SCENARIOS</v>
          </cell>
          <cell r="J504" t="str">
            <v>NO_CURRENCIES</v>
          </cell>
          <cell r="K504">
            <v>10000</v>
          </cell>
        </row>
        <row r="505">
          <cell r="C505" t="str">
            <v>E5399</v>
          </cell>
          <cell r="D505" t="str">
            <v>NO_DATAVIEWS</v>
          </cell>
          <cell r="E505" t="str">
            <v>NO_DEPARTMENTS</v>
          </cell>
          <cell r="F505" t="str">
            <v>NO_CATEGORIES</v>
          </cell>
          <cell r="G505" t="str">
            <v>NO_OBJECTS</v>
          </cell>
          <cell r="H505" t="str">
            <v>NO_DETAILS</v>
          </cell>
          <cell r="I505" t="str">
            <v>NO_SCENARIOS</v>
          </cell>
          <cell r="J505" t="str">
            <v>NO_CURRENCIES</v>
          </cell>
          <cell r="K505">
            <v>36000</v>
          </cell>
        </row>
        <row r="506">
          <cell r="C506" t="str">
            <v>E5399</v>
          </cell>
          <cell r="D506" t="str">
            <v>NO_DATAVIEWS</v>
          </cell>
          <cell r="E506" t="str">
            <v>NO_DEPARTMENTS</v>
          </cell>
          <cell r="F506" t="str">
            <v>NO_CATEGORIES</v>
          </cell>
          <cell r="G506" t="str">
            <v>NO_OBJECTS</v>
          </cell>
          <cell r="H506" t="str">
            <v>NO_DETAILS</v>
          </cell>
          <cell r="I506" t="str">
            <v>NO_SCENARIOS</v>
          </cell>
          <cell r="J506" t="str">
            <v>NO_CURRENCIES</v>
          </cell>
          <cell r="K506">
            <v>36000</v>
          </cell>
        </row>
        <row r="507">
          <cell r="C507" t="str">
            <v>E5399</v>
          </cell>
          <cell r="D507" t="str">
            <v>NO_DATAVIEWS</v>
          </cell>
          <cell r="E507" t="str">
            <v>NO_DEPARTMENTS</v>
          </cell>
          <cell r="F507" t="str">
            <v>NO_CATEGORIES</v>
          </cell>
          <cell r="G507" t="str">
            <v>NO_OBJECTS</v>
          </cell>
          <cell r="H507" t="str">
            <v>NO_DETAILS</v>
          </cell>
          <cell r="I507" t="str">
            <v>NO_SCENARIOS</v>
          </cell>
          <cell r="J507" t="str">
            <v>NO_CURRENCIES</v>
          </cell>
          <cell r="K507">
            <v>36000</v>
          </cell>
        </row>
        <row r="508">
          <cell r="C508" t="str">
            <v>E5399</v>
          </cell>
          <cell r="D508" t="str">
            <v>NO_DATAVIEWS</v>
          </cell>
          <cell r="E508" t="str">
            <v>NO_DEPARTMENTS</v>
          </cell>
          <cell r="F508" t="str">
            <v>NO_CATEGORIES</v>
          </cell>
          <cell r="G508" t="str">
            <v>NO_OBJECTS</v>
          </cell>
          <cell r="H508" t="str">
            <v>NO_DETAILS</v>
          </cell>
          <cell r="I508" t="str">
            <v>NO_SCENARIOS</v>
          </cell>
          <cell r="J508" t="str">
            <v>NO_CURRENCIES</v>
          </cell>
          <cell r="K508">
            <v>36000</v>
          </cell>
        </row>
        <row r="509">
          <cell r="C509" t="str">
            <v>E5399</v>
          </cell>
          <cell r="D509" t="str">
            <v>NO_DATAVIEWS</v>
          </cell>
          <cell r="E509" t="str">
            <v>NO_DEPARTMENTS</v>
          </cell>
          <cell r="F509" t="str">
            <v>NO_CATEGORIES</v>
          </cell>
          <cell r="G509" t="str">
            <v>NO_OBJECTS</v>
          </cell>
          <cell r="H509" t="str">
            <v>NO_DETAILS</v>
          </cell>
          <cell r="I509" t="str">
            <v>NO_SCENARIOS</v>
          </cell>
          <cell r="J509" t="str">
            <v>NO_CURRENCIES</v>
          </cell>
          <cell r="K509">
            <v>36000</v>
          </cell>
        </row>
        <row r="510">
          <cell r="C510" t="str">
            <v>E5399</v>
          </cell>
          <cell r="D510" t="str">
            <v>NO_DATAVIEWS</v>
          </cell>
          <cell r="E510" t="str">
            <v>NO_DEPARTMENTS</v>
          </cell>
          <cell r="F510" t="str">
            <v>NO_CATEGORIES</v>
          </cell>
          <cell r="G510" t="str">
            <v>NO_OBJECTS</v>
          </cell>
          <cell r="H510" t="str">
            <v>NO_DETAILS</v>
          </cell>
          <cell r="I510" t="str">
            <v>NO_SCENARIOS</v>
          </cell>
          <cell r="J510" t="str">
            <v>NO_CURRENCIES</v>
          </cell>
          <cell r="K510">
            <v>36000</v>
          </cell>
        </row>
        <row r="511">
          <cell r="C511" t="str">
            <v>E5399</v>
          </cell>
          <cell r="D511" t="str">
            <v>NO_DATAVIEWS</v>
          </cell>
          <cell r="E511" t="str">
            <v>NO_DEPARTMENTS</v>
          </cell>
          <cell r="F511" t="str">
            <v>NO_CATEGORIES</v>
          </cell>
          <cell r="G511" t="str">
            <v>NO_OBJECTS</v>
          </cell>
          <cell r="H511" t="str">
            <v>NO_DETAILS</v>
          </cell>
          <cell r="I511" t="str">
            <v>NO_SCENARIOS</v>
          </cell>
          <cell r="J511" t="str">
            <v>NO_CURRENCIES</v>
          </cell>
          <cell r="K511">
            <v>36000</v>
          </cell>
        </row>
        <row r="512">
          <cell r="C512" t="str">
            <v>E5399</v>
          </cell>
          <cell r="D512" t="str">
            <v>NO_DATAVIEWS</v>
          </cell>
          <cell r="E512" t="str">
            <v>NO_DEPARTMENTS</v>
          </cell>
          <cell r="F512" t="str">
            <v>NO_CATEGORIES</v>
          </cell>
          <cell r="G512" t="str">
            <v>NO_OBJECTS</v>
          </cell>
          <cell r="H512" t="str">
            <v>NO_DETAILS</v>
          </cell>
          <cell r="I512" t="str">
            <v>NO_SCENARIOS</v>
          </cell>
          <cell r="J512" t="str">
            <v>NO_CURRENCIES</v>
          </cell>
          <cell r="K512">
            <v>36000</v>
          </cell>
        </row>
        <row r="513">
          <cell r="C513" t="str">
            <v>E5399</v>
          </cell>
          <cell r="D513" t="str">
            <v>NO_DATAVIEWS</v>
          </cell>
          <cell r="E513" t="str">
            <v>NO_DEPARTMENTS</v>
          </cell>
          <cell r="F513" t="str">
            <v>NO_CATEGORIES</v>
          </cell>
          <cell r="G513" t="str">
            <v>NO_OBJECTS</v>
          </cell>
          <cell r="H513" t="str">
            <v>NO_DETAILS</v>
          </cell>
          <cell r="I513" t="str">
            <v>NO_SCENARIOS</v>
          </cell>
          <cell r="J513" t="str">
            <v>NO_CURRENCIES</v>
          </cell>
          <cell r="K513">
            <v>36000</v>
          </cell>
        </row>
        <row r="514">
          <cell r="C514" t="str">
            <v>E5399</v>
          </cell>
          <cell r="D514" t="str">
            <v>NO_DATAVIEWS</v>
          </cell>
          <cell r="E514" t="str">
            <v>NO_DEPARTMENTS</v>
          </cell>
          <cell r="F514" t="str">
            <v>NO_CATEGORIES</v>
          </cell>
          <cell r="G514" t="str">
            <v>NO_OBJECTS</v>
          </cell>
          <cell r="H514" t="str">
            <v>NO_DETAILS</v>
          </cell>
          <cell r="I514" t="str">
            <v>NO_SCENARIOS</v>
          </cell>
          <cell r="J514" t="str">
            <v>NO_CURRENCIES</v>
          </cell>
          <cell r="K514">
            <v>36000</v>
          </cell>
        </row>
        <row r="515">
          <cell r="C515" t="str">
            <v>E5399</v>
          </cell>
          <cell r="D515" t="str">
            <v>NO_DATAVIEWS</v>
          </cell>
          <cell r="E515" t="str">
            <v>NO_DEPARTMENTS</v>
          </cell>
          <cell r="F515" t="str">
            <v>NO_CATEGORIES</v>
          </cell>
          <cell r="G515" t="str">
            <v>NO_OBJECTS</v>
          </cell>
          <cell r="H515" t="str">
            <v>NO_DETAILS</v>
          </cell>
          <cell r="I515" t="str">
            <v>NO_SCENARIOS</v>
          </cell>
          <cell r="J515" t="str">
            <v>NO_CURRENCIES</v>
          </cell>
          <cell r="K515">
            <v>36000</v>
          </cell>
        </row>
        <row r="516">
          <cell r="C516" t="str">
            <v>E5399</v>
          </cell>
          <cell r="D516" t="str">
            <v>NO_DATAVIEWS</v>
          </cell>
          <cell r="E516" t="str">
            <v>NO_DEPARTMENTS</v>
          </cell>
          <cell r="F516" t="str">
            <v>NO_CATEGORIES</v>
          </cell>
          <cell r="G516" t="str">
            <v>NO_OBJECTS</v>
          </cell>
          <cell r="H516" t="str">
            <v>NO_DETAILS</v>
          </cell>
          <cell r="I516" t="str">
            <v>NO_SCENARIOS</v>
          </cell>
          <cell r="J516" t="str">
            <v>NO_CURRENCIES</v>
          </cell>
          <cell r="K516">
            <v>36000</v>
          </cell>
        </row>
        <row r="517">
          <cell r="C517" t="str">
            <v>E5400</v>
          </cell>
          <cell r="D517" t="str">
            <v>NO_DATAVIEWS</v>
          </cell>
          <cell r="E517" t="str">
            <v>NO_DEPARTMENTS</v>
          </cell>
          <cell r="F517" t="str">
            <v>NO_CATEGORIES</v>
          </cell>
          <cell r="G517" t="str">
            <v>NO_OBJECTS</v>
          </cell>
          <cell r="H517" t="str">
            <v>NO_DETAILS</v>
          </cell>
          <cell r="I517" t="str">
            <v>NO_SCENARIOS</v>
          </cell>
          <cell r="J517" t="str">
            <v>NO_CURRENCIES</v>
          </cell>
          <cell r="K517">
            <v>18000</v>
          </cell>
        </row>
        <row r="518">
          <cell r="C518" t="str">
            <v>E5400</v>
          </cell>
          <cell r="D518" t="str">
            <v>NO_DATAVIEWS</v>
          </cell>
          <cell r="E518" t="str">
            <v>NO_DEPARTMENTS</v>
          </cell>
          <cell r="F518" t="str">
            <v>NO_CATEGORIES</v>
          </cell>
          <cell r="G518" t="str">
            <v>NO_OBJECTS</v>
          </cell>
          <cell r="H518" t="str">
            <v>NO_DETAILS</v>
          </cell>
          <cell r="I518" t="str">
            <v>NO_SCENARIOS</v>
          </cell>
          <cell r="J518" t="str">
            <v>NO_CURRENCIES</v>
          </cell>
          <cell r="K518">
            <v>18000</v>
          </cell>
        </row>
        <row r="519">
          <cell r="C519" t="str">
            <v>E5400</v>
          </cell>
          <cell r="D519" t="str">
            <v>NO_DATAVIEWS</v>
          </cell>
          <cell r="E519" t="str">
            <v>NO_DEPARTMENTS</v>
          </cell>
          <cell r="F519" t="str">
            <v>NO_CATEGORIES</v>
          </cell>
          <cell r="G519" t="str">
            <v>NO_OBJECTS</v>
          </cell>
          <cell r="H519" t="str">
            <v>NO_DETAILS</v>
          </cell>
          <cell r="I519" t="str">
            <v>NO_SCENARIOS</v>
          </cell>
          <cell r="J519" t="str">
            <v>NO_CURRENCIES</v>
          </cell>
          <cell r="K519">
            <v>18000</v>
          </cell>
        </row>
        <row r="520">
          <cell r="C520" t="str">
            <v>E5400</v>
          </cell>
          <cell r="D520" t="str">
            <v>NO_DATAVIEWS</v>
          </cell>
          <cell r="E520" t="str">
            <v>NO_DEPARTMENTS</v>
          </cell>
          <cell r="F520" t="str">
            <v>NO_CATEGORIES</v>
          </cell>
          <cell r="G520" t="str">
            <v>NO_OBJECTS</v>
          </cell>
          <cell r="H520" t="str">
            <v>NO_DETAILS</v>
          </cell>
          <cell r="I520" t="str">
            <v>NO_SCENARIOS</v>
          </cell>
          <cell r="J520" t="str">
            <v>NO_CURRENCIES</v>
          </cell>
          <cell r="K520">
            <v>18000</v>
          </cell>
        </row>
        <row r="521">
          <cell r="C521" t="str">
            <v>E5400</v>
          </cell>
          <cell r="D521" t="str">
            <v>NO_DATAVIEWS</v>
          </cell>
          <cell r="E521" t="str">
            <v>NO_DEPARTMENTS</v>
          </cell>
          <cell r="F521" t="str">
            <v>NO_CATEGORIES</v>
          </cell>
          <cell r="G521" t="str">
            <v>NO_OBJECTS</v>
          </cell>
          <cell r="H521" t="str">
            <v>NO_DETAILS</v>
          </cell>
          <cell r="I521" t="str">
            <v>NO_SCENARIOS</v>
          </cell>
          <cell r="J521" t="str">
            <v>NO_CURRENCIES</v>
          </cell>
          <cell r="K521">
            <v>18000</v>
          </cell>
        </row>
        <row r="522">
          <cell r="C522" t="str">
            <v>E5400</v>
          </cell>
          <cell r="D522" t="str">
            <v>NO_DATAVIEWS</v>
          </cell>
          <cell r="E522" t="str">
            <v>NO_DEPARTMENTS</v>
          </cell>
          <cell r="F522" t="str">
            <v>NO_CATEGORIES</v>
          </cell>
          <cell r="G522" t="str">
            <v>NO_OBJECTS</v>
          </cell>
          <cell r="H522" t="str">
            <v>NO_DETAILS</v>
          </cell>
          <cell r="I522" t="str">
            <v>NO_SCENARIOS</v>
          </cell>
          <cell r="J522" t="str">
            <v>NO_CURRENCIES</v>
          </cell>
          <cell r="K522">
            <v>18000</v>
          </cell>
        </row>
        <row r="523">
          <cell r="C523" t="str">
            <v>E5400</v>
          </cell>
          <cell r="D523" t="str">
            <v>NO_DATAVIEWS</v>
          </cell>
          <cell r="E523" t="str">
            <v>NO_DEPARTMENTS</v>
          </cell>
          <cell r="F523" t="str">
            <v>NO_CATEGORIES</v>
          </cell>
          <cell r="G523" t="str">
            <v>NO_OBJECTS</v>
          </cell>
          <cell r="H523" t="str">
            <v>NO_DETAILS</v>
          </cell>
          <cell r="I523" t="str">
            <v>NO_SCENARIOS</v>
          </cell>
          <cell r="J523" t="str">
            <v>NO_CURRENCIES</v>
          </cell>
          <cell r="K523">
            <v>18000</v>
          </cell>
        </row>
        <row r="524">
          <cell r="C524" t="str">
            <v>E5400</v>
          </cell>
          <cell r="D524" t="str">
            <v>NO_DATAVIEWS</v>
          </cell>
          <cell r="E524" t="str">
            <v>NO_DEPARTMENTS</v>
          </cell>
          <cell r="F524" t="str">
            <v>NO_CATEGORIES</v>
          </cell>
          <cell r="G524" t="str">
            <v>NO_OBJECTS</v>
          </cell>
          <cell r="H524" t="str">
            <v>NO_DETAILS</v>
          </cell>
          <cell r="I524" t="str">
            <v>NO_SCENARIOS</v>
          </cell>
          <cell r="J524" t="str">
            <v>NO_CURRENCIES</v>
          </cell>
          <cell r="K524">
            <v>18000</v>
          </cell>
        </row>
        <row r="525">
          <cell r="C525" t="str">
            <v>E5400</v>
          </cell>
          <cell r="D525" t="str">
            <v>NO_DATAVIEWS</v>
          </cell>
          <cell r="E525" t="str">
            <v>NO_DEPARTMENTS</v>
          </cell>
          <cell r="F525" t="str">
            <v>NO_CATEGORIES</v>
          </cell>
          <cell r="G525" t="str">
            <v>NO_OBJECTS</v>
          </cell>
          <cell r="H525" t="str">
            <v>NO_DETAILS</v>
          </cell>
          <cell r="I525" t="str">
            <v>NO_SCENARIOS</v>
          </cell>
          <cell r="J525" t="str">
            <v>NO_CURRENCIES</v>
          </cell>
          <cell r="K525">
            <v>18000</v>
          </cell>
        </row>
        <row r="526">
          <cell r="C526" t="str">
            <v>E5400</v>
          </cell>
          <cell r="D526" t="str">
            <v>NO_DATAVIEWS</v>
          </cell>
          <cell r="E526" t="str">
            <v>NO_DEPARTMENTS</v>
          </cell>
          <cell r="F526" t="str">
            <v>NO_CATEGORIES</v>
          </cell>
          <cell r="G526" t="str">
            <v>NO_OBJECTS</v>
          </cell>
          <cell r="H526" t="str">
            <v>NO_DETAILS</v>
          </cell>
          <cell r="I526" t="str">
            <v>NO_SCENARIOS</v>
          </cell>
          <cell r="J526" t="str">
            <v>NO_CURRENCIES</v>
          </cell>
          <cell r="K526">
            <v>18000</v>
          </cell>
        </row>
        <row r="527">
          <cell r="C527" t="str">
            <v>E5400</v>
          </cell>
          <cell r="D527" t="str">
            <v>NO_DATAVIEWS</v>
          </cell>
          <cell r="E527" t="str">
            <v>NO_DEPARTMENTS</v>
          </cell>
          <cell r="F527" t="str">
            <v>NO_CATEGORIES</v>
          </cell>
          <cell r="G527" t="str">
            <v>NO_OBJECTS</v>
          </cell>
          <cell r="H527" t="str">
            <v>NO_DETAILS</v>
          </cell>
          <cell r="I527" t="str">
            <v>NO_SCENARIOS</v>
          </cell>
          <cell r="J527" t="str">
            <v>NO_CURRENCIES</v>
          </cell>
          <cell r="K527">
            <v>18000</v>
          </cell>
        </row>
        <row r="528">
          <cell r="C528" t="str">
            <v>E5400</v>
          </cell>
          <cell r="D528" t="str">
            <v>NO_DATAVIEWS</v>
          </cell>
          <cell r="E528" t="str">
            <v>NO_DEPARTMENTS</v>
          </cell>
          <cell r="F528" t="str">
            <v>NO_CATEGORIES</v>
          </cell>
          <cell r="G528" t="str">
            <v>NO_OBJECTS</v>
          </cell>
          <cell r="H528" t="str">
            <v>NO_DETAILS</v>
          </cell>
          <cell r="I528" t="str">
            <v>NO_SCENARIOS</v>
          </cell>
          <cell r="J528" t="str">
            <v>NO_CURRENCIES</v>
          </cell>
          <cell r="K528">
            <v>18000</v>
          </cell>
        </row>
        <row r="529">
          <cell r="C529" t="str">
            <v>E5401</v>
          </cell>
          <cell r="D529" t="str">
            <v>NO_DATAVIEWS</v>
          </cell>
          <cell r="E529" t="str">
            <v>NO_DEPARTMENTS</v>
          </cell>
          <cell r="F529" t="str">
            <v>NO_CATEGORIES</v>
          </cell>
          <cell r="G529" t="str">
            <v>NO_OBJECTS</v>
          </cell>
          <cell r="H529" t="str">
            <v>NO_DETAILS</v>
          </cell>
          <cell r="I529" t="str">
            <v>NO_SCENARIOS</v>
          </cell>
          <cell r="J529" t="str">
            <v>NO_CURRENCIES</v>
          </cell>
          <cell r="K529">
            <v>8000</v>
          </cell>
        </row>
        <row r="530">
          <cell r="C530" t="str">
            <v>E5401</v>
          </cell>
          <cell r="D530" t="str">
            <v>NO_DATAVIEWS</v>
          </cell>
          <cell r="E530" t="str">
            <v>NO_DEPARTMENTS</v>
          </cell>
          <cell r="F530" t="str">
            <v>NO_CATEGORIES</v>
          </cell>
          <cell r="G530" t="str">
            <v>NO_OBJECTS</v>
          </cell>
          <cell r="H530" t="str">
            <v>NO_DETAILS</v>
          </cell>
          <cell r="I530" t="str">
            <v>NO_SCENARIOS</v>
          </cell>
          <cell r="J530" t="str">
            <v>NO_CURRENCIES</v>
          </cell>
          <cell r="K530">
            <v>8000</v>
          </cell>
        </row>
        <row r="531">
          <cell r="C531" t="str">
            <v>E5401</v>
          </cell>
          <cell r="D531" t="str">
            <v>NO_DATAVIEWS</v>
          </cell>
          <cell r="E531" t="str">
            <v>NO_DEPARTMENTS</v>
          </cell>
          <cell r="F531" t="str">
            <v>NO_CATEGORIES</v>
          </cell>
          <cell r="G531" t="str">
            <v>NO_OBJECTS</v>
          </cell>
          <cell r="H531" t="str">
            <v>NO_DETAILS</v>
          </cell>
          <cell r="I531" t="str">
            <v>NO_SCENARIOS</v>
          </cell>
          <cell r="J531" t="str">
            <v>NO_CURRENCIES</v>
          </cell>
          <cell r="K531">
            <v>8000</v>
          </cell>
        </row>
        <row r="532">
          <cell r="C532" t="str">
            <v>E5401</v>
          </cell>
          <cell r="D532" t="str">
            <v>NO_DATAVIEWS</v>
          </cell>
          <cell r="E532" t="str">
            <v>NO_DEPARTMENTS</v>
          </cell>
          <cell r="F532" t="str">
            <v>NO_CATEGORIES</v>
          </cell>
          <cell r="G532" t="str">
            <v>NO_OBJECTS</v>
          </cell>
          <cell r="H532" t="str">
            <v>NO_DETAILS</v>
          </cell>
          <cell r="I532" t="str">
            <v>NO_SCENARIOS</v>
          </cell>
          <cell r="J532" t="str">
            <v>NO_CURRENCIES</v>
          </cell>
          <cell r="K532">
            <v>8000</v>
          </cell>
        </row>
        <row r="533">
          <cell r="C533" t="str">
            <v>E5401</v>
          </cell>
          <cell r="D533" t="str">
            <v>NO_DATAVIEWS</v>
          </cell>
          <cell r="E533" t="str">
            <v>NO_DEPARTMENTS</v>
          </cell>
          <cell r="F533" t="str">
            <v>NO_CATEGORIES</v>
          </cell>
          <cell r="G533" t="str">
            <v>NO_OBJECTS</v>
          </cell>
          <cell r="H533" t="str">
            <v>NO_DETAILS</v>
          </cell>
          <cell r="I533" t="str">
            <v>NO_SCENARIOS</v>
          </cell>
          <cell r="J533" t="str">
            <v>NO_CURRENCIES</v>
          </cell>
          <cell r="K533">
            <v>8000</v>
          </cell>
        </row>
        <row r="534">
          <cell r="C534" t="str">
            <v>E5401</v>
          </cell>
          <cell r="D534" t="str">
            <v>NO_DATAVIEWS</v>
          </cell>
          <cell r="E534" t="str">
            <v>NO_DEPARTMENTS</v>
          </cell>
          <cell r="F534" t="str">
            <v>NO_CATEGORIES</v>
          </cell>
          <cell r="G534" t="str">
            <v>NO_OBJECTS</v>
          </cell>
          <cell r="H534" t="str">
            <v>NO_DETAILS</v>
          </cell>
          <cell r="I534" t="str">
            <v>NO_SCENARIOS</v>
          </cell>
          <cell r="J534" t="str">
            <v>NO_CURRENCIES</v>
          </cell>
          <cell r="K534">
            <v>8000</v>
          </cell>
        </row>
        <row r="535">
          <cell r="C535" t="str">
            <v>E5401</v>
          </cell>
          <cell r="D535" t="str">
            <v>NO_DATAVIEWS</v>
          </cell>
          <cell r="E535" t="str">
            <v>NO_DEPARTMENTS</v>
          </cell>
          <cell r="F535" t="str">
            <v>NO_CATEGORIES</v>
          </cell>
          <cell r="G535" t="str">
            <v>NO_OBJECTS</v>
          </cell>
          <cell r="H535" t="str">
            <v>NO_DETAILS</v>
          </cell>
          <cell r="I535" t="str">
            <v>NO_SCENARIOS</v>
          </cell>
          <cell r="J535" t="str">
            <v>NO_CURRENCIES</v>
          </cell>
          <cell r="K535">
            <v>8000</v>
          </cell>
        </row>
        <row r="536">
          <cell r="C536" t="str">
            <v>E5401</v>
          </cell>
          <cell r="D536" t="str">
            <v>NO_DATAVIEWS</v>
          </cell>
          <cell r="E536" t="str">
            <v>NO_DEPARTMENTS</v>
          </cell>
          <cell r="F536" t="str">
            <v>NO_CATEGORIES</v>
          </cell>
          <cell r="G536" t="str">
            <v>NO_OBJECTS</v>
          </cell>
          <cell r="H536" t="str">
            <v>NO_DETAILS</v>
          </cell>
          <cell r="I536" t="str">
            <v>NO_SCENARIOS</v>
          </cell>
          <cell r="J536" t="str">
            <v>NO_CURRENCIES</v>
          </cell>
          <cell r="K536">
            <v>8000</v>
          </cell>
        </row>
        <row r="537">
          <cell r="C537" t="str">
            <v>E5401</v>
          </cell>
          <cell r="D537" t="str">
            <v>NO_DATAVIEWS</v>
          </cell>
          <cell r="E537" t="str">
            <v>NO_DEPARTMENTS</v>
          </cell>
          <cell r="F537" t="str">
            <v>NO_CATEGORIES</v>
          </cell>
          <cell r="G537" t="str">
            <v>NO_OBJECTS</v>
          </cell>
          <cell r="H537" t="str">
            <v>NO_DETAILS</v>
          </cell>
          <cell r="I537" t="str">
            <v>NO_SCENARIOS</v>
          </cell>
          <cell r="J537" t="str">
            <v>NO_CURRENCIES</v>
          </cell>
          <cell r="K537">
            <v>8000</v>
          </cell>
        </row>
        <row r="538">
          <cell r="C538" t="str">
            <v>E5401</v>
          </cell>
          <cell r="D538" t="str">
            <v>NO_DATAVIEWS</v>
          </cell>
          <cell r="E538" t="str">
            <v>NO_DEPARTMENTS</v>
          </cell>
          <cell r="F538" t="str">
            <v>NO_CATEGORIES</v>
          </cell>
          <cell r="G538" t="str">
            <v>NO_OBJECTS</v>
          </cell>
          <cell r="H538" t="str">
            <v>NO_DETAILS</v>
          </cell>
          <cell r="I538" t="str">
            <v>NO_SCENARIOS</v>
          </cell>
          <cell r="J538" t="str">
            <v>NO_CURRENCIES</v>
          </cell>
          <cell r="K538">
            <v>8000</v>
          </cell>
        </row>
        <row r="539">
          <cell r="C539" t="str">
            <v>E5401</v>
          </cell>
          <cell r="D539" t="str">
            <v>NO_DATAVIEWS</v>
          </cell>
          <cell r="E539" t="str">
            <v>NO_DEPARTMENTS</v>
          </cell>
          <cell r="F539" t="str">
            <v>NO_CATEGORIES</v>
          </cell>
          <cell r="G539" t="str">
            <v>NO_OBJECTS</v>
          </cell>
          <cell r="H539" t="str">
            <v>NO_DETAILS</v>
          </cell>
          <cell r="I539" t="str">
            <v>NO_SCENARIOS</v>
          </cell>
          <cell r="J539" t="str">
            <v>NO_CURRENCIES</v>
          </cell>
          <cell r="K539">
            <v>8000</v>
          </cell>
        </row>
        <row r="540">
          <cell r="C540" t="str">
            <v>E5401</v>
          </cell>
          <cell r="D540" t="str">
            <v>NO_DATAVIEWS</v>
          </cell>
          <cell r="E540" t="str">
            <v>NO_DEPARTMENTS</v>
          </cell>
          <cell r="F540" t="str">
            <v>NO_CATEGORIES</v>
          </cell>
          <cell r="G540" t="str">
            <v>NO_OBJECTS</v>
          </cell>
          <cell r="H540" t="str">
            <v>NO_DETAILS</v>
          </cell>
          <cell r="I540" t="str">
            <v>NO_SCENARIOS</v>
          </cell>
          <cell r="J540" t="str">
            <v>NO_CURRENCIES</v>
          </cell>
          <cell r="K540">
            <v>8000</v>
          </cell>
        </row>
        <row r="541">
          <cell r="C541" t="str">
            <v>E5402</v>
          </cell>
          <cell r="D541" t="str">
            <v>NO_DATAVIEWS</v>
          </cell>
          <cell r="E541" t="str">
            <v>NO_DEPARTMENTS</v>
          </cell>
          <cell r="F541" t="str">
            <v>NO_CATEGORIES</v>
          </cell>
          <cell r="G541" t="str">
            <v>NO_OBJECTS</v>
          </cell>
          <cell r="H541" t="str">
            <v>NO_DETAILS</v>
          </cell>
          <cell r="I541" t="str">
            <v>NO_SCENARIOS</v>
          </cell>
          <cell r="J541" t="str">
            <v>NO_CURRENCIES</v>
          </cell>
          <cell r="K541">
            <v>10000</v>
          </cell>
        </row>
        <row r="542">
          <cell r="C542" t="str">
            <v>E5402</v>
          </cell>
          <cell r="D542" t="str">
            <v>NO_DATAVIEWS</v>
          </cell>
          <cell r="E542" t="str">
            <v>NO_DEPARTMENTS</v>
          </cell>
          <cell r="F542" t="str">
            <v>NO_CATEGORIES</v>
          </cell>
          <cell r="G542" t="str">
            <v>NO_OBJECTS</v>
          </cell>
          <cell r="H542" t="str">
            <v>NO_DETAILS</v>
          </cell>
          <cell r="I542" t="str">
            <v>NO_SCENARIOS</v>
          </cell>
          <cell r="J542" t="str">
            <v>NO_CURRENCIES</v>
          </cell>
          <cell r="K542">
            <v>10000</v>
          </cell>
        </row>
        <row r="543">
          <cell r="C543" t="str">
            <v>E5402</v>
          </cell>
          <cell r="D543" t="str">
            <v>NO_DATAVIEWS</v>
          </cell>
          <cell r="E543" t="str">
            <v>NO_DEPARTMENTS</v>
          </cell>
          <cell r="F543" t="str">
            <v>NO_CATEGORIES</v>
          </cell>
          <cell r="G543" t="str">
            <v>NO_OBJECTS</v>
          </cell>
          <cell r="H543" t="str">
            <v>NO_DETAILS</v>
          </cell>
          <cell r="I543" t="str">
            <v>NO_SCENARIOS</v>
          </cell>
          <cell r="J543" t="str">
            <v>NO_CURRENCIES</v>
          </cell>
          <cell r="K543">
            <v>10000</v>
          </cell>
        </row>
        <row r="544">
          <cell r="C544" t="str">
            <v>E5402</v>
          </cell>
          <cell r="D544" t="str">
            <v>NO_DATAVIEWS</v>
          </cell>
          <cell r="E544" t="str">
            <v>NO_DEPARTMENTS</v>
          </cell>
          <cell r="F544" t="str">
            <v>NO_CATEGORIES</v>
          </cell>
          <cell r="G544" t="str">
            <v>NO_OBJECTS</v>
          </cell>
          <cell r="H544" t="str">
            <v>NO_DETAILS</v>
          </cell>
          <cell r="I544" t="str">
            <v>NO_SCENARIOS</v>
          </cell>
          <cell r="J544" t="str">
            <v>NO_CURRENCIES</v>
          </cell>
          <cell r="K544">
            <v>10000</v>
          </cell>
        </row>
        <row r="545">
          <cell r="C545" t="str">
            <v>E5402</v>
          </cell>
          <cell r="D545" t="str">
            <v>NO_DATAVIEWS</v>
          </cell>
          <cell r="E545" t="str">
            <v>NO_DEPARTMENTS</v>
          </cell>
          <cell r="F545" t="str">
            <v>NO_CATEGORIES</v>
          </cell>
          <cell r="G545" t="str">
            <v>NO_OBJECTS</v>
          </cell>
          <cell r="H545" t="str">
            <v>NO_DETAILS</v>
          </cell>
          <cell r="I545" t="str">
            <v>NO_SCENARIOS</v>
          </cell>
          <cell r="J545" t="str">
            <v>NO_CURRENCIES</v>
          </cell>
          <cell r="K545">
            <v>10000</v>
          </cell>
        </row>
        <row r="546">
          <cell r="C546" t="str">
            <v>E5402</v>
          </cell>
          <cell r="D546" t="str">
            <v>NO_DATAVIEWS</v>
          </cell>
          <cell r="E546" t="str">
            <v>NO_DEPARTMENTS</v>
          </cell>
          <cell r="F546" t="str">
            <v>NO_CATEGORIES</v>
          </cell>
          <cell r="G546" t="str">
            <v>NO_OBJECTS</v>
          </cell>
          <cell r="H546" t="str">
            <v>NO_DETAILS</v>
          </cell>
          <cell r="I546" t="str">
            <v>NO_SCENARIOS</v>
          </cell>
          <cell r="J546" t="str">
            <v>NO_CURRENCIES</v>
          </cell>
          <cell r="K546">
            <v>10000</v>
          </cell>
        </row>
        <row r="547">
          <cell r="C547" t="str">
            <v>E5402</v>
          </cell>
          <cell r="D547" t="str">
            <v>NO_DATAVIEWS</v>
          </cell>
          <cell r="E547" t="str">
            <v>NO_DEPARTMENTS</v>
          </cell>
          <cell r="F547" t="str">
            <v>NO_CATEGORIES</v>
          </cell>
          <cell r="G547" t="str">
            <v>NO_OBJECTS</v>
          </cell>
          <cell r="H547" t="str">
            <v>NO_DETAILS</v>
          </cell>
          <cell r="I547" t="str">
            <v>NO_SCENARIOS</v>
          </cell>
          <cell r="J547" t="str">
            <v>NO_CURRENCIES</v>
          </cell>
          <cell r="K547">
            <v>10000</v>
          </cell>
        </row>
        <row r="548">
          <cell r="C548" t="str">
            <v>E5402</v>
          </cell>
          <cell r="D548" t="str">
            <v>NO_DATAVIEWS</v>
          </cell>
          <cell r="E548" t="str">
            <v>NO_DEPARTMENTS</v>
          </cell>
          <cell r="F548" t="str">
            <v>NO_CATEGORIES</v>
          </cell>
          <cell r="G548" t="str">
            <v>NO_OBJECTS</v>
          </cell>
          <cell r="H548" t="str">
            <v>NO_DETAILS</v>
          </cell>
          <cell r="I548" t="str">
            <v>NO_SCENARIOS</v>
          </cell>
          <cell r="J548" t="str">
            <v>NO_CURRENCIES</v>
          </cell>
          <cell r="K548">
            <v>10000</v>
          </cell>
        </row>
        <row r="549">
          <cell r="C549" t="str">
            <v>E5402</v>
          </cell>
          <cell r="D549" t="str">
            <v>NO_DATAVIEWS</v>
          </cell>
          <cell r="E549" t="str">
            <v>NO_DEPARTMENTS</v>
          </cell>
          <cell r="F549" t="str">
            <v>NO_CATEGORIES</v>
          </cell>
          <cell r="G549" t="str">
            <v>NO_OBJECTS</v>
          </cell>
          <cell r="H549" t="str">
            <v>NO_DETAILS</v>
          </cell>
          <cell r="I549" t="str">
            <v>NO_SCENARIOS</v>
          </cell>
          <cell r="J549" t="str">
            <v>NO_CURRENCIES</v>
          </cell>
          <cell r="K549">
            <v>10000</v>
          </cell>
        </row>
        <row r="550">
          <cell r="C550" t="str">
            <v>E5402</v>
          </cell>
          <cell r="D550" t="str">
            <v>NO_DATAVIEWS</v>
          </cell>
          <cell r="E550" t="str">
            <v>NO_DEPARTMENTS</v>
          </cell>
          <cell r="F550" t="str">
            <v>NO_CATEGORIES</v>
          </cell>
          <cell r="G550" t="str">
            <v>NO_OBJECTS</v>
          </cell>
          <cell r="H550" t="str">
            <v>NO_DETAILS</v>
          </cell>
          <cell r="I550" t="str">
            <v>NO_SCENARIOS</v>
          </cell>
          <cell r="J550" t="str">
            <v>NO_CURRENCIES</v>
          </cell>
          <cell r="K550">
            <v>10000</v>
          </cell>
        </row>
        <row r="551">
          <cell r="C551" t="str">
            <v>E5402</v>
          </cell>
          <cell r="D551" t="str">
            <v>NO_DATAVIEWS</v>
          </cell>
          <cell r="E551" t="str">
            <v>NO_DEPARTMENTS</v>
          </cell>
          <cell r="F551" t="str">
            <v>NO_CATEGORIES</v>
          </cell>
          <cell r="G551" t="str">
            <v>NO_OBJECTS</v>
          </cell>
          <cell r="H551" t="str">
            <v>NO_DETAILS</v>
          </cell>
          <cell r="I551" t="str">
            <v>NO_SCENARIOS</v>
          </cell>
          <cell r="J551" t="str">
            <v>NO_CURRENCIES</v>
          </cell>
          <cell r="K551">
            <v>10000</v>
          </cell>
        </row>
        <row r="552">
          <cell r="C552" t="str">
            <v>E5402</v>
          </cell>
          <cell r="D552" t="str">
            <v>NO_DATAVIEWS</v>
          </cell>
          <cell r="E552" t="str">
            <v>NO_DEPARTMENTS</v>
          </cell>
          <cell r="F552" t="str">
            <v>NO_CATEGORIES</v>
          </cell>
          <cell r="G552" t="str">
            <v>NO_OBJECTS</v>
          </cell>
          <cell r="H552" t="str">
            <v>NO_DETAILS</v>
          </cell>
          <cell r="I552" t="str">
            <v>NO_SCENARIOS</v>
          </cell>
          <cell r="J552" t="str">
            <v>NO_CURRENCIES</v>
          </cell>
          <cell r="K552">
            <v>10000</v>
          </cell>
        </row>
        <row r="553">
          <cell r="C553" t="str">
            <v>E5570</v>
          </cell>
          <cell r="D553" t="str">
            <v>NO_DATAVIEWS</v>
          </cell>
          <cell r="E553" t="str">
            <v>NO_DEPARTMENTS</v>
          </cell>
          <cell r="F553" t="str">
            <v>NO_CATEGORIES</v>
          </cell>
          <cell r="G553" t="str">
            <v>NO_OBJECTS</v>
          </cell>
          <cell r="H553" t="str">
            <v>NO_DETAILS</v>
          </cell>
          <cell r="I553" t="str">
            <v>NO_SCENARIOS</v>
          </cell>
          <cell r="J553" t="str">
            <v>NO_CURRENCIES</v>
          </cell>
          <cell r="K553">
            <v>16000</v>
          </cell>
        </row>
        <row r="554">
          <cell r="C554" t="str">
            <v>E5570</v>
          </cell>
          <cell r="D554" t="str">
            <v>NO_DATAVIEWS</v>
          </cell>
          <cell r="E554" t="str">
            <v>NO_DEPARTMENTS</v>
          </cell>
          <cell r="F554" t="str">
            <v>NO_CATEGORIES</v>
          </cell>
          <cell r="G554" t="str">
            <v>NO_OBJECTS</v>
          </cell>
          <cell r="H554" t="str">
            <v>NO_DETAILS</v>
          </cell>
          <cell r="I554" t="str">
            <v>NO_SCENARIOS</v>
          </cell>
          <cell r="J554" t="str">
            <v>NO_CURRENCIES</v>
          </cell>
          <cell r="K554">
            <v>16000</v>
          </cell>
        </row>
        <row r="555">
          <cell r="C555" t="str">
            <v>E5570</v>
          </cell>
          <cell r="D555" t="str">
            <v>NO_DATAVIEWS</v>
          </cell>
          <cell r="E555" t="str">
            <v>NO_DEPARTMENTS</v>
          </cell>
          <cell r="F555" t="str">
            <v>NO_CATEGORIES</v>
          </cell>
          <cell r="G555" t="str">
            <v>NO_OBJECTS</v>
          </cell>
          <cell r="H555" t="str">
            <v>NO_DETAILS</v>
          </cell>
          <cell r="I555" t="str">
            <v>NO_SCENARIOS</v>
          </cell>
          <cell r="J555" t="str">
            <v>NO_CURRENCIES</v>
          </cell>
          <cell r="K555">
            <v>16000</v>
          </cell>
        </row>
        <row r="556">
          <cell r="C556" t="str">
            <v>E5570</v>
          </cell>
          <cell r="D556" t="str">
            <v>NO_DATAVIEWS</v>
          </cell>
          <cell r="E556" t="str">
            <v>NO_DEPARTMENTS</v>
          </cell>
          <cell r="F556" t="str">
            <v>NO_CATEGORIES</v>
          </cell>
          <cell r="G556" t="str">
            <v>NO_OBJECTS</v>
          </cell>
          <cell r="H556" t="str">
            <v>NO_DETAILS</v>
          </cell>
          <cell r="I556" t="str">
            <v>NO_SCENARIOS</v>
          </cell>
          <cell r="J556" t="str">
            <v>NO_CURRENCIES</v>
          </cell>
          <cell r="K556">
            <v>16000</v>
          </cell>
        </row>
        <row r="557">
          <cell r="C557" t="str">
            <v>E5570</v>
          </cell>
          <cell r="D557" t="str">
            <v>NO_DATAVIEWS</v>
          </cell>
          <cell r="E557" t="str">
            <v>NO_DEPARTMENTS</v>
          </cell>
          <cell r="F557" t="str">
            <v>NO_CATEGORIES</v>
          </cell>
          <cell r="G557" t="str">
            <v>NO_OBJECTS</v>
          </cell>
          <cell r="H557" t="str">
            <v>NO_DETAILS</v>
          </cell>
          <cell r="I557" t="str">
            <v>NO_SCENARIOS</v>
          </cell>
          <cell r="J557" t="str">
            <v>NO_CURRENCIES</v>
          </cell>
          <cell r="K557">
            <v>16000</v>
          </cell>
        </row>
        <row r="558">
          <cell r="C558" t="str">
            <v>E5570</v>
          </cell>
          <cell r="D558" t="str">
            <v>NO_DATAVIEWS</v>
          </cell>
          <cell r="E558" t="str">
            <v>NO_DEPARTMENTS</v>
          </cell>
          <cell r="F558" t="str">
            <v>NO_CATEGORIES</v>
          </cell>
          <cell r="G558" t="str">
            <v>NO_OBJECTS</v>
          </cell>
          <cell r="H558" t="str">
            <v>NO_DETAILS</v>
          </cell>
          <cell r="I558" t="str">
            <v>NO_SCENARIOS</v>
          </cell>
          <cell r="J558" t="str">
            <v>NO_CURRENCIES</v>
          </cell>
          <cell r="K558">
            <v>16000</v>
          </cell>
        </row>
        <row r="559">
          <cell r="C559" t="str">
            <v>E5570</v>
          </cell>
          <cell r="D559" t="str">
            <v>NO_DATAVIEWS</v>
          </cell>
          <cell r="E559" t="str">
            <v>NO_DEPARTMENTS</v>
          </cell>
          <cell r="F559" t="str">
            <v>NO_CATEGORIES</v>
          </cell>
          <cell r="G559" t="str">
            <v>NO_OBJECTS</v>
          </cell>
          <cell r="H559" t="str">
            <v>NO_DETAILS</v>
          </cell>
          <cell r="I559" t="str">
            <v>NO_SCENARIOS</v>
          </cell>
          <cell r="J559" t="str">
            <v>NO_CURRENCIES</v>
          </cell>
          <cell r="K559">
            <v>16000</v>
          </cell>
        </row>
        <row r="560">
          <cell r="C560" t="str">
            <v>E5570</v>
          </cell>
          <cell r="D560" t="str">
            <v>NO_DATAVIEWS</v>
          </cell>
          <cell r="E560" t="str">
            <v>NO_DEPARTMENTS</v>
          </cell>
          <cell r="F560" t="str">
            <v>NO_CATEGORIES</v>
          </cell>
          <cell r="G560" t="str">
            <v>NO_OBJECTS</v>
          </cell>
          <cell r="H560" t="str">
            <v>NO_DETAILS</v>
          </cell>
          <cell r="I560" t="str">
            <v>NO_SCENARIOS</v>
          </cell>
          <cell r="J560" t="str">
            <v>NO_CURRENCIES</v>
          </cell>
          <cell r="K560">
            <v>16000</v>
          </cell>
        </row>
        <row r="561">
          <cell r="C561" t="str">
            <v>E5570</v>
          </cell>
          <cell r="D561" t="str">
            <v>NO_DATAVIEWS</v>
          </cell>
          <cell r="E561" t="str">
            <v>NO_DEPARTMENTS</v>
          </cell>
          <cell r="F561" t="str">
            <v>NO_CATEGORIES</v>
          </cell>
          <cell r="G561" t="str">
            <v>NO_OBJECTS</v>
          </cell>
          <cell r="H561" t="str">
            <v>NO_DETAILS</v>
          </cell>
          <cell r="I561" t="str">
            <v>NO_SCENARIOS</v>
          </cell>
          <cell r="J561" t="str">
            <v>NO_CURRENCIES</v>
          </cell>
          <cell r="K561">
            <v>16000</v>
          </cell>
        </row>
        <row r="562">
          <cell r="C562" t="str">
            <v>E5570</v>
          </cell>
          <cell r="D562" t="str">
            <v>NO_DATAVIEWS</v>
          </cell>
          <cell r="E562" t="str">
            <v>NO_DEPARTMENTS</v>
          </cell>
          <cell r="F562" t="str">
            <v>NO_CATEGORIES</v>
          </cell>
          <cell r="G562" t="str">
            <v>NO_OBJECTS</v>
          </cell>
          <cell r="H562" t="str">
            <v>NO_DETAILS</v>
          </cell>
          <cell r="I562" t="str">
            <v>NO_SCENARIOS</v>
          </cell>
          <cell r="J562" t="str">
            <v>NO_CURRENCIES</v>
          </cell>
          <cell r="K562">
            <v>16000</v>
          </cell>
        </row>
        <row r="563">
          <cell r="C563" t="str">
            <v>E5570</v>
          </cell>
          <cell r="D563" t="str">
            <v>NO_DATAVIEWS</v>
          </cell>
          <cell r="E563" t="str">
            <v>NO_DEPARTMENTS</v>
          </cell>
          <cell r="F563" t="str">
            <v>NO_CATEGORIES</v>
          </cell>
          <cell r="G563" t="str">
            <v>NO_OBJECTS</v>
          </cell>
          <cell r="H563" t="str">
            <v>NO_DETAILS</v>
          </cell>
          <cell r="I563" t="str">
            <v>NO_SCENARIOS</v>
          </cell>
          <cell r="J563" t="str">
            <v>NO_CURRENCIES</v>
          </cell>
          <cell r="K563">
            <v>16000</v>
          </cell>
        </row>
        <row r="564">
          <cell r="C564" t="str">
            <v>E5570</v>
          </cell>
          <cell r="D564" t="str">
            <v>NO_DATAVIEWS</v>
          </cell>
          <cell r="E564" t="str">
            <v>NO_DEPARTMENTS</v>
          </cell>
          <cell r="F564" t="str">
            <v>NO_CATEGORIES</v>
          </cell>
          <cell r="G564" t="str">
            <v>NO_OBJECTS</v>
          </cell>
          <cell r="H564" t="str">
            <v>NO_DETAILS</v>
          </cell>
          <cell r="I564" t="str">
            <v>NO_SCENARIOS</v>
          </cell>
          <cell r="J564" t="str">
            <v>NO_CURRENCIES</v>
          </cell>
          <cell r="K564">
            <v>16000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21"/>
      <sheetName val="BP2021 - Distribution mensuelle"/>
      <sheetName val="Budget 2022"/>
      <sheetName val="BP2022 - Distribution mensuelle"/>
    </sheetNames>
    <sheetDataSet>
      <sheetData sheetId="0" refreshError="1"/>
      <sheetData sheetId="1" refreshError="1"/>
      <sheetData sheetId="2" refreshError="1"/>
      <sheetData sheetId="3" refreshError="1">
        <row r="3">
          <cell r="BR3">
            <v>0.11525324368783715</v>
          </cell>
          <cell r="BX3">
            <v>0.12357791977010436</v>
          </cell>
          <cell r="CF3">
            <v>0.11346199364373562</v>
          </cell>
        </row>
        <row r="4">
          <cell r="BX4">
            <v>0.10054380961059237</v>
          </cell>
          <cell r="CF4">
            <v>0.10351769642523521</v>
          </cell>
        </row>
        <row r="5">
          <cell r="BX5">
            <v>9.4143841991262481E-2</v>
          </cell>
          <cell r="CF5">
            <v>0.10369919789996213</v>
          </cell>
        </row>
        <row r="6">
          <cell r="BX6">
            <v>7.1544618716387121E-2</v>
          </cell>
          <cell r="CF6">
            <v>7.7016804425217328E-2</v>
          </cell>
        </row>
        <row r="7">
          <cell r="CF7">
            <v>6.7698888594797432E-2</v>
          </cell>
        </row>
        <row r="8">
          <cell r="CF8">
            <v>5.6375269244658396E-2</v>
          </cell>
          <cell r="DC8">
            <v>5.3999999999999999E-2</v>
          </cell>
        </row>
        <row r="9">
          <cell r="DB9">
            <v>5.8000000000000003E-2</v>
          </cell>
          <cell r="DC9">
            <v>5.8000000000000003E-2</v>
          </cell>
        </row>
        <row r="10">
          <cell r="DA10">
            <v>5.2999999999999999E-2</v>
          </cell>
          <cell r="DB10">
            <v>5.3999999999999999E-2</v>
          </cell>
          <cell r="DC10">
            <v>5.2999999999999999E-2</v>
          </cell>
        </row>
        <row r="11">
          <cell r="DA11">
            <v>6.3E-2</v>
          </cell>
          <cell r="DB11">
            <v>6.4000000000000001E-2</v>
          </cell>
          <cell r="DC11">
            <v>6.3E-2</v>
          </cell>
        </row>
        <row r="12">
          <cell r="DA12">
            <v>8.5999999999999993E-2</v>
          </cell>
          <cell r="DB12">
            <v>8.5999999999999993E-2</v>
          </cell>
          <cell r="DC12">
            <v>8.5999999999999993E-2</v>
          </cell>
        </row>
        <row r="13">
          <cell r="DA13">
            <v>0.1</v>
          </cell>
          <cell r="DB13">
            <v>9.9000000000000005E-2</v>
          </cell>
          <cell r="DC13">
            <v>0.1</v>
          </cell>
          <cell r="DD13">
            <v>0.105</v>
          </cell>
        </row>
        <row r="14">
          <cell r="DA14">
            <v>0.12</v>
          </cell>
          <cell r="DB14">
            <v>0.11899999999999999</v>
          </cell>
          <cell r="DC14">
            <v>0.12</v>
          </cell>
          <cell r="DD14">
            <v>0.126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 (2)"/>
      <sheetName val="test (1)"/>
      <sheetName val="TCD"/>
      <sheetName val="modèle OTP"/>
      <sheetName val="liste Projets France"/>
      <sheetName val="liste OTP France"/>
      <sheetName val="AZWBS_Hide"/>
      <sheetName val="objects"/>
      <sheetName val="liste Divisions France"/>
      <sheetName val="TOTEURECOC"/>
      <sheetName val="entities zon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C1" t="str">
            <v>ENTITIES_Symbol</v>
          </cell>
          <cell r="D1" t="str">
            <v>ENTITIES_Root</v>
          </cell>
        </row>
        <row r="2">
          <cell r="C2" t="str">
            <v>EURZONSUD</v>
          </cell>
          <cell r="D2" t="str">
            <v>EURZONSUD</v>
          </cell>
        </row>
        <row r="3">
          <cell r="C3" t="str">
            <v>EURZONSUDSOL</v>
          </cell>
          <cell r="D3" t="str">
            <v>EURZONSUD</v>
          </cell>
        </row>
        <row r="4">
          <cell r="C4" t="str">
            <v>BOREURSOLC</v>
          </cell>
          <cell r="D4" t="str">
            <v>EURZONSUD</v>
          </cell>
        </row>
        <row r="5">
          <cell r="C5" t="str">
            <v>E5010SOLC</v>
          </cell>
          <cell r="D5" t="str">
            <v>EURZONSUD</v>
          </cell>
        </row>
        <row r="6">
          <cell r="C6" t="str">
            <v>E5012</v>
          </cell>
          <cell r="D6" t="str">
            <v>EURZONSUD</v>
          </cell>
        </row>
        <row r="7">
          <cell r="C7" t="str">
            <v>E5010SOLEA</v>
          </cell>
          <cell r="D7" t="str">
            <v>EURZONSUD</v>
          </cell>
        </row>
        <row r="8">
          <cell r="C8" t="str">
            <v>E5010SOLA</v>
          </cell>
          <cell r="D8" t="str">
            <v>EURZONSUD</v>
          </cell>
        </row>
        <row r="9">
          <cell r="C9" t="str">
            <v>E5010SOLE</v>
          </cell>
          <cell r="D9" t="str">
            <v>EURZONSUD</v>
          </cell>
        </row>
        <row r="10">
          <cell r="C10" t="str">
            <v>E5550</v>
          </cell>
          <cell r="D10" t="str">
            <v>EURZONSUD</v>
          </cell>
        </row>
        <row r="11">
          <cell r="C11" t="str">
            <v>E5250</v>
          </cell>
          <cell r="D11" t="str">
            <v>EURZONSUD</v>
          </cell>
        </row>
        <row r="12">
          <cell r="C12" t="str">
            <v>E6020C</v>
          </cell>
          <cell r="D12" t="str">
            <v>EURZONSUD</v>
          </cell>
        </row>
        <row r="13">
          <cell r="C13" t="str">
            <v>E6020</v>
          </cell>
          <cell r="D13" t="str">
            <v>EURZONSUD</v>
          </cell>
        </row>
        <row r="14">
          <cell r="C14" t="str">
            <v>E6021</v>
          </cell>
          <cell r="D14" t="str">
            <v>EURZONSUD</v>
          </cell>
        </row>
        <row r="15">
          <cell r="C15" t="str">
            <v>E6020EA</v>
          </cell>
          <cell r="D15" t="str">
            <v>EURZONSUD</v>
          </cell>
        </row>
        <row r="16">
          <cell r="C16" t="str">
            <v>E6020A</v>
          </cell>
          <cell r="D16" t="str">
            <v>EURZONSUD</v>
          </cell>
        </row>
        <row r="17">
          <cell r="C17" t="str">
            <v>E6020E</v>
          </cell>
          <cell r="D17" t="str">
            <v>EURZONSUD</v>
          </cell>
        </row>
        <row r="18">
          <cell r="C18" t="str">
            <v>E6040</v>
          </cell>
          <cell r="D18" t="str">
            <v>EURZONSUD</v>
          </cell>
        </row>
        <row r="19">
          <cell r="C19" t="str">
            <v>BOREURSOLEA</v>
          </cell>
          <cell r="D19" t="str">
            <v>EURZONSUD</v>
          </cell>
        </row>
        <row r="20">
          <cell r="C20" t="str">
            <v>SB014</v>
          </cell>
          <cell r="D20" t="str">
            <v>EURZONSUD</v>
          </cell>
        </row>
        <row r="21">
          <cell r="C21" t="str">
            <v>BOREURSOLA</v>
          </cell>
          <cell r="D21" t="str">
            <v>EURZONSUD</v>
          </cell>
        </row>
        <row r="22">
          <cell r="C22" t="str">
            <v>BOREURSOLE</v>
          </cell>
          <cell r="D22" t="str">
            <v>EURZONSUD</v>
          </cell>
        </row>
        <row r="23">
          <cell r="C23" t="str">
            <v>EURZONSUDEOL</v>
          </cell>
          <cell r="D23" t="str">
            <v>EURZONSUD</v>
          </cell>
        </row>
        <row r="24">
          <cell r="C24" t="str">
            <v>BEV5</v>
          </cell>
          <cell r="D24" t="str">
            <v>EURZONSUD</v>
          </cell>
        </row>
        <row r="25">
          <cell r="C25" t="str">
            <v>E5394</v>
          </cell>
          <cell r="D25" t="str">
            <v>EURZONSUD</v>
          </cell>
        </row>
        <row r="26">
          <cell r="C26" t="str">
            <v>E5414</v>
          </cell>
          <cell r="D26" t="str">
            <v>EURZONSUD</v>
          </cell>
        </row>
        <row r="27">
          <cell r="C27" t="str">
            <v>E5460</v>
          </cell>
          <cell r="D27" t="str">
            <v>EURZONSUD</v>
          </cell>
        </row>
        <row r="28">
          <cell r="C28" t="str">
            <v>BEV11</v>
          </cell>
          <cell r="D28" t="str">
            <v>EURZONSUD</v>
          </cell>
        </row>
        <row r="29">
          <cell r="C29" t="str">
            <v>E5400</v>
          </cell>
          <cell r="D29" t="str">
            <v>EURZONSUD</v>
          </cell>
        </row>
        <row r="30">
          <cell r="C30" t="str">
            <v>E5420</v>
          </cell>
          <cell r="D30" t="str">
            <v>EURZONSUD</v>
          </cell>
        </row>
        <row r="31">
          <cell r="C31" t="str">
            <v>E5520</v>
          </cell>
          <cell r="D31" t="str">
            <v>EURZONSUD</v>
          </cell>
        </row>
        <row r="32">
          <cell r="C32" t="str">
            <v>SFERMALLYC</v>
          </cell>
          <cell r="D32" t="str">
            <v>EURZONSUD</v>
          </cell>
        </row>
        <row r="33">
          <cell r="C33" t="str">
            <v>E5061</v>
          </cell>
          <cell r="D33" t="str">
            <v>EURZONSUD</v>
          </cell>
        </row>
        <row r="34">
          <cell r="C34" t="str">
            <v>E5070</v>
          </cell>
          <cell r="D34" t="str">
            <v>EURZONSUD</v>
          </cell>
        </row>
        <row r="35">
          <cell r="C35" t="str">
            <v>E5080</v>
          </cell>
          <cell r="D35" t="str">
            <v>EURZONSUD</v>
          </cell>
        </row>
        <row r="36">
          <cell r="C36" t="str">
            <v>E5090</v>
          </cell>
          <cell r="D36" t="str">
            <v>EURZONSUD</v>
          </cell>
        </row>
        <row r="37">
          <cell r="C37" t="str">
            <v>E5100</v>
          </cell>
          <cell r="D37" t="str">
            <v>EURZONSUD</v>
          </cell>
        </row>
        <row r="38">
          <cell r="C38" t="str">
            <v>SB5061</v>
          </cell>
          <cell r="D38" t="str">
            <v>EURZONSUD</v>
          </cell>
        </row>
        <row r="39">
          <cell r="C39" t="str">
            <v>SFERMALLYEA</v>
          </cell>
          <cell r="D39" t="str">
            <v>EURZONSUD</v>
          </cell>
        </row>
        <row r="40">
          <cell r="C40" t="str">
            <v>ALLYA</v>
          </cell>
          <cell r="D40" t="str">
            <v>EURZONSUD</v>
          </cell>
        </row>
        <row r="41">
          <cell r="C41" t="str">
            <v>SFERMALLYA</v>
          </cell>
          <cell r="D41" t="str">
            <v>EURZONSUD</v>
          </cell>
        </row>
        <row r="42">
          <cell r="C42" t="str">
            <v>SFERMALLYE</v>
          </cell>
          <cell r="D42" t="str">
            <v>EURZONSUD</v>
          </cell>
        </row>
        <row r="43">
          <cell r="C43" t="str">
            <v>SFERMAVI1</v>
          </cell>
          <cell r="D43" t="str">
            <v>EURZONSUD</v>
          </cell>
        </row>
        <row r="44">
          <cell r="C44" t="str">
            <v>E5030</v>
          </cell>
          <cell r="D44" t="str">
            <v>EURZONSUD</v>
          </cell>
        </row>
        <row r="45">
          <cell r="C45" t="str">
            <v>SB5030</v>
          </cell>
          <cell r="D45" t="str">
            <v>EURZONSUD</v>
          </cell>
        </row>
        <row r="46">
          <cell r="C46" t="str">
            <v>SFERMCHAM2C</v>
          </cell>
          <cell r="D46" t="str">
            <v>EURZONSUD</v>
          </cell>
        </row>
        <row r="47">
          <cell r="C47" t="str">
            <v>E5065</v>
          </cell>
          <cell r="D47" t="str">
            <v>EURZONSUD</v>
          </cell>
        </row>
        <row r="48">
          <cell r="C48" t="str">
            <v>E5150</v>
          </cell>
          <cell r="D48" t="str">
            <v>EURZONSUD</v>
          </cell>
        </row>
        <row r="49">
          <cell r="C49" t="str">
            <v>SB5065</v>
          </cell>
          <cell r="D49" t="str">
            <v>EURZONSUD</v>
          </cell>
        </row>
        <row r="50">
          <cell r="C50" t="str">
            <v>SFERMCHAM2EA</v>
          </cell>
          <cell r="D50" t="str">
            <v>EURZONSUD</v>
          </cell>
        </row>
        <row r="51">
          <cell r="C51" t="str">
            <v>SFERMCHAM2A</v>
          </cell>
          <cell r="D51" t="str">
            <v>EURZONSUD</v>
          </cell>
        </row>
        <row r="52">
          <cell r="C52" t="str">
            <v>SFERMCHAM2E</v>
          </cell>
          <cell r="D52" t="str">
            <v>EURZONSUD</v>
          </cell>
        </row>
        <row r="53">
          <cell r="C53" t="str">
            <v>SFERMCHAMC</v>
          </cell>
          <cell r="D53" t="str">
            <v>EURZONSUD</v>
          </cell>
        </row>
        <row r="54">
          <cell r="C54" t="str">
            <v>E5062</v>
          </cell>
          <cell r="D54" t="str">
            <v>EURZONSUD</v>
          </cell>
        </row>
        <row r="55">
          <cell r="C55" t="str">
            <v>E5110</v>
          </cell>
          <cell r="D55" t="str">
            <v>EURZONSUD</v>
          </cell>
        </row>
        <row r="56">
          <cell r="C56" t="str">
            <v>E5120</v>
          </cell>
          <cell r="D56" t="str">
            <v>EURZONSUD</v>
          </cell>
        </row>
        <row r="57">
          <cell r="C57" t="str">
            <v>SB5062</v>
          </cell>
          <cell r="D57" t="str">
            <v>EURZONSUD</v>
          </cell>
        </row>
        <row r="58">
          <cell r="C58" t="str">
            <v>SFERMCHAMEA</v>
          </cell>
          <cell r="D58" t="str">
            <v>EURZONSUD</v>
          </cell>
        </row>
        <row r="59">
          <cell r="C59" t="str">
            <v>CHAMLONGEA</v>
          </cell>
          <cell r="D59" t="str">
            <v>EURZONSUD</v>
          </cell>
        </row>
        <row r="60">
          <cell r="C60" t="str">
            <v>SFERMCHAMA</v>
          </cell>
          <cell r="D60" t="str">
            <v>EURZONSUD</v>
          </cell>
        </row>
        <row r="61">
          <cell r="C61" t="str">
            <v>SFERMCHAME</v>
          </cell>
          <cell r="D61" t="str">
            <v>EURZONSUD</v>
          </cell>
        </row>
        <row r="62">
          <cell r="C62" t="str">
            <v>SFERMCITAC</v>
          </cell>
          <cell r="D62" t="str">
            <v>EURZONSUD</v>
          </cell>
        </row>
        <row r="63">
          <cell r="C63" t="str">
            <v>E5064</v>
          </cell>
          <cell r="D63" t="str">
            <v>EURZONSUD</v>
          </cell>
        </row>
        <row r="64">
          <cell r="C64" t="str">
            <v>E5140</v>
          </cell>
          <cell r="D64" t="str">
            <v>EURZONSUD</v>
          </cell>
        </row>
        <row r="65">
          <cell r="C65" t="str">
            <v>SB5064</v>
          </cell>
          <cell r="D65" t="str">
            <v>EURZONSUD</v>
          </cell>
        </row>
        <row r="66">
          <cell r="C66" t="str">
            <v>SFERMCITAEA</v>
          </cell>
          <cell r="D66" t="str">
            <v>EURZONSUD</v>
          </cell>
        </row>
        <row r="67">
          <cell r="C67" t="str">
            <v>SFERMCITAA</v>
          </cell>
          <cell r="D67" t="str">
            <v>EURZONSUD</v>
          </cell>
        </row>
        <row r="68">
          <cell r="C68" t="str">
            <v>SFERMCITAE</v>
          </cell>
          <cell r="D68" t="str">
            <v>EURZONSUD</v>
          </cell>
        </row>
        <row r="69">
          <cell r="C69" t="str">
            <v>E5210</v>
          </cell>
          <cell r="D69" t="str">
            <v>EURZONSUD</v>
          </cell>
        </row>
        <row r="70">
          <cell r="C70" t="str">
            <v>E5260C</v>
          </cell>
          <cell r="D70" t="str">
            <v>EURZONSUD</v>
          </cell>
        </row>
        <row r="71">
          <cell r="C71" t="str">
            <v>E5260</v>
          </cell>
          <cell r="D71" t="str">
            <v>EURZONSUD</v>
          </cell>
        </row>
        <row r="72">
          <cell r="C72" t="str">
            <v>E5270</v>
          </cell>
          <cell r="D72" t="str">
            <v>EURZONSUD</v>
          </cell>
        </row>
        <row r="73">
          <cell r="C73" t="str">
            <v>E5280</v>
          </cell>
          <cell r="D73" t="str">
            <v>EURZONSUD</v>
          </cell>
        </row>
        <row r="74">
          <cell r="C74" t="str">
            <v>E5260EA</v>
          </cell>
          <cell r="D74" t="str">
            <v>EURZONSUD</v>
          </cell>
        </row>
        <row r="75">
          <cell r="C75" t="str">
            <v>E5260A</v>
          </cell>
          <cell r="D75" t="str">
            <v>EURZONSUD</v>
          </cell>
        </row>
        <row r="76">
          <cell r="C76" t="str">
            <v>E5260E</v>
          </cell>
          <cell r="D76" t="str">
            <v>EURZONSUD</v>
          </cell>
        </row>
        <row r="77">
          <cell r="C77" t="str">
            <v>E5360</v>
          </cell>
          <cell r="D77" t="str">
            <v>EURZONSUD</v>
          </cell>
        </row>
        <row r="78">
          <cell r="C78" t="str">
            <v>E5570</v>
          </cell>
          <cell r="D78" t="str">
            <v>EURZONSUD</v>
          </cell>
        </row>
        <row r="79">
          <cell r="C79" t="str">
            <v>E5760</v>
          </cell>
          <cell r="D79" t="str">
            <v>EURZONSUD</v>
          </cell>
        </row>
        <row r="80">
          <cell r="C80" t="str">
            <v>E6000</v>
          </cell>
          <cell r="D80" t="str">
            <v>EURZONSUD</v>
          </cell>
        </row>
        <row r="81">
          <cell r="C81" t="str">
            <v>E6010</v>
          </cell>
          <cell r="D81" t="str">
            <v>EURZONSUD</v>
          </cell>
        </row>
        <row r="82">
          <cell r="C82" t="str">
            <v>E6070</v>
          </cell>
          <cell r="D82" t="str">
            <v>EURZONSUD</v>
          </cell>
        </row>
        <row r="83">
          <cell r="C83" t="str">
            <v>E6120</v>
          </cell>
          <cell r="D83" t="str">
            <v>EURZONSUD</v>
          </cell>
        </row>
        <row r="84">
          <cell r="C84" t="str">
            <v>E6140</v>
          </cell>
          <cell r="D84" t="str">
            <v>EURZONSUD</v>
          </cell>
        </row>
        <row r="85">
          <cell r="C85" t="str">
            <v>EURZONCEN</v>
          </cell>
          <cell r="D85" t="str">
            <v>EURZONCEN</v>
          </cell>
        </row>
        <row r="86">
          <cell r="C86" t="str">
            <v>BEV4</v>
          </cell>
          <cell r="D86" t="str">
            <v>EURZONCEN</v>
          </cell>
        </row>
        <row r="87">
          <cell r="C87" t="str">
            <v>E5393</v>
          </cell>
          <cell r="D87" t="str">
            <v>EURZONCEN</v>
          </cell>
        </row>
        <row r="88">
          <cell r="C88" t="str">
            <v>E5413</v>
          </cell>
          <cell r="D88" t="str">
            <v>EURZONCEN</v>
          </cell>
        </row>
        <row r="89">
          <cell r="C89" t="str">
            <v>E5540</v>
          </cell>
          <cell r="D89" t="str">
            <v>EURZONCEN</v>
          </cell>
        </row>
        <row r="90">
          <cell r="C90" t="str">
            <v>BEV6</v>
          </cell>
          <cell r="D90" t="str">
            <v>EURZONCEN</v>
          </cell>
        </row>
        <row r="91">
          <cell r="C91" t="str">
            <v>E5395</v>
          </cell>
          <cell r="D91" t="str">
            <v>EURZONCEN</v>
          </cell>
        </row>
        <row r="92">
          <cell r="C92" t="str">
            <v>E5415</v>
          </cell>
          <cell r="D92" t="str">
            <v>EURZONCEN</v>
          </cell>
        </row>
        <row r="93">
          <cell r="C93" t="str">
            <v>E5470</v>
          </cell>
          <cell r="D93" t="str">
            <v>EURZONCEN</v>
          </cell>
        </row>
        <row r="94">
          <cell r="C94" t="str">
            <v>BEV7</v>
          </cell>
          <cell r="D94" t="str">
            <v>EURZONCEN</v>
          </cell>
        </row>
        <row r="95">
          <cell r="C95" t="str">
            <v>E5396</v>
          </cell>
          <cell r="D95" t="str">
            <v>EURZONCEN</v>
          </cell>
        </row>
        <row r="96">
          <cell r="C96" t="str">
            <v>E5416</v>
          </cell>
          <cell r="D96" t="str">
            <v>EURZONCEN</v>
          </cell>
        </row>
        <row r="97">
          <cell r="C97" t="str">
            <v>E5480</v>
          </cell>
          <cell r="D97" t="str">
            <v>EURZONCEN</v>
          </cell>
        </row>
        <row r="98">
          <cell r="C98" t="str">
            <v>BEV8</v>
          </cell>
          <cell r="D98" t="str">
            <v>EURZONCEN</v>
          </cell>
        </row>
        <row r="99">
          <cell r="C99" t="str">
            <v>E5397</v>
          </cell>
          <cell r="D99" t="str">
            <v>EURZONCEN</v>
          </cell>
        </row>
        <row r="100">
          <cell r="C100" t="str">
            <v>E5417</v>
          </cell>
          <cell r="D100" t="str">
            <v>EURZONCEN</v>
          </cell>
        </row>
        <row r="101">
          <cell r="C101" t="str">
            <v>E5490</v>
          </cell>
          <cell r="D101" t="str">
            <v>EURZONCEN</v>
          </cell>
        </row>
        <row r="102">
          <cell r="C102" t="str">
            <v>BEV9</v>
          </cell>
          <cell r="D102" t="str">
            <v>EURZONCEN</v>
          </cell>
        </row>
        <row r="103">
          <cell r="C103" t="str">
            <v>E5398</v>
          </cell>
          <cell r="D103" t="str">
            <v>EURZONCEN</v>
          </cell>
        </row>
        <row r="104">
          <cell r="C104" t="str">
            <v>E5418</v>
          </cell>
          <cell r="D104" t="str">
            <v>EURZONCEN</v>
          </cell>
        </row>
        <row r="105">
          <cell r="C105" t="str">
            <v>E5500</v>
          </cell>
          <cell r="D105" t="str">
            <v>EURZONCEN</v>
          </cell>
        </row>
        <row r="106">
          <cell r="C106" t="str">
            <v>BEV10</v>
          </cell>
          <cell r="D106" t="str">
            <v>EURZONCEN</v>
          </cell>
        </row>
        <row r="107">
          <cell r="C107" t="str">
            <v>E5399</v>
          </cell>
          <cell r="D107" t="str">
            <v>EURZONCEN</v>
          </cell>
        </row>
        <row r="108">
          <cell r="C108" t="str">
            <v>E5419</v>
          </cell>
          <cell r="D108" t="str">
            <v>EURZONCEN</v>
          </cell>
        </row>
        <row r="109">
          <cell r="C109" t="str">
            <v>E5510</v>
          </cell>
          <cell r="D109" t="str">
            <v>EURZONCEN</v>
          </cell>
        </row>
        <row r="110">
          <cell r="C110" t="str">
            <v>BEV12</v>
          </cell>
          <cell r="D110" t="str">
            <v>EURZONCEN</v>
          </cell>
        </row>
        <row r="111">
          <cell r="C111" t="str">
            <v>E5401</v>
          </cell>
          <cell r="D111" t="str">
            <v>EURZONCEN</v>
          </cell>
        </row>
        <row r="112">
          <cell r="C112" t="str">
            <v>E5421</v>
          </cell>
          <cell r="D112" t="str">
            <v>EURZONCEN</v>
          </cell>
        </row>
        <row r="113">
          <cell r="C113" t="str">
            <v>E5530</v>
          </cell>
          <cell r="D113" t="str">
            <v>EURZONCEN</v>
          </cell>
        </row>
        <row r="114">
          <cell r="C114" t="str">
            <v>BEV13</v>
          </cell>
          <cell r="D114" t="str">
            <v>EURZONCEN</v>
          </cell>
        </row>
        <row r="115">
          <cell r="C115" t="str">
            <v>E5402</v>
          </cell>
          <cell r="D115" t="str">
            <v>EURZONCEN</v>
          </cell>
        </row>
        <row r="116">
          <cell r="C116" t="str">
            <v>E5422</v>
          </cell>
          <cell r="D116" t="str">
            <v>EURZONCEN</v>
          </cell>
        </row>
        <row r="117">
          <cell r="C117" t="str">
            <v>E5450</v>
          </cell>
          <cell r="D117" t="str">
            <v>EURZONCEN</v>
          </cell>
        </row>
        <row r="118">
          <cell r="C118" t="str">
            <v>LEPELON</v>
          </cell>
          <cell r="D118" t="str">
            <v>EURZONCEN</v>
          </cell>
        </row>
        <row r="119">
          <cell r="C119" t="str">
            <v>E5843</v>
          </cell>
          <cell r="D119" t="str">
            <v>EURZONCEN</v>
          </cell>
        </row>
        <row r="120">
          <cell r="C120" t="str">
            <v>E5770</v>
          </cell>
          <cell r="D120" t="str">
            <v>EURZONCEN</v>
          </cell>
        </row>
        <row r="121">
          <cell r="C121" t="str">
            <v>COTBLAISERON</v>
          </cell>
          <cell r="D121" t="str">
            <v>EURZONCEN</v>
          </cell>
        </row>
        <row r="122">
          <cell r="C122" t="str">
            <v>E5810</v>
          </cell>
          <cell r="D122" t="str">
            <v>EURZONCEN</v>
          </cell>
        </row>
        <row r="123">
          <cell r="C123" t="str">
            <v>E5845</v>
          </cell>
          <cell r="D123" t="str">
            <v>EURZONCEN</v>
          </cell>
        </row>
        <row r="124">
          <cell r="C124" t="str">
            <v>E5780</v>
          </cell>
          <cell r="D124" t="str">
            <v>EURZONCEN</v>
          </cell>
        </row>
        <row r="125">
          <cell r="C125" t="str">
            <v>E6130</v>
          </cell>
          <cell r="D125" t="str">
            <v>EURZONCEN</v>
          </cell>
        </row>
        <row r="126">
          <cell r="C126" t="str">
            <v>E6160</v>
          </cell>
          <cell r="D126" t="str">
            <v>EURZONCEN</v>
          </cell>
        </row>
        <row r="127">
          <cell r="C127" t="str">
            <v>E6170</v>
          </cell>
          <cell r="D127" t="str">
            <v>EURZONCEN</v>
          </cell>
        </row>
        <row r="128">
          <cell r="C128" t="str">
            <v>E6210</v>
          </cell>
          <cell r="D128" t="str">
            <v>EURZONCEN</v>
          </cell>
        </row>
        <row r="129">
          <cell r="C129" t="str">
            <v>E6330</v>
          </cell>
          <cell r="D129" t="str">
            <v>EURZONCEN</v>
          </cell>
        </row>
        <row r="130">
          <cell r="C130" t="str">
            <v>E6350</v>
          </cell>
          <cell r="D130" t="str">
            <v>EURZONCEN</v>
          </cell>
        </row>
        <row r="131">
          <cell r="C131" t="str">
            <v>EURZONNOR</v>
          </cell>
          <cell r="D131" t="str">
            <v>EURZONNOR</v>
          </cell>
        </row>
        <row r="132">
          <cell r="C132" t="str">
            <v>EURZONNOREOL</v>
          </cell>
          <cell r="D132" t="str">
            <v>EURZONNOR</v>
          </cell>
        </row>
        <row r="133">
          <cell r="C133" t="str">
            <v>BEV2</v>
          </cell>
          <cell r="D133" t="str">
            <v>EURZONNOR</v>
          </cell>
        </row>
        <row r="134">
          <cell r="C134" t="str">
            <v>E5391</v>
          </cell>
          <cell r="D134" t="str">
            <v>EURZONNOR</v>
          </cell>
        </row>
        <row r="135">
          <cell r="C135" t="str">
            <v>E5411</v>
          </cell>
          <cell r="D135" t="str">
            <v>EURZONNOR</v>
          </cell>
        </row>
        <row r="136">
          <cell r="C136" t="str">
            <v>E5430</v>
          </cell>
          <cell r="D136" t="str">
            <v>EURZONNOR</v>
          </cell>
        </row>
        <row r="137">
          <cell r="C137" t="str">
            <v>SFERMNIBAS</v>
          </cell>
          <cell r="D137" t="str">
            <v>EURZONNOR</v>
          </cell>
        </row>
        <row r="138">
          <cell r="C138" t="str">
            <v>E5050</v>
          </cell>
          <cell r="D138" t="str">
            <v>EURZONNOR</v>
          </cell>
        </row>
        <row r="139">
          <cell r="C139" t="str">
            <v>SB5050</v>
          </cell>
          <cell r="D139" t="str">
            <v>EURZONNOR</v>
          </cell>
        </row>
        <row r="140">
          <cell r="C140" t="str">
            <v>BEV3</v>
          </cell>
          <cell r="D140" t="str">
            <v>EURZONNOR</v>
          </cell>
        </row>
        <row r="141">
          <cell r="C141" t="str">
            <v>E5392</v>
          </cell>
          <cell r="D141" t="str">
            <v>EURZONNOR</v>
          </cell>
        </row>
        <row r="142">
          <cell r="C142" t="str">
            <v>E5412</v>
          </cell>
          <cell r="D142" t="str">
            <v>EURZONNOR</v>
          </cell>
        </row>
        <row r="143">
          <cell r="C143" t="str">
            <v>E5440</v>
          </cell>
          <cell r="D143" t="str">
            <v>EURZONNOR</v>
          </cell>
        </row>
        <row r="144">
          <cell r="C144" t="str">
            <v>SFERMCHEPY</v>
          </cell>
          <cell r="D144" t="str">
            <v>EURZONNOR</v>
          </cell>
        </row>
        <row r="145">
          <cell r="C145" t="str">
            <v>E5040</v>
          </cell>
          <cell r="D145" t="str">
            <v>EURZONNOR</v>
          </cell>
        </row>
        <row r="146">
          <cell r="C146" t="str">
            <v>SB5040</v>
          </cell>
          <cell r="D146" t="str">
            <v>EURZONNOR</v>
          </cell>
        </row>
        <row r="147">
          <cell r="C147" t="str">
            <v>SFREMPLOUC</v>
          </cell>
          <cell r="D147" t="str">
            <v>EURZONNOR</v>
          </cell>
        </row>
        <row r="148">
          <cell r="C148" t="str">
            <v>E5063</v>
          </cell>
          <cell r="D148" t="str">
            <v>EURZONNOR</v>
          </cell>
        </row>
        <row r="149">
          <cell r="C149" t="str">
            <v>E5130</v>
          </cell>
          <cell r="D149" t="str">
            <v>EURZONNOR</v>
          </cell>
        </row>
        <row r="150">
          <cell r="C150" t="str">
            <v>SB5063</v>
          </cell>
          <cell r="D150" t="str">
            <v>EURZONNOR</v>
          </cell>
        </row>
        <row r="151">
          <cell r="C151" t="str">
            <v>SFREMPLOUEA</v>
          </cell>
          <cell r="D151" t="str">
            <v>EURZONNOR</v>
          </cell>
        </row>
        <row r="152">
          <cell r="C152" t="str">
            <v>SFREMPLOUA</v>
          </cell>
          <cell r="D152" t="str">
            <v>EURZONNOR</v>
          </cell>
        </row>
        <row r="153">
          <cell r="C153" t="str">
            <v>SFREMPLOUE</v>
          </cell>
          <cell r="D153" t="str">
            <v>EURZONNOR</v>
          </cell>
        </row>
        <row r="154">
          <cell r="C154" t="str">
            <v>SFERMCAMPC</v>
          </cell>
          <cell r="D154" t="str">
            <v>EURZONNOR</v>
          </cell>
        </row>
        <row r="155">
          <cell r="C155" t="str">
            <v>E5068</v>
          </cell>
          <cell r="D155" t="str">
            <v>EURZONNOR</v>
          </cell>
        </row>
        <row r="156">
          <cell r="C156" t="str">
            <v>E5180</v>
          </cell>
          <cell r="D156" t="str">
            <v>EURZONNOR</v>
          </cell>
        </row>
        <row r="157">
          <cell r="C157" t="str">
            <v>SB5068</v>
          </cell>
          <cell r="D157" t="str">
            <v>EURZONNOR</v>
          </cell>
        </row>
        <row r="158">
          <cell r="C158" t="str">
            <v>SFERMCAMPEA</v>
          </cell>
          <cell r="D158" t="str">
            <v>EURZONNOR</v>
          </cell>
        </row>
        <row r="159">
          <cell r="C159" t="str">
            <v>SFERMCAMPA</v>
          </cell>
          <cell r="D159" t="str">
            <v>EURZONNOR</v>
          </cell>
        </row>
        <row r="160">
          <cell r="C160" t="str">
            <v>SFERMCAMPE</v>
          </cell>
          <cell r="D160" t="str">
            <v>EURZONNOR</v>
          </cell>
        </row>
        <row r="161">
          <cell r="C161" t="str">
            <v>SFERMCHASSC</v>
          </cell>
          <cell r="D161" t="str">
            <v>EURZONNOR</v>
          </cell>
        </row>
        <row r="162">
          <cell r="C162" t="str">
            <v>E5066</v>
          </cell>
          <cell r="D162" t="str">
            <v>EURZONNOR</v>
          </cell>
        </row>
        <row r="163">
          <cell r="C163" t="str">
            <v>E5160</v>
          </cell>
          <cell r="D163" t="str">
            <v>EURZONNOR</v>
          </cell>
        </row>
        <row r="164">
          <cell r="C164" t="str">
            <v>SB5066</v>
          </cell>
          <cell r="D164" t="str">
            <v>EURZONNOR</v>
          </cell>
        </row>
        <row r="165">
          <cell r="C165" t="str">
            <v>SFERMCHASSEA</v>
          </cell>
          <cell r="D165" t="str">
            <v>EURZONNOR</v>
          </cell>
        </row>
        <row r="166">
          <cell r="C166" t="str">
            <v>SFERMCHASSA</v>
          </cell>
          <cell r="D166" t="str">
            <v>EURZONNOR</v>
          </cell>
        </row>
        <row r="167">
          <cell r="C167" t="str">
            <v>SFERMCHASSE</v>
          </cell>
          <cell r="D167" t="str">
            <v>EURZONNOR</v>
          </cell>
        </row>
        <row r="168">
          <cell r="C168" t="str">
            <v>SFERMRONC</v>
          </cell>
          <cell r="D168" t="str">
            <v>EURZONNOR</v>
          </cell>
        </row>
        <row r="169">
          <cell r="C169" t="str">
            <v>E5067</v>
          </cell>
          <cell r="D169" t="str">
            <v>EURZONNOR</v>
          </cell>
        </row>
        <row r="170">
          <cell r="C170" t="str">
            <v>E5170</v>
          </cell>
          <cell r="D170" t="str">
            <v>EURZONNOR</v>
          </cell>
        </row>
        <row r="171">
          <cell r="C171" t="str">
            <v>SB5067</v>
          </cell>
          <cell r="D171" t="str">
            <v>EURZONNOR</v>
          </cell>
        </row>
        <row r="172">
          <cell r="C172" t="str">
            <v>SFERMRONEA</v>
          </cell>
          <cell r="D172" t="str">
            <v>EURZONNOR</v>
          </cell>
        </row>
        <row r="173">
          <cell r="C173" t="str">
            <v>SFERMRONA</v>
          </cell>
          <cell r="D173" t="str">
            <v>EURZONNOR</v>
          </cell>
        </row>
        <row r="174">
          <cell r="C174" t="str">
            <v>SFERMRONE</v>
          </cell>
          <cell r="D174" t="str">
            <v>EURZONNOR</v>
          </cell>
        </row>
        <row r="175">
          <cell r="C175" t="str">
            <v>E5300</v>
          </cell>
          <cell r="D175" t="str">
            <v>EURZONNOR</v>
          </cell>
        </row>
        <row r="176">
          <cell r="C176" t="str">
            <v>E5310</v>
          </cell>
          <cell r="D176" t="str">
            <v>EURZONNOR</v>
          </cell>
        </row>
        <row r="177">
          <cell r="C177" t="str">
            <v>E5320</v>
          </cell>
          <cell r="D177" t="str">
            <v>EURZONNOR</v>
          </cell>
        </row>
        <row r="178">
          <cell r="C178" t="str">
            <v>E5330C</v>
          </cell>
          <cell r="D178" t="str">
            <v>EURZONNOR</v>
          </cell>
        </row>
        <row r="179">
          <cell r="C179" t="str">
            <v>E5330</v>
          </cell>
          <cell r="D179" t="str">
            <v>EURZONNOR</v>
          </cell>
        </row>
        <row r="180">
          <cell r="C180" t="str">
            <v>E5290</v>
          </cell>
          <cell r="D180" t="str">
            <v>EURZONNOR</v>
          </cell>
        </row>
        <row r="181">
          <cell r="C181" t="str">
            <v>E5330EA</v>
          </cell>
          <cell r="D181" t="str">
            <v>EURZONNOR</v>
          </cell>
        </row>
        <row r="182">
          <cell r="C182" t="str">
            <v>E5330A</v>
          </cell>
          <cell r="D182" t="str">
            <v>EURZONNOR</v>
          </cell>
        </row>
        <row r="183">
          <cell r="C183" t="str">
            <v>E5330E</v>
          </cell>
          <cell r="D183" t="str">
            <v>EURZONNOR</v>
          </cell>
        </row>
        <row r="184">
          <cell r="C184" t="str">
            <v>E5560</v>
          </cell>
          <cell r="D184" t="str">
            <v>EURZONNOR</v>
          </cell>
        </row>
        <row r="185">
          <cell r="C185" t="str">
            <v>E5590</v>
          </cell>
          <cell r="D185" t="str">
            <v>EURZONNOR</v>
          </cell>
        </row>
        <row r="186">
          <cell r="C186" t="str">
            <v>INTERDEUXBOS</v>
          </cell>
          <cell r="D186" t="str">
            <v>EURZONNOR</v>
          </cell>
        </row>
        <row r="187">
          <cell r="C187" t="str">
            <v>E5600</v>
          </cell>
          <cell r="D187" t="str">
            <v>EURZONNOR</v>
          </cell>
        </row>
        <row r="188">
          <cell r="C188" t="str">
            <v>E5841</v>
          </cell>
          <cell r="D188" t="str">
            <v>EURZONNOR</v>
          </cell>
        </row>
        <row r="189">
          <cell r="C189" t="str">
            <v>CHEMINDEGRESC</v>
          </cell>
          <cell r="D189" t="str">
            <v>EURZONNOR</v>
          </cell>
        </row>
        <row r="190">
          <cell r="C190" t="str">
            <v>E5620</v>
          </cell>
          <cell r="D190" t="str">
            <v>EURZONNOR</v>
          </cell>
        </row>
        <row r="191">
          <cell r="C191" t="str">
            <v>E5794</v>
          </cell>
          <cell r="D191" t="str">
            <v>EURZONNOR</v>
          </cell>
        </row>
        <row r="192">
          <cell r="C192" t="str">
            <v>MONTDEBAGNY</v>
          </cell>
          <cell r="D192" t="str">
            <v>EURZONNOR</v>
          </cell>
        </row>
        <row r="193">
          <cell r="C193" t="str">
            <v>E5630</v>
          </cell>
          <cell r="D193" t="str">
            <v>EURZONNOR</v>
          </cell>
        </row>
        <row r="194">
          <cell r="C194" t="str">
            <v>E5791</v>
          </cell>
          <cell r="D194" t="str">
            <v>EURZONNOR</v>
          </cell>
        </row>
        <row r="195">
          <cell r="C195" t="str">
            <v>ARTOISC</v>
          </cell>
          <cell r="D195" t="str">
            <v>EURZONNOR</v>
          </cell>
        </row>
        <row r="196">
          <cell r="C196" t="str">
            <v>E5640</v>
          </cell>
          <cell r="D196" t="str">
            <v>EURZONNOR</v>
          </cell>
        </row>
        <row r="197">
          <cell r="C197" t="str">
            <v>E5793</v>
          </cell>
          <cell r="D197" t="str">
            <v>EURZONNOR</v>
          </cell>
        </row>
        <row r="198">
          <cell r="C198" t="str">
            <v>VOIEDESMONTS</v>
          </cell>
          <cell r="D198" t="str">
            <v>EURZONNOR</v>
          </cell>
        </row>
        <row r="199">
          <cell r="C199" t="str">
            <v>E5690</v>
          </cell>
          <cell r="D199" t="str">
            <v>EURZONNOR</v>
          </cell>
        </row>
        <row r="200">
          <cell r="C200" t="str">
            <v>E5792</v>
          </cell>
          <cell r="D200" t="str">
            <v>EURZONNOR</v>
          </cell>
        </row>
        <row r="201">
          <cell r="C201" t="str">
            <v>HAUTDECOMBLE</v>
          </cell>
          <cell r="D201" t="str">
            <v>EURZONNOR</v>
          </cell>
        </row>
        <row r="202">
          <cell r="C202" t="str">
            <v>E5700</v>
          </cell>
          <cell r="D202" t="str">
            <v>EURZONNOR</v>
          </cell>
        </row>
        <row r="203">
          <cell r="C203" t="str">
            <v>E5842</v>
          </cell>
          <cell r="D203" t="str">
            <v>EURZONNOR</v>
          </cell>
        </row>
        <row r="204">
          <cell r="C204" t="str">
            <v>SOURCEDELANCRE</v>
          </cell>
          <cell r="D204" t="str">
            <v>EURZONNOR</v>
          </cell>
        </row>
        <row r="205">
          <cell r="C205" t="str">
            <v>E5710</v>
          </cell>
          <cell r="D205" t="str">
            <v>EURZONNOR</v>
          </cell>
        </row>
        <row r="206">
          <cell r="C206" t="str">
            <v>E5844</v>
          </cell>
          <cell r="D206" t="str">
            <v>EURZONNOR</v>
          </cell>
        </row>
        <row r="207">
          <cell r="C207" t="str">
            <v>E5650</v>
          </cell>
          <cell r="D207" t="str">
            <v>EURZONNOR</v>
          </cell>
        </row>
        <row r="208">
          <cell r="C208" t="str">
            <v>E5660</v>
          </cell>
          <cell r="D208" t="str">
            <v>EURZONNOR</v>
          </cell>
        </row>
        <row r="209">
          <cell r="C209" t="str">
            <v>E5720</v>
          </cell>
          <cell r="D209" t="str">
            <v>EURZONNOR</v>
          </cell>
        </row>
        <row r="210">
          <cell r="C210" t="str">
            <v>E5850</v>
          </cell>
          <cell r="D210" t="str">
            <v>EURZONNOR</v>
          </cell>
        </row>
        <row r="211">
          <cell r="C211" t="str">
            <v>E5860</v>
          </cell>
          <cell r="D211" t="str">
            <v>EURZONNOR</v>
          </cell>
        </row>
        <row r="212">
          <cell r="C212" t="str">
            <v>E5870</v>
          </cell>
          <cell r="D212" t="str">
            <v>EURZONNOR</v>
          </cell>
        </row>
        <row r="213">
          <cell r="C213" t="str">
            <v>E5880</v>
          </cell>
          <cell r="D213" t="str">
            <v>EURZONNOR</v>
          </cell>
        </row>
        <row r="214">
          <cell r="C214" t="str">
            <v>E5890</v>
          </cell>
          <cell r="D214" t="str">
            <v>EURZONNOR</v>
          </cell>
        </row>
        <row r="215">
          <cell r="C215" t="str">
            <v>E5900</v>
          </cell>
          <cell r="D215" t="str">
            <v>EURZONNOR</v>
          </cell>
        </row>
        <row r="216">
          <cell r="C216" t="str">
            <v>E5910</v>
          </cell>
          <cell r="D216" t="str">
            <v>EURZONNOR</v>
          </cell>
        </row>
        <row r="217">
          <cell r="C217" t="str">
            <v>E5920</v>
          </cell>
          <cell r="D217" t="str">
            <v>EURZONNOR</v>
          </cell>
        </row>
        <row r="218">
          <cell r="C218" t="str">
            <v>E5930</v>
          </cell>
          <cell r="D218" t="str">
            <v>EURZONNOR</v>
          </cell>
        </row>
        <row r="219">
          <cell r="C219" t="str">
            <v>E5940</v>
          </cell>
          <cell r="D219" t="str">
            <v>EURZONNOR</v>
          </cell>
        </row>
        <row r="220">
          <cell r="C220" t="str">
            <v>E5980</v>
          </cell>
          <cell r="D220" t="str">
            <v>EURZONNOR</v>
          </cell>
        </row>
        <row r="221">
          <cell r="C221" t="str">
            <v>E5990</v>
          </cell>
          <cell r="D221" t="str">
            <v>EURZONNOR</v>
          </cell>
        </row>
        <row r="222">
          <cell r="C222" t="str">
            <v>E6050</v>
          </cell>
          <cell r="D222" t="str">
            <v>EURZONNOR</v>
          </cell>
        </row>
        <row r="223">
          <cell r="C223" t="str">
            <v>E6060</v>
          </cell>
          <cell r="D223" t="str">
            <v>EURZONNOR</v>
          </cell>
        </row>
        <row r="224">
          <cell r="C224" t="str">
            <v>E6150</v>
          </cell>
          <cell r="D224" t="str">
            <v>EURZONNOR</v>
          </cell>
        </row>
        <row r="225">
          <cell r="C225" t="str">
            <v>E6190</v>
          </cell>
          <cell r="D225" t="str">
            <v>EURZONNOR</v>
          </cell>
        </row>
        <row r="226">
          <cell r="C226" t="str">
            <v>E6200</v>
          </cell>
          <cell r="D226" t="str">
            <v>EURZONNOR</v>
          </cell>
        </row>
        <row r="227">
          <cell r="C227" t="str">
            <v>E6250</v>
          </cell>
          <cell r="D227" t="str">
            <v>EURZONNOR</v>
          </cell>
        </row>
        <row r="228">
          <cell r="C228" t="str">
            <v>E6260</v>
          </cell>
          <cell r="D228" t="str">
            <v>EURZONNOR</v>
          </cell>
        </row>
        <row r="229">
          <cell r="C229" t="str">
            <v>E6340</v>
          </cell>
          <cell r="D229" t="str">
            <v>EURZONNOR</v>
          </cell>
        </row>
        <row r="230">
          <cell r="C230" t="str">
            <v>E6360</v>
          </cell>
          <cell r="D230" t="str">
            <v>EURZONNOR</v>
          </cell>
        </row>
        <row r="231">
          <cell r="C231" t="str">
            <v>E6370</v>
          </cell>
          <cell r="D231" t="str">
            <v>EURZONNOR</v>
          </cell>
        </row>
        <row r="232">
          <cell r="C232" t="str">
            <v>E6380</v>
          </cell>
          <cell r="D232" t="str">
            <v>EURZONNOR</v>
          </cell>
        </row>
        <row r="233">
          <cell r="C233" t="str">
            <v>EURZONNORGAZ</v>
          </cell>
          <cell r="D233" t="str">
            <v>EURZONNOR</v>
          </cell>
        </row>
        <row r="234">
          <cell r="C234" t="str">
            <v>BOREURGAZC</v>
          </cell>
          <cell r="D234" t="str">
            <v>EURZONNOR</v>
          </cell>
        </row>
        <row r="235">
          <cell r="C235" t="str">
            <v>E5020</v>
          </cell>
          <cell r="D235" t="str">
            <v>EURZONNOR</v>
          </cell>
        </row>
        <row r="236">
          <cell r="C236" t="str">
            <v>BOREURGAZEA</v>
          </cell>
          <cell r="D236" t="str">
            <v>EURZONNOR</v>
          </cell>
        </row>
        <row r="237">
          <cell r="C237" t="str">
            <v>SB011</v>
          </cell>
          <cell r="D237" t="str">
            <v>EURZONNOR</v>
          </cell>
        </row>
        <row r="238">
          <cell r="C238" t="str">
            <v>BOREURGAZA</v>
          </cell>
          <cell r="D238" t="str">
            <v>EURZONNOR</v>
          </cell>
        </row>
        <row r="239">
          <cell r="C239" t="str">
            <v>BOREURGAZE</v>
          </cell>
          <cell r="D239" t="str">
            <v>EURZONNOR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Giannino Martin" id="{619F99DD-C690-4240-9808-1E7846C19FF1}" userId="giannino.martin@boralex.com" providerId="PeoplePicker"/>
  <person displayName="Emilie Doute" id="{F21E3EFC-A270-4DAD-BC01-BAC6D31EDBA8}" userId="S::emilie.doute@boralex.com::70a3bc67-4c96-400f-a156-2b278ce58d4a" providerId="AD"/>
  <person displayName="Kloe Chauvigne" id="{AF10249F-738D-41F0-A533-021E8FF4740D}" userId="S::kloe.chauvigne@boralex.com::2ce72e17-25b4-4bc5-be15-d78e1b30d864" providerId="AD"/>
  <person displayName="Ernani Schnorenberger" id="{476314FE-55A5-4310-8E79-B1067C2E8ADD}" userId="S::eschnorenberger@boralex.com::787013a1-c121-4994-97b1-2fe73af5e508" providerId="AD"/>
  <person displayName="Giannino Martin" id="{6DC6A7D9-E883-4B5E-898F-6C251AFA020E}" userId="S::giannino.martin@boralex.com::7da21c85-44e4-4dc7-9fe0-9bdeb91b4536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Mesropyan" refreshedDate="43357.783146759262" createdVersion="6" refreshedVersion="6" minRefreshableVersion="3" recordCount="70" xr:uid="{3DBD4002-55A2-42A5-9BEB-946722DCD85E}">
  <cacheSource type="worksheet">
    <worksheetSource ref="D17:GK87" sheet="PROD parcs global"/>
  </cacheSource>
  <cacheFields count="192">
    <cacheField name="Site" numFmtId="0">
      <sharedItems count="71">
        <s v="Avignonnet I"/>
        <s v="Avignonnet II"/>
        <s v="Chépy"/>
        <s v="Nibas"/>
        <s v="Cham Longe - Bel Air"/>
        <s v="Cham Longe - Le courbil"/>
        <s v="Cham Longe I conso"/>
        <s v="Plouguin"/>
        <s v="La Citadelle"/>
        <s v="Ally - Bessadous"/>
        <s v="Ally - Mercoeur"/>
        <s v="Ally - Monteil"/>
        <s v="Ally - Verseilles"/>
        <s v="Ally - Conso"/>
        <s v="Cham Longe II"/>
        <s v="Chasse Marée"/>
        <s v="Ronchois 1"/>
        <s v="Ronchois 2"/>
        <s v="Ronchois 3"/>
        <s v="Ronchois Conso"/>
        <s v="Le Grand Camp"/>
        <s v="St Patrick Pernois 1"/>
        <s v="St Patrick Pernois 2"/>
        <s v="St Patrick Pernois 3"/>
        <s v="St Patrick Hermin"/>
        <s v="St Patrick Conso"/>
        <s v="Vron"/>
        <s v="La Vallée - St Georges"/>
        <s v="La Vallée - Ménétréols"/>
        <s v="La Vallée - Conso"/>
        <s v="Fortel"/>
        <s v="St François Roye"/>
        <s v="Calmont"/>
        <s v="Coat Conval / Pleyber Christ"/>
        <s v="Leign Ar Gasprenn"/>
        <s v="Les Eparmonts"/>
        <s v="Pannecé (BS)"/>
        <s v="Pannecé (la vallière)"/>
        <s v="Vallée d'Arce 1 (DR-Druine)"/>
        <s v="Vallée d'Arce 2 (NY-Le Noyer)"/>
        <s v="Vallée d'Arce 3 (NU-Le Nouret)"/>
        <s v="La Bouleste"/>
        <s v="Haut de Conge 1"/>
        <s v="Haut de Conge 2"/>
        <s v="Haut de Conge 3"/>
        <s v="Charmoy"/>
        <s v="Coulonges (CL)"/>
        <s v="Coulonges (NT)"/>
        <s v="Coulonges (CP)"/>
        <s v="SdlL 1"/>
        <s v="SdlL 2"/>
        <s v="Pays d'Othe"/>
        <s v="Comes de l'Arce"/>
        <s v="Touvent"/>
        <s v="Plateau de Savernat"/>
        <s v="BAS"/>
        <s v="CLE"/>
        <s v="EEJ"/>
        <s v="FIR"/>
        <s v="LNG"/>
        <s v="LUC"/>
        <s v="MDB"/>
        <s v="RCL"/>
        <s v="REN"/>
        <s v="BGV"/>
        <s v="STA"/>
        <s v="MOR"/>
        <s v="ZON"/>
        <s v="VAM"/>
        <s v="PPB"/>
        <s v="St Patrick" u="1"/>
      </sharedItems>
    </cacheField>
    <cacheField name="Date MES" numFmtId="0">
      <sharedItems containsNonDate="0" containsDate="1" containsString="0" containsBlank="1" minDate="2002-11-01T00:00:00" maxDate="2016-12-24T00:00:00" count="37">
        <d v="2002-11-01T00:00:00"/>
        <d v="2008-12-29T00:00:00"/>
        <d v="2003-11-01T00:00:00"/>
        <d v="2004-12-23T00:00:00"/>
        <d v="2005-12-01T00:00:00"/>
        <m/>
        <d v="2006-01-31T00:00:00"/>
        <d v="2007-07-13T00:00:00"/>
        <d v="2010-02-01T00:00:00"/>
        <d v="2010-10-01T00:00:00"/>
        <d v="2010-08-01T00:00:00"/>
        <d v="2009-07-01T00:00:00"/>
        <d v="2009-08-25T00:00:00"/>
        <d v="2009-09-18T00:00:00"/>
        <d v="2010-02-02T00:00:00"/>
        <d v="2013-09-15T00:00:00"/>
        <d v="2013-12-23T00:00:00"/>
        <d v="2014-10-15T00:00:00"/>
        <d v="2015-02-19T00:00:00"/>
        <d v="2015-12-01T00:00:00"/>
        <d v="2008-02-29T00:00:00"/>
        <d v="2008-12-31T00:00:00"/>
        <d v="2009-09-25T00:00:00"/>
        <d v="2010-02-19T00:00:00"/>
        <d v="2009-12-02T00:00:00"/>
        <d v="2009-10-09T00:00:00"/>
        <d v="2010-04-01T00:00:00"/>
        <d v="2010-08-02T00:00:00"/>
        <d v="2013-04-17T00:00:00"/>
        <d v="2011-07-08T00:00:00"/>
        <d v="2011-07-01T00:00:00"/>
        <d v="2011-08-08T00:00:00"/>
        <d v="2011-08-29T00:00:00"/>
        <d v="2014-10-29T00:00:00"/>
        <d v="2015-03-27T00:00:00"/>
        <d v="2016-08-01T00:00:00"/>
        <d v="2016-12-23T00:00:00"/>
      </sharedItems>
      <fieldGroup par="191" base="1">
        <rangePr groupBy="months" startDate="2002-11-01T00:00:00" endDate="2016-12-24T00:00:00"/>
        <groupItems count="14">
          <s v="(vide)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4/12/2016"/>
        </groupItems>
      </fieldGroup>
    </cacheField>
    <cacheField name="JAN 2003 [MWh]" numFmtId="0">
      <sharedItems containsBlank="1" containsMixedTypes="1" containsNumber="1" containsInteger="1" minValue="1792924" maxValue="1792924"/>
    </cacheField>
    <cacheField name="FEB 2003 [MWh]" numFmtId="0">
      <sharedItems containsBlank="1" containsMixedTypes="1" containsNumber="1" containsInteger="1" minValue="1561822" maxValue="1561822"/>
    </cacheField>
    <cacheField name="MAR 2003 [MWh]" numFmtId="0">
      <sharedItems containsBlank="1" containsMixedTypes="1" containsNumber="1" containsInteger="1" minValue="2611652" maxValue="2611652"/>
    </cacheField>
    <cacheField name="APR 2003 [MWh]" numFmtId="0">
      <sharedItems containsBlank="1" containsMixedTypes="1" containsNumber="1" containsInteger="1" minValue="2064698" maxValue="2064698"/>
    </cacheField>
    <cacheField name="MAY 2003 [MWh]" numFmtId="0">
      <sharedItems containsBlank="1" containsMixedTypes="1" containsNumber="1" containsInteger="1" minValue="1086318" maxValue="1086318"/>
    </cacheField>
    <cacheField name="JUNE 2003 [MWh]" numFmtId="0">
      <sharedItems containsBlank="1" containsMixedTypes="1" containsNumber="1" containsInteger="1" minValue="1254877" maxValue="1254877"/>
    </cacheField>
    <cacheField name="JULY 2003 [MWh]" numFmtId="0">
      <sharedItems containsBlank="1" containsMixedTypes="1" containsNumber="1" containsInteger="1" minValue="699545" maxValue="699545"/>
    </cacheField>
    <cacheField name="AUG 2003 [MWh]" numFmtId="0">
      <sharedItems containsBlank="1" containsMixedTypes="1" containsNumber="1" containsInteger="1" minValue="618165" maxValue="618165"/>
    </cacheField>
    <cacheField name="SEPT 2003 [MWh]" numFmtId="0">
      <sharedItems containsBlank="1" containsMixedTypes="1" containsNumber="1" containsInteger="1" minValue="1630918" maxValue="1630918"/>
    </cacheField>
    <cacheField name="OCT 2003 [MWh]" numFmtId="0">
      <sharedItems containsBlank="1" containsMixedTypes="1" containsNumber="1" containsInteger="1" minValue="2045130" maxValue="2045130"/>
    </cacheField>
    <cacheField name="NOV 2003 [MWh]" numFmtId="0">
      <sharedItems containsBlank="1" containsMixedTypes="1" containsNumber="1" containsInteger="1" minValue="2155844" maxValue="2155844"/>
    </cacheField>
    <cacheField name="DEC 2003 [MWh]" numFmtId="0">
      <sharedItems containsBlank="1" containsMixedTypes="1" containsNumber="1" containsInteger="1" minValue="2126339" maxValue="2126339"/>
    </cacheField>
    <cacheField name="JAN 2004 [MWh]" numFmtId="0">
      <sharedItems containsBlank="1" containsMixedTypes="1" containsNumber="1" containsInteger="1" minValue="1045174" maxValue="1882625"/>
    </cacheField>
    <cacheField name="FEB 2004 [MWh]" numFmtId="0">
      <sharedItems containsBlank="1" containsMixedTypes="1" containsNumber="1" containsInteger="1" minValue="708827" maxValue="1072098"/>
    </cacheField>
    <cacheField name="MAR 2004 [MWh]" numFmtId="0">
      <sharedItems containsBlank="1" containsMixedTypes="1" containsNumber="1" containsInteger="1" minValue="652257" maxValue="1728406"/>
    </cacheField>
    <cacheField name="APR 2004 [MWh]" numFmtId="0">
      <sharedItems containsBlank="1" containsMixedTypes="1" containsNumber="1" containsInteger="1" minValue="467310" maxValue="1463369"/>
    </cacheField>
    <cacheField name="MAY 2004 [MWh]" numFmtId="0">
      <sharedItems containsBlank="1" containsMixedTypes="1" containsNumber="1" containsInteger="1" minValue="293581" maxValue="1114826"/>
    </cacheField>
    <cacheField name="JUNE 2004 [MWh]" numFmtId="0">
      <sharedItems containsBlank="1" containsMixedTypes="1" containsNumber="1" containsInteger="1" minValue="423885" maxValue="1205330"/>
    </cacheField>
    <cacheField name="JULY 2004 [MWh]" numFmtId="0">
      <sharedItems containsBlank="1" containsMixedTypes="1" containsNumber="1" containsInteger="1" minValue="379573" maxValue="1157172"/>
    </cacheField>
    <cacheField name="AUG 2004 [MWh]" numFmtId="0">
      <sharedItems containsBlank="1" containsMixedTypes="1" containsNumber="1" containsInteger="1" minValue="422651" maxValue="1111594"/>
    </cacheField>
    <cacheField name="SEPT 2004 [MWh]" numFmtId="0">
      <sharedItems containsBlank="1" containsMixedTypes="1" containsNumber="1" containsInteger="1" minValue="588119" maxValue="1633166"/>
    </cacheField>
    <cacheField name="OCT 2004 [MWh]" numFmtId="0">
      <sharedItems containsBlank="1" containsMixedTypes="1" containsNumber="1" containsInteger="1" minValue="802236" maxValue="1775520"/>
    </cacheField>
    <cacheField name="NOV 2004 [MWh]" numFmtId="0">
      <sharedItems containsBlank="1" containsMixedTypes="1" containsNumber="1" containsInteger="1" minValue="391628" maxValue="1003271"/>
    </cacheField>
    <cacheField name="DEC 2004 [MWh]" numFmtId="0">
      <sharedItems containsBlank="1" containsMixedTypes="1" containsNumber="1" containsInteger="1" minValue="587875" maxValue="1596738"/>
    </cacheField>
    <cacheField name="JAN 2005 [MWh]" numFmtId="0">
      <sharedItems containsBlank="1" containsMixedTypes="1" containsNumber="1" containsInteger="1" minValue="1038574" maxValue="3151316"/>
    </cacheField>
    <cacheField name="FEB 2005 [MWh]" numFmtId="0">
      <sharedItems containsBlank="1" containsMixedTypes="1" containsNumber="1" containsInteger="1" minValue="502254" maxValue="2159772"/>
    </cacheField>
    <cacheField name="MAR 2005 [MWh]" numFmtId="0">
      <sharedItems containsBlank="1" containsMixedTypes="1" containsNumber="1" containsInteger="1" minValue="534399" maxValue="2070751"/>
    </cacheField>
    <cacheField name="APR 2005 [MWh]" numFmtId="0">
      <sharedItems containsBlank="1" containsMixedTypes="1" containsNumber="1" containsInteger="1" minValue="386038" maxValue="2064192"/>
    </cacheField>
    <cacheField name="MAY 2005 [MWh]" numFmtId="0">
      <sharedItems containsBlank="1" containsMixedTypes="1" containsNumber="1" containsInteger="1" minValue="467902" maxValue="1626251"/>
    </cacheField>
    <cacheField name="JUNE 2005 [MWh]" numFmtId="0">
      <sharedItems containsBlank="1" containsMixedTypes="1" containsNumber="1" containsInteger="1" minValue="265524" maxValue="1150410"/>
    </cacheField>
    <cacheField name="JULY 2005 [MWh]" numFmtId="0">
      <sharedItems containsBlank="1" containsMixedTypes="1" containsNumber="1" containsInteger="1" minValue="387513" maxValue="1419404"/>
    </cacheField>
    <cacheField name="AUG 2005 [MWh]" numFmtId="0">
      <sharedItems containsBlank="1" containsMixedTypes="1" containsNumber="1" containsInteger="1" minValue="279632" maxValue="1327329"/>
    </cacheField>
    <cacheField name="SEPT 2005 [MWh]" numFmtId="0">
      <sharedItems containsBlank="1" containsMixedTypes="1" containsNumber="1" containsInteger="1" minValue="249609" maxValue="814974"/>
    </cacheField>
    <cacheField name="OCT 2005 [MWh]" numFmtId="0">
      <sharedItems containsBlank="1" containsMixedTypes="1" containsNumber="1" containsInteger="1" minValue="545113" maxValue="2814757"/>
    </cacheField>
    <cacheField name="NOV 2005 [MWh]" numFmtId="0">
      <sharedItems containsBlank="1" containsMixedTypes="1" containsNumber="1" containsInteger="1" minValue="622939" maxValue="1681383"/>
    </cacheField>
    <cacheField name="DEC 2005 [MWh]" numFmtId="0">
      <sharedItems containsBlank="1" containsMixedTypes="1" containsNumber="1" containsInteger="1" minValue="622374" maxValue="1936101"/>
    </cacheField>
    <cacheField name="JAN 2006 [MWh]" numFmtId="0">
      <sharedItems containsBlank="1" containsMixedTypes="1" containsNumber="1" containsInteger="1" minValue="484627" maxValue="1789404"/>
    </cacheField>
    <cacheField name="FEB 2006 [MWh]" numFmtId="0">
      <sharedItems containsBlank="1" containsMixedTypes="1" containsNumber="1" containsInteger="1" minValue="571531" maxValue="1738357"/>
    </cacheField>
    <cacheField name="MAR 2006 [MWh]" numFmtId="0">
      <sharedItems containsBlank="1" containsMixedTypes="1" containsNumber="1" containsInteger="1" minValue="824043" maxValue="2699230"/>
    </cacheField>
    <cacheField name="APR 2006 [MWh]" numFmtId="0">
      <sharedItems containsBlank="1" containsMixedTypes="1" containsNumber="1" containsInteger="1" minValue="552844" maxValue="1890847"/>
    </cacheField>
    <cacheField name="MAY 2006 [MWh]" numFmtId="0">
      <sharedItems containsBlank="1" containsMixedTypes="1" containsNumber="1" containsInteger="1" minValue="626716" maxValue="2300852"/>
    </cacheField>
    <cacheField name="JUNE 2006 [MWh]" numFmtId="0">
      <sharedItems containsBlank="1" containsMixedTypes="1" containsNumber="1" containsInteger="1" minValue="182766" maxValue="1140679"/>
    </cacheField>
    <cacheField name="JULY 2006 [MWh]" numFmtId="0">
      <sharedItems containsBlank="1" containsMixedTypes="1" containsNumber="1" containsInteger="1" minValue="222547" maxValue="793374"/>
    </cacheField>
    <cacheField name="AUG 2006 [MWh]" numFmtId="0">
      <sharedItems containsBlank="1" containsMixedTypes="1" containsNumber="1" containsInteger="1" minValue="545010" maxValue="1910102"/>
    </cacheField>
    <cacheField name="SEPT 2006 [MWh]" numFmtId="0">
      <sharedItems containsBlank="1" containsMixedTypes="1" containsNumber="1" containsInteger="1" minValue="371535" maxValue="1924625"/>
    </cacheField>
    <cacheField name="OCT 2006 [MWh]" numFmtId="0">
      <sharedItems containsBlank="1" containsMixedTypes="1" containsNumber="1" containsInteger="1" minValue="729274" maxValue="2200116"/>
    </cacheField>
    <cacheField name="NOV 2006 [MWh]" numFmtId="0">
      <sharedItems containsBlank="1" containsMixedTypes="1" containsNumber="1" containsInteger="1" minValue="879371" maxValue="2352006"/>
    </cacheField>
    <cacheField name="DEC 2006 [MWh]" numFmtId="0">
      <sharedItems containsBlank="1" containsMixedTypes="1" containsNumber="1" containsInteger="1" minValue="954371" maxValue="2814804"/>
    </cacheField>
    <cacheField name="JAN 2007 [MWh]" numFmtId="0">
      <sharedItems containsString="0" containsBlank="1" containsNumber="1" containsInteger="1" minValue="0" maxValue="6630396"/>
    </cacheField>
    <cacheField name="FEB 2007 [MWh]" numFmtId="0">
      <sharedItems containsString="0" containsBlank="1" containsNumber="1" containsInteger="1" minValue="0" maxValue="10220374"/>
    </cacheField>
    <cacheField name="MAR 2007 [MWh]" numFmtId="0">
      <sharedItems containsString="0" containsBlank="1" containsNumber="1" containsInteger="1" minValue="0" maxValue="8446995"/>
    </cacheField>
    <cacheField name="APR 2007 [MWh]" numFmtId="0">
      <sharedItems containsString="0" containsBlank="1" containsNumber="1" containsInteger="1" minValue="0" maxValue="2584952"/>
    </cacheField>
    <cacheField name="MAY 2007 [MWh]" numFmtId="0">
      <sharedItems containsString="0" containsBlank="1" containsNumber="1" containsInteger="1" minValue="0" maxValue="8119135"/>
    </cacheField>
    <cacheField name="JUNE 2007 [MWh]" numFmtId="0">
      <sharedItems containsString="0" containsBlank="1" containsNumber="1" containsInteger="1" minValue="0" maxValue="4829405"/>
    </cacheField>
    <cacheField name="JULY 2007 [MWh]" numFmtId="0">
      <sharedItems containsString="0" containsBlank="1" containsNumber="1" containsInteger="1" minValue="0" maxValue="6339681"/>
    </cacheField>
    <cacheField name="AUG 2007 [MWh]" numFmtId="0">
      <sharedItems containsString="0" containsBlank="1" containsNumber="1" minValue="0" maxValue="4419052"/>
    </cacheField>
    <cacheField name="SEPT 2007 [MWh]" numFmtId="0">
      <sharedItems containsString="0" containsBlank="1" containsNumber="1" containsInteger="1" minValue="0" maxValue="5442426"/>
    </cacheField>
    <cacheField name="OCT 2007 [MWh]" numFmtId="0">
      <sharedItems containsString="0" containsBlank="1" containsNumber="1" containsInteger="1" minValue="0" maxValue="5632128"/>
    </cacheField>
    <cacheField name="NOV 2007 [MWh]" numFmtId="0">
      <sharedItems containsString="0" containsBlank="1" containsNumber="1" containsInteger="1" minValue="0" maxValue="6317673"/>
    </cacheField>
    <cacheField name="DEC 2007 [MWh]" numFmtId="0">
      <sharedItems containsString="0" containsBlank="1" containsNumber="1" containsInteger="1" minValue="0" maxValue="7372643"/>
    </cacheField>
    <cacheField name="JAN 2008 [MWh]" numFmtId="0">
      <sharedItems containsString="0" containsBlank="1" containsNumber="1" containsInteger="1" minValue="0" maxValue="9546162"/>
    </cacheField>
    <cacheField name="FEB 2008 [MWh]" numFmtId="0">
      <sharedItems containsString="0" containsBlank="1" containsNumber="1" containsInteger="1" minValue="0" maxValue="5107637"/>
    </cacheField>
    <cacheField name="MAR 2008 [MWh]" numFmtId="0">
      <sharedItems containsString="0" containsBlank="1" containsNumber="1" containsInteger="1" minValue="0" maxValue="11690735"/>
    </cacheField>
    <cacheField name="APR 2008 [MWh]" numFmtId="0">
      <sharedItems containsString="0" containsBlank="1" containsNumber="1" containsInteger="1" minValue="0" maxValue="7068473"/>
    </cacheField>
    <cacheField name="MAY 2008 [MWh]" numFmtId="0">
      <sharedItems containsString="0" containsBlank="1" containsNumber="1" containsInteger="1" minValue="0" maxValue="4467355"/>
    </cacheField>
    <cacheField name="JUNE 2008 [MWh]" numFmtId="0">
      <sharedItems containsString="0" containsBlank="1" containsNumber="1" containsInteger="1" minValue="0" maxValue="4299780"/>
    </cacheField>
    <cacheField name="JULY 2008 [MWh]" numFmtId="0">
      <sharedItems containsString="0" containsBlank="1" containsNumber="1" containsInteger="1" minValue="0" maxValue="3495520"/>
    </cacheField>
    <cacheField name="AUG 2008 [MWh]" numFmtId="0">
      <sharedItems containsString="0" containsBlank="1" containsNumber="1" containsInteger="1" minValue="0" maxValue="3602250"/>
    </cacheField>
    <cacheField name="SEPT 2008 [MWh]" numFmtId="0">
      <sharedItems containsString="0" containsBlank="1" containsNumber="1" containsInteger="1" minValue="0" maxValue="4373621"/>
    </cacheField>
    <cacheField name="OCT 2008 [MWh]" numFmtId="0">
      <sharedItems containsString="0" containsBlank="1" containsNumber="1" minValue="0" maxValue="6488124"/>
    </cacheField>
    <cacheField name="NOV 2008 [MWh]" numFmtId="0">
      <sharedItems containsString="0" containsBlank="1" containsNumber="1" minValue="0" maxValue="7300652"/>
    </cacheField>
    <cacheField name="DEC 2008 [MWh]" numFmtId="0">
      <sharedItems containsString="0" containsBlank="1" containsNumber="1" minValue="0" maxValue="5477834"/>
    </cacheField>
    <cacheField name="JAN 2009 [MWh]" numFmtId="0">
      <sharedItems containsString="0" containsBlank="1" containsNumber="1" containsInteger="1" minValue="0" maxValue="5743533"/>
    </cacheField>
    <cacheField name="FEB 2009 [MWh]" numFmtId="0">
      <sharedItems containsString="0" containsBlank="1" containsNumber="1" containsInteger="1" minValue="0" maxValue="5444227"/>
    </cacheField>
    <cacheField name="MAR 2009 [MWh]" numFmtId="0">
      <sharedItems containsString="0" containsBlank="1" containsNumber="1" minValue="0" maxValue="8159333"/>
    </cacheField>
    <cacheField name="APR 2009 [MWh]" numFmtId="0">
      <sharedItems containsString="0" containsBlank="1" containsNumber="1" minValue="0" maxValue="6178708"/>
    </cacheField>
    <cacheField name="MAY 2009 [MWh]" numFmtId="0">
      <sharedItems containsString="0" containsBlank="1" containsNumber="1" containsInteger="1" minValue="0" maxValue="6734427"/>
    </cacheField>
    <cacheField name="JUNE 2009 [MWh]" numFmtId="0">
      <sharedItems containsString="0" containsBlank="1" containsNumber="1" containsInteger="1" minValue="0" maxValue="5936481"/>
    </cacheField>
    <cacheField name="JULY 2009 [MWh]" numFmtId="0">
      <sharedItems containsString="0" containsBlank="1" containsNumber="1" containsInteger="1" minValue="0" maxValue="4890958"/>
    </cacheField>
    <cacheField name="AUG 2009 [MWh]" numFmtId="0">
      <sharedItems containsString="0" containsBlank="1" containsNumber="1" containsInteger="1" minValue="0" maxValue="3446121"/>
    </cacheField>
    <cacheField name="SEPT 2009 [MWh]" numFmtId="0">
      <sharedItems containsString="0" containsBlank="1" containsNumber="1" minValue="0" maxValue="3718917"/>
    </cacheField>
    <cacheField name="OCT 2009 [MWh]" numFmtId="0">
      <sharedItems containsString="0" containsBlank="1" containsNumber="1" containsInteger="1" minValue="0" maxValue="7225896"/>
    </cacheField>
    <cacheField name="NOV 2009 [MWh]" numFmtId="0">
      <sharedItems containsString="0" containsBlank="1" containsNumber="1" containsInteger="1" minValue="0" maxValue="10281418"/>
    </cacheField>
    <cacheField name="DEC 2009 [MWh]" numFmtId="0">
      <sharedItems containsString="0" containsBlank="1" containsNumber="1" minValue="0" maxValue="8014001"/>
    </cacheField>
    <cacheField name="JAN 2010 [MWh]" numFmtId="0">
      <sharedItems containsString="0" containsBlank="1" containsNumber="1" containsInteger="1" minValue="0" maxValue="3367450"/>
    </cacheField>
    <cacheField name="FEB 2010 [MWh]" numFmtId="0">
      <sharedItems containsString="0" containsBlank="1" containsNumber="1" containsInteger="1" minValue="0" maxValue="7524970"/>
    </cacheField>
    <cacheField name="MAR 2010 [MWh]" numFmtId="0">
      <sharedItems containsString="0" containsBlank="1" containsNumber="1" containsInteger="1" minValue="0" maxValue="8972503"/>
    </cacheField>
    <cacheField name="APR 2010 [MWh]" numFmtId="0">
      <sharedItems containsString="0" containsBlank="1" containsNumber="1" containsInteger="1" minValue="0" maxValue="6528703"/>
    </cacheField>
    <cacheField name="MAY 2010 [MWh]" numFmtId="0">
      <sharedItems containsString="0" containsBlank="1" containsNumber="1" containsInteger="1" minValue="0" maxValue="5841236"/>
    </cacheField>
    <cacheField name="JUNE 2010 [MWh]" numFmtId="0">
      <sharedItems containsString="0" containsBlank="1" containsNumber="1" minValue="0" maxValue="5188486"/>
    </cacheField>
    <cacheField name="JULY 2010 [MWh]" numFmtId="0">
      <sharedItems containsString="0" containsBlank="1" containsNumber="1" minValue="0" maxValue="4197111"/>
    </cacheField>
    <cacheField name="AUG 2010 [MWh]" numFmtId="0">
      <sharedItems containsString="0" containsBlank="1" containsNumber="1" minValue="0" maxValue="6079805"/>
    </cacheField>
    <cacheField name="SEPT 2010 [MWh]" numFmtId="0">
      <sharedItems containsString="0" containsBlank="1" containsNumber="1" minValue="0" maxValue="4813130"/>
    </cacheField>
    <cacheField name="OCT 2010 [MWh]" numFmtId="0">
      <sharedItems containsString="0" containsBlank="1" containsNumber="1" minValue="0" maxValue="7437669"/>
    </cacheField>
    <cacheField name="NOV 2010 [MWh]" numFmtId="0">
      <sharedItems containsString="0" containsBlank="1" containsNumber="1" containsInteger="1" minValue="0" maxValue="7338209"/>
    </cacheField>
    <cacheField name="DEC 2010 [MWh]" numFmtId="0">
      <sharedItems containsString="0" containsBlank="1" containsNumber="1" minValue="0" maxValue="6266899"/>
    </cacheField>
    <cacheField name="JAN 2011 [MWh]" numFmtId="0">
      <sharedItems containsString="0" containsBlank="1" containsNumber="1" minValue="0" maxValue="10522409"/>
    </cacheField>
    <cacheField name="FEB 2011 [MWh]" numFmtId="0">
      <sharedItems containsString="0" containsBlank="1" containsNumber="1" containsInteger="1" minValue="0" maxValue="8297629"/>
    </cacheField>
    <cacheField name="MAR 2011 [MWh]" numFmtId="0">
      <sharedItems containsString="0" containsBlank="1" containsNumber="1" containsInteger="1" minValue="0" maxValue="7942356"/>
    </cacheField>
    <cacheField name="APR 2011 [MWh]" numFmtId="0">
      <sharedItems containsString="0" containsBlank="1" containsNumber="1" containsInteger="1" minValue="0" maxValue="5690189"/>
    </cacheField>
    <cacheField name="MAY 2011 [MWh]" numFmtId="0">
      <sharedItems containsString="0" containsBlank="1" containsNumber="1" minValue="0" maxValue="7173486"/>
    </cacheField>
    <cacheField name="JUNE 2011 [MWh]" numFmtId="0">
      <sharedItems containsString="0" containsBlank="1" containsNumber="1" containsInteger="1" minValue="0" maxValue="7108919"/>
    </cacheField>
    <cacheField name="JULY 2011 [MWh]" numFmtId="0">
      <sharedItems containsString="0" containsBlank="1" containsNumber="1" minValue="0" maxValue="5257567"/>
    </cacheField>
    <cacheField name="AUG 2011 [MWh]" numFmtId="0">
      <sharedItems containsString="0" containsBlank="1" containsNumber="1" minValue="0" maxValue="6001333"/>
    </cacheField>
    <cacheField name="SEPT 2011 [MWh]" numFmtId="0">
      <sharedItems containsString="0" containsBlank="1" containsNumber="1" minValue="0" maxValue="7305447"/>
    </cacheField>
    <cacheField name="OCT 2011 [MWh]" numFmtId="0">
      <sharedItems containsString="0" containsBlank="1" containsNumber="1" containsInteger="1" minValue="0" maxValue="8595215"/>
    </cacheField>
    <cacheField name="NOV 2011 [MWh]" numFmtId="0">
      <sharedItems containsString="0" containsBlank="1" containsNumber="1" containsInteger="1" minValue="0" maxValue="6636360"/>
    </cacheField>
    <cacheField name="DEC 2011 [MWh]" numFmtId="0">
      <sharedItems containsString="0" containsBlank="1" containsNumber="1" containsInteger="1" minValue="0" maxValue="13634092"/>
    </cacheField>
    <cacheField name="JAN 2012 [MWh]" numFmtId="0">
      <sharedItems containsString="0" containsBlank="1" containsNumber="1" containsInteger="1" minValue="0" maxValue="10046864"/>
    </cacheField>
    <cacheField name="FEB 2012 [MWh]" numFmtId="0">
      <sharedItems containsString="0" containsBlank="1" containsNumber="1" minValue="0" maxValue="7442966"/>
    </cacheField>
    <cacheField name="MAR 2012 [MWh]" numFmtId="0">
      <sharedItems containsString="0" containsBlank="1" containsNumber="1" containsInteger="1" minValue="0" maxValue="6060265"/>
    </cacheField>
    <cacheField name="APR 2012 [MWh]" numFmtId="0">
      <sharedItems containsString="0" containsBlank="1" containsNumber="1" containsInteger="1" minValue="0" maxValue="9709823"/>
    </cacheField>
    <cacheField name="MAY 2012 [MWh]" numFmtId="0">
      <sharedItems containsString="0" containsBlank="1" containsNumber="1" minValue="0" maxValue="5253292"/>
    </cacheField>
    <cacheField name="JUNE 2012 [MWh]" numFmtId="0">
      <sharedItems containsString="0" containsBlank="1" containsNumber="1" minValue="0" maxValue="6134040"/>
    </cacheField>
    <cacheField name="JULY 2012 [MWh]" numFmtId="0">
      <sharedItems containsString="0" containsBlank="1" containsNumber="1" minValue="0" maxValue="6256451"/>
    </cacheField>
    <cacheField name="AUG 2012 [MWh]" numFmtId="0">
      <sharedItems containsString="0" containsBlank="1" containsNumber="1" containsInteger="1" minValue="0" maxValue="5739230"/>
    </cacheField>
    <cacheField name="SEPT 2012 [MWh]" numFmtId="0">
      <sharedItems containsString="0" containsBlank="1" containsNumber="1" containsInteger="1" minValue="0" maxValue="5736570"/>
    </cacheField>
    <cacheField name="OCT 2012 [MWh]" numFmtId="0">
      <sharedItems containsString="0" containsBlank="1" containsNumber="1" containsInteger="1" minValue="0" maxValue="8101406"/>
    </cacheField>
    <cacheField name="NOV 2012 [MWh]" numFmtId="0">
      <sharedItems containsString="0" containsBlank="1" containsNumber="1" containsInteger="1" minValue="0" maxValue="8696108"/>
    </cacheField>
    <cacheField name="DEC 2012 [MWh]" numFmtId="0">
      <sharedItems containsString="0" containsBlank="1" containsNumber="1" containsInteger="1" minValue="0" maxValue="12513482"/>
    </cacheField>
    <cacheField name="JAN 2013 [MWh]" numFmtId="0">
      <sharedItems containsString="0" containsBlank="1" containsNumber="1" containsInteger="1" minValue="0" maxValue="8304429"/>
    </cacheField>
    <cacheField name="FEB 2013 [MWh]" numFmtId="0">
      <sharedItems containsString="0" containsBlank="1" containsNumber="1" containsInteger="1" minValue="0" maxValue="9180243"/>
    </cacheField>
    <cacheField name="MAR 2013 [MWh]" numFmtId="0">
      <sharedItems containsString="0" containsBlank="1" containsNumber="1" containsInteger="1" minValue="0" maxValue="7590267"/>
    </cacheField>
    <cacheField name="APR 2013 [MWh]" numFmtId="0">
      <sharedItems containsString="0" containsBlank="1" containsNumber="1" minValue="0" maxValue="8847933"/>
    </cacheField>
    <cacheField name="MAY 2013 [MWh]" numFmtId="0">
      <sharedItems containsString="0" containsBlank="1" containsNumber="1" containsInteger="1" minValue="0" maxValue="7226035"/>
    </cacheField>
    <cacheField name="JUNE 2013 [MWh]" numFmtId="0">
      <sharedItems containsString="0" containsBlank="1" containsNumber="1" minValue="0" maxValue="7660803"/>
    </cacheField>
    <cacheField name="JULY 2013 [MWh]" numFmtId="0">
      <sharedItems containsString="0" containsBlank="1" containsNumber="1" containsInteger="1" minValue="0" maxValue="5067145"/>
    </cacheField>
    <cacheField name="AUG 2013 [MWh]" numFmtId="0">
      <sharedItems containsString="0" containsBlank="1" containsNumber="1" containsInteger="1" minValue="0" maxValue="4205404"/>
    </cacheField>
    <cacheField name="SEPT 2013 [MWh]" numFmtId="0">
      <sharedItems containsString="0" containsBlank="1" containsNumber="1" minValue="0" maxValue="4652846"/>
    </cacheField>
    <cacheField name="OCT 2013 [MWh]" numFmtId="0">
      <sharedItems containsString="0" containsBlank="1" containsNumber="1" containsInteger="1" minValue="0" maxValue="9851045"/>
    </cacheField>
    <cacheField name="NOV 2013 [MWh]" numFmtId="0">
      <sharedItems containsString="0" containsBlank="1" containsNumber="1" minValue="0" maxValue="8078683"/>
    </cacheField>
    <cacheField name="DEC 2013 [MWh]" numFmtId="0">
      <sharedItems containsString="0" containsBlank="1" containsNumber="1" containsInteger="1" minValue="0" maxValue="11798850"/>
    </cacheField>
    <cacheField name="JAN 2014 [MWh]" numFmtId="0">
      <sharedItems containsString="0" containsBlank="1" containsNumber="1" minValue="0" maxValue="13637486"/>
    </cacheField>
    <cacheField name="FEB 2014 [MWh]" numFmtId="0">
      <sharedItems containsString="0" containsBlank="1" containsNumber="1" minValue="0" maxValue="14156030"/>
    </cacheField>
    <cacheField name="MAR 2014 [MWh]" numFmtId="0">
      <sharedItems containsString="0" containsBlank="1" containsNumber="1" minValue="0" maxValue="7233118"/>
    </cacheField>
    <cacheField name="APR 2014 [MWh]" numFmtId="0">
      <sharedItems containsString="0" containsBlank="1" containsNumber="1" minValue="0" maxValue="5430716"/>
    </cacheField>
    <cacheField name="MAY 2014 [MWh]" numFmtId="0">
      <sharedItems containsString="0" containsBlank="1" containsNumber="1" minValue="0" maxValue="8672190"/>
    </cacheField>
    <cacheField name="JUNE 2014 [MWh]" numFmtId="0">
      <sharedItems containsString="0" containsBlank="1" containsNumber="1" minValue="0" maxValue="4946939"/>
    </cacheField>
    <cacheField name="JULY 2014 [MWh]" numFmtId="0">
      <sharedItems containsString="0" containsBlank="1" containsNumber="1" minValue="0" maxValue="5389184"/>
    </cacheField>
    <cacheField name="AUG 2014 [MWh]" numFmtId="0">
      <sharedItems containsString="0" containsBlank="1" containsNumber="1" minValue="0" maxValue="6392641"/>
    </cacheField>
    <cacheField name="SEPT 2014 [MWh]" numFmtId="0">
      <sharedItems containsString="0" containsBlank="1" containsNumber="1" minValue="0" maxValue="4291840"/>
    </cacheField>
    <cacheField name="OCT 2014 [MWh]" numFmtId="0">
      <sharedItems containsString="0" containsBlank="1" containsNumber="1" minValue="0" maxValue="8638219"/>
    </cacheField>
    <cacheField name="NOV 2014 [MWh]" numFmtId="0">
      <sharedItems containsString="0" containsBlank="1" containsNumber="1" minValue="0" maxValue="7230595"/>
    </cacheField>
    <cacheField name="DEC 2014 [MWh]" numFmtId="0">
      <sharedItems containsString="0" containsBlank="1" containsNumber="1" minValue="-138052195" maxValue="10479735"/>
    </cacheField>
    <cacheField name="JAN 2015 [MWh]" numFmtId="0">
      <sharedItems containsString="0" containsBlank="1" containsNumber="1" containsInteger="1" minValue="0" maxValue="10794636"/>
    </cacheField>
    <cacheField name="FEB 2015 [MWh]" numFmtId="0">
      <sharedItems containsString="0" containsBlank="1" containsNumber="1" minValue="0" maxValue="8007497"/>
    </cacheField>
    <cacheField name="MAR 2015 [MWh]" numFmtId="0">
      <sharedItems containsString="0" containsBlank="1" containsNumber="1" minValue="0" maxValue="9079137"/>
    </cacheField>
    <cacheField name="APR 2015 [MWh]" numFmtId="0">
      <sharedItems containsString="0" containsBlank="1" containsNumber="1" minValue="0" maxValue="6539563"/>
    </cacheField>
    <cacheField name="MAY 2015 [MWh]" numFmtId="0">
      <sharedItems containsString="0" containsBlank="1" containsNumber="1" minValue="0" maxValue="8007227"/>
    </cacheField>
    <cacheField name="JUNE 2015 [MWh]" numFmtId="0">
      <sharedItems containsString="0" containsBlank="1" containsNumber="1" containsInteger="1" minValue="0" maxValue="6708845"/>
    </cacheField>
    <cacheField name="JULY 2015 [MWh]" numFmtId="0">
      <sharedItems containsString="0" containsBlank="1" containsNumber="1" minValue="0" maxValue="7936154"/>
    </cacheField>
    <cacheField name="AUG 2015 [MWh]" numFmtId="0">
      <sharedItems containsString="0" containsBlank="1" containsNumber="1" minValue="0" maxValue="5165810"/>
    </cacheField>
    <cacheField name="SEPT 2015 [MWh]" numFmtId="0">
      <sharedItems containsString="0" containsBlank="1" containsNumber="1" minValue="0" maxValue="5836599"/>
    </cacheField>
    <cacheField name="OCT 2015 [MWh]" numFmtId="0">
      <sharedItems containsString="0" containsBlank="1" containsNumber="1" minValue="0" maxValue="4413304"/>
    </cacheField>
    <cacheField name="NOV 2015 [MWh]" numFmtId="0">
      <sharedItems containsString="0" containsBlank="1" containsNumber="1" minValue="0" maxValue="12342033"/>
    </cacheField>
    <cacheField name="DEC 2015 [MWh]" numFmtId="0">
      <sharedItems containsString="0" containsBlank="1" containsNumber="1" minValue="0" maxValue="15894931"/>
    </cacheField>
    <cacheField name="JAN 2016 [MWh]" numFmtId="0">
      <sharedItems containsString="0" containsBlank="1" containsNumber="1" minValue="0" maxValue="13210811"/>
    </cacheField>
    <cacheField name="FEB 2016 [MWh]" numFmtId="0">
      <sharedItems containsString="0" containsBlank="1" containsNumber="1" minValue="0" maxValue="10721997"/>
    </cacheField>
    <cacheField name="MAR 2016 [MWh]" numFmtId="0">
      <sharedItems containsString="0" containsBlank="1" containsNumber="1" minValue="0" maxValue="8828151"/>
    </cacheField>
    <cacheField name="APR 2016 [MWh]" numFmtId="0">
      <sharedItems containsString="0" containsBlank="1" containsNumber="1" minValue="0" maxValue="6933332"/>
    </cacheField>
    <cacheField name="MAY 2016 [MWh]" numFmtId="0">
      <sharedItems containsString="0" containsBlank="1" containsNumber="1" minValue="0" maxValue="7663745"/>
    </cacheField>
    <cacheField name="JUNE 2016 [MWh]" numFmtId="0">
      <sharedItems containsString="0" containsBlank="1" containsNumber="1" minValue="0" maxValue="5814650"/>
    </cacheField>
    <cacheField name="JULY 2016 [MWh]" numFmtId="0">
      <sharedItems containsString="0" containsBlank="1" containsNumber="1" minValue="0" maxValue="5674480"/>
    </cacheField>
    <cacheField name="AUG 2016 [MWh]" numFmtId="0">
      <sharedItems containsString="0" containsBlank="1" containsNumber="1" minValue="0" maxValue="6474670"/>
    </cacheField>
    <cacheField name="SEPT 2016 [MWh]" numFmtId="0">
      <sharedItems containsString="0" containsBlank="1" containsNumber="1" minValue="0" maxValue="4861230"/>
    </cacheField>
    <cacheField name="OCT 2016 [MWh]" numFmtId="0">
      <sharedItems containsString="0" containsBlank="1" containsNumber="1" minValue="0" maxValue="4190800"/>
    </cacheField>
    <cacheField name="NOV 2016 [MWh]" numFmtId="0">
      <sharedItems containsString="0" containsBlank="1" containsNumber="1" minValue="0" maxValue="8514380"/>
    </cacheField>
    <cacheField name="DEC 2016 [MWh]" numFmtId="0">
      <sharedItems containsString="0" containsBlank="1" containsNumber="1" minValue="306510" maxValue="6502050"/>
    </cacheField>
    <cacheField name="JAN 2017 [MWh]" numFmtId="0">
      <sharedItems containsString="0" containsBlank="1" containsNumber="1" minValue="423300" maxValue="5969860"/>
    </cacheField>
    <cacheField name="FEB 2017 [MWh]" numFmtId="0">
      <sharedItems containsString="0" containsBlank="1" containsNumber="1" minValue="606149.16666666663" maxValue="9422880"/>
    </cacheField>
    <cacheField name="MAR 2017 [MWh]" numFmtId="0">
      <sharedItems containsString="0" containsBlank="1" containsNumber="1" minValue="724752.16666666651" maxValue="10764790"/>
    </cacheField>
    <cacheField name="APR 2017 [MWh]" numFmtId="0">
      <sharedItems containsString="0" containsBlank="1" containsNumber="1" minValue="247910" maxValue="5668800"/>
    </cacheField>
    <cacheField name="MAY 2017 [MWh]" numFmtId="0">
      <sharedItems containsString="0" containsBlank="1" containsNumber="1" minValue="208378" maxValue="4882727"/>
    </cacheField>
    <cacheField name="JUNE 2017 [MWh]" numFmtId="0">
      <sharedItems containsString="0" containsBlank="1" containsNumber="1" minValue="359390" maxValue="7160460"/>
    </cacheField>
    <cacheField name="JULY 2017 [MWh]" numFmtId="0">
      <sharedItems containsString="0" containsBlank="1" containsNumber="1" minValue="341302.83" maxValue="6324435.8300000001"/>
    </cacheField>
    <cacheField name="AUG 2017 [MWh]" numFmtId="0">
      <sharedItems containsString="0" containsBlank="1" containsNumber="1" minValue="242603" maxValue="4408831"/>
    </cacheField>
    <cacheField name="SEPT 2017 [MWh]" numFmtId="0">
      <sharedItems containsString="0" containsBlank="1" containsNumber="1" minValue="336284.67" maxValue="4851111"/>
    </cacheField>
    <cacheField name="OCT 2017 [MWh]" numFmtId="0">
      <sharedItems containsString="0" containsBlank="1" containsNumber="1" minValue="504227.83333333331" maxValue="9136393"/>
    </cacheField>
    <cacheField name="NOV 2017 [MWh]" numFmtId="0">
      <sharedItems containsString="0" containsBlank="1" containsNumber="1" minValue="507792" maxValue="6849147"/>
    </cacheField>
    <cacheField name="DEC 2017 [MWh]" numFmtId="0">
      <sharedItems containsString="0" containsBlank="1" containsNumber="1" minValue="847924" maxValue="10889352"/>
    </cacheField>
    <cacheField name="JAN 2018 [MWh]" numFmtId="0">
      <sharedItems containsString="0" containsBlank="1" containsNumber="1" minValue="996853" maxValue="12389993"/>
    </cacheField>
    <cacheField name="FEB 2018 [MWh]" numFmtId="0">
      <sharedItems containsString="0" containsBlank="1" containsNumber="1" minValue="507893" maxValue="8974688"/>
    </cacheField>
    <cacheField name="MAR 2018 [MWh]" numFmtId="0">
      <sharedItems containsString="0" containsBlank="1" containsNumber="1" minValue="670946" maxValue="9112139"/>
    </cacheField>
    <cacheField name="APR 2018 [MWh]" numFmtId="0">
      <sharedItems containsString="0" containsBlank="1" containsNumber="1" minValue="480225" maxValue="6536125"/>
    </cacheField>
    <cacheField name="MAY 2018 [MWh]" numFmtId="0">
      <sharedItems containsString="0" containsBlank="1" containsNumber="1" minValue="219613" maxValue="4714545"/>
    </cacheField>
    <cacheField name="JUNE 2018 [MWh]" numFmtId="168">
      <sharedItems containsSemiMixedTypes="0" containsString="0" containsNumber="1" minValue="117053" maxValue="5590701"/>
    </cacheField>
    <cacheField name="JULY 2018 [MWh]" numFmtId="168">
      <sharedItems containsSemiMixedTypes="0" containsString="0" containsNumber="1" minValue="167282" maxValue="3139625"/>
    </cacheField>
    <cacheField name="AUG 2018 [MWh]" numFmtId="168">
      <sharedItems containsSemiMixedTypes="0" containsString="0" containsNumber="1" minValue="258418" maxValue="5072787"/>
    </cacheField>
    <cacheField name="Trimestres" numFmtId="0" databaseField="0">
      <fieldGroup base="1">
        <rangePr groupBy="quarters" startDate="2002-11-01T00:00:00" endDate="2016-12-24T00:00:00"/>
        <groupItems count="6">
          <s v="&lt;01/11/2002"/>
          <s v="Trimestre1"/>
          <s v="Trimestre2"/>
          <s v="Trimestre3"/>
          <s v="Trimestre4"/>
          <s v="&gt;24/12/2016"/>
        </groupItems>
      </fieldGroup>
    </cacheField>
    <cacheField name="Années" numFmtId="0" databaseField="0">
      <fieldGroup base="1">
        <rangePr groupBy="years" startDate="2002-11-01T00:00:00" endDate="2016-12-24T00:00:00"/>
        <groupItems count="17">
          <s v="&lt;01/11/2002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4/12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Mesropyan" refreshedDate="44460.685147685188" createdVersion="6" refreshedVersion="6" minRefreshableVersion="3" recordCount="107" xr:uid="{16E295E0-B93C-4F11-A228-387326268744}">
  <cacheSource type="worksheet">
    <worksheetSource ref="B11:R118" sheet="1-EO_Calcul Reporting"/>
  </cacheSource>
  <cacheFields count="17">
    <cacheField name="Code Saisie" numFmtId="0">
      <sharedItems containsBlank="1"/>
    </cacheField>
    <cacheField name="Code LV" numFmtId="0">
      <sharedItems containsBlank="1" count="85">
        <s v="E5030"/>
        <s v="E5210"/>
        <s v="E5040"/>
        <s v="E5050"/>
        <s v="E5070"/>
        <s v="E5080"/>
        <s v="E5090"/>
        <s v="E5100"/>
        <s v="E5110"/>
        <s v="E5120"/>
        <s v="E5150"/>
        <s v="E5130"/>
        <s v="E5140"/>
        <s v="E5160"/>
        <s v="E5170"/>
        <s v="E5180"/>
        <s v="E5290"/>
        <s v="E5300"/>
        <s v="E5270"/>
        <s v="E5280"/>
        <s v="E5310"/>
        <s v="E5320"/>
        <s v="E5360"/>
        <s v="BEV2"/>
        <s v="BEV3"/>
        <s v="BEV7"/>
        <s v="BEV9"/>
        <s v="BEV4"/>
        <s v="BEV5"/>
        <s v="BEV6"/>
        <s v="BEV8"/>
        <s v="BEV10"/>
        <s v="BEV11"/>
        <s v="BEV12"/>
        <s v="BEV13"/>
        <s v="E5560"/>
        <s v="E5570"/>
        <s v="E5690"/>
        <s v="E5630"/>
        <s v="E5640"/>
        <s v="E5620"/>
        <s v="E5600"/>
        <s v="E5700"/>
        <s v="E5770"/>
        <s v="E5810"/>
        <s v="E6190"/>
        <s v="E6200"/>
        <s v="E6150"/>
        <s v="E6340"/>
        <s v="E6370"/>
        <s v="E6250"/>
        <s v="E6260"/>
        <s v="E6120"/>
        <s v="E6130"/>
        <s v="E6210"/>
        <s v="E6160"/>
        <s v="E6170"/>
        <s v="E6330"/>
        <s v="E6140"/>
        <s v="E6350"/>
        <s v="E6360"/>
        <s v="E5660"/>
        <s v="E5590"/>
        <s v="E5650"/>
        <s v="E5720"/>
        <s v="E5710"/>
        <s v="E5550"/>
        <s v="E5250"/>
        <s v="E5020"/>
        <s v="E6010"/>
        <s v="E6280"/>
        <s v="E5930"/>
        <s v="E5880"/>
        <s v="E6720"/>
        <s v="E6040"/>
        <s v="E6310"/>
        <s v="E6571"/>
        <s v="E5890"/>
        <s v="E6730"/>
        <s v="E6740"/>
        <s v="E6290"/>
        <s v="E6760"/>
        <m/>
        <s v="à créer" u="1"/>
        <s v="E5010" u="1"/>
      </sharedItems>
    </cacheField>
    <cacheField name="Site" numFmtId="0">
      <sharedItems containsMixedTypes="1" containsNumber="1" containsInteger="1" minValue="0" maxValue="0"/>
    </cacheField>
    <cacheField name="MW" numFmtId="0">
      <sharedItems containsString="0" containsBlank="1" containsNumber="1" minValue="0" maxValue="36"/>
    </cacheField>
    <cacheField name="JAN [KWh]" numFmtId="168">
      <sharedItems containsString="0" containsBlank="1" containsNumber="1" minValue="0" maxValue="10650977.048044747"/>
    </cacheField>
    <cacheField name="FEB [KWh]" numFmtId="168">
      <sharedItems containsString="0" containsBlank="1" containsNumber="1" minValue="0" maxValue="9540597.9794908948"/>
    </cacheField>
    <cacheField name="MAR [KWh]" numFmtId="168">
      <sharedItems containsString="0" containsBlank="1" containsNumber="1" minValue="0" maxValue="9405860.5752347764"/>
    </cacheField>
    <cacheField name="APR [KWh]" numFmtId="168">
      <sharedItems containsString="0" containsBlank="1" containsNumber="1" minValue="0" maxValue="8039723.307061336"/>
    </cacheField>
    <cacheField name="MAY [KWh]" numFmtId="168">
      <sharedItems containsString="0" containsBlank="1" containsNumber="1" minValue="0" maxValue="6988286.9463305324"/>
    </cacheField>
    <cacheField name="JUNE [KWh]" numFmtId="168">
      <sharedItems containsString="0" containsBlank="1" containsNumber="1" minValue="0" maxValue="6138009.5191210601"/>
    </cacheField>
    <cacheField name="JULY [KWh]" numFmtId="168">
      <sharedItems containsString="0" containsBlank="1" containsNumber="1" minValue="0" maxValue="6177475.0257075941"/>
    </cacheField>
    <cacheField name="AUG [KWh]" numFmtId="168">
      <sharedItems containsString="0" containsBlank="1" containsNumber="1" minValue="0" maxValue="5525192.5233734567"/>
    </cacheField>
    <cacheField name="SEPT [KWh]" numFmtId="168">
      <sharedItems containsString="0" containsBlank="1" containsNumber="1" minValue="0" maxValue="6577481.1928047379"/>
    </cacheField>
    <cacheField name="OCT [KWh]" numFmtId="168">
      <sharedItems containsString="0" containsBlank="1" containsNumber="1" minValue="0" maxValue="7797447.5188462976"/>
    </cacheField>
    <cacheField name="NOV [KWh]" numFmtId="168">
      <sharedItems containsString="0" containsBlank="1" containsNumber="1" minValue="0" maxValue="9789619.6077290699"/>
    </cacheField>
    <cacheField name="DEC [KWh]" numFmtId="168">
      <sharedItems containsString="0" containsBlank="1" containsNumber="1" minValue="0" maxValue="10469328.756255496"/>
    </cacheField>
    <cacheField name="Tot. Prod. 2021 [KWh]" numFmtId="168">
      <sharedItems containsSemiMixedTypes="0" containsString="0" containsNumber="1" minValue="0" maxValue="97099999.9999999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rore Mison" refreshedDate="44461.483086921296" createdVersion="6" refreshedVersion="6" minRefreshableVersion="3" recordCount="106" xr:uid="{50DC19DB-34E1-4FFF-9481-71F2A8236049}">
  <cacheSource type="worksheet">
    <worksheetSource ref="AP11:BC117" sheet="1-EO_Calcul Reporting"/>
  </cacheSource>
  <cacheFields count="14">
    <cacheField name="Code Saisie" numFmtId="0">
      <sharedItems containsBlank="1" containsMixedTypes="1" containsNumber="1" containsInteger="1" minValue="0" maxValue="0" count="83">
        <s v="E5030"/>
        <s v="E5210"/>
        <s v="E5040"/>
        <s v="E5050"/>
        <s v="E5070"/>
        <s v="E5080"/>
        <s v="E5090"/>
        <s v="E5100"/>
        <s v="E5110"/>
        <s v="E5120"/>
        <s v="E5150"/>
        <s v="E5130"/>
        <s v="E5140"/>
        <s v="E5160"/>
        <s v="E5170"/>
        <s v="E5180"/>
        <s v="E5290"/>
        <s v="E5300"/>
        <s v="E5270"/>
        <s v="E5280"/>
        <s v="E5310"/>
        <s v="E5320"/>
        <s v="E5360"/>
        <s v="E5391"/>
        <s v="E5392"/>
        <s v="E5396"/>
        <s v="E5398"/>
        <s v="E5393"/>
        <s v="E5394"/>
        <s v="E5395"/>
        <s v="E5397"/>
        <s v="E5399"/>
        <s v="E5400"/>
        <s v="E5401"/>
        <s v="E5402"/>
        <s v="E5560"/>
        <s v="E5570"/>
        <s v="E5690"/>
        <s v="E5630"/>
        <s v="E5640"/>
        <s v="E5620"/>
        <s v="E5600"/>
        <s v="E5700"/>
        <s v="E5770"/>
        <s v="E5810"/>
        <s v="E6190"/>
        <s v="E6200"/>
        <s v="E6150"/>
        <s v="E6340"/>
        <s v="E6370"/>
        <s v="E6250"/>
        <s v="E6260"/>
        <s v="E6120"/>
        <s v="E6130"/>
        <s v="E6210"/>
        <s v="E6160"/>
        <s v="E6170"/>
        <s v="E6330"/>
        <s v="E6140"/>
        <s v="E6350"/>
        <s v="E6360"/>
        <s v="E5660"/>
        <s v="E5590"/>
        <s v="E5650"/>
        <s v="E5720"/>
        <s v="E5710"/>
        <s v="E5550"/>
        <s v="E5250"/>
        <s v="E5020"/>
        <s v="E6010"/>
        <s v="E6280"/>
        <s v="E5930"/>
        <s v="E5880"/>
        <s v="E6720"/>
        <s v="E6040"/>
        <s v="E6310"/>
        <m/>
        <s v="E5890"/>
        <s v="E6730"/>
        <s v="E6740"/>
        <s v="E6290"/>
        <s v="E6760"/>
        <n v="0" u="1"/>
      </sharedItems>
    </cacheField>
    <cacheField name="Site" numFmtId="0">
      <sharedItems containsBlank="1" count="107">
        <s v="Avignonet"/>
        <s v="Avignonet II"/>
        <s v="Chépy"/>
        <s v="Nibas"/>
        <s v="Ally Bessadous"/>
        <s v="Ally Mercoeur"/>
        <s v="Ally Monteil"/>
        <s v="Ally Verseilles"/>
        <s v="Cham Longe Bel Air"/>
        <s v="Cham Longe Le Courbil (Eole Cevennes)"/>
        <s v="Cham Longe II"/>
        <s v="Plouguin"/>
        <s v="La Citadelle"/>
        <s v="Chasse Marée"/>
        <s v="Ronchois 1"/>
        <s v="Ronchois 2"/>
        <s v="Ronchois 3"/>
        <s v="Le Grand Camp"/>
        <s v="St Patrick Pernois 1"/>
        <s v="St Patrick Pernois 2"/>
        <s v="St Patrick Pernois 3"/>
        <s v="St Patrick Hermin"/>
        <s v="Vron"/>
        <s v="Ménétréols Renardiére (La vallée 2)"/>
        <s v="Ménétréols Les chênes (La vallée 3)"/>
        <s v="Ménétréols Lizeray (La vallée 4)"/>
        <s v="St Georges (La Vallée 1)"/>
        <s v="Fortel 1"/>
        <s v="Fortel 2"/>
        <s v="St François Roye 2"/>
        <s v="St François Roye 3"/>
        <s v="Calmont (Laur Eole Energie )"/>
        <s v="Coat Conval"/>
        <s v="Leign ar Gasprenn"/>
        <s v="Les Eparmonts"/>
        <s v="Pannecé (BS)"/>
        <s v="Pannecé La Vallière"/>
        <s v="Vallée d'Arce 1 (DR)"/>
        <s v="Vallée d'Arce 2 (NY)"/>
        <s v="Vallée d'Arce 3 (NU)"/>
        <s v="La Bouleste"/>
        <s v="Haut de Conge 1"/>
        <s v="Haut de Conge 2"/>
        <s v="Haut de Conge 3"/>
        <s v="Charmoy"/>
        <s v="Coulonges (CL)"/>
        <s v="Coulonges (NT)"/>
        <s v="Coulonges (CP)"/>
        <s v="SdlL1"/>
        <s v="SdlL2"/>
        <s v="Pays d'Othe 1"/>
        <s v="Comes de l'Arce"/>
        <s v="Touvent"/>
        <s v="Plateau de Savernat 1"/>
        <s v="Plateau de Savernat 2"/>
        <s v="Voie des monts"/>
        <s v="Monts de Bagny 1"/>
        <s v="Monts de Bagny 2"/>
        <s v="Artois 1"/>
        <s v="Artois 2"/>
        <s v="Chemin de Grès"/>
        <s v="Inter deux bos (MET)"/>
        <s v="Haut de Comble (HC)"/>
        <s v="Le Pelon"/>
        <s v="Coteaux du Blaiseron"/>
        <s v="CDB Doux le vent"/>
        <s v="Evits et Josaphats"/>
        <s v="Remise Reclainville"/>
        <s v="Fierville"/>
        <s v="Plaine de Beaunay"/>
        <s v="Val au Moines 1"/>
        <s v="Val au Moines 2"/>
        <s v="Bougainville"/>
        <s v="Saint André"/>
        <s v="Fond de la Plaine"/>
        <s v="Bassigny"/>
        <s v="Les Clérimois"/>
        <s v="Plateau de Langres"/>
        <s v="Les Moulins de Boulay"/>
        <s v="Morlange"/>
        <s v="Renardières mont de Bezard"/>
        <s v="Zondrange"/>
        <s v="Noyers "/>
        <s v="Parc du Santerre (XSAN)"/>
        <s v="Le Catésis (CAT)"/>
        <s v="Seuil du Cambrésis- Ribecourt (RIB)"/>
        <s v="Basse Thiérache Nord 1 "/>
        <s v="Basse Thiérache Nord 2"/>
        <s v="Sources de l'Ancre 1 "/>
        <s v="Sources de l'Ancre 2"/>
        <s v="Boralex Solaire Les Cigalettes SAS (Montfort)"/>
        <s v="Boralex Solaire Lauragais SAS"/>
        <s v="Blendecques Elec"/>
        <s v="Cham Longe Repowering"/>
        <s v="PBF Blanches Fosses"/>
        <s v="Extension seuil de Bapaume XSB"/>
        <s v="Extension plaine d'Escrebieux XPE"/>
        <s v="Saint Christophe - Clé des champs"/>
        <s v="Peyrolles solaire"/>
        <s v="Bazougeais"/>
        <m/>
        <s v="La Grande Borne"/>
        <s v="Repowering Evit Et Josaphats"/>
        <s v="Repowering Reclainville"/>
        <s v="Bois des Fontaines"/>
        <s v="Repowering Bougainville"/>
        <s v="Stockage de l'Arce" u="1"/>
      </sharedItems>
    </cacheField>
    <cacheField name="JAN [€/MWh]" numFmtId="165">
      <sharedItems containsString="0" containsBlank="1" containsNumber="1" minValue="-14.1173" maxValue="6.0532399999999909" count="14">
        <m/>
        <n v="5.8690999999999915"/>
        <n v="6.0532399999999909"/>
        <n v="-9.0534500000000122"/>
        <n v="-4.0642300000000064"/>
        <n v="3.8026399999999994"/>
        <n v="4.2629899999999905"/>
        <n v="-5.9844500000000096"/>
        <n v="-3.9823900000000068"/>
        <n v="-14.1173"/>
        <n v="-12.61"/>
        <n v="-7.2659999999999911"/>
        <n v="-6.6999999999999957"/>
        <n v="-4.0539999999999994"/>
      </sharedItems>
    </cacheField>
    <cacheField name="FEB [€/MWh]" numFmtId="165">
      <sharedItems containsString="0" containsBlank="1" containsNumber="1" minValue="-15.087299999999999" maxValue="5.083239999999992" count="14">
        <m/>
        <n v="4.8990999999999927"/>
        <n v="5.083239999999992"/>
        <n v="-10.023450000000011"/>
        <n v="-5.0342300000000053"/>
        <n v="2.8326400000000005"/>
        <n v="3.2929899999999916"/>
        <n v="-6.9544500000000085"/>
        <n v="-4.9523900000000056"/>
        <n v="-15.087299999999999"/>
        <n v="-13.579999999999998"/>
        <n v="-12.125999999999991"/>
        <n v="-11.559999999999995"/>
        <n v="-5.0239999999999982"/>
      </sharedItems>
    </cacheField>
    <cacheField name="MAR [€/MWh]" numFmtId="165">
      <sharedItems containsString="0" containsBlank="1" containsNumber="1" minValue="-5.3059999999999974" maxValue="17.303239999999992" count="14">
        <m/>
        <n v="17.119099999999992"/>
        <n v="17.303239999999992"/>
        <n v="2.1965499999999878"/>
        <n v="7.1857699999999936"/>
        <n v="15.05264"/>
        <n v="15.512989999999991"/>
        <n v="5.2655499999999904"/>
        <n v="7.2676099999999932"/>
        <n v="-2.8673000000000002"/>
        <n v="-1.3599999999999994"/>
        <n v="-5.3059999999999974"/>
        <n v="-4.740000000000002"/>
        <n v="7.1960000000000006"/>
      </sharedItems>
    </cacheField>
    <cacheField name="APR [€/MWh]" numFmtId="165">
      <sharedItems containsString="0" containsBlank="1" containsNumber="1" minValue="6.3340000000000032" maxValue="31.693239999999999" count="14">
        <m/>
        <n v="31.5091"/>
        <n v="31.693239999999999"/>
        <n v="16.586549999999995"/>
        <n v="21.575770000000002"/>
        <n v="29.442640000000008"/>
        <n v="29.902989999999999"/>
        <n v="19.655549999999998"/>
        <n v="21.657610000000002"/>
        <n v="11.522700000000007"/>
        <n v="13.030000000000008"/>
        <n v="6.3340000000000032"/>
        <n v="6.8999999999999986"/>
        <n v="21.586000000000009"/>
      </sharedItems>
    </cacheField>
    <cacheField name="MAY [€/MWh]" numFmtId="165">
      <sharedItems containsString="0" containsBlank="1" containsNumber="1" minValue="13.704000000000001" maxValue="569" count="16">
        <m/>
        <n v="40.829099999999997"/>
        <n v="41.013239999999996"/>
        <n v="25.906549999999996"/>
        <n v="30.895770000000002"/>
        <n v="38.762640000000005"/>
        <n v="39.222989999999996"/>
        <n v="28.975549999999998"/>
        <n v="30.977610000000002"/>
        <n v="20.842700000000008"/>
        <n v="22.350000000000009"/>
        <n v="13.704000000000001"/>
        <n v="14.269999999999996"/>
        <n v="30.906000000000009"/>
        <n v="58" u="1"/>
        <n v="569" u="1"/>
      </sharedItems>
    </cacheField>
    <cacheField name="JUNE [€/MWh]" numFmtId="165">
      <sharedItems containsString="0" containsBlank="1" containsNumber="1" minValue="9.8340000000000032" maxValue="35.86323999999999" count="15">
        <m/>
        <n v="35.679099999999991"/>
        <n v="35.86323999999999"/>
        <n v="20.75654999999999"/>
        <n v="25.745769999999997"/>
        <n v="33.612639999999999"/>
        <n v="34.07298999999999"/>
        <n v="23.825549999999993"/>
        <n v="25.827609999999996"/>
        <n v="15.692700000000002"/>
        <n v="17.200000000000003"/>
        <n v="9.8340000000000032"/>
        <n v="10.399999999999999"/>
        <n v="25.756000000000004"/>
        <n v="18.099999999999994"/>
      </sharedItems>
    </cacheField>
    <cacheField name="JULY [€/MWh]" numFmtId="165">
      <sharedItems containsString="0" containsBlank="1" containsNumber="1" minValue="8.9640000000000057" maxValue="33.803239999999995" count="16">
        <m/>
        <n v="33.619099999999996"/>
        <n v="33.803239999999995"/>
        <n v="18.696549999999995"/>
        <n v="23.685770000000002"/>
        <n v="31.552640000000007"/>
        <n v="32.012989999999995"/>
        <n v="21.765549999999998"/>
        <n v="23.767610000000001"/>
        <n v="13.632700000000007"/>
        <n v="15.140000000000008"/>
        <n v="8.9640000000000057"/>
        <n v="9.5300000000000011"/>
        <n v="23.696000000000009"/>
        <n v="22.040000000000003"/>
        <n v="16.04"/>
      </sharedItems>
    </cacheField>
    <cacheField name="AUG [€/MWh]" numFmtId="165">
      <sharedItems containsString="0" containsBlank="1" containsNumber="1" minValue="14.104000000000006" maxValue="37.523239999999994" count="16">
        <m/>
        <n v="37.339099999999995"/>
        <n v="37.523239999999994"/>
        <n v="24.060050649999987"/>
        <n v="27.40577"/>
        <n v="35.272640000000003"/>
        <n v="35.732989999999994"/>
        <n v="25.485549999999996"/>
        <n v="27.48761"/>
        <n v="17.352700000000006"/>
        <n v="20.421700000000008"/>
        <n v="14.104000000000006"/>
        <n v="14.670000000000002"/>
        <n v="27.416000000000007"/>
        <n v="25.76"/>
        <n v="19.759999999999998"/>
      </sharedItems>
    </cacheField>
    <cacheField name="SEPT [€/MWh]" numFmtId="165">
      <sharedItems containsString="0" containsBlank="1" containsNumber="1" minValue="16.284000000000006" maxValue="39.643239999999992" count="16">
        <m/>
        <n v="39.459099999999992"/>
        <n v="39.643239999999992"/>
        <n v="26.180050649999984"/>
        <n v="29.525769999999998"/>
        <n v="37.39264"/>
        <n v="37.852989999999991"/>
        <n v="27.605549999999994"/>
        <n v="29.607609999999998"/>
        <n v="19.472700000000003"/>
        <n v="22.541700000000006"/>
        <n v="16.284000000000006"/>
        <n v="16.850000000000001"/>
        <n v="29.536000000000005"/>
        <n v="27.88"/>
        <n v="21.879999999999995"/>
      </sharedItems>
    </cacheField>
    <cacheField name="OCT [€/MWh]" numFmtId="165">
      <sharedItems containsString="0" containsBlank="1" containsNumber="1" minValue="15.734000000000002" maxValue="40.443239999999996" count="16">
        <m/>
        <n v="40.259099999999997"/>
        <n v="40.443239999999996"/>
        <n v="26.980050649999988"/>
        <n v="30.325770000000002"/>
        <n v="38.192640000000004"/>
        <n v="38.652989999999996"/>
        <n v="28.405549999999998"/>
        <n v="30.407610000000002"/>
        <n v="20.272700000000007"/>
        <n v="23.34170000000001"/>
        <n v="15.734000000000002"/>
        <n v="16.299999999999997"/>
        <n v="30.336000000000009"/>
        <n v="28.680000000000003"/>
        <n v="22.68"/>
      </sharedItems>
    </cacheField>
    <cacheField name="NOV [€/MWh]" numFmtId="165">
      <sharedItems containsString="0" containsBlank="1" containsNumber="1" minValue="-11.369999999999994" maxValue="23.579794519999997" count="18">
        <m/>
        <n v="23.391419299999999"/>
        <n v="23.579794519999997"/>
        <n v="8.1900506499999892"/>
        <n v="-5.9999999999999973"/>
        <n v="21.277430720000002"/>
        <n v="21.748368770000003"/>
        <n v="9.6155499999999989"/>
        <n v="11.617610000000003"/>
        <n v="1.4827000000000083"/>
        <n v="4.551700000000011"/>
        <n v="5.8340000000000032"/>
        <n v="6.3999999999999986"/>
        <n v="-11.369999999999994"/>
        <n v="11.54600000000001"/>
        <n v="9.8900000000000041"/>
        <n v="3.8900000000000006"/>
        <n v="11.535770000000003" u="1"/>
      </sharedItems>
    </cacheField>
    <cacheField name="DEC [€/MWh]" numFmtId="165">
      <sharedItems containsString="0" containsBlank="1" containsNumber="1" minValue="-33.540000000000006" maxValue="12.14979451999999" count="17">
        <m/>
        <n v="11.961419299999992"/>
        <n v="12.14979451999999"/>
        <n v="-3.2399493500000176"/>
        <n v="-33.540000000000006"/>
        <n v="9.8474307199999949"/>
        <n v="10.318368769999996"/>
        <n v="-0.1003623500000117"/>
        <n v="0.18760999999999495"/>
        <n v="-8.4202678999999989"/>
        <n v="-6.8782999999999959"/>
        <n v="0.62868200000000485"/>
        <n v="-0.17000000000000171"/>
        <n v="0.11600000000000232"/>
        <n v="-1.5400000000000036"/>
        <n v="-7.5400000000000063"/>
        <n v="0.1057699999999952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rore Mison" refreshedDate="44461.626994328704" createdVersion="6" refreshedVersion="6" minRefreshableVersion="3" recordCount="106" xr:uid="{AAA04D1E-A70E-4991-A4CD-F7E99F236ECC}">
  <cacheSource type="worksheet">
    <worksheetSource ref="BI11:BV117" sheet="1-EO_Calcul Reporting"/>
  </cacheSource>
  <cacheFields count="14">
    <cacheField name="Code Saisie" numFmtId="0">
      <sharedItems containsBlank="1" containsMixedTypes="1" containsNumber="1" containsInteger="1" minValue="0" maxValue="0" count="83">
        <s v="E5030"/>
        <s v="E5210"/>
        <s v="E5040"/>
        <s v="E5050"/>
        <s v="E5070"/>
        <s v="E5080"/>
        <s v="E5090"/>
        <s v="E5100"/>
        <s v="E5110"/>
        <s v="E5120"/>
        <s v="E5150"/>
        <s v="E5130"/>
        <s v="E5140"/>
        <s v="E5160"/>
        <s v="E5170"/>
        <s v="E5180"/>
        <s v="E5290"/>
        <s v="E5300"/>
        <s v="E5270"/>
        <s v="E5280"/>
        <s v="E5310"/>
        <s v="E5320"/>
        <s v="E5360"/>
        <s v="E5391"/>
        <s v="E5392"/>
        <s v="E5396"/>
        <s v="E5398"/>
        <s v="E5393"/>
        <s v="E5394"/>
        <s v="E5395"/>
        <s v="E5397"/>
        <s v="E5399"/>
        <s v="E5400"/>
        <s v="E5401"/>
        <s v="E5402"/>
        <s v="E5560"/>
        <s v="E5570"/>
        <s v="E5690"/>
        <s v="E5630"/>
        <s v="E5640"/>
        <s v="E5620"/>
        <s v="E5600"/>
        <s v="E5700"/>
        <s v="E5770"/>
        <s v="E5810"/>
        <s v="E6190"/>
        <s v="E6200"/>
        <s v="E6150"/>
        <s v="E6340"/>
        <s v="E6370"/>
        <s v="E6250"/>
        <s v="E6260"/>
        <s v="E6120"/>
        <s v="E6130"/>
        <s v="E6210"/>
        <s v="E6160"/>
        <s v="E6170"/>
        <s v="E6330"/>
        <s v="E6140"/>
        <s v="E6350"/>
        <s v="E6360"/>
        <s v="E5660"/>
        <s v="E5590"/>
        <s v="E5650"/>
        <s v="E5720"/>
        <s v="E5710"/>
        <s v="E5550"/>
        <s v="E5250"/>
        <s v="E5020"/>
        <s v="E6010"/>
        <s v="E6280"/>
        <s v="E5930"/>
        <s v="E5880"/>
        <s v="E6720"/>
        <s v="E6040"/>
        <s v="E6310"/>
        <m/>
        <s v="E5890"/>
        <s v="E6730"/>
        <s v="E6740"/>
        <s v="E6290"/>
        <s v="E6760"/>
        <n v="0" u="1"/>
      </sharedItems>
    </cacheField>
    <cacheField name="Site" numFmtId="0">
      <sharedItems containsBlank="1" containsMixedTypes="1" containsNumber="1" containsInteger="1" minValue="0" maxValue="0" count="107">
        <s v="Avignonet"/>
        <s v="Avignonet II"/>
        <s v="Chépy"/>
        <s v="Nibas"/>
        <s v="Ally Bessadous"/>
        <s v="Ally Mercoeur"/>
        <s v="Ally Monteil"/>
        <s v="Ally Verseilles"/>
        <s v="Cham Longe Bel Air"/>
        <s v="Cham Longe Le Courbil (Eole Cevennes)"/>
        <s v="Cham Longe II"/>
        <s v="Plouguin"/>
        <s v="La Citadelle"/>
        <s v="Chasse Marée"/>
        <s v="Ronchois 1"/>
        <s v="Ronchois 2"/>
        <s v="Ronchois 3"/>
        <s v="Le Grand Camp"/>
        <s v="St Patrick Pernois 1"/>
        <s v="St Patrick Pernois 2"/>
        <s v="St Patrick Pernois 3"/>
        <s v="St Patrick Hermin"/>
        <s v="Vron"/>
        <s v="Ménétréols Renardiére (La vallée 2)"/>
        <s v="Ménétréols Les chênes (La vallée 3)"/>
        <s v="Ménétréols Lizeray (La vallée 4)"/>
        <s v="St Georges (La Vallée 1)"/>
        <s v="Fortel 1"/>
        <s v="Fortel 2"/>
        <s v="St François Roye 2"/>
        <s v="St François Roye 3"/>
        <s v="Calmont (Laur Eole Energie )"/>
        <s v="Coat Conval"/>
        <s v="Leign ar Gasprenn"/>
        <s v="Les Eparmonts"/>
        <s v="Pannecé (BS)"/>
        <s v="Pannecé La Vallière"/>
        <s v="Vallée d'Arce 1 (DR)"/>
        <s v="Vallée d'Arce 2 (NY)"/>
        <s v="Vallée d'Arce 3 (NU)"/>
        <s v="La Bouleste"/>
        <s v="Haut de Conge 1"/>
        <s v="Haut de Conge 2"/>
        <s v="Haut de Conge 3"/>
        <s v="Charmoy"/>
        <s v="Coulonges (CL)"/>
        <s v="Coulonges (NT)"/>
        <s v="Coulonges (CP)"/>
        <s v="SdlL1"/>
        <s v="SdlL2"/>
        <s v="Pays d'Othe 1"/>
        <s v="Comes de l'Arce"/>
        <s v="Touvent"/>
        <s v="Plateau de Savernat 1"/>
        <s v="Plateau de Savernat 2"/>
        <s v="Voie des monts"/>
        <s v="Monts de Bagny 1"/>
        <s v="Monts de Bagny 2"/>
        <s v="Artois 1"/>
        <s v="Artois 2"/>
        <s v="Chemin de Grès"/>
        <s v="Inter deux bos (MET)"/>
        <s v="Haut de Comble (HC)"/>
        <s v="Le Pelon"/>
        <s v="Coteaux du Blaiseron"/>
        <s v="CDB Doux le vent"/>
        <s v="Evits et Josaphats"/>
        <s v="Remise Reclainville"/>
        <s v="Fierville"/>
        <s v="Plaine de Beaunay"/>
        <s v="Val au Moines 1"/>
        <s v="Val au Moines 2"/>
        <s v="Bougainville"/>
        <s v="Saint André"/>
        <s v="Fond de la Plaine"/>
        <s v="Bassigny"/>
        <s v="Les Clérimois"/>
        <s v="Plateau de Langres"/>
        <s v="Les Moulins de Boulay"/>
        <s v="Morlange"/>
        <s v="Renardières mont de Bezard"/>
        <s v="Zondrange"/>
        <s v="Noyers "/>
        <s v="Parc du Santerre (XSAN)"/>
        <s v="Le Catésis (CAT)"/>
        <s v="Seuil du Cambrésis- Ribecourt (RIB)"/>
        <s v="Basse Thiérache Nord 1 "/>
        <s v="Basse Thiérache Nord 2"/>
        <s v="Sources de l'Ancre 1 "/>
        <s v="Sources de l'Ancre 2"/>
        <s v="Boralex Solaire Les Cigalettes SAS (Montfort)"/>
        <s v="Boralex Solaire Lauragais SAS"/>
        <s v="Blendecques Elec"/>
        <s v="Cham Longe Repowering"/>
        <s v="PBF Blanches Fosses"/>
        <s v="Extension seuil de Bapaume XSB"/>
        <s v="Extension plaine d'Escrebieux XPE"/>
        <s v="Saint Christophe - Clé des champs"/>
        <s v="Peyrolles solaire"/>
        <s v="Bazougeais"/>
        <m/>
        <s v="La Grande Borne"/>
        <s v="Repowering Evit Et Josaphats"/>
        <s v="Repowering Reclainville"/>
        <s v="Bois des Fontaines"/>
        <s v="Repowering Bougainville"/>
        <n v="0" u="1"/>
      </sharedItems>
    </cacheField>
    <cacheField name="JAN [€/MWh]" numFmtId="165">
      <sharedItems containsString="0" containsBlank="1" containsNumber="1" minValue="45.900002703866321" maxValue="348.45426177351567" count="135">
        <n v="76.94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98.760087991535798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80.77000000000001"/>
        <n v="85.379573269736838"/>
        <n v="67.37"/>
        <n v="99.38436001226394"/>
        <n v="88.755481249266893"/>
        <n v="88.735044764687359"/>
        <n v="69.25"/>
        <n v="97.307916488794021"/>
        <n v="98.238601523446803"/>
        <n v="95.282295220588239"/>
        <n v="97.236185805000005"/>
        <n v="99.640170902808862"/>
        <n v="98.13759980713597"/>
        <n v="90.422970000000007"/>
        <n v="98.688882349114508"/>
        <n v="78.960000000000008"/>
        <n v="80.800000000000011"/>
        <n v="80.27000000000001"/>
        <n v="79.36"/>
        <n v="80.12"/>
        <n v="80.03"/>
        <n v="88.407889631298303"/>
        <n v="348.45426177351567"/>
        <n v="82.58"/>
        <n v="80.81"/>
        <n v="80.84"/>
        <n v="79.92"/>
        <n v="66.599999999999994"/>
        <n v="65.589999999999989"/>
        <n v="81.73"/>
        <n v="80.510000000000005"/>
        <n v="91.414199999999994" u="1"/>
        <n v="96.31490733759972" u="1"/>
        <n v="93.512517577464777" u="1"/>
        <n v="87.107083925000012" u="1"/>
        <n v="88.743560000000002" u="1"/>
        <n v="88.833920000000006" u="1"/>
        <n v="87.036784846901142" u="1"/>
        <n v="94.276713117228852" u="1"/>
        <n v="89.517559840949133" u="1"/>
        <n v="93.510654195485827" u="1"/>
        <n v="89.043919368835702" u="1"/>
        <n v="87.107041226064482" u="1"/>
        <n v="89.935597555501147" u="1"/>
        <n v="88.653925613789482" u="1"/>
        <n v="84.255523358997237" u="1"/>
        <n v="89.255661784615384" u="1"/>
        <n v="96.925834157870909" u="1"/>
        <n v="98.201239999999999" u="1"/>
        <n v="87.107040051565122" u="1"/>
        <n v="90.026759548800001" u="1"/>
        <n v="96.715218125669637" u="1"/>
        <n v="97.910754114285723" u="1"/>
        <n v="96.817076653954487" u="1"/>
        <n v="81.28" u="1"/>
        <n v="96.815720000000013" u="1"/>
        <n v="98.090800000000002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90.018715773584901" u="1"/>
        <n v="83.793833394736836" u="1"/>
        <n v="97.538511683590414" u="1"/>
        <n v="83.793813646634433" u="1"/>
        <n v="80.42" u="1"/>
        <n v="93.435215855999999" u="1"/>
        <n v="93.542590033500147" u="1"/>
        <n v="94.717359999999999" u="1"/>
        <n v="89.478753207547186" u="1"/>
        <n v="93.512633823529413" u="1"/>
        <n v="97.915866226816732" u="1"/>
        <n v="96.97636" u="1"/>
        <n v="89.024690718218153" u="1"/>
        <n v="93.511149549617727" u="1"/>
        <n v="87.086984304737157" u="1"/>
        <n v="89.350357407821235" u="1"/>
        <n v="88.020688845814973" u="1"/>
        <n v="95.500633582355036" u="1"/>
        <n v="86.765905366396382" u="1"/>
        <n v="89.327620470874919" u="1"/>
        <n v="89.195385133834023" u="1"/>
      </sharedItems>
    </cacheField>
    <cacheField name="FEB [€/MWh]" numFmtId="165">
      <sharedItems containsString="0" containsBlank="1" containsNumber="1" minValue="45.900002703866321" maxValue="348.45426177351567" count="134">
        <n v="78.150000000000006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98.760087991535798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81.740000000000009"/>
        <n v="85.379573269736838"/>
        <n v="99.38436001226394"/>
        <n v="88.755481249266893"/>
        <n v="88.735044764687359"/>
        <n v="76.61"/>
        <n v="97.307916488794021"/>
        <n v="98.238601523446803"/>
        <n v="95.282295220588239"/>
        <n v="97.236185805000005"/>
        <n v="99.640170902808862"/>
        <n v="98.13759980713597"/>
        <n v="90.422970000000007"/>
        <n v="98.688882349114508"/>
        <n v="79.930000000000007"/>
        <n v="81.77000000000001"/>
        <n v="81.240000000000009"/>
        <n v="80.33"/>
        <n v="81.09"/>
        <n v="81"/>
        <n v="88.407889631298303"/>
        <n v="348.45426177351567"/>
        <n v="83.55"/>
        <n v="81.78"/>
        <n v="81.81"/>
        <n v="80.89"/>
        <n v="71.459999999999994"/>
        <n v="70.449999999999989"/>
        <n v="82.7"/>
        <n v="81.48"/>
        <n v="91.414199999999994" u="1"/>
        <n v="82.25" u="1"/>
        <n v="96.31490733759972" u="1"/>
        <n v="93.512517577464777" u="1"/>
        <n v="87.107083925000012" u="1"/>
        <n v="88.743560000000002" u="1"/>
        <n v="88.833920000000006" u="1"/>
        <n v="87.036784846901142" u="1"/>
        <n v="94.276713117228852" u="1"/>
        <n v="89.517559840949133" u="1"/>
        <n v="93.510654195485827" u="1"/>
        <n v="89.043919368835702" u="1"/>
        <n v="87.107041226064482" u="1"/>
        <n v="89.935597555501147" u="1"/>
        <n v="88.653925613789482" u="1"/>
        <n v="84.255523358997237" u="1"/>
        <n v="89.255661784615384" u="1"/>
        <n v="96.925834157870909" u="1"/>
        <n v="98.201239999999999" u="1"/>
        <n v="87.107040051565122" u="1"/>
        <n v="90.026759548800001" u="1"/>
        <n v="96.715218125669637" u="1"/>
        <n v="97.910754114285723" u="1"/>
        <n v="96.817076653954487" u="1"/>
        <n v="96.815720000000013" u="1"/>
        <n v="98.090800000000002" u="1"/>
        <n v="81.39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90.018715773584901" u="1"/>
        <n v="83.793833394736836" u="1"/>
        <n v="97.538511683590414" u="1"/>
        <n v="83.793813646634433" u="1"/>
        <n v="93.435215855999999" u="1"/>
        <n v="93.542590033500147" u="1"/>
        <n v="94.717359999999999" u="1"/>
        <n v="89.478753207547186" u="1"/>
        <n v="93.512633823529413" u="1"/>
        <n v="97.915866226816732" u="1"/>
        <n v="96.97636" u="1"/>
        <n v="89.024690718218153" u="1"/>
        <n v="93.511149549617727" u="1"/>
        <n v="87.086984304737157" u="1"/>
        <n v="89.350357407821235" u="1"/>
        <n v="88.020688845814973" u="1"/>
        <n v="95.500633582355036" u="1"/>
        <n v="86.765905366396382" u="1"/>
        <n v="89.327620470874919" u="1"/>
        <n v="89.195385133834023" u="1"/>
      </sharedItems>
    </cacheField>
    <cacheField name="MAR [€/MWh]" numFmtId="165">
      <sharedItems containsString="0" containsBlank="1" containsNumber="1" minValue="45.900002703866321" maxValue="348.45426177351567" count="134">
        <n v="75.62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98.760087991535798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69.52000000000001"/>
        <n v="85.379573269736838"/>
        <n v="99.38436001226394"/>
        <n v="88.755481249266893"/>
        <n v="88.735044764687359"/>
        <n v="67.13"/>
        <n v="97.307916488794021"/>
        <n v="98.238601523446803"/>
        <n v="95.282295220588239"/>
        <n v="97.236185805000005"/>
        <n v="99.640170902808862"/>
        <n v="98.13759980713597"/>
        <n v="90.422970000000007"/>
        <n v="98.688882349114508"/>
        <n v="67.710000000000008"/>
        <n v="69.550000000000011"/>
        <n v="69.02000000000001"/>
        <n v="68.11"/>
        <n v="68.87"/>
        <n v="68.78"/>
        <n v="88.407889631298303"/>
        <n v="348.45426177351567"/>
        <n v="71.33"/>
        <n v="69.56"/>
        <n v="69.59"/>
        <n v="68.67"/>
        <n v="64.64"/>
        <n v="63.63"/>
        <n v="70.48"/>
        <n v="69.260000000000005"/>
        <n v="91.414199999999994" u="1"/>
        <n v="96.31490733759972" u="1"/>
        <n v="93.512517577464777" u="1"/>
        <n v="87.107083925000012" u="1"/>
        <n v="88.743560000000002" u="1"/>
        <n v="88.833920000000006" u="1"/>
        <n v="87.036784846901142" u="1"/>
        <n v="94.276713117228852" u="1"/>
        <n v="89.517559840949133" u="1"/>
        <n v="70.03" u="1"/>
        <n v="93.510654195485827" u="1"/>
        <n v="89.043919368835702" u="1"/>
        <n v="87.107041226064482" u="1"/>
        <n v="89.935597555501147" u="1"/>
        <n v="88.653925613789482" u="1"/>
        <n v="84.255523358997237" u="1"/>
        <n v="89.255661784615384" u="1"/>
        <n v="96.925834157870909" u="1"/>
        <n v="98.201239999999999" u="1"/>
        <n v="87.107040051565122" u="1"/>
        <n v="90.026759548800001" u="1"/>
        <n v="96.715218125669637" u="1"/>
        <n v="97.910754114285723" u="1"/>
        <n v="96.817076653954487" u="1"/>
        <n v="96.815720000000013" u="1"/>
        <n v="98.090800000000002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69.17" u="1"/>
        <n v="90.018715773584901" u="1"/>
        <n v="83.793833394736836" u="1"/>
        <n v="97.538511683590414" u="1"/>
        <n v="83.793813646634433" u="1"/>
        <n v="93.435215855999999" u="1"/>
        <n v="93.542590033500147" u="1"/>
        <n v="94.717359999999999" u="1"/>
        <n v="89.478753207547186" u="1"/>
        <n v="93.512633823529413" u="1"/>
        <n v="97.915866226816732" u="1"/>
        <n v="96.97636" u="1"/>
        <n v="89.024690718218153" u="1"/>
        <n v="93.511149549617727" u="1"/>
        <n v="87.086984304737157" u="1"/>
        <n v="89.350357407821235" u="1"/>
        <n v="88.020688845814973" u="1"/>
        <n v="95.500633582355036" u="1"/>
        <n v="86.765905366396382" u="1"/>
        <n v="89.327620470874919" u="1"/>
        <n v="89.195385133834023" u="1"/>
      </sharedItems>
    </cacheField>
    <cacheField name="APR [€/MWh]" numFmtId="165">
      <sharedItems containsString="0" containsBlank="1" containsNumber="1" minValue="45.900002703866321" maxValue="348.45426177351567" count="134">
        <n v="55.02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98.760087991535798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55.129999999999995"/>
        <n v="85.379573269736838"/>
        <n v="99.38436001226394"/>
        <n v="88.755481249266893"/>
        <n v="88.735044764687359"/>
        <n v="46.32"/>
        <n v="97.307916488794021"/>
        <n v="98.238601523446803"/>
        <n v="95.282295220588239"/>
        <n v="97.236185805000005"/>
        <n v="99.640170902808862"/>
        <n v="98.13759980713597"/>
        <n v="90.422970000000007"/>
        <n v="98.688882349114508"/>
        <n v="53.32"/>
        <n v="55.16"/>
        <n v="54.629999999999995"/>
        <n v="53.72"/>
        <n v="54.48"/>
        <n v="54.39"/>
        <n v="88.407889631298303"/>
        <n v="348.45426177351567"/>
        <n v="56.94"/>
        <n v="55.169999999999995"/>
        <n v="55.199999999999996"/>
        <n v="54.279999999999994"/>
        <n v="53"/>
        <n v="51.99"/>
        <n v="56.089999999999996"/>
        <n v="54.87"/>
        <n v="91.414199999999994" u="1"/>
        <n v="96.31490733759972" u="1"/>
        <n v="93.512517577464777" u="1"/>
        <n v="87.107083925000012" u="1"/>
        <n v="88.743560000000002" u="1"/>
        <n v="88.833920000000006" u="1"/>
        <n v="87.036784846901142" u="1"/>
        <n v="94.276713117228852" u="1"/>
        <n v="89.517559840949133" u="1"/>
        <n v="93.510654195485827" u="1"/>
        <n v="89.043919368835702" u="1"/>
        <n v="87.107041226064482" u="1"/>
        <n v="89.935597555501147" u="1"/>
        <n v="88.653925613789482" u="1"/>
        <n v="84.255523358997237" u="1"/>
        <n v="89.255661784615384" u="1"/>
        <n v="96.925834157870909" u="1"/>
        <n v="98.201239999999999" u="1"/>
        <n v="87.107040051565122" u="1"/>
        <n v="90.026759548800001" u="1"/>
        <n v="96.715218125669637" u="1"/>
        <n v="97.910754114285723" u="1"/>
        <n v="96.817076653954487" u="1"/>
        <n v="96.815720000000013" u="1"/>
        <n v="98.090800000000002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90.018715773584901" u="1"/>
        <n v="83.793833394736836" u="1"/>
        <n v="97.538511683590414" u="1"/>
        <n v="54.779999999999994" u="1"/>
        <n v="83.793813646634433" u="1"/>
        <n v="93.435215855999999" u="1"/>
        <n v="93.542590033500147" u="1"/>
        <n v="94.717359999999999" u="1"/>
        <n v="89.478753207547186" u="1"/>
        <n v="93.512633823529413" u="1"/>
        <n v="97.915866226816732" u="1"/>
        <n v="96.97636" u="1"/>
        <n v="89.024690718218153" u="1"/>
        <n v="93.511149549617727" u="1"/>
        <n v="87.086984304737157" u="1"/>
        <n v="89.350357407821235" u="1"/>
        <n v="55.64" u="1"/>
        <n v="88.020688845814973" u="1"/>
        <n v="95.500633582355036" u="1"/>
        <n v="86.765905366396382" u="1"/>
        <n v="89.327620470874919" u="1"/>
        <n v="89.195385133834023" u="1"/>
      </sharedItems>
    </cacheField>
    <cacheField name="MAY [€/MWh]" numFmtId="165">
      <sharedItems containsString="0" containsBlank="1" containsNumber="1" minValue="44" maxValue="348.45426177351567" count="133">
        <n v="50.17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98.760087991535798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45.809999999999995"/>
        <n v="85.379573269736838"/>
        <n v="99.38436001226394"/>
        <n v="88.755481249266893"/>
        <n v="88.735044764687359"/>
        <n v="97.307916488794021"/>
        <n v="98.238601523446803"/>
        <n v="95.282295220588239"/>
        <n v="97.236185805000005"/>
        <n v="99.640170902808862"/>
        <n v="98.13759980713597"/>
        <n v="90.422970000000007"/>
        <n v="98.688882349114508"/>
        <n v="44"/>
        <n v="45.839999999999996"/>
        <n v="45.309999999999995"/>
        <n v="44.4"/>
        <n v="45.16"/>
        <n v="45.07"/>
        <n v="88.407889631298303"/>
        <n v="348.45426177351567"/>
        <n v="47.62"/>
        <n v="45.849999999999994"/>
        <n v="45.879999999999995"/>
        <n v="44.959999999999994"/>
        <n v="45.63"/>
        <n v="44.620000000000005"/>
        <n v="46.769999999999996"/>
        <n v="45.55"/>
        <n v="91.414199999999994" u="1"/>
        <n v="96.31490733759972" u="1"/>
        <n v="93.512517577464777" u="1"/>
        <n v="87.107083925000012" u="1"/>
        <n v="88.743560000000002" u="1"/>
        <n v="88.833920000000006" u="1"/>
        <n v="87.036784846901142" u="1"/>
        <n v="94.276713117228852" u="1"/>
        <n v="89.517559840949133" u="1"/>
        <n v="93.510654195485827" u="1"/>
        <n v="89.043919368835702" u="1"/>
        <n v="87.107041226064482" u="1"/>
        <n v="89.935597555501147" u="1"/>
        <n v="88.653925613789482" u="1"/>
        <n v="84.255523358997237" u="1"/>
        <n v="89.255661784615384" u="1"/>
        <n v="96.925834157870909" u="1"/>
        <n v="98.201239999999999" u="1"/>
        <n v="87.107040051565122" u="1"/>
        <n v="90.026759548800001" u="1"/>
        <n v="96.715218125669637" u="1"/>
        <n v="97.910754114285723" u="1"/>
        <n v="96.817076653954487" u="1"/>
        <n v="46.32" u="1"/>
        <n v="96.815720000000013" u="1"/>
        <n v="98.090800000000002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90.018715773584901" u="1"/>
        <n v="83.793833394736836" u="1"/>
        <n v="97.538511683590414" u="1"/>
        <n v="83.793813646634433" u="1"/>
        <n v="45.459999999999994" u="1"/>
        <n v="93.435215855999999" u="1"/>
        <n v="93.542590033500147" u="1"/>
        <n v="94.717359999999999" u="1"/>
        <n v="89.478753207547186" u="1"/>
        <n v="93.512633823529413" u="1"/>
        <n v="97.915866226816732" u="1"/>
        <n v="96.97636" u="1"/>
        <n v="89.024690718218153" u="1"/>
        <n v="93.511149549617727" u="1"/>
        <n v="87.086984304737157" u="1"/>
        <n v="89.350357407821235" u="1"/>
        <n v="88.020688845814973" u="1"/>
        <n v="95.500633582355036" u="1"/>
        <n v="86.765905366396382" u="1"/>
        <n v="89.327620470874919" u="1"/>
        <n v="89.195385133834023" u="1"/>
      </sharedItems>
    </cacheField>
    <cacheField name="JUNE [€/MWh]" numFmtId="165">
      <sharedItems containsString="0" containsBlank="1" containsNumber="1" minValue="45.900002703866321" maxValue="348.45426177351567" count="134">
        <n v="52.32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98.760087991535798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50.96"/>
        <n v="85.379573269736838"/>
        <n v="99.38436001226394"/>
        <n v="88.755481249266893"/>
        <n v="88.735044764687359"/>
        <n v="97.307916488794021"/>
        <n v="98.238601523446803"/>
        <n v="95.282295220588239"/>
        <n v="97.236185805000005"/>
        <n v="99.640170902808862"/>
        <n v="98.13759980713597"/>
        <n v="90.422970000000007"/>
        <n v="98.688882349114508"/>
        <n v="49.150000000000006"/>
        <n v="50.99"/>
        <n v="50.46"/>
        <n v="49.550000000000004"/>
        <n v="50.31"/>
        <n v="50.220000000000006"/>
        <n v="88.407889631298303"/>
        <n v="348.45426177351567"/>
        <n v="52.77"/>
        <n v="51"/>
        <n v="51.03"/>
        <n v="50.11"/>
        <n v="49.5"/>
        <n v="48.49"/>
        <n v="51.92"/>
        <n v="50.7"/>
        <n v="49.36"/>
        <n v="91.414199999999994" u="1"/>
        <n v="96.31490733759972" u="1"/>
        <n v="93.512517577464777" u="1"/>
        <n v="87.107083925000012" u="1"/>
        <n v="88.743560000000002" u="1"/>
        <n v="88.833920000000006" u="1"/>
        <n v="87.036784846901142" u="1"/>
        <n v="94.276713117228852" u="1"/>
        <n v="89.517559840949133" u="1"/>
        <n v="93.510654195485827" u="1"/>
        <n v="89.043919368835702" u="1"/>
        <n v="87.107041226064482" u="1"/>
        <n v="89.935597555501147" u="1"/>
        <n v="88.653925613789482" u="1"/>
        <n v="84.255523358997237" u="1"/>
        <n v="89.255661784615384" u="1"/>
        <n v="96.925834157870909" u="1"/>
        <n v="98.201239999999999" u="1"/>
        <n v="51.470000000000006" u="1"/>
        <n v="87.107040051565122" u="1"/>
        <n v="90.026759548800001" u="1"/>
        <n v="96.715218125669637" u="1"/>
        <n v="97.910754114285723" u="1"/>
        <n v="96.817076653954487" u="1"/>
        <n v="96.815720000000013" u="1"/>
        <n v="98.090800000000002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90.018715773584901" u="1"/>
        <n v="83.793833394736836" u="1"/>
        <n v="97.538511683590414" u="1"/>
        <n v="83.793813646634433" u="1"/>
        <n v="50.61" u="1"/>
        <n v="93.435215855999999" u="1"/>
        <n v="93.542590033500147" u="1"/>
        <n v="94.717359999999999" u="1"/>
        <n v="89.478753207547186" u="1"/>
        <n v="93.512633823529413" u="1"/>
        <n v="97.915866226816732" u="1"/>
        <n v="96.97636" u="1"/>
        <n v="89.024690718218153" u="1"/>
        <n v="93.511149549617727" u="1"/>
        <n v="87.086984304737157" u="1"/>
        <n v="89.350357407821235" u="1"/>
        <n v="88.020688845814973" u="1"/>
        <n v="95.500633582355036" u="1"/>
        <n v="86.765905366396382" u="1"/>
        <n v="89.327620470874919" u="1"/>
        <n v="89.195385133834023" u="1"/>
      </sharedItems>
    </cacheField>
    <cacheField name="JULY [€/MWh]" numFmtId="165">
      <sharedItems containsString="0" containsBlank="1" containsNumber="1" minValue="45.900002703866321" maxValue="348.45426177351567" count="134">
        <n v="55.06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54.92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53.019999999999996"/>
        <n v="85.379573269736838"/>
        <n v="99.38436001226394"/>
        <n v="88.755481249266893"/>
        <n v="88.735044764687359"/>
        <n v="97.307916488794021"/>
        <n v="98.238601523446803"/>
        <n v="95.282295220588239"/>
        <n v="97.236185805000005"/>
        <n v="99.640170902808862"/>
        <n v="98.13759980713597"/>
        <n v="90.422970000000007"/>
        <n v="51.21"/>
        <n v="53.05"/>
        <n v="52.519999999999996"/>
        <n v="51.61"/>
        <n v="52.37"/>
        <n v="52.28"/>
        <n v="88.407889631298303"/>
        <n v="348.45426177351567"/>
        <n v="54.83"/>
        <n v="53.059999999999995"/>
        <n v="53.089999999999996"/>
        <n v="52.169999999999995"/>
        <n v="50.37"/>
        <n v="49.36"/>
        <n v="53.98"/>
        <n v="52.76"/>
        <n v="51.75"/>
        <n v="51.419999999999995"/>
        <n v="91.414199999999994" u="1"/>
        <n v="96.31490733759972" u="1"/>
        <n v="93.512517577464777" u="1"/>
        <n v="87.107083925000012" u="1"/>
        <n v="88.743560000000002" u="1"/>
        <n v="57.15" u="1"/>
        <n v="88.833920000000006" u="1"/>
        <n v="87.036784846901142" u="1"/>
        <n v="94.276713117228852" u="1"/>
        <n v="89.517559840949133" u="1"/>
        <n v="93.510654195485827" u="1"/>
        <n v="89.043919368835702" u="1"/>
        <n v="87.107041226064482" u="1"/>
        <n v="89.935597555501147" u="1"/>
        <n v="88.653925613789482" u="1"/>
        <n v="84.255523358997237" u="1"/>
        <n v="89.255661784615384" u="1"/>
        <n v="98.201239999999999" u="1"/>
        <n v="52.669999999999995" u="1"/>
        <n v="87.107040051565122" u="1"/>
        <n v="90.026759548800001" u="1"/>
        <n v="96.715218125669637" u="1"/>
        <n v="97.910754114285723" u="1"/>
        <n v="96.817076653954487" u="1"/>
        <n v="96.815720000000013" u="1"/>
        <n v="98.090800000000002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90.018715773584901" u="1"/>
        <n v="83.793833394736836" u="1"/>
        <n v="97.538511683590414" u="1"/>
        <n v="83.793813646634433" u="1"/>
        <n v="93.435215855999999" u="1"/>
        <n v="93.542590033500147" u="1"/>
        <n v="94.717359999999999" u="1"/>
        <n v="89.478753207547186" u="1"/>
        <n v="93.512633823529413" u="1"/>
        <n v="97.915866226816732" u="1"/>
        <n v="96.97636" u="1"/>
        <n v="53.53" u="1"/>
        <n v="89.024690718218153" u="1"/>
        <n v="93.511149549617727" u="1"/>
        <n v="87.086984304737157" u="1"/>
        <n v="89.350357407821235" u="1"/>
        <n v="88.020688845814973" u="1"/>
        <n v="95.500633582355036" u="1"/>
        <n v="86.765905366396382" u="1"/>
        <n v="89.327620470874919" u="1"/>
        <n v="89.195385133834023" u="1"/>
      </sharedItems>
    </cacheField>
    <cacheField name="AUG [€/MWh]" numFmtId="165">
      <sharedItems containsString="0" containsBlank="1" containsNumber="1" minValue="44.22" maxValue="348.45426177351567" count="134">
        <n v="47.19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52.49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49.3"/>
        <n v="85.379573269736838"/>
        <n v="99.38436001226394"/>
        <n v="88.755481249266893"/>
        <n v="88.735044764687359"/>
        <n v="97.307916488794021"/>
        <n v="98.238601523446803"/>
        <n v="95.282295220588239"/>
        <n v="97.236185805000005"/>
        <n v="99.640170902808862"/>
        <n v="98.13759980713597"/>
        <n v="90.422970000000007"/>
        <n v="47.49"/>
        <n v="49.33"/>
        <n v="48.8"/>
        <n v="47.89"/>
        <n v="48.65"/>
        <n v="48.56"/>
        <n v="88.407889631298303"/>
        <n v="348.45426177351567"/>
        <n v="51.11"/>
        <n v="49.339999999999996"/>
        <n v="49.37"/>
        <n v="48.449999999999996"/>
        <n v="45.23"/>
        <n v="44.22"/>
        <n v="50.26"/>
        <n v="49.04"/>
        <n v="48.03"/>
        <n v="47.699999999999996"/>
        <n v="91.414199999999994" u="1"/>
        <n v="96.31490733759972" u="1"/>
        <n v="93.512517577464777" u="1"/>
        <n v="87.107083925000012" u="1"/>
        <n v="88.743560000000002" u="1"/>
        <n v="57.15" u="1"/>
        <n v="88.833920000000006" u="1"/>
        <n v="87.036784846901142" u="1"/>
        <n v="94.276713117228852" u="1"/>
        <n v="89.517559840949133" u="1"/>
        <n v="93.510654195485827" u="1"/>
        <n v="89.043919368835702" u="1"/>
        <n v="87.107041226064482" u="1"/>
        <n v="89.935597555501147" u="1"/>
        <n v="88.653925613789482" u="1"/>
        <n v="84.255523358997237" u="1"/>
        <n v="89.255661784615384" u="1"/>
        <n v="98.201239999999999" u="1"/>
        <n v="87.107040051565122" u="1"/>
        <n v="90.026759548800001" u="1"/>
        <n v="96.715218125669637" u="1"/>
        <n v="97.910754114285723" u="1"/>
        <n v="96.817076653954487" u="1"/>
        <n v="96.815720000000013" u="1"/>
        <n v="98.090800000000002" u="1"/>
        <n v="49.81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90.018715773584901" u="1"/>
        <n v="83.793833394736836" u="1"/>
        <n v="97.538511683590414" u="1"/>
        <n v="83.793813646634433" u="1"/>
        <n v="93.435215855999999" u="1"/>
        <n v="93.542590033500147" u="1"/>
        <n v="94.717359999999999" u="1"/>
        <n v="48.949999999999996" u="1"/>
        <n v="89.478753207547186" u="1"/>
        <n v="93.512633823529413" u="1"/>
        <n v="97.915866226816732" u="1"/>
        <n v="96.97636" u="1"/>
        <n v="89.024690718218153" u="1"/>
        <n v="93.511149549617727" u="1"/>
        <n v="87.086984304737157" u="1"/>
        <n v="89.350357407821235" u="1"/>
        <n v="88.020688845814973" u="1"/>
        <n v="95.500633582355036" u="1"/>
        <n v="86.765905366396382" u="1"/>
        <n v="89.327620470874919" u="1"/>
        <n v="89.195385133834023" u="1"/>
      </sharedItems>
    </cacheField>
    <cacheField name="SEPT [€/MWh]" numFmtId="165">
      <sharedItems containsString="0" containsBlank="1" containsNumber="1" minValue="39.99" maxValue="348.45426177351567" count="134">
        <n v="39.99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50.314999999999998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47.18"/>
        <n v="85.379573269736838"/>
        <n v="99.38436001226394"/>
        <n v="88.755481249266893"/>
        <n v="88.735044764687359"/>
        <n v="97.307916488794021"/>
        <n v="98.238601523446803"/>
        <n v="95.282295220588239"/>
        <n v="97.236185805000005"/>
        <n v="99.640170902808862"/>
        <n v="98.13759980713597"/>
        <n v="90.422970000000007"/>
        <n v="45.370000000000005"/>
        <n v="47.21"/>
        <n v="46.68"/>
        <n v="45.77"/>
        <n v="46.53"/>
        <n v="46.440000000000005"/>
        <n v="88.407889631298303"/>
        <n v="348.45426177351567"/>
        <n v="48.99"/>
        <n v="47.22"/>
        <n v="47.25"/>
        <n v="46.33"/>
        <n v="43.05"/>
        <n v="42.04"/>
        <n v="48.14"/>
        <n v="46.92"/>
        <n v="45.910000000000004"/>
        <n v="45.58"/>
        <n v="91.414199999999994" u="1"/>
        <n v="96.31490733759972" u="1"/>
        <n v="93.512517577464777" u="1"/>
        <n v="87.107083925000012" u="1"/>
        <n v="88.743560000000002" u="1"/>
        <n v="57.15" u="1"/>
        <n v="88.833920000000006" u="1"/>
        <n v="87.036784846901142" u="1"/>
        <n v="94.276713117228852" u="1"/>
        <n v="89.517559840949133" u="1"/>
        <n v="93.510654195485827" u="1"/>
        <n v="89.043919368835702" u="1"/>
        <n v="87.107041226064482" u="1"/>
        <n v="89.935597555501147" u="1"/>
        <n v="88.653925613789482" u="1"/>
        <n v="84.255523358997237" u="1"/>
        <n v="89.255661784615384" u="1"/>
        <n v="98.201239999999999" u="1"/>
        <n v="87.107040051565122" u="1"/>
        <n v="90.026759548800001" u="1"/>
        <n v="96.715218125669637" u="1"/>
        <n v="97.910754114285723" u="1"/>
        <n v="96.817076653954487" u="1"/>
        <n v="46.83" u="1"/>
        <n v="96.815720000000013" u="1"/>
        <n v="98.090800000000002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90.018715773584901" u="1"/>
        <n v="83.793833394736836" u="1"/>
        <n v="97.538511683590414" u="1"/>
        <n v="83.793813646634433" u="1"/>
        <n v="93.435215855999999" u="1"/>
        <n v="93.542590033500147" u="1"/>
        <n v="94.717359999999999" u="1"/>
        <n v="89.478753207547186" u="1"/>
        <n v="93.512633823529413" u="1"/>
        <n v="97.915866226816732" u="1"/>
        <n v="96.97636" u="1"/>
        <n v="89.024690718218153" u="1"/>
        <n v="93.511149549617727" u="1"/>
        <n v="87.086984304737157" u="1"/>
        <n v="89.350357407821235" u="1"/>
        <n v="88.020688845814973" u="1"/>
        <n v="47.690000000000005" u="1"/>
        <n v="95.500633582355036" u="1"/>
        <n v="86.765905366396382" u="1"/>
        <n v="89.327620470874919" u="1"/>
        <n v="89.195385133834023" u="1"/>
      </sharedItems>
    </cacheField>
    <cacheField name="OCT [€/MWh]" numFmtId="165">
      <sharedItems containsString="0" containsBlank="1" containsNumber="1" minValue="39.46" maxValue="348.45426177351567" count="134">
        <n v="39.46"/>
        <n v="95.282176774647866"/>
        <n v="45.900023635074447"/>
        <n v="45.900002703866321"/>
        <n v="47.500005608436879"/>
        <n v="47.499991211189489"/>
        <n v="47.500019754985502"/>
        <n v="47.499994822161973"/>
        <m/>
        <n v="90.944762953846151"/>
        <n v="49.000005125550352"/>
        <n v="52.564999999999998"/>
        <n v="98.633000848255989"/>
        <n v="98.811570000000003"/>
        <n v="98.647890000000004"/>
        <n v="98.649272327684699"/>
        <n v="95.203412172"/>
        <n v="91.7304532056"/>
        <n v="93.144149999999996"/>
        <n v="90.515039999999999"/>
        <n v="91.722257207547159"/>
        <n v="91.640305134802603"/>
        <n v="91.637566035137127"/>
        <n v="91.21161724829777"/>
        <n v="91.041250625698325"/>
        <n v="90.72901346047702"/>
        <n v="97.592121647873412"/>
        <n v="95.280278129464136"/>
        <n v="95.280782857827631"/>
        <n v="99.768855727125029"/>
        <n v="99.947100000000006"/>
        <n v="100.05963"/>
        <n v="99.763646871428577"/>
        <n v="97.89918126042943"/>
        <n v="90.883345609474304"/>
        <n v="96.060834182196331"/>
        <n v="95.312818330946868"/>
        <n v="91.172076226415101"/>
        <n v="91.018083408072755"/>
        <n v="90.709420921052953"/>
        <n v="90.331639345524536"/>
        <n v="88.683895317111421"/>
        <n v="89.686419013215854"/>
        <n v="88.755524756250011"/>
        <n v="88.75548005254096"/>
        <n v="85.850000394675476"/>
        <n v="85.379553147915374"/>
        <n v="46.379999999999995"/>
        <n v="85.379573269736838"/>
        <n v="99.38436001226394"/>
        <n v="88.755481249266893"/>
        <n v="88.735044764687359"/>
        <n v="97.307916488794021"/>
        <n v="45.35"/>
        <n v="95.282295220588239"/>
        <n v="97.236185805000005"/>
        <n v="99.640170902808862"/>
        <n v="98.13759980713597"/>
        <n v="90.422970000000007"/>
        <n v="44.57"/>
        <n v="46.41"/>
        <n v="45.879999999999995"/>
        <n v="44.97"/>
        <n v="45.73"/>
        <n v="45.64"/>
        <n v="88.407889631298303"/>
        <n v="348.45426177351567"/>
        <n v="48.19"/>
        <n v="46.419999999999995"/>
        <n v="46.449999999999996"/>
        <n v="45.529999999999994"/>
        <n v="43.6"/>
        <n v="42.59"/>
        <n v="47.339999999999996"/>
        <n v="46.12"/>
        <n v="45.11"/>
        <n v="44.779999999999994"/>
        <n v="91.414199999999994" u="1"/>
        <n v="46.029999999999994" u="1"/>
        <n v="96.31490733759972" u="1"/>
        <n v="93.512517577464777" u="1"/>
        <n v="87.107083925000012" u="1"/>
        <n v="88.743560000000002" u="1"/>
        <n v="57.15" u="1"/>
        <n v="88.833920000000006" u="1"/>
        <n v="87.036784846901142" u="1"/>
        <n v="94.276713117228852" u="1"/>
        <n v="89.517559840949133" u="1"/>
        <n v="93.510654195485827" u="1"/>
        <n v="89.043919368835702" u="1"/>
        <n v="87.107041226064482" u="1"/>
        <n v="89.935597555501147" u="1"/>
        <n v="88.653925613789482" u="1"/>
        <n v="46.89" u="1"/>
        <n v="84.255523358997237" u="1"/>
        <n v="89.255661784615384" u="1"/>
        <n v="98.201239999999999" u="1"/>
        <n v="87.107040051565122" u="1"/>
        <n v="90.026759548800001" u="1"/>
        <n v="96.715218125669637" u="1"/>
        <n v="97.910754114285723" u="1"/>
        <n v="96.817076653954487" u="1"/>
        <n v="96.815720000000013" u="1"/>
        <n v="98.090800000000002" u="1"/>
        <n v="97.78957144322591" u="1"/>
        <n v="95.779560248743792" u="1"/>
        <n v="96.801107381866089" u="1"/>
        <n v="96.855951005387055" u="1"/>
        <n v="96.715386933333335" u="1"/>
        <n v="89.938285782347819" u="1"/>
        <n v="68.099999999999994" u="1"/>
        <n v="91.052759999999992" u="1"/>
        <n v="96.414033166706346" u="1"/>
        <n v="95.430235140000008" u="1"/>
        <n v="90.018715773584901" u="1"/>
        <n v="83.793833394736836" u="1"/>
        <n v="97.538511683590414" u="1"/>
        <n v="83.793813646634433" u="1"/>
        <n v="93.435215855999999" u="1"/>
        <n v="93.542590033500147" u="1"/>
        <n v="94.717359999999999" u="1"/>
        <n v="89.478753207547186" u="1"/>
        <n v="93.512633823529413" u="1"/>
        <n v="97.915866226816732" u="1"/>
        <n v="96.97636" u="1"/>
        <n v="89.024690718218153" u="1"/>
        <n v="93.511149549617727" u="1"/>
        <n v="87.086984304737157" u="1"/>
        <n v="89.350357407821235" u="1"/>
        <n v="88.020688845814973" u="1"/>
        <n v="95.500633582355036" u="1"/>
        <n v="86.765905366396382" u="1"/>
        <n v="89.327620470874919" u="1"/>
        <n v="89.195385133834023" u="1"/>
      </sharedItems>
    </cacheField>
    <cacheField name="NOV [€/MWh]" numFmtId="165">
      <sharedItems containsString="0" containsBlank="1" containsNumber="1" minValue="45.900002703866321" maxValue="356.46870979430651" count="135">
        <n v="59.23"/>
        <n v="97.473666840464773"/>
        <n v="45.900023635074447"/>
        <n v="45.900002703866321"/>
        <n v="47.500005608436879"/>
        <n v="47.499991211189489"/>
        <n v="47.500019754985502"/>
        <n v="47.499994822161973"/>
        <m/>
        <n v="93.036492501784608"/>
        <n v="49.000005125550352"/>
        <n v="57.79"/>
        <n v="100.90155986776588"/>
        <n v="101.08423611000001"/>
        <n v="100.91679147000001"/>
        <n v="100.91820559122145"/>
        <n v="97.393090651956001"/>
        <n v="93.840253629328799"/>
        <n v="95.286465449999994"/>
        <n v="92.596885920000005"/>
        <n v="93.831869123320743"/>
        <n v="93.748032152903065"/>
        <n v="93.745230053945278"/>
        <n v="93.309484445008621"/>
        <n v="93.135199390089383"/>
        <n v="92.815780770067988"/>
        <n v="99.836740445774495"/>
        <n v="97.471724526441818"/>
        <n v="97.472240863557673"/>
        <n v="102.06353940884891"/>
        <n v="102.2458833"/>
        <n v="102.36100148999999"/>
        <n v="102.05821074947143"/>
        <n v="100.15086242941931"/>
        <n v="92.973662558492208"/>
        <n v="98.27023336838684"/>
        <n v="97.505013152558647"/>
        <n v="93.269033979622648"/>
        <n v="93.111499326458429"/>
        <n v="92.795737602237168"/>
        <n v="92.409267050471598"/>
        <n v="90.72362490940499"/>
        <n v="91.749206650519824"/>
        <n v="90.796901825643758"/>
        <n v="90.796856093749398"/>
        <n v="87.824550403753008"/>
        <n v="87.343282870317424"/>
        <n v="65.17"/>
        <n v="87.343303454940781"/>
        <n v="101.67020029254601"/>
        <n v="90.796857318000036"/>
        <n v="90.775950794275161"/>
        <n v="99.545998568036282"/>
        <n v="59.09"/>
        <n v="97.473788010661764"/>
        <n v="99.472618078515012"/>
        <n v="101.93189483357347"/>
        <n v="100.39476460270009"/>
        <n v="92.50269831"/>
        <n v="63.36"/>
        <n v="65.2"/>
        <n v="64.67"/>
        <n v="63.76"/>
        <n v="64.52"/>
        <n v="64.429999999999993"/>
        <n v="90.44127109281817"/>
        <n v="356.46870979430651"/>
        <n v="66.97999999999999"/>
        <n v="65.209999999999994"/>
        <n v="65.239999999999995"/>
        <n v="64.319999999999993"/>
        <n v="53.5"/>
        <n v="52.49"/>
        <n v="66.13"/>
        <n v="64.91"/>
        <n v="63.9"/>
        <n v="63.569999999999993"/>
        <n v="65.22999999999999"/>
        <n v="93.53302145772119" u="1"/>
        <n v="90.236541581052236" u="1"/>
        <n v="100.2705944933746" u="1"/>
        <n v="102.014432" u="1"/>
        <n v="65.679999999999993" u="1"/>
        <n v="100.8554144" u="1"/>
        <n v="92.585678346946878" u="1"/>
        <n v="90.591367282000007" u="1"/>
        <n v="57.15" u="1"/>
        <n v="99.320658925649241" u="1"/>
        <n v="93.535817213641735" u="1"/>
        <n v="92.605676143589136" u="1"/>
        <n v="99.610742658693539" u="1"/>
        <n v="92.924371704134089" u="1"/>
        <n v="92.200082638341058" u="1"/>
        <n v="90.591322875107068" u="1"/>
        <n v="87.62574429335713" u="1"/>
        <n v="93.057903335849076" u="1"/>
        <n v="90.57046367692665" u="1"/>
        <n v="101.83250087588939" u="1"/>
        <n v="101.70115430095494" u="1"/>
        <n v="95.070767999999987" u="1"/>
        <n v="101.82718427885715" u="1"/>
        <n v="91.541516399647577" u="1"/>
        <n v="87.145566192499814" u="1"/>
        <n v="90.518256240777191" u="1"/>
        <n v="101.44005215093404" u="1"/>
        <n v="92.387276800000009" u="1"/>
        <n v="100.58382685069643" u="1"/>
        <n v="87.145586730526304" u="1"/>
        <n v="64.819999999999993" u="1"/>
        <n v="68.099999999999994" u="1"/>
        <n v="97.172624490239997" u="1"/>
        <n v="100.16750363110371" u="1"/>
        <n v="100.68975972011266" u="1"/>
        <n v="92.900725289709911" u="1"/>
        <n v="97.251080363305263" u="1"/>
        <n v="90.59132165362773" u="1"/>
        <n v="92.293302400000002" u="1"/>
        <n v="97.253018280563367" u="1"/>
        <n v="97.284293634840154" u="1"/>
        <n v="98.047781641918007" u="1"/>
        <n v="93.619464404528301" u="1"/>
        <n v="100.68834880000001" u="1"/>
        <n v="93.098262234587096" u="1"/>
        <n v="102.12928959999999" u="1"/>
        <n v="100.58400241066667" u="1"/>
        <n v="92.76320053918738" u="1"/>
        <n v="97.251595531602433" u="1"/>
        <n v="94.694870399999985" u="1"/>
        <n v="97.253139176470583" u="1"/>
        <n v="99.247444545600004" u="1"/>
        <n v="92.825888255999999" u="1"/>
        <n v="98.506054399999996" u="1"/>
        <n v="100.67315167714074" u="1"/>
        <n v="93.627829930752" u="1"/>
        <n v="100.73018904560254" u="1"/>
      </sharedItems>
    </cacheField>
    <cacheField name="DEC [€/MWh]" numFmtId="165">
      <sharedItems containsString="0" containsBlank="1" containsNumber="1" minValue="45.900002703866321" maxValue="356.46870979430651" count="135">
        <n v="63.38"/>
        <n v="97.473666840464773"/>
        <n v="45.900023635074447"/>
        <n v="45.900002703866321"/>
        <n v="47.500005608436879"/>
        <n v="47.499991211189489"/>
        <n v="47.500019754985502"/>
        <n v="47.499994822161973"/>
        <m/>
        <n v="93.036492501784608"/>
        <n v="49.000005125550352"/>
        <n v="62.370000000000005"/>
        <n v="100.90155986776588"/>
        <n v="101.08423611000001"/>
        <n v="100.91679147000001"/>
        <n v="100.91820559122145"/>
        <n v="97.393090651956001"/>
        <n v="93.840253629328799"/>
        <n v="95.286465449999994"/>
        <n v="92.596885920000005"/>
        <n v="93.831869123320743"/>
        <n v="93.748032152903065"/>
        <n v="93.745230053945278"/>
        <n v="93.309484445008621"/>
        <n v="93.135199390089383"/>
        <n v="92.815780770067988"/>
        <n v="99.836740445774495"/>
        <n v="97.471724526441818"/>
        <n v="97.472240863557673"/>
        <n v="102.06353940884891"/>
        <n v="102.2458833"/>
        <n v="102.36100148999999"/>
        <n v="102.05821074947143"/>
        <n v="100.15086242941931"/>
        <n v="92.973662558492208"/>
        <n v="98.27023336838684"/>
        <n v="97.505013152558647"/>
        <n v="93.269033979622648"/>
        <n v="93.111499326458429"/>
        <n v="92.795737602237168"/>
        <n v="92.409267050471598"/>
        <n v="90.72362490940499"/>
        <n v="91.749206650519824"/>
        <n v="90.796901825643758"/>
        <n v="90.796856093749398"/>
        <n v="87.824550403753008"/>
        <n v="87.343282870317424"/>
        <n v="76.600000000000009"/>
        <n v="87.343303454940781"/>
        <n v="101.67020029254601"/>
        <n v="90.796857318000036"/>
        <n v="90.775950794275161"/>
        <n v="99.545998568036282"/>
        <n v="64.239999999999995"/>
        <n v="97.473788010661764"/>
        <n v="99.472618078515012"/>
        <n v="101.93189483357347"/>
        <n v="60.16"/>
        <n v="92.50269831"/>
        <n v="74.790000000000006"/>
        <n v="76.63000000000001"/>
        <n v="76.100000000000009"/>
        <n v="75.19"/>
        <n v="75.95"/>
        <n v="75.86"/>
        <n v="90.44127109281817"/>
        <n v="356.46870979430651"/>
        <n v="78.41"/>
        <n v="76.64"/>
        <n v="76.67"/>
        <n v="75.75"/>
        <n v="60.07"/>
        <n v="59.06"/>
        <n v="77.56"/>
        <n v="76.34"/>
        <n v="75.33"/>
        <n v="75"/>
        <n v="76.66"/>
        <n v="93.53302145772119" u="1"/>
        <n v="77.11" u="1"/>
        <n v="90.236541581052236" u="1"/>
        <n v="100.2705944933746" u="1"/>
        <n v="102.014432" u="1"/>
        <n v="100.8554144" u="1"/>
        <n v="92.585678346946878" u="1"/>
        <n v="90.591367282000007" u="1"/>
        <n v="57.15" u="1"/>
        <n v="99.320658925649241" u="1"/>
        <n v="93.535817213641735" u="1"/>
        <n v="92.605676143589136" u="1"/>
        <n v="99.610742658693539" u="1"/>
        <n v="92.924371704134089" u="1"/>
        <n v="92.200082638341058" u="1"/>
        <n v="90.591322875107068" u="1"/>
        <n v="87.62574429335713" u="1"/>
        <n v="93.057903335849076" u="1"/>
        <n v="90.57046367692665" u="1"/>
        <n v="101.83250087588939" u="1"/>
        <n v="101.70115430095494" u="1"/>
        <n v="95.070767999999987" u="1"/>
        <n v="101.82718427885715" u="1"/>
        <n v="91.541516399647577" u="1"/>
        <n v="87.145566192499814" u="1"/>
        <n v="90.518256240777191" u="1"/>
        <n v="76.25" u="1"/>
        <n v="101.44005215093404" u="1"/>
        <n v="92.387276800000009" u="1"/>
        <n v="100.58382685069643" u="1"/>
        <n v="87.145586730526304" u="1"/>
        <n v="68.099999999999994" u="1"/>
        <n v="97.172624490239997" u="1"/>
        <n v="100.16750363110371" u="1"/>
        <n v="100.68975972011266" u="1"/>
        <n v="92.900725289709911" u="1"/>
        <n v="97.251080363305263" u="1"/>
        <n v="90.59132165362773" u="1"/>
        <n v="92.293302400000002" u="1"/>
        <n v="97.253018280563367" u="1"/>
        <n v="97.284293634840154" u="1"/>
        <n v="98.047781641918007" u="1"/>
        <n v="93.619464404528301" u="1"/>
        <n v="100.68834880000001" u="1"/>
        <n v="93.098262234587096" u="1"/>
        <n v="102.12928959999999" u="1"/>
        <n v="100.58400241066667" u="1"/>
        <n v="92.76320053918738" u="1"/>
        <n v="97.251595531602433" u="1"/>
        <n v="94.694870399999985" u="1"/>
        <n v="97.253139176470583" u="1"/>
        <n v="99.247444545600004" u="1"/>
        <n v="92.825888255999999" u="1"/>
        <n v="98.506054399999996" u="1"/>
        <n v="100.67315167714074" u="1"/>
        <n v="93.627829930752" u="1"/>
        <n v="100.7301890456025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">
  <r>
    <x v="0"/>
    <x v="0"/>
    <n v="1792924"/>
    <n v="1561822"/>
    <n v="2611652"/>
    <n v="2064698"/>
    <n v="1086318"/>
    <n v="1254877"/>
    <n v="699545"/>
    <n v="618165"/>
    <n v="1630918"/>
    <n v="2045130"/>
    <n v="2155844"/>
    <n v="2126339"/>
    <n v="1882625"/>
    <n v="1072098"/>
    <n v="1728406"/>
    <n v="1463369"/>
    <n v="1114826"/>
    <n v="1205330"/>
    <n v="1157172"/>
    <n v="1111594"/>
    <n v="1633166"/>
    <n v="1775520"/>
    <n v="1003271"/>
    <n v="1596738"/>
    <n v="2158684"/>
    <n v="1923957"/>
    <n v="2070751"/>
    <n v="2064192"/>
    <n v="1626251"/>
    <n v="1150410"/>
    <n v="1002161"/>
    <n v="1327329"/>
    <n v="616357"/>
    <n v="2814757"/>
    <n v="1165828"/>
    <n v="1114954"/>
    <n v="1789404"/>
    <n v="775965"/>
    <n v="2151107"/>
    <n v="1398045"/>
    <n v="1510875"/>
    <n v="1140679"/>
    <n v="735702"/>
    <n v="1255489"/>
    <n v="1924625"/>
    <n v="2200116"/>
    <n v="1624683"/>
    <n v="1131107"/>
    <n v="894720"/>
    <n v="1281015"/>
    <n v="1653481"/>
    <n v="1139482"/>
    <n v="1448960"/>
    <n v="903824"/>
    <n v="1311624"/>
    <n v="1094665"/>
    <n v="1129250"/>
    <n v="1239901"/>
    <n v="1162023"/>
    <n v="1687748"/>
    <n v="1576691"/>
    <n v="2370593"/>
    <n v="2233372"/>
    <n v="1740714"/>
    <n v="1593610"/>
    <n v="879670"/>
    <n v="617450"/>
    <n v="661981"/>
    <n v="1062400"/>
    <n v="1103352"/>
    <n v="1152675"/>
    <n v="1682878"/>
    <n v="1131665"/>
    <n v="1452814"/>
    <n v="1166327"/>
    <n v="1442818"/>
    <n v="1597127"/>
    <n v="499191"/>
    <n v="1013246"/>
    <n v="717588"/>
    <n v="689400"/>
    <n v="1425304"/>
    <n v="2239525"/>
    <n v="1471552"/>
    <n v="1779195"/>
    <n v="1685068"/>
    <n v="2120015"/>
    <n v="1115294"/>
    <n v="1050483"/>
    <n v="828179"/>
    <n v="843702"/>
    <n v="664946"/>
    <n v="982566"/>
    <n v="2336040"/>
    <n v="1100635"/>
    <n v="2394515"/>
    <n v="1710663"/>
    <n v="1311778"/>
    <n v="2123241"/>
    <n v="1874891"/>
    <n v="1327450"/>
    <n v="817360"/>
    <n v="825186"/>
    <n v="1119442"/>
    <n v="1138592"/>
    <n v="1527492"/>
    <n v="2159233"/>
    <n v="1821741"/>
    <n v="1108767"/>
    <n v="1382101"/>
    <n v="1505988"/>
    <n v="1834810"/>
    <n v="1795319"/>
    <n v="1110665"/>
    <n v="685481"/>
    <n v="1140210"/>
    <n v="1341593"/>
    <n v="1538206"/>
    <n v="1921004"/>
    <n v="1855551"/>
    <n v="1117627"/>
    <n v="1882103"/>
    <n v="1825775"/>
    <n v="1491878"/>
    <n v="1318088"/>
    <n v="1234441"/>
    <n v="773638"/>
    <n v="814016"/>
    <n v="1386439"/>
    <n v="1767476"/>
    <n v="1600947"/>
    <n v="1954382"/>
    <n v="2290700"/>
    <n v="1860151"/>
    <n v="2207103"/>
    <n v="1280175"/>
    <n v="1359524"/>
    <n v="1048035.0000000001"/>
    <n v="1307982"/>
    <n v="498202"/>
    <n v="973703"/>
    <n v="1615918"/>
    <n v="1954279"/>
    <n v="1352651"/>
    <n v="1449854"/>
    <n v="1541635"/>
    <n v="1960814"/>
    <n v="1686039"/>
    <n v="1707008"/>
    <n v="813418"/>
    <n v="887834"/>
    <n v="1554628"/>
    <n v="882876"/>
    <n v="1650498"/>
    <n v="1396722"/>
    <n v="2534702.6669999999"/>
    <n v="1680604"/>
    <n v="1515181"/>
    <n v="1718887"/>
    <n v="1639909"/>
    <n v="2322927"/>
    <n v="903840"/>
    <n v="806200"/>
    <n v="1123480"/>
    <n v="1101040"/>
    <n v="1089550"/>
    <n v="1481490"/>
    <n v="1287030"/>
    <n v="1383490"/>
    <n v="1682780"/>
    <n v="1483670"/>
    <n v="1266510"/>
    <n v="1581458"/>
    <n v="974890"/>
    <n v="1385119.83"/>
    <n v="1097749"/>
    <n v="781844.33"/>
    <n v="1447550"/>
    <n v="1686285"/>
    <n v="1466061"/>
    <n v="1803967"/>
    <n v="925472"/>
    <n v="1887419"/>
    <n v="1834801"/>
    <n v="842284"/>
    <n v="569602"/>
    <n v="390883"/>
    <n v="637534"/>
  </r>
  <r>
    <x v="1"/>
    <x v="1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0918"/>
    <n v="762682"/>
    <n v="873203"/>
    <n v="705350"/>
    <n v="1086235"/>
    <n v="922847"/>
    <n v="317038"/>
    <n v="596233"/>
    <n v="471959"/>
    <n v="458515"/>
    <n v="903633"/>
    <n v="1361931"/>
    <n v="973195"/>
    <n v="1126428"/>
    <n v="1053990"/>
    <n v="1276207"/>
    <n v="699186"/>
    <n v="861768"/>
    <n v="532196"/>
    <n v="529606"/>
    <n v="464233"/>
    <n v="584910"/>
    <n v="1453442"/>
    <n v="698520"/>
    <n v="1500705"/>
    <n v="1010837"/>
    <n v="812517"/>
    <n v="1355899"/>
    <n v="1200767"/>
    <n v="956630"/>
    <n v="438977"/>
    <n v="497897"/>
    <n v="597225"/>
    <n v="715013"/>
    <n v="952133"/>
    <n v="1297542"/>
    <n v="1101670"/>
    <n v="676461"/>
    <n v="811913"/>
    <n v="941855"/>
    <n v="1052740"/>
    <n v="925506"/>
    <n v="680202"/>
    <n v="435263"/>
    <n v="607312"/>
    <n v="824363"/>
    <n v="1105941"/>
    <n v="1229140"/>
    <n v="1131893"/>
    <n v="678123"/>
    <n v="1135706"/>
    <n v="978824"/>
    <n v="866651"/>
    <n v="756469"/>
    <n v="737228"/>
    <n v="441028"/>
    <n v="521254"/>
    <n v="895304"/>
    <n v="1132644"/>
    <n v="989169"/>
    <n v="1097668"/>
    <n v="1355872"/>
    <n v="1136238"/>
    <n v="1333587"/>
    <n v="712334"/>
    <n v="1006794"/>
    <n v="755166"/>
    <n v="827814"/>
    <n v="335004"/>
    <n v="663169"/>
    <n v="1093482"/>
    <n v="1189128"/>
    <n v="781055"/>
    <n v="809728"/>
    <n v="898927"/>
    <n v="1137435"/>
    <n v="1072164"/>
    <n v="1042439.0000000001"/>
    <n v="564558"/>
    <n v="694737"/>
    <n v="780019"/>
    <n v="492634"/>
    <n v="1035534.0000000001"/>
    <n v="717301"/>
    <n v="1592301.6666999999"/>
    <n v="1018806"/>
    <n v="889738"/>
    <n v="1035438.0000000001"/>
    <n v="1046368.9999999999"/>
    <n v="1476156"/>
    <n v="521345"/>
    <n v="516370"/>
    <n v="720520"/>
    <n v="723600"/>
    <n v="699370"/>
    <n v="908770"/>
    <n v="835950"/>
    <n v="796970"/>
    <n v="1192890"/>
    <n v="904130"/>
    <n v="737060"/>
    <n v="994809"/>
    <n v="593800"/>
    <n v="857953.83"/>
    <n v="697071"/>
    <n v="480740.67"/>
    <n v="899570"/>
    <n v="1021480"/>
    <n v="847924"/>
    <n v="1118641"/>
    <n v="507893"/>
    <n v="1192257"/>
    <n v="1272051"/>
    <n v="697181"/>
    <n v="443945"/>
    <n v="267468"/>
    <n v="262949"/>
  </r>
  <r>
    <x v="2"/>
    <x v="2"/>
    <m/>
    <m/>
    <m/>
    <m/>
    <m/>
    <m/>
    <m/>
    <m/>
    <m/>
    <m/>
    <m/>
    <m/>
    <n v="1045174"/>
    <n v="708827"/>
    <n v="652257"/>
    <n v="467310"/>
    <n v="293581"/>
    <n v="423885"/>
    <n v="379573"/>
    <n v="422651"/>
    <n v="588119"/>
    <n v="802236"/>
    <n v="391628"/>
    <n v="587875"/>
    <n v="1038574"/>
    <n v="502254"/>
    <n v="534399"/>
    <n v="386038"/>
    <n v="467902"/>
    <n v="265524"/>
    <n v="387513"/>
    <n v="279632"/>
    <n v="249609"/>
    <n v="545113"/>
    <n v="622939"/>
    <n v="622374"/>
    <n v="484627"/>
    <n v="571531"/>
    <n v="824043"/>
    <n v="552844"/>
    <n v="626716"/>
    <n v="182766"/>
    <n v="222547"/>
    <n v="545010"/>
    <n v="371535"/>
    <n v="729274"/>
    <n v="879371"/>
    <n v="954371"/>
    <n v="1187040"/>
    <n v="856511"/>
    <n v="736700"/>
    <n v="207721"/>
    <n v="630996"/>
    <n v="324527"/>
    <n v="589503"/>
    <n v="391776"/>
    <n v="321024"/>
    <n v="184753"/>
    <n v="677928"/>
    <n v="1003285"/>
    <n v="1241448"/>
    <n v="700469"/>
    <n v="1135335"/>
    <n v="414485"/>
    <n v="251675"/>
    <n v="291397"/>
    <n v="418840"/>
    <n v="411129"/>
    <n v="414327"/>
    <n v="513277.00000000006"/>
    <n v="714757"/>
    <n v="513888.00000000006"/>
    <n v="796346"/>
    <n v="413320"/>
    <n v="731474"/>
    <n v="286767"/>
    <n v="442008"/>
    <n v="237994"/>
    <n v="434543"/>
    <n v="296004"/>
    <n v="397097"/>
    <n v="416268"/>
    <n v="1296130"/>
    <n v="711639"/>
    <n v="430489"/>
    <n v="715370"/>
    <n v="730198"/>
    <n v="384561"/>
    <n v="357288"/>
    <n v="248115"/>
    <n v="240474"/>
    <n v="445639"/>
    <n v="343348"/>
    <n v="514909.99999999994"/>
    <n v="542243"/>
    <n v="492847"/>
    <n v="623005"/>
    <n v="526724"/>
    <n v="371994"/>
    <n v="248240"/>
    <n v="435943"/>
    <n v="464948"/>
    <n v="331942"/>
    <n v="304002"/>
    <n v="449379"/>
    <n v="687415"/>
    <n v="477386"/>
    <n v="1180348"/>
    <n v="914035"/>
    <n v="431259"/>
    <n v="301162"/>
    <n v="623596"/>
    <n v="313549"/>
    <n v="421062"/>
    <n v="351345"/>
    <n v="369351"/>
    <n v="320129"/>
    <n v="514856"/>
    <n v="641154"/>
    <n v="1074486"/>
    <n v="636863"/>
    <n v="580655"/>
    <n v="404919"/>
    <n v="478878"/>
    <n v="421582"/>
    <n v="384177"/>
    <n v="217066"/>
    <n v="239573"/>
    <n v="297133"/>
    <n v="771701"/>
    <n v="614883"/>
    <n v="980166"/>
    <n v="1125427"/>
    <n v="1168482"/>
    <n v="468748"/>
    <n v="305161"/>
    <n v="488314"/>
    <n v="161117"/>
    <n v="225903"/>
    <n v="361064"/>
    <n v="137366"/>
    <n v="553377"/>
    <n v="541689"/>
    <n v="889377"/>
    <n v="1001588"/>
    <n v="607516"/>
    <n v="716751"/>
    <n v="363203"/>
    <n v="478410"/>
    <n v="418590"/>
    <n v="451331"/>
    <n v="274368"/>
    <n v="384900"/>
    <n v="314461"/>
    <n v="1015422"/>
    <n v="1061995.6669999999"/>
    <n v="1154295"/>
    <n v="871060"/>
    <n v="634098"/>
    <n v="357528"/>
    <n v="340201"/>
    <n v="254821"/>
    <n v="280130"/>
    <n v="324500"/>
    <n v="264310"/>
    <n v="272520"/>
    <n v="604760"/>
    <n v="408250"/>
    <n v="423300"/>
    <n v="741180"/>
    <n v="756780"/>
    <n v="247910"/>
    <n v="277508"/>
    <n v="410820"/>
    <n v="341302.83"/>
    <n v="242603"/>
    <n v="336284.67"/>
    <n v="572120"/>
    <n v="507792"/>
    <n v="934264"/>
    <n v="996853"/>
    <n v="600247"/>
    <n v="670946"/>
    <n v="480225"/>
    <n v="219613"/>
    <n v="210366"/>
    <n v="167282"/>
    <n v="278554"/>
  </r>
  <r>
    <x v="3"/>
    <x v="3"/>
    <m/>
    <m/>
    <m/>
    <m/>
    <m/>
    <m/>
    <m/>
    <m/>
    <m/>
    <m/>
    <m/>
    <m/>
    <m/>
    <m/>
    <m/>
    <m/>
    <m/>
    <m/>
    <m/>
    <m/>
    <m/>
    <m/>
    <m/>
    <m/>
    <n v="3151316"/>
    <n v="2159772"/>
    <n v="1477575"/>
    <n v="1190829"/>
    <n v="1433066"/>
    <n v="879126"/>
    <n v="1419404"/>
    <n v="1034573"/>
    <n v="814974"/>
    <n v="1448051"/>
    <n v="1681383"/>
    <n v="1936101"/>
    <n v="1299960"/>
    <n v="1738357"/>
    <n v="2579546"/>
    <n v="1890847"/>
    <n v="2300852"/>
    <n v="566412"/>
    <n v="628703"/>
    <n v="1910102"/>
    <n v="1057874"/>
    <n v="1952392"/>
    <n v="2352006"/>
    <n v="2638869"/>
    <n v="3763661"/>
    <n v="2514976"/>
    <n v="2263104"/>
    <n v="419311"/>
    <n v="2028133"/>
    <n v="970588"/>
    <n v="1996603"/>
    <n v="1118628"/>
    <n v="902765"/>
    <n v="481819"/>
    <n v="2005510"/>
    <n v="2919968"/>
    <n v="3572955"/>
    <n v="2122227"/>
    <n v="3349890"/>
    <n v="1188797"/>
    <n v="608339"/>
    <n v="1040365"/>
    <n v="1338480"/>
    <n v="1352405"/>
    <n v="1116304"/>
    <n v="1449925"/>
    <n v="1941539"/>
    <n v="1744561"/>
    <n v="2029142"/>
    <n v="1253416"/>
    <n v="2402650"/>
    <n v="706028"/>
    <n v="1362117"/>
    <n v="659453"/>
    <n v="1532409"/>
    <n v="995180"/>
    <n v="1048209.0000000001"/>
    <n v="1294342"/>
    <n v="3326958"/>
    <n v="1902068"/>
    <n v="1235521"/>
    <n v="1835294"/>
    <n v="1977276"/>
    <n v="1039828"/>
    <n v="962969"/>
    <n v="670839"/>
    <n v="715900"/>
    <n v="1400832"/>
    <n v="1151609"/>
    <n v="1295063"/>
    <n v="1855086"/>
    <n v="1062682"/>
    <n v="1791620"/>
    <n v="1694658"/>
    <n v="1180348"/>
    <n v="712583"/>
    <n v="1532843"/>
    <n v="1533822"/>
    <n v="1038332.0000000001"/>
    <n v="1026272.9999999999"/>
    <n v="1507585"/>
    <n v="2278659"/>
    <n v="1248467"/>
    <n v="3903297"/>
    <n v="2573826"/>
    <n v="1384591"/>
    <n v="890465"/>
    <n v="1708992"/>
    <n v="965377"/>
    <n v="1369914"/>
    <n v="1056618"/>
    <n v="1066381"/>
    <n v="993483"/>
    <n v="1393862"/>
    <n v="1746113"/>
    <n v="2958815"/>
    <n v="1933188"/>
    <n v="1694780"/>
    <n v="1443936"/>
    <n v="1464301"/>
    <n v="1502620"/>
    <n v="1086397"/>
    <n v="670566"/>
    <n v="808006"/>
    <n v="989186"/>
    <n v="2099412"/>
    <n v="1801151"/>
    <n v="2545658"/>
    <n v="2804351"/>
    <n v="3121096"/>
    <n v="1342092"/>
    <n v="832915"/>
    <n v="1538421"/>
    <n v="481000"/>
    <n v="739009"/>
    <n v="1210974"/>
    <n v="338473"/>
    <n v="1443306"/>
    <n v="1300682"/>
    <n v="2733233"/>
    <n v="2912197"/>
    <n v="1608360"/>
    <n v="2090833.9999999998"/>
    <n v="1120370"/>
    <n v="1517948"/>
    <n v="1206744"/>
    <n v="1563361"/>
    <n v="732325"/>
    <n v="1023106"/>
    <n v="830228"/>
    <n v="2895446"/>
    <n v="2525426.8333330001"/>
    <n v="3134376"/>
    <n v="2521746"/>
    <n v="1841498"/>
    <n v="1260611"/>
    <n v="906594"/>
    <n v="835095"/>
    <n v="950990"/>
    <n v="1032810"/>
    <n v="767160"/>
    <n v="806770"/>
    <n v="1604870"/>
    <n v="1032810"/>
    <n v="1193210"/>
    <n v="2141800"/>
    <n v="2446330"/>
    <n v="746260"/>
    <n v="747046"/>
    <n v="1401780"/>
    <n v="1069742.33"/>
    <n v="760116"/>
    <n v="968238"/>
    <n v="1505311"/>
    <n v="1522162"/>
    <n v="2513630"/>
    <n v="2494262"/>
    <n v="1470942"/>
    <n v="1530964"/>
    <n v="1100000"/>
    <n v="457949"/>
    <n v="464445"/>
    <n v="375189"/>
    <n v="728134"/>
  </r>
  <r>
    <x v="4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 "/>
    <s v=" "/>
    <s v=" "/>
    <s v=" "/>
    <s v=" "/>
    <s v=" "/>
    <s v=" "/>
    <s v=" "/>
    <s v=" "/>
    <s v=" "/>
    <s v=" "/>
    <s v=" "/>
    <n v="2394196"/>
    <n v="1703979"/>
    <n v="2454243"/>
    <n v="1201927"/>
    <n v="3106216"/>
    <n v="1098273"/>
    <n v="1779259"/>
    <n v="2021632"/>
    <n v="3026106"/>
    <n v="2817601"/>
    <n v="2869850"/>
    <n v="2174830"/>
    <n v="2654928"/>
    <n v="1518741"/>
    <n v="3556876"/>
    <n v="2838924"/>
    <n v="2208428"/>
    <n v="2219113"/>
    <n v="1725480"/>
    <n v="1893215"/>
    <n v="2143648"/>
    <n v="1793045"/>
    <n v="2190940"/>
    <n v="1423601"/>
    <n v="1641683"/>
    <n v="1918582"/>
    <n v="4080114"/>
    <n v="2644161"/>
    <n v="3049118"/>
    <n v="2284879"/>
    <n v="2039969"/>
    <n v="1763094"/>
    <n v="1709825"/>
    <n v="3572652"/>
    <n v="2323227"/>
    <n v="2232728"/>
    <n v="1478058"/>
    <n v="1202095"/>
    <n v="2973957"/>
    <n v="1757700"/>
    <n v="2458833"/>
    <n v="2577442"/>
    <n v="2298538"/>
    <n v="2258757"/>
    <n v="2109929"/>
    <n v="2341928"/>
    <n v="1575587"/>
    <n v="1844601"/>
    <n v="2094607"/>
    <n v="1879976"/>
    <n v="2106666"/>
    <n v="2624270"/>
    <n v="1990460"/>
    <n v="2028352"/>
    <n v="2492022"/>
    <n v="1701739"/>
    <n v="1736445"/>
    <n v="2947858"/>
    <n v="2688405"/>
    <n v="3522263"/>
    <n v="3214236"/>
    <n v="2825926"/>
    <n v="2738953"/>
    <n v="2716790"/>
    <n v="1999180"/>
    <n v="1761914"/>
    <n v="1739875"/>
    <n v="1588240"/>
    <n v="2475367"/>
    <n v="2578693"/>
    <n v="1893792"/>
    <n v="2677920"/>
    <n v="2127660"/>
    <n v="2232130"/>
    <n v="1880309"/>
    <n v="1592182"/>
    <n v="2733202"/>
    <n v="3120190"/>
    <n v="1483995"/>
    <n v="2154832"/>
    <n v="2441273"/>
    <n v="3152555"/>
    <n v="2011253"/>
    <n v="2573383"/>
    <n v="2378227"/>
    <n v="2373499"/>
    <n v="3006333"/>
    <n v="2790203"/>
    <n v="3447633"/>
    <n v="1999028"/>
    <n v="2872110"/>
    <n v="1726569"/>
    <n v="2134235"/>
    <n v="2082408"/>
    <n v="2620499"/>
    <n v="2642088"/>
    <n v="2303624"/>
    <n v="1232721"/>
    <n v="3305707"/>
    <n v="2390393"/>
    <n v="2989854"/>
    <n v="1823158"/>
    <n v="1819884"/>
    <n v="2011302"/>
    <n v="2609767"/>
    <n v="2243428"/>
    <n v="3044194"/>
    <n v="2217895.3330000001"/>
    <n v="2032816"/>
    <n v="2307344"/>
    <n v="2196726"/>
    <n v="2962935"/>
    <n v="3556591"/>
    <n v="1753532"/>
    <n v="2263550"/>
    <n v="2040000"/>
    <n v="171190"/>
    <n v="1998260"/>
    <n v="1992070"/>
    <n v="2754500"/>
    <n v="2134700"/>
    <n v="2819000"/>
    <n v="2623710"/>
    <n v="2581300"/>
    <n v="2205246"/>
    <n v="1032630"/>
    <n v="2141372.17"/>
    <n v="1788477"/>
    <n v="2006893"/>
    <n v="2763248"/>
    <n v="2998169"/>
    <n v="2341847"/>
    <n v="3406110"/>
    <n v="1661444"/>
    <n v="2569529"/>
    <n v="2000000"/>
    <n v="1590236"/>
    <n v="1295613"/>
    <n v="1176094"/>
    <n v="1844509"/>
  </r>
  <r>
    <x v="5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2957573"/>
    <n v="1959992"/>
    <n v="2846481"/>
    <n v="1238430"/>
    <n v="2924570"/>
    <n v="1107805"/>
    <n v="1521291"/>
    <n v="1574813"/>
    <n v="2335925"/>
    <n v="2814527"/>
    <n v="3447823"/>
    <n v="2192179"/>
    <n v="2608350"/>
    <n v="1536497"/>
    <n v="3277055"/>
    <n v="3061680"/>
    <n v="2258927"/>
    <n v="2080667"/>
    <n v="1770040"/>
    <n v="1709035"/>
    <n v="2116328"/>
    <n v="1710435"/>
    <n v="2351081"/>
    <n v="1449799"/>
    <n v="1590420"/>
    <n v="1859293"/>
    <n v="3816962"/>
    <n v="2663267"/>
    <n v="3275282"/>
    <n v="2256698"/>
    <n v="2030907"/>
    <n v="1683027"/>
    <n v="1776016"/>
    <n v="3653244"/>
    <n v="2390841"/>
    <n v="2114222"/>
    <n v="1320624"/>
    <n v="1075603"/>
    <n v="2918562"/>
    <n v="1774149"/>
    <n v="2462883"/>
    <n v="2611044"/>
    <n v="1898573"/>
    <n v="2007936"/>
    <n v="2063935"/>
    <n v="2957636"/>
    <n v="1516616"/>
    <n v="1882060"/>
    <n v="1991570"/>
    <n v="1907058"/>
    <n v="2118781"/>
    <n v="2338849"/>
    <n v="1551972"/>
    <n v="1548846"/>
    <n v="2272635"/>
    <n v="1671782"/>
    <n v="1739042"/>
    <n v="2817143"/>
    <n v="2571864"/>
    <n v="3094089"/>
    <n v="2830948"/>
    <n v="2846020"/>
    <n v="2662391"/>
    <n v="2715951"/>
    <n v="2036121"/>
    <n v="1396001"/>
    <n v="1258641"/>
    <n v="1342070"/>
    <n v="2523675"/>
    <n v="2569201"/>
    <n v="2048000"/>
    <n v="2639396"/>
    <n v="1917065"/>
    <n v="2001601"/>
    <n v="1886017"/>
    <n v="1566233"/>
    <n v="2536665"/>
    <n v="2738826"/>
    <n v="1371161"/>
    <n v="2050572"/>
    <n v="2211573"/>
    <n v="2986157"/>
    <n v="1927685"/>
    <n v="2500171"/>
    <n v="2203646"/>
    <n v="2237513"/>
    <n v="2941918"/>
    <n v="2640513"/>
    <n v="3503735"/>
    <n v="1956756"/>
    <n v="2517074"/>
    <n v="1535232"/>
    <n v="2157605"/>
    <n v="2126817"/>
    <n v="2495580"/>
    <n v="2348055"/>
    <n v="2128517"/>
    <n v="1058300"/>
    <n v="3213446"/>
    <n v="2465672"/>
    <n v="2863367"/>
    <n v="1729578"/>
    <n v="1832857"/>
    <n v="2055072"/>
    <n v="2462754"/>
    <n v="2149557"/>
    <n v="2527094"/>
    <n v="2424334.6669999999"/>
    <n v="1925064"/>
    <n v="2158025"/>
    <n v="2627612"/>
    <n v="2945367"/>
    <n v="3505479"/>
    <n v="1548419"/>
    <n v="2179260"/>
    <n v="1897950"/>
    <n v="191040"/>
    <n v="1898990"/>
    <n v="1908460"/>
    <n v="2983160"/>
    <n v="2227340"/>
    <n v="2839000"/>
    <n v="2771870"/>
    <n v="3087500"/>
    <n v="2064430"/>
    <n v="954090"/>
    <n v="2169105.67"/>
    <n v="1806769"/>
    <n v="1843670.67"/>
    <n v="2933928"/>
    <n v="3159412"/>
    <n v="2149852"/>
    <n v="3286310"/>
    <n v="1322276"/>
    <n v="2513064"/>
    <n v="2300000"/>
    <n v="1803081"/>
    <n v="1348679"/>
    <n v="1247976"/>
    <n v="1750672"/>
  </r>
  <r>
    <x v="6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5351769"/>
    <n v="3663971"/>
    <n v="5300724"/>
    <n v="2440357"/>
    <n v="6030786"/>
    <n v="2206078"/>
    <n v="3300550"/>
    <n v="3596445"/>
    <n v="5362031"/>
    <n v="5632128"/>
    <n v="6317673"/>
    <n v="4367009"/>
    <n v="5263278"/>
    <n v="3055238"/>
    <n v="6833931"/>
    <n v="5900604"/>
    <n v="4467355"/>
    <n v="4299780"/>
    <n v="3495520"/>
    <n v="3602250"/>
    <n v="4259976"/>
    <n v="3503480"/>
    <n v="4542021"/>
    <n v="2873400"/>
    <n v="3232103"/>
    <n v="3777875"/>
    <n v="7897076"/>
    <n v="5307428"/>
    <n v="6324400"/>
    <n v="4541577"/>
    <n v="4070876"/>
    <n v="3446121"/>
    <n v="3485841"/>
    <n v="7225896"/>
    <n v="4714068"/>
    <n v="4346950"/>
    <n v="2798682"/>
    <n v="2277698"/>
    <n v="5892519"/>
    <n v="3531849"/>
    <n v="4921716"/>
    <n v="5188486"/>
    <n v="4197111"/>
    <n v="4266693"/>
    <n v="4173863.9999999995"/>
    <n v="5299564"/>
    <n v="3092203"/>
    <n v="3726661"/>
    <n v="4086177"/>
    <n v="3787034"/>
    <n v="4225447"/>
    <n v="4963119"/>
    <n v="3542432"/>
    <n v="3577198"/>
    <n v="4764657"/>
    <n v="3373521"/>
    <n v="3475487"/>
    <n v="5765001"/>
    <n v="5260269"/>
    <n v="6616352"/>
    <n v="6045184"/>
    <n v="5671946"/>
    <n v="5401344"/>
    <n v="5432741"/>
    <n v="4035301"/>
    <n v="3157915"/>
    <n v="2998516"/>
    <n v="2930310"/>
    <n v="4999042"/>
    <n v="5147894"/>
    <n v="3941792"/>
    <n v="5317316"/>
    <n v="4044725"/>
    <n v="4233731"/>
    <n v="3766326"/>
    <n v="3158415"/>
    <n v="5269867"/>
    <n v="5859016"/>
    <n v="2855156"/>
    <n v="4205404"/>
    <n v="4652846"/>
    <n v="6138712"/>
    <n v="3938938"/>
    <n v="5073554"/>
    <n v="4581873"/>
    <n v="4611012"/>
    <n v="5948251"/>
    <n v="5430716"/>
    <n v="6951368"/>
    <n v="3955784"/>
    <n v="5389184"/>
    <n v="3261801"/>
    <n v="4291840"/>
    <n v="4209225"/>
    <n v="5116079"/>
    <n v="4990143"/>
    <n v="4432141"/>
    <n v="2291021"/>
    <n v="6519153"/>
    <n v="4856065"/>
    <n v="5853221"/>
    <n v="3552736"/>
    <n v="3652741"/>
    <n v="4066374"/>
    <n v="5072521"/>
    <n v="4392985"/>
    <n v="5571288"/>
    <n v="4642230"/>
    <n v="3957880"/>
    <n v="4465369"/>
    <n v="4824338"/>
    <n v="5908302"/>
    <n v="7062070"/>
    <n v="3301951"/>
    <n v="4442810"/>
    <n v="3937950"/>
    <n v="362230"/>
    <n v="3897250"/>
    <n v="3900530"/>
    <n v="5737660"/>
    <n v="4362040"/>
    <n v="5658000"/>
    <n v="5395580"/>
    <n v="5668800"/>
    <n v="4269676"/>
    <n v="1986720"/>
    <n v="4310477.84"/>
    <n v="3595246"/>
    <n v="3850563.67"/>
    <n v="5697176"/>
    <n v="6157581"/>
    <n v="4491699"/>
    <n v="6692420"/>
    <n v="2983720"/>
    <n v="5082593"/>
    <n v="4300000"/>
    <n v="3393317"/>
    <n v="2644292"/>
    <n v="2424070"/>
    <n v="3595181"/>
  </r>
  <r>
    <x v="7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8376"/>
    <n v="1466477"/>
    <n v="2699230"/>
    <n v="1120590"/>
    <n v="1497800"/>
    <n v="746975"/>
    <n v="793374"/>
    <n v="823769"/>
    <n v="1324409"/>
    <n v="1807503"/>
    <n v="2343124"/>
    <n v="2814804"/>
    <n v="2867286"/>
    <n v="2322728"/>
    <n v="2020789"/>
    <n v="1070177"/>
    <n v="2036347"/>
    <n v="1338074"/>
    <n v="1583537"/>
    <n v="1379175"/>
    <n v="842674"/>
    <n v="837499"/>
    <n v="985010"/>
    <n v="2597457"/>
    <n v="2388554"/>
    <n v="1536291"/>
    <n v="2751072"/>
    <n v="870244"/>
    <n v="589102"/>
    <n v="765014"/>
    <n v="1504490"/>
    <n v="1454344"/>
    <n v="1502617"/>
    <n v="1447217"/>
    <n v="1837697"/>
    <n v="1758644"/>
    <n v="1501627"/>
    <n v="950483"/>
    <n v="1687579"/>
    <n v="952239"/>
    <n v="1401968"/>
    <n v="696896"/>
    <n v="1576847"/>
    <n v="776733"/>
    <n v="1361316"/>
    <n v="1106448"/>
    <n v="3494116"/>
    <n v="2067117.0000000002"/>
    <n v="1731665"/>
    <n v="1689516"/>
    <n v="2388715"/>
    <n v="1651973"/>
    <n v="1164652"/>
    <n v="910891"/>
    <n v="880950"/>
    <n v="1152453"/>
    <n v="735789"/>
    <n v="1648452"/>
    <n v="1778402"/>
    <n v="1636252"/>
    <n v="2345437"/>
    <n v="1959606"/>
    <n v="1319453"/>
    <n v="885975"/>
    <n v="973216"/>
    <n v="1509341"/>
    <n v="888497"/>
    <n v="612396"/>
    <n v="1376704"/>
    <n v="1090807"/>
    <n v="1236912"/>
    <n v="3019106"/>
    <n v="1775318"/>
    <n v="845331"/>
    <n v="1077580"/>
    <n v="2294898"/>
    <n v="1157111"/>
    <n v="1715533"/>
    <n v="1079322"/>
    <n v="1497936"/>
    <n v="806562"/>
    <n v="1546552"/>
    <n v="1735353"/>
    <n v="3195809"/>
    <n v="1985439"/>
    <n v="1872063"/>
    <n v="1809360"/>
    <n v="2290836"/>
    <n v="1752885"/>
    <n v="1438387"/>
    <n v="1157218"/>
    <n v="681891"/>
    <n v="835194"/>
    <n v="2030181"/>
    <n v="2062413"/>
    <n v="2289693"/>
    <n v="2842746"/>
    <n v="2866427"/>
    <n v="1535680"/>
    <n v="1324759"/>
    <n v="1307618"/>
    <n v="998056"/>
    <n v="612923"/>
    <n v="878113"/>
    <n v="517191.00000000006"/>
    <n v="1693816"/>
    <n v="1572075"/>
    <n v="2189167"/>
    <n v="2685106"/>
    <n v="2065534.9999999998"/>
    <n v="2113200"/>
    <n v="1214565"/>
    <n v="1426506"/>
    <n v="1059999"/>
    <n v="1096240"/>
    <n v="1066283"/>
    <n v="1204433"/>
    <n v="1404324"/>
    <n v="2695850"/>
    <n v="3423666"/>
    <n v="3251102"/>
    <n v="2344601"/>
    <n v="2376645"/>
    <n v="1396087"/>
    <n v="861870"/>
    <n v="721216"/>
    <n v="709850"/>
    <n v="1019170"/>
    <n v="880130"/>
    <n v="919160"/>
    <n v="1871600"/>
    <n v="1133880"/>
    <n v="1574520"/>
    <n v="2016220"/>
    <n v="2219660"/>
    <n v="974610"/>
    <n v="1086052"/>
    <n v="1125670"/>
    <n v="1036955.17"/>
    <n v="919119"/>
    <n v="1440644.33"/>
    <n v="1237505"/>
    <n v="1463076"/>
    <n v="2374559"/>
    <n v="2934544"/>
    <n v="2047865"/>
    <n v="1793285"/>
    <n v="1531124"/>
    <n v="796785"/>
    <n v="639838"/>
    <n v="613341"/>
    <n v="515582"/>
  </r>
  <r>
    <x v="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1160"/>
    <n v="2075096"/>
    <n v="3044925"/>
    <n v="2627069"/>
    <n v="4502356"/>
    <n v="2996534"/>
    <n v="3549606"/>
    <n v="1824917"/>
    <n v="3971688"/>
    <n v="3274391"/>
    <n v="1865797"/>
    <n v="1491712"/>
    <n v="1517130"/>
    <n v="1320517"/>
    <n v="1971165"/>
    <n v="2040580"/>
    <n v="3001768"/>
    <n v="3160463"/>
    <n v="2108369"/>
    <n v="3033748"/>
    <n v="3507078"/>
    <n v="2585067"/>
    <n v="3007163"/>
    <n v="1931220"/>
    <n v="1877171"/>
    <n v="1212148"/>
    <n v="1578098"/>
    <n v="3421210"/>
    <n v="2874836"/>
    <n v="2489754"/>
    <n v="2035885"/>
    <n v="3122632"/>
    <n v="3392429"/>
    <n v="1447819"/>
    <n v="2736060"/>
    <n v="2531309"/>
    <n v="1840410"/>
    <n v="2010979"/>
    <n v="1882247"/>
    <n v="3789331"/>
    <n v="2369421"/>
    <n v="3194425"/>
    <n v="2587395"/>
    <n v="2028490"/>
    <n v="1971352"/>
    <n v="2093634"/>
    <n v="2067786"/>
    <n v="1720917"/>
    <n v="1823381"/>
    <n v="1809192"/>
    <n v="1415677"/>
    <n v="2602565"/>
    <n v="2389491"/>
    <n v="3830134"/>
    <n v="3194007"/>
    <n v="3629823"/>
    <n v="2516345"/>
    <n v="3257702"/>
    <n v="2401574"/>
    <n v="2065503.0000000002"/>
    <n v="1480375"/>
    <n v="1553123"/>
    <n v="2914083"/>
    <n v="2871704"/>
    <n v="3070698"/>
    <n v="4054935"/>
    <n v="2668971"/>
    <n v="2739408"/>
    <n v="2291429"/>
    <n v="2048831.0000000002"/>
    <n v="2521664"/>
    <n v="2780852"/>
    <n v="1259864"/>
    <n v="1871030"/>
    <n v="1799475"/>
    <n v="3218949"/>
    <n v="2657827"/>
    <n v="3361022"/>
    <n v="2663057"/>
    <n v="3253080"/>
    <n v="2831113"/>
    <n v="2204140"/>
    <n v="3324721"/>
    <n v="1651094"/>
    <n v="2497900"/>
    <n v="1321342"/>
    <n v="1897794"/>
    <n v="1629490"/>
    <n v="2580273"/>
    <n v="3014831"/>
    <n v="2145660"/>
    <n v="2026671"/>
    <n v="2296233"/>
    <n v="2395524"/>
    <n v="3052022"/>
    <n v="1569053"/>
    <n v="1676956"/>
    <n v="2035961"/>
    <n v="2263942.3000000003"/>
    <n v="2233076"/>
    <n v="2641111"/>
    <n v="2528702.8333330001"/>
    <n v="2260610"/>
    <n v="2845282"/>
    <n v="2799153"/>
    <n v="3060999"/>
    <n v="3691582"/>
    <n v="1412619"/>
    <n v="1470610"/>
    <n v="1584790"/>
    <n v="1813770"/>
    <n v="1979460"/>
    <n v="2463170"/>
    <n v="2042320"/>
    <n v="3333840"/>
    <n v="3355000"/>
    <n v="2580490"/>
    <n v="2746290"/>
    <n v="2094500"/>
    <n v="1235350"/>
    <n v="2267398.83"/>
    <n v="1726713"/>
    <n v="1585612.83"/>
    <n v="2824509"/>
    <n v="3574611"/>
    <n v="3757519"/>
    <n v="3623096"/>
    <n v="2430564"/>
    <n v="3391621"/>
    <n v="2486204"/>
    <n v="1935274"/>
    <n v="1627568"/>
    <n v="1209088"/>
    <n v="1412872"/>
  </r>
  <r>
    <x v="9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1649362"/>
    <n v="2634041"/>
    <n v="2384239"/>
    <n v="705520"/>
    <n v="2253260"/>
    <n v="1329356"/>
    <n v="1824658"/>
    <n v="1249722"/>
    <n v="1570773"/>
    <n v="1318866"/>
    <n v="1569756"/>
    <n v="2000742"/>
    <n v="2778002"/>
    <n v="1470573"/>
    <n v="3280768"/>
    <n v="1859570"/>
    <n v="1136952"/>
    <n v="845434"/>
    <n v="819690"/>
    <n v="955545"/>
    <n v="1202618"/>
    <n v="1856090"/>
    <n v="2020055"/>
    <n v="1622342"/>
    <n v="1587329"/>
    <n v="1454386"/>
    <n v="2268822"/>
    <n v="1686279"/>
    <n v="1866885"/>
    <n v="1651154"/>
    <n v="1391202"/>
    <n v="834651"/>
    <n v="1057482"/>
    <n v="1904187"/>
    <n v="2827914"/>
    <n v="2182442"/>
    <n v="1023722"/>
    <n v="2081018"/>
    <n v="2240933"/>
    <n v="1079441"/>
    <n v="1598236"/>
    <n v="1429432"/>
    <n v="807261"/>
    <n v="1204168"/>
    <n v="1016623"/>
    <n v="1986443"/>
    <n v="2017668"/>
    <n v="1327538"/>
    <n v="1246453"/>
    <n v="841183"/>
    <n v="1270884"/>
    <n v="1100814"/>
    <n v="1094881"/>
    <n v="853923"/>
    <n v="1195920"/>
    <n v="1254228"/>
    <n v="1012225"/>
    <n v="1438127"/>
    <n v="1384240"/>
    <n v="3399439"/>
    <n v="1836150"/>
    <n v="1212538"/>
    <n v="1670495"/>
    <n v="2528917"/>
    <n v="1458112"/>
    <n v="1444811"/>
    <n v="1118668"/>
    <n v="1004674"/>
    <n v="1675837"/>
    <n v="2093002"/>
    <n v="1633310"/>
    <n v="3088802"/>
    <n v="1474148"/>
    <n v="1636636"/>
    <n v="1762362"/>
    <n v="1625295"/>
    <n v="1484352"/>
    <n v="1691946"/>
    <n v="774432"/>
    <n v="956532"/>
    <n v="1228987"/>
    <n v="2507389"/>
    <n v="1792175"/>
    <n v="2175442"/>
    <n v="2455176"/>
    <n v="2666582"/>
    <n v="1686085"/>
    <n v="1073363"/>
    <n v="2423783"/>
    <n v="1392093"/>
    <n v="1093965"/>
    <n v="898929"/>
    <n v="815333"/>
    <n v="1526081"/>
    <n v="1954804"/>
    <n v="1546124"/>
    <n v="1684562"/>
    <n v="1492969"/>
    <n v="1803894"/>
    <n v="1503635"/>
    <n v="2203922"/>
    <n v="759722"/>
    <n v="1166107"/>
    <n v="1346914"/>
    <n v="1374772"/>
    <n v="1043491"/>
    <n v="1686308"/>
    <n v="1850260"/>
    <n v="3052634"/>
    <n v="2321083"/>
    <n v="2226547"/>
    <n v="1613645"/>
    <n v="2151162"/>
    <n v="887301"/>
    <n v="780960"/>
    <n v="744810"/>
    <n v="1159890"/>
    <n v="939340"/>
    <n v="2132220"/>
    <n v="653720"/>
    <n v="1400150"/>
    <n v="2620160"/>
    <n v="1796450"/>
    <n v="1370690"/>
    <n v="1419043"/>
    <n v="1139480"/>
    <n v="1015067.67"/>
    <n v="835253"/>
    <n v="1135635"/>
    <n v="1278324"/>
    <n v="1948325"/>
    <n v="2805095"/>
    <n v="2999839"/>
    <n v="1332901"/>
    <n v="2391194"/>
    <n v="1898629"/>
    <n v="921955"/>
    <n v="706435"/>
    <n v="541721"/>
    <n v="836917"/>
  </r>
  <r>
    <x v="10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1287269"/>
    <n v="2018415"/>
    <n v="1531607"/>
    <n v="472374"/>
    <n v="1533027"/>
    <n v="899101"/>
    <n v="1184833"/>
    <n v="803804"/>
    <n v="923638"/>
    <n v="900808"/>
    <n v="1177274"/>
    <n v="1366724"/>
    <n v="1840815"/>
    <n v="993085"/>
    <n v="2238558"/>
    <n v="1436794"/>
    <n v="743383"/>
    <n v="510760"/>
    <n v="495630"/>
    <n v="618078"/>
    <n v="807609"/>
    <n v="1206467"/>
    <n v="1352046"/>
    <n v="955253"/>
    <n v="1113595"/>
    <n v="999432"/>
    <n v="1479079"/>
    <n v="1114412"/>
    <n v="1238979"/>
    <n v="1095866"/>
    <n v="953468"/>
    <n v="580539"/>
    <n v="674967"/>
    <n v="1257545"/>
    <n v="2012523"/>
    <n v="1577442"/>
    <n v="598145"/>
    <n v="1446935"/>
    <n v="1639613"/>
    <n v="745787"/>
    <n v="1018702"/>
    <n v="867277"/>
    <n v="445246"/>
    <n v="732390"/>
    <n v="622755"/>
    <n v="1458317"/>
    <n v="1397506"/>
    <n v="1077992"/>
    <n v="905805"/>
    <n v="452428"/>
    <n v="811087"/>
    <n v="675216"/>
    <n v="756631"/>
    <n v="623969"/>
    <n v="696601"/>
    <n v="848315"/>
    <n v="596940"/>
    <n v="833953"/>
    <n v="864840"/>
    <n v="2235065"/>
    <n v="1171051"/>
    <n v="861783"/>
    <n v="1122861"/>
    <n v="1860707"/>
    <n v="984543"/>
    <n v="1015745"/>
    <n v="727901"/>
    <n v="596750"/>
    <n v="1018344"/>
    <n v="1475512"/>
    <n v="1423290"/>
    <n v="2154771"/>
    <n v="978161"/>
    <n v="1087029"/>
    <n v="1201733"/>
    <n v="1113550"/>
    <n v="931204"/>
    <n v="1029890.0000000001"/>
    <n v="571432"/>
    <n v="580147"/>
    <n v="766366"/>
    <n v="1816552"/>
    <n v="1288263"/>
    <n v="1443458"/>
    <n v="1767633"/>
    <n v="1886128"/>
    <n v="997400"/>
    <n v="656665"/>
    <n v="1598432"/>
    <n v="893692"/>
    <n v="645745"/>
    <n v="721990"/>
    <n v="541619"/>
    <n v="1076440"/>
    <n v="1187891"/>
    <n v="1170725"/>
    <n v="1194694"/>
    <n v="932583"/>
    <n v="1319789"/>
    <n v="1004460"/>
    <n v="1489908"/>
    <n v="547485"/>
    <n v="851371"/>
    <n v="1006319"/>
    <n v="951034"/>
    <n v="666696"/>
    <n v="1112765"/>
    <n v="1049195"/>
    <n v="2045370"/>
    <n v="1592489"/>
    <n v="1522060"/>
    <n v="1183449"/>
    <n v="1402285"/>
    <n v="552144"/>
    <n v="434990"/>
    <n v="421070"/>
    <n v="777990"/>
    <n v="516340.00000000006"/>
    <n v="1565000"/>
    <n v="306510"/>
    <n v="867420"/>
    <n v="1776850"/>
    <n v="1215450"/>
    <n v="813810"/>
    <n v="910959"/>
    <n v="801600"/>
    <n v="728100"/>
    <n v="486735"/>
    <n v="682057.83"/>
    <n v="776845"/>
    <n v="1249031"/>
    <n v="1711575"/>
    <n v="1857453"/>
    <n v="882460"/>
    <n v="1558047"/>
    <n v="1185102"/>
    <n v="494924"/>
    <n v="323947"/>
    <n v="331758"/>
    <n v="563638"/>
  </r>
  <r>
    <x v="11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1571561"/>
    <n v="2408712"/>
    <n v="2062121"/>
    <n v="689435"/>
    <n v="1950317"/>
    <n v="1131986"/>
    <n v="1495704"/>
    <n v="1036215.9999999999"/>
    <n v="1313619"/>
    <n v="1203889"/>
    <n v="1647376"/>
    <n v="1819122"/>
    <n v="2197285"/>
    <n v="1085431"/>
    <n v="2829646"/>
    <n v="1543321"/>
    <n v="955903"/>
    <n v="686371"/>
    <n v="631820"/>
    <n v="776892"/>
    <n v="1069976"/>
    <n v="1472633"/>
    <n v="1859336"/>
    <n v="1227155"/>
    <n v="1296577"/>
    <n v="1483398"/>
    <n v="2099151"/>
    <n v="1661660"/>
    <n v="1592393"/>
    <n v="1443023"/>
    <n v="1125780"/>
    <n v="753010"/>
    <n v="913825"/>
    <n v="1599062"/>
    <n v="2317187"/>
    <n v="1951919"/>
    <n v="778115"/>
    <n v="1790959"/>
    <n v="2021705"/>
    <n v="1023837"/>
    <n v="1509128"/>
    <n v="1274634"/>
    <n v="685209"/>
    <n v="1012033"/>
    <n v="784349"/>
    <n v="1839466"/>
    <n v="1877593"/>
    <n v="1252646"/>
    <n v="1185113"/>
    <n v="716533"/>
    <n v="1111156"/>
    <n v="954474"/>
    <n v="987415"/>
    <n v="790421"/>
    <n v="1114073"/>
    <n v="1055611"/>
    <n v="790940"/>
    <n v="1187843"/>
    <n v="1082439"/>
    <n v="2908380"/>
    <n v="1578875"/>
    <n v="1170521"/>
    <n v="1517354"/>
    <n v="2441565"/>
    <n v="1282706"/>
    <n v="1218562"/>
    <n v="917813"/>
    <n v="821137"/>
    <n v="1346481"/>
    <n v="1984718"/>
    <n v="1770305"/>
    <n v="2775659"/>
    <n v="1256741"/>
    <n v="1614320"/>
    <n v="1575310"/>
    <n v="1333168"/>
    <n v="1289699"/>
    <n v="1442415"/>
    <n v="768043"/>
    <n v="801099"/>
    <n v="936906"/>
    <n v="2201217"/>
    <n v="1605560"/>
    <n v="1751113"/>
    <n v="2013375"/>
    <n v="2345656"/>
    <n v="1400097"/>
    <n v="906126"/>
    <n v="2155923"/>
    <n v="1159442"/>
    <n v="910302"/>
    <n v="851179"/>
    <n v="648760"/>
    <n v="1288610"/>
    <n v="1597957"/>
    <n v="1331701"/>
    <n v="1504944"/>
    <n v="1213229"/>
    <n v="1667693"/>
    <n v="1302373"/>
    <n v="1980355"/>
    <n v="751646"/>
    <n v="1024265.0000000001"/>
    <n v="1238039"/>
    <n v="1249805"/>
    <n v="760331"/>
    <n v="1592086"/>
    <n v="709570"/>
    <n v="2476112"/>
    <n v="2077592.9999999998"/>
    <n v="1937915"/>
    <n v="1571457"/>
    <n v="1836019"/>
    <n v="734289"/>
    <n v="564490"/>
    <n v="558000"/>
    <n v="1016760"/>
    <n v="587910"/>
    <n v="2000890"/>
    <n v="353930"/>
    <n v="1195400"/>
    <n v="2285860"/>
    <n v="1611790"/>
    <n v="1193620"/>
    <n v="208378"/>
    <n v="1844960"/>
    <n v="840653"/>
    <n v="586161"/>
    <n v="913916"/>
    <n v="1106598"/>
    <n v="1722992"/>
    <n v="2508209"/>
    <n v="2642601"/>
    <n v="1366261"/>
    <n v="2095639"/>
    <n v="1582408"/>
    <n v="809275"/>
    <n v="678717"/>
    <n v="554073"/>
    <n v="733959"/>
  </r>
  <r>
    <x v="12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2122204"/>
    <n v="3159206"/>
    <n v="2469028"/>
    <n v="717623"/>
    <n v="2382531"/>
    <n v="1468962"/>
    <n v="1834486"/>
    <n v="1329310"/>
    <n v="1634396"/>
    <n v="1449232"/>
    <n v="1726538"/>
    <n v="2186055"/>
    <n v="2730060"/>
    <n v="1558548"/>
    <n v="3341763"/>
    <n v="2228788"/>
    <n v="1214044"/>
    <n v="851279"/>
    <n v="825270"/>
    <n v="1026039"/>
    <n v="1293418"/>
    <n v="1952934"/>
    <n v="2069215.0000000002"/>
    <n v="1673084"/>
    <n v="1746032"/>
    <n v="1507011"/>
    <n v="2312281"/>
    <n v="1716357"/>
    <n v="2036170"/>
    <n v="1746438"/>
    <n v="1420508"/>
    <n v="944656"/>
    <n v="1072643"/>
    <n v="1994003"/>
    <n v="3123794"/>
    <n v="2302198"/>
    <n v="967468"/>
    <n v="2206058"/>
    <n v="2604439"/>
    <n v="1099111"/>
    <n v="1662697"/>
    <n v="1472249"/>
    <n v="806461"/>
    <n v="1228407"/>
    <n v="1061617"/>
    <n v="2153443"/>
    <n v="2045442"/>
    <n v="1590615"/>
    <n v="1386484"/>
    <n v="806611"/>
    <n v="1267515"/>
    <n v="1125519"/>
    <n v="1261351"/>
    <n v="960357"/>
    <n v="1300116"/>
    <n v="1360098"/>
    <n v="1030856"/>
    <n v="1480046"/>
    <n v="1390031"/>
    <n v="3309209"/>
    <n v="1767793"/>
    <n v="1141498"/>
    <n v="1749555"/>
    <n v="2878634"/>
    <n v="1527931"/>
    <n v="1594253"/>
    <n v="1179361"/>
    <n v="995546"/>
    <n v="1695908"/>
    <n v="2276065"/>
    <n v="1931941"/>
    <n v="3207683"/>
    <n v="1514693"/>
    <n v="1594126"/>
    <n v="1840587"/>
    <n v="1793001"/>
    <n v="1548027"/>
    <n v="1708290"/>
    <n v="845158"/>
    <n v="983935"/>
    <n v="1215199"/>
    <n v="2758140"/>
    <n v="1900535"/>
    <n v="2274330"/>
    <n v="2727329"/>
    <n v="2885441"/>
    <n v="1659542"/>
    <n v="1080964"/>
    <n v="2494052"/>
    <n v="1501712"/>
    <n v="1044694.9999999999"/>
    <n v="1073840"/>
    <n v="872761"/>
    <n v="1556127"/>
    <n v="2053569"/>
    <n v="1440571"/>
    <n v="1789440"/>
    <n v="1516147"/>
    <n v="1798584"/>
    <n v="1508631"/>
    <n v="2333042"/>
    <n v="887120"/>
    <n v="1392292"/>
    <n v="1574538"/>
    <n v="1492634"/>
    <n v="1051307"/>
    <n v="1687946"/>
    <n v="1923586.1666670002"/>
    <n v="3211313"/>
    <n v="2321498"/>
    <n v="2373509"/>
    <n v="1775876"/>
    <n v="2274279"/>
    <n v="916047"/>
    <n v="735630"/>
    <n v="731520"/>
    <n v="1273220"/>
    <n v="936330"/>
    <n v="2240000"/>
    <n v="575860"/>
    <n v="1376060"/>
    <n v="2740010"/>
    <n v="1920290"/>
    <n v="1458220"/>
    <n v="1513923"/>
    <n v="1312000"/>
    <n v="1274486.5"/>
    <n v="864364"/>
    <n v="1109166.67"/>
    <n v="1467017"/>
    <n v="1928799"/>
    <n v="2696004"/>
    <n v="2972414"/>
    <n v="1355785"/>
    <n v="2514690"/>
    <n v="1701841"/>
    <n v="810353"/>
    <n v="731878"/>
    <n v="567543"/>
    <n v="927401"/>
  </r>
  <r>
    <x v="13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6630396"/>
    <n v="10220374"/>
    <n v="8446995"/>
    <n v="2584952"/>
    <n v="8119135"/>
    <n v="4829405"/>
    <n v="6339681"/>
    <n v="4419052"/>
    <n v="5442426"/>
    <n v="4872795"/>
    <n v="6120944"/>
    <n v="7372643"/>
    <n v="9546162"/>
    <n v="5107637"/>
    <n v="11690735"/>
    <n v="7068473"/>
    <n v="4050282"/>
    <n v="2893844"/>
    <n v="2772410"/>
    <n v="3376554"/>
    <n v="4373621"/>
    <n v="6488124"/>
    <n v="7300652"/>
    <n v="5477834"/>
    <n v="5743533"/>
    <n v="5444227"/>
    <n v="8159333"/>
    <n v="6178708"/>
    <n v="6734427"/>
    <n v="5936481"/>
    <n v="4890958"/>
    <n v="3112856"/>
    <n v="3718917"/>
    <n v="6754797"/>
    <n v="10281418"/>
    <n v="8014001"/>
    <n v="3367450"/>
    <n v="7524970"/>
    <n v="8506690"/>
    <n v="3948176"/>
    <n v="5788763"/>
    <n v="5043592"/>
    <n v="2744177"/>
    <n v="4176997.9999999995"/>
    <n v="3485344"/>
    <n v="7437669"/>
    <n v="7338209"/>
    <n v="5248791"/>
    <n v="4723855"/>
    <n v="2816755"/>
    <n v="4460642"/>
    <n v="3856023"/>
    <n v="4100278.0000000005"/>
    <n v="3228670"/>
    <n v="4306710"/>
    <n v="4518252"/>
    <n v="3430961"/>
    <n v="4939969"/>
    <n v="4721550"/>
    <n v="11852093"/>
    <n v="6353869"/>
    <n v="4386340"/>
    <n v="6060265"/>
    <n v="9709823"/>
    <n v="5253292"/>
    <n v="5273371"/>
    <n v="3943743"/>
    <n v="3418107"/>
    <n v="5736570"/>
    <n v="7829297"/>
    <n v="6758846"/>
    <n v="11226915"/>
    <n v="5223743"/>
    <n v="5932111"/>
    <n v="6379992"/>
    <n v="5865014"/>
    <n v="5253282"/>
    <n v="5872541"/>
    <n v="2959065"/>
    <n v="3321713"/>
    <n v="4147457.9999999995"/>
    <n v="9283298"/>
    <n v="6586533"/>
    <n v="7644343"/>
    <n v="8963513"/>
    <n v="9783807"/>
    <n v="5743124"/>
    <n v="3717118"/>
    <n v="8672190"/>
    <n v="4946939"/>
    <n v="3694707"/>
    <n v="3545938"/>
    <n v="2878473"/>
    <n v="5447258"/>
    <n v="6794221"/>
    <n v="5489121"/>
    <n v="6173640"/>
    <n v="5154928"/>
    <n v="6589960"/>
    <n v="5319099"/>
    <n v="8007227"/>
    <n v="2945973"/>
    <n v="4434035"/>
    <n v="5165810"/>
    <n v="5068245"/>
    <n v="3521825"/>
    <n v="6079105"/>
    <n v="5532611.1666670004"/>
    <n v="10785429"/>
    <n v="8312663"/>
    <n v="8060031"/>
    <n v="6144427"/>
    <n v="7663745"/>
    <n v="3089781"/>
    <n v="2516070"/>
    <n v="2455400"/>
    <n v="4227860"/>
    <n v="2979920"/>
    <n v="7938110"/>
    <n v="1890020"/>
    <n v="4839030"/>
    <n v="9422880"/>
    <n v="6543980"/>
    <n v="4836340"/>
    <n v="4052303"/>
    <n v="5098040"/>
    <n v="3858307.17"/>
    <n v="2772513"/>
    <n v="3840775.5"/>
    <n v="4628784"/>
    <n v="6849147"/>
    <n v="9720883"/>
    <n v="10472307"/>
    <n v="4937407"/>
    <n v="8559570"/>
    <n v="6367980"/>
    <n v="3036507"/>
    <n v="2440977"/>
    <n v="1995095"/>
    <n v="3061915"/>
  </r>
  <r>
    <x v="14"/>
    <x v="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8754"/>
    <n v="1264505"/>
    <n v="750643"/>
    <n v="1096648"/>
    <n v="1026007.0000000001"/>
    <n v="857887"/>
    <n v="858167"/>
    <n v="781080"/>
    <n v="1517629"/>
    <n v="929977"/>
    <n v="1441595"/>
    <n v="1044772.9999999999"/>
    <n v="927018"/>
    <n v="927483"/>
    <n v="959011"/>
    <n v="676224"/>
    <n v="701775"/>
    <n v="866188"/>
    <n v="742259"/>
    <n v="704642"/>
    <n v="1187914"/>
    <n v="1114456"/>
    <n v="1248780"/>
    <n v="1461405"/>
    <n v="1642715"/>
    <n v="960541"/>
    <n v="1277407"/>
    <n v="960510"/>
    <n v="778771"/>
    <n v="688407"/>
    <n v="669972"/>
    <n v="1141240"/>
    <n v="1120765"/>
    <n v="971156"/>
    <n v="1375057"/>
    <n v="1239561"/>
    <n v="1117735"/>
    <n v="976236"/>
    <n v="724883"/>
    <n v="1021447"/>
    <n v="1229520"/>
    <n v="606882"/>
    <n v="855297"/>
    <n v="901741"/>
    <n v="1135384"/>
    <n v="1066526"/>
    <n v="1328537"/>
    <n v="1121272"/>
    <n v="1109904"/>
    <n v="1169211"/>
    <n v="987952"/>
    <n v="1441317"/>
    <n v="795043"/>
    <n v="1058799"/>
    <n v="555456"/>
    <n v="828931"/>
    <n v="866014"/>
    <n v="1104374"/>
    <n v="1334153"/>
    <n v="1202193"/>
    <n v="1073578"/>
    <n v="1377270"/>
    <n v="1028593.0000000001"/>
    <n v="1178905"/>
    <n v="708535"/>
    <n v="828692"/>
    <n v="812235"/>
    <n v="918627"/>
    <n v="920575"/>
    <n v="1263328"/>
    <n v="943001"/>
    <n v="817781"/>
    <n v="1089465"/>
    <n v="1165922"/>
    <n v="1235079"/>
    <n v="1384731"/>
    <n v="573266"/>
    <n v="828130"/>
    <n v="815230"/>
    <n v="60820"/>
    <n v="719940"/>
    <n v="1011370"/>
    <n v="1145540"/>
    <n v="1315610"/>
    <n v="1286000"/>
    <n v="1114060"/>
    <n v="1230710"/>
    <n v="815716"/>
    <n v="359390"/>
    <n v="970639.67"/>
    <n v="773900"/>
    <n v="643317.82999999996"/>
    <n v="1155744"/>
    <n v="1379107"/>
    <n v="1381077"/>
    <n v="1422724"/>
    <n v="638627"/>
    <n v="1176326"/>
    <n v="900628"/>
    <n v="646109"/>
    <n v="527637"/>
    <n v="486816"/>
    <n v="642784"/>
  </r>
  <r>
    <x v="15"/>
    <x v="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780"/>
    <n v="775950"/>
    <n v="1806893"/>
    <n v="1849124"/>
    <n v="1643830"/>
    <n v="2055284.9999999998"/>
    <n v="1844767"/>
    <n v="1533034"/>
    <n v="989175"/>
    <n v="1577276"/>
    <n v="1533343"/>
    <n v="1214880"/>
    <n v="1250024"/>
    <n v="1664485"/>
    <n v="2400220"/>
    <n v="1748876"/>
    <n v="3908795"/>
    <n v="2616652"/>
    <n v="1755856"/>
    <n v="1190016"/>
    <n v="2112777"/>
    <n v="1306972"/>
    <n v="1646001"/>
    <n v="1443245"/>
    <n v="1399518"/>
    <n v="1262093"/>
    <n v="1888269"/>
    <n v="2003760"/>
    <n v="3354416"/>
    <n v="2148021"/>
    <n v="2023381"/>
    <n v="1882868"/>
    <n v="1859020"/>
    <n v="1736418"/>
    <n v="1466525"/>
    <n v="990251"/>
    <n v="973460"/>
    <n v="1182802"/>
    <n v="2562779"/>
    <n v="2139163"/>
    <n v="2859702"/>
    <n v="3235362"/>
    <n v="3380000"/>
    <n v="1416199"/>
    <n v="1274063"/>
    <n v="1736313"/>
    <n v="758466"/>
    <n v="1030861.0000000001"/>
    <n v="1377671"/>
    <n v="634081"/>
    <n v="1879317"/>
    <n v="1809384"/>
    <n v="2937191"/>
    <n v="3012201"/>
    <n v="2130223"/>
    <n v="2374810"/>
    <n v="1365347"/>
    <n v="1808257"/>
    <n v="1542871"/>
    <n v="1734831"/>
    <n v="1002116"/>
    <n v="1484713"/>
    <n v="1245831"/>
    <n v="3236916"/>
    <n v="3092074.3330000001"/>
    <n v="3467131"/>
    <n v="2872835"/>
    <n v="2166033"/>
    <n v="1519793"/>
    <n v="1338422"/>
    <n v="1114875"/>
    <n v="1120980"/>
    <n v="1303730"/>
    <n v="1046800"/>
    <n v="1179320"/>
    <n v="1929980"/>
    <n v="1360700"/>
    <n v="1549580"/>
    <n v="2241750"/>
    <n v="2380860"/>
    <n v="862400"/>
    <n v="974946"/>
    <n v="1399100"/>
    <n v="1260576"/>
    <n v="900113"/>
    <n v="1242848.17"/>
    <n v="1951758"/>
    <n v="1690846"/>
    <n v="2710914"/>
    <n v="2881677"/>
    <n v="2007824"/>
    <n v="2037420"/>
    <n v="1488548"/>
    <n v="793097"/>
    <n v="705284"/>
    <n v="578524"/>
    <n v="982569"/>
  </r>
  <r>
    <x v="16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7872"/>
    <n v="1331337"/>
    <n v="2380060"/>
    <n v="2407651"/>
    <n v="5485591"/>
    <n v="5273829"/>
    <n v="3848812"/>
    <n v="6826641"/>
    <n v="5764908"/>
    <n v="5610133"/>
    <n v="2872972"/>
    <n v="3984047"/>
    <n v="4080730"/>
    <n v="3434877"/>
    <n v="2888081"/>
    <n v="4178220.0000000005"/>
    <n v="5175616"/>
    <n v="4233438"/>
    <n v="9698284"/>
    <n v="7757729"/>
    <n v="4578614"/>
    <n v="3487474"/>
    <n v="6627680"/>
    <n v="4084100"/>
    <n v="4464006"/>
    <n v="3732561"/>
    <n v="3686130"/>
    <n v="3138635"/>
    <n v="5956500"/>
    <n v="5875331"/>
    <n v="9384131"/>
    <n v="5454082"/>
    <n v="5349208"/>
    <n v="5631499"/>
    <n v="5918581"/>
    <n v="4286991"/>
    <n v="4522680"/>
    <n v="3222703"/>
    <n v="2759363"/>
    <n v="2994669"/>
    <n v="6628092"/>
    <n v="6083605"/>
    <n v="8485116"/>
    <n v="9735906"/>
    <n v="10204239"/>
    <n v="5003435"/>
    <n v="3235871"/>
    <n v="5024617"/>
    <n v="2498948"/>
    <n v="2980954"/>
    <n v="3794776"/>
    <n v="1850982"/>
    <n v="5377612"/>
    <n v="5266763"/>
    <n v="7531133"/>
    <n v="3343421"/>
    <n v="2377177"/>
    <n v="2717295"/>
    <n v="1559725"/>
    <n v="1846167"/>
    <n v="1620454"/>
    <n v="1625665"/>
    <n v="1245853.5"/>
    <n v="1827276"/>
    <n v="1213040"/>
    <n v="3455188.8330000001"/>
    <n v="4107067.1666666665"/>
    <n v="3902409.1666666665"/>
    <n v="3548520.166666666"/>
    <n v="2619913.5000000005"/>
    <n v="1784469.4999999998"/>
    <n v="1310368.3333333333"/>
    <n v="1164917.6666666667"/>
    <n v="1035923.9999999998"/>
    <n v="1325141"/>
    <n v="1073706.9999999998"/>
    <n v="1150438.666666667"/>
    <n v="2406400.833333333"/>
    <n v="1706824.333333334"/>
    <n v="1590789"/>
    <n v="2665431.833333333"/>
    <n v="2905297.333333334"/>
    <n v="982601.16666666674"/>
    <n v="1262395.5"/>
    <n v="1385310.8333333333"/>
    <n v="1512535.3333333333"/>
    <n v="1034380.9999999999"/>
    <n v="1737799.6666666667"/>
    <n v="2319091.5"/>
    <n v="1978201.8333333337"/>
    <n v="3152428"/>
    <n v="3853779.8333333335"/>
    <n v="2603455.8333333335"/>
    <n v="2621344"/>
    <n v="1721605"/>
    <n v="1228086"/>
    <n v="971210"/>
    <n v="754761.33333333337"/>
    <n v="1177563.9999999998"/>
  </r>
  <r>
    <x v="17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4197"/>
    <n v="1281785"/>
    <n v="1402434"/>
    <n v="902901"/>
    <n v="969386"/>
    <n v="926861"/>
    <n v="874344"/>
    <n v="671052"/>
    <n v="975701"/>
    <n v="706453"/>
    <n v="1788786.5"/>
    <n v="2046701.8333333333"/>
    <n v="1966640.8333333335"/>
    <n v="1801483.3333333333"/>
    <n v="1259349.1666666667"/>
    <n v="949200.00000000023"/>
    <n v="783903.99999999988"/>
    <n v="633430.16666666651"/>
    <n v="564653.99999999988"/>
    <n v="725591.5"/>
    <n v="605680.99999999988"/>
    <n v="672066.66666666663"/>
    <n v="1344815.8333333333"/>
    <n v="995400.50000000047"/>
    <n v="860102"/>
    <n v="1423564"/>
    <n v="1545162.6666666667"/>
    <n v="457171.33333333308"/>
    <n v="747375.5"/>
    <n v="789774.33333333337"/>
    <n v="799521.5"/>
    <n v="565002"/>
    <n v="846526"/>
    <n v="1206630"/>
    <n v="999814.5"/>
    <n v="1606934"/>
    <n v="1943813.5000000002"/>
    <n v="1462047.6666666665"/>
    <n v="1411360.333333333"/>
    <n v="953572.00000000012"/>
    <n v="721512"/>
    <n v="456379"/>
    <n v="447203.66666666669"/>
    <n v="577036.66666666663"/>
  </r>
  <r>
    <x v="18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68835"/>
    <n v="2535523"/>
    <n v="2912953"/>
    <n v="1935846"/>
    <n v="1925753"/>
    <n v="1826230"/>
    <n v="1653466"/>
    <n v="1407064.8333333333"/>
    <n v="2037590"/>
    <n v="1497103"/>
    <n v="3412117.6669999999"/>
    <n v="3796491.1666666665"/>
    <n v="3898359.1666666665"/>
    <n v="3525823.4999999995"/>
    <n v="2611863.5"/>
    <n v="1895354.8333333333"/>
    <n v="1554481.3333333333"/>
    <n v="1150347.1669999999"/>
    <n v="1135505"/>
    <n v="1440909.9999999998"/>
    <n v="1156883.9999999995"/>
    <n v="1485186.3333333333"/>
    <n v="2734473.666666667"/>
    <n v="1994421.0000000002"/>
    <n v="1771103"/>
    <n v="2886822.166666667"/>
    <n v="3017431.8333333335"/>
    <n v="1082033.1666666663"/>
    <n v="1577585.1666666667"/>
    <n v="1563860.333333333"/>
    <n v="1631150.5000000002"/>
    <n v="960456.99999999988"/>
    <n v="1607572.1666666667"/>
    <n v="2255751.3330000001"/>
    <n v="1510145.5"/>
    <n v="2944363.0000000005"/>
    <n v="3525298.1666666665"/>
    <n v="3048825.0000000005"/>
    <n v="2939897.166666666"/>
    <n v="2012610.0000000005"/>
    <n v="1316938"/>
    <n v="1287675"/>
    <n v="953416.33333333349"/>
    <n v="1245396.8333333333"/>
  </r>
  <r>
    <x v="19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7872"/>
    <n v="1331337"/>
    <n v="2380060"/>
    <n v="2407651"/>
    <n v="5485591"/>
    <n v="5273829"/>
    <n v="3848812"/>
    <n v="6826641"/>
    <n v="5764908"/>
    <n v="5610133"/>
    <n v="2872972"/>
    <n v="3984047"/>
    <n v="4080730"/>
    <n v="3434877"/>
    <n v="2888081"/>
    <n v="4178220.0000000005"/>
    <n v="5175616"/>
    <n v="4233438"/>
    <n v="9698284"/>
    <n v="7757729"/>
    <n v="4578614"/>
    <n v="3487474"/>
    <n v="6627680"/>
    <n v="4084100"/>
    <n v="4464006"/>
    <n v="3732561"/>
    <n v="3686130"/>
    <n v="3138635"/>
    <n v="5956500"/>
    <n v="5875331"/>
    <n v="9384131"/>
    <n v="5454082"/>
    <n v="5349208"/>
    <n v="5631499"/>
    <n v="5918581"/>
    <n v="4286991"/>
    <n v="4522680"/>
    <n v="3222703"/>
    <n v="2759363"/>
    <n v="2994669"/>
    <n v="6628092"/>
    <n v="6083605"/>
    <n v="8485116"/>
    <n v="9735906"/>
    <n v="10204239"/>
    <n v="5003435"/>
    <n v="3235871"/>
    <n v="5024617"/>
    <n v="2498948"/>
    <n v="2980954"/>
    <n v="3794776"/>
    <n v="1850982"/>
    <n v="5377612"/>
    <n v="5266763"/>
    <n v="7531133"/>
    <n v="8276453"/>
    <n v="6194485"/>
    <n v="7032682"/>
    <n v="4398472"/>
    <n v="4741306"/>
    <n v="4373545"/>
    <n v="4153475"/>
    <n v="3323970.333333333"/>
    <n v="4840567"/>
    <n v="3416596"/>
    <n v="8656093"/>
    <n v="9950260.166666666"/>
    <n v="9767409.166666666"/>
    <n v="8875826.9999999981"/>
    <n v="6491126.166666667"/>
    <n v="4629024.333333333"/>
    <n v="3648753.666666666"/>
    <n v="2948695.0003333334"/>
    <n v="2736082.9999999995"/>
    <n v="3491642.5"/>
    <n v="2836271.9999999991"/>
    <n v="3307691.666666667"/>
    <n v="6485690.333333333"/>
    <n v="4696645.8333333349"/>
    <n v="4221994"/>
    <n v="6975818"/>
    <n v="7467891.833333334"/>
    <n v="2521805.666666666"/>
    <n v="3587356.166666667"/>
    <n v="3738945.4999999995"/>
    <n v="3943207.333333333"/>
    <n v="2559840"/>
    <n v="4191897.833333334"/>
    <n v="5781472.8330000006"/>
    <n v="4488161.833333334"/>
    <n v="7703725"/>
    <n v="9322891.5"/>
    <n v="7114328.5"/>
    <n v="6972601.4999999991"/>
    <n v="4687787"/>
    <n v="3266536"/>
    <n v="2715264"/>
    <n v="2155381.3333333335"/>
    <n v="2999997.5"/>
  </r>
  <r>
    <x v="20"/>
    <x v="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550"/>
    <n v="886235"/>
    <n v="1650447"/>
    <n v="1817542"/>
    <n v="2414458"/>
    <n v="2450502"/>
    <n v="1694658"/>
    <n v="2552926"/>
    <n v="1238599"/>
    <n v="1407553"/>
    <n v="1583020"/>
    <n v="1841255"/>
    <n v="1546706"/>
    <n v="1716354"/>
    <n v="1714383"/>
    <n v="1334358"/>
    <n v="3917976"/>
    <n v="2660555"/>
    <n v="1673429"/>
    <n v="1768019"/>
    <n v="2865283"/>
    <n v="1736921"/>
    <n v="1874917"/>
    <n v="1591821"/>
    <n v="1774032"/>
    <n v="1727177"/>
    <n v="2319108"/>
    <n v="2153362"/>
    <n v="4225327"/>
    <n v="1980988"/>
    <n v="2480564"/>
    <n v="1913913"/>
    <n v="2269862"/>
    <n v="1809511"/>
    <n v="1762964"/>
    <n v="1535907"/>
    <n v="1061950"/>
    <n v="1541377"/>
    <n v="2292778"/>
    <n v="3019620"/>
    <n v="2837785"/>
    <n v="3367060"/>
    <n v="4007545"/>
    <n v="1763402"/>
    <n v="1358004"/>
    <n v="2368150"/>
    <n v="1333310"/>
    <n v="1310388"/>
    <n v="1400964"/>
    <n v="949659"/>
    <n v="1597327"/>
    <n v="1779440"/>
    <n v="2641866"/>
    <n v="3067447"/>
    <n v="2642420"/>
    <n v="2472169"/>
    <n v="1977565"/>
    <n v="1899947"/>
    <n v="1647830"/>
    <n v="1731840"/>
    <n v="1429696"/>
    <n v="2360111"/>
    <n v="1415597"/>
    <n v="3077268"/>
    <n v="2769622.1669999999"/>
    <n v="3470542"/>
    <n v="3674391"/>
    <n v="2921424"/>
    <n v="1891627"/>
    <n v="1578846"/>
    <n v="1072150"/>
    <n v="1231930"/>
    <n v="1304670"/>
    <n v="952700"/>
    <n v="1662830"/>
    <n v="2627140"/>
    <n v="1185000"/>
    <n v="1891170"/>
    <n v="2607370"/>
    <n v="2653010"/>
    <n v="1227770"/>
    <n v="1381137"/>
    <n v="1227910"/>
    <n v="1576450.5"/>
    <n v="1248493"/>
    <n v="1660068.17"/>
    <n v="1795349"/>
    <n v="2220201"/>
    <n v="3284849"/>
    <n v="3665225"/>
    <n v="2197344"/>
    <n v="2575265"/>
    <n v="1522009"/>
    <n v="1149168"/>
    <n v="928632"/>
    <n v="900492"/>
    <n v="1121282"/>
  </r>
  <r>
    <x v="21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9"/>
    <n v="6721"/>
    <n v="432129"/>
    <n v="1520375"/>
    <n v="2968166"/>
    <n v="2290138"/>
    <n v="1363096"/>
    <n v="1767514"/>
    <n v="2180122"/>
    <n v="1688487"/>
    <n v="1565665"/>
    <n v="996372"/>
    <n v="1037016"/>
    <n v="1578818"/>
    <n v="1255354"/>
    <n v="1882077"/>
    <n v="1647827"/>
    <n v="1671897"/>
    <n v="2818887"/>
    <n v="2137341"/>
    <n v="2274551"/>
    <n v="1562836"/>
    <n v="1881641"/>
    <n v="1961270"/>
    <n v="1393198"/>
    <n v="1602759"/>
    <n v="2031063"/>
    <n v="2220167"/>
    <n v="1680900"/>
    <n v="3526058"/>
    <n v="2533712"/>
    <n v="2099524"/>
    <n v="1289445"/>
    <n v="2484508"/>
    <n v="1471871"/>
    <n v="1856276"/>
    <n v="1748361"/>
    <n v="1516352"/>
    <n v="949553"/>
    <n v="2148222"/>
    <n v="2147558"/>
    <n v="3201562"/>
    <n v="2166729"/>
    <n v="2163972"/>
    <n v="2130133"/>
    <n v="2467289"/>
    <n v="1936875"/>
    <n v="2144452"/>
    <n v="1566395"/>
    <n v="1135765"/>
    <n v="1180032"/>
    <n v="2529039"/>
    <n v="2125853"/>
    <n v="2971353"/>
    <n v="3414696"/>
    <n v="3674080"/>
    <n v="1789520"/>
    <n v="1258792"/>
    <n v="1950920"/>
    <n v="912736"/>
    <n v="1139360"/>
    <n v="1672240"/>
    <n v="764728"/>
    <n v="2230600"/>
    <n v="1794872"/>
    <n v="2750952"/>
    <n v="2876996"/>
    <n v="2142059"/>
    <n v="2455923"/>
    <n v="1861191"/>
    <n v="2128825"/>
    <n v="1833303"/>
    <n v="2216382"/>
    <n v="1164281.6666666667"/>
    <n v="1538281"/>
    <n v="1115401"/>
    <n v="3292192.8330000001"/>
    <n v="4063581.1666666665"/>
    <n v="3318626.3333333335"/>
    <n v="2939856.8333333335"/>
    <n v="2325778.5"/>
    <n v="1857396.3333333333"/>
    <n v="1539023.6669999999"/>
    <n v="1571047"/>
    <n v="1594147.3333333333"/>
    <n v="1654660"/>
    <n v="1249565.1666666667"/>
    <n v="1208353.1666666667"/>
    <n v="2327686.5"/>
    <n v="1618839"/>
    <n v="1556666"/>
    <n v="2420835.3333333335"/>
    <n v="2879812.1666666665"/>
    <n v="1043930.0000000001"/>
    <n v="1345047.6666666665"/>
    <n v="1928725.333333333"/>
    <n v="1668470.166666667"/>
    <n v="1189592"/>
    <n v="1230722.6666666665"/>
    <n v="2401153.1666666665"/>
    <n v="1642828.5000000002"/>
    <n v="2756191"/>
    <n v="3278420.333333334"/>
    <n v="2035101"/>
    <n v="1916274.8333333333"/>
    <n v="1342863"/>
    <n v="1163880"/>
    <n v="1443812"/>
    <n v="831086"/>
    <n v="1329357.5"/>
  </r>
  <r>
    <x v="22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64"/>
    <n v="1612558"/>
    <n v="2985126"/>
    <n v="2376735"/>
    <n v="1420914"/>
    <n v="1898240"/>
    <n v="2242870"/>
    <n v="1708631"/>
    <n v="1527256"/>
    <n v="1002109"/>
    <n v="1053384"/>
    <n v="1601652"/>
    <n v="1272756"/>
    <n v="1954068"/>
    <n v="1617592"/>
    <n v="1650578"/>
    <n v="2865778"/>
    <n v="2265306"/>
    <n v="2293178"/>
    <n v="1549550"/>
    <n v="1976804"/>
    <n v="1980996"/>
    <n v="1424392"/>
    <n v="1677828"/>
    <n v="1987896"/>
    <n v="2375664"/>
    <n v="1714416"/>
    <n v="3734468"/>
    <n v="2629504"/>
    <n v="2023960"/>
    <n v="1310404"/>
    <n v="1819968"/>
    <n v="1061392"/>
    <n v="1410752"/>
    <n v="1562844"/>
    <n v="1437576"/>
    <n v="1487628"/>
    <n v="2290712"/>
    <n v="2323544"/>
    <n v="3392664"/>
    <n v="2323544"/>
    <n v="3392664"/>
    <n v="2062381"/>
    <n v="2418634"/>
    <n v="1910706"/>
    <n v="1940993"/>
    <n v="1156098"/>
    <n v="848695"/>
    <n v="1213018"/>
    <n v="2679033"/>
    <n v="2115697"/>
    <n v="3175934"/>
    <n v="3414696"/>
    <n v="3674080"/>
    <n v="1789520"/>
    <n v="1258792"/>
    <n v="1950920"/>
    <n v="912736"/>
    <n v="1139360"/>
    <n v="1672240"/>
    <n v="764728"/>
    <n v="2230600"/>
    <n v="1794872"/>
    <n v="2750952"/>
    <n v="2631782"/>
    <n v="2183032"/>
    <n v="2525478"/>
    <n v="1853140"/>
    <n v="2205512"/>
    <n v="1845779"/>
    <n v="2064605"/>
    <n v="1207038.3333333333"/>
    <n v="1542949"/>
    <n v="1215779"/>
    <n v="3455183.6669999999"/>
    <n v="4370626.666666667"/>
    <n v="3566082.5"/>
    <n v="3000953.1666666665"/>
    <n v="2470244.8330000001"/>
    <n v="1865874"/>
    <n v="1558242.8330000001"/>
    <n v="1561776"/>
    <n v="1428052"/>
    <n v="1840046"/>
    <n v="1350777.3333333333"/>
    <n v="1197807.5"/>
    <n v="2397556.5"/>
    <n v="1556339"/>
    <n v="1570835"/>
    <n v="2521568.166666667"/>
    <n v="2976163.6666666665"/>
    <n v="998148"/>
    <n v="1356700.3333333335"/>
    <n v="1954684"/>
    <n v="1718084"/>
    <n v="1159758"/>
    <n v="1416413"/>
    <n v="2488760.8333333335"/>
    <n v="1715705.1666666665"/>
    <n v="2894685"/>
    <n v="3449434.5"/>
    <n v="2600022.6666666665"/>
    <n v="2662648.833333333"/>
    <n v="1929386"/>
    <n v="1171401"/>
    <n v="1511411"/>
    <n v="828545.99999999988"/>
    <n v="1414251"/>
  </r>
  <r>
    <x v="23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88"/>
    <n v="355493"/>
    <n v="743926"/>
    <n v="564549"/>
    <n v="206081"/>
    <n v="322492"/>
    <n v="1213765"/>
    <n v="862189"/>
    <n v="800677"/>
    <n v="531647"/>
    <n v="480427"/>
    <n v="733131"/>
    <n v="573617"/>
    <n v="962950"/>
    <n v="822234"/>
    <n v="854890"/>
    <n v="1414854"/>
    <n v="1094880"/>
    <n v="1153323"/>
    <n v="802849"/>
    <n v="933893"/>
    <n v="982193"/>
    <n v="655449"/>
    <n v="785826"/>
    <n v="994992"/>
    <n v="1117984"/>
    <n v="923852"/>
    <n v="1733798"/>
    <n v="1294136"/>
    <n v="1005218"/>
    <n v="626370"/>
    <n v="914412"/>
    <n v="481070"/>
    <n v="648708"/>
    <n v="788470"/>
    <n v="713014"/>
    <n v="449018"/>
    <n v="1080560"/>
    <n v="1140230"/>
    <n v="1608552"/>
    <n v="1092753"/>
    <n v="1115309"/>
    <n v="1089306"/>
    <n v="1076092"/>
    <n v="968789"/>
    <n v="1093851"/>
    <n v="793298"/>
    <n v="540609"/>
    <n v="577176"/>
    <n v="1267892"/>
    <n v="1077701"/>
    <n v="1500293"/>
    <n v="1945169.7142857139"/>
    <n v="1945105.7142857139"/>
    <n v="1044022.2857142856"/>
    <n v="666465.42857142852"/>
    <n v="1002365.1428571426"/>
    <n v="455759.14285714278"/>
    <n v="571522.85714285704"/>
    <n v="870903.14285714272"/>
    <n v="345722.57142857136"/>
    <n v="1193433.9999999998"/>
    <n v="1040243.1428571427"/>
    <n v="1422237.4285714284"/>
    <n v="1427149"/>
    <n v="1082536"/>
    <n v="1244004"/>
    <n v="956555"/>
    <n v="994518"/>
    <n v="897468"/>
    <n v="1067487"/>
    <n v="602183"/>
    <n v="778995"/>
    <n v="617648"/>
    <n v="1503183.5"/>
    <n v="2036413.1666666667"/>
    <n v="1722905"/>
    <n v="1492795"/>
    <n v="1243138.5"/>
    <n v="934312"/>
    <n v="807252.33330000006"/>
    <n v="761538"/>
    <n v="708822.66666666663"/>
    <n v="806919"/>
    <n v="637329.33333333337"/>
    <n v="592154.66666666663"/>
    <n v="1183826.8333333333"/>
    <n v="860857"/>
    <n v="800513"/>
    <n v="1221969.8333333333"/>
    <n v="1458360.5"/>
    <n v="515838.83333333314"/>
    <n v="671317.16666666663"/>
    <n v="918109.83333333337"/>
    <n v="808030.16666666651"/>
    <n v="577229"/>
    <n v="632227.5"/>
    <n v="1145010.3333333335"/>
    <n v="850482"/>
    <n v="1388231"/>
    <n v="1647419.5"/>
    <n v="1346771.4999999998"/>
    <n v="1337919.3333333335"/>
    <n v="941835"/>
    <n v="690585"/>
    <n v="822459"/>
    <n v="471964.00000000006"/>
    <n v="677697.16666666674"/>
  </r>
  <r>
    <x v="24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842"/>
    <n v="1593508"/>
    <n v="3335746"/>
    <n v="2269396"/>
    <n v="1947638"/>
    <n v="1420494"/>
    <n v="1469790"/>
    <n v="2166204"/>
    <n v="1711403"/>
    <n v="2521730"/>
    <n v="2685896"/>
    <n v="2089534"/>
    <n v="3422890"/>
    <n v="2800102"/>
    <n v="2221304"/>
    <n v="1774954"/>
    <n v="2381148"/>
    <n v="2184460"/>
    <n v="1784528"/>
    <n v="1934920"/>
    <n v="2291496"/>
    <n v="2881400"/>
    <n v="2317192"/>
    <n v="4639768"/>
    <n v="3589512"/>
    <n v="2314264"/>
    <n v="1375632"/>
    <n v="3042764"/>
    <n v="1923836"/>
    <n v="2218304"/>
    <n v="2156776"/>
    <n v="2072288"/>
    <n v="1787416"/>
    <n v="2581912"/>
    <n v="3084776"/>
    <n v="4310704"/>
    <n v="2721403"/>
    <n v="2508298"/>
    <n v="2308447"/>
    <n v="2885918"/>
    <n v="2409665"/>
    <n v="2481507"/>
    <n v="1551354"/>
    <n v="1391464"/>
    <n v="1474542"/>
    <n v="3375081"/>
    <n v="2759432"/>
    <n v="4151270"/>
    <n v="4862924.2857142854"/>
    <n v="4862764.2857142845"/>
    <n v="2610055.7142857141"/>
    <n v="1666163.5714285714"/>
    <n v="2505912.8571428568"/>
    <n v="1139397.857142857"/>
    <n v="1428807.1428571427"/>
    <n v="2177257.8571428573"/>
    <n v="864306.42857142841"/>
    <n v="2983585"/>
    <n v="2600607.8571428573"/>
    <n v="3555593.5714285714"/>
    <n v="3858704"/>
    <n v="2599900"/>
    <n v="2853702"/>
    <n v="1868696"/>
    <n v="2628886"/>
    <n v="2131752"/>
    <n v="2587680"/>
    <n v="1434402"/>
    <n v="1975962"/>
    <n v="1464558"/>
    <n v="4091390"/>
    <n v="5425706.833333333"/>
    <n v="4602343.5"/>
    <n v="3287850"/>
    <n v="2788988"/>
    <n v="2275750.8333333335"/>
    <n v="1780892"/>
    <n v="1920105"/>
    <n v="1943461.1666666667"/>
    <n v="2173044"/>
    <n v="1623569.6666666667"/>
    <n v="1192945.1666666667"/>
    <n v="2604845.5"/>
    <n v="2466003"/>
    <n v="2041842"/>
    <n v="3107908.5"/>
    <n v="3450450"/>
    <n v="1421869.8333333335"/>
    <n v="1509661.8333333333"/>
    <n v="2358939.5"/>
    <n v="2129851.4999999995"/>
    <n v="1482252.0000000002"/>
    <n v="1571747.8333333333"/>
    <n v="3101468.333333333"/>
    <n v="2446214.0000000005"/>
    <n v="3850245"/>
    <n v="4014718.1666666665"/>
    <n v="2992792.6666666665"/>
    <n v="3195295.6666666665"/>
    <n v="2322041"/>
    <n v="1688678.9999999998"/>
    <n v="1813019"/>
    <n v="1008029.1666666667"/>
    <n v="1651481.1666666665"/>
  </r>
  <r>
    <x v="25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9"/>
    <n v="6721"/>
    <n v="569481"/>
    <n v="3488426"/>
    <n v="6697218"/>
    <n v="5231422"/>
    <n v="2992933"/>
    <n v="5581754"/>
    <n v="8972503"/>
    <n v="6528703"/>
    <n v="5841236"/>
    <n v="3950622"/>
    <n v="4040617"/>
    <n v="6079805"/>
    <n v="4813130"/>
    <n v="7320825"/>
    <n v="6773549"/>
    <n v="6266899"/>
    <n v="10522409"/>
    <n v="8297629"/>
    <n v="7942356"/>
    <n v="5690189"/>
    <n v="7173486"/>
    <n v="7108919"/>
    <n v="5257567"/>
    <n v="6001333"/>
    <n v="7305447"/>
    <n v="8595215"/>
    <n v="6636360"/>
    <n v="13634092"/>
    <n v="10046864"/>
    <n v="7442966"/>
    <n v="4601851"/>
    <n v="8261652"/>
    <n v="4938169"/>
    <n v="6134040"/>
    <n v="6256451"/>
    <n v="5739230"/>
    <n v="4673615"/>
    <n v="8101406"/>
    <n v="8696108"/>
    <n v="12513482"/>
    <n v="8304429"/>
    <n v="9180243"/>
    <n v="7590267"/>
    <n v="8847933"/>
    <n v="7226035"/>
    <n v="7660803"/>
    <n v="5067145"/>
    <n v="3916533"/>
    <n v="4444768"/>
    <n v="9851045"/>
    <n v="8078683"/>
    <n v="11798850"/>
    <n v="13637486"/>
    <n v="14156030"/>
    <n v="7233118"/>
    <n v="4850213"/>
    <n v="7410118"/>
    <n v="3420629"/>
    <n v="4279050"/>
    <n v="6392641"/>
    <n v="2739485"/>
    <n v="8638219"/>
    <n v="7230595"/>
    <n v="10479735"/>
    <n v="10794636"/>
    <n v="8007497"/>
    <n v="9079137"/>
    <n v="6539563"/>
    <n v="7957217"/>
    <n v="6708845"/>
    <n v="7936154"/>
    <n v="4407493"/>
    <n v="5836599"/>
    <n v="4413304"/>
    <n v="12342033"/>
    <n v="15894931"/>
    <n v="13210811"/>
    <n v="10721997"/>
    <n v="8828151"/>
    <n v="6933332"/>
    <n v="5685227"/>
    <n v="5814650"/>
    <n v="5674480"/>
    <n v="6474670"/>
    <n v="4861230"/>
    <n v="4190800"/>
    <n v="8514380"/>
    <n v="6502050"/>
    <n v="5969860"/>
    <n v="9272280"/>
    <n v="10764790"/>
    <n v="3979790"/>
    <n v="4882727"/>
    <n v="7160460"/>
    <n v="6324435.8300000001"/>
    <n v="4408831"/>
    <n v="4851111"/>
    <n v="9136393"/>
    <n v="6655230"/>
    <n v="10889352"/>
    <n v="12389993"/>
    <n v="8974688"/>
    <n v="9112139"/>
    <n v="6536125"/>
    <n v="4714545"/>
    <n v="5590701"/>
    <n v="3139625"/>
    <n v="5072787"/>
  </r>
  <r>
    <x v="26"/>
    <x v="1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749"/>
    <n v="2144765"/>
    <n v="1662073"/>
    <n v="2482455"/>
    <n v="2606078"/>
    <n v="2925461"/>
    <n v="1342684"/>
    <n v="939679"/>
    <n v="1592778"/>
    <n v="734654"/>
    <n v="815633"/>
    <n v="1386006"/>
    <n v="694325"/>
    <n v="1580001"/>
    <n v="1424716"/>
    <n v="2487291"/>
    <n v="2469416"/>
    <n v="1650502"/>
    <n v="2050454.0000000002"/>
    <n v="1424012"/>
    <n v="1669730"/>
    <n v="1395465"/>
    <n v="1721025"/>
    <n v="928771"/>
    <n v="1358022"/>
    <n v="1034175"/>
    <n v="2909834"/>
    <n v="3020841.6670000004"/>
    <n v="2874063"/>
    <n v="2484465"/>
    <n v="2003458"/>
    <n v="1418800"/>
    <n v="1111185"/>
    <n v="971410"/>
    <n v="1151250"/>
    <n v="1425120"/>
    <n v="944140"/>
    <n v="1080080"/>
    <n v="1806970"/>
    <n v="1198160"/>
    <n v="1423880"/>
    <n v="2023220"/>
    <n v="2365580"/>
    <n v="793480"/>
    <n v="1070943"/>
    <n v="1496300"/>
    <n v="1029891.33"/>
    <n v="1317521"/>
    <n v="1265362.83"/>
    <n v="1903648"/>
    <n v="1442224"/>
    <n v="2339124"/>
    <n v="2862541"/>
    <n v="1973806"/>
    <n v="1995188"/>
    <n v="1480910"/>
    <n v="845196"/>
    <n v="984064"/>
    <n v="640000"/>
    <n v="1034864"/>
  </r>
  <r>
    <x v="27"/>
    <x v="1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9070"/>
    <n v="1410892"/>
    <n v="1948001"/>
    <n v="880705"/>
    <n v="856099"/>
    <n v="1213134"/>
    <n v="694231"/>
    <n v="637232"/>
    <n v="726536"/>
    <n v="580470"/>
    <n v="743494"/>
    <n v="908847"/>
    <n v="930298"/>
    <n v="1387726"/>
    <n v="1122607"/>
    <n v="1136679"/>
    <n v="1152750"/>
    <n v="992395"/>
    <n v="669299"/>
    <n v="672814"/>
    <n v="619129"/>
    <n v="1058555"/>
    <n v="920175"/>
    <n v="1326418"/>
    <n v="1055700.3330000001"/>
    <n v="1533365"/>
    <n v="1544692"/>
    <n v="1265863"/>
    <n v="763344"/>
    <n v="896866"/>
    <n v="709475"/>
    <n v="632810"/>
    <n v="616040"/>
    <n v="477560"/>
    <n v="904240"/>
    <n v="1212800"/>
    <n v="663940"/>
    <n v="1048640"/>
    <n v="1255960"/>
    <n v="1149380"/>
    <n v="785440"/>
    <n v="900981"/>
    <n v="818570"/>
    <n v="901145.5"/>
    <n v="759352"/>
    <n v="896014"/>
    <n v="894063"/>
    <n v="1061335"/>
    <n v="1692935"/>
    <n v="1827791"/>
    <n v="763247"/>
    <n v="948889"/>
    <n v="727916"/>
    <n v="470765"/>
    <n v="685808"/>
    <n v="464138"/>
    <n v="626458"/>
  </r>
  <r>
    <x v="28"/>
    <x v="1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7097"/>
    <n v="5626584"/>
    <n v="8261966"/>
    <n v="3606619"/>
    <n v="3383761"/>
    <n v="4678770"/>
    <n v="3232236"/>
    <n v="2607340"/>
    <n v="2884331"/>
    <n v="2210196"/>
    <n v="2756085"/>
    <n v="3401529"/>
    <n v="4189783.0000000005"/>
    <n v="6098799"/>
    <n v="5611828"/>
    <n v="5051090"/>
    <n v="4479251"/>
    <n v="4273132"/>
    <n v="2863518"/>
    <n v="3220348"/>
    <n v="2502848"/>
    <n v="4774780"/>
    <n v="3448613"/>
    <n v="5940483"/>
    <n v="3831988.6660000002"/>
    <n v="7150681"/>
    <n v="7312389"/>
    <n v="6226401"/>
    <n v="2993961"/>
    <n v="3503387"/>
    <n v="2871344"/>
    <n v="2166660"/>
    <n v="2318700"/>
    <n v="1566680"/>
    <n v="3030260"/>
    <n v="4812470"/>
    <n v="2231730"/>
    <n v="4400650"/>
    <n v="5552100"/>
    <n v="4645940"/>
    <n v="3166250"/>
    <n v="3269003"/>
    <n v="3198460"/>
    <n v="3828136.33"/>
    <n v="2814989"/>
    <n v="3503534.67"/>
    <n v="3310606"/>
    <n v="4118523"/>
    <n v="6677956"/>
    <n v="7325267"/>
    <n v="4700419"/>
    <n v="5831044"/>
    <n v="3253961"/>
    <n v="2049026"/>
    <n v="2620337"/>
    <n v="1704683"/>
    <n v="2294438"/>
  </r>
  <r>
    <x v="29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16167"/>
    <n v="7037476"/>
    <n v="10209967"/>
    <n v="4487324"/>
    <n v="4239860"/>
    <n v="5891904"/>
    <n v="3926467"/>
    <n v="3244572"/>
    <n v="3610867"/>
    <n v="2790666"/>
    <n v="3499579"/>
    <n v="4310376"/>
    <n v="5120081"/>
    <n v="7486525"/>
    <n v="6734435"/>
    <n v="6187769"/>
    <n v="5632001"/>
    <n v="5265527"/>
    <n v="3532817"/>
    <n v="3893162"/>
    <n v="3121977"/>
    <n v="5833335"/>
    <n v="4368788"/>
    <n v="7266901"/>
    <n v="4887688.9989999998"/>
    <n v="8684046"/>
    <n v="8857081"/>
    <n v="7492264"/>
    <n v="3757305"/>
    <n v="4400253"/>
    <n v="3580819"/>
    <n v="2799470"/>
    <n v="2934740"/>
    <n v="2044240"/>
    <n v="3934500"/>
    <n v="6025270"/>
    <n v="2895670"/>
    <n v="5449290"/>
    <n v="6808060"/>
    <n v="5795320"/>
    <n v="3951690"/>
    <n v="4169984"/>
    <n v="4017030"/>
    <n v="4729281.83"/>
    <n v="3574341"/>
    <n v="4399548.67"/>
    <n v="4204669"/>
    <n v="5179858"/>
    <n v="8370891"/>
    <n v="9153058"/>
    <n v="5463666"/>
    <n v="6779933"/>
    <n v="3981877"/>
    <n v="2519791"/>
    <n v="3306145"/>
    <n v="2168821"/>
    <n v="2920896"/>
  </r>
  <r>
    <x v="30"/>
    <x v="1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42"/>
    <n v="2458258"/>
    <n v="4214159"/>
    <n v="6386312"/>
    <n v="6523660"/>
    <n v="4491926"/>
    <n v="5700197"/>
    <n v="3942259"/>
    <n v="4452495"/>
    <n v="3890387"/>
    <n v="4765524"/>
    <n v="2761561"/>
    <n v="4070136"/>
    <n v="3001353"/>
    <n v="7495557"/>
    <n v="8361691.5000000009"/>
    <n v="8009140"/>
    <n v="6723360"/>
    <n v="5519061"/>
    <n v="4225393"/>
    <n v="3213262"/>
    <n v="2948513"/>
    <n v="3297590"/>
    <n v="3838060"/>
    <n v="2634870"/>
    <n v="3012980"/>
    <n v="4706240"/>
    <n v="4038300"/>
    <n v="4017780"/>
    <n v="5706700"/>
    <n v="6755750"/>
    <n v="2493940"/>
    <n v="2864775"/>
    <n v="4086740"/>
    <n v="3844386.5"/>
    <n v="2780148"/>
    <n v="3141007.5"/>
    <n v="5226928"/>
    <n v="4201787"/>
    <n v="6342419"/>
    <n v="7575917"/>
    <n v="5616033"/>
    <n v="5882776"/>
    <n v="3446082"/>
    <n v="2305587"/>
    <n v="2854746"/>
    <n v="1756973"/>
    <n v="2837470"/>
  </r>
  <r>
    <x v="31"/>
    <x v="1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0167"/>
    <n v="2960738"/>
    <n v="3740349"/>
    <n v="3579919"/>
    <n v="3561765"/>
    <n v="2808362"/>
    <n v="4633324"/>
    <n v="2653003"/>
    <n v="7213932"/>
    <n v="8318724.3330000006"/>
    <n v="8088034"/>
    <n v="7375073"/>
    <n v="6148495"/>
    <n v="3876541"/>
    <n v="3251519"/>
    <n v="2372320"/>
    <n v="1953880"/>
    <n v="2864630"/>
    <n v="2100060"/>
    <n v="2794130"/>
    <n v="5364500"/>
    <n v="3001410"/>
    <n v="3842850"/>
    <n v="5213190"/>
    <n v="5953530"/>
    <n v="2576680"/>
    <n v="2769475"/>
    <n v="2874250"/>
    <n v="3389979.17"/>
    <n v="2186483"/>
    <n v="3328469.17"/>
    <n v="4730781"/>
    <n v="4245101"/>
    <n v="6413887"/>
    <n v="7585044"/>
    <n v="5763053"/>
    <n v="4782702"/>
    <n v="3544595"/>
    <n v="2933621"/>
    <n v="2640025"/>
    <n v="1918214"/>
    <n v="2570059"/>
  </r>
  <r>
    <x v="32"/>
    <x v="1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8382"/>
    <n v="3231504"/>
    <n v="3317247"/>
    <n v="3797730"/>
    <n v="3326837"/>
    <n v="4611356"/>
    <n v="2044341"/>
    <n v="1651140"/>
    <n v="1904550"/>
    <n v="2235340"/>
    <n v="1910650"/>
    <n v="2745110"/>
    <n v="2183630"/>
    <n v="3323520"/>
    <n v="3535040"/>
    <n v="2971900"/>
    <n v="2400140"/>
    <n v="3145044"/>
    <n v="1676170"/>
    <n v="2421276.33"/>
    <n v="2090636"/>
    <n v="1783581.67"/>
    <n v="2609641"/>
    <n v="2741751"/>
    <n v="3306713"/>
    <n v="3970256"/>
    <n v="2281581"/>
    <n v="3584186"/>
    <n v="3701111"/>
    <n v="2368434"/>
    <n v="1407823"/>
    <n v="960000"/>
    <n v="1431570"/>
  </r>
  <r>
    <x v="33"/>
    <x v="20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1070606"/>
    <n v="604947"/>
    <n v="274400"/>
    <n v="368530"/>
    <n v="677341"/>
    <n v="770903"/>
    <n v="639215"/>
    <n v="801038"/>
    <n v="986971"/>
    <n v="784316"/>
    <n v="1306567"/>
    <n v="600523"/>
    <n v="817636"/>
    <n v="510111"/>
    <n v="714214"/>
    <n v="254965"/>
    <n v="762379"/>
    <n v="436353"/>
    <n v="654427"/>
    <n v="479864"/>
    <n v="2213629"/>
    <n v="947489"/>
    <n v="895633"/>
    <n v="997787"/>
    <n v="1333299"/>
    <n v="725072"/>
    <n v="479214"/>
    <n v="390140"/>
    <n v="438482"/>
    <n v="548965"/>
    <n v="356963"/>
    <n v="792187"/>
    <n v="716431"/>
    <n v="738822"/>
    <n v="1338137"/>
    <n v="1127032"/>
    <n v="579506"/>
    <n v="391388"/>
    <n v="482288"/>
    <n v="725850"/>
    <n v="446300"/>
    <n v="323631"/>
    <n v="793500"/>
    <n v="618189"/>
    <n v="769159"/>
    <n v="1249835"/>
    <n v="893754"/>
    <n v="429099"/>
    <n v="485635"/>
    <n v="1313919"/>
    <n v="554469"/>
    <n v="976115"/>
    <n v="534054"/>
    <n v="827931"/>
    <n v="272148"/>
    <n v="753500"/>
    <n v="881389"/>
    <n v="1777121"/>
    <n v="1091560"/>
    <n v="943690"/>
    <n v="959926"/>
    <n v="1253652"/>
    <n v="798225"/>
    <n v="635582"/>
    <n v="453974"/>
    <n v="354152"/>
    <n v="391623"/>
    <n v="1126290"/>
    <n v="962180"/>
    <n v="1339960"/>
    <n v="1609913"/>
    <n v="1837737"/>
    <n v="707518"/>
    <n v="699138"/>
    <n v="617014"/>
    <n v="419217"/>
    <n v="314250"/>
    <n v="477300"/>
    <n v="170669"/>
    <n v="815770"/>
    <n v="720170"/>
    <n v="980003"/>
    <n v="1436000"/>
    <n v="1002000"/>
    <n v="1059000"/>
    <n v="485000"/>
    <n v="725511"/>
    <n v="527000"/>
    <n v="546000"/>
    <n v="496050"/>
    <n v="467665"/>
    <n v="561135"/>
    <n v="1392322"/>
    <n v="1992997"/>
    <n v="1503000"/>
    <n v="1258599"/>
    <n v="1275143"/>
    <n v="670524"/>
    <n v="438042"/>
    <n v="341291"/>
    <n v="303810"/>
    <n v="442850"/>
    <n v="425320"/>
    <n v="339770"/>
    <n v="851260"/>
    <n v="490510"/>
    <n v="739550"/>
    <n v="1072110"/>
    <n v="1089370"/>
    <n v="359230"/>
    <n v="533171"/>
    <n v="467530"/>
    <n v="421222.17"/>
    <n v="391624"/>
    <n v="650505.67000000004"/>
    <n v="610906"/>
    <n v="646990"/>
    <n v="1235251"/>
    <n v="1717585"/>
    <n v="930144"/>
    <n v="1131250"/>
    <n v="868367"/>
    <n v="313672"/>
    <n v="280577"/>
    <n v="286975"/>
    <n v="258418"/>
  </r>
  <r>
    <x v="34"/>
    <x v="21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0215"/>
    <n v="173201"/>
    <n v="982565"/>
    <n v="783998"/>
    <n v="1048988"/>
    <n v="490915"/>
    <n v="1206080"/>
    <n v="642400"/>
    <n v="1182729"/>
    <n v="705271"/>
    <n v="2965460"/>
    <n v="1439808"/>
    <n v="1180127"/>
    <n v="1507603"/>
    <n v="2006048"/>
    <n v="1270713"/>
    <n v="931910"/>
    <n v="836679"/>
    <n v="732180"/>
    <n v="869872"/>
    <n v="556680"/>
    <n v="1316967"/>
    <n v="1150850"/>
    <n v="1112390"/>
    <n v="2094050"/>
    <n v="1623952"/>
    <n v="992194"/>
    <n v="613263"/>
    <n v="706403"/>
    <n v="1131072"/>
    <n v="697672"/>
    <n v="421921"/>
    <n v="1015031"/>
    <n v="816848"/>
    <n v="988228"/>
    <n v="1935679"/>
    <n v="1064219"/>
    <n v="758680"/>
    <n v="788798"/>
    <n v="1898616"/>
    <n v="944022"/>
    <n v="1434785"/>
    <n v="855285"/>
    <n v="1137834"/>
    <n v="636106"/>
    <n v="1220606"/>
    <n v="1296992"/>
    <n v="2473750"/>
    <n v="1334640"/>
    <n v="1346533"/>
    <n v="1223468"/>
    <n v="1855024"/>
    <n v="1269671"/>
    <n v="1087666"/>
    <n v="935556"/>
    <n v="637630"/>
    <n v="633233"/>
    <n v="1665631"/>
    <n v="1486601"/>
    <n v="1721580"/>
    <n v="2140358"/>
    <n v="2554869"/>
    <n v="1047742.9999999999"/>
    <n v="1052352"/>
    <n v="979630"/>
    <n v="710450"/>
    <n v="635421"/>
    <n v="770996"/>
    <n v="346332"/>
    <n v="1191948"/>
    <n v="1128892"/>
    <n v="1590558"/>
    <n v="1947000"/>
    <n v="1609000"/>
    <n v="1599000"/>
    <n v="866000"/>
    <n v="1142506"/>
    <n v="917000"/>
    <n v="851000"/>
    <n v="801323"/>
    <n v="926032"/>
    <n v="1035661"/>
    <n v="2118836"/>
    <n v="2599520"/>
    <n v="2138000"/>
    <n v="1879647"/>
    <n v="1984820"/>
    <n v="1066314"/>
    <n v="671100"/>
    <n v="588827"/>
    <n v="555480"/>
    <n v="719940"/>
    <n v="634420"/>
    <n v="680950"/>
    <n v="1384380"/>
    <n v="702760"/>
    <n v="1021570"/>
    <n v="1573030"/>
    <n v="1636980"/>
    <n v="695830"/>
    <n v="556352"/>
    <n v="808330"/>
    <n v="874555.67"/>
    <n v="576872"/>
    <n v="1043832.33"/>
    <n v="918940"/>
    <n v="1173882"/>
    <n v="1905750"/>
    <n v="2373001"/>
    <n v="1560911"/>
    <n v="1682136"/>
    <n v="1200899"/>
    <n v="656660"/>
    <n v="634038"/>
    <n v="564302"/>
    <n v="464870"/>
  </r>
  <r>
    <x v="35"/>
    <x v="21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332750.83"/>
    <n v="650637.5"/>
    <n v="1134692"/>
    <n v="1246805"/>
    <n v="1409204"/>
    <n v="821463"/>
    <n v="1165169"/>
    <n v="1528024"/>
    <n v="2988240"/>
    <n v="2334272"/>
    <n v="1011910"/>
    <n v="2188674"/>
    <n v="2653201"/>
    <n v="1510961"/>
    <n v="1182741"/>
    <n v="1073786"/>
    <n v="817276"/>
    <n v="1378725"/>
    <n v="1064358"/>
    <n v="2134257"/>
    <n v="1673228"/>
    <n v="1138557"/>
    <n v="1890615"/>
    <n v="951373"/>
    <n v="2172445"/>
    <n v="1087736"/>
    <n v="1151015"/>
    <n v="1305403"/>
    <n v="1164021"/>
    <n v="1091396"/>
    <n v="1260623"/>
    <n v="1764462"/>
    <n v="1541631"/>
    <n v="3482770"/>
    <n v="2638829"/>
    <n v="1542779"/>
    <n v="1280190"/>
    <n v="1926908"/>
    <n v="1448943"/>
    <n v="1184055"/>
    <n v="1477284"/>
    <n v="1198424"/>
    <n v="1341333"/>
    <n v="2176206"/>
    <n v="1452709"/>
    <n v="3086099"/>
    <n v="1387253"/>
    <n v="1677066"/>
    <n v="1521442"/>
    <n v="1766991"/>
    <n v="1049578"/>
    <n v="1270176"/>
    <n v="1106539"/>
    <n v="718904"/>
    <n v="1235033"/>
    <n v="1941275"/>
    <n v="1999719"/>
    <n v="2656827"/>
    <n v="2508292"/>
    <n v="3063401"/>
    <n v="1470364"/>
    <n v="1120792"/>
    <n v="1754890"/>
    <n v="1079941"/>
    <n v="1098794"/>
    <n v="1025875"/>
    <n v="871621"/>
    <n v="1308710"/>
    <n v="1615344"/>
    <n v="1973432"/>
    <n v="2382000"/>
    <n v="1905000"/>
    <n v="1857000"/>
    <n v="1445000"/>
    <n v="1357353"/>
    <n v="1072000"/>
    <n v="1510000"/>
    <n v="1131056"/>
    <n v="2054768"/>
    <n v="1263631"/>
    <n v="2346561"/>
    <n v="2087447.9999999998"/>
    <n v="2765000"/>
    <n v="2876387"/>
    <n v="2361523"/>
    <n v="1366943"/>
    <n v="1324000"/>
    <n v="785742"/>
    <n v="715390"/>
    <n v="757090"/>
    <n v="779360"/>
    <n v="1529880"/>
    <n v="2324660"/>
    <n v="1259440"/>
    <n v="1930800"/>
    <n v="1978940"/>
    <n v="2331580"/>
    <n v="941780"/>
    <n v="1123208"/>
    <n v="1177160"/>
    <n v="974584"/>
    <n v="805176"/>
    <n v="1223594"/>
    <n v="1522200"/>
    <n v="1717420"/>
    <n v="2567303"/>
    <n v="3175181"/>
    <n v="1966476"/>
    <n v="2011353"/>
    <n v="1765529"/>
    <n v="1112819"/>
    <n v="775122"/>
    <n v="757212"/>
    <n v="862812"/>
  </r>
  <r>
    <x v="36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9000"/>
    <n v="1612319"/>
    <n v="573900"/>
    <n v="1549022"/>
    <n v="1261752"/>
    <n v="3690369"/>
    <n v="3078066"/>
    <n v="1962167"/>
    <n v="2892810"/>
    <n v="2974893"/>
    <n v="2171119"/>
    <n v="1712271"/>
    <n v="1210191"/>
    <n v="988188"/>
    <n v="1157770"/>
    <n v="1103478"/>
    <n v="2002021"/>
    <n v="2118379"/>
    <n v="2201434"/>
    <n v="2460945"/>
    <n v="1731218"/>
    <n v="2110248"/>
    <n v="1176434"/>
    <n v="955519"/>
    <n v="1645821"/>
    <n v="1518625"/>
    <n v="941365"/>
    <n v="1436102"/>
    <n v="1604184"/>
    <n v="1662833"/>
    <n v="2928831"/>
    <n v="2213004"/>
    <n v="1299853"/>
    <n v="1936006"/>
    <n v="2733054"/>
    <n v="1678101"/>
    <n v="866687"/>
    <n v="1171951"/>
    <n v="1680726"/>
    <n v="1340306"/>
    <n v="1701404"/>
    <n v="1916064"/>
    <n v="3717486"/>
    <n v="1863273"/>
    <n v="2308810"/>
    <n v="2176989"/>
    <n v="2303432"/>
    <n v="1566107"/>
    <n v="1356518"/>
    <n v="1503271"/>
    <n v="1020162"/>
    <n v="1300693"/>
    <n v="2038715"/>
    <n v="2683465"/>
    <n v="2416160"/>
    <n v="2639699"/>
    <n v="3657985"/>
    <n v="1629184"/>
    <n v="1367937"/>
    <n v="1658875"/>
    <n v="1100579"/>
    <n v="1093976"/>
    <n v="1126570"/>
    <n v="879380"/>
    <n v="1373008"/>
    <n v="1920511"/>
    <n v="1955066"/>
    <n v="2329668"/>
    <n v="2341387"/>
    <n v="2110773"/>
    <n v="1471665"/>
    <n v="1221759"/>
    <n v="1159744"/>
    <n v="1272329"/>
    <n v="1002739"/>
    <n v="1569632"/>
    <n v="1475402"/>
    <n v="2103690"/>
    <n v="2448416"/>
    <n v="2770000"/>
    <n v="2491501"/>
    <n v="2609857"/>
    <n v="1624033.9999999995"/>
    <n v="1300766.9999999998"/>
    <n v="810104.49999999988"/>
    <n v="862598.99999999988"/>
    <n v="1136351"/>
    <n v="827160.99999999988"/>
    <n v="1396681.9999999998"/>
    <n v="2086199.9999999998"/>
    <n v="1283537.1666666665"/>
    <n v="1665231"/>
    <n v="2346283.666666667"/>
    <n v="2023072.1666666665"/>
    <n v="1343457.6666666667"/>
    <n v="1301822.6666666667"/>
    <n v="928644.1669999999"/>
    <n v="1295394.6666666665"/>
    <n v="1083278"/>
    <n v="1176967.8333333335"/>
    <n v="1210926.1666666667"/>
    <n v="1598767"/>
    <n v="2282047"/>
    <n v="2384808.4999999995"/>
    <n v="1938263.5000000002"/>
    <n v="2148413"/>
    <n v="1251121.9999999998"/>
    <n v="1234020"/>
    <n v="996842"/>
    <n v="823050.83333333349"/>
    <n v="668462.33333333326"/>
  </r>
  <r>
    <x v="37"/>
    <x v="2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18455"/>
    <n v="1400335"/>
    <n v="1265304"/>
    <n v="1390015"/>
    <n v="925352"/>
    <n v="1105123"/>
    <n v="1764557"/>
    <n v="2306816"/>
    <n v="2228585"/>
    <n v="2361652"/>
    <n v="3214863"/>
    <n v="1348639"/>
    <n v="1281140"/>
    <n v="1686268"/>
    <n v="938047"/>
    <n v="962363"/>
    <n v="1012615"/>
    <n v="862587"/>
    <n v="1271198"/>
    <n v="1665409"/>
    <n v="1821372"/>
    <n v="2141083"/>
    <n v="2061809.0000000002"/>
    <n v="1873743"/>
    <n v="1446603"/>
    <n v="1402072"/>
    <n v="1119716"/>
    <n v="1265495"/>
    <n v="909430"/>
    <n v="1409705"/>
    <n v="1181558"/>
    <n v="1934320"/>
    <n v="2234116"/>
    <n v="2452000"/>
    <n v="2335202.9999999995"/>
    <n v="2274867"/>
    <n v="1367501.0000000002"/>
    <n v="990176.99999999988"/>
    <n v="870253.66670000006"/>
    <n v="817677"/>
    <n v="1068687"/>
    <n v="704312.99999999988"/>
    <n v="1234734"/>
    <n v="1889330.0000000005"/>
    <n v="1120179"/>
    <n v="1376060"/>
    <n v="1746067.3333333335"/>
    <n v="1789119.4999999998"/>
    <n v="1047769.6666666669"/>
    <n v="1159160"/>
    <n v="979637.5"/>
    <n v="1251039"/>
    <n v="935731.00000000012"/>
    <n v="1095167.1666666665"/>
    <n v="1108726.8333333333"/>
    <n v="1382938.5000000002"/>
    <n v="1970419"/>
    <n v="2472938.166666667"/>
    <n v="1982337.9999999998"/>
    <n v="2163375.8333333335"/>
    <n v="1138426.9999999998"/>
    <n v="1093450.9999999998"/>
    <n v="967061.00000000012"/>
    <n v="702804.83333333326"/>
    <n v="465887.16666666669"/>
  </r>
  <r>
    <x v="38"/>
    <x v="2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4197"/>
    <n v="1871369"/>
    <n v="3331051"/>
    <n v="3754482"/>
    <n v="2105813"/>
    <n v="1729341"/>
    <n v="1444668"/>
    <n v="1040050.9999999999"/>
    <n v="1829375"/>
    <n v="1594883"/>
    <n v="3262809"/>
    <n v="2529927"/>
    <n v="2092061.0000000002"/>
    <n v="2937746"/>
    <n v="1862331"/>
    <n v="2842155"/>
    <n v="1503131"/>
    <n v="1604042"/>
    <n v="1812506"/>
    <n v="1769761"/>
    <n v="1672927"/>
    <n v="1985320"/>
    <n v="2375728"/>
    <n v="2904398"/>
    <n v="4737639"/>
    <n v="3254717"/>
    <n v="2082190.9999999998"/>
    <n v="1691922"/>
    <n v="3205467"/>
    <n v="2091833"/>
    <n v="1913369"/>
    <n v="2025175"/>
    <n v="1794035"/>
    <n v="1789000"/>
    <n v="3087705"/>
    <n v="2784421"/>
    <n v="5030161"/>
    <n v="2118628"/>
    <n v="2656197"/>
    <n v="2183796"/>
    <n v="2404876"/>
    <n v="1655143"/>
    <n v="1898689"/>
    <n v="1486482"/>
    <n v="1049180"/>
    <n v="1888133"/>
    <n v="3266090"/>
    <n v="3406909"/>
    <n v="4173902"/>
    <n v="4103259"/>
    <n v="4544158"/>
    <n v="1855185"/>
    <n v="1614876"/>
    <n v="2550904"/>
    <n v="1608285"/>
    <n v="1361475"/>
    <n v="1659333"/>
    <n v="1249336"/>
    <n v="2407070"/>
    <n v="2918391"/>
    <n v="3003131"/>
    <n v="3764579"/>
    <n v="2691189"/>
    <n v="2485436"/>
    <n v="2073668.0000000002"/>
    <n v="1966148"/>
    <n v="1563505"/>
    <n v="1778647"/>
    <n v="1997497"/>
    <n v="2491803"/>
    <n v="1835562"/>
    <n v="3762972"/>
    <n v="4329323"/>
    <n v="4322000"/>
    <n v="4177199.0000000005"/>
    <n v="3028118.0000000005"/>
    <n v="1943855.9999999998"/>
    <n v="2077990.0000000007"/>
    <n v="1129779.5"/>
    <n v="901445.99999999988"/>
    <n v="1048476.0000000001"/>
    <n v="1164051"/>
    <n v="1895242"/>
    <n v="3007153.0000000005"/>
    <n v="2096641.9999999998"/>
    <n v="2335010"/>
    <n v="2594255.8333333335"/>
    <n v="3195614.833333333"/>
    <n v="1267749.3333333337"/>
    <n v="1788063"/>
    <n v="1690977.1666666667"/>
    <n v="1852129.5"/>
    <n v="1399257"/>
    <n v="1953930.8333333333"/>
    <n v="2377703.333333333"/>
    <n v="2757260"/>
    <n v="3795388.9999999995"/>
    <n v="4084221.0000000005"/>
    <n v="2533146.666666666"/>
    <n v="3442312.3333333335"/>
    <n v="2747543"/>
    <n v="1193239"/>
    <n v="1230386"/>
    <n v="999827"/>
    <n v="1242692.6666666665"/>
  </r>
  <r>
    <x v="39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678138"/>
    <n v="2223809"/>
    <n v="1760356"/>
    <n v="911997"/>
    <n v="1459118"/>
    <n v="1840282"/>
    <n v="1032883"/>
    <n v="898013"/>
    <n v="748058"/>
    <n v="484924"/>
    <n v="607114"/>
    <n v="720439"/>
    <n v="1550212"/>
    <n v="1291152"/>
    <n v="1069385"/>
    <n v="1431403"/>
    <n v="922555"/>
    <n v="1422372"/>
    <n v="790815"/>
    <n v="817195"/>
    <n v="907165"/>
    <n v="884426"/>
    <n v="820105"/>
    <n v="1038244.9999999999"/>
    <n v="1157562"/>
    <n v="1260744"/>
    <n v="2349255"/>
    <n v="1649953"/>
    <n v="1093277"/>
    <n v="968234"/>
    <n v="1576527"/>
    <n v="1025692"/>
    <n v="992442"/>
    <n v="1043843.0000000001"/>
    <n v="847644"/>
    <n v="967858"/>
    <n v="1538088"/>
    <n v="1371583"/>
    <n v="2279482"/>
    <n v="1045066"/>
    <n v="1325604"/>
    <n v="1068996"/>
    <n v="1217263"/>
    <n v="772832"/>
    <n v="967693"/>
    <n v="762818"/>
    <n v="525883"/>
    <n v="950300"/>
    <n v="1653778"/>
    <n v="1671846"/>
    <n v="2013334"/>
    <n v="2077237.9999999998"/>
    <n v="2153084"/>
    <n v="943342"/>
    <n v="755008"/>
    <n v="1367441"/>
    <n v="864016"/>
    <n v="717993"/>
    <n v="833607"/>
    <n v="651353"/>
    <n v="1131703"/>
    <n v="1428551"/>
    <n v="1502717"/>
    <n v="1826756"/>
    <n v="1250995"/>
    <n v="1215547"/>
    <n v="1089107"/>
    <n v="1045569"/>
    <n v="803874"/>
    <n v="794381"/>
    <n v="993660"/>
    <n v="1282919"/>
    <n v="985940"/>
    <n v="1938569"/>
    <n v="2056130"/>
    <n v="2098000"/>
    <n v="2058487.9999999993"/>
    <n v="1524074.9999999998"/>
    <n v="1030945.0000000001"/>
    <n v="1027759.9999999998"/>
    <n v="559286.33333333326"/>
    <n v="467058.00000000012"/>
    <n v="569410.99999999988"/>
    <n v="691163.00000000012"/>
    <n v="948827"/>
    <n v="1529561.0000000002"/>
    <n v="1048266.6666666666"/>
    <n v="1129831"/>
    <n v="1427587.6666666667"/>
    <n v="1593440.6666666667"/>
    <n v="682592.66666666674"/>
    <n v="932687.16666666663"/>
    <n v="785040.5"/>
    <n v="945165"/>
    <n v="708579"/>
    <n v="1000356.5"/>
    <n v="1203682"/>
    <n v="1357742"/>
    <n v="1864960"/>
    <n v="2083408.3333333333"/>
    <n v="1231348.166666667"/>
    <n v="1645972.1666666667"/>
    <n v="1354628"/>
    <n v="700024"/>
    <n v="643686"/>
    <n v="523261.33333333326"/>
    <n v="629857.66666666674"/>
  </r>
  <r>
    <x v="40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2026683"/>
    <n v="4288464"/>
    <n v="3421805"/>
    <n v="1721051"/>
    <n v="3163104"/>
    <n v="3500890"/>
    <n v="2201458"/>
    <n v="1729311"/>
    <n v="1562622"/>
    <n v="1115292"/>
    <n v="1877244"/>
    <n v="1522217"/>
    <n v="3144660"/>
    <n v="2479383"/>
    <n v="1939708"/>
    <n v="2741603"/>
    <n v="1760506"/>
    <n v="2832728"/>
    <n v="1728105"/>
    <n v="1609240"/>
    <n v="1794856"/>
    <n v="1768921"/>
    <n v="1340128"/>
    <n v="1666232"/>
    <n v="2105155"/>
    <n v="2551267"/>
    <n v="4658896"/>
    <n v="3387921"/>
    <n v="2059279"/>
    <n v="1970512"/>
    <n v="2944256"/>
    <n v="2061293.0000000002"/>
    <n v="1652595"/>
    <n v="1697473"/>
    <n v="1750526"/>
    <n v="1990918"/>
    <n v="2985932"/>
    <n v="2563238"/>
    <n v="3916536"/>
    <n v="1826039"/>
    <n v="2428807"/>
    <n v="2101754"/>
    <n v="2290766"/>
    <n v="1733551"/>
    <n v="1795407"/>
    <n v="1321980"/>
    <n v="969214"/>
    <n v="1790501"/>
    <n v="3118162"/>
    <n v="3254202"/>
    <n v="3704682"/>
    <n v="3919047"/>
    <n v="4361416"/>
    <n v="1884197"/>
    <n v="1646200"/>
    <n v="2739344"/>
    <n v="1822456"/>
    <n v="1502317"/>
    <n v="1557369"/>
    <n v="1338149"/>
    <n v="2108293"/>
    <n v="2606889"/>
    <n v="2892868"/>
    <n v="3476046"/>
    <n v="2692324"/>
    <n v="2604433"/>
    <n v="2179296"/>
    <n v="2036227"/>
    <n v="1582110"/>
    <n v="1724198"/>
    <n v="1922465"/>
    <n v="2610012"/>
    <n v="1956824"/>
    <n v="3690247"/>
    <n v="3724479"/>
    <n v="4120000"/>
    <n v="3922232"/>
    <n v="3005506.9999999995"/>
    <n v="2001895.9999999998"/>
    <n v="2106449.0000000005"/>
    <n v="1185090.3329999996"/>
    <n v="951491.00000000023"/>
    <n v="1163583.0000000002"/>
    <n v="1378576.9999999998"/>
    <n v="1930352"/>
    <n v="2799745"/>
    <n v="2143290.1666666665"/>
    <n v="2350583"/>
    <n v="2948876.1666666665"/>
    <n v="3113729.333333333"/>
    <n v="1471637.8333333337"/>
    <n v="1831044"/>
    <n v="1389571.8333333333"/>
    <n v="1717273.1666666665"/>
    <n v="1280682"/>
    <n v="1873966"/>
    <n v="2315584.6666666665"/>
    <n v="2728935.9999999995"/>
    <n v="3646570"/>
    <n v="3986048.666666666"/>
    <n v="2326408.833333334"/>
    <n v="3179203"/>
    <n v="2581054"/>
    <n v="1576480.9999999998"/>
    <n v="1285467"/>
    <n v="1059118.1666666667"/>
    <n v="1341582.1666666665"/>
  </r>
  <r>
    <x v="41"/>
    <x v="2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3697"/>
    <n v="858293"/>
    <n v="1985251"/>
    <n v="1491446"/>
    <n v="1235926"/>
    <n v="779886"/>
    <n v="947360"/>
    <n v="1009194"/>
    <n v="899872"/>
    <n v="1798932"/>
    <n v="2189627"/>
    <n v="2259430"/>
    <n v="1775049"/>
    <n v="1241001"/>
    <n v="1513416"/>
    <n v="2142847"/>
    <n v="1198704"/>
    <n v="982212"/>
    <n v="719660"/>
    <n v="824824"/>
    <n v="1051228"/>
    <n v="1986047"/>
    <n v="1669409"/>
    <n v="2096393"/>
    <n v="1185369"/>
    <n v="1584878"/>
    <n v="1894049"/>
    <n v="1428453"/>
    <n v="1423129"/>
    <n v="1517436"/>
    <n v="631883"/>
    <n v="842718"/>
    <n v="1098516"/>
    <n v="1871602"/>
    <n v="1958792"/>
    <n v="1770133"/>
    <n v="1817647"/>
    <n v="1905969"/>
    <n v="1775999"/>
    <n v="1374695"/>
    <n v="1792549"/>
    <n v="989622"/>
    <n v="1367157"/>
    <n v="500985"/>
    <n v="942249"/>
    <n v="1147106"/>
    <n v="2117290"/>
    <n v="1415695"/>
    <n v="1129000"/>
    <n v="1404000"/>
    <n v="1833000"/>
    <n v="1572000"/>
    <n v="1351817"/>
    <n v="839000"/>
    <n v="1154000"/>
    <n v="926279"/>
    <n v="901624"/>
    <n v="1239873"/>
    <n v="1478071"/>
    <n v="1609721"/>
    <n v="1510000"/>
    <n v="1940829"/>
    <n v="1648237"/>
    <n v="2040370"/>
    <n v="2532027"/>
    <n v="880365"/>
    <n v="664080"/>
    <n v="799800"/>
    <n v="967960"/>
    <n v="1139790"/>
    <n v="1718100"/>
    <n v="1345660"/>
    <n v="1463840"/>
    <n v="1777490"/>
    <n v="1448600"/>
    <n v="1120260"/>
    <n v="1476064"/>
    <n v="824660"/>
    <n v="1161911.5"/>
    <n v="628625"/>
    <n v="594822.32999999996"/>
    <n v="1352736"/>
    <n v="1571652"/>
    <n v="1555158"/>
    <n v="2599956"/>
    <n v="1034805"/>
    <n v="2183672"/>
    <n v="2076256"/>
    <n v="1091143"/>
    <n v="678574"/>
    <n v="402680"/>
    <n v="595864"/>
  </r>
  <r>
    <x v="42"/>
    <x v="2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00"/>
    <n v="1013852.0000000001"/>
    <n v="1139342"/>
    <n v="2338822"/>
    <n v="1784373"/>
    <n v="1726229"/>
    <n v="2117570"/>
    <n v="955438"/>
    <n v="2030217"/>
    <n v="1144279"/>
    <n v="1176016"/>
    <n v="1350469"/>
    <n v="1166590"/>
    <n v="1099120"/>
    <n v="1167497"/>
    <n v="1745140"/>
    <n v="1474783"/>
    <n v="3488902"/>
    <n v="2493151"/>
    <n v="1987002"/>
    <n v="1383099"/>
    <n v="2357746"/>
    <n v="1625806"/>
    <n v="1293796"/>
    <n v="1457264"/>
    <n v="1405817"/>
    <n v="1566894"/>
    <n v="2373406"/>
    <n v="1888678"/>
    <n v="3549151"/>
    <n v="1564164"/>
    <n v="1850592"/>
    <n v="1405930"/>
    <n v="1715319"/>
    <n v="1238411"/>
    <n v="1279280"/>
    <n v="1284521"/>
    <n v="687726"/>
    <n v="1166922"/>
    <n v="2391238"/>
    <n v="2496622"/>
    <n v="3092523"/>
    <n v="2869067"/>
    <n v="3177961"/>
    <n v="1332719"/>
    <n v="1156386"/>
    <n v="2118420"/>
    <n v="1454062"/>
    <n v="1128515"/>
    <n v="991745"/>
    <n v="978793"/>
    <n v="1361367"/>
    <n v="1908672"/>
    <n v="2057724.0000000002"/>
    <n v="2443996"/>
    <n v="2179162"/>
    <n v="1949618"/>
    <n v="1628212"/>
    <n v="1619979"/>
    <n v="1162619"/>
    <n v="1537090"/>
    <n v="1326731"/>
    <n v="2061664.0000000002"/>
    <n v="1230227"/>
    <n v="2306509"/>
    <n v="2654244"/>
    <n v="2989000"/>
    <n v="3118138"/>
    <n v="2402896.0000000005"/>
    <n v="1314913.9999999998"/>
    <n v="1371081.9999999998"/>
    <n v="774762.83300000022"/>
    <n v="643102.99999999988"/>
    <n v="799872.99999999988"/>
    <n v="844561.00000000012"/>
    <n v="1638788.9999999998"/>
    <n v="2232620"/>
    <n v="1339627.6666666663"/>
    <n v="1824636"/>
    <n v="1975748.6666666667"/>
    <n v="2166461.166666667"/>
    <n v="976215.16666666674"/>
    <n v="1284880.8333333335"/>
    <n v="1237469.833333333"/>
    <n v="1202664"/>
    <n v="923229"/>
    <n v="1259644.6666666665"/>
    <n v="1692045.5000000002"/>
    <n v="2119905.333333333"/>
    <n v="2798691"/>
    <n v="3108770.666666667"/>
    <n v="1810017.5"/>
    <n v="1984942.4999999998"/>
    <n v="1962921"/>
    <n v="1208146"/>
    <n v="954926.99999999988"/>
    <n v="682990.33333333337"/>
    <n v="986978.49999999988"/>
  </r>
  <r>
    <x v="43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n v="0"/>
    <n v="0"/>
    <n v="0"/>
    <n v="72975"/>
    <n v="193000"/>
    <n v="261807.00000000003"/>
    <n v="402092"/>
    <n v="283068"/>
    <n v="289851"/>
    <n v="822705"/>
    <n v="681771"/>
    <n v="964053"/>
    <n v="915451"/>
    <n v="1030386"/>
    <n v="429884"/>
    <n v="358354"/>
    <n v="661690"/>
    <n v="437887"/>
    <n v="347729"/>
    <n v="274407"/>
    <n v="333603"/>
    <n v="429176"/>
    <n v="577185"/>
    <n v="640240"/>
    <n v="771650"/>
    <n v="704582"/>
    <n v="642417"/>
    <n v="543965"/>
    <n v="451950"/>
    <n v="351767"/>
    <n v="455320"/>
    <n v="412107"/>
    <n v="670673"/>
    <n v="386043"/>
    <n v="624965"/>
    <n v="833973"/>
    <n v="926000"/>
    <n v="977038"/>
    <n v="805800.99999999988"/>
    <n v="385844.00000000006"/>
    <n v="409950"/>
    <n v="214754.66669999997"/>
    <n v="179503"/>
    <n v="247390"/>
    <n v="250192"/>
    <n v="540401.00000000012"/>
    <n v="681602"/>
    <n v="406220.16666666663"/>
    <n v="610099"/>
    <n v="606149.16666666663"/>
    <n v="724752.16666666651"/>
    <n v="357810.33333333349"/>
    <n v="387988.16666666669"/>
    <n v="379576"/>
    <n v="348566"/>
    <n v="261991"/>
    <n v="393462.16666666663"/>
    <n v="504227.83333333331"/>
    <n v="661497.66666666663"/>
    <n v="908681"/>
    <n v="1047089.6666666667"/>
    <n v="661684.66666666651"/>
    <n v="672982.83333333337"/>
    <n v="555412"/>
    <n v="398095"/>
    <n v="327665"/>
    <n v="212921.83333333328"/>
    <n v="325703"/>
  </r>
  <r>
    <x v="44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5365"/>
    <n v="1019917"/>
    <n v="1156965"/>
    <n v="2383974"/>
    <n v="1806034"/>
    <n v="1509373"/>
    <n v="2277764"/>
    <n v="926957"/>
    <n v="2224591"/>
    <n v="1267207"/>
    <n v="1206844"/>
    <n v="1466756"/>
    <n v="1184364"/>
    <n v="1252543"/>
    <n v="1286418"/>
    <n v="1690174"/>
    <n v="1502577"/>
    <n v="3301420"/>
    <n v="2475140"/>
    <n v="2225281"/>
    <n v="1585990"/>
    <n v="2480895"/>
    <n v="1650264"/>
    <n v="1335528"/>
    <n v="1559854"/>
    <n v="1416117"/>
    <n v="1637916"/>
    <n v="2370479"/>
    <n v="1895337"/>
    <n v="3439620"/>
    <n v="1538784"/>
    <n v="1922625"/>
    <n v="1574596"/>
    <n v="1803156"/>
    <n v="1080000"/>
    <n v="1317125"/>
    <n v="1426079"/>
    <n v="751176"/>
    <n v="1201829"/>
    <n v="2356414"/>
    <n v="2527004"/>
    <n v="2934892"/>
    <n v="2739264"/>
    <n v="3146663"/>
    <n v="1367299"/>
    <n v="1195807"/>
    <n v="2132986"/>
    <n v="1493957"/>
    <n v="1110226"/>
    <n v="1062769"/>
    <n v="1074386"/>
    <n v="1408364"/>
    <n v="1858506"/>
    <n v="1990089"/>
    <n v="2456873"/>
    <n v="2144583"/>
    <n v="1999592"/>
    <n v="1663025"/>
    <n v="1513342"/>
    <n v="1209670"/>
    <n v="1464728"/>
    <n v="1321016"/>
    <n v="2014591"/>
    <n v="1313452"/>
    <n v="2244016"/>
    <n v="2557569"/>
    <n v="2945000"/>
    <n v="3164565.0000000005"/>
    <n v="2504746.9999999995"/>
    <n v="1338045"/>
    <n v="1376740"/>
    <n v="718952.16699999967"/>
    <n v="652359.00000000012"/>
    <n v="880441.99999999988"/>
    <n v="748138.00000000012"/>
    <n v="1611205.0000000002"/>
    <n v="2237857"/>
    <n v="1396304"/>
    <n v="1901747"/>
    <n v="2010427.1666666667"/>
    <n v="2313421.1666666665"/>
    <n v="1139023.1666666665"/>
    <n v="1318455.5"/>
    <n v="1270830"/>
    <n v="1241487"/>
    <n v="970405"/>
    <n v="1274260.6666666665"/>
    <n v="1735340.5"/>
    <n v="2047698.8333333333"/>
    <n v="2789141"/>
    <n v="3212345.8333333335"/>
    <n v="1609607.1666666667"/>
    <n v="1933897.6666666667"/>
    <n v="2011738"/>
    <n v="1165920"/>
    <n v="1014108"/>
    <n v="751601"/>
    <n v="1062757.3333333335"/>
  </r>
  <r>
    <x v="45"/>
    <x v="2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n v="1037493"/>
    <n v="1239464"/>
    <n v="1297860"/>
    <n v="1658150"/>
    <n v="950257"/>
    <n v="3808007"/>
    <n v="2845919"/>
    <n v="1775665"/>
    <n v="1554729"/>
    <n v="2605798"/>
    <n v="1574090"/>
    <n v="1635596"/>
    <n v="1504189"/>
    <n v="1613587"/>
    <n v="1051593"/>
    <n v="2376934"/>
    <n v="1784894"/>
    <n v="4023181"/>
    <n v="1500361"/>
    <n v="1980050"/>
    <n v="1944448"/>
    <n v="2275436"/>
    <n v="1440463"/>
    <n v="1577571"/>
    <n v="1556154"/>
    <n v="897654"/>
    <n v="1450609"/>
    <n v="2184758"/>
    <n v="2649903"/>
    <n v="2699030"/>
    <n v="3036225"/>
    <n v="3586968"/>
    <n v="1576819"/>
    <n v="1089159"/>
    <n v="2232299"/>
    <n v="1350712"/>
    <n v="1167445"/>
    <n v="1256873"/>
    <n v="972386"/>
    <n v="1371612"/>
    <n v="1624416"/>
    <n v="2585357"/>
    <n v="2933000"/>
    <n v="2404000"/>
    <n v="2107000"/>
    <n v="1745000"/>
    <n v="1652314"/>
    <n v="1437000"/>
    <n v="1642000"/>
    <n v="1338728"/>
    <n v="2263679"/>
    <n v="1346909"/>
    <n v="3039280"/>
    <n v="2370823"/>
    <n v="3330000"/>
    <n v="3570676"/>
    <n v="2721913"/>
    <n v="1691609"/>
    <n v="1557025"/>
    <n v="970670"/>
    <n v="871880"/>
    <n v="938960"/>
    <n v="822630"/>
    <n v="1573180"/>
    <n v="2356540"/>
    <n v="1149470"/>
    <n v="2054870"/>
    <n v="2472710"/>
    <n v="2598170"/>
    <n v="990240"/>
    <n v="1277831"/>
    <n v="1315450"/>
    <n v="1538176"/>
    <n v="1040225"/>
    <n v="1539031.67"/>
    <n v="1751672"/>
    <n v="2112017"/>
    <n v="3175369"/>
    <n v="3548276"/>
    <n v="2179349"/>
    <n v="2419058"/>
    <n v="1855341"/>
    <n v="1068319"/>
    <n v="942005"/>
    <n v="833665"/>
    <n v="1039298"/>
  </r>
  <r>
    <x v="46"/>
    <x v="30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n v="4142"/>
    <n v="174740"/>
    <n v="1481695"/>
    <n v="1831810"/>
    <n v="1977790"/>
    <n v="1755435"/>
    <n v="3934355"/>
    <n v="2903950"/>
    <n v="1888600"/>
    <n v="2379440"/>
    <n v="3577718"/>
    <n v="2314201"/>
    <n v="2322602"/>
    <n v="1582814"/>
    <n v="1848765"/>
    <n v="1679623"/>
    <n v="1908103"/>
    <n v="2393741"/>
    <n v="4585484"/>
    <n v="2250566"/>
    <n v="2635595"/>
    <n v="2364046"/>
    <n v="2189165"/>
    <n v="1752865"/>
    <n v="1440989"/>
    <n v="1637714"/>
    <n v="1078767"/>
    <n v="1405860"/>
    <n v="2047907"/>
    <n v="3186511"/>
    <n v="3289860"/>
    <n v="3374564"/>
    <n v="4555362"/>
    <n v="2038712"/>
    <n v="1819614"/>
    <n v="2386951"/>
    <n v="1484488"/>
    <n v="1248914"/>
    <n v="1368820"/>
    <n v="1075378"/>
    <n v="1526199"/>
    <n v="1854554"/>
    <n v="2398675"/>
    <n v="3111560"/>
    <n v="2784065"/>
    <n v="2561528"/>
    <n v="2010181"/>
    <n v="1959775"/>
    <n v="1352842"/>
    <n v="1414304"/>
    <n v="1325903"/>
    <n v="2011074"/>
    <n v="1910989"/>
    <n v="3126859"/>
    <n v="3693492"/>
    <n v="4073034"/>
    <n v="3862983"/>
    <n v="3446666"/>
    <n v="1778931"/>
    <n v="1589496.3333333333"/>
    <n v="1221355"/>
    <n v="1078367"/>
    <n v="1106650"/>
    <n v="835257"/>
    <n v="1771134"/>
    <n v="2890204.8333333335"/>
    <n v="1807562"/>
    <n v="2295196.8333333335"/>
    <n v="3152466"/>
    <n v="2858258"/>
    <n v="2037303.6666666667"/>
    <n v="2038314"/>
    <n v="1727070.6666666667"/>
    <n v="1824441"/>
    <n v="1454780.8333333333"/>
    <n v="1718244.8333333333"/>
    <n v="1851047.1666666667"/>
    <n v="2372375"/>
    <n v="3549260"/>
    <n v="4243351"/>
    <n v="3215143.1666666674"/>
    <n v="3793521.166666667"/>
    <n v="1847366"/>
    <n v="1293834"/>
    <n v="1552270"/>
    <n v="963011"/>
    <n v="1080862.666666667"/>
  </r>
  <r>
    <x v="47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5"/>
    <n v="179258"/>
    <n v="1373715"/>
    <n v="1689788"/>
    <n v="1902640"/>
    <n v="1838508"/>
    <n v="3807681"/>
    <n v="2687100"/>
    <n v="1531281"/>
    <n v="2140982"/>
    <n v="3414600"/>
    <n v="1381736"/>
    <n v="1805883"/>
    <n v="1418703"/>
    <n v="1778470"/>
    <n v="1579499"/>
    <n v="1904680"/>
    <n v="2513205"/>
    <n v="4579759"/>
    <n v="2336399"/>
    <n v="2411808"/>
    <n v="2422180"/>
    <n v="2140963"/>
    <n v="1688356"/>
    <n v="1277841"/>
    <n v="1436856"/>
    <n v="981797"/>
    <n v="1369935"/>
    <n v="2225076"/>
    <n v="3093692"/>
    <n v="3151281"/>
    <n v="3188878"/>
    <n v="4627617"/>
    <n v="1964115"/>
    <n v="1765800"/>
    <n v="2298998"/>
    <n v="1375599"/>
    <n v="1137459"/>
    <n v="1333149"/>
    <n v="1019957"/>
    <n v="1547968"/>
    <n v="1941144"/>
    <n v="2289898"/>
    <n v="3125101"/>
    <n v="2684182"/>
    <n v="2424284"/>
    <n v="2052659"/>
    <n v="1949050"/>
    <n v="1206644"/>
    <n v="1558740"/>
    <n v="1207704"/>
    <n v="2003642"/>
    <n v="1976620"/>
    <n v="2882798"/>
    <n v="3469405"/>
    <n v="3787388"/>
    <n v="3449550"/>
    <n v="3000382"/>
    <n v="1758349"/>
    <n v="1614464.3333333333"/>
    <n v="1170829"/>
    <n v="1028306"/>
    <n v="1032797"/>
    <n v="805909"/>
    <n v="1607056"/>
    <n v="2779668.3333333335"/>
    <n v="1837132"/>
    <n v="2106197.3333333335"/>
    <n v="2961192.3330000001"/>
    <n v="2618841.6666666665"/>
    <n v="1786109.1666666667"/>
    <n v="1918601.1666666667"/>
    <n v="1551332.3333333333"/>
    <n v="1682949"/>
    <n v="1253219.1666666667"/>
    <n v="1583571.6666666667"/>
    <n v="1722607.6666666667"/>
    <n v="2117603"/>
    <n v="3410078"/>
    <n v="4237411"/>
    <n v="2076893.833333333"/>
    <n v="3788580.5000000005"/>
    <n v="1364110.9999999998"/>
    <n v="1081382"/>
    <n v="1417877"/>
    <n v="741653.83333333326"/>
    <n v="882458"/>
  </r>
  <r>
    <x v="48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0"/>
    <n v="165035"/>
    <n v="1365921"/>
    <n v="1735792"/>
    <n v="1902003"/>
    <n v="1741383"/>
    <n v="3818197"/>
    <n v="2736518"/>
    <n v="1674594"/>
    <n v="2315729"/>
    <n v="3452727"/>
    <n v="2130209"/>
    <n v="2218682"/>
    <n v="1467639"/>
    <n v="1798848"/>
    <n v="1621053"/>
    <n v="1915728"/>
    <n v="2407865"/>
    <n v="4443716"/>
    <n v="2196711"/>
    <n v="2451469"/>
    <n v="2266069"/>
    <n v="2017347"/>
    <n v="1719972"/>
    <n v="1343888"/>
    <n v="1420178"/>
    <n v="983722"/>
    <n v="1380482"/>
    <n v="2034113"/>
    <n v="3115467"/>
    <n v="2817401"/>
    <n v="3072574"/>
    <n v="4305742"/>
    <n v="1789955"/>
    <n v="1614180"/>
    <n v="2160668"/>
    <n v="1373376"/>
    <n v="1115010"/>
    <n v="1323255"/>
    <n v="949212"/>
    <n v="1370908"/>
    <n v="1664249"/>
    <n v="2221535"/>
    <n v="3079223"/>
    <n v="2434295"/>
    <n v="2459206"/>
    <n v="1733724"/>
    <n v="1907099"/>
    <n v="1103303"/>
    <n v="1541130"/>
    <n v="1138060"/>
    <n v="1785016"/>
    <n v="1733178"/>
    <n v="2497367"/>
    <n v="2288828"/>
    <n v="3324791"/>
    <n v="3219169"/>
    <n v="2853053"/>
    <n v="1603893"/>
    <n v="1374309.5"/>
    <n v="1105703"/>
    <n v="984936"/>
    <n v="906824"/>
    <n v="761646"/>
    <n v="1823487"/>
    <n v="2763251.6666666665"/>
    <n v="1741720"/>
    <n v="2157057.1666666665"/>
    <n v="2900907.1669999999"/>
    <n v="2611484.3333333335"/>
    <n v="1840744"/>
    <n v="1991757.6666666667"/>
    <n v="1584066"/>
    <n v="1711716"/>
    <n v="1239233.8333333333"/>
    <n v="1605674"/>
    <n v="1694966"/>
    <n v="2083105"/>
    <n v="3210558.6666666665"/>
    <n v="4041451.6666666665"/>
    <n v="2994614"/>
    <n v="3679668"/>
    <n v="1720007"/>
    <n v="1151163"/>
    <n v="1517620"/>
    <n v="798352"/>
    <n v="944406.66666666663"/>
  </r>
  <r>
    <x v="49"/>
    <x v="31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1324"/>
    <n v="1587851"/>
    <n v="2917003"/>
    <n v="2519817"/>
    <n v="3958025"/>
    <n v="3450026"/>
    <n v="2975778"/>
    <n v="2844164"/>
    <n v="3201589"/>
    <n v="2522359"/>
    <n v="2161009"/>
    <n v="1636645"/>
    <n v="1487781"/>
    <n v="2895964"/>
    <n v="2885067"/>
    <n v="2457608"/>
    <n v="3483304"/>
    <n v="2413100"/>
    <n v="2673236"/>
    <n v="2614479"/>
    <n v="1831183"/>
    <n v="2824000"/>
    <n v="3444934"/>
    <n v="1428803"/>
    <n v="1806043"/>
    <n v="2261027"/>
    <n v="3435743"/>
    <n v="2090208.9999999998"/>
    <n v="2665970"/>
    <n v="2392975"/>
    <n v="2896458"/>
    <n v="3157263"/>
    <n v="2589188"/>
    <n v="3886000"/>
    <n v="2039951"/>
    <n v="2736605"/>
    <n v="1384248"/>
    <n v="2030215"/>
    <n v="2339630"/>
    <n v="2273208"/>
    <n v="1828519"/>
    <n v="1622272"/>
    <n v="1394163"/>
    <n v="2271702"/>
    <n v="2037058"/>
    <n v="2894369"/>
    <n v="1837629"/>
    <n v="2048947.9999999998"/>
    <n v="1913081"/>
    <n v="2213509"/>
    <n v="2499364"/>
    <n v="2261523"/>
    <n v="2383806"/>
    <n v="2250000"/>
    <n v="2310678"/>
    <n v="2671047.0000000005"/>
    <n v="3481545"/>
    <n v="3799038.0000000005"/>
    <n v="1541820.5000000002"/>
    <n v="1797108"/>
    <n v="1625936"/>
    <n v="1706324.0000000002"/>
    <n v="2591863"/>
    <n v="1776821.9999999998"/>
    <n v="2169994.333333333"/>
    <n v="1573088.3333333333"/>
    <n v="2888101.3333333335"/>
    <n v="2131241.5"/>
    <n v="2887211.6666666665"/>
    <n v="2310322"/>
    <n v="1366835.5"/>
    <n v="2537860"/>
    <n v="1818517.3333333333"/>
    <n v="1668020.6666666667"/>
    <n v="2980185.3333333335"/>
    <n v="2968459"/>
    <n v="2590103.3333333335"/>
    <n v="3626173.333333333"/>
    <n v="1557069.6666666667"/>
    <n v="3125595.666666667"/>
    <n v="2763882"/>
    <n v="2114269"/>
    <n v="1788382"/>
    <n v="1033421.6666666666"/>
    <n v="1451209.8333333333"/>
  </r>
  <r>
    <x v="5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53"/>
    <n v="720692"/>
    <n v="1381076"/>
    <n v="1165141"/>
    <n v="1989335"/>
    <n v="1798184"/>
    <n v="1601475"/>
    <n v="1416524"/>
    <n v="1639080"/>
    <n v="1313627"/>
    <n v="1041839"/>
    <n v="800862"/>
    <n v="714298"/>
    <n v="1430537"/>
    <n v="1443132"/>
    <n v="1182632"/>
    <n v="1803352"/>
    <n v="1246114"/>
    <n v="1448508"/>
    <n v="1319025"/>
    <n v="917111"/>
    <n v="1493972"/>
    <n v="1732695"/>
    <n v="668020"/>
    <n v="1010179"/>
    <n v="1141334"/>
    <n v="1643334"/>
    <n v="1083085"/>
    <n v="1305288"/>
    <n v="1126889"/>
    <n v="1348000"/>
    <n v="1563648.0000000002"/>
    <n v="1286909"/>
    <n v="1982073"/>
    <n v="906341"/>
    <n v="1497974"/>
    <n v="667096"/>
    <n v="1035733.9999999999"/>
    <n v="1108325"/>
    <n v="1192760"/>
    <n v="1268873"/>
    <n v="1112717"/>
    <n v="850789"/>
    <n v="1503740"/>
    <n v="1351006"/>
    <n v="1713027"/>
    <n v="944273"/>
    <n v="974700"/>
    <n v="888916"/>
    <n v="1055523"/>
    <n v="1061525"/>
    <n v="1334514"/>
    <n v="1089264"/>
    <n v="1084000"/>
    <n v="1058732"/>
    <n v="1378348"/>
    <n v="1688817"/>
    <n v="1804284.9999999995"/>
    <n v="814275.50000000023"/>
    <n v="962780.99999999988"/>
    <n v="892617.99999999988"/>
    <n v="850624.00000000012"/>
    <n v="1259187.0000000002"/>
    <n v="903010"/>
    <n v="1032124.8333333333"/>
    <n v="737718"/>
    <n v="1309583.8333333333"/>
    <n v="1094985.8333333333"/>
    <n v="1530916.8333333333"/>
    <n v="1182278.1666666667"/>
    <n v="649589.66666666663"/>
    <n v="1175669"/>
    <n v="888215.83333333337"/>
    <n v="856791.83333333337"/>
    <n v="1508799.6666666667"/>
    <n v="1428154"/>
    <n v="1288713.1666666667"/>
    <n v="1859873.1666666665"/>
    <n v="756524.00000000012"/>
    <n v="1560002.8333333335"/>
    <n v="1386422"/>
    <n v="1113058"/>
    <n v="1006288"/>
    <n v="573673.16666666663"/>
    <n v="672940.83333333349"/>
  </r>
  <r>
    <x v="51"/>
    <x v="3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778"/>
    <n v="2874434"/>
    <n v="-138052195"/>
    <n v="2350000"/>
    <n v="1868000"/>
    <n v="1566000"/>
    <n v="1400000"/>
    <n v="1354158"/>
    <n v="1177000"/>
    <n v="978000"/>
    <n v="1114777"/>
    <n v="1676669"/>
    <n v="1102683"/>
    <n v="2286681"/>
    <n v="2626367"/>
    <n v="2677000"/>
    <n v="2514677"/>
    <n v="2156478"/>
    <n v="1217341"/>
    <n v="1321557"/>
    <n v="766942"/>
    <n v="605580"/>
    <n v="706960"/>
    <n v="723670"/>
    <n v="1169940"/>
    <n v="1662560"/>
    <n v="1131230"/>
    <n v="1491720"/>
    <n v="1960380"/>
    <n v="1832890"/>
    <n v="887780"/>
    <n v="1065488"/>
    <n v="1030090"/>
    <n v="1166735.83"/>
    <n v="778873"/>
    <n v="714768.17"/>
    <n v="1479638"/>
    <n v="1685240"/>
    <n v="2386265"/>
    <n v="2555350"/>
    <n v="1360091"/>
    <n v="2063281"/>
    <n v="1100066"/>
    <n v="1429039"/>
    <n v="495774"/>
    <n v="661214"/>
    <n v="851597"/>
  </r>
  <r>
    <x v="52"/>
    <x v="3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4608"/>
    <n v="1669162"/>
    <n v="1285000"/>
    <n v="1769000"/>
    <n v="1739011"/>
    <n v="2107223"/>
    <n v="1593460"/>
    <n v="2887514"/>
    <n v="3145323"/>
    <n v="3669000"/>
    <n v="3491108"/>
    <n v="2695577"/>
    <n v="1696988"/>
    <n v="1852150"/>
    <n v="1089886"/>
    <n v="982890"/>
    <n v="1029430.0000000001"/>
    <n v="1193030"/>
    <n v="1702310"/>
    <n v="2561920"/>
    <n v="1719300"/>
    <n v="2066450"/>
    <n v="2258740"/>
    <n v="2657000"/>
    <n v="1208860"/>
    <n v="1420014"/>
    <n v="1612240"/>
    <n v="1718338.5"/>
    <n v="1257094"/>
    <n v="1734827"/>
    <n v="1885768"/>
    <n v="2365849"/>
    <n v="3237733"/>
    <n v="3662735"/>
    <n v="2211725"/>
    <n v="2869814"/>
    <n v="2265434"/>
    <n v="1127090"/>
    <n v="1164128"/>
    <n v="1010190"/>
    <n v="1246307"/>
  </r>
  <r>
    <x v="53"/>
    <x v="3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4180"/>
    <n v="1421310"/>
    <n v="1762820"/>
    <n v="2610000"/>
    <n v="1965170"/>
    <n v="2292450"/>
    <n v="3226600"/>
    <n v="3459370"/>
    <n v="1297130"/>
    <n v="1558215"/>
    <n v="1971540"/>
    <n v="1838026.17"/>
    <n v="1306012"/>
    <n v="1937081.5"/>
    <n v="2902838"/>
    <n v="2420725"/>
    <n v="4201178"/>
    <n v="4631688"/>
    <n v="2755389"/>
    <n v="3092038"/>
    <n v="2382485"/>
    <n v="1252231"/>
    <n v="1198355"/>
    <n v="881455"/>
    <n v="1493687"/>
  </r>
  <r>
    <x v="54"/>
    <x v="3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840"/>
    <n v="2262520"/>
    <n v="2867200"/>
    <n v="2522280"/>
    <n v="1553520"/>
    <n v="1956325"/>
    <n v="2421170"/>
    <n v="2298582.83"/>
    <n v="1549396"/>
    <n v="2103264"/>
    <n v="2678330"/>
    <n v="3757873"/>
    <n v="5313884"/>
    <n v="5480487"/>
    <n v="3142424"/>
    <n v="4678996"/>
    <n v="2654616"/>
    <n v="1472117"/>
    <n v="1338901"/>
    <n v="1120764"/>
    <n v="1630342"/>
  </r>
  <r>
    <x v="55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5324"/>
    <n v="603220"/>
    <n v="1085000"/>
  </r>
  <r>
    <x v="5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1643"/>
    <n v="521885"/>
    <n v="693560"/>
  </r>
  <r>
    <x v="5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2509"/>
    <n v="799648"/>
    <n v="896619"/>
  </r>
  <r>
    <x v="58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185"/>
    <n v="600641"/>
    <n v="782779"/>
  </r>
  <r>
    <x v="59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8171"/>
    <n v="911648"/>
    <n v="1171728"/>
  </r>
  <r>
    <x v="6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53"/>
    <n v="506646"/>
    <n v="644929"/>
  </r>
  <r>
    <x v="6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293"/>
    <n v="479624"/>
    <n v="674966"/>
  </r>
  <r>
    <x v="62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670"/>
    <n v="758607"/>
    <n v="826398"/>
  </r>
  <r>
    <x v="63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7033"/>
    <n v="948013"/>
    <n v="1083275"/>
  </r>
  <r>
    <x v="64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21"/>
    <n v="581601"/>
    <n v="915873"/>
  </r>
  <r>
    <x v="65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016"/>
    <n v="618123"/>
    <n v="943769"/>
  </r>
  <r>
    <x v="6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883"/>
    <n v="951013"/>
    <n v="1082474"/>
  </r>
  <r>
    <x v="67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138"/>
    <n v="958688"/>
    <n v="1052668"/>
  </r>
  <r>
    <x v="68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7751"/>
    <n v="1082058"/>
    <n v="1561717"/>
  </r>
  <r>
    <x v="69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348"/>
    <n v="769637"/>
    <n v="12487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">
  <r>
    <s v="E5030"/>
    <x v="0"/>
    <s v="Avignonet"/>
    <n v="8"/>
    <n v="1684549.4876510985"/>
    <n v="1552679.8301214315"/>
    <n v="1740282.7520709301"/>
    <n v="1562485.7630328711"/>
    <n v="1507292.5639699805"/>
    <n v="1094099.2454128941"/>
    <n v="974264.65162392147"/>
    <n v="962112.28569779312"/>
    <n v="1176421.7242673144"/>
    <n v="1601159.1145718016"/>
    <n v="1528826.8184766301"/>
    <n v="1615825.7631033366"/>
    <n v="17000000.000000004"/>
  </r>
  <r>
    <s v="E5210"/>
    <x v="1"/>
    <s v="Avignonet II"/>
    <n v="4.5999999999999996"/>
    <n v="1050366.1511236264"/>
    <n v="968141.54113453988"/>
    <n v="1085117.4807030507"/>
    <n v="974255.82871461392"/>
    <n v="939841.24576951738"/>
    <n v="682203.05890451046"/>
    <n v="607482.66513020999"/>
    <n v="599905.30755274172"/>
    <n v="733533.54571961961"/>
    <n v="998369.80085065286"/>
    <n v="953268.48681484011"/>
    <n v="1007514.8875820806"/>
    <n v="10600000.000000004"/>
  </r>
  <r>
    <s v="E5040"/>
    <x v="2"/>
    <s v="Chépy"/>
    <n v="4"/>
    <n v="794808.82804792712"/>
    <n v="625209.1544705499"/>
    <n v="569552.22567538673"/>
    <n v="399272.31582261471"/>
    <n v="376104.69071385759"/>
    <n v="285174.57402224885"/>
    <n v="295717.64535450895"/>
    <n v="298310.7758499718"/>
    <n v="368823.94484363135"/>
    <n v="579233.24619178148"/>
    <n v="614083.90009192494"/>
    <n v="749515.48206050915"/>
    <n v="5955806.7831449127"/>
  </r>
  <r>
    <s v="E5050"/>
    <x v="3"/>
    <s v="Nibas"/>
    <n v="12"/>
    <n v="2344355.8761508954"/>
    <n v="1843231.1116976351"/>
    <n v="1683338.3681885155"/>
    <n v="1180303.3813721319"/>
    <n v="1120249.3799242675"/>
    <n v="861877.74312788935"/>
    <n v="904316.99398989044"/>
    <n v="907744.4921793252"/>
    <n v="1106383.1439225757"/>
    <n v="1713696.2092949366"/>
    <n v="1822840.8299721216"/>
    <n v="2211662.7319599288"/>
    <n v="17700000.261780113"/>
  </r>
  <r>
    <s v="E5070"/>
    <x v="4"/>
    <s v="Ally Bessadous"/>
    <n v="10.5"/>
    <n v="2210551.4143048842"/>
    <n v="1916895.2198543821"/>
    <n v="1926998.281001407"/>
    <n v="1715873.6489110561"/>
    <n v="1388247.3277248016"/>
    <n v="946416.10086831078"/>
    <n v="799151.22629023204"/>
    <n v="728552.28289630509"/>
    <n v="1134580.3920927371"/>
    <n v="1823993.2652299399"/>
    <n v="2042361.0946962968"/>
    <n v="2263211.2819183869"/>
    <n v="18896831.535788737"/>
  </r>
  <r>
    <s v="E5080"/>
    <x v="5"/>
    <s v="Ally Mercoeur"/>
    <n v="7.5"/>
    <n v="1472090.6641623252"/>
    <n v="1276533.7820529102"/>
    <n v="1283261.7965644719"/>
    <n v="1142665.8358174374"/>
    <n v="924486.94812855171"/>
    <n v="630254.64935374493"/>
    <n v="532185.34156811493"/>
    <n v="485170.80718660867"/>
    <n v="755560.44167674368"/>
    <n v="1214666.8201717825"/>
    <n v="1360086.3028540697"/>
    <n v="1507158.8824304978"/>
    <n v="12584122.271967258"/>
  </r>
  <r>
    <s v="E5090"/>
    <x v="6"/>
    <s v="Ally Monteil"/>
    <n v="10.5"/>
    <n v="1911983.0125904435"/>
    <n v="1657989.5285674215"/>
    <n v="1666728.0185040371"/>
    <n v="1484118.9611059793"/>
    <n v="1200743.5297398656"/>
    <n v="818588.292492309"/>
    <n v="691213.76651545498"/>
    <n v="630150.27819190081"/>
    <n v="981338.15031923237"/>
    <n v="1577635.3879991793"/>
    <n v="1766509.3394187668"/>
    <n v="1957530.3686350617"/>
    <n v="16344528.634079652"/>
  </r>
  <r>
    <s v="E5100"/>
    <x v="7"/>
    <s v="Ally Verseilles"/>
    <n v="10.5"/>
    <n v="2314592.0429786821"/>
    <n v="2007114.7833917276"/>
    <n v="2017693.3498024908"/>
    <n v="1796632.0388775915"/>
    <n v="1453585.8327677283"/>
    <n v="990959.61407689482"/>
    <n v="836763.64980168303"/>
    <n v="762841.93435781507"/>
    <n v="1187979.9450325232"/>
    <n v="1909840.3551384867"/>
    <n v="2138485.767886912"/>
    <n v="2369730.3717114036"/>
    <n v="19786219.68582394"/>
  </r>
  <r>
    <s v="E5110"/>
    <x v="8"/>
    <s v="Cham Longe Bel Air"/>
    <n v="0"/>
    <n v="0"/>
    <n v="0"/>
    <n v="0"/>
    <n v="0"/>
    <n v="0"/>
    <n v="0"/>
    <n v="0"/>
    <n v="0"/>
    <n v="0"/>
    <n v="0"/>
    <n v="0"/>
    <n v="0"/>
    <n v="0"/>
  </r>
  <r>
    <s v="E5120"/>
    <x v="9"/>
    <s v="Cham Longe Le Courbil (Eole Cevennes)"/>
    <n v="0"/>
    <n v="0"/>
    <n v="0"/>
    <n v="0"/>
    <n v="0"/>
    <n v="0"/>
    <n v="0"/>
    <n v="0"/>
    <n v="0"/>
    <n v="0"/>
    <n v="0"/>
    <n v="0"/>
    <n v="0"/>
    <n v="0"/>
  </r>
  <r>
    <s v="E5150"/>
    <x v="10"/>
    <s v="Cham Longe II"/>
    <n v="4.5999999999999996"/>
    <n v="1380687.3592401994"/>
    <n v="1235244.6996572514"/>
    <n v="1207969.2624719671"/>
    <n v="1021585.4661842071"/>
    <n v="872612.10906521336"/>
    <n v="757786.54196815973"/>
    <n v="760139.18398139114"/>
    <n v="669656.89190784749"/>
    <n v="818748.4782365741"/>
    <n v="984855.96505517885"/>
    <n v="1264324.8124166208"/>
    <n v="1355489.7589159219"/>
    <n v="12329100.529100532"/>
  </r>
  <r>
    <s v="E5130"/>
    <x v="11"/>
    <s v="Plouguin"/>
    <n v="8"/>
    <n v="2257116.0001020995"/>
    <n v="1868760.3284278896"/>
    <n v="1727517.0266823077"/>
    <n v="1462075.2170894844"/>
    <n v="1282319.325408384"/>
    <n v="1032342.4975324949"/>
    <n v="996419.52066202171"/>
    <n v="941292.56362981093"/>
    <n v="1192756.4236684947"/>
    <n v="1654901.5177640168"/>
    <n v="1910204.0290932632"/>
    <n v="2215295.5499397316"/>
    <n v="18541000"/>
  </r>
  <r>
    <s v="E5140"/>
    <x v="12"/>
    <s v="La Citadelle"/>
    <n v="13.8"/>
    <n v="3029489.2570452476"/>
    <n v="2754845.1190877734"/>
    <n v="2824499.0755503979"/>
    <n v="2615055.7068853616"/>
    <n v="2300875.0329951341"/>
    <n v="1953797.0569019767"/>
    <n v="1895929.5165684675"/>
    <n v="1751357.4938299942"/>
    <n v="2078392.1077935835"/>
    <n v="2495076.2575692018"/>
    <n v="2926195.3032459649"/>
    <n v="3035962.6311977156"/>
    <n v="29661474.558670823"/>
  </r>
  <r>
    <s v="E5160"/>
    <x v="13"/>
    <s v="Chasse Marée"/>
    <n v="9.1999999999999993"/>
    <n v="2549737.4423878733"/>
    <n v="2016894.776894005"/>
    <n v="1850604.8695742099"/>
    <n v="1324301.1043841643"/>
    <n v="1263474.1385259526"/>
    <n v="983094.85708494834"/>
    <n v="1017873.687300463"/>
    <n v="1027918.6955305443"/>
    <n v="1246047.2499465947"/>
    <n v="1893798.4049635602"/>
    <n v="2010115.9404798816"/>
    <n v="2416138.8329277909"/>
    <n v="19599999.999999985"/>
  </r>
  <r>
    <s v="E5170"/>
    <x v="14"/>
    <s v="Ronchois 1"/>
    <n v="12"/>
    <n v="3175036.3728609509"/>
    <n v="2596132.2425277969"/>
    <n v="2439693.3361136266"/>
    <n v="1858427.6121936592"/>
    <n v="1780173.608602894"/>
    <n v="1339247.9232638616"/>
    <n v="1309496.8399455606"/>
    <n v="1305920.2687551554"/>
    <n v="1647986.7782807809"/>
    <n v="2466875.2771607065"/>
    <n v="2526438.8119499986"/>
    <n v="3048425.7527206037"/>
    <n v="25493854.824375592"/>
  </r>
  <r>
    <s v="E5170"/>
    <x v="14"/>
    <s v="Ronchois 2"/>
    <n v="6"/>
    <n v="1573860.404290535"/>
    <n v="1286898.5614595457"/>
    <n v="1209352.0481029388"/>
    <n v="921219.56714349135"/>
    <n v="882429.18389577523"/>
    <n v="663863.0334977993"/>
    <n v="649115.46952667215"/>
    <n v="647342.56896155735"/>
    <n v="816904.3855057708"/>
    <n v="1222826.0923978109"/>
    <n v="1252351.6404342817"/>
    <n v="1511099.724285472"/>
    <n v="12637262.679501649"/>
  </r>
  <r>
    <s v="E5170"/>
    <x v="14"/>
    <s v="Ronchois 3"/>
    <n v="12"/>
    <n v="3078707.8016700903"/>
    <n v="2517367.252090889"/>
    <n v="2365674.6019597482"/>
    <n v="1802044.1080314855"/>
    <n v="1726164.2808187599"/>
    <n v="1298615.998533472"/>
    <n v="1269767.5440391835"/>
    <n v="1266299.4837293085"/>
    <n v="1597987.9143149571"/>
    <n v="2392031.8603147995"/>
    <n v="2449788.275585596"/>
    <n v="2955938.4667005073"/>
    <n v="24720387.587788798"/>
  </r>
  <r>
    <s v="E5180"/>
    <x v="15"/>
    <s v="Le Grand Camp"/>
    <n v="10.4"/>
    <n v="2857728.937831067"/>
    <n v="2431163.4053773689"/>
    <n v="2330782.6666765381"/>
    <n v="1936440.2253607833"/>
    <n v="1779917.2387845952"/>
    <n v="1375988.4296659669"/>
    <n v="1366768.1678656386"/>
    <n v="1256595.0822872501"/>
    <n v="1613777.1139469969"/>
    <n v="2208287.5912637245"/>
    <n v="2313114.335859051"/>
    <n v="2894694.9073343421"/>
    <n v="24365258.102253325"/>
  </r>
  <r>
    <s v="E5290"/>
    <x v="16"/>
    <s v="St Patrick Pernois 1"/>
    <n v="34.5"/>
    <n v="2999555.6114893607"/>
    <n v="2447052.7225805442"/>
    <n v="2318210.6486425092"/>
    <n v="1793170.6063017214"/>
    <n v="1732276.430181131"/>
    <n v="1467832.6411011599"/>
    <n v="1498800.7262731486"/>
    <n v="1488137.1724888894"/>
    <n v="1691604.3300204105"/>
    <n v="2351885.0290138526"/>
    <n v="2436785.7795282081"/>
    <n v="2886185.1975725042"/>
    <n v="25111496.895193439"/>
  </r>
  <r>
    <s v="E5290"/>
    <x v="16"/>
    <s v="St Patrick Pernois 2"/>
    <m/>
    <n v="3079790.5474919407"/>
    <n v="2512508.7914192546"/>
    <n v="2380220.328450371"/>
    <n v="1841136.0210075644"/>
    <n v="1778612.9901642108"/>
    <n v="1507095.6097789675"/>
    <n v="1538892.0584333267"/>
    <n v="1527943.26587831"/>
    <n v="1736852.9543969668"/>
    <n v="2414795.462834633"/>
    <n v="2501967.2185132196"/>
    <n v="2963387.595064925"/>
    <n v="25783202.843433693"/>
  </r>
  <r>
    <s v="E5290"/>
    <x v="16"/>
    <s v="St Patrick Pernois 3"/>
    <m/>
    <n v="1519681.9376146728"/>
    <n v="1239764.2532955089"/>
    <n v="1174488.2598055177"/>
    <n v="908484.23380462569"/>
    <n v="877633.0706516814"/>
    <n v="743656.40816210781"/>
    <n v="759345.94547160831"/>
    <n v="753943.40850424906"/>
    <n v="857027.13297799637"/>
    <n v="1191548.902860336"/>
    <n v="1234562.6534813931"/>
    <n v="1462244.4393301182"/>
    <n v="12722380.645959815"/>
  </r>
  <r>
    <s v="E5290"/>
    <x v="16"/>
    <s v="St Patrick Hermin"/>
    <m/>
    <n v="3817387.8415468084"/>
    <n v="3114244.4150801222"/>
    <n v="2950273.4039587388"/>
    <n v="2282080.600238136"/>
    <n v="2204583.5581251774"/>
    <n v="1868038.8708589147"/>
    <n v="1907450.4394788535"/>
    <n v="1893879.455694526"/>
    <n v="2152822.1638543052"/>
    <n v="2993129.1422250359"/>
    <n v="3101178.1783923553"/>
    <n v="3673106.8560502762"/>
    <n v="31958174.925503246"/>
  </r>
  <r>
    <s v="E5300"/>
    <x v="17"/>
    <s v="Vron"/>
    <n v="9.1999999999999993"/>
    <n v="2444447.1303538587"/>
    <n v="1957403.5163964615"/>
    <n v="1857850.1346622349"/>
    <n v="1368469.6654461429"/>
    <n v="1337743.982310971"/>
    <n v="1064375.3424988315"/>
    <n v="1111675.1149537454"/>
    <n v="1097391.8967547053"/>
    <n v="1299833.9561915777"/>
    <n v="1856865.0851312664"/>
    <n v="1921368.4344412552"/>
    <n v="2317375.7408589483"/>
    <n v="19634800"/>
  </r>
  <r>
    <s v="E5270"/>
    <x v="18"/>
    <s v="Ménétréols Renardiére (La vallée 2)"/>
    <n v="26"/>
    <n v="4503440.7834255099"/>
    <n v="3842620.4529154971"/>
    <n v="3753008.5408745157"/>
    <n v="3257081.9749087589"/>
    <n v="2728535.5564366397"/>
    <n v="2175018.2860373263"/>
    <n v="2148077.9512585206"/>
    <n v="1949196.0626317549"/>
    <n v="2493930.541806052"/>
    <n v="3354088.4735708283"/>
    <n v="3695726.2003871473"/>
    <n v="4591318.8272373369"/>
    <n v="38492043.651489891"/>
  </r>
  <r>
    <s v="E5270"/>
    <x v="18"/>
    <s v="Ménétréols Les chênes (La vallée 3)"/>
    <m/>
    <n v="1151756.7920423266"/>
    <n v="982751.72667414532"/>
    <n v="959833.44411984622"/>
    <n v="833000.02536868013"/>
    <n v="697824.06621642888"/>
    <n v="556261.80163831764"/>
    <n v="549371.80018085835"/>
    <n v="498507.67715671868"/>
    <n v="637823.73934581841"/>
    <n v="857809.47642607766"/>
    <n v="945183.4624961901"/>
    <n v="1174231.6370995049"/>
    <n v="9844355.648764912"/>
  </r>
  <r>
    <s v="E5270"/>
    <x v="18"/>
    <s v="Ménétréols Lizeray (La vallée 4)"/>
    <m/>
    <n v="916212.3377085434"/>
    <n v="781770.30350877799"/>
    <n v="763539.01251017652"/>
    <n v="662644.15007353981"/>
    <n v="555112.87055986351"/>
    <n v="442501.34158382239"/>
    <n v="437020.40638485539"/>
    <n v="396558.44654800009"/>
    <n v="507383.14139723434"/>
    <n v="682379.84888392605"/>
    <n v="751885.0817467242"/>
    <n v="934090.87810157263"/>
    <n v="7831097.8190070353"/>
  </r>
  <r>
    <s v="E5280"/>
    <x v="19"/>
    <s v="St Georges (La Vallée 1)"/>
    <n v="6"/>
    <n v="1084040.9832952823"/>
    <n v="924972.3166206656"/>
    <n v="903401.48002803151"/>
    <n v="784025.04141905159"/>
    <n v="656796.54952759319"/>
    <n v="523557.22543500899"/>
    <n v="517072.31125307846"/>
    <n v="469198.66786021687"/>
    <n v="600323.8516557453"/>
    <n v="807375.85810630326"/>
    <n v="889612.82204546803"/>
    <n v="1105194.4536316632"/>
    <n v="9265571.5608781073"/>
  </r>
  <r>
    <s v="E5310"/>
    <x v="20"/>
    <s v="Fortel 1"/>
    <n v="24"/>
    <n v="3275337.094134585"/>
    <n v="2637116.6282587419"/>
    <n v="2509511.8782871831"/>
    <n v="1913439.9435142018"/>
    <n v="1841869.3824202174"/>
    <n v="1464830.8796404582"/>
    <n v="1474385.4876362989"/>
    <n v="1461761.995067386"/>
    <n v="1751913.5332238071"/>
    <n v="2530551.0325687048"/>
    <n v="2579227.3741649482"/>
    <n v="3124556.4884503437"/>
    <n v="26564501.717366878"/>
  </r>
  <r>
    <s v="E5310"/>
    <x v="20"/>
    <s v="Fortel 2"/>
    <m/>
    <n v="3441752.4440088025"/>
    <n v="2771104.878548061"/>
    <n v="2637016.7076333091"/>
    <n v="2010659.1818739574"/>
    <n v="1935452.219511084"/>
    <n v="1539256.9116291853"/>
    <n v="1549296.9760488505"/>
    <n v="1536032.1012734307"/>
    <n v="1840925.8379734193"/>
    <n v="2659124.8322590091"/>
    <n v="2710274.3514807988"/>
    <n v="3283310.8841912835"/>
    <n v="27914207.326431192"/>
  </r>
  <r>
    <s v="E5320"/>
    <x v="21"/>
    <s v="St François Roye 2"/>
    <n v="22.8"/>
    <n v="3239994.9247075859"/>
    <n v="2668273.686508684"/>
    <n v="2550117.7655157349"/>
    <n v="1997552.5484263739"/>
    <n v="1893967.9341065963"/>
    <n v="1483482.7943188976"/>
    <n v="1455512.672931331"/>
    <n v="1431750.2374480558"/>
    <n v="1798007.4346386231"/>
    <n v="2562382.2483458123"/>
    <n v="2619183.7950960202"/>
    <n v="3149544.3638357655"/>
    <n v="26849770.405879479"/>
  </r>
  <r>
    <s v="E5320"/>
    <x v="21"/>
    <s v="St François Roye 3"/>
    <m/>
    <n v="3061018.3588037128"/>
    <n v="2520878.8688004147"/>
    <n v="2409249.8533958863"/>
    <n v="1887208.2103524033"/>
    <n v="1789345.5860302194"/>
    <n v="1401535.5498710871"/>
    <n v="1375110.491482134"/>
    <n v="1352660.6874069751"/>
    <n v="1698685.9222290639"/>
    <n v="2420836.8490475807"/>
    <n v="2474500.6915693483"/>
    <n v="2975564.2658724645"/>
    <n v="25366595.33486129"/>
  </r>
  <r>
    <s v="E5360"/>
    <x v="22"/>
    <s v="Calmont (Laur Eole Energie )"/>
    <n v="14.35"/>
    <n v="3383185.4371166769"/>
    <n v="3132088.1496959566"/>
    <n v="3497950.7689040815"/>
    <n v="3098778.7721513002"/>
    <n v="2916951.2767303418"/>
    <n v="2087929.8946387453"/>
    <n v="1820404.3956678666"/>
    <n v="1789023.2502572478"/>
    <n v="2259730.8197438833"/>
    <n v="3023647.1711264453"/>
    <n v="3032834.9827170055"/>
    <n v="3221796.6892906376"/>
    <n v="33264321.608040188"/>
  </r>
  <r>
    <s v="E5391"/>
    <x v="23"/>
    <s v="Coat Conval"/>
    <n v="8.1"/>
    <n v="1245239.4148945706"/>
    <n v="1005171.086847482"/>
    <n v="903491.24535932299"/>
    <n v="708729.94585583673"/>
    <n v="592763.29428958241"/>
    <n v="425324.88814199105"/>
    <n v="392709.17350779526"/>
    <n v="363003.37107896234"/>
    <n v="560921.74250597623"/>
    <n v="872208.14368648105"/>
    <n v="1018847.3294762833"/>
    <n v="1211590.3643557157"/>
    <n v="9299999.9999999981"/>
  </r>
  <r>
    <s v="E5392"/>
    <x v="24"/>
    <s v="Leign ar Gasprenn"/>
    <n v="8"/>
    <n v="1801984.5972185379"/>
    <n v="1484756.0279659706"/>
    <n v="1378550.2401245811"/>
    <n v="1142852.4582071621"/>
    <n v="991647.47462304391"/>
    <n v="743924.26409492409"/>
    <n v="669505.25785352336"/>
    <n v="613462.47529697022"/>
    <n v="884935.13633399305"/>
    <n v="1261067.9626171398"/>
    <n v="1473484.788271988"/>
    <n v="1753829.3173921665"/>
    <n v="14200000"/>
  </r>
  <r>
    <s v="E5396"/>
    <x v="25"/>
    <s v="Les Eparmonts"/>
    <n v="12"/>
    <n v="2427105.0058476902"/>
    <n v="1985014.1182448205"/>
    <n v="1981875.1168762827"/>
    <n v="1572532.4371737198"/>
    <n v="1324219.316939323"/>
    <n v="994058.2760297152"/>
    <n v="976557.14288814203"/>
    <n v="901220.0465573353"/>
    <n v="1331700.7357883547"/>
    <n v="1963349.6013851012"/>
    <n v="1979496.1807058142"/>
    <n v="2501207.0678124167"/>
    <n v="19938335.046248715"/>
  </r>
  <r>
    <s v="E5398"/>
    <x v="26"/>
    <s v="Pannecé (BS)"/>
    <n v="18"/>
    <n v="2483458.0363410097"/>
    <n v="2104504.1624713531"/>
    <n v="2016693.2854604193"/>
    <n v="1692211.8728637218"/>
    <n v="1500729.0067843073"/>
    <n v="1166033.3001622364"/>
    <n v="1105240.4948895364"/>
    <n v="996749.22846864269"/>
    <n v="1331456.0300950704"/>
    <n v="1812326.0161559442"/>
    <n v="2045032.3079234182"/>
    <n v="2490396.4312865315"/>
    <n v="20744830.172902193"/>
  </r>
  <r>
    <s v="E5398"/>
    <x v="26"/>
    <s v="Pannecé La Vallière"/>
    <m/>
    <n v="2228087.100944587"/>
    <n v="1888100.5878380593"/>
    <n v="1809319.1953088932"/>
    <n v="1518203.8072799623"/>
    <n v="1346410.8888088968"/>
    <n v="1046131.530046351"/>
    <n v="991589.97416892368"/>
    <n v="894254.73123738437"/>
    <n v="1194544.0441186351"/>
    <n v="1625966.7609494813"/>
    <n v="1834744.1509470472"/>
    <n v="2234312.0292716036"/>
    <n v="18611664.800919823"/>
  </r>
  <r>
    <s v="E5393"/>
    <x v="27"/>
    <s v="Vallée d'Arce 1 (DR)"/>
    <n v="30"/>
    <n v="3519051.0249842261"/>
    <n v="2896690.2602806352"/>
    <n v="2862720.2575650932"/>
    <n v="2376559.6753237387"/>
    <n v="2020190.3892478473"/>
    <n v="1569361.7047101201"/>
    <n v="1523940.2968089909"/>
    <n v="1441372.3697139006"/>
    <n v="1992529.125668169"/>
    <n v="2839971.9511205279"/>
    <n v="2939152.2002968676"/>
    <n v="3593193.653396145"/>
    <n v="29574732.909116261"/>
  </r>
  <r>
    <s v="E5393"/>
    <x v="27"/>
    <s v="Vallée d'Arce 2 (NY)"/>
    <m/>
    <n v="1744387.9119753479"/>
    <n v="1435884.6856427474"/>
    <n v="1419045.8101373755"/>
    <n v="1178056.7943715365"/>
    <n v="1001405.1145815692"/>
    <n v="777930.06346807093"/>
    <n v="755414.74489919993"/>
    <n v="714485.95673473086"/>
    <n v="987693.47088109993"/>
    <n v="1407769.5113573691"/>
    <n v="1456933.0007588007"/>
    <n v="1781140.2931842594"/>
    <n v="14660147.357992109"/>
  </r>
  <r>
    <s v="E5393"/>
    <x v="27"/>
    <s v="Vallée d'Arce 3 (NU)"/>
    <m/>
    <n v="3412285.2694539959"/>
    <n v="2808806.5319742779"/>
    <n v="2775867.1573967026"/>
    <n v="2304456.3760259529"/>
    <n v="1958899.1059752714"/>
    <n v="1521748.275148002"/>
    <n v="1477704.9236880499"/>
    <n v="1397642.0546487495"/>
    <n v="1932077.0674264431"/>
    <n v="2753809.0200083246"/>
    <n v="2849980.203910586"/>
    <n v="3484178.4579790831"/>
    <n v="28677454.443635438"/>
  </r>
  <r>
    <s v="E5394"/>
    <x v="28"/>
    <s v="La Bouleste"/>
    <n v="10"/>
    <n v="1705078.4410589091"/>
    <n v="1518515.7610888025"/>
    <n v="1699040.6392458142"/>
    <n v="1610635.4311166282"/>
    <n v="1441930.9120381693"/>
    <n v="865161.67499977152"/>
    <n v="795382.96788587281"/>
    <n v="687708.83555233851"/>
    <n v="1023897.4323440534"/>
    <n v="1682939.8344108933"/>
    <n v="1690977.1487908815"/>
    <n v="1666839.0295759721"/>
    <n v="16388108.108108105"/>
  </r>
  <r>
    <s v="E5395"/>
    <x v="29"/>
    <s v="Haut de Conge 1"/>
    <n v="28"/>
    <n v="2396918.6807481516"/>
    <n v="2020388.0840817722"/>
    <n v="2058254.3177075707"/>
    <n v="1694362.7113489346"/>
    <n v="1393681.3115149448"/>
    <n v="1076533.2464252596"/>
    <n v="1035245.5826471365"/>
    <n v="939577.68348313135"/>
    <n v="1378967.2502340518"/>
    <n v="1965137.5625212719"/>
    <n v="1986921.3191149912"/>
    <n v="2497688.8678675704"/>
    <n v="20443676.617694788"/>
  </r>
  <r>
    <s v="E5395"/>
    <x v="29"/>
    <s v="Haut de Conge 2"/>
    <m/>
    <n v="755613.34792346961"/>
    <n v="636914.47548032959"/>
    <n v="648851.56445754552"/>
    <n v="534137.05321009911"/>
    <n v="439349.15697827504"/>
    <n v="339370.24940220814"/>
    <n v="326354.57636085642"/>
    <n v="296195.88046652777"/>
    <n v="434710.6428746024"/>
    <n v="619497.10045373219"/>
    <n v="626364.29097727244"/>
    <n v="787380.50759882922"/>
    <n v="6444738.846183748"/>
  </r>
  <r>
    <s v="E5395"/>
    <x v="29"/>
    <s v="Haut de Conge 3"/>
    <m/>
    <n v="2412871.9626174746"/>
    <n v="2033835.2739466857"/>
    <n v="2071953.5356046464"/>
    <n v="1705639.9591505092"/>
    <n v="1402957.3002988722"/>
    <n v="1083698.3782504906"/>
    <n v="1042135.9142702295"/>
    <n v="945831.27387112624"/>
    <n v="1388145.3059637868"/>
    <n v="1978217.0189495187"/>
    <n v="2000145.7626935756"/>
    <n v="2514312.8505045301"/>
    <n v="20579744.536121443"/>
  </r>
  <r>
    <s v="E5397"/>
    <x v="30"/>
    <s v="Charmoy"/>
    <n v="10"/>
    <n v="2750878.6620253208"/>
    <n v="2286715.4141694289"/>
    <n v="2222969.3138712756"/>
    <n v="1808485.0897115518"/>
    <n v="1603456.1585182627"/>
    <n v="1243102.451730832"/>
    <n v="1257397.3313221657"/>
    <n v="1167829.164283176"/>
    <n v="1534658.6552888337"/>
    <n v="2145614.9877921478"/>
    <n v="2232686.2327261223"/>
    <n v="2804483.852904717"/>
    <n v="23058277.31434384"/>
  </r>
  <r>
    <s v="E5399"/>
    <x v="31"/>
    <s v="Coulonges (CL)"/>
    <n v="36"/>
    <n v="3306210.0323993526"/>
    <n v="2846142.1901577902"/>
    <n v="2646367.5287009343"/>
    <n v="2212475.305925034"/>
    <n v="1849687.4574416485"/>
    <n v="1411435.2805043985"/>
    <n v="1313250.6128318654"/>
    <n v="1198239.8965383759"/>
    <n v="1667345.6334531822"/>
    <n v="2418025.0846729828"/>
    <n v="2751105.6678458066"/>
    <n v="3357419.1834497382"/>
    <n v="26977703.873921111"/>
  </r>
  <r>
    <s v="E5399"/>
    <x v="31"/>
    <s v="Coulonges (NT)"/>
    <m/>
    <n v="3115585.0116709019"/>
    <n v="2682043.1436125785"/>
    <n v="2493786.8214650969"/>
    <n v="2084911.37413602"/>
    <n v="1743040.6605168667"/>
    <n v="1330056.6394119081"/>
    <n v="1237532.9715327579"/>
    <n v="1129153.3887615176"/>
    <n v="1571212.0566919239"/>
    <n v="2278609.8396127061"/>
    <n v="2592486.1095539578"/>
    <n v="3163841.6142186802"/>
    <n v="25422259.631184921"/>
  </r>
  <r>
    <s v="E5399"/>
    <x v="31"/>
    <s v="Coulonges (CP)"/>
    <m/>
    <n v="3044089.4896009564"/>
    <n v="2620496.4119238611"/>
    <n v="2436560.1400990263"/>
    <n v="2037067.4454340138"/>
    <n v="1703041.8796952961"/>
    <n v="1299534.8935885283"/>
    <n v="1209134.4314360928"/>
    <n v="1103241.9112302859"/>
    <n v="1535156.3477785164"/>
    <n v="2226320.9758947953"/>
    <n v="2532994.5061577028"/>
    <n v="3091238.7139261696"/>
    <n v="24838877.146765247"/>
  </r>
  <r>
    <s v="E5400"/>
    <x v="32"/>
    <s v="SdlL1"/>
    <n v="18"/>
    <n v="3168981.5522897649"/>
    <n v="2820767.92116781"/>
    <n v="2829613.5366287013"/>
    <n v="2447766.8930057837"/>
    <n v="2104286.3031564988"/>
    <n v="1715778.4721294083"/>
    <n v="1685540.6838323411"/>
    <n v="1496875.0751258519"/>
    <n v="1893348.2867754647"/>
    <n v="2425823.1179946917"/>
    <n v="2978249.7561960393"/>
    <n v="3136195.1507767467"/>
    <n v="28703226.749079108"/>
  </r>
  <r>
    <s v="E5400"/>
    <x v="32"/>
    <s v="SdlL2"/>
    <m/>
    <n v="1610330.5600876859"/>
    <n v="1433384.420647518"/>
    <n v="1437879.3552706512"/>
    <n v="1243842.4669686044"/>
    <n v="1069301.4412464479"/>
    <n v="871879.64411283645"/>
    <n v="856514.19191288727"/>
    <n v="760643.01364172238"/>
    <n v="962112.45056986308"/>
    <n v="1232691.6505561462"/>
    <n v="1513409.4404906936"/>
    <n v="1593670.0199612945"/>
    <n v="14585658.655466348"/>
  </r>
  <r>
    <s v="E5401"/>
    <x v="33"/>
    <s v="Pays d'Othe 1"/>
    <n v="8"/>
    <n v="2207150.9261205378"/>
    <n v="1829226.4555675862"/>
    <n v="1783953.9636232925"/>
    <n v="1472224.6612031762"/>
    <n v="1282670.335787846"/>
    <n v="981298.56984841102"/>
    <n v="973600.03801566432"/>
    <n v="902612.16043548111"/>
    <n v="1223326.7182235268"/>
    <n v="1724433.3585752931"/>
    <n v="1813072.1627358173"/>
    <n v="2250289.713265419"/>
    <n v="18443859.063402049"/>
  </r>
  <r>
    <s v="E5402"/>
    <x v="34"/>
    <s v="Comes de l'Arce"/>
    <n v="10"/>
    <n v="2888157.5800849721"/>
    <n v="2375791.341411747"/>
    <n v="2346146.1263232371"/>
    <n v="1945243.6542782935"/>
    <n v="1650367.6234198539"/>
    <n v="1278642.9595611813"/>
    <n v="1240554.0852097617"/>
    <n v="1172367.7919252303"/>
    <n v="1628103.3237613642"/>
    <n v="2327360.1067448459"/>
    <n v="2409844.1384750684"/>
    <n v="2949386.0883404701"/>
    <n v="24211964.819536023"/>
  </r>
  <r>
    <s v="E5560"/>
    <x v="35"/>
    <s v="Touvent"/>
    <n v="13.8"/>
    <n v="3917473.295707135"/>
    <n v="3140709.3508238574"/>
    <n v="2828122.5568972304"/>
    <n v="1997393.1375383355"/>
    <n v="2007099.1754380921"/>
    <n v="1667158.5567875679"/>
    <n v="1811686.8608456862"/>
    <n v="1645440.5633566242"/>
    <n v="1743366.5369608216"/>
    <n v="2685209.0730908439"/>
    <n v="2944347.8541356227"/>
    <n v="3617063.3195426897"/>
    <n v="30005070.281124506"/>
  </r>
  <r>
    <s v="E5570"/>
    <x v="36"/>
    <s v="Plateau de Savernat 1"/>
    <n v="16"/>
    <n v="2950786.2845914913"/>
    <n v="2522109.4628949934"/>
    <n v="2450839.4677612041"/>
    <n v="2101169.223223262"/>
    <n v="1788589.1862754519"/>
    <n v="1395310.0046089399"/>
    <n v="1381852.7929219974"/>
    <n v="1257354.9545718217"/>
    <n v="1658982.1702754162"/>
    <n v="2289839.6453921283"/>
    <n v="2530109.5884223143"/>
    <n v="3032263.9274908211"/>
    <n v="25359206.708429843"/>
  </r>
  <r>
    <s v="E5570"/>
    <x v="36"/>
    <s v="Plateau de Savernat 2"/>
    <m/>
    <n v="966649.33355673216"/>
    <n v="826218.91127641953"/>
    <n v="802871.54326863901"/>
    <n v="688322.91919096699"/>
    <n v="585924.69198740995"/>
    <n v="457090.19765455421"/>
    <n v="452681.74395641877"/>
    <n v="411897.44415847125"/>
    <n v="543466.67451087292"/>
    <n v="750129.54300637171"/>
    <n v="828839.67579933233"/>
    <n v="993340.62923601712"/>
    <n v="8307433.3076022072"/>
  </r>
  <r>
    <s v="E5690"/>
    <x v="37"/>
    <s v="Voie des monts"/>
    <n v="10"/>
    <n v="3221106.5958923837"/>
    <n v="2711826.6934335493"/>
    <n v="2700411.3571018744"/>
    <n v="2247618.4292791616"/>
    <n v="2154097.6563782534"/>
    <n v="1804460.3579362095"/>
    <n v="1781989.4967997957"/>
    <n v="1762775.6503499614"/>
    <n v="2062917.5827613997"/>
    <n v="2713220.5880684303"/>
    <n v="2718047.7665509102"/>
    <n v="3142329.8254480627"/>
    <n v="29020801.999999985"/>
  </r>
  <r>
    <s v="E5630"/>
    <x v="38"/>
    <s v="Monts de Bagny 1"/>
    <n v="24.8"/>
    <n v="3912964.8457532222"/>
    <n v="3176659.9345946736"/>
    <n v="3040433.1052771281"/>
    <n v="2411782.8514618133"/>
    <n v="2241448.1015461455"/>
    <n v="1805992.8314241837"/>
    <n v="1743336.1117724366"/>
    <n v="1743336.1117724366"/>
    <n v="2212818.4390061963"/>
    <n v="3170811.4113252801"/>
    <n v="3249698.0193643286"/>
    <n v="3786765.3315655873"/>
    <n v="32496047.094863433"/>
  </r>
  <r>
    <s v="E5630"/>
    <x v="38"/>
    <s v="Monts de Bagny 2"/>
    <m/>
    <n v="3982583.9340203381"/>
    <n v="3233178.7578141517"/>
    <n v="3094528.1940577696"/>
    <n v="2454693.0563411815"/>
    <n v="2281327.7271954943"/>
    <n v="1838124.879448371"/>
    <n v="1774353.377561691"/>
    <n v="1774353.377561691"/>
    <n v="2252188.6884965468"/>
    <n v="3227226.1781901075"/>
    <n v="3307516.3290527323"/>
    <n v="3854139.0904050618"/>
    <n v="33074213.590145137"/>
  </r>
  <r>
    <s v="E5640"/>
    <x v="39"/>
    <s v="Artois 1"/>
    <n v="23.55"/>
    <n v="3958719.9812285132"/>
    <n v="3268532.3776633642"/>
    <n v="3157407.830446816"/>
    <n v="2552381.994336525"/>
    <n v="2461970.4072797145"/>
    <n v="2103946.614669757"/>
    <n v="2100110.8930353099"/>
    <n v="2082706.8282219514"/>
    <n v="2401499.9808336208"/>
    <n v="3219047.2266607927"/>
    <n v="3298370.7401671568"/>
    <n v="3849219.4067778024"/>
    <n v="34453914.281321324"/>
  </r>
  <r>
    <s v="E5640"/>
    <x v="39"/>
    <s v="Artois 2"/>
    <m/>
    <n v="2838853.3153059534"/>
    <n v="2343910.1579584233"/>
    <n v="2264221.1951690749"/>
    <n v="1830348.7291113874"/>
    <n v="1765513.3189597838"/>
    <n v="1508769.4635144244"/>
    <n v="1506018.8140291933"/>
    <n v="1493538.1163972607"/>
    <n v="1722149.1327055229"/>
    <n v="2308423.6659488343"/>
    <n v="2365307.6638994487"/>
    <n v="2760328.9260383802"/>
    <n v="24707382.499037687"/>
  </r>
  <r>
    <s v="E5620"/>
    <x v="40"/>
    <s v="Chemin de Grès"/>
    <n v="29.7"/>
    <n v="8874750.5252606366"/>
    <n v="7213936.7498536594"/>
    <n v="6920148.7093920596"/>
    <n v="5541886.1797163757"/>
    <n v="5220939.1168512581"/>
    <n v="4345661.9594843425"/>
    <n v="4265772.2016053768"/>
    <n v="4281095.7350050444"/>
    <n v="5218938.594088994"/>
    <n v="7291318.7406284278"/>
    <n v="7469685.5429002326"/>
    <n v="8617655.6871106755"/>
    <n v="75261789.741897076"/>
  </r>
  <r>
    <s v="E5600"/>
    <x v="41"/>
    <s v="Inter deux bos (MET)"/>
    <n v="33"/>
    <n v="8819434.337221453"/>
    <n v="7222650.4756442215"/>
    <n v="6928297.7629543794"/>
    <n v="5535210.6775090145"/>
    <n v="5235557.6146691237"/>
    <n v="4312773.9835340222"/>
    <n v="4199891.8680300796"/>
    <n v="4168949.3061797046"/>
    <n v="5086044.4571003364"/>
    <n v="7097571.777782904"/>
    <n v="7284316.7828651601"/>
    <n v="8555512.4861447196"/>
    <n v="74446211.529635116"/>
  </r>
  <r>
    <s v="E5700"/>
    <x v="42"/>
    <s v="Haut de Comble (HC)"/>
    <n v="19.8"/>
    <n v="6013001.5640992662"/>
    <n v="4977170.6908618612"/>
    <n v="4864098.2751881536"/>
    <n v="3941622.7795093553"/>
    <n v="3780916.1489901766"/>
    <n v="3146608.7144311015"/>
    <n v="3071371.0034020641"/>
    <n v="3044595.7148893042"/>
    <n v="3617728.1604034011"/>
    <n v="4894524.7394071985"/>
    <n v="4962774.1786543131"/>
    <n v="5830442.7787849996"/>
    <n v="52144854.748621196"/>
  </r>
  <r>
    <s v="E5770"/>
    <x v="43"/>
    <s v="Le Pelon"/>
    <n v="10"/>
    <n v="2915344.5743065053"/>
    <n v="2618482.848174287"/>
    <n v="2611752.8287644805"/>
    <n v="2304139.7588389073"/>
    <n v="1931130.2977220987"/>
    <n v="1648011.0089807843"/>
    <n v="1504921.5836782181"/>
    <n v="1428859.7208642331"/>
    <n v="1823782.4439040925"/>
    <n v="2412418.2917347266"/>
    <n v="2575094.2812658115"/>
    <n v="2994684.9656900591"/>
    <n v="26768622.603924204"/>
  </r>
  <r>
    <s v="E5810"/>
    <x v="44"/>
    <s v="Coteaux du Blaiseron"/>
    <n v="25.6"/>
    <n v="3101166.700683821"/>
    <n v="2525986.63946873"/>
    <n v="2514303.1000095694"/>
    <n v="2022472.284389762"/>
    <n v="1731330.4656935481"/>
    <n v="1323532.89029578"/>
    <n v="1308378.8931377917"/>
    <n v="1230813.379831718"/>
    <n v="1739922.3165645357"/>
    <n v="2531865.1030222657"/>
    <n v="2561370.844577726"/>
    <n v="3180927.4643664812"/>
    <n v="25772070.082041729"/>
  </r>
  <r>
    <s v="E5810"/>
    <x v="44"/>
    <s v="CDB Doux le vent"/>
    <m/>
    <n v="2869183.8263972001"/>
    <n v="2337030.1280679251"/>
    <n v="2326220.5761518977"/>
    <n v="1871181.180433851"/>
    <n v="1601818.2348021807"/>
    <n v="1224525.9700821743"/>
    <n v="1210505.5681665398"/>
    <n v="1138742.3455655393"/>
    <n v="1609767.3719938118"/>
    <n v="2342468.852967219"/>
    <n v="2369767.4165813951"/>
    <n v="2942978.083600115"/>
    <n v="23844189.55480985"/>
  </r>
  <r>
    <s v="E6190"/>
    <x v="45"/>
    <s v="Evits et Josaphats"/>
    <n v="0"/>
    <n v="2736752.7023868919"/>
    <n v="0"/>
    <n v="0"/>
    <n v="0"/>
    <n v="0"/>
    <n v="0"/>
    <n v="0"/>
    <n v="0"/>
    <n v="0"/>
    <n v="0"/>
    <n v="0"/>
    <n v="0"/>
    <n v="2736752.7023868919"/>
  </r>
  <r>
    <s v="E6200"/>
    <x v="46"/>
    <s v="Remise Reclainville"/>
    <n v="0"/>
    <n v="0"/>
    <n v="0"/>
    <n v="0"/>
    <n v="0"/>
    <n v="0"/>
    <n v="0"/>
    <n v="0"/>
    <n v="0"/>
    <n v="0"/>
    <n v="0"/>
    <n v="0"/>
    <n v="0"/>
    <n v="0"/>
  </r>
  <r>
    <s v="E6150"/>
    <x v="47"/>
    <s v="Fierville"/>
    <n v="8"/>
    <n v="2155643.5111576738"/>
    <n v="1776950.2598288935"/>
    <n v="1614904.8568296942"/>
    <n v="1293725.2694653736"/>
    <n v="1212515.7244284386"/>
    <n v="906941.65977775888"/>
    <n v="922253.0019547235"/>
    <n v="919540.26623066992"/>
    <n v="1152838.0270225999"/>
    <n v="1674585.0427588688"/>
    <n v="1806957.3669354783"/>
    <n v="2065671.1096432358"/>
    <n v="17502526.096033409"/>
  </r>
  <r>
    <s v="E6340"/>
    <x v="48"/>
    <s v="Plaine de Beaunay"/>
    <n v="12.5"/>
    <n v="3576606.8987938818"/>
    <n v="2910100.5820259415"/>
    <n v="2669130.8474123515"/>
    <n v="2039959.0638230543"/>
    <n v="1966926.0265304688"/>
    <n v="1470449.3027129895"/>
    <n v="1460393.4217723489"/>
    <n v="1485498.5362938885"/>
    <n v="1827732.7162073839"/>
    <n v="2763644.2197287353"/>
    <n v="2910301.4590953989"/>
    <n v="3389056.9256035555"/>
    <n v="28469800"/>
  </r>
  <r>
    <s v="E6370"/>
    <x v="49"/>
    <s v="Val au Moines 1"/>
    <n v="15"/>
    <n v="3032281.6603530585"/>
    <n v="2473371.7644283497"/>
    <n v="2339826.2788870651"/>
    <n v="1819128.6348554122"/>
    <n v="1754994.1932595095"/>
    <n v="1373336.9964746444"/>
    <n v="1364120.5748572713"/>
    <n v="1386000.0360991512"/>
    <n v="1662901.2699286477"/>
    <n v="2414334.7144675218"/>
    <n v="2472651.165061878"/>
    <n v="2901596.2296920982"/>
    <n v="24994543.518364605"/>
  </r>
  <r>
    <s v="E6370"/>
    <x v="49"/>
    <s v="Val au Moines 2"/>
    <m/>
    <n v="1431617.0922795031"/>
    <n v="1167741.5524469642"/>
    <n v="1104691.3410509001"/>
    <n v="858856.7746740455"/>
    <n v="828577.27788686205"/>
    <n v="648387.23371890793"/>
    <n v="644035.92727874394"/>
    <n v="654365.77595121029"/>
    <n v="785097.87264483818"/>
    <n v="1139868.6635571374"/>
    <n v="1167401.3392064809"/>
    <n v="1369917.1853439601"/>
    <n v="11800558.036039554"/>
  </r>
  <r>
    <s v="E6250"/>
    <x v="50"/>
    <s v="Bougainville"/>
    <n v="0"/>
    <n v="2310907.0997009515"/>
    <n v="1880169.2397180772"/>
    <n v="1760489.8452366083"/>
    <n v="1337884.3699964392"/>
    <n v="0"/>
    <n v="0"/>
    <n v="0"/>
    <n v="0"/>
    <n v="0"/>
    <n v="0"/>
    <n v="0"/>
    <n v="0"/>
    <n v="7289450.5546520762"/>
  </r>
  <r>
    <s v="E6260"/>
    <x v="51"/>
    <s v="Saint André"/>
    <n v="11.5"/>
    <n v="2445329.8392554671"/>
    <n v="2037611.8218602098"/>
    <n v="1952131.6133720085"/>
    <n v="1556519.7551361467"/>
    <n v="1493468.0553841095"/>
    <n v="1186281.6572840551"/>
    <n v="1176180.7940936568"/>
    <n v="1146502.5638709106"/>
    <n v="1395682.8945741663"/>
    <n v="1954290.0301154808"/>
    <n v="1995687.9360862295"/>
    <n v="2388131.7955534454"/>
    <n v="20727818.756585889"/>
  </r>
  <r>
    <s v="E6120"/>
    <x v="52"/>
    <s v="Fond de la Plaine"/>
    <n v="4"/>
    <n v="934351.59399757581"/>
    <n v="877078.55451491394"/>
    <n v="851228.73978949222"/>
    <n v="807179.90027923661"/>
    <n v="723853.43082314834"/>
    <n v="643596.28373605979"/>
    <n v="680996.32373744587"/>
    <n v="594285.43265707081"/>
    <n v="581673.71190780529"/>
    <n v="674019.58537465695"/>
    <n v="849426.14087234507"/>
    <n v="855813.45357075322"/>
    <n v="9073503.1512605026"/>
  </r>
  <r>
    <s v="E6130"/>
    <x v="53"/>
    <s v="Bassigny"/>
    <n v="12"/>
    <n v="2306863.9325598166"/>
    <n v="1980572.0796700176"/>
    <n v="2039326.7076426111"/>
    <n v="1722108.5871712591"/>
    <n v="1481635.7088976731"/>
    <n v="1205362.2611589106"/>
    <n v="1173829.9944568465"/>
    <n v="1083915.4219588989"/>
    <n v="1452525.0183321722"/>
    <n v="1946102.3962797082"/>
    <n v="1952722.6500197444"/>
    <n v="2400088.2439227202"/>
    <n v="20745053.002070379"/>
  </r>
  <r>
    <s v="E6210"/>
    <x v="54"/>
    <s v="Les Clérimois"/>
    <n v="8"/>
    <n v="1809755.4956422045"/>
    <n v="1512766.1059254992"/>
    <n v="1487366.086760683"/>
    <n v="1237485.2186346117"/>
    <n v="1092135.5562071863"/>
    <n v="844560.88846857881"/>
    <n v="848432.54419353942"/>
    <n v="782785.60737805534"/>
    <n v="1038629.8267344155"/>
    <n v="1423967.3327128524"/>
    <n v="1488556.468364181"/>
    <n v="1846176.0564781921"/>
    <n v="15412617.1875"/>
  </r>
  <r>
    <s v="E6160"/>
    <x v="55"/>
    <s v="Plateau de Langres"/>
    <n v="12"/>
    <n v="2022133.2825099453"/>
    <n v="1768176.8432202579"/>
    <n v="1836645.0816918903"/>
    <n v="1593574.1236142449"/>
    <n v="1360525.635741801"/>
    <n v="1121294.3506153664"/>
    <n v="1087748.8698328962"/>
    <n v="1006411.7978164228"/>
    <n v="1321437.3031972081"/>
    <n v="1709679.8961051998"/>
    <n v="1726522.7995499042"/>
    <n v="2096030.9881834493"/>
    <n v="18650180.972078588"/>
  </r>
  <r>
    <s v="E6170"/>
    <x v="56"/>
    <s v="Les Moulins de Boulay"/>
    <n v="10"/>
    <n v="1972327.5153472449"/>
    <n v="1640682.3232426171"/>
    <n v="1663028.1231747314"/>
    <n v="1278781.1312665953"/>
    <n v="1159350.4482580984"/>
    <n v="910384.83289734845"/>
    <n v="963176.52317915985"/>
    <n v="905267.05788125785"/>
    <n v="1168870.4431918082"/>
    <n v="1606914.3002116485"/>
    <n v="1577234.2644973414"/>
    <n v="2002404.5244554577"/>
    <n v="16848421.487603307"/>
  </r>
  <r>
    <s v="E6330"/>
    <x v="57"/>
    <s v="Morlange"/>
    <n v="9.6"/>
    <n v="2318949.8525851569"/>
    <n v="1954763.598253971"/>
    <n v="2010325.9572123289"/>
    <n v="1605660.6490464422"/>
    <n v="1479072.4407191623"/>
    <n v="1207128.0447150059"/>
    <n v="1264564.5010560043"/>
    <n v="1206279.4929515379"/>
    <n v="1485453.5990160787"/>
    <n v="1946785.743459099"/>
    <n v="1905253.6045067331"/>
    <n v="2350481.0864777369"/>
    <n v="20734718.569999259"/>
  </r>
  <r>
    <s v="E6140"/>
    <x v="58"/>
    <s v="Renardières mont de Bezard"/>
    <n v="0"/>
    <n v="2450779.0627046893"/>
    <n v="2235982.2427850808"/>
    <n v="2239902.6746391817"/>
    <n v="1663562.9755846942"/>
    <n v="1462295.9936476245"/>
    <n v="1217705.8156846215"/>
    <n v="0"/>
    <n v="0"/>
    <n v="0"/>
    <n v="0"/>
    <n v="0"/>
    <n v="0"/>
    <n v="11270228.765045891"/>
  </r>
  <r>
    <s v="E6350"/>
    <x v="59"/>
    <s v="Zondrange"/>
    <n v="12.5"/>
    <n v="2485544.9450271698"/>
    <n v="2086157.3163466984"/>
    <n v="2139951.2056182339"/>
    <n v="1679322.8789119711"/>
    <n v="1527506.6041340434"/>
    <n v="1223693.7298239344"/>
    <n v="1283075.5890774068"/>
    <n v="1216909.6990956331"/>
    <n v="1543322.0759902226"/>
    <n v="2058474.2005993549"/>
    <n v="2017472.7352037891"/>
    <n v="2521635.4304717742"/>
    <n v="21783066.410300232"/>
  </r>
  <r>
    <s v="E6360"/>
    <x v="60"/>
    <s v="Noyers "/>
    <n v="10"/>
    <n v="2659368.2685807357"/>
    <n v="2240842.259266749"/>
    <n v="2185567.2663969225"/>
    <n v="1784592.7494586171"/>
    <n v="1730432.8158634566"/>
    <n v="1408428.0843225881"/>
    <n v="1401023.08085733"/>
    <n v="1365337.0262316666"/>
    <n v="1609793.0674956879"/>
    <n v="2171292.8445466571"/>
    <n v="2194761.0001436649"/>
    <n v="2601172.548729653"/>
    <n v="23352611.011893731"/>
  </r>
  <r>
    <s v="E5660"/>
    <x v="61"/>
    <s v="Parc du Santerre (XSAN)"/>
    <n v="15"/>
    <n v="5139437.0590742342"/>
    <n v="4288577.391174118"/>
    <n v="4224949.6052256105"/>
    <n v="3464359.6906659938"/>
    <n v="3359168.5483754468"/>
    <n v="2815047.946611484"/>
    <n v="2795565.9545361325"/>
    <n v="2775685.7924959445"/>
    <n v="3220026.0862365942"/>
    <n v="4248805.7996738357"/>
    <n v="4285859.289810515"/>
    <n v="4993317.8680788558"/>
    <n v="45610801.031958766"/>
  </r>
  <r>
    <s v="E5590"/>
    <x v="62"/>
    <s v="Le Catésis (CAT)"/>
    <n v="10"/>
    <n v="3764640.0020414367"/>
    <n v="3121144.8122203145"/>
    <n v="3075963.6255291882"/>
    <n v="2554388.7015257995"/>
    <n v="2429995.8615138242"/>
    <n v="2061646.6954503634"/>
    <n v="2025598.6869339577"/>
    <n v="2028935.2972852772"/>
    <n v="2392294.0180068817"/>
    <n v="3191410.3436848265"/>
    <n v="3219558.1199500444"/>
    <n v="3669212.9459937117"/>
    <n v="33534789.110135626"/>
  </r>
  <r>
    <s v="E5650"/>
    <x v="63"/>
    <s v="Seuil du Cambrésis- Ribecourt (RIB)"/>
    <n v="24.15"/>
    <n v="6921661.7280365238"/>
    <n v="5682893.8473297302"/>
    <n v="5466827.2743051546"/>
    <n v="4420020.2741387608"/>
    <n v="4204642.1317984862"/>
    <n v="3526418.9083912559"/>
    <n v="3469917.5172656579"/>
    <n v="3456631.3578708507"/>
    <n v="4123010.3237967831"/>
    <n v="5646190.4261350483"/>
    <n v="5797066.4075424699"/>
    <n v="6723697.9530538982"/>
    <n v="59438978.149664626"/>
  </r>
  <r>
    <s v="E5720"/>
    <x v="64"/>
    <s v="Basse Thiérache Nord 1 "/>
    <n v="20.100000000000001"/>
    <n v="3606891.845700792"/>
    <n v="2940380.6653016941"/>
    <n v="2833864.7990910937"/>
    <n v="2262073.0215998837"/>
    <n v="2092787.4590449012"/>
    <n v="1684414.282945784"/>
    <n v="1613541.8605923166"/>
    <n v="1616658.9051350974"/>
    <n v="2061476.1227983295"/>
    <n v="2958546.5808023359"/>
    <n v="3004884.8461093982"/>
    <n v="3496236.7644320652"/>
    <n v="30171757.153553694"/>
  </r>
  <r>
    <s v="E5720"/>
    <x v="64"/>
    <s v="Basse Thiérache Nord 2"/>
    <n v="20.100000000000001"/>
    <n v="1839391.7274428878"/>
    <n v="1499493.7754331576"/>
    <n v="1445174.3193666493"/>
    <n v="1153580.0297871542"/>
    <n v="1067250.1711000132"/>
    <n v="858993.79027128639"/>
    <n v="822851.2739559745"/>
    <n v="824440.8602788623"/>
    <n v="1051282.458362584"/>
    <n v="1508757.7722821718"/>
    <n v="1532388.7059270102"/>
    <n v="1782961.4129803618"/>
    <n v="15386566.297188114"/>
  </r>
  <r>
    <s v="E5710"/>
    <x v="65"/>
    <s v="Sources de l'Ancre 1 "/>
    <n v="23.1"/>
    <n v="2637796.262421967"/>
    <n v="2347950.2663055826"/>
    <n v="2355313.178022346"/>
    <n v="2037471.7413503265"/>
    <n v="1751565.433229259"/>
    <n v="1428179.3586513093"/>
    <n v="1403010.0341734565"/>
    <n v="1245968.5906428199"/>
    <n v="1575984.8872300065"/>
    <n v="2019206.1860756788"/>
    <n v="2479034.9662264967"/>
    <n v="2610505.523759631"/>
    <n v="23891986.428088877"/>
  </r>
  <r>
    <s v="E5710"/>
    <x v="65"/>
    <s v="Sources de l'Ancre 2"/>
    <n v="23.1"/>
    <n v="3569210.4853902822"/>
    <n v="3177018.9491352737"/>
    <n v="3186981.7283221488"/>
    <n v="2756909.4726962871"/>
    <n v="2370048.7407578868"/>
    <n v="1932474.0180031315"/>
    <n v="1898417.3252568699"/>
    <n v="1685924.0501410265"/>
    <n v="2132470.1473165285"/>
    <n v="2732194.2919461681"/>
    <n v="3354390.0721811373"/>
    <n v="3532283.3003853951"/>
    <n v="32328322.581532136"/>
  </r>
  <r>
    <s v="E5550"/>
    <x v="66"/>
    <s v="Boralex Solaire Les Cigalettes SAS (Montfort)"/>
    <n v="8.16"/>
    <n v="833360.25429324375"/>
    <n v="944200.30694759474"/>
    <n v="1336848.7412620788"/>
    <n v="1366177.2153715042"/>
    <n v="1545286.8933775616"/>
    <n v="1663777.8523213279"/>
    <n v="1780895.5716746862"/>
    <n v="1646121.9147303693"/>
    <n v="1328609.3037196314"/>
    <n v="1044250.6199630264"/>
    <n v="747336.60280840681"/>
    <n v="725757.12353056867"/>
    <n v="14962622.4"/>
  </r>
  <r>
    <s v="E5250"/>
    <x v="67"/>
    <s v="Boralex Solaire Lauragais SAS"/>
    <n v="4"/>
    <n v="251019.18558678569"/>
    <n v="335771.26700412954"/>
    <n v="526169.17213267623"/>
    <n v="582474.37437058752"/>
    <n v="636719.63018516055"/>
    <n v="668992.12415079272"/>
    <n v="704795.95484214742"/>
    <n v="668403.56802983885"/>
    <n v="563542.48581324099"/>
    <n v="444948.42744105507"/>
    <n v="271422.46444651665"/>
    <n v="236795.74599706943"/>
    <n v="5891054.4000000004"/>
  </r>
  <r>
    <s v="E5020"/>
    <x v="68"/>
    <s v="Blendecques Elec"/>
    <n v="0"/>
    <n v="0"/>
    <n v="0"/>
    <n v="0"/>
    <n v="0"/>
    <n v="0"/>
    <n v="0"/>
    <n v="0"/>
    <n v="0"/>
    <n v="0"/>
    <n v="0"/>
    <n v="0"/>
    <n v="0"/>
    <n v="0"/>
  </r>
  <r>
    <s v="E6010"/>
    <x v="69"/>
    <s v="Cham Longe Repowering"/>
    <n v="35.35"/>
    <n v="10650977.048044747"/>
    <n v="9540597.9794908948"/>
    <n v="9405860.5752347764"/>
    <n v="8039723.307061336"/>
    <n v="6988286.9463305324"/>
    <n v="6138009.5191210601"/>
    <n v="6177475.0257075941"/>
    <n v="5525192.5233734567"/>
    <n v="6577481.1928047379"/>
    <n v="7797447.5188462976"/>
    <n v="9789619.6077290699"/>
    <n v="10469328.756255496"/>
    <n v="97099999.999999985"/>
  </r>
  <r>
    <s v="E6280"/>
    <x v="70"/>
    <s v="PBF Blanches Fosses"/>
    <n v="11"/>
    <n v="3366311.1533764317"/>
    <n v="2838548.6813597688"/>
    <n v="2897301.1339248247"/>
    <n v="2388571.7837949824"/>
    <n v="2231803.7708506333"/>
    <n v="1850908.9747721169"/>
    <n v="1807210.4306087294"/>
    <n v="1795918.0545384665"/>
    <n v="2145239.2929905965"/>
    <n v="2881491.8074264564"/>
    <n v="2830067.2611227003"/>
    <n v="3288017.3459559386"/>
    <n v="30321389.690721642"/>
  </r>
  <r>
    <s v="E5930"/>
    <x v="71"/>
    <s v="Extension seuil de Bapaume XSB"/>
    <n v="17.25"/>
    <n v="5168947.0343771195"/>
    <n v="4256411.2140246732"/>
    <n v="4123926.4837819966"/>
    <n v="3314249.5382281211"/>
    <n v="3153473.0665799067"/>
    <n v="2596815.407686451"/>
    <n v="2520192.7742854478"/>
    <n v="2497498.4293397423"/>
    <n v="3027694.2149505448"/>
    <n v="4174718.5891366717"/>
    <n v="4255489.6511836639"/>
    <n v="5012247.9859424839"/>
    <n v="44101664.38951683"/>
  </r>
  <r>
    <s v="E5880"/>
    <x v="72"/>
    <s v="Extension plaine d'Escrebieux XPE"/>
    <n v="13.8"/>
    <n v="4537429.7807607418"/>
    <n v="3740490.7962713703"/>
    <n v="3833289.1114665638"/>
    <n v="2767426.3551477157"/>
    <n v="2945499.6961834724"/>
    <n v="2401260.1084847813"/>
    <n v="2503450.7045820151"/>
    <n v="2609579.3768871669"/>
    <n v="2631676.9173604809"/>
    <n v="3544434.5511925435"/>
    <n v="4049901.3068744815"/>
    <n v="4658324.1813866114"/>
    <n v="40222762.886597946"/>
  </r>
  <r>
    <s v="E6720"/>
    <x v="73"/>
    <s v="Saint Christophe - Clé des champs"/>
    <n v="9"/>
    <n v="469981.92"/>
    <n v="750048.72"/>
    <n v="1480045.32"/>
    <n v="1691006.8800000001"/>
    <n v="1925997.84"/>
    <n v="2128010.52"/>
    <n v="2343943.6800000002"/>
    <n v="2090060.6400000001"/>
    <n v="1578980.1600000001"/>
    <n v="1065082.44"/>
    <n v="586980.24"/>
    <n v="461861.63999999996"/>
    <n v="16572000"/>
  </r>
  <r>
    <s v="E6040"/>
    <x v="74"/>
    <s v="Peyrolles solaire"/>
    <n v="12"/>
    <n v="965985.15599999996"/>
    <n v="1335097.7280000001"/>
    <n v="2048016.2039999999"/>
    <n v="2188000.8360000001"/>
    <n v="2600203.14"/>
    <n v="2776209.8760000002"/>
    <n v="2963160.0359999998"/>
    <n v="2650132.5120000001"/>
    <n v="1957960.9439999999"/>
    <n v="1485113.8320000002"/>
    <n v="985136.14799999993"/>
    <n v="843783.58799999999"/>
    <n v="22798799.999999993"/>
  </r>
  <r>
    <s v="E6310"/>
    <x v="75"/>
    <s v="Bazougeais"/>
    <n v="12"/>
    <n v="3705431.6469643875"/>
    <n v="3277094.9986763862"/>
    <n v="3185926.9914196124"/>
    <n v="2417460.1729367794"/>
    <n v="2326469.9806335564"/>
    <n v="1801962.610175987"/>
    <n v="1839683.7442551958"/>
    <n v="1825319.5602309161"/>
    <n v="2029009.3899145976"/>
    <n v="2848368.6668490446"/>
    <n v="3337231.3112656451"/>
    <n v="3616852.5121479984"/>
    <n v="32210811.585470103"/>
  </r>
  <r>
    <m/>
    <x v="76"/>
    <s v="Stockage de l'Arce"/>
    <n v="0"/>
    <m/>
    <m/>
    <m/>
    <m/>
    <m/>
    <m/>
    <m/>
    <m/>
    <m/>
    <m/>
    <m/>
    <m/>
    <n v="0"/>
  </r>
  <r>
    <s v="E5890"/>
    <x v="77"/>
    <s v="La Grande Borne"/>
    <n v="8.8000000000000007"/>
    <n v="2698910.2781550814"/>
    <n v="2373059.7661503367"/>
    <n v="2919360.1075939429"/>
    <n v="1756013.797054722"/>
    <n v="1629984.9423875767"/>
    <n v="1674151.3322593453"/>
    <n v="1640238.4228265935"/>
    <n v="1294183.4580097755"/>
    <n v="1620816.6961047826"/>
    <n v="2101645.0425823503"/>
    <n v="2222381.7783132298"/>
    <n v="2506657.5199235156"/>
    <n v="24437403.141361255"/>
  </r>
  <r>
    <s v="E6730"/>
    <x v="78"/>
    <s v="Repowering Evit Et Josaphats"/>
    <n v="18"/>
    <n v="0"/>
    <n v="0"/>
    <n v="0"/>
    <n v="0"/>
    <n v="0"/>
    <n v="0"/>
    <n v="0"/>
    <n v="2238222.3371251291"/>
    <n v="2660528.4384694933"/>
    <n v="3631832.4715615301"/>
    <n v="4223061.0134436404"/>
    <n v="5067673.216132368"/>
    <n v="17821317.476732161"/>
  </r>
  <r>
    <s v="E6740"/>
    <x v="79"/>
    <s v="Repowering Reclainville"/>
    <n v="18"/>
    <n v="0"/>
    <n v="0"/>
    <n v="0"/>
    <n v="0"/>
    <n v="0"/>
    <n v="0"/>
    <n v="2373741.4684591522"/>
    <n v="2210035.1602895553"/>
    <n v="2619300.9307135474"/>
    <n v="3519685.625646329"/>
    <n v="4051731.1271975185"/>
    <n v="4870262.6680455012"/>
    <n v="19644756.980351605"/>
  </r>
  <r>
    <s v="E6290"/>
    <x v="80"/>
    <s v="Bois des Fontaines"/>
    <n v="25.2"/>
    <n v="0"/>
    <n v="0"/>
    <n v="0"/>
    <n v="0"/>
    <n v="0"/>
    <n v="3011714.5811789036"/>
    <n v="3234804.550155119"/>
    <n v="2955942.0889348499"/>
    <n v="3513667.0113753877"/>
    <n v="4796434.3329886245"/>
    <n v="5577249.2244053781"/>
    <n v="6692699.0692864526"/>
    <n v="29782510.858324714"/>
  </r>
  <r>
    <s v="E6760"/>
    <x v="81"/>
    <s v="Repowering Bougainville"/>
    <n v="18"/>
    <n v="0"/>
    <n v="0"/>
    <n v="0"/>
    <n v="0"/>
    <n v="0"/>
    <n v="0"/>
    <n v="0"/>
    <n v="0"/>
    <n v="0"/>
    <n v="0"/>
    <n v="5066168.5625646329"/>
    <n v="6079402.2750775591"/>
    <n v="11145570.837642193"/>
  </r>
  <r>
    <m/>
    <x v="82"/>
    <n v="0"/>
    <m/>
    <m/>
    <m/>
    <m/>
    <m/>
    <m/>
    <m/>
    <m/>
    <m/>
    <m/>
    <m/>
    <m/>
    <m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">
  <r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  <x v="0"/>
    <x v="0"/>
  </r>
  <r>
    <x v="9"/>
    <x v="9"/>
    <x v="0"/>
    <x v="0"/>
    <x v="0"/>
    <x v="0"/>
    <x v="0"/>
    <x v="0"/>
    <x v="0"/>
    <x v="0"/>
    <x v="0"/>
    <x v="0"/>
    <x v="0"/>
    <x v="0"/>
  </r>
  <r>
    <x v="10"/>
    <x v="10"/>
    <x v="0"/>
    <x v="0"/>
    <x v="0"/>
    <x v="0"/>
    <x v="0"/>
    <x v="0"/>
    <x v="0"/>
    <x v="0"/>
    <x v="0"/>
    <x v="0"/>
    <x v="0"/>
    <x v="0"/>
  </r>
  <r>
    <x v="11"/>
    <x v="11"/>
    <x v="0"/>
    <x v="0"/>
    <x v="0"/>
    <x v="0"/>
    <x v="0"/>
    <x v="0"/>
    <x v="0"/>
    <x v="0"/>
    <x v="0"/>
    <x v="0"/>
    <x v="0"/>
    <x v="0"/>
  </r>
  <r>
    <x v="12"/>
    <x v="12"/>
    <x v="0"/>
    <x v="0"/>
    <x v="0"/>
    <x v="0"/>
    <x v="0"/>
    <x v="0"/>
    <x v="0"/>
    <x v="0"/>
    <x v="0"/>
    <x v="0"/>
    <x v="0"/>
    <x v="0"/>
  </r>
  <r>
    <x v="13"/>
    <x v="13"/>
    <x v="0"/>
    <x v="0"/>
    <x v="0"/>
    <x v="0"/>
    <x v="0"/>
    <x v="0"/>
    <x v="0"/>
    <x v="0"/>
    <x v="0"/>
    <x v="0"/>
    <x v="0"/>
    <x v="0"/>
  </r>
  <r>
    <x v="14"/>
    <x v="14"/>
    <x v="0"/>
    <x v="0"/>
    <x v="0"/>
    <x v="0"/>
    <x v="0"/>
    <x v="0"/>
    <x v="0"/>
    <x v="0"/>
    <x v="0"/>
    <x v="0"/>
    <x v="0"/>
    <x v="0"/>
  </r>
  <r>
    <x v="14"/>
    <x v="15"/>
    <x v="0"/>
    <x v="0"/>
    <x v="0"/>
    <x v="0"/>
    <x v="0"/>
    <x v="0"/>
    <x v="0"/>
    <x v="0"/>
    <x v="0"/>
    <x v="0"/>
    <x v="0"/>
    <x v="0"/>
  </r>
  <r>
    <x v="14"/>
    <x v="16"/>
    <x v="0"/>
    <x v="0"/>
    <x v="0"/>
    <x v="0"/>
    <x v="0"/>
    <x v="0"/>
    <x v="0"/>
    <x v="0"/>
    <x v="0"/>
    <x v="0"/>
    <x v="0"/>
    <x v="0"/>
  </r>
  <r>
    <x v="15"/>
    <x v="17"/>
    <x v="0"/>
    <x v="0"/>
    <x v="0"/>
    <x v="0"/>
    <x v="0"/>
    <x v="0"/>
    <x v="0"/>
    <x v="0"/>
    <x v="0"/>
    <x v="0"/>
    <x v="0"/>
    <x v="0"/>
  </r>
  <r>
    <x v="16"/>
    <x v="18"/>
    <x v="0"/>
    <x v="0"/>
    <x v="0"/>
    <x v="0"/>
    <x v="0"/>
    <x v="0"/>
    <x v="0"/>
    <x v="0"/>
    <x v="0"/>
    <x v="0"/>
    <x v="0"/>
    <x v="0"/>
  </r>
  <r>
    <x v="16"/>
    <x v="19"/>
    <x v="0"/>
    <x v="0"/>
    <x v="0"/>
    <x v="0"/>
    <x v="0"/>
    <x v="0"/>
    <x v="0"/>
    <x v="0"/>
    <x v="0"/>
    <x v="0"/>
    <x v="0"/>
    <x v="0"/>
  </r>
  <r>
    <x v="16"/>
    <x v="20"/>
    <x v="0"/>
    <x v="0"/>
    <x v="0"/>
    <x v="0"/>
    <x v="0"/>
    <x v="0"/>
    <x v="0"/>
    <x v="0"/>
    <x v="0"/>
    <x v="0"/>
    <x v="0"/>
    <x v="0"/>
  </r>
  <r>
    <x v="16"/>
    <x v="21"/>
    <x v="0"/>
    <x v="0"/>
    <x v="0"/>
    <x v="0"/>
    <x v="0"/>
    <x v="0"/>
    <x v="0"/>
    <x v="0"/>
    <x v="0"/>
    <x v="0"/>
    <x v="0"/>
    <x v="0"/>
  </r>
  <r>
    <x v="17"/>
    <x v="22"/>
    <x v="0"/>
    <x v="0"/>
    <x v="0"/>
    <x v="0"/>
    <x v="0"/>
    <x v="0"/>
    <x v="0"/>
    <x v="0"/>
    <x v="0"/>
    <x v="0"/>
    <x v="0"/>
    <x v="0"/>
  </r>
  <r>
    <x v="18"/>
    <x v="23"/>
    <x v="0"/>
    <x v="0"/>
    <x v="0"/>
    <x v="0"/>
    <x v="0"/>
    <x v="0"/>
    <x v="0"/>
    <x v="0"/>
    <x v="0"/>
    <x v="0"/>
    <x v="0"/>
    <x v="0"/>
  </r>
  <r>
    <x v="18"/>
    <x v="24"/>
    <x v="0"/>
    <x v="0"/>
    <x v="0"/>
    <x v="0"/>
    <x v="0"/>
    <x v="0"/>
    <x v="0"/>
    <x v="0"/>
    <x v="0"/>
    <x v="0"/>
    <x v="0"/>
    <x v="0"/>
  </r>
  <r>
    <x v="18"/>
    <x v="25"/>
    <x v="0"/>
    <x v="0"/>
    <x v="0"/>
    <x v="0"/>
    <x v="0"/>
    <x v="0"/>
    <x v="0"/>
    <x v="0"/>
    <x v="0"/>
    <x v="0"/>
    <x v="0"/>
    <x v="0"/>
  </r>
  <r>
    <x v="19"/>
    <x v="26"/>
    <x v="0"/>
    <x v="0"/>
    <x v="0"/>
    <x v="0"/>
    <x v="0"/>
    <x v="0"/>
    <x v="0"/>
    <x v="0"/>
    <x v="0"/>
    <x v="0"/>
    <x v="0"/>
    <x v="0"/>
  </r>
  <r>
    <x v="20"/>
    <x v="27"/>
    <x v="0"/>
    <x v="0"/>
    <x v="0"/>
    <x v="0"/>
    <x v="0"/>
    <x v="0"/>
    <x v="0"/>
    <x v="0"/>
    <x v="0"/>
    <x v="0"/>
    <x v="0"/>
    <x v="0"/>
  </r>
  <r>
    <x v="20"/>
    <x v="28"/>
    <x v="0"/>
    <x v="0"/>
    <x v="0"/>
    <x v="0"/>
    <x v="0"/>
    <x v="0"/>
    <x v="0"/>
    <x v="0"/>
    <x v="0"/>
    <x v="0"/>
    <x v="0"/>
    <x v="0"/>
  </r>
  <r>
    <x v="21"/>
    <x v="29"/>
    <x v="0"/>
    <x v="0"/>
    <x v="0"/>
    <x v="0"/>
    <x v="0"/>
    <x v="0"/>
    <x v="0"/>
    <x v="0"/>
    <x v="0"/>
    <x v="0"/>
    <x v="0"/>
    <x v="0"/>
  </r>
  <r>
    <x v="21"/>
    <x v="30"/>
    <x v="0"/>
    <x v="0"/>
    <x v="0"/>
    <x v="0"/>
    <x v="0"/>
    <x v="0"/>
    <x v="0"/>
    <x v="0"/>
    <x v="0"/>
    <x v="0"/>
    <x v="0"/>
    <x v="0"/>
  </r>
  <r>
    <x v="22"/>
    <x v="31"/>
    <x v="0"/>
    <x v="0"/>
    <x v="0"/>
    <x v="0"/>
    <x v="0"/>
    <x v="0"/>
    <x v="0"/>
    <x v="0"/>
    <x v="0"/>
    <x v="0"/>
    <x v="0"/>
    <x v="0"/>
  </r>
  <r>
    <x v="23"/>
    <x v="32"/>
    <x v="0"/>
    <x v="0"/>
    <x v="0"/>
    <x v="0"/>
    <x v="0"/>
    <x v="0"/>
    <x v="0"/>
    <x v="0"/>
    <x v="0"/>
    <x v="0"/>
    <x v="0"/>
    <x v="0"/>
  </r>
  <r>
    <x v="24"/>
    <x v="33"/>
    <x v="0"/>
    <x v="0"/>
    <x v="0"/>
    <x v="0"/>
    <x v="0"/>
    <x v="0"/>
    <x v="0"/>
    <x v="0"/>
    <x v="0"/>
    <x v="0"/>
    <x v="0"/>
    <x v="0"/>
  </r>
  <r>
    <x v="25"/>
    <x v="34"/>
    <x v="0"/>
    <x v="0"/>
    <x v="0"/>
    <x v="0"/>
    <x v="0"/>
    <x v="0"/>
    <x v="0"/>
    <x v="0"/>
    <x v="0"/>
    <x v="0"/>
    <x v="0"/>
    <x v="0"/>
  </r>
  <r>
    <x v="26"/>
    <x v="35"/>
    <x v="0"/>
    <x v="0"/>
    <x v="0"/>
    <x v="0"/>
    <x v="0"/>
    <x v="0"/>
    <x v="0"/>
    <x v="0"/>
    <x v="0"/>
    <x v="0"/>
    <x v="0"/>
    <x v="0"/>
  </r>
  <r>
    <x v="26"/>
    <x v="36"/>
    <x v="0"/>
    <x v="0"/>
    <x v="0"/>
    <x v="0"/>
    <x v="0"/>
    <x v="0"/>
    <x v="0"/>
    <x v="0"/>
    <x v="0"/>
    <x v="0"/>
    <x v="0"/>
    <x v="0"/>
  </r>
  <r>
    <x v="27"/>
    <x v="37"/>
    <x v="0"/>
    <x v="0"/>
    <x v="0"/>
    <x v="0"/>
    <x v="0"/>
    <x v="0"/>
    <x v="0"/>
    <x v="0"/>
    <x v="0"/>
    <x v="0"/>
    <x v="0"/>
    <x v="0"/>
  </r>
  <r>
    <x v="27"/>
    <x v="38"/>
    <x v="0"/>
    <x v="0"/>
    <x v="0"/>
    <x v="0"/>
    <x v="0"/>
    <x v="0"/>
    <x v="0"/>
    <x v="0"/>
    <x v="0"/>
    <x v="0"/>
    <x v="0"/>
    <x v="0"/>
  </r>
  <r>
    <x v="27"/>
    <x v="39"/>
    <x v="0"/>
    <x v="0"/>
    <x v="0"/>
    <x v="0"/>
    <x v="0"/>
    <x v="0"/>
    <x v="0"/>
    <x v="0"/>
    <x v="0"/>
    <x v="0"/>
    <x v="0"/>
    <x v="0"/>
  </r>
  <r>
    <x v="28"/>
    <x v="40"/>
    <x v="0"/>
    <x v="0"/>
    <x v="0"/>
    <x v="0"/>
    <x v="0"/>
    <x v="0"/>
    <x v="0"/>
    <x v="0"/>
    <x v="0"/>
    <x v="0"/>
    <x v="0"/>
    <x v="0"/>
  </r>
  <r>
    <x v="29"/>
    <x v="41"/>
    <x v="0"/>
    <x v="0"/>
    <x v="0"/>
    <x v="0"/>
    <x v="0"/>
    <x v="0"/>
    <x v="0"/>
    <x v="0"/>
    <x v="0"/>
    <x v="0"/>
    <x v="0"/>
    <x v="0"/>
  </r>
  <r>
    <x v="29"/>
    <x v="42"/>
    <x v="0"/>
    <x v="0"/>
    <x v="0"/>
    <x v="0"/>
    <x v="0"/>
    <x v="0"/>
    <x v="0"/>
    <x v="0"/>
    <x v="0"/>
    <x v="0"/>
    <x v="0"/>
    <x v="0"/>
  </r>
  <r>
    <x v="29"/>
    <x v="43"/>
    <x v="0"/>
    <x v="0"/>
    <x v="0"/>
    <x v="0"/>
    <x v="0"/>
    <x v="0"/>
    <x v="0"/>
    <x v="0"/>
    <x v="0"/>
    <x v="0"/>
    <x v="0"/>
    <x v="0"/>
  </r>
  <r>
    <x v="30"/>
    <x v="44"/>
    <x v="0"/>
    <x v="0"/>
    <x v="0"/>
    <x v="0"/>
    <x v="0"/>
    <x v="0"/>
    <x v="0"/>
    <x v="0"/>
    <x v="0"/>
    <x v="0"/>
    <x v="0"/>
    <x v="0"/>
  </r>
  <r>
    <x v="31"/>
    <x v="45"/>
    <x v="0"/>
    <x v="0"/>
    <x v="0"/>
    <x v="0"/>
    <x v="0"/>
    <x v="0"/>
    <x v="0"/>
    <x v="0"/>
    <x v="0"/>
    <x v="0"/>
    <x v="0"/>
    <x v="0"/>
  </r>
  <r>
    <x v="31"/>
    <x v="46"/>
    <x v="0"/>
    <x v="0"/>
    <x v="0"/>
    <x v="0"/>
    <x v="0"/>
    <x v="0"/>
    <x v="0"/>
    <x v="0"/>
    <x v="0"/>
    <x v="0"/>
    <x v="0"/>
    <x v="0"/>
  </r>
  <r>
    <x v="31"/>
    <x v="47"/>
    <x v="0"/>
    <x v="0"/>
    <x v="0"/>
    <x v="0"/>
    <x v="0"/>
    <x v="0"/>
    <x v="0"/>
    <x v="0"/>
    <x v="0"/>
    <x v="0"/>
    <x v="0"/>
    <x v="0"/>
  </r>
  <r>
    <x v="32"/>
    <x v="48"/>
    <x v="0"/>
    <x v="0"/>
    <x v="0"/>
    <x v="0"/>
    <x v="0"/>
    <x v="0"/>
    <x v="0"/>
    <x v="0"/>
    <x v="0"/>
    <x v="0"/>
    <x v="0"/>
    <x v="0"/>
  </r>
  <r>
    <x v="32"/>
    <x v="49"/>
    <x v="0"/>
    <x v="0"/>
    <x v="0"/>
    <x v="0"/>
    <x v="0"/>
    <x v="0"/>
    <x v="0"/>
    <x v="0"/>
    <x v="0"/>
    <x v="0"/>
    <x v="0"/>
    <x v="0"/>
  </r>
  <r>
    <x v="33"/>
    <x v="50"/>
    <x v="0"/>
    <x v="0"/>
    <x v="0"/>
    <x v="0"/>
    <x v="0"/>
    <x v="0"/>
    <x v="0"/>
    <x v="0"/>
    <x v="0"/>
    <x v="0"/>
    <x v="0"/>
    <x v="0"/>
  </r>
  <r>
    <x v="34"/>
    <x v="51"/>
    <x v="0"/>
    <x v="0"/>
    <x v="0"/>
    <x v="0"/>
    <x v="0"/>
    <x v="0"/>
    <x v="0"/>
    <x v="0"/>
    <x v="0"/>
    <x v="0"/>
    <x v="0"/>
    <x v="0"/>
  </r>
  <r>
    <x v="35"/>
    <x v="52"/>
    <x v="0"/>
    <x v="0"/>
    <x v="0"/>
    <x v="0"/>
    <x v="0"/>
    <x v="0"/>
    <x v="0"/>
    <x v="0"/>
    <x v="0"/>
    <x v="0"/>
    <x v="0"/>
    <x v="0"/>
  </r>
  <r>
    <x v="36"/>
    <x v="53"/>
    <x v="0"/>
    <x v="0"/>
    <x v="0"/>
    <x v="0"/>
    <x v="0"/>
    <x v="0"/>
    <x v="0"/>
    <x v="0"/>
    <x v="0"/>
    <x v="0"/>
    <x v="0"/>
    <x v="0"/>
  </r>
  <r>
    <x v="36"/>
    <x v="54"/>
    <x v="0"/>
    <x v="0"/>
    <x v="0"/>
    <x v="0"/>
    <x v="0"/>
    <x v="0"/>
    <x v="0"/>
    <x v="0"/>
    <x v="0"/>
    <x v="0"/>
    <x v="0"/>
    <x v="0"/>
  </r>
  <r>
    <x v="37"/>
    <x v="55"/>
    <x v="0"/>
    <x v="0"/>
    <x v="0"/>
    <x v="0"/>
    <x v="0"/>
    <x v="0"/>
    <x v="0"/>
    <x v="0"/>
    <x v="0"/>
    <x v="0"/>
    <x v="0"/>
    <x v="0"/>
  </r>
  <r>
    <x v="38"/>
    <x v="56"/>
    <x v="0"/>
    <x v="0"/>
    <x v="0"/>
    <x v="0"/>
    <x v="0"/>
    <x v="0"/>
    <x v="0"/>
    <x v="0"/>
    <x v="0"/>
    <x v="0"/>
    <x v="0"/>
    <x v="0"/>
  </r>
  <r>
    <x v="38"/>
    <x v="57"/>
    <x v="0"/>
    <x v="0"/>
    <x v="0"/>
    <x v="0"/>
    <x v="0"/>
    <x v="0"/>
    <x v="0"/>
    <x v="0"/>
    <x v="0"/>
    <x v="0"/>
    <x v="0"/>
    <x v="0"/>
  </r>
  <r>
    <x v="39"/>
    <x v="58"/>
    <x v="0"/>
    <x v="0"/>
    <x v="0"/>
    <x v="0"/>
    <x v="0"/>
    <x v="0"/>
    <x v="0"/>
    <x v="0"/>
    <x v="0"/>
    <x v="0"/>
    <x v="0"/>
    <x v="0"/>
  </r>
  <r>
    <x v="39"/>
    <x v="59"/>
    <x v="0"/>
    <x v="0"/>
    <x v="0"/>
    <x v="0"/>
    <x v="0"/>
    <x v="0"/>
    <x v="0"/>
    <x v="0"/>
    <x v="0"/>
    <x v="0"/>
    <x v="0"/>
    <x v="0"/>
  </r>
  <r>
    <x v="40"/>
    <x v="60"/>
    <x v="0"/>
    <x v="0"/>
    <x v="0"/>
    <x v="0"/>
    <x v="0"/>
    <x v="0"/>
    <x v="0"/>
    <x v="0"/>
    <x v="0"/>
    <x v="0"/>
    <x v="0"/>
    <x v="0"/>
  </r>
  <r>
    <x v="41"/>
    <x v="61"/>
    <x v="0"/>
    <x v="0"/>
    <x v="0"/>
    <x v="0"/>
    <x v="0"/>
    <x v="0"/>
    <x v="0"/>
    <x v="0"/>
    <x v="0"/>
    <x v="0"/>
    <x v="0"/>
    <x v="0"/>
  </r>
  <r>
    <x v="42"/>
    <x v="62"/>
    <x v="0"/>
    <x v="0"/>
    <x v="0"/>
    <x v="0"/>
    <x v="0"/>
    <x v="0"/>
    <x v="0"/>
    <x v="0"/>
    <x v="0"/>
    <x v="0"/>
    <x v="0"/>
    <x v="0"/>
  </r>
  <r>
    <x v="43"/>
    <x v="63"/>
    <x v="1"/>
    <x v="1"/>
    <x v="1"/>
    <x v="1"/>
    <x v="1"/>
    <x v="1"/>
    <x v="1"/>
    <x v="1"/>
    <x v="1"/>
    <x v="1"/>
    <x v="1"/>
    <x v="1"/>
  </r>
  <r>
    <x v="44"/>
    <x v="64"/>
    <x v="0"/>
    <x v="0"/>
    <x v="0"/>
    <x v="0"/>
    <x v="0"/>
    <x v="0"/>
    <x v="0"/>
    <x v="0"/>
    <x v="0"/>
    <x v="0"/>
    <x v="0"/>
    <x v="0"/>
  </r>
  <r>
    <x v="44"/>
    <x v="65"/>
    <x v="0"/>
    <x v="0"/>
    <x v="0"/>
    <x v="0"/>
    <x v="0"/>
    <x v="0"/>
    <x v="0"/>
    <x v="0"/>
    <x v="0"/>
    <x v="0"/>
    <x v="0"/>
    <x v="0"/>
  </r>
  <r>
    <x v="45"/>
    <x v="66"/>
    <x v="0"/>
    <x v="0"/>
    <x v="0"/>
    <x v="0"/>
    <x v="0"/>
    <x v="0"/>
    <x v="0"/>
    <x v="0"/>
    <x v="0"/>
    <x v="0"/>
    <x v="0"/>
    <x v="0"/>
  </r>
  <r>
    <x v="46"/>
    <x v="67"/>
    <x v="0"/>
    <x v="0"/>
    <x v="0"/>
    <x v="0"/>
    <x v="0"/>
    <x v="0"/>
    <x v="0"/>
    <x v="0"/>
    <x v="0"/>
    <x v="0"/>
    <x v="0"/>
    <x v="0"/>
  </r>
  <r>
    <x v="47"/>
    <x v="68"/>
    <x v="0"/>
    <x v="0"/>
    <x v="0"/>
    <x v="0"/>
    <x v="0"/>
    <x v="0"/>
    <x v="0"/>
    <x v="0"/>
    <x v="0"/>
    <x v="0"/>
    <x v="0"/>
    <x v="0"/>
  </r>
  <r>
    <x v="48"/>
    <x v="69"/>
    <x v="0"/>
    <x v="0"/>
    <x v="0"/>
    <x v="0"/>
    <x v="0"/>
    <x v="0"/>
    <x v="0"/>
    <x v="0"/>
    <x v="0"/>
    <x v="0"/>
    <x v="0"/>
    <x v="0"/>
  </r>
  <r>
    <x v="49"/>
    <x v="70"/>
    <x v="0"/>
    <x v="0"/>
    <x v="0"/>
    <x v="0"/>
    <x v="0"/>
    <x v="0"/>
    <x v="0"/>
    <x v="0"/>
    <x v="0"/>
    <x v="0"/>
    <x v="0"/>
    <x v="0"/>
  </r>
  <r>
    <x v="49"/>
    <x v="71"/>
    <x v="0"/>
    <x v="0"/>
    <x v="0"/>
    <x v="0"/>
    <x v="0"/>
    <x v="0"/>
    <x v="0"/>
    <x v="0"/>
    <x v="0"/>
    <x v="0"/>
    <x v="0"/>
    <x v="0"/>
  </r>
  <r>
    <x v="50"/>
    <x v="72"/>
    <x v="0"/>
    <x v="0"/>
    <x v="0"/>
    <x v="0"/>
    <x v="0"/>
    <x v="0"/>
    <x v="0"/>
    <x v="0"/>
    <x v="0"/>
    <x v="0"/>
    <x v="0"/>
    <x v="0"/>
  </r>
  <r>
    <x v="51"/>
    <x v="73"/>
    <x v="0"/>
    <x v="0"/>
    <x v="0"/>
    <x v="0"/>
    <x v="0"/>
    <x v="0"/>
    <x v="0"/>
    <x v="0"/>
    <x v="0"/>
    <x v="0"/>
    <x v="0"/>
    <x v="0"/>
  </r>
  <r>
    <x v="52"/>
    <x v="74"/>
    <x v="0"/>
    <x v="0"/>
    <x v="0"/>
    <x v="0"/>
    <x v="0"/>
    <x v="0"/>
    <x v="0"/>
    <x v="0"/>
    <x v="0"/>
    <x v="0"/>
    <x v="0"/>
    <x v="0"/>
  </r>
  <r>
    <x v="53"/>
    <x v="75"/>
    <x v="0"/>
    <x v="0"/>
    <x v="0"/>
    <x v="0"/>
    <x v="0"/>
    <x v="0"/>
    <x v="0"/>
    <x v="0"/>
    <x v="0"/>
    <x v="0"/>
    <x v="0"/>
    <x v="0"/>
  </r>
  <r>
    <x v="54"/>
    <x v="76"/>
    <x v="0"/>
    <x v="0"/>
    <x v="0"/>
    <x v="0"/>
    <x v="0"/>
    <x v="0"/>
    <x v="0"/>
    <x v="0"/>
    <x v="0"/>
    <x v="0"/>
    <x v="0"/>
    <x v="0"/>
  </r>
  <r>
    <x v="55"/>
    <x v="77"/>
    <x v="0"/>
    <x v="0"/>
    <x v="0"/>
    <x v="0"/>
    <x v="0"/>
    <x v="0"/>
    <x v="0"/>
    <x v="0"/>
    <x v="0"/>
    <x v="0"/>
    <x v="0"/>
    <x v="0"/>
  </r>
  <r>
    <x v="56"/>
    <x v="78"/>
    <x v="0"/>
    <x v="0"/>
    <x v="0"/>
    <x v="0"/>
    <x v="0"/>
    <x v="0"/>
    <x v="0"/>
    <x v="0"/>
    <x v="0"/>
    <x v="0"/>
    <x v="0"/>
    <x v="0"/>
  </r>
  <r>
    <x v="57"/>
    <x v="79"/>
    <x v="0"/>
    <x v="0"/>
    <x v="0"/>
    <x v="0"/>
    <x v="0"/>
    <x v="0"/>
    <x v="0"/>
    <x v="0"/>
    <x v="0"/>
    <x v="0"/>
    <x v="0"/>
    <x v="0"/>
  </r>
  <r>
    <x v="58"/>
    <x v="80"/>
    <x v="0"/>
    <x v="0"/>
    <x v="0"/>
    <x v="0"/>
    <x v="0"/>
    <x v="0"/>
    <x v="0"/>
    <x v="0"/>
    <x v="0"/>
    <x v="0"/>
    <x v="0"/>
    <x v="0"/>
  </r>
  <r>
    <x v="59"/>
    <x v="81"/>
    <x v="0"/>
    <x v="0"/>
    <x v="0"/>
    <x v="0"/>
    <x v="0"/>
    <x v="0"/>
    <x v="0"/>
    <x v="0"/>
    <x v="0"/>
    <x v="0"/>
    <x v="0"/>
    <x v="0"/>
  </r>
  <r>
    <x v="60"/>
    <x v="82"/>
    <x v="2"/>
    <x v="2"/>
    <x v="2"/>
    <x v="2"/>
    <x v="2"/>
    <x v="2"/>
    <x v="2"/>
    <x v="2"/>
    <x v="2"/>
    <x v="2"/>
    <x v="2"/>
    <x v="2"/>
  </r>
  <r>
    <x v="61"/>
    <x v="83"/>
    <x v="3"/>
    <x v="3"/>
    <x v="3"/>
    <x v="3"/>
    <x v="3"/>
    <x v="3"/>
    <x v="3"/>
    <x v="3"/>
    <x v="3"/>
    <x v="3"/>
    <x v="3"/>
    <x v="3"/>
  </r>
  <r>
    <x v="62"/>
    <x v="84"/>
    <x v="4"/>
    <x v="4"/>
    <x v="4"/>
    <x v="4"/>
    <x v="4"/>
    <x v="4"/>
    <x v="4"/>
    <x v="4"/>
    <x v="4"/>
    <x v="4"/>
    <x v="4"/>
    <x v="4"/>
  </r>
  <r>
    <x v="63"/>
    <x v="85"/>
    <x v="5"/>
    <x v="5"/>
    <x v="5"/>
    <x v="5"/>
    <x v="5"/>
    <x v="5"/>
    <x v="5"/>
    <x v="5"/>
    <x v="5"/>
    <x v="5"/>
    <x v="5"/>
    <x v="5"/>
  </r>
  <r>
    <x v="64"/>
    <x v="86"/>
    <x v="6"/>
    <x v="6"/>
    <x v="6"/>
    <x v="6"/>
    <x v="6"/>
    <x v="6"/>
    <x v="6"/>
    <x v="6"/>
    <x v="6"/>
    <x v="6"/>
    <x v="6"/>
    <x v="6"/>
  </r>
  <r>
    <x v="64"/>
    <x v="87"/>
    <x v="6"/>
    <x v="6"/>
    <x v="6"/>
    <x v="6"/>
    <x v="6"/>
    <x v="6"/>
    <x v="6"/>
    <x v="6"/>
    <x v="6"/>
    <x v="6"/>
    <x v="6"/>
    <x v="6"/>
  </r>
  <r>
    <x v="65"/>
    <x v="88"/>
    <x v="1"/>
    <x v="1"/>
    <x v="1"/>
    <x v="1"/>
    <x v="1"/>
    <x v="1"/>
    <x v="1"/>
    <x v="1"/>
    <x v="1"/>
    <x v="1"/>
    <x v="1"/>
    <x v="1"/>
  </r>
  <r>
    <x v="65"/>
    <x v="89"/>
    <x v="1"/>
    <x v="1"/>
    <x v="1"/>
    <x v="1"/>
    <x v="1"/>
    <x v="1"/>
    <x v="1"/>
    <x v="1"/>
    <x v="1"/>
    <x v="1"/>
    <x v="1"/>
    <x v="1"/>
  </r>
  <r>
    <x v="66"/>
    <x v="90"/>
    <x v="0"/>
    <x v="0"/>
    <x v="0"/>
    <x v="0"/>
    <x v="0"/>
    <x v="0"/>
    <x v="0"/>
    <x v="0"/>
    <x v="0"/>
    <x v="0"/>
    <x v="0"/>
    <x v="0"/>
  </r>
  <r>
    <x v="67"/>
    <x v="91"/>
    <x v="0"/>
    <x v="0"/>
    <x v="0"/>
    <x v="0"/>
    <x v="0"/>
    <x v="0"/>
    <x v="0"/>
    <x v="0"/>
    <x v="0"/>
    <x v="0"/>
    <x v="0"/>
    <x v="0"/>
  </r>
  <r>
    <x v="68"/>
    <x v="92"/>
    <x v="0"/>
    <x v="0"/>
    <x v="0"/>
    <x v="0"/>
    <x v="0"/>
    <x v="0"/>
    <x v="0"/>
    <x v="0"/>
    <x v="0"/>
    <x v="0"/>
    <x v="0"/>
    <x v="0"/>
  </r>
  <r>
    <x v="69"/>
    <x v="93"/>
    <x v="7"/>
    <x v="7"/>
    <x v="7"/>
    <x v="7"/>
    <x v="7"/>
    <x v="7"/>
    <x v="7"/>
    <x v="7"/>
    <x v="7"/>
    <x v="7"/>
    <x v="7"/>
    <x v="7"/>
  </r>
  <r>
    <x v="70"/>
    <x v="94"/>
    <x v="8"/>
    <x v="8"/>
    <x v="8"/>
    <x v="8"/>
    <x v="8"/>
    <x v="8"/>
    <x v="8"/>
    <x v="8"/>
    <x v="8"/>
    <x v="8"/>
    <x v="8"/>
    <x v="8"/>
  </r>
  <r>
    <x v="71"/>
    <x v="95"/>
    <x v="9"/>
    <x v="9"/>
    <x v="9"/>
    <x v="9"/>
    <x v="9"/>
    <x v="9"/>
    <x v="9"/>
    <x v="9"/>
    <x v="9"/>
    <x v="9"/>
    <x v="9"/>
    <x v="9"/>
  </r>
  <r>
    <x v="72"/>
    <x v="96"/>
    <x v="10"/>
    <x v="10"/>
    <x v="10"/>
    <x v="10"/>
    <x v="10"/>
    <x v="10"/>
    <x v="10"/>
    <x v="10"/>
    <x v="10"/>
    <x v="10"/>
    <x v="10"/>
    <x v="10"/>
  </r>
  <r>
    <x v="73"/>
    <x v="97"/>
    <x v="11"/>
    <x v="11"/>
    <x v="11"/>
    <x v="11"/>
    <x v="11"/>
    <x v="11"/>
    <x v="11"/>
    <x v="11"/>
    <x v="11"/>
    <x v="11"/>
    <x v="11"/>
    <x v="11"/>
  </r>
  <r>
    <x v="74"/>
    <x v="98"/>
    <x v="12"/>
    <x v="12"/>
    <x v="12"/>
    <x v="12"/>
    <x v="12"/>
    <x v="12"/>
    <x v="12"/>
    <x v="12"/>
    <x v="12"/>
    <x v="12"/>
    <x v="12"/>
    <x v="12"/>
  </r>
  <r>
    <x v="75"/>
    <x v="99"/>
    <x v="13"/>
    <x v="13"/>
    <x v="13"/>
    <x v="13"/>
    <x v="13"/>
    <x v="13"/>
    <x v="13"/>
    <x v="13"/>
    <x v="13"/>
    <x v="13"/>
    <x v="13"/>
    <x v="4"/>
  </r>
  <r>
    <x v="76"/>
    <x v="100"/>
    <x v="0"/>
    <x v="0"/>
    <x v="0"/>
    <x v="0"/>
    <x v="0"/>
    <x v="0"/>
    <x v="0"/>
    <x v="0"/>
    <x v="0"/>
    <x v="0"/>
    <x v="0"/>
    <x v="0"/>
  </r>
  <r>
    <x v="77"/>
    <x v="101"/>
    <x v="13"/>
    <x v="13"/>
    <x v="13"/>
    <x v="13"/>
    <x v="13"/>
    <x v="13"/>
    <x v="13"/>
    <x v="13"/>
    <x v="13"/>
    <x v="13"/>
    <x v="14"/>
    <x v="13"/>
  </r>
  <r>
    <x v="78"/>
    <x v="102"/>
    <x v="0"/>
    <x v="0"/>
    <x v="0"/>
    <x v="0"/>
    <x v="0"/>
    <x v="0"/>
    <x v="0"/>
    <x v="14"/>
    <x v="14"/>
    <x v="14"/>
    <x v="15"/>
    <x v="14"/>
  </r>
  <r>
    <x v="79"/>
    <x v="103"/>
    <x v="0"/>
    <x v="0"/>
    <x v="0"/>
    <x v="0"/>
    <x v="0"/>
    <x v="0"/>
    <x v="14"/>
    <x v="14"/>
    <x v="14"/>
    <x v="14"/>
    <x v="15"/>
    <x v="14"/>
  </r>
  <r>
    <x v="80"/>
    <x v="104"/>
    <x v="0"/>
    <x v="0"/>
    <x v="0"/>
    <x v="0"/>
    <x v="0"/>
    <x v="14"/>
    <x v="15"/>
    <x v="15"/>
    <x v="15"/>
    <x v="15"/>
    <x v="16"/>
    <x v="15"/>
  </r>
  <r>
    <x v="81"/>
    <x v="105"/>
    <x v="0"/>
    <x v="0"/>
    <x v="0"/>
    <x v="0"/>
    <x v="0"/>
    <x v="0"/>
    <x v="0"/>
    <x v="0"/>
    <x v="0"/>
    <x v="0"/>
    <x v="15"/>
    <x v="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">
  <r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</r>
  <r>
    <x v="2"/>
    <x v="2"/>
    <x v="2"/>
    <x v="2"/>
    <x v="2"/>
    <x v="2"/>
    <x v="2"/>
    <x v="2"/>
    <x v="2"/>
    <x v="2"/>
    <x v="2"/>
    <x v="2"/>
    <x v="2"/>
    <x v="2"/>
  </r>
  <r>
    <x v="3"/>
    <x v="3"/>
    <x v="3"/>
    <x v="3"/>
    <x v="3"/>
    <x v="3"/>
    <x v="3"/>
    <x v="3"/>
    <x v="3"/>
    <x v="3"/>
    <x v="3"/>
    <x v="3"/>
    <x v="3"/>
    <x v="3"/>
  </r>
  <r>
    <x v="4"/>
    <x v="4"/>
    <x v="4"/>
    <x v="4"/>
    <x v="4"/>
    <x v="4"/>
    <x v="4"/>
    <x v="4"/>
    <x v="4"/>
    <x v="4"/>
    <x v="4"/>
    <x v="4"/>
    <x v="4"/>
    <x v="4"/>
  </r>
  <r>
    <x v="5"/>
    <x v="5"/>
    <x v="5"/>
    <x v="5"/>
    <x v="5"/>
    <x v="5"/>
    <x v="5"/>
    <x v="5"/>
    <x v="5"/>
    <x v="5"/>
    <x v="5"/>
    <x v="5"/>
    <x v="5"/>
    <x v="5"/>
  </r>
  <r>
    <x v="6"/>
    <x v="6"/>
    <x v="6"/>
    <x v="6"/>
    <x v="6"/>
    <x v="6"/>
    <x v="6"/>
    <x v="6"/>
    <x v="6"/>
    <x v="6"/>
    <x v="6"/>
    <x v="6"/>
    <x v="6"/>
    <x v="6"/>
  </r>
  <r>
    <x v="7"/>
    <x v="7"/>
    <x v="7"/>
    <x v="7"/>
    <x v="7"/>
    <x v="7"/>
    <x v="7"/>
    <x v="7"/>
    <x v="7"/>
    <x v="7"/>
    <x v="7"/>
    <x v="7"/>
    <x v="7"/>
    <x v="7"/>
  </r>
  <r>
    <x v="8"/>
    <x v="8"/>
    <x v="8"/>
    <x v="8"/>
    <x v="8"/>
    <x v="8"/>
    <x v="8"/>
    <x v="8"/>
    <x v="8"/>
    <x v="8"/>
    <x v="8"/>
    <x v="8"/>
    <x v="8"/>
    <x v="8"/>
  </r>
  <r>
    <x v="9"/>
    <x v="9"/>
    <x v="8"/>
    <x v="8"/>
    <x v="8"/>
    <x v="8"/>
    <x v="8"/>
    <x v="8"/>
    <x v="8"/>
    <x v="8"/>
    <x v="8"/>
    <x v="8"/>
    <x v="8"/>
    <x v="8"/>
  </r>
  <r>
    <x v="10"/>
    <x v="10"/>
    <x v="9"/>
    <x v="9"/>
    <x v="9"/>
    <x v="9"/>
    <x v="9"/>
    <x v="9"/>
    <x v="9"/>
    <x v="9"/>
    <x v="9"/>
    <x v="9"/>
    <x v="9"/>
    <x v="9"/>
  </r>
  <r>
    <x v="11"/>
    <x v="11"/>
    <x v="10"/>
    <x v="10"/>
    <x v="10"/>
    <x v="10"/>
    <x v="10"/>
    <x v="10"/>
    <x v="10"/>
    <x v="10"/>
    <x v="10"/>
    <x v="10"/>
    <x v="10"/>
    <x v="10"/>
  </r>
  <r>
    <x v="12"/>
    <x v="12"/>
    <x v="11"/>
    <x v="11"/>
    <x v="11"/>
    <x v="11"/>
    <x v="11"/>
    <x v="11"/>
    <x v="11"/>
    <x v="11"/>
    <x v="11"/>
    <x v="11"/>
    <x v="11"/>
    <x v="11"/>
  </r>
  <r>
    <x v="13"/>
    <x v="13"/>
    <x v="12"/>
    <x v="12"/>
    <x v="12"/>
    <x v="12"/>
    <x v="12"/>
    <x v="12"/>
    <x v="12"/>
    <x v="12"/>
    <x v="12"/>
    <x v="12"/>
    <x v="12"/>
    <x v="12"/>
  </r>
  <r>
    <x v="14"/>
    <x v="14"/>
    <x v="13"/>
    <x v="13"/>
    <x v="13"/>
    <x v="13"/>
    <x v="13"/>
    <x v="13"/>
    <x v="13"/>
    <x v="13"/>
    <x v="13"/>
    <x v="13"/>
    <x v="13"/>
    <x v="13"/>
  </r>
  <r>
    <x v="14"/>
    <x v="15"/>
    <x v="13"/>
    <x v="13"/>
    <x v="13"/>
    <x v="13"/>
    <x v="13"/>
    <x v="13"/>
    <x v="13"/>
    <x v="13"/>
    <x v="13"/>
    <x v="13"/>
    <x v="13"/>
    <x v="13"/>
  </r>
  <r>
    <x v="14"/>
    <x v="16"/>
    <x v="14"/>
    <x v="14"/>
    <x v="14"/>
    <x v="14"/>
    <x v="14"/>
    <x v="14"/>
    <x v="14"/>
    <x v="14"/>
    <x v="14"/>
    <x v="14"/>
    <x v="14"/>
    <x v="14"/>
  </r>
  <r>
    <x v="15"/>
    <x v="17"/>
    <x v="15"/>
    <x v="15"/>
    <x v="15"/>
    <x v="15"/>
    <x v="15"/>
    <x v="15"/>
    <x v="15"/>
    <x v="15"/>
    <x v="15"/>
    <x v="15"/>
    <x v="15"/>
    <x v="15"/>
  </r>
  <r>
    <x v="16"/>
    <x v="18"/>
    <x v="16"/>
    <x v="16"/>
    <x v="16"/>
    <x v="16"/>
    <x v="16"/>
    <x v="16"/>
    <x v="16"/>
    <x v="16"/>
    <x v="16"/>
    <x v="16"/>
    <x v="16"/>
    <x v="16"/>
  </r>
  <r>
    <x v="16"/>
    <x v="19"/>
    <x v="17"/>
    <x v="17"/>
    <x v="17"/>
    <x v="17"/>
    <x v="17"/>
    <x v="17"/>
    <x v="17"/>
    <x v="17"/>
    <x v="17"/>
    <x v="17"/>
    <x v="17"/>
    <x v="17"/>
  </r>
  <r>
    <x v="16"/>
    <x v="20"/>
    <x v="18"/>
    <x v="18"/>
    <x v="18"/>
    <x v="18"/>
    <x v="18"/>
    <x v="18"/>
    <x v="18"/>
    <x v="18"/>
    <x v="18"/>
    <x v="18"/>
    <x v="18"/>
    <x v="18"/>
  </r>
  <r>
    <x v="16"/>
    <x v="21"/>
    <x v="19"/>
    <x v="19"/>
    <x v="19"/>
    <x v="19"/>
    <x v="19"/>
    <x v="19"/>
    <x v="19"/>
    <x v="19"/>
    <x v="19"/>
    <x v="19"/>
    <x v="19"/>
    <x v="19"/>
  </r>
  <r>
    <x v="17"/>
    <x v="22"/>
    <x v="20"/>
    <x v="20"/>
    <x v="20"/>
    <x v="20"/>
    <x v="20"/>
    <x v="20"/>
    <x v="20"/>
    <x v="20"/>
    <x v="20"/>
    <x v="20"/>
    <x v="20"/>
    <x v="20"/>
  </r>
  <r>
    <x v="18"/>
    <x v="23"/>
    <x v="21"/>
    <x v="21"/>
    <x v="21"/>
    <x v="21"/>
    <x v="21"/>
    <x v="21"/>
    <x v="21"/>
    <x v="21"/>
    <x v="21"/>
    <x v="21"/>
    <x v="21"/>
    <x v="21"/>
  </r>
  <r>
    <x v="18"/>
    <x v="24"/>
    <x v="21"/>
    <x v="21"/>
    <x v="21"/>
    <x v="21"/>
    <x v="21"/>
    <x v="21"/>
    <x v="21"/>
    <x v="21"/>
    <x v="21"/>
    <x v="21"/>
    <x v="21"/>
    <x v="21"/>
  </r>
  <r>
    <x v="18"/>
    <x v="25"/>
    <x v="21"/>
    <x v="21"/>
    <x v="21"/>
    <x v="21"/>
    <x v="21"/>
    <x v="21"/>
    <x v="21"/>
    <x v="21"/>
    <x v="21"/>
    <x v="21"/>
    <x v="21"/>
    <x v="21"/>
  </r>
  <r>
    <x v="19"/>
    <x v="26"/>
    <x v="22"/>
    <x v="22"/>
    <x v="22"/>
    <x v="22"/>
    <x v="22"/>
    <x v="22"/>
    <x v="22"/>
    <x v="22"/>
    <x v="22"/>
    <x v="22"/>
    <x v="22"/>
    <x v="22"/>
  </r>
  <r>
    <x v="20"/>
    <x v="27"/>
    <x v="23"/>
    <x v="23"/>
    <x v="23"/>
    <x v="23"/>
    <x v="23"/>
    <x v="23"/>
    <x v="23"/>
    <x v="23"/>
    <x v="23"/>
    <x v="23"/>
    <x v="23"/>
    <x v="23"/>
  </r>
  <r>
    <x v="20"/>
    <x v="28"/>
    <x v="23"/>
    <x v="23"/>
    <x v="23"/>
    <x v="23"/>
    <x v="23"/>
    <x v="23"/>
    <x v="23"/>
    <x v="23"/>
    <x v="23"/>
    <x v="23"/>
    <x v="23"/>
    <x v="23"/>
  </r>
  <r>
    <x v="21"/>
    <x v="29"/>
    <x v="24"/>
    <x v="24"/>
    <x v="24"/>
    <x v="24"/>
    <x v="24"/>
    <x v="24"/>
    <x v="24"/>
    <x v="24"/>
    <x v="24"/>
    <x v="24"/>
    <x v="24"/>
    <x v="24"/>
  </r>
  <r>
    <x v="21"/>
    <x v="30"/>
    <x v="24"/>
    <x v="24"/>
    <x v="24"/>
    <x v="24"/>
    <x v="24"/>
    <x v="24"/>
    <x v="24"/>
    <x v="24"/>
    <x v="24"/>
    <x v="24"/>
    <x v="24"/>
    <x v="24"/>
  </r>
  <r>
    <x v="22"/>
    <x v="31"/>
    <x v="25"/>
    <x v="25"/>
    <x v="25"/>
    <x v="25"/>
    <x v="25"/>
    <x v="25"/>
    <x v="25"/>
    <x v="25"/>
    <x v="25"/>
    <x v="25"/>
    <x v="25"/>
    <x v="25"/>
  </r>
  <r>
    <x v="23"/>
    <x v="32"/>
    <x v="26"/>
    <x v="26"/>
    <x v="26"/>
    <x v="26"/>
    <x v="26"/>
    <x v="26"/>
    <x v="26"/>
    <x v="26"/>
    <x v="26"/>
    <x v="26"/>
    <x v="26"/>
    <x v="26"/>
  </r>
  <r>
    <x v="24"/>
    <x v="33"/>
    <x v="27"/>
    <x v="27"/>
    <x v="27"/>
    <x v="27"/>
    <x v="27"/>
    <x v="27"/>
    <x v="27"/>
    <x v="27"/>
    <x v="27"/>
    <x v="27"/>
    <x v="27"/>
    <x v="27"/>
  </r>
  <r>
    <x v="25"/>
    <x v="34"/>
    <x v="28"/>
    <x v="28"/>
    <x v="28"/>
    <x v="28"/>
    <x v="28"/>
    <x v="28"/>
    <x v="28"/>
    <x v="28"/>
    <x v="28"/>
    <x v="28"/>
    <x v="28"/>
    <x v="28"/>
  </r>
  <r>
    <x v="26"/>
    <x v="35"/>
    <x v="29"/>
    <x v="29"/>
    <x v="29"/>
    <x v="29"/>
    <x v="29"/>
    <x v="29"/>
    <x v="29"/>
    <x v="29"/>
    <x v="29"/>
    <x v="29"/>
    <x v="29"/>
    <x v="29"/>
  </r>
  <r>
    <x v="26"/>
    <x v="36"/>
    <x v="29"/>
    <x v="29"/>
    <x v="29"/>
    <x v="29"/>
    <x v="29"/>
    <x v="29"/>
    <x v="29"/>
    <x v="29"/>
    <x v="29"/>
    <x v="29"/>
    <x v="29"/>
    <x v="29"/>
  </r>
  <r>
    <x v="27"/>
    <x v="37"/>
    <x v="30"/>
    <x v="30"/>
    <x v="30"/>
    <x v="30"/>
    <x v="30"/>
    <x v="30"/>
    <x v="30"/>
    <x v="30"/>
    <x v="30"/>
    <x v="30"/>
    <x v="30"/>
    <x v="30"/>
  </r>
  <r>
    <x v="27"/>
    <x v="38"/>
    <x v="31"/>
    <x v="31"/>
    <x v="31"/>
    <x v="31"/>
    <x v="31"/>
    <x v="31"/>
    <x v="31"/>
    <x v="31"/>
    <x v="31"/>
    <x v="31"/>
    <x v="31"/>
    <x v="31"/>
  </r>
  <r>
    <x v="27"/>
    <x v="39"/>
    <x v="31"/>
    <x v="31"/>
    <x v="31"/>
    <x v="31"/>
    <x v="31"/>
    <x v="31"/>
    <x v="31"/>
    <x v="31"/>
    <x v="31"/>
    <x v="31"/>
    <x v="31"/>
    <x v="31"/>
  </r>
  <r>
    <x v="28"/>
    <x v="40"/>
    <x v="32"/>
    <x v="32"/>
    <x v="32"/>
    <x v="32"/>
    <x v="32"/>
    <x v="32"/>
    <x v="32"/>
    <x v="32"/>
    <x v="32"/>
    <x v="32"/>
    <x v="32"/>
    <x v="32"/>
  </r>
  <r>
    <x v="29"/>
    <x v="41"/>
    <x v="33"/>
    <x v="33"/>
    <x v="33"/>
    <x v="33"/>
    <x v="33"/>
    <x v="33"/>
    <x v="33"/>
    <x v="33"/>
    <x v="33"/>
    <x v="33"/>
    <x v="33"/>
    <x v="33"/>
  </r>
  <r>
    <x v="29"/>
    <x v="42"/>
    <x v="33"/>
    <x v="33"/>
    <x v="33"/>
    <x v="33"/>
    <x v="33"/>
    <x v="33"/>
    <x v="33"/>
    <x v="33"/>
    <x v="33"/>
    <x v="33"/>
    <x v="33"/>
    <x v="33"/>
  </r>
  <r>
    <x v="29"/>
    <x v="43"/>
    <x v="33"/>
    <x v="33"/>
    <x v="33"/>
    <x v="33"/>
    <x v="33"/>
    <x v="33"/>
    <x v="33"/>
    <x v="33"/>
    <x v="33"/>
    <x v="33"/>
    <x v="33"/>
    <x v="33"/>
  </r>
  <r>
    <x v="30"/>
    <x v="44"/>
    <x v="34"/>
    <x v="34"/>
    <x v="34"/>
    <x v="34"/>
    <x v="34"/>
    <x v="34"/>
    <x v="34"/>
    <x v="34"/>
    <x v="34"/>
    <x v="34"/>
    <x v="34"/>
    <x v="34"/>
  </r>
  <r>
    <x v="31"/>
    <x v="45"/>
    <x v="35"/>
    <x v="35"/>
    <x v="35"/>
    <x v="35"/>
    <x v="35"/>
    <x v="35"/>
    <x v="35"/>
    <x v="35"/>
    <x v="35"/>
    <x v="35"/>
    <x v="35"/>
    <x v="35"/>
  </r>
  <r>
    <x v="31"/>
    <x v="46"/>
    <x v="35"/>
    <x v="35"/>
    <x v="35"/>
    <x v="35"/>
    <x v="35"/>
    <x v="35"/>
    <x v="35"/>
    <x v="35"/>
    <x v="35"/>
    <x v="35"/>
    <x v="35"/>
    <x v="35"/>
  </r>
  <r>
    <x v="31"/>
    <x v="47"/>
    <x v="35"/>
    <x v="35"/>
    <x v="35"/>
    <x v="35"/>
    <x v="35"/>
    <x v="35"/>
    <x v="35"/>
    <x v="35"/>
    <x v="35"/>
    <x v="35"/>
    <x v="35"/>
    <x v="35"/>
  </r>
  <r>
    <x v="32"/>
    <x v="48"/>
    <x v="36"/>
    <x v="36"/>
    <x v="36"/>
    <x v="36"/>
    <x v="36"/>
    <x v="36"/>
    <x v="36"/>
    <x v="36"/>
    <x v="36"/>
    <x v="36"/>
    <x v="36"/>
    <x v="36"/>
  </r>
  <r>
    <x v="32"/>
    <x v="49"/>
    <x v="36"/>
    <x v="36"/>
    <x v="36"/>
    <x v="36"/>
    <x v="36"/>
    <x v="36"/>
    <x v="36"/>
    <x v="36"/>
    <x v="36"/>
    <x v="36"/>
    <x v="36"/>
    <x v="36"/>
  </r>
  <r>
    <x v="33"/>
    <x v="50"/>
    <x v="37"/>
    <x v="37"/>
    <x v="37"/>
    <x v="37"/>
    <x v="37"/>
    <x v="37"/>
    <x v="37"/>
    <x v="37"/>
    <x v="37"/>
    <x v="37"/>
    <x v="37"/>
    <x v="37"/>
  </r>
  <r>
    <x v="34"/>
    <x v="51"/>
    <x v="38"/>
    <x v="38"/>
    <x v="38"/>
    <x v="38"/>
    <x v="38"/>
    <x v="38"/>
    <x v="38"/>
    <x v="38"/>
    <x v="38"/>
    <x v="38"/>
    <x v="38"/>
    <x v="38"/>
  </r>
  <r>
    <x v="35"/>
    <x v="52"/>
    <x v="39"/>
    <x v="39"/>
    <x v="39"/>
    <x v="39"/>
    <x v="39"/>
    <x v="39"/>
    <x v="39"/>
    <x v="39"/>
    <x v="39"/>
    <x v="39"/>
    <x v="39"/>
    <x v="39"/>
  </r>
  <r>
    <x v="36"/>
    <x v="53"/>
    <x v="40"/>
    <x v="40"/>
    <x v="40"/>
    <x v="40"/>
    <x v="40"/>
    <x v="40"/>
    <x v="40"/>
    <x v="40"/>
    <x v="40"/>
    <x v="40"/>
    <x v="40"/>
    <x v="40"/>
  </r>
  <r>
    <x v="36"/>
    <x v="54"/>
    <x v="40"/>
    <x v="40"/>
    <x v="40"/>
    <x v="40"/>
    <x v="40"/>
    <x v="40"/>
    <x v="40"/>
    <x v="40"/>
    <x v="40"/>
    <x v="40"/>
    <x v="40"/>
    <x v="40"/>
  </r>
  <r>
    <x v="37"/>
    <x v="55"/>
    <x v="41"/>
    <x v="41"/>
    <x v="41"/>
    <x v="41"/>
    <x v="41"/>
    <x v="41"/>
    <x v="41"/>
    <x v="41"/>
    <x v="41"/>
    <x v="41"/>
    <x v="41"/>
    <x v="41"/>
  </r>
  <r>
    <x v="38"/>
    <x v="56"/>
    <x v="42"/>
    <x v="42"/>
    <x v="42"/>
    <x v="42"/>
    <x v="42"/>
    <x v="42"/>
    <x v="42"/>
    <x v="42"/>
    <x v="42"/>
    <x v="42"/>
    <x v="42"/>
    <x v="42"/>
  </r>
  <r>
    <x v="38"/>
    <x v="57"/>
    <x v="42"/>
    <x v="42"/>
    <x v="42"/>
    <x v="42"/>
    <x v="42"/>
    <x v="42"/>
    <x v="42"/>
    <x v="42"/>
    <x v="42"/>
    <x v="42"/>
    <x v="42"/>
    <x v="42"/>
  </r>
  <r>
    <x v="39"/>
    <x v="58"/>
    <x v="43"/>
    <x v="43"/>
    <x v="43"/>
    <x v="43"/>
    <x v="43"/>
    <x v="43"/>
    <x v="43"/>
    <x v="43"/>
    <x v="43"/>
    <x v="43"/>
    <x v="43"/>
    <x v="43"/>
  </r>
  <r>
    <x v="39"/>
    <x v="59"/>
    <x v="43"/>
    <x v="43"/>
    <x v="43"/>
    <x v="43"/>
    <x v="43"/>
    <x v="43"/>
    <x v="43"/>
    <x v="43"/>
    <x v="43"/>
    <x v="43"/>
    <x v="43"/>
    <x v="43"/>
  </r>
  <r>
    <x v="40"/>
    <x v="60"/>
    <x v="44"/>
    <x v="44"/>
    <x v="44"/>
    <x v="44"/>
    <x v="44"/>
    <x v="44"/>
    <x v="44"/>
    <x v="44"/>
    <x v="44"/>
    <x v="44"/>
    <x v="44"/>
    <x v="44"/>
  </r>
  <r>
    <x v="41"/>
    <x v="61"/>
    <x v="45"/>
    <x v="45"/>
    <x v="45"/>
    <x v="45"/>
    <x v="45"/>
    <x v="45"/>
    <x v="45"/>
    <x v="45"/>
    <x v="45"/>
    <x v="45"/>
    <x v="45"/>
    <x v="45"/>
  </r>
  <r>
    <x v="42"/>
    <x v="62"/>
    <x v="46"/>
    <x v="46"/>
    <x v="46"/>
    <x v="46"/>
    <x v="46"/>
    <x v="46"/>
    <x v="46"/>
    <x v="46"/>
    <x v="46"/>
    <x v="46"/>
    <x v="46"/>
    <x v="46"/>
  </r>
  <r>
    <x v="43"/>
    <x v="63"/>
    <x v="47"/>
    <x v="47"/>
    <x v="47"/>
    <x v="47"/>
    <x v="47"/>
    <x v="47"/>
    <x v="47"/>
    <x v="47"/>
    <x v="47"/>
    <x v="47"/>
    <x v="47"/>
    <x v="47"/>
  </r>
  <r>
    <x v="44"/>
    <x v="64"/>
    <x v="48"/>
    <x v="48"/>
    <x v="48"/>
    <x v="48"/>
    <x v="48"/>
    <x v="48"/>
    <x v="48"/>
    <x v="48"/>
    <x v="48"/>
    <x v="48"/>
    <x v="48"/>
    <x v="48"/>
  </r>
  <r>
    <x v="44"/>
    <x v="65"/>
    <x v="48"/>
    <x v="48"/>
    <x v="48"/>
    <x v="48"/>
    <x v="48"/>
    <x v="48"/>
    <x v="48"/>
    <x v="48"/>
    <x v="48"/>
    <x v="48"/>
    <x v="48"/>
    <x v="48"/>
  </r>
  <r>
    <x v="45"/>
    <x v="66"/>
    <x v="49"/>
    <x v="8"/>
    <x v="8"/>
    <x v="8"/>
    <x v="8"/>
    <x v="8"/>
    <x v="8"/>
    <x v="8"/>
    <x v="8"/>
    <x v="8"/>
    <x v="8"/>
    <x v="8"/>
  </r>
  <r>
    <x v="46"/>
    <x v="67"/>
    <x v="8"/>
    <x v="8"/>
    <x v="8"/>
    <x v="8"/>
    <x v="8"/>
    <x v="8"/>
    <x v="8"/>
    <x v="8"/>
    <x v="8"/>
    <x v="8"/>
    <x v="8"/>
    <x v="8"/>
  </r>
  <r>
    <x v="47"/>
    <x v="68"/>
    <x v="50"/>
    <x v="49"/>
    <x v="49"/>
    <x v="49"/>
    <x v="49"/>
    <x v="49"/>
    <x v="49"/>
    <x v="49"/>
    <x v="49"/>
    <x v="49"/>
    <x v="49"/>
    <x v="49"/>
  </r>
  <r>
    <x v="48"/>
    <x v="69"/>
    <x v="51"/>
    <x v="50"/>
    <x v="50"/>
    <x v="50"/>
    <x v="50"/>
    <x v="50"/>
    <x v="50"/>
    <x v="50"/>
    <x v="50"/>
    <x v="50"/>
    <x v="50"/>
    <x v="50"/>
  </r>
  <r>
    <x v="49"/>
    <x v="70"/>
    <x v="52"/>
    <x v="51"/>
    <x v="51"/>
    <x v="51"/>
    <x v="51"/>
    <x v="51"/>
    <x v="51"/>
    <x v="51"/>
    <x v="51"/>
    <x v="51"/>
    <x v="51"/>
    <x v="51"/>
  </r>
  <r>
    <x v="49"/>
    <x v="71"/>
    <x v="52"/>
    <x v="51"/>
    <x v="51"/>
    <x v="51"/>
    <x v="51"/>
    <x v="51"/>
    <x v="51"/>
    <x v="51"/>
    <x v="51"/>
    <x v="51"/>
    <x v="51"/>
    <x v="51"/>
  </r>
  <r>
    <x v="50"/>
    <x v="72"/>
    <x v="53"/>
    <x v="52"/>
    <x v="52"/>
    <x v="52"/>
    <x v="8"/>
    <x v="8"/>
    <x v="8"/>
    <x v="8"/>
    <x v="8"/>
    <x v="8"/>
    <x v="8"/>
    <x v="8"/>
  </r>
  <r>
    <x v="51"/>
    <x v="73"/>
    <x v="54"/>
    <x v="53"/>
    <x v="53"/>
    <x v="53"/>
    <x v="52"/>
    <x v="52"/>
    <x v="52"/>
    <x v="52"/>
    <x v="52"/>
    <x v="52"/>
    <x v="52"/>
    <x v="52"/>
  </r>
  <r>
    <x v="52"/>
    <x v="74"/>
    <x v="55"/>
    <x v="54"/>
    <x v="54"/>
    <x v="54"/>
    <x v="53"/>
    <x v="53"/>
    <x v="53"/>
    <x v="53"/>
    <x v="53"/>
    <x v="53"/>
    <x v="53"/>
    <x v="53"/>
  </r>
  <r>
    <x v="53"/>
    <x v="75"/>
    <x v="56"/>
    <x v="55"/>
    <x v="55"/>
    <x v="55"/>
    <x v="54"/>
    <x v="54"/>
    <x v="54"/>
    <x v="54"/>
    <x v="54"/>
    <x v="54"/>
    <x v="54"/>
    <x v="54"/>
  </r>
  <r>
    <x v="54"/>
    <x v="76"/>
    <x v="57"/>
    <x v="56"/>
    <x v="56"/>
    <x v="56"/>
    <x v="55"/>
    <x v="55"/>
    <x v="55"/>
    <x v="55"/>
    <x v="55"/>
    <x v="55"/>
    <x v="55"/>
    <x v="55"/>
  </r>
  <r>
    <x v="55"/>
    <x v="77"/>
    <x v="58"/>
    <x v="57"/>
    <x v="57"/>
    <x v="57"/>
    <x v="56"/>
    <x v="56"/>
    <x v="56"/>
    <x v="56"/>
    <x v="56"/>
    <x v="56"/>
    <x v="56"/>
    <x v="56"/>
  </r>
  <r>
    <x v="56"/>
    <x v="78"/>
    <x v="59"/>
    <x v="58"/>
    <x v="58"/>
    <x v="58"/>
    <x v="57"/>
    <x v="57"/>
    <x v="57"/>
    <x v="57"/>
    <x v="57"/>
    <x v="57"/>
    <x v="57"/>
    <x v="57"/>
  </r>
  <r>
    <x v="57"/>
    <x v="79"/>
    <x v="60"/>
    <x v="59"/>
    <x v="59"/>
    <x v="59"/>
    <x v="58"/>
    <x v="58"/>
    <x v="58"/>
    <x v="58"/>
    <x v="58"/>
    <x v="58"/>
    <x v="58"/>
    <x v="58"/>
  </r>
  <r>
    <x v="58"/>
    <x v="80"/>
    <x v="61"/>
    <x v="60"/>
    <x v="60"/>
    <x v="60"/>
    <x v="59"/>
    <x v="59"/>
    <x v="8"/>
    <x v="8"/>
    <x v="8"/>
    <x v="8"/>
    <x v="8"/>
    <x v="8"/>
  </r>
  <r>
    <x v="59"/>
    <x v="81"/>
    <x v="60"/>
    <x v="59"/>
    <x v="59"/>
    <x v="59"/>
    <x v="58"/>
    <x v="58"/>
    <x v="58"/>
    <x v="58"/>
    <x v="58"/>
    <x v="58"/>
    <x v="58"/>
    <x v="58"/>
  </r>
  <r>
    <x v="60"/>
    <x v="82"/>
    <x v="62"/>
    <x v="61"/>
    <x v="61"/>
    <x v="61"/>
    <x v="60"/>
    <x v="60"/>
    <x v="59"/>
    <x v="59"/>
    <x v="59"/>
    <x v="59"/>
    <x v="59"/>
    <x v="59"/>
  </r>
  <r>
    <x v="61"/>
    <x v="83"/>
    <x v="63"/>
    <x v="62"/>
    <x v="62"/>
    <x v="62"/>
    <x v="61"/>
    <x v="61"/>
    <x v="60"/>
    <x v="60"/>
    <x v="60"/>
    <x v="60"/>
    <x v="60"/>
    <x v="60"/>
  </r>
  <r>
    <x v="62"/>
    <x v="84"/>
    <x v="64"/>
    <x v="63"/>
    <x v="63"/>
    <x v="63"/>
    <x v="62"/>
    <x v="62"/>
    <x v="61"/>
    <x v="61"/>
    <x v="61"/>
    <x v="61"/>
    <x v="61"/>
    <x v="61"/>
  </r>
  <r>
    <x v="63"/>
    <x v="85"/>
    <x v="65"/>
    <x v="64"/>
    <x v="64"/>
    <x v="64"/>
    <x v="63"/>
    <x v="63"/>
    <x v="62"/>
    <x v="62"/>
    <x v="62"/>
    <x v="62"/>
    <x v="62"/>
    <x v="62"/>
  </r>
  <r>
    <x v="64"/>
    <x v="86"/>
    <x v="66"/>
    <x v="65"/>
    <x v="65"/>
    <x v="65"/>
    <x v="64"/>
    <x v="64"/>
    <x v="63"/>
    <x v="63"/>
    <x v="63"/>
    <x v="63"/>
    <x v="63"/>
    <x v="63"/>
  </r>
  <r>
    <x v="64"/>
    <x v="87"/>
    <x v="66"/>
    <x v="65"/>
    <x v="65"/>
    <x v="65"/>
    <x v="64"/>
    <x v="64"/>
    <x v="63"/>
    <x v="63"/>
    <x v="63"/>
    <x v="63"/>
    <x v="63"/>
    <x v="63"/>
  </r>
  <r>
    <x v="65"/>
    <x v="88"/>
    <x v="67"/>
    <x v="66"/>
    <x v="66"/>
    <x v="66"/>
    <x v="65"/>
    <x v="65"/>
    <x v="64"/>
    <x v="64"/>
    <x v="64"/>
    <x v="64"/>
    <x v="64"/>
    <x v="64"/>
  </r>
  <r>
    <x v="65"/>
    <x v="89"/>
    <x v="67"/>
    <x v="66"/>
    <x v="66"/>
    <x v="66"/>
    <x v="65"/>
    <x v="65"/>
    <x v="64"/>
    <x v="64"/>
    <x v="64"/>
    <x v="64"/>
    <x v="64"/>
    <x v="64"/>
  </r>
  <r>
    <x v="66"/>
    <x v="90"/>
    <x v="68"/>
    <x v="67"/>
    <x v="67"/>
    <x v="67"/>
    <x v="66"/>
    <x v="66"/>
    <x v="65"/>
    <x v="65"/>
    <x v="65"/>
    <x v="65"/>
    <x v="65"/>
    <x v="65"/>
  </r>
  <r>
    <x v="67"/>
    <x v="91"/>
    <x v="69"/>
    <x v="68"/>
    <x v="68"/>
    <x v="68"/>
    <x v="67"/>
    <x v="67"/>
    <x v="66"/>
    <x v="66"/>
    <x v="66"/>
    <x v="66"/>
    <x v="66"/>
    <x v="66"/>
  </r>
  <r>
    <x v="68"/>
    <x v="92"/>
    <x v="8"/>
    <x v="8"/>
    <x v="8"/>
    <x v="8"/>
    <x v="8"/>
    <x v="8"/>
    <x v="8"/>
    <x v="8"/>
    <x v="8"/>
    <x v="8"/>
    <x v="8"/>
    <x v="8"/>
  </r>
  <r>
    <x v="69"/>
    <x v="93"/>
    <x v="70"/>
    <x v="69"/>
    <x v="69"/>
    <x v="69"/>
    <x v="68"/>
    <x v="68"/>
    <x v="67"/>
    <x v="67"/>
    <x v="67"/>
    <x v="67"/>
    <x v="67"/>
    <x v="67"/>
  </r>
  <r>
    <x v="70"/>
    <x v="94"/>
    <x v="71"/>
    <x v="70"/>
    <x v="70"/>
    <x v="70"/>
    <x v="69"/>
    <x v="69"/>
    <x v="68"/>
    <x v="68"/>
    <x v="68"/>
    <x v="68"/>
    <x v="68"/>
    <x v="68"/>
  </r>
  <r>
    <x v="71"/>
    <x v="95"/>
    <x v="72"/>
    <x v="71"/>
    <x v="71"/>
    <x v="71"/>
    <x v="70"/>
    <x v="70"/>
    <x v="69"/>
    <x v="69"/>
    <x v="69"/>
    <x v="69"/>
    <x v="69"/>
    <x v="69"/>
  </r>
  <r>
    <x v="72"/>
    <x v="96"/>
    <x v="73"/>
    <x v="72"/>
    <x v="72"/>
    <x v="72"/>
    <x v="71"/>
    <x v="71"/>
    <x v="70"/>
    <x v="70"/>
    <x v="70"/>
    <x v="70"/>
    <x v="70"/>
    <x v="70"/>
  </r>
  <r>
    <x v="73"/>
    <x v="97"/>
    <x v="74"/>
    <x v="73"/>
    <x v="73"/>
    <x v="73"/>
    <x v="72"/>
    <x v="72"/>
    <x v="71"/>
    <x v="71"/>
    <x v="71"/>
    <x v="71"/>
    <x v="71"/>
    <x v="71"/>
  </r>
  <r>
    <x v="74"/>
    <x v="98"/>
    <x v="75"/>
    <x v="74"/>
    <x v="74"/>
    <x v="74"/>
    <x v="73"/>
    <x v="73"/>
    <x v="72"/>
    <x v="72"/>
    <x v="72"/>
    <x v="72"/>
    <x v="72"/>
    <x v="72"/>
  </r>
  <r>
    <x v="75"/>
    <x v="99"/>
    <x v="76"/>
    <x v="75"/>
    <x v="75"/>
    <x v="75"/>
    <x v="74"/>
    <x v="74"/>
    <x v="73"/>
    <x v="73"/>
    <x v="73"/>
    <x v="73"/>
    <x v="73"/>
    <x v="73"/>
  </r>
  <r>
    <x v="76"/>
    <x v="100"/>
    <x v="8"/>
    <x v="8"/>
    <x v="8"/>
    <x v="8"/>
    <x v="8"/>
    <x v="8"/>
    <x v="8"/>
    <x v="8"/>
    <x v="8"/>
    <x v="8"/>
    <x v="8"/>
    <x v="8"/>
  </r>
  <r>
    <x v="77"/>
    <x v="101"/>
    <x v="77"/>
    <x v="76"/>
    <x v="76"/>
    <x v="76"/>
    <x v="75"/>
    <x v="75"/>
    <x v="74"/>
    <x v="74"/>
    <x v="74"/>
    <x v="74"/>
    <x v="74"/>
    <x v="74"/>
  </r>
  <r>
    <x v="78"/>
    <x v="102"/>
    <x v="8"/>
    <x v="8"/>
    <x v="8"/>
    <x v="8"/>
    <x v="8"/>
    <x v="8"/>
    <x v="8"/>
    <x v="75"/>
    <x v="75"/>
    <x v="75"/>
    <x v="75"/>
    <x v="75"/>
  </r>
  <r>
    <x v="79"/>
    <x v="103"/>
    <x v="8"/>
    <x v="8"/>
    <x v="8"/>
    <x v="8"/>
    <x v="8"/>
    <x v="8"/>
    <x v="75"/>
    <x v="75"/>
    <x v="75"/>
    <x v="75"/>
    <x v="75"/>
    <x v="75"/>
  </r>
  <r>
    <x v="80"/>
    <x v="104"/>
    <x v="8"/>
    <x v="8"/>
    <x v="8"/>
    <x v="8"/>
    <x v="8"/>
    <x v="76"/>
    <x v="76"/>
    <x v="76"/>
    <x v="76"/>
    <x v="76"/>
    <x v="76"/>
    <x v="76"/>
  </r>
  <r>
    <x v="81"/>
    <x v="105"/>
    <x v="8"/>
    <x v="8"/>
    <x v="8"/>
    <x v="8"/>
    <x v="8"/>
    <x v="8"/>
    <x v="8"/>
    <x v="8"/>
    <x v="8"/>
    <x v="8"/>
    <x v="77"/>
    <x v="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ACC95-0A39-42E4-90BA-C814FF441C71}" name="Tableau croisé dynamique1" cacheId="18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compact="0" compactData="0" gridDropZones="1" multipleFieldFilters="0">
  <location ref="B3:GJ90" firstHeaderRow="1" firstDataRow="2" firstDataCol="3"/>
  <pivotFields count="192">
    <pivotField axis="axisRow" compact="0" outline="0" showAll="0" defaultSubtotal="0">
      <items count="71">
        <item x="9"/>
        <item x="10"/>
        <item x="11"/>
        <item x="12"/>
        <item x="13"/>
        <item x="0"/>
        <item x="1"/>
        <item x="6"/>
        <item x="29"/>
        <item x="55"/>
        <item x="64"/>
        <item x="32"/>
        <item x="4"/>
        <item x="5"/>
        <item x="14"/>
        <item x="45"/>
        <item x="15"/>
        <item x="2"/>
        <item x="56"/>
        <item x="33"/>
        <item x="52"/>
        <item x="46"/>
        <item x="48"/>
        <item x="47"/>
        <item x="57"/>
        <item x="58"/>
        <item x="30"/>
        <item x="42"/>
        <item x="43"/>
        <item x="44"/>
        <item x="41"/>
        <item x="8"/>
        <item x="28"/>
        <item x="27"/>
        <item x="20"/>
        <item x="34"/>
        <item x="35"/>
        <item x="59"/>
        <item x="60"/>
        <item x="61"/>
        <item x="66"/>
        <item x="3"/>
        <item x="36"/>
        <item x="37"/>
        <item x="51"/>
        <item x="54"/>
        <item x="7"/>
        <item x="69"/>
        <item x="62"/>
        <item x="63"/>
        <item x="16"/>
        <item x="17"/>
        <item x="18"/>
        <item x="49"/>
        <item x="50"/>
        <item x="31"/>
        <item m="1" x="70"/>
        <item x="24"/>
        <item x="21"/>
        <item x="22"/>
        <item x="23"/>
        <item x="65"/>
        <item x="53"/>
        <item x="38"/>
        <item x="39"/>
        <item x="40"/>
        <item x="68"/>
        <item x="26"/>
        <item x="67"/>
        <item x="25"/>
        <item x="19"/>
      </items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168" outline="0" showAll="0"/>
    <pivotField dataField="1" compact="0" numFmtId="168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sd="0" x="11"/>
        <item x="12"/>
        <item x="13"/>
        <item x="14"/>
        <item x="15"/>
        <item sd="0" x="16"/>
        <item t="default"/>
      </items>
    </pivotField>
  </pivotFields>
  <rowFields count="3">
    <field x="191"/>
    <field x="1"/>
    <field x="0"/>
  </rowFields>
  <rowItems count="86">
    <i>
      <x/>
      <x/>
      <x v="4"/>
    </i>
    <i r="2">
      <x v="7"/>
    </i>
    <i r="2">
      <x v="8"/>
    </i>
    <i r="2">
      <x v="9"/>
    </i>
    <i r="2">
      <x v="10"/>
    </i>
    <i r="2">
      <x v="18"/>
    </i>
    <i r="2">
      <x v="24"/>
    </i>
    <i r="2">
      <x v="25"/>
    </i>
    <i r="2">
      <x v="37"/>
    </i>
    <i r="2">
      <x v="38"/>
    </i>
    <i r="2">
      <x v="39"/>
    </i>
    <i r="2">
      <x v="40"/>
    </i>
    <i r="2">
      <x v="47"/>
    </i>
    <i r="2">
      <x v="48"/>
    </i>
    <i r="2">
      <x v="49"/>
    </i>
    <i r="2">
      <x v="61"/>
    </i>
    <i r="2">
      <x v="66"/>
    </i>
    <i r="2">
      <x v="68"/>
    </i>
    <i r="2">
      <x v="69"/>
    </i>
    <i r="2">
      <x v="70"/>
    </i>
    <i t="default">
      <x/>
    </i>
    <i>
      <x v="1"/>
      <x v="11"/>
      <x v="5"/>
    </i>
    <i t="default">
      <x v="1"/>
    </i>
    <i>
      <x v="2"/>
      <x v="11"/>
      <x v="17"/>
    </i>
    <i t="default">
      <x v="2"/>
    </i>
    <i>
      <x v="3"/>
      <x v="12"/>
      <x v="41"/>
    </i>
    <i t="default">
      <x v="3"/>
    </i>
    <i>
      <x v="4"/>
      <x v="12"/>
      <x/>
    </i>
    <i r="2">
      <x v="1"/>
    </i>
    <i r="2">
      <x v="2"/>
    </i>
    <i r="2">
      <x v="3"/>
    </i>
    <i r="2">
      <x v="12"/>
    </i>
    <i r="2">
      <x v="13"/>
    </i>
    <i t="default">
      <x v="4"/>
    </i>
    <i>
      <x v="5"/>
      <x v="1"/>
      <x v="46"/>
    </i>
    <i t="default">
      <x v="5"/>
    </i>
    <i>
      <x v="6"/>
      <x v="7"/>
      <x v="31"/>
    </i>
    <i t="default">
      <x v="6"/>
    </i>
    <i>
      <x v="7"/>
      <x v="2"/>
      <x v="19"/>
    </i>
    <i r="1">
      <x v="12"/>
      <x v="6"/>
    </i>
    <i r="2">
      <x v="35"/>
    </i>
    <i r="2">
      <x v="36"/>
    </i>
    <i t="default">
      <x v="7"/>
    </i>
    <i>
      <x v="8"/>
      <x v="7"/>
      <x v="58"/>
    </i>
    <i r="1">
      <x v="8"/>
      <x v="59"/>
    </i>
    <i r="1">
      <x v="9"/>
      <x v="42"/>
    </i>
    <i r="2">
      <x v="60"/>
    </i>
    <i r="1">
      <x v="10"/>
      <x v="64"/>
    </i>
    <i r="2">
      <x v="65"/>
    </i>
    <i r="1">
      <x v="12"/>
      <x v="63"/>
    </i>
    <i t="default">
      <x v="8"/>
    </i>
    <i>
      <x v="9"/>
      <x v="2"/>
      <x v="14"/>
    </i>
    <i r="2">
      <x v="43"/>
    </i>
    <i r="2">
      <x v="57"/>
    </i>
    <i r="1">
      <x v="4"/>
      <x v="30"/>
    </i>
    <i r="1">
      <x v="8"/>
      <x v="27"/>
    </i>
    <i r="2">
      <x v="29"/>
    </i>
    <i r="2">
      <x v="50"/>
    </i>
    <i r="2">
      <x v="51"/>
    </i>
    <i r="1">
      <x v="10"/>
      <x v="16"/>
    </i>
    <i r="2">
      <x v="34"/>
    </i>
    <i r="2">
      <x v="52"/>
    </i>
    <i t="default">
      <x v="9"/>
    </i>
    <i>
      <x v="10"/>
      <x v="7"/>
      <x v="15"/>
    </i>
    <i r="2">
      <x v="21"/>
    </i>
    <i r="2">
      <x v="22"/>
    </i>
    <i r="2">
      <x v="23"/>
    </i>
    <i r="1">
      <x v="8"/>
      <x v="53"/>
    </i>
    <i r="2">
      <x v="54"/>
    </i>
    <i t="default">
      <x v="10"/>
    </i>
    <i>
      <x v="12"/>
      <x v="4"/>
      <x v="28"/>
    </i>
    <i r="1">
      <x v="9"/>
      <x v="67"/>
    </i>
    <i r="1">
      <x v="12"/>
      <x v="32"/>
    </i>
    <i r="2">
      <x v="33"/>
    </i>
    <i t="default">
      <x v="12"/>
    </i>
    <i>
      <x v="13"/>
      <x v="10"/>
      <x v="26"/>
    </i>
    <i r="2">
      <x v="44"/>
    </i>
    <i t="default">
      <x v="13"/>
    </i>
    <i>
      <x v="14"/>
      <x v="2"/>
      <x v="55"/>
    </i>
    <i r="1">
      <x v="3"/>
      <x v="20"/>
    </i>
    <i r="1">
      <x v="12"/>
      <x v="11"/>
    </i>
    <i t="default">
      <x v="14"/>
    </i>
    <i>
      <x v="15"/>
      <x v="8"/>
      <x v="62"/>
    </i>
    <i r="1">
      <x v="12"/>
      <x v="45"/>
    </i>
    <i t="default">
      <x v="15"/>
    </i>
    <i t="grand">
      <x/>
    </i>
  </rowItems>
  <colFields count="1">
    <field x="-2"/>
  </colFields>
  <colItems count="18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  <i i="81">
      <x v="81"/>
    </i>
    <i i="82">
      <x v="82"/>
    </i>
    <i i="83">
      <x v="83"/>
    </i>
    <i i="84">
      <x v="84"/>
    </i>
    <i i="85">
      <x v="85"/>
    </i>
    <i i="86">
      <x v="86"/>
    </i>
    <i i="87">
      <x v="87"/>
    </i>
    <i i="88">
      <x v="88"/>
    </i>
    <i i="89">
      <x v="89"/>
    </i>
    <i i="90">
      <x v="90"/>
    </i>
    <i i="91">
      <x v="91"/>
    </i>
    <i i="92">
      <x v="92"/>
    </i>
    <i i="93">
      <x v="93"/>
    </i>
    <i i="94">
      <x v="94"/>
    </i>
    <i i="95">
      <x v="95"/>
    </i>
    <i i="96">
      <x v="96"/>
    </i>
    <i i="97">
      <x v="97"/>
    </i>
    <i i="98">
      <x v="98"/>
    </i>
    <i i="99">
      <x v="99"/>
    </i>
    <i i="100">
      <x v="100"/>
    </i>
    <i i="101">
      <x v="101"/>
    </i>
    <i i="102">
      <x v="102"/>
    </i>
    <i i="103">
      <x v="103"/>
    </i>
    <i i="104">
      <x v="104"/>
    </i>
    <i i="105">
      <x v="105"/>
    </i>
    <i i="106">
      <x v="106"/>
    </i>
    <i i="107">
      <x v="107"/>
    </i>
    <i i="108">
      <x v="108"/>
    </i>
    <i i="109">
      <x v="109"/>
    </i>
    <i i="110">
      <x v="110"/>
    </i>
    <i i="111">
      <x v="111"/>
    </i>
    <i i="112">
      <x v="112"/>
    </i>
    <i i="113">
      <x v="113"/>
    </i>
    <i i="114">
      <x v="114"/>
    </i>
    <i i="115">
      <x v="115"/>
    </i>
    <i i="116">
      <x v="116"/>
    </i>
    <i i="117">
      <x v="117"/>
    </i>
    <i i="118">
      <x v="118"/>
    </i>
    <i i="119">
      <x v="119"/>
    </i>
    <i i="120">
      <x v="120"/>
    </i>
    <i i="121">
      <x v="121"/>
    </i>
    <i i="122">
      <x v="122"/>
    </i>
    <i i="123">
      <x v="123"/>
    </i>
    <i i="124">
      <x v="124"/>
    </i>
    <i i="125">
      <x v="125"/>
    </i>
    <i i="126">
      <x v="126"/>
    </i>
    <i i="127">
      <x v="127"/>
    </i>
    <i i="128">
      <x v="128"/>
    </i>
    <i i="129">
      <x v="129"/>
    </i>
    <i i="130">
      <x v="130"/>
    </i>
    <i i="131">
      <x v="131"/>
    </i>
    <i i="132">
      <x v="132"/>
    </i>
    <i i="133">
      <x v="133"/>
    </i>
    <i i="134">
      <x v="134"/>
    </i>
    <i i="135">
      <x v="135"/>
    </i>
    <i i="136">
      <x v="136"/>
    </i>
    <i i="137">
      <x v="137"/>
    </i>
    <i i="138">
      <x v="138"/>
    </i>
    <i i="139">
      <x v="139"/>
    </i>
    <i i="140">
      <x v="140"/>
    </i>
    <i i="141">
      <x v="141"/>
    </i>
    <i i="142">
      <x v="142"/>
    </i>
    <i i="143">
      <x v="143"/>
    </i>
    <i i="144">
      <x v="144"/>
    </i>
    <i i="145">
      <x v="145"/>
    </i>
    <i i="146">
      <x v="146"/>
    </i>
    <i i="147">
      <x v="147"/>
    </i>
    <i i="148">
      <x v="148"/>
    </i>
    <i i="149">
      <x v="149"/>
    </i>
    <i i="150">
      <x v="150"/>
    </i>
    <i i="151">
      <x v="151"/>
    </i>
    <i i="152">
      <x v="152"/>
    </i>
    <i i="153">
      <x v="153"/>
    </i>
    <i i="154">
      <x v="154"/>
    </i>
    <i i="155">
      <x v="155"/>
    </i>
    <i i="156">
      <x v="156"/>
    </i>
    <i i="157">
      <x v="157"/>
    </i>
    <i i="158">
      <x v="158"/>
    </i>
    <i i="159">
      <x v="159"/>
    </i>
    <i i="160">
      <x v="160"/>
    </i>
    <i i="161">
      <x v="161"/>
    </i>
    <i i="162">
      <x v="162"/>
    </i>
    <i i="163">
      <x v="163"/>
    </i>
    <i i="164">
      <x v="164"/>
    </i>
    <i i="165">
      <x v="165"/>
    </i>
    <i i="166">
      <x v="166"/>
    </i>
    <i i="167">
      <x v="167"/>
    </i>
    <i i="168">
      <x v="168"/>
    </i>
    <i i="169">
      <x v="169"/>
    </i>
    <i i="170">
      <x v="170"/>
    </i>
    <i i="171">
      <x v="171"/>
    </i>
    <i i="172">
      <x v="172"/>
    </i>
    <i i="173">
      <x v="173"/>
    </i>
    <i i="174">
      <x v="174"/>
    </i>
    <i i="175">
      <x v="175"/>
    </i>
    <i i="176">
      <x v="176"/>
    </i>
    <i i="177">
      <x v="177"/>
    </i>
    <i i="178">
      <x v="178"/>
    </i>
    <i i="179">
      <x v="179"/>
    </i>
    <i i="180">
      <x v="180"/>
    </i>
    <i i="181">
      <x v="181"/>
    </i>
    <i i="182">
      <x v="182"/>
    </i>
    <i i="183">
      <x v="183"/>
    </i>
    <i i="184">
      <x v="184"/>
    </i>
    <i i="185">
      <x v="185"/>
    </i>
    <i i="186">
      <x v="186"/>
    </i>
    <i i="187">
      <x v="187"/>
    </i>
  </colItems>
  <dataFields count="188">
    <dataField name="JAN 2003" fld="2" baseField="0" baseItem="0" numFmtId="3"/>
    <dataField name="JAN 2004" fld="14" baseField="0" baseItem="0" numFmtId="3"/>
    <dataField name="JAN 2005" fld="26" baseField="0" baseItem="0"/>
    <dataField name="JAN 2006" fld="38" baseField="0" baseItem="0"/>
    <dataField name="JAN 2007" fld="50" baseField="0" baseItem="0"/>
    <dataField name="JAN 2008" fld="62" baseField="0" baseItem="0"/>
    <dataField name="JAN 2009" fld="74" baseField="0" baseItem="0"/>
    <dataField name="JAN 2010" fld="86" baseField="0" baseItem="0"/>
    <dataField name="JAN 2011" fld="98" baseField="0" baseItem="0"/>
    <dataField name="JAN 2012" fld="110" baseField="0" baseItem="0"/>
    <dataField name="JAN 2013" fld="122" baseField="0" baseItem="0"/>
    <dataField name="JAN 2014" fld="134" baseField="0" baseItem="0"/>
    <dataField name="JAN 2015" fld="146" baseField="0" baseItem="0"/>
    <dataField name="JAN 2016" fld="158" baseField="0" baseItem="0"/>
    <dataField name="JAN 2017" fld="170" baseField="0" baseItem="0"/>
    <dataField name="JAN 2018" fld="182" baseField="0" baseItem="0" numFmtId="3"/>
    <dataField name="FEB 2003 " fld="3" baseField="0" baseItem="0"/>
    <dataField name="FEB 2004 " fld="15" baseField="0" baseItem="0"/>
    <dataField name="FEB 2005 " fld="27" baseField="0" baseItem="0"/>
    <dataField name=" FEB 2006 " fld="39" baseField="0" baseItem="0"/>
    <dataField name="FEB 2007 " fld="51" baseField="0" baseItem="0"/>
    <dataField name="FEB 2008 " fld="63" baseField="0" baseItem="0"/>
    <dataField name="FEB 2009 " fld="75" baseField="0" baseItem="0"/>
    <dataField name="FEB 2010 " fld="87" baseField="0" baseItem="0"/>
    <dataField name="FEB 2011 " fld="99" baseField="0" baseItem="0"/>
    <dataField name="FEB 2012 " fld="111" baseField="0" baseItem="0"/>
    <dataField name="FEB 2013 " fld="123" baseField="0" baseItem="0"/>
    <dataField name="FEB 2014 " fld="135" baseField="0" baseItem="0"/>
    <dataField name="FEB 2015 " fld="147" baseField="0" baseItem="0"/>
    <dataField name="FEB 2016 " fld="159" baseField="0" baseItem="0"/>
    <dataField name="FEB 2017 " fld="171" baseField="0" baseItem="0"/>
    <dataField name="FEB 2018 " fld="183" baseField="0" baseItem="0"/>
    <dataField name="MAR 2003 " fld="4" baseField="0" baseItem="0"/>
    <dataField name="MAR 2004 " fld="16" baseField="0" baseItem="0"/>
    <dataField name="MAR 2005 " fld="28" baseField="0" baseItem="0"/>
    <dataField name="MAR 2006 " fld="40" baseField="0" baseItem="0"/>
    <dataField name="MAR 2007 " fld="52" baseField="0" baseItem="0"/>
    <dataField name="MAR 2008 " fld="64" baseField="0" baseItem="0"/>
    <dataField name="MAR 2009 " fld="76" baseField="0" baseItem="0"/>
    <dataField name="MAR 2010 " fld="88" baseField="0" baseItem="0"/>
    <dataField name="MAR 2011 " fld="100" baseField="0" baseItem="0"/>
    <dataField name="MAR 2012 " fld="112" baseField="0" baseItem="0"/>
    <dataField name="MAR 2013 " fld="124" baseField="0" baseItem="0"/>
    <dataField name="MAR 2014 " fld="136" baseField="0" baseItem="0"/>
    <dataField name="MAR 2015 " fld="148" baseField="0" baseItem="0"/>
    <dataField name="MAR 2016 " fld="160" baseField="0" baseItem="0"/>
    <dataField name="MAR 2017 " fld="172" baseField="0" baseItem="0"/>
    <dataField name="MAR 2018 " fld="184" baseField="0" baseItem="0"/>
    <dataField name="APR 2003 " fld="5" baseField="0" baseItem="0"/>
    <dataField name="APR 2004 " fld="17" baseField="0" baseItem="0"/>
    <dataField name="APR 2005 " fld="29" baseField="0" baseItem="0"/>
    <dataField name="APR 2006 " fld="41" baseField="0" baseItem="0"/>
    <dataField name="APR 2007 " fld="53" baseField="0" baseItem="0"/>
    <dataField name="APR 2008 " fld="65" baseField="0" baseItem="0"/>
    <dataField name="APR 2009 " fld="77" baseField="0" baseItem="0"/>
    <dataField name="APR 2010 " fld="89" baseField="0" baseItem="0"/>
    <dataField name="APR 2011 " fld="101" baseField="0" baseItem="0"/>
    <dataField name="APR 2012 " fld="113" baseField="0" baseItem="0"/>
    <dataField name="APR 2013 " fld="125" baseField="0" baseItem="0"/>
    <dataField name="APR 2014 " fld="137" baseField="0" baseItem="0"/>
    <dataField name="APR 2015 " fld="149" baseField="0" baseItem="0"/>
    <dataField name="APR 2016 " fld="161" baseField="0" baseItem="0"/>
    <dataField name="APR 2017 " fld="173" baseField="0" baseItem="0"/>
    <dataField name="APR 2018 " fld="185" baseField="0" baseItem="0"/>
    <dataField name="MAY 2003 " fld="6" baseField="0" baseItem="0"/>
    <dataField name="MAY 2004 " fld="18" baseField="0" baseItem="0"/>
    <dataField name="MAY 2005 " fld="30" baseField="0" baseItem="0"/>
    <dataField name="MAY 2006 " fld="42" baseField="0" baseItem="0"/>
    <dataField name="MAY 2007 " fld="54" baseField="0" baseItem="0"/>
    <dataField name="MAY 2008 " fld="66" baseField="0" baseItem="0"/>
    <dataField name="MAY 2009 " fld="78" baseField="0" baseItem="0"/>
    <dataField name="MAY 2010 " fld="90" baseField="0" baseItem="0"/>
    <dataField name="MAY 2011 " fld="102" baseField="0" baseItem="0"/>
    <dataField name="MAY 2012 " fld="114" baseField="0" baseItem="0"/>
    <dataField name="MAY 2013 " fld="126" baseField="0" baseItem="0"/>
    <dataField name="MAY 2014 " fld="138" baseField="0" baseItem="0"/>
    <dataField name="MAY 2015 " fld="150" baseField="0" baseItem="0"/>
    <dataField name="MAY 2016 " fld="162" baseField="0" baseItem="0"/>
    <dataField name="MAY 2017 " fld="174" baseField="0" baseItem="0"/>
    <dataField name="MAY 2018 " fld="186" baseField="0" baseItem="0"/>
    <dataField name="JUNE 2003 " fld="7" baseField="0" baseItem="0"/>
    <dataField name="JUNE 2004 " fld="19" baseField="0" baseItem="0"/>
    <dataField name="JUNE 2005 " fld="31" baseField="0" baseItem="0"/>
    <dataField name="JUNE 2006 " fld="43" baseField="0" baseItem="0"/>
    <dataField name="JUNE 2007 " fld="55" baseField="0" baseItem="0"/>
    <dataField name="JUNE 2008 " fld="67" baseField="0" baseItem="0"/>
    <dataField name="JUNE 2009 " fld="79" baseField="0" baseItem="0"/>
    <dataField name="JUNE 2010 " fld="91" baseField="0" baseItem="0"/>
    <dataField name="JUNE 2011 " fld="103" baseField="0" baseItem="0"/>
    <dataField name="JUNE 2012 " fld="115" baseField="0" baseItem="0"/>
    <dataField name="JUNE 2013 " fld="127" baseField="0" baseItem="0"/>
    <dataField name="JUNE 2014 " fld="139" baseField="0" baseItem="0"/>
    <dataField name="JUNE 2015 " fld="151" baseField="0" baseItem="0"/>
    <dataField name="JUNE 2016 " fld="163" baseField="0" baseItem="0"/>
    <dataField name="JUNE 2017 " fld="175" baseField="0" baseItem="0"/>
    <dataField name="JUNE 2018 " fld="187" baseField="0" baseItem="0"/>
    <dataField name="JULY 2003 " fld="8" baseField="0" baseItem="0"/>
    <dataField name="JULY 2004 " fld="20" baseField="0" baseItem="0"/>
    <dataField name="JULY 2005 " fld="32" baseField="0" baseItem="0"/>
    <dataField name="JULY 2006 " fld="44" baseField="0" baseItem="0"/>
    <dataField name="JULY 2007 " fld="56" baseField="0" baseItem="0"/>
    <dataField name="JULY 2008 " fld="68" baseField="0" baseItem="0"/>
    <dataField name="JULY 2009 " fld="80" baseField="0" baseItem="0"/>
    <dataField name="JULY 2010 " fld="92" baseField="0" baseItem="0"/>
    <dataField name="JULY 2011 " fld="104" baseField="0" baseItem="0"/>
    <dataField name="JULY 2012 " fld="116" baseField="0" baseItem="0"/>
    <dataField name="JULY 2013 " fld="128" baseField="0" baseItem="0"/>
    <dataField name="JULY 2014 " fld="140" baseField="0" baseItem="0"/>
    <dataField name="JULY 2015 " fld="152" baseField="0" baseItem="0"/>
    <dataField name="JULY 2016 " fld="164" baseField="0" baseItem="0"/>
    <dataField name="JULY 2017 " fld="176" baseField="0" baseItem="0"/>
    <dataField name="JULY 2018" fld="188" baseField="0" baseItem="0"/>
    <dataField name="AUG 2003 " fld="9" baseField="0" baseItem="0"/>
    <dataField name="AUG 2004 " fld="21" baseField="0" baseItem="0"/>
    <dataField name="AUG 2005 " fld="33" baseField="0" baseItem="0"/>
    <dataField name="AUG 2006 " fld="45" baseField="0" baseItem="0"/>
    <dataField name="AUG 2007 " fld="57" baseField="0" baseItem="0"/>
    <dataField name="AUG 2008 " fld="69" baseField="0" baseItem="0"/>
    <dataField name="AUG 2009 " fld="81" baseField="0" baseItem="0"/>
    <dataField name="AUG 2010 " fld="93" baseField="0" baseItem="0"/>
    <dataField name="AUG 2011 " fld="105" baseField="0" baseItem="0"/>
    <dataField name="AUG 2012 " fld="117" baseField="0" baseItem="0"/>
    <dataField name="AUG 2013 " fld="129" baseField="0" baseItem="0"/>
    <dataField name="AUG 2014 " fld="141" baseField="0" baseItem="0"/>
    <dataField name="AUG 2015 " fld="153" baseField="0" baseItem="0"/>
    <dataField name="AUG 2016 " fld="165" baseField="0" baseItem="0"/>
    <dataField name="AUG 2017 " fld="177" baseField="0" baseItem="0"/>
    <dataField name="AUG 2018" fld="189" baseField="0" baseItem="0"/>
    <dataField name="SEPT 2003 " fld="10" baseField="0" baseItem="0"/>
    <dataField name="SEPT 2004 " fld="22" baseField="0" baseItem="0"/>
    <dataField name="SEPT 2005 " fld="34" baseField="0" baseItem="0"/>
    <dataField name="SEPT 2006 " fld="46" baseField="0" baseItem="0"/>
    <dataField name="SEPT 2007 " fld="58" baseField="0" baseItem="0"/>
    <dataField name="SEPT 2008 " fld="70" baseField="0" baseItem="0"/>
    <dataField name="SEPT 2009 " fld="82" baseField="0" baseItem="0"/>
    <dataField name="SEPT 2010 " fld="94" baseField="0" baseItem="0"/>
    <dataField name="SEPT 2011 " fld="106" baseField="0" baseItem="0"/>
    <dataField name="SEPT 2012 " fld="118" baseField="0" baseItem="0"/>
    <dataField name="SEPT 2013 " fld="130" baseField="0" baseItem="0"/>
    <dataField name="SEPT 2014 " fld="142" baseField="0" baseItem="0"/>
    <dataField name="SEPT 2015 " fld="154" baseField="0" baseItem="0"/>
    <dataField name="SEPT 2016 " fld="166" baseField="0" baseItem="0"/>
    <dataField name="SEPT 2017 " fld="178" baseField="0" baseItem="0"/>
    <dataField name="OCT 2003 " fld="11" baseField="0" baseItem="0"/>
    <dataField name="OCT 2004 " fld="23" baseField="0" baseItem="0"/>
    <dataField name="OCT 2005 " fld="35" baseField="0" baseItem="0"/>
    <dataField name="OCT 2006 " fld="47" baseField="0" baseItem="0"/>
    <dataField name="OCT 2007 " fld="59" baseField="0" baseItem="0"/>
    <dataField name="OCT 2008 " fld="71" baseField="0" baseItem="0"/>
    <dataField name="OCT 2009 " fld="83" baseField="0" baseItem="0"/>
    <dataField name="OCT 2010 " fld="95" baseField="0" baseItem="0"/>
    <dataField name="OCT 2011 " fld="107" baseField="0" baseItem="0"/>
    <dataField name="OCT 2012 " fld="119" baseField="0" baseItem="0"/>
    <dataField name="OCT 2013 " fld="131" baseField="0" baseItem="0"/>
    <dataField name="OCT 2014 " fld="143" baseField="0" baseItem="0"/>
    <dataField name="OCT 2015 " fld="155" baseField="0" baseItem="0"/>
    <dataField name="OCT 2016 " fld="167" baseField="0" baseItem="0"/>
    <dataField name="OCT 2017 " fld="179" baseField="0" baseItem="0"/>
    <dataField name="NOV 2003 " fld="12" baseField="0" baseItem="0"/>
    <dataField name="NOV 2004" fld="24" baseField="0" baseItem="4" numFmtId="3"/>
    <dataField name="NOV 2005" fld="36" baseField="0" baseItem="66" numFmtId="3"/>
    <dataField name="NOV 2006 " fld="48" baseField="0" baseItem="0"/>
    <dataField name="NOV 2007 " fld="60" baseField="0" baseItem="0"/>
    <dataField name="NOV 2008 " fld="72" baseField="0" baseItem="0"/>
    <dataField name="NOV 2009 " fld="84" baseField="0" baseItem="0"/>
    <dataField name="NOV 2010 " fld="96" baseField="0" baseItem="0"/>
    <dataField name="NOV 2011 " fld="108" baseField="0" baseItem="0"/>
    <dataField name="NOV 2012 " fld="120" baseField="0" baseItem="0"/>
    <dataField name="NOV 2013 " fld="132" baseField="0" baseItem="0"/>
    <dataField name="NOV 2014 " fld="144" baseField="0" baseItem="0"/>
    <dataField name="NOV 2015 " fld="156" baseField="0" baseItem="0"/>
    <dataField name="NOV 2016 " fld="168" baseField="0" baseItem="0"/>
    <dataField name="NOV 2017 " fld="180" baseField="0" baseItem="0"/>
    <dataField name="DEC 2003 " fld="13" baseField="0" baseItem="0"/>
    <dataField name="DEC 2004 " fld="25" baseField="0" baseItem="0"/>
    <dataField name="DEC 2005 " fld="37" baseField="0" baseItem="0"/>
    <dataField name="DEC 2006 " fld="49" baseField="0" baseItem="0"/>
    <dataField name="DEC 2007 " fld="61" baseField="0" baseItem="0"/>
    <dataField name="DEC 2008 " fld="73" baseField="0" baseItem="0"/>
    <dataField name="DEC 2009 " fld="85" baseField="0" baseItem="0"/>
    <dataField name="DEC 2010 " fld="97" baseField="0" baseItem="0"/>
    <dataField name="DEC 2011 " fld="109" baseField="0" baseItem="0"/>
    <dataField name="DEC 2012 " fld="121" baseField="0" baseItem="0"/>
    <dataField name="DEC 2013 " fld="133" baseField="0" baseItem="0"/>
    <dataField name="DEC 2014 " fld="145" baseField="0" baseItem="0"/>
    <dataField name="DEC 2015 " fld="157" baseField="0" baseItem="0"/>
    <dataField name="DEC 2016 " fld="169" baseField="0" baseItem="0"/>
    <dataField name="DEC 2017 " fld="181" baseField="0" baseItem="0"/>
  </dataFields>
  <formats count="42">
    <format dxfId="165">
      <pivotArea outline="0" collapsedLevelsAreSubtotals="1" fieldPosition="0"/>
    </format>
    <format dxfId="164">
      <pivotArea dataOnly="0" labelOnly="1" outline="0" fieldPosition="0">
        <references count="1">
          <reference field="0" count="1">
            <x v="5"/>
          </reference>
        </references>
      </pivotArea>
    </format>
    <format dxfId="163">
      <pivotArea dataOnly="0" labelOnly="1" outline="0" fieldPosition="0">
        <references count="1">
          <reference field="0" count="1">
            <x v="17"/>
          </reference>
        </references>
      </pivotArea>
    </format>
    <format dxfId="162">
      <pivotArea dataOnly="0" labelOnly="1" outline="0" fieldPosition="0">
        <references count="1">
          <reference field="0" count="1">
            <x v="41"/>
          </reference>
        </references>
      </pivotArea>
    </format>
    <format dxfId="161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160">
      <pivotArea dataOnly="0" labelOnly="1" outline="0" fieldPosition="0">
        <references count="1">
          <reference field="0" count="2">
            <x v="12"/>
            <x v="13"/>
          </reference>
        </references>
      </pivotArea>
    </format>
    <format dxfId="159">
      <pivotArea dataOnly="0" labelOnly="1" outline="0" fieldPosition="0">
        <references count="1">
          <reference field="0" count="1">
            <x v="46"/>
          </reference>
        </references>
      </pivotArea>
    </format>
    <format dxfId="158">
      <pivotArea dataOnly="0" labelOnly="1" outline="0" fieldPosition="0">
        <references count="1">
          <reference field="0" count="1">
            <x v="31"/>
          </reference>
        </references>
      </pivotArea>
    </format>
    <format dxfId="157">
      <pivotArea dataOnly="0" labelOnly="1" outline="0" fieldPosition="0">
        <references count="1">
          <reference field="0" count="1">
            <x v="6"/>
          </reference>
        </references>
      </pivotArea>
    </format>
    <format dxfId="156">
      <pivotArea outline="0" fieldPosition="0">
        <references count="1">
          <reference field="4294967294" count="1">
            <x v="159"/>
          </reference>
        </references>
      </pivotArea>
    </format>
    <format dxfId="155">
      <pivotArea outline="0" fieldPosition="0">
        <references count="1">
          <reference field="4294967294" count="1">
            <x v="160"/>
          </reference>
        </references>
      </pivotArea>
    </format>
    <format dxfId="154">
      <pivotArea dataOnly="0" labelOnly="1" outline="0" fieldPosition="0">
        <references count="3">
          <reference field="0" count="1">
            <x v="14"/>
          </reference>
          <reference field="1" count="1" selected="0">
            <x v="2"/>
          </reference>
          <reference field="191" count="1" selected="0">
            <x v="9"/>
          </reference>
        </references>
      </pivotArea>
    </format>
    <format dxfId="153">
      <pivotArea dataOnly="0" labelOnly="1" outline="0" fieldPosition="0">
        <references count="3">
          <reference field="0" count="2">
            <x v="50"/>
            <x v="51"/>
          </reference>
          <reference field="1" count="1" selected="0">
            <x v="8"/>
          </reference>
          <reference field="191" count="1" selected="0">
            <x v="9"/>
          </reference>
        </references>
      </pivotArea>
    </format>
    <format dxfId="152">
      <pivotArea dataOnly="0" labelOnly="1" outline="0" fieldPosition="0">
        <references count="3">
          <reference field="0" count="2">
            <x v="50"/>
            <x v="51"/>
          </reference>
          <reference field="1" count="1" selected="0">
            <x v="8"/>
          </reference>
          <reference field="191" count="1" selected="0">
            <x v="9"/>
          </reference>
        </references>
      </pivotArea>
    </format>
    <format dxfId="151">
      <pivotArea dataOnly="0" labelOnly="1" outline="0" fieldPosition="0">
        <references count="3">
          <reference field="0" count="1">
            <x v="52"/>
          </reference>
          <reference field="1" count="1" selected="0">
            <x v="10"/>
          </reference>
          <reference field="191" count="1" selected="0">
            <x v="9"/>
          </reference>
        </references>
      </pivotArea>
    </format>
    <format dxfId="150">
      <pivotArea dataOnly="0" labelOnly="1" outline="0" fieldPosition="0">
        <references count="3">
          <reference field="0" count="1">
            <x v="34"/>
          </reference>
          <reference field="1" count="1" selected="0">
            <x v="10"/>
          </reference>
          <reference field="191" count="1" selected="0">
            <x v="9"/>
          </reference>
        </references>
      </pivotArea>
    </format>
    <format dxfId="149">
      <pivotArea dataOnly="0" labelOnly="1" outline="0" fieldPosition="0">
        <references count="3">
          <reference field="0" count="1">
            <x v="58"/>
          </reference>
          <reference field="1" count="1" selected="0">
            <x v="7"/>
          </reference>
          <reference field="191" count="1" selected="0">
            <x v="8"/>
          </reference>
        </references>
      </pivotArea>
    </format>
    <format dxfId="148">
      <pivotArea dataOnly="0" labelOnly="1" outline="0" fieldPosition="0">
        <references count="3">
          <reference field="0" count="1">
            <x v="59"/>
          </reference>
          <reference field="1" count="1" selected="0">
            <x v="8"/>
          </reference>
          <reference field="191" count="1" selected="0">
            <x v="8"/>
          </reference>
        </references>
      </pivotArea>
    </format>
    <format dxfId="147">
      <pivotArea dataOnly="0" labelOnly="1" outline="0" fieldPosition="0">
        <references count="3">
          <reference field="0" count="1">
            <x v="60"/>
          </reference>
          <reference field="1" count="1" selected="0">
            <x v="9"/>
          </reference>
          <reference field="191" count="1" selected="0">
            <x v="8"/>
          </reference>
        </references>
      </pivotArea>
    </format>
    <format dxfId="146">
      <pivotArea dataOnly="0" labelOnly="1" outline="0" fieldPosition="0">
        <references count="3">
          <reference field="0" count="1">
            <x v="57"/>
          </reference>
          <reference field="1" count="1" selected="0">
            <x v="2"/>
          </reference>
          <reference field="191" count="1" selected="0">
            <x v="9"/>
          </reference>
        </references>
      </pivotArea>
    </format>
    <format dxfId="145">
      <pivotArea dataOnly="0" labelOnly="1" outline="0" fieldPosition="0">
        <references count="3">
          <reference field="0" count="1">
            <x v="70"/>
          </reference>
          <reference field="1" count="1" selected="0">
            <x v="0"/>
          </reference>
          <reference field="191" count="1" selected="0">
            <x v="0"/>
          </reference>
        </references>
      </pivotArea>
    </format>
    <format dxfId="144">
      <pivotArea dataOnly="0" labelOnly="1" outline="0" fieldPosition="0">
        <references count="3">
          <reference field="0" count="1">
            <x v="19"/>
          </reference>
          <reference field="1" count="1" selected="0">
            <x v="2"/>
          </reference>
          <reference field="191" count="1" selected="0">
            <x v="7"/>
          </reference>
        </references>
      </pivotArea>
    </format>
    <format dxfId="143">
      <pivotArea dataOnly="0" labelOnly="1" outline="0" fieldPosition="0">
        <references count="3">
          <reference field="0" count="1">
            <x v="35"/>
          </reference>
          <reference field="1" count="1" selected="0">
            <x v="12"/>
          </reference>
          <reference field="191" count="1" selected="0">
            <x v="7"/>
          </reference>
        </references>
      </pivotArea>
    </format>
    <format dxfId="142">
      <pivotArea dataOnly="0" labelOnly="1" outline="0" fieldPosition="0">
        <references count="3">
          <reference field="0" count="1">
            <x v="36"/>
          </reference>
          <reference field="1" count="1" selected="0">
            <x v="12"/>
          </reference>
          <reference field="191" count="1" selected="0">
            <x v="7"/>
          </reference>
        </references>
      </pivotArea>
    </format>
    <format dxfId="141">
      <pivotArea dataOnly="0" labelOnly="1" outline="0" fieldPosition="0">
        <references count="3">
          <reference field="0" count="1">
            <x v="42"/>
          </reference>
          <reference field="1" count="1" selected="0">
            <x v="9"/>
          </reference>
          <reference field="191" count="1" selected="0">
            <x v="8"/>
          </reference>
        </references>
      </pivotArea>
    </format>
    <format dxfId="140">
      <pivotArea dataOnly="0" labelOnly="1" outline="0" fieldPosition="0">
        <references count="3">
          <reference field="0" count="1">
            <x v="43"/>
          </reference>
          <reference field="1" count="1" selected="0">
            <x v="2"/>
          </reference>
          <reference field="191" count="1" selected="0">
            <x v="9"/>
          </reference>
        </references>
      </pivotArea>
    </format>
    <format dxfId="139">
      <pivotArea dataOnly="0" labelOnly="1" outline="0" fieldPosition="0">
        <references count="3">
          <reference field="0" count="1">
            <x v="64"/>
          </reference>
          <reference field="1" count="1" selected="0">
            <x v="10"/>
          </reference>
          <reference field="191" count="1" selected="0">
            <x v="8"/>
          </reference>
        </references>
      </pivotArea>
    </format>
    <format dxfId="138">
      <pivotArea dataOnly="0" labelOnly="1" outline="0" fieldPosition="0">
        <references count="3">
          <reference field="0" count="1">
            <x v="19"/>
          </reference>
          <reference field="1" count="1" selected="0">
            <x v="2"/>
          </reference>
          <reference field="191" count="1" selected="0">
            <x v="7"/>
          </reference>
        </references>
      </pivotArea>
    </format>
    <format dxfId="137">
      <pivotArea dataOnly="0" labelOnly="1" outline="0" fieldPosition="0">
        <references count="3">
          <reference field="0" count="1">
            <x v="35"/>
          </reference>
          <reference field="1" count="1" selected="0">
            <x v="12"/>
          </reference>
          <reference field="191" count="1" selected="0">
            <x v="7"/>
          </reference>
        </references>
      </pivotArea>
    </format>
    <format dxfId="136">
      <pivotArea dataOnly="0" labelOnly="1" outline="0" fieldPosition="0">
        <references count="3">
          <reference field="0" count="1">
            <x v="36"/>
          </reference>
          <reference field="1" count="1" selected="0">
            <x v="12"/>
          </reference>
          <reference field="191" count="1" selected="0">
            <x v="7"/>
          </reference>
        </references>
      </pivotArea>
    </format>
    <format dxfId="135">
      <pivotArea dataOnly="0" labelOnly="1" outline="0" fieldPosition="0">
        <references count="3">
          <reference field="0" count="1">
            <x v="42"/>
          </reference>
          <reference field="1" count="1" selected="0">
            <x v="9"/>
          </reference>
          <reference field="191" count="1" selected="0">
            <x v="8"/>
          </reference>
        </references>
      </pivotArea>
    </format>
    <format dxfId="134">
      <pivotArea dataOnly="0" labelOnly="1" outline="0" fieldPosition="0">
        <references count="3">
          <reference field="0" count="1">
            <x v="43"/>
          </reference>
          <reference field="1" count="1" selected="0">
            <x v="2"/>
          </reference>
          <reference field="191" count="1" selected="0">
            <x v="9"/>
          </reference>
        </references>
      </pivotArea>
    </format>
    <format dxfId="133">
      <pivotArea dataOnly="0" labelOnly="1" outline="0" fieldPosition="0">
        <references count="3">
          <reference field="0" count="1">
            <x v="65"/>
          </reference>
          <reference field="1" count="1" selected="0">
            <x v="10"/>
          </reference>
          <reference field="191" count="1" selected="0">
            <x v="8"/>
          </reference>
        </references>
      </pivotArea>
    </format>
    <format dxfId="132">
      <pivotArea dataOnly="0" labelOnly="1" outline="0" fieldPosition="0">
        <references count="3">
          <reference field="0" count="1">
            <x v="63"/>
          </reference>
          <reference field="1" count="1" selected="0">
            <x v="12"/>
          </reference>
          <reference field="191" count="1" selected="0">
            <x v="8"/>
          </reference>
        </references>
      </pivotArea>
    </format>
    <format dxfId="131">
      <pivotArea dataOnly="0" labelOnly="1" outline="0" fieldPosition="0">
        <references count="3">
          <reference field="0" count="1">
            <x v="30"/>
          </reference>
          <reference field="1" count="1" selected="0">
            <x v="4"/>
          </reference>
          <reference field="191" count="1" selected="0">
            <x v="9"/>
          </reference>
        </references>
      </pivotArea>
    </format>
    <format dxfId="130">
      <pivotArea dataOnly="0" labelOnly="1" outline="0" fieldPosition="0">
        <references count="3">
          <reference field="0" count="1">
            <x v="27"/>
          </reference>
          <reference field="1" count="1" selected="0">
            <x v="8"/>
          </reference>
          <reference field="191" count="1" selected="0">
            <x v="9"/>
          </reference>
        </references>
      </pivotArea>
    </format>
    <format dxfId="129">
      <pivotArea dataOnly="0" labelOnly="1" outline="0" fieldPosition="0">
        <references count="3">
          <reference field="0" count="1">
            <x v="29"/>
          </reference>
          <reference field="1" count="1" selected="0">
            <x v="8"/>
          </reference>
          <reference field="191" count="1" selected="0">
            <x v="9"/>
          </reference>
        </references>
      </pivotArea>
    </format>
    <format dxfId="128">
      <pivotArea dataOnly="0" labelOnly="1" outline="0" fieldPosition="0">
        <references count="3">
          <reference field="0" count="1">
            <x v="28"/>
          </reference>
          <reference field="1" count="1" selected="0">
            <x v="4"/>
          </reference>
          <reference field="191" count="1" selected="0">
            <x v="12"/>
          </reference>
        </references>
      </pivotArea>
    </format>
    <format dxfId="127">
      <pivotArea dataOnly="0" labelOnly="1" outline="0" fieldPosition="0">
        <references count="3">
          <reference field="0" count="1">
            <x v="15"/>
          </reference>
          <reference field="1" count="1" selected="0">
            <x v="7"/>
          </reference>
          <reference field="191" count="1" selected="0">
            <x v="10"/>
          </reference>
        </references>
      </pivotArea>
    </format>
    <format dxfId="126">
      <pivotArea dataOnly="0" labelOnly="1" outline="0" fieldPosition="0">
        <references count="3">
          <reference field="0" count="1">
            <x v="21"/>
          </reference>
          <reference field="1" count="1" selected="0">
            <x v="7"/>
          </reference>
          <reference field="191" count="1" selected="0">
            <x v="10"/>
          </reference>
        </references>
      </pivotArea>
    </format>
    <format dxfId="125">
      <pivotArea dataOnly="0" labelOnly="1" outline="0" fieldPosition="0">
        <references count="3">
          <reference field="0" count="2">
            <x v="22"/>
            <x v="23"/>
          </reference>
          <reference field="1" count="1" selected="0">
            <x v="7"/>
          </reference>
          <reference field="191" count="1" selected="0">
            <x v="10"/>
          </reference>
        </references>
      </pivotArea>
    </format>
    <format dxfId="124">
      <pivotArea dataOnly="0" labelOnly="1" outline="0" fieldPosition="0">
        <references count="3">
          <reference field="0" count="2">
            <x v="53"/>
            <x v="54"/>
          </reference>
          <reference field="1" count="1" selected="0">
            <x v="8"/>
          </reference>
          <reference field="191" count="1" selected="0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21D5D-94FF-4408-81B9-18BC570EE0BA}" name="Tableau croisé dynamique1" cacheId="20" applyNumberFormats="0" applyBorderFormats="0" applyFontFormats="0" applyPatternFormats="0" applyAlignmentFormats="0" applyWidthHeightFormats="1" dataCaption="Valeurs" missingCaption="0" showMissing="0" updatedVersion="6" minRefreshableVersion="3" useAutoFormatting="1" itemPrintTitles="1" createdVersion="6" indent="0" compact="0" compactData="0" gridDropZones="1" multipleFieldFilters="0">
  <location ref="B3:U111" firstHeaderRow="2" firstDataRow="2" firstDataCol="14"/>
  <pivotFields count="14">
    <pivotField axis="axisRow" compact="0" outline="0" showAll="0" defaultSubtotal="0">
      <items count="83">
        <item m="1" x="82"/>
        <item x="68"/>
        <item x="0"/>
        <item x="2"/>
        <item x="3"/>
        <item x="4"/>
        <item x="5"/>
        <item x="6"/>
        <item x="7"/>
        <item x="8"/>
        <item x="9"/>
        <item x="11"/>
        <item x="12"/>
        <item x="10"/>
        <item x="13"/>
        <item x="14"/>
        <item x="15"/>
        <item x="1"/>
        <item x="67"/>
        <item x="18"/>
        <item x="19"/>
        <item x="16"/>
        <item x="17"/>
        <item x="20"/>
        <item x="21"/>
        <item x="22"/>
        <item x="23"/>
        <item x="24"/>
        <item x="27"/>
        <item x="28"/>
        <item x="29"/>
        <item x="25"/>
        <item x="30"/>
        <item x="26"/>
        <item x="31"/>
        <item x="32"/>
        <item x="33"/>
        <item x="34"/>
        <item x="66"/>
        <item x="35"/>
        <item x="36"/>
        <item x="62"/>
        <item x="41"/>
        <item x="40"/>
        <item x="38"/>
        <item x="39"/>
        <item x="63"/>
        <item x="61"/>
        <item x="37"/>
        <item x="42"/>
        <item x="65"/>
        <item x="64"/>
        <item x="43"/>
        <item x="44"/>
        <item x="72"/>
        <item x="77"/>
        <item x="71"/>
        <item x="69"/>
        <item x="74"/>
        <item x="52"/>
        <item x="53"/>
        <item x="58"/>
        <item x="47"/>
        <item x="55"/>
        <item x="56"/>
        <item x="45"/>
        <item x="46"/>
        <item x="54"/>
        <item x="50"/>
        <item x="51"/>
        <item x="70"/>
        <item x="80"/>
        <item x="75"/>
        <item x="57"/>
        <item x="48"/>
        <item x="59"/>
        <item x="60"/>
        <item x="49"/>
        <item x="73"/>
        <item x="78"/>
        <item x="79"/>
        <item x="81"/>
        <item x="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7">
        <item x="4"/>
        <item x="5"/>
        <item x="6"/>
        <item x="7"/>
        <item x="58"/>
        <item x="59"/>
        <item x="0"/>
        <item x="1"/>
        <item x="86"/>
        <item x="87"/>
        <item x="75"/>
        <item x="99"/>
        <item x="92"/>
        <item x="104"/>
        <item x="91"/>
        <item x="90"/>
        <item x="72"/>
        <item x="31"/>
        <item x="65"/>
        <item x="8"/>
        <item x="10"/>
        <item x="9"/>
        <item x="93"/>
        <item x="44"/>
        <item x="13"/>
        <item x="60"/>
        <item x="2"/>
        <item x="32"/>
        <item x="51"/>
        <item x="64"/>
        <item x="45"/>
        <item x="47"/>
        <item x="46"/>
        <item x="66"/>
        <item x="96"/>
        <item x="95"/>
        <item x="68"/>
        <item x="74"/>
        <item x="27"/>
        <item x="28"/>
        <item x="62"/>
        <item x="41"/>
        <item x="42"/>
        <item x="43"/>
        <item x="61"/>
        <item x="40"/>
        <item x="12"/>
        <item x="101"/>
        <item x="84"/>
        <item x="17"/>
        <item x="63"/>
        <item x="33"/>
        <item x="76"/>
        <item x="34"/>
        <item x="78"/>
        <item x="24"/>
        <item x="25"/>
        <item x="23"/>
        <item x="56"/>
        <item x="57"/>
        <item x="79"/>
        <item x="3"/>
        <item x="82"/>
        <item x="35"/>
        <item x="36"/>
        <item x="83"/>
        <item x="50"/>
        <item x="94"/>
        <item x="98"/>
        <item x="69"/>
        <item x="77"/>
        <item x="53"/>
        <item x="54"/>
        <item x="11"/>
        <item x="67"/>
        <item x="80"/>
        <item x="105"/>
        <item x="102"/>
        <item x="103"/>
        <item x="14"/>
        <item x="15"/>
        <item x="16"/>
        <item x="73"/>
        <item x="97"/>
        <item x="48"/>
        <item x="49"/>
        <item x="85"/>
        <item x="88"/>
        <item x="89"/>
        <item x="29"/>
        <item x="30"/>
        <item x="26"/>
        <item x="21"/>
        <item x="18"/>
        <item x="19"/>
        <item x="20"/>
        <item m="1" x="106"/>
        <item x="52"/>
        <item x="70"/>
        <item x="71"/>
        <item x="37"/>
        <item x="38"/>
        <item x="39"/>
        <item x="55"/>
        <item x="22"/>
        <item x="81"/>
        <item x="1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1"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2"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3"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4"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5" axis="axisRow" compact="0" outline="0" showAll="0" defaultSubtotal="0">
      <items count="16">
        <item x="0"/>
        <item m="1" x="14"/>
        <item m="1"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6" axis="axisRow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7"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8"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9"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10"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11" axis="axisRow" compact="0" outline="0" showAll="0" defaultSubtotal="0">
      <items count="18">
        <item x="0"/>
        <item x="1"/>
        <item x="2"/>
        <item x="3"/>
        <item m="1" x="17"/>
        <item x="5"/>
        <item x="6"/>
        <item x="7"/>
        <item x="8"/>
        <item x="9"/>
        <item x="10"/>
        <item x="11"/>
        <item x="12"/>
        <item x="14"/>
        <item x="15"/>
        <item x="16"/>
        <item x="4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12" axis="axisRow" compact="0" outline="0" showAll="0">
      <items count="18">
        <item x="0"/>
        <item x="1"/>
        <item x="2"/>
        <item x="3"/>
        <item m="1" x="16"/>
        <item x="5"/>
        <item x="6"/>
        <item x="7"/>
        <item x="8"/>
        <item x="9"/>
        <item x="10"/>
        <item x="11"/>
        <item x="12"/>
        <item x="13"/>
        <item x="14"/>
        <item x="15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4">
    <field x="0"/>
    <field x="1"/>
    <field x="2"/>
    <field x="3"/>
    <field x="4"/>
    <field x="5"/>
    <field x="6"/>
    <field x="7"/>
    <field x="8"/>
    <field x="9"/>
    <field x="10"/>
    <field x="11"/>
    <field x="12"/>
    <field x="13"/>
  </rowFields>
  <rowItems count="107">
    <i>
      <x v="1"/>
      <x v="12"/>
      <x/>
      <x/>
      <x/>
      <x/>
      <x/>
      <x/>
      <x/>
      <x/>
      <x/>
      <x/>
      <x/>
      <x/>
    </i>
    <i>
      <x v="2"/>
      <x v="6"/>
      <x/>
      <x/>
      <x/>
      <x/>
      <x/>
      <x/>
      <x/>
      <x/>
      <x/>
      <x/>
      <x/>
      <x/>
    </i>
    <i>
      <x v="3"/>
      <x v="26"/>
      <x/>
      <x/>
      <x/>
      <x/>
      <x/>
      <x/>
      <x/>
      <x/>
      <x/>
      <x/>
      <x/>
      <x/>
    </i>
    <i>
      <x v="4"/>
      <x v="61"/>
      <x/>
      <x/>
      <x/>
      <x/>
      <x/>
      <x/>
      <x/>
      <x/>
      <x/>
      <x/>
      <x/>
      <x/>
    </i>
    <i>
      <x v="5"/>
      <x/>
      <x/>
      <x/>
      <x/>
      <x/>
      <x/>
      <x/>
      <x/>
      <x/>
      <x/>
      <x/>
      <x/>
      <x/>
    </i>
    <i>
      <x v="6"/>
      <x v="1"/>
      <x/>
      <x/>
      <x/>
      <x/>
      <x/>
      <x/>
      <x/>
      <x/>
      <x/>
      <x/>
      <x/>
      <x/>
    </i>
    <i>
      <x v="7"/>
      <x v="2"/>
      <x/>
      <x/>
      <x/>
      <x/>
      <x/>
      <x/>
      <x/>
      <x/>
      <x/>
      <x/>
      <x/>
      <x/>
    </i>
    <i>
      <x v="8"/>
      <x v="3"/>
      <x/>
      <x/>
      <x/>
      <x/>
      <x/>
      <x/>
      <x/>
      <x/>
      <x/>
      <x/>
      <x/>
      <x/>
    </i>
    <i>
      <x v="9"/>
      <x v="19"/>
      <x/>
      <x/>
      <x/>
      <x/>
      <x/>
      <x/>
      <x/>
      <x/>
      <x/>
      <x/>
      <x/>
      <x/>
    </i>
    <i>
      <x v="10"/>
      <x v="21"/>
      <x/>
      <x/>
      <x/>
      <x/>
      <x/>
      <x/>
      <x/>
      <x/>
      <x/>
      <x/>
      <x/>
      <x/>
    </i>
    <i>
      <x v="11"/>
      <x v="73"/>
      <x/>
      <x/>
      <x/>
      <x/>
      <x/>
      <x/>
      <x/>
      <x/>
      <x/>
      <x/>
      <x/>
      <x/>
    </i>
    <i>
      <x v="12"/>
      <x v="46"/>
      <x/>
      <x/>
      <x/>
      <x/>
      <x/>
      <x/>
      <x/>
      <x/>
      <x/>
      <x/>
      <x/>
      <x/>
    </i>
    <i>
      <x v="13"/>
      <x v="20"/>
      <x/>
      <x/>
      <x/>
      <x/>
      <x/>
      <x/>
      <x/>
      <x/>
      <x/>
      <x/>
      <x/>
      <x/>
    </i>
    <i>
      <x v="14"/>
      <x v="24"/>
      <x/>
      <x/>
      <x/>
      <x/>
      <x/>
      <x/>
      <x/>
      <x/>
      <x/>
      <x/>
      <x/>
      <x/>
    </i>
    <i>
      <x v="15"/>
      <x v="79"/>
      <x/>
      <x/>
      <x/>
      <x/>
      <x/>
      <x/>
      <x/>
      <x/>
      <x/>
      <x/>
      <x/>
      <x/>
    </i>
    <i r="1">
      <x v="80"/>
      <x/>
      <x/>
      <x/>
      <x/>
      <x/>
      <x/>
      <x/>
      <x/>
      <x/>
      <x/>
      <x/>
      <x/>
    </i>
    <i r="1">
      <x v="81"/>
      <x/>
      <x/>
      <x/>
      <x/>
      <x/>
      <x/>
      <x/>
      <x/>
      <x/>
      <x/>
      <x/>
      <x/>
    </i>
    <i>
      <x v="16"/>
      <x v="49"/>
      <x/>
      <x/>
      <x/>
      <x/>
      <x/>
      <x/>
      <x/>
      <x/>
      <x/>
      <x/>
      <x/>
      <x/>
    </i>
    <i>
      <x v="17"/>
      <x v="7"/>
      <x/>
      <x/>
      <x/>
      <x/>
      <x/>
      <x/>
      <x/>
      <x/>
      <x/>
      <x/>
      <x/>
      <x/>
    </i>
    <i>
      <x v="18"/>
      <x v="14"/>
      <x/>
      <x/>
      <x/>
      <x/>
      <x/>
      <x/>
      <x/>
      <x/>
      <x/>
      <x/>
      <x/>
      <x/>
    </i>
    <i>
      <x v="19"/>
      <x v="55"/>
      <x/>
      <x/>
      <x/>
      <x/>
      <x/>
      <x/>
      <x/>
      <x/>
      <x/>
      <x/>
      <x/>
      <x/>
    </i>
    <i r="1">
      <x v="56"/>
      <x/>
      <x/>
      <x/>
      <x/>
      <x/>
      <x/>
      <x/>
      <x/>
      <x/>
      <x/>
      <x/>
      <x/>
    </i>
    <i r="1">
      <x v="57"/>
      <x/>
      <x/>
      <x/>
      <x/>
      <x/>
      <x/>
      <x/>
      <x/>
      <x/>
      <x/>
      <x/>
      <x/>
    </i>
    <i>
      <x v="20"/>
      <x v="91"/>
      <x/>
      <x/>
      <x/>
      <x/>
      <x/>
      <x/>
      <x/>
      <x/>
      <x/>
      <x/>
      <x/>
      <x/>
    </i>
    <i>
      <x v="21"/>
      <x v="92"/>
      <x/>
      <x/>
      <x/>
      <x/>
      <x/>
      <x/>
      <x/>
      <x/>
      <x/>
      <x/>
      <x/>
      <x/>
    </i>
    <i r="1">
      <x v="93"/>
      <x/>
      <x/>
      <x/>
      <x/>
      <x/>
      <x/>
      <x/>
      <x/>
      <x/>
      <x/>
      <x/>
      <x/>
    </i>
    <i r="1">
      <x v="94"/>
      <x/>
      <x/>
      <x/>
      <x/>
      <x/>
      <x/>
      <x/>
      <x/>
      <x/>
      <x/>
      <x/>
      <x/>
    </i>
    <i r="1">
      <x v="95"/>
      <x/>
      <x/>
      <x/>
      <x/>
      <x/>
      <x/>
      <x/>
      <x/>
      <x/>
      <x/>
      <x/>
      <x/>
    </i>
    <i>
      <x v="22"/>
      <x v="104"/>
      <x/>
      <x/>
      <x/>
      <x/>
      <x/>
      <x/>
      <x/>
      <x/>
      <x/>
      <x/>
      <x/>
      <x/>
    </i>
    <i>
      <x v="23"/>
      <x v="38"/>
      <x/>
      <x/>
      <x/>
      <x/>
      <x/>
      <x/>
      <x/>
      <x/>
      <x/>
      <x/>
      <x/>
      <x/>
    </i>
    <i r="1">
      <x v="39"/>
      <x/>
      <x/>
      <x/>
      <x/>
      <x/>
      <x/>
      <x/>
      <x/>
      <x/>
      <x/>
      <x/>
      <x/>
    </i>
    <i>
      <x v="24"/>
      <x v="89"/>
      <x/>
      <x/>
      <x/>
      <x/>
      <x/>
      <x/>
      <x/>
      <x/>
      <x/>
      <x/>
      <x/>
      <x/>
    </i>
    <i r="1">
      <x v="90"/>
      <x/>
      <x/>
      <x/>
      <x/>
      <x/>
      <x/>
      <x/>
      <x/>
      <x/>
      <x/>
      <x/>
      <x/>
    </i>
    <i>
      <x v="25"/>
      <x v="17"/>
      <x/>
      <x/>
      <x/>
      <x/>
      <x/>
      <x/>
      <x/>
      <x/>
      <x/>
      <x/>
      <x/>
      <x/>
    </i>
    <i>
      <x v="26"/>
      <x v="27"/>
      <x/>
      <x/>
      <x/>
      <x/>
      <x/>
      <x/>
      <x/>
      <x/>
      <x/>
      <x/>
      <x/>
      <x/>
    </i>
    <i>
      <x v="27"/>
      <x v="51"/>
      <x/>
      <x/>
      <x/>
      <x/>
      <x/>
      <x/>
      <x/>
      <x/>
      <x/>
      <x/>
      <x/>
      <x/>
    </i>
    <i>
      <x v="28"/>
      <x v="100"/>
      <x/>
      <x/>
      <x/>
      <x/>
      <x/>
      <x/>
      <x/>
      <x/>
      <x/>
      <x/>
      <x/>
      <x/>
    </i>
    <i r="1">
      <x v="101"/>
      <x/>
      <x/>
      <x/>
      <x/>
      <x/>
      <x/>
      <x/>
      <x/>
      <x/>
      <x/>
      <x/>
      <x/>
    </i>
    <i r="1">
      <x v="102"/>
      <x/>
      <x/>
      <x/>
      <x/>
      <x/>
      <x/>
      <x/>
      <x/>
      <x/>
      <x/>
      <x/>
      <x/>
    </i>
    <i>
      <x v="29"/>
      <x v="45"/>
      <x/>
      <x/>
      <x/>
      <x/>
      <x/>
      <x/>
      <x/>
      <x/>
      <x/>
      <x/>
      <x/>
      <x/>
    </i>
    <i>
      <x v="30"/>
      <x v="41"/>
      <x/>
      <x/>
      <x/>
      <x/>
      <x/>
      <x/>
      <x/>
      <x/>
      <x/>
      <x/>
      <x/>
      <x/>
    </i>
    <i r="1">
      <x v="42"/>
      <x/>
      <x/>
      <x/>
      <x/>
      <x/>
      <x/>
      <x/>
      <x/>
      <x/>
      <x/>
      <x/>
      <x/>
    </i>
    <i r="1">
      <x v="43"/>
      <x/>
      <x/>
      <x/>
      <x/>
      <x/>
      <x/>
      <x/>
      <x/>
      <x/>
      <x/>
      <x/>
      <x/>
    </i>
    <i>
      <x v="31"/>
      <x v="53"/>
      <x/>
      <x/>
      <x/>
      <x/>
      <x/>
      <x/>
      <x/>
      <x/>
      <x/>
      <x/>
      <x/>
      <x/>
    </i>
    <i>
      <x v="32"/>
      <x v="23"/>
      <x/>
      <x/>
      <x/>
      <x/>
      <x/>
      <x/>
      <x/>
      <x/>
      <x/>
      <x/>
      <x/>
      <x/>
    </i>
    <i>
      <x v="33"/>
      <x v="63"/>
      <x/>
      <x/>
      <x/>
      <x/>
      <x/>
      <x/>
      <x/>
      <x/>
      <x/>
      <x/>
      <x/>
      <x/>
    </i>
    <i r="1">
      <x v="64"/>
      <x/>
      <x/>
      <x/>
      <x/>
      <x/>
      <x/>
      <x/>
      <x/>
      <x/>
      <x/>
      <x/>
      <x/>
    </i>
    <i>
      <x v="34"/>
      <x v="30"/>
      <x/>
      <x/>
      <x/>
      <x/>
      <x/>
      <x/>
      <x/>
      <x/>
      <x/>
      <x/>
      <x/>
      <x/>
    </i>
    <i r="1">
      <x v="31"/>
      <x/>
      <x/>
      <x/>
      <x/>
      <x/>
      <x/>
      <x/>
      <x/>
      <x/>
      <x/>
      <x/>
      <x/>
    </i>
    <i r="1">
      <x v="32"/>
      <x/>
      <x/>
      <x/>
      <x/>
      <x/>
      <x/>
      <x/>
      <x/>
      <x/>
      <x/>
      <x/>
      <x/>
    </i>
    <i>
      <x v="35"/>
      <x v="84"/>
      <x/>
      <x/>
      <x/>
      <x/>
      <x/>
      <x/>
      <x/>
      <x/>
      <x/>
      <x/>
      <x/>
      <x/>
    </i>
    <i r="1">
      <x v="85"/>
      <x/>
      <x/>
      <x/>
      <x/>
      <x/>
      <x/>
      <x/>
      <x/>
      <x/>
      <x/>
      <x/>
      <x/>
    </i>
    <i>
      <x v="36"/>
      <x v="66"/>
      <x/>
      <x/>
      <x/>
      <x/>
      <x/>
      <x/>
      <x/>
      <x/>
      <x/>
      <x/>
      <x/>
      <x/>
    </i>
    <i>
      <x v="37"/>
      <x v="28"/>
      <x/>
      <x/>
      <x/>
      <x/>
      <x/>
      <x/>
      <x/>
      <x/>
      <x/>
      <x/>
      <x/>
      <x/>
    </i>
    <i>
      <x v="38"/>
      <x v="15"/>
      <x/>
      <x/>
      <x/>
      <x/>
      <x/>
      <x/>
      <x/>
      <x/>
      <x/>
      <x/>
      <x/>
      <x/>
    </i>
    <i>
      <x v="39"/>
      <x v="97"/>
      <x/>
      <x/>
      <x/>
      <x/>
      <x/>
      <x/>
      <x/>
      <x/>
      <x/>
      <x/>
      <x/>
      <x/>
    </i>
    <i>
      <x v="40"/>
      <x v="71"/>
      <x/>
      <x/>
      <x/>
      <x/>
      <x/>
      <x/>
      <x/>
      <x/>
      <x/>
      <x/>
      <x/>
      <x/>
    </i>
    <i r="1">
      <x v="72"/>
      <x/>
      <x/>
      <x/>
      <x/>
      <x/>
      <x/>
      <x/>
      <x/>
      <x/>
      <x/>
      <x/>
      <x/>
    </i>
    <i>
      <x v="41"/>
      <x v="48"/>
      <x v="4"/>
      <x v="4"/>
      <x v="4"/>
      <x v="4"/>
      <x v="6"/>
      <x v="4"/>
      <x v="4"/>
      <x v="4"/>
      <x v="4"/>
      <x v="4"/>
      <x v="16"/>
      <x v="16"/>
    </i>
    <i>
      <x v="42"/>
      <x v="44"/>
      <x/>
      <x/>
      <x/>
      <x/>
      <x/>
      <x/>
      <x/>
      <x/>
      <x/>
      <x/>
      <x/>
      <x/>
    </i>
    <i>
      <x v="43"/>
      <x v="25"/>
      <x/>
      <x/>
      <x/>
      <x/>
      <x/>
      <x/>
      <x/>
      <x/>
      <x/>
      <x/>
      <x/>
      <x/>
    </i>
    <i>
      <x v="44"/>
      <x v="58"/>
      <x/>
      <x/>
      <x/>
      <x/>
      <x/>
      <x/>
      <x/>
      <x/>
      <x/>
      <x/>
      <x/>
      <x/>
    </i>
    <i r="1">
      <x v="59"/>
      <x/>
      <x/>
      <x/>
      <x/>
      <x/>
      <x/>
      <x/>
      <x/>
      <x/>
      <x/>
      <x/>
      <x/>
    </i>
    <i>
      <x v="45"/>
      <x v="4"/>
      <x/>
      <x/>
      <x/>
      <x/>
      <x/>
      <x/>
      <x/>
      <x/>
      <x/>
      <x/>
      <x/>
      <x/>
    </i>
    <i r="1">
      <x v="5"/>
      <x/>
      <x/>
      <x/>
      <x/>
      <x/>
      <x/>
      <x/>
      <x/>
      <x/>
      <x/>
      <x/>
      <x/>
    </i>
    <i>
      <x v="46"/>
      <x v="86"/>
      <x v="5"/>
      <x v="5"/>
      <x v="5"/>
      <x v="5"/>
      <x v="7"/>
      <x v="5"/>
      <x v="5"/>
      <x v="5"/>
      <x v="5"/>
      <x v="5"/>
      <x v="5"/>
      <x v="5"/>
    </i>
    <i>
      <x v="47"/>
      <x v="65"/>
      <x v="3"/>
      <x v="3"/>
      <x v="3"/>
      <x v="3"/>
      <x v="5"/>
      <x v="3"/>
      <x v="3"/>
      <x v="3"/>
      <x v="3"/>
      <x v="3"/>
      <x v="3"/>
      <x v="3"/>
    </i>
    <i>
      <x v="48"/>
      <x v="103"/>
      <x/>
      <x/>
      <x/>
      <x/>
      <x/>
      <x/>
      <x/>
      <x/>
      <x/>
      <x/>
      <x/>
      <x/>
    </i>
    <i>
      <x v="49"/>
      <x v="40"/>
      <x/>
      <x/>
      <x/>
      <x/>
      <x/>
      <x/>
      <x/>
      <x/>
      <x/>
      <x/>
      <x/>
      <x/>
    </i>
    <i>
      <x v="50"/>
      <x v="87"/>
      <x v="1"/>
      <x v="1"/>
      <x v="1"/>
      <x v="1"/>
      <x v="3"/>
      <x v="1"/>
      <x v="1"/>
      <x v="1"/>
      <x v="1"/>
      <x v="1"/>
      <x v="1"/>
      <x v="1"/>
    </i>
    <i r="1">
      <x v="88"/>
      <x v="1"/>
      <x v="1"/>
      <x v="1"/>
      <x v="1"/>
      <x v="3"/>
      <x v="1"/>
      <x v="1"/>
      <x v="1"/>
      <x v="1"/>
      <x v="1"/>
      <x v="1"/>
      <x v="1"/>
    </i>
    <i>
      <x v="51"/>
      <x v="8"/>
      <x v="6"/>
      <x v="6"/>
      <x v="6"/>
      <x v="6"/>
      <x v="8"/>
      <x v="6"/>
      <x v="6"/>
      <x v="6"/>
      <x v="6"/>
      <x v="6"/>
      <x v="6"/>
      <x v="6"/>
    </i>
    <i r="1">
      <x v="9"/>
      <x v="6"/>
      <x v="6"/>
      <x v="6"/>
      <x v="6"/>
      <x v="8"/>
      <x v="6"/>
      <x v="6"/>
      <x v="6"/>
      <x v="6"/>
      <x v="6"/>
      <x v="6"/>
      <x v="6"/>
    </i>
    <i>
      <x v="52"/>
      <x v="50"/>
      <x v="1"/>
      <x v="1"/>
      <x v="1"/>
      <x v="1"/>
      <x v="3"/>
      <x v="1"/>
      <x v="1"/>
      <x v="1"/>
      <x v="1"/>
      <x v="1"/>
      <x v="1"/>
      <x v="1"/>
    </i>
    <i>
      <x v="53"/>
      <x v="18"/>
      <x/>
      <x/>
      <x/>
      <x/>
      <x/>
      <x/>
      <x/>
      <x/>
      <x/>
      <x/>
      <x/>
      <x/>
    </i>
    <i r="1">
      <x v="29"/>
      <x/>
      <x/>
      <x/>
      <x/>
      <x/>
      <x/>
      <x/>
      <x/>
      <x/>
      <x/>
      <x/>
      <x/>
    </i>
    <i>
      <x v="54"/>
      <x v="34"/>
      <x v="10"/>
      <x v="10"/>
      <x v="10"/>
      <x v="10"/>
      <x v="12"/>
      <x v="10"/>
      <x v="10"/>
      <x v="10"/>
      <x v="10"/>
      <x v="10"/>
      <x v="10"/>
      <x v="10"/>
    </i>
    <i>
      <x v="55"/>
      <x v="47"/>
      <x v="13"/>
      <x v="13"/>
      <x v="13"/>
      <x v="13"/>
      <x v="15"/>
      <x v="13"/>
      <x v="13"/>
      <x v="13"/>
      <x v="13"/>
      <x v="13"/>
      <x v="13"/>
      <x v="13"/>
    </i>
    <i>
      <x v="56"/>
      <x v="35"/>
      <x v="9"/>
      <x v="9"/>
      <x v="9"/>
      <x v="9"/>
      <x v="11"/>
      <x v="9"/>
      <x v="9"/>
      <x v="9"/>
      <x v="9"/>
      <x v="9"/>
      <x v="9"/>
      <x v="9"/>
    </i>
    <i>
      <x v="57"/>
      <x v="22"/>
      <x v="7"/>
      <x v="7"/>
      <x v="7"/>
      <x v="7"/>
      <x v="9"/>
      <x v="7"/>
      <x v="7"/>
      <x v="7"/>
      <x v="7"/>
      <x v="7"/>
      <x v="7"/>
      <x v="7"/>
    </i>
    <i>
      <x v="58"/>
      <x v="68"/>
      <x v="12"/>
      <x v="12"/>
      <x v="12"/>
      <x v="12"/>
      <x v="14"/>
      <x v="12"/>
      <x v="12"/>
      <x v="12"/>
      <x v="12"/>
      <x v="12"/>
      <x v="12"/>
      <x v="12"/>
    </i>
    <i>
      <x v="59"/>
      <x v="37"/>
      <x/>
      <x/>
      <x/>
      <x/>
      <x/>
      <x/>
      <x/>
      <x/>
      <x/>
      <x/>
      <x/>
      <x/>
    </i>
    <i>
      <x v="60"/>
      <x v="10"/>
      <x/>
      <x/>
      <x/>
      <x/>
      <x/>
      <x/>
      <x/>
      <x/>
      <x/>
      <x/>
      <x/>
      <x/>
    </i>
    <i>
      <x v="61"/>
      <x v="75"/>
      <x/>
      <x/>
      <x/>
      <x/>
      <x/>
      <x/>
      <x/>
      <x/>
      <x/>
      <x/>
      <x/>
      <x/>
    </i>
    <i>
      <x v="62"/>
      <x v="36"/>
      <x/>
      <x/>
      <x/>
      <x/>
      <x/>
      <x/>
      <x/>
      <x/>
      <x/>
      <x/>
      <x/>
      <x/>
    </i>
    <i>
      <x v="63"/>
      <x v="70"/>
      <x/>
      <x/>
      <x/>
      <x/>
      <x/>
      <x/>
      <x/>
      <x/>
      <x/>
      <x/>
      <x/>
      <x/>
    </i>
    <i>
      <x v="64"/>
      <x v="54"/>
      <x/>
      <x/>
      <x/>
      <x/>
      <x/>
      <x/>
      <x/>
      <x/>
      <x/>
      <x/>
      <x/>
      <x/>
    </i>
    <i>
      <x v="65"/>
      <x v="33"/>
      <x/>
      <x/>
      <x/>
      <x/>
      <x/>
      <x/>
      <x/>
      <x/>
      <x/>
      <x/>
      <x/>
      <x/>
    </i>
    <i>
      <x v="66"/>
      <x v="74"/>
      <x/>
      <x/>
      <x/>
      <x/>
      <x/>
      <x/>
      <x/>
      <x/>
      <x/>
      <x/>
      <x/>
      <x/>
    </i>
    <i>
      <x v="67"/>
      <x v="52"/>
      <x/>
      <x/>
      <x/>
      <x/>
      <x/>
      <x/>
      <x/>
      <x/>
      <x/>
      <x/>
      <x/>
      <x/>
    </i>
    <i>
      <x v="68"/>
      <x v="16"/>
      <x/>
      <x/>
      <x/>
      <x/>
      <x/>
      <x/>
      <x/>
      <x/>
      <x/>
      <x/>
      <x/>
      <x/>
    </i>
    <i>
      <x v="69"/>
      <x v="82"/>
      <x/>
      <x/>
      <x/>
      <x/>
      <x/>
      <x/>
      <x/>
      <x/>
      <x/>
      <x/>
      <x/>
      <x/>
    </i>
    <i>
      <x v="70"/>
      <x v="67"/>
      <x v="8"/>
      <x v="8"/>
      <x v="8"/>
      <x v="8"/>
      <x v="10"/>
      <x v="8"/>
      <x v="8"/>
      <x v="8"/>
      <x v="8"/>
      <x v="8"/>
      <x v="8"/>
      <x v="8"/>
    </i>
    <i>
      <x v="71"/>
      <x v="13"/>
      <x/>
      <x/>
      <x/>
      <x/>
      <x/>
      <x v="14"/>
      <x v="15"/>
      <x v="15"/>
      <x v="15"/>
      <x v="15"/>
      <x v="15"/>
      <x v="15"/>
    </i>
    <i>
      <x v="72"/>
      <x v="11"/>
      <x v="13"/>
      <x v="13"/>
      <x v="13"/>
      <x v="13"/>
      <x v="15"/>
      <x v="13"/>
      <x v="13"/>
      <x v="13"/>
      <x v="13"/>
      <x v="13"/>
      <x v="17"/>
      <x v="16"/>
    </i>
    <i>
      <x v="73"/>
      <x v="60"/>
      <x/>
      <x/>
      <x/>
      <x/>
      <x/>
      <x/>
      <x/>
      <x/>
      <x/>
      <x/>
      <x/>
      <x/>
    </i>
    <i>
      <x v="74"/>
      <x v="69"/>
      <x/>
      <x/>
      <x/>
      <x/>
      <x/>
      <x/>
      <x/>
      <x/>
      <x/>
      <x/>
      <x/>
      <x/>
    </i>
    <i>
      <x v="75"/>
      <x v="105"/>
      <x/>
      <x/>
      <x/>
      <x/>
      <x/>
      <x/>
      <x/>
      <x/>
      <x/>
      <x/>
      <x/>
      <x/>
    </i>
    <i>
      <x v="76"/>
      <x v="62"/>
      <x v="2"/>
      <x v="2"/>
      <x v="2"/>
      <x v="2"/>
      <x v="4"/>
      <x v="2"/>
      <x v="2"/>
      <x v="2"/>
      <x v="2"/>
      <x v="2"/>
      <x v="2"/>
      <x v="2"/>
    </i>
    <i>
      <x v="77"/>
      <x v="98"/>
      <x/>
      <x/>
      <x/>
      <x/>
      <x/>
      <x/>
      <x/>
      <x/>
      <x/>
      <x/>
      <x/>
      <x/>
    </i>
    <i r="1">
      <x v="99"/>
      <x/>
      <x/>
      <x/>
      <x/>
      <x/>
      <x/>
      <x/>
      <x/>
      <x/>
      <x/>
      <x/>
      <x/>
    </i>
    <i>
      <x v="78"/>
      <x v="83"/>
      <x v="11"/>
      <x v="11"/>
      <x v="11"/>
      <x v="11"/>
      <x v="13"/>
      <x v="11"/>
      <x v="11"/>
      <x v="11"/>
      <x v="11"/>
      <x v="11"/>
      <x v="11"/>
      <x v="11"/>
    </i>
    <i>
      <x v="79"/>
      <x v="77"/>
      <x/>
      <x/>
      <x/>
      <x/>
      <x/>
      <x/>
      <x/>
      <x v="14"/>
      <x v="14"/>
      <x v="14"/>
      <x v="14"/>
      <x v="14"/>
    </i>
    <i>
      <x v="80"/>
      <x v="78"/>
      <x/>
      <x/>
      <x/>
      <x/>
      <x/>
      <x/>
      <x v="14"/>
      <x v="14"/>
      <x v="14"/>
      <x v="14"/>
      <x v="14"/>
      <x v="14"/>
    </i>
    <i>
      <x v="81"/>
      <x v="76"/>
      <x/>
      <x/>
      <x/>
      <x/>
      <x/>
      <x/>
      <x/>
      <x/>
      <x/>
      <x/>
      <x v="14"/>
      <x v="14"/>
    </i>
    <i>
      <x v="82"/>
      <x v="106"/>
      <x/>
      <x/>
      <x/>
      <x/>
      <x/>
      <x/>
      <x/>
      <x/>
      <x/>
      <x/>
      <x/>
      <x/>
    </i>
    <i t="grand">
      <x/>
    </i>
  </rowItems>
  <colItems count="1">
    <i/>
  </colItems>
  <formats count="12">
    <format dxfId="122">
      <pivotArea field="2" type="button" dataOnly="0" labelOnly="1" outline="0" axis="axisRow" fieldPosition="2"/>
    </format>
    <format dxfId="121">
      <pivotArea field="3" type="button" dataOnly="0" labelOnly="1" outline="0" axis="axisRow" fieldPosition="3"/>
    </format>
    <format dxfId="120">
      <pivotArea field="4" type="button" dataOnly="0" labelOnly="1" outline="0" axis="axisRow" fieldPosition="4"/>
    </format>
    <format dxfId="119">
      <pivotArea field="5" type="button" dataOnly="0" labelOnly="1" outline="0" axis="axisRow" fieldPosition="5"/>
    </format>
    <format dxfId="118">
      <pivotArea field="6" type="button" dataOnly="0" labelOnly="1" outline="0" axis="axisRow" fieldPosition="6"/>
    </format>
    <format dxfId="117">
      <pivotArea field="7" type="button" dataOnly="0" labelOnly="1" outline="0" axis="axisRow" fieldPosition="7"/>
    </format>
    <format dxfId="116">
      <pivotArea field="8" type="button" dataOnly="0" labelOnly="1" outline="0" axis="axisRow" fieldPosition="8"/>
    </format>
    <format dxfId="115">
      <pivotArea field="9" type="button" dataOnly="0" labelOnly="1" outline="0" axis="axisRow" fieldPosition="9"/>
    </format>
    <format dxfId="114">
      <pivotArea field="10" type="button" dataOnly="0" labelOnly="1" outline="0" axis="axisRow" fieldPosition="10"/>
    </format>
    <format dxfId="113">
      <pivotArea field="11" type="button" dataOnly="0" labelOnly="1" outline="0" axis="axisRow" fieldPosition="11"/>
    </format>
    <format dxfId="112">
      <pivotArea field="12" type="button" dataOnly="0" labelOnly="1" outline="0" axis="axisRow" fieldPosition="12"/>
    </format>
    <format dxfId="111">
      <pivotArea field="13" type="button" dataOnly="0" labelOnly="1" outline="0" axis="axisRow" fieldPosition="13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F33A2-2691-41B0-BB8E-11AA00F4B71E}" name="Tableau croisé dynamique1" cacheId="21" applyNumberFormats="0" applyBorderFormats="0" applyFontFormats="0" applyPatternFormats="0" applyAlignmentFormats="0" applyWidthHeightFormats="1" dataCaption="Valeurs" missingCaption="0" showMissing="0" updatedVersion="6" minRefreshableVersion="3" useAutoFormatting="1" itemPrintTitles="1" createdVersion="6" indent="0" compact="0" compactData="0" gridDropZones="1" multipleFieldFilters="0">
  <location ref="B3:U111" firstHeaderRow="2" firstDataRow="2" firstDataCol="14"/>
  <pivotFields count="14">
    <pivotField axis="axisRow" compact="0" outline="0" showAll="0" defaultSubtotal="0">
      <items count="83">
        <item m="1" x="82"/>
        <item x="68"/>
        <item x="0"/>
        <item x="2"/>
        <item x="3"/>
        <item x="4"/>
        <item x="5"/>
        <item x="6"/>
        <item x="7"/>
        <item x="8"/>
        <item x="9"/>
        <item x="11"/>
        <item x="12"/>
        <item x="10"/>
        <item x="13"/>
        <item x="14"/>
        <item x="15"/>
        <item x="1"/>
        <item x="67"/>
        <item x="18"/>
        <item x="19"/>
        <item x="16"/>
        <item x="17"/>
        <item x="20"/>
        <item x="21"/>
        <item x="22"/>
        <item x="23"/>
        <item x="24"/>
        <item x="27"/>
        <item x="28"/>
        <item x="29"/>
        <item x="25"/>
        <item x="30"/>
        <item x="26"/>
        <item x="31"/>
        <item x="32"/>
        <item x="33"/>
        <item x="34"/>
        <item x="66"/>
        <item x="35"/>
        <item x="36"/>
        <item x="62"/>
        <item x="41"/>
        <item x="40"/>
        <item x="38"/>
        <item x="39"/>
        <item x="63"/>
        <item x="61"/>
        <item x="37"/>
        <item x="42"/>
        <item x="65"/>
        <item x="64"/>
        <item x="43"/>
        <item x="44"/>
        <item x="72"/>
        <item x="77"/>
        <item x="71"/>
        <item x="69"/>
        <item x="74"/>
        <item x="52"/>
        <item x="53"/>
        <item x="58"/>
        <item x="47"/>
        <item x="55"/>
        <item x="56"/>
        <item x="45"/>
        <item x="46"/>
        <item x="54"/>
        <item x="50"/>
        <item x="51"/>
        <item x="70"/>
        <item x="80"/>
        <item x="75"/>
        <item x="57"/>
        <item x="48"/>
        <item x="59"/>
        <item x="60"/>
        <item x="49"/>
        <item x="73"/>
        <item x="78"/>
        <item x="79"/>
        <item x="81"/>
        <item x="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7">
        <item x="4"/>
        <item x="5"/>
        <item x="6"/>
        <item x="7"/>
        <item x="58"/>
        <item x="59"/>
        <item x="0"/>
        <item x="1"/>
        <item x="86"/>
        <item x="87"/>
        <item x="75"/>
        <item x="99"/>
        <item x="92"/>
        <item x="104"/>
        <item x="91"/>
        <item x="90"/>
        <item x="72"/>
        <item x="31"/>
        <item x="65"/>
        <item x="8"/>
        <item x="10"/>
        <item x="9"/>
        <item x="93"/>
        <item x="44"/>
        <item x="13"/>
        <item x="60"/>
        <item x="2"/>
        <item x="32"/>
        <item x="51"/>
        <item x="64"/>
        <item x="45"/>
        <item x="47"/>
        <item x="46"/>
        <item x="66"/>
        <item x="96"/>
        <item x="95"/>
        <item x="68"/>
        <item x="74"/>
        <item x="27"/>
        <item x="28"/>
        <item x="62"/>
        <item x="41"/>
        <item x="42"/>
        <item x="43"/>
        <item x="61"/>
        <item x="40"/>
        <item x="12"/>
        <item x="101"/>
        <item x="84"/>
        <item x="17"/>
        <item x="63"/>
        <item x="33"/>
        <item x="76"/>
        <item x="34"/>
        <item x="78"/>
        <item x="24"/>
        <item x="25"/>
        <item x="23"/>
        <item x="56"/>
        <item x="57"/>
        <item x="79"/>
        <item x="3"/>
        <item x="82"/>
        <item x="35"/>
        <item x="36"/>
        <item x="83"/>
        <item x="50"/>
        <item x="94"/>
        <item x="98"/>
        <item x="69"/>
        <item x="77"/>
        <item x="53"/>
        <item x="54"/>
        <item x="11"/>
        <item x="67"/>
        <item x="80"/>
        <item x="105"/>
        <item x="102"/>
        <item x="103"/>
        <item x="14"/>
        <item x="15"/>
        <item x="16"/>
        <item x="73"/>
        <item x="97"/>
        <item x="48"/>
        <item x="49"/>
        <item x="85"/>
        <item x="88"/>
        <item x="89"/>
        <item x="29"/>
        <item x="30"/>
        <item x="26"/>
        <item x="21"/>
        <item x="18"/>
        <item x="19"/>
        <item x="20"/>
        <item x="52"/>
        <item x="70"/>
        <item x="71"/>
        <item x="37"/>
        <item x="38"/>
        <item x="39"/>
        <item x="55"/>
        <item x="22"/>
        <item x="81"/>
        <item m="1" x="106"/>
        <item x="1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1" axis="axisRow" compact="0" outline="0" showAll="0" defaultSubtotal="0">
      <items count="135">
        <item x="8"/>
        <item m="1" x="80"/>
        <item x="2"/>
        <item x="3"/>
        <item x="4"/>
        <item x="5"/>
        <item x="6"/>
        <item x="7"/>
        <item m="1" x="93"/>
        <item x="10"/>
        <item m="1" x="94"/>
        <item m="1" x="106"/>
        <item m="1" x="125"/>
        <item m="1" x="102"/>
        <item m="1" x="100"/>
        <item m="1" x="119"/>
        <item m="1" x="97"/>
        <item m="1" x="78"/>
        <item m="1" x="83"/>
        <item m="1" x="114"/>
        <item m="1" x="109"/>
        <item m="1" x="90"/>
        <item m="1" x="86"/>
        <item m="1" x="129"/>
        <item m="1" x="88"/>
        <item m="1" x="105"/>
        <item m="1" x="87"/>
        <item m="1" x="127"/>
        <item m="1" x="124"/>
        <item m="1" x="103"/>
        <item m="1" x="95"/>
        <item m="1" x="99"/>
        <item m="1" x="111"/>
        <item m="1" x="134"/>
        <item m="1" x="85"/>
        <item m="1" x="120"/>
        <item m="1" x="122"/>
        <item m="1" x="133"/>
        <item m="1" x="126"/>
        <item m="1" x="91"/>
        <item m="1" x="84"/>
        <item m="1" x="130"/>
        <item m="1" x="81"/>
        <item m="1" x="96"/>
        <item m="1" x="92"/>
        <item m="1" x="117"/>
        <item m="1" x="115"/>
        <item m="1" x="108"/>
        <item m="1" x="98"/>
        <item m="1" x="116"/>
        <item m="1" x="89"/>
        <item m="1" x="128"/>
        <item m="1" x="110"/>
        <item m="1" x="131"/>
        <item m="1" x="112"/>
        <item m="1" x="123"/>
        <item m="1" x="113"/>
        <item m="1" x="104"/>
        <item m="1" x="79"/>
        <item m="1" x="82"/>
        <item m="1" x="107"/>
        <item m="1" x="132"/>
        <item m="1" x="121"/>
        <item x="0"/>
        <item x="1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m="1" x="101"/>
        <item x="64"/>
        <item x="65"/>
        <item x="66"/>
        <item x="67"/>
        <item x="68"/>
        <item x="69"/>
        <item x="70"/>
        <item x="71"/>
        <item x="72"/>
        <item m="1" x="118"/>
        <item x="74"/>
        <item x="75"/>
        <item x="76"/>
        <item x="77"/>
        <item x="63"/>
        <item x="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2" axis="axisRow" compact="0" outline="0" showAll="0" defaultSubtotal="0">
      <items count="134">
        <item x="8"/>
        <item m="1" x="80"/>
        <item x="2"/>
        <item x="3"/>
        <item x="4"/>
        <item x="5"/>
        <item x="6"/>
        <item x="7"/>
        <item m="1" x="93"/>
        <item x="10"/>
        <item m="1" x="94"/>
        <item m="1" x="106"/>
        <item m="1" x="124"/>
        <item m="1" x="101"/>
        <item m="1" x="100"/>
        <item m="1" x="118"/>
        <item m="1" x="97"/>
        <item m="1" x="77"/>
        <item m="1" x="83"/>
        <item m="1" x="114"/>
        <item m="1" x="109"/>
        <item m="1" x="90"/>
        <item m="1" x="86"/>
        <item m="1" x="128"/>
        <item m="1" x="88"/>
        <item m="1" x="105"/>
        <item m="1" x="87"/>
        <item m="1" x="126"/>
        <item m="1" x="123"/>
        <item m="1" x="102"/>
        <item m="1" x="95"/>
        <item m="1" x="99"/>
        <item m="1" x="111"/>
        <item m="1" x="133"/>
        <item m="1" x="85"/>
        <item m="1" x="119"/>
        <item m="1" x="121"/>
        <item m="1" x="132"/>
        <item m="1" x="125"/>
        <item m="1" x="91"/>
        <item m="1" x="84"/>
        <item m="1" x="129"/>
        <item m="1" x="81"/>
        <item m="1" x="96"/>
        <item m="1" x="92"/>
        <item m="1" x="117"/>
        <item m="1" x="115"/>
        <item m="1" x="108"/>
        <item m="1" x="98"/>
        <item m="1" x="116"/>
        <item m="1" x="89"/>
        <item m="1" x="127"/>
        <item m="1" x="110"/>
        <item m="1" x="130"/>
        <item m="1" x="112"/>
        <item m="1" x="122"/>
        <item m="1" x="113"/>
        <item m="1" x="104"/>
        <item m="1" x="79"/>
        <item m="1" x="82"/>
        <item m="1" x="107"/>
        <item m="1" x="131"/>
        <item m="1" x="120"/>
        <item x="0"/>
        <item x="1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m="1" x="78"/>
        <item x="63"/>
        <item x="64"/>
        <item x="65"/>
        <item x="66"/>
        <item x="67"/>
        <item x="68"/>
        <item x="69"/>
        <item x="70"/>
        <item x="71"/>
        <item m="1" x="103"/>
        <item x="73"/>
        <item x="74"/>
        <item x="75"/>
        <item x="76"/>
        <item x="62"/>
        <item x="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3" axis="axisRow" compact="0" outline="0" showAll="0" defaultSubtotal="0">
      <items count="134">
        <item x="8"/>
        <item m="1" x="79"/>
        <item x="2"/>
        <item x="3"/>
        <item x="4"/>
        <item x="5"/>
        <item x="6"/>
        <item x="7"/>
        <item m="1" x="93"/>
        <item x="10"/>
        <item m="1" x="94"/>
        <item m="1" x="105"/>
        <item m="1" x="124"/>
        <item m="1" x="101"/>
        <item m="1" x="100"/>
        <item m="1" x="118"/>
        <item m="1" x="97"/>
        <item m="1" x="77"/>
        <item m="1" x="82"/>
        <item m="1" x="114"/>
        <item m="1" x="108"/>
        <item m="1" x="90"/>
        <item m="1" x="85"/>
        <item m="1" x="128"/>
        <item m="1" x="88"/>
        <item m="1" x="104"/>
        <item m="1" x="87"/>
        <item m="1" x="126"/>
        <item m="1" x="123"/>
        <item m="1" x="102"/>
        <item m="1" x="95"/>
        <item m="1" x="99"/>
        <item m="1" x="110"/>
        <item m="1" x="133"/>
        <item m="1" x="84"/>
        <item m="1" x="119"/>
        <item m="1" x="121"/>
        <item m="1" x="132"/>
        <item m="1" x="125"/>
        <item m="1" x="91"/>
        <item m="1" x="83"/>
        <item m="1" x="129"/>
        <item m="1" x="80"/>
        <item m="1" x="96"/>
        <item m="1" x="92"/>
        <item m="1" x="117"/>
        <item m="1" x="115"/>
        <item m="1" x="107"/>
        <item m="1" x="98"/>
        <item m="1" x="116"/>
        <item m="1" x="89"/>
        <item m="1" x="127"/>
        <item m="1" x="109"/>
        <item m="1" x="130"/>
        <item m="1" x="111"/>
        <item m="1" x="122"/>
        <item m="1" x="112"/>
        <item m="1" x="103"/>
        <item m="1" x="78"/>
        <item m="1" x="81"/>
        <item m="1" x="106"/>
        <item m="1" x="131"/>
        <item m="1" x="120"/>
        <item x="0"/>
        <item x="1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m="1" x="86"/>
        <item x="63"/>
        <item x="64"/>
        <item x="65"/>
        <item x="66"/>
        <item x="67"/>
        <item x="68"/>
        <item x="69"/>
        <item x="70"/>
        <item x="71"/>
        <item m="1" x="113"/>
        <item x="73"/>
        <item x="74"/>
        <item x="75"/>
        <item x="76"/>
        <item x="62"/>
        <item x="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4" axis="axisRow" compact="0" outline="0" showAll="0" defaultSubtotal="0">
      <items count="134">
        <item x="8"/>
        <item m="1" x="79"/>
        <item x="2"/>
        <item x="3"/>
        <item x="4"/>
        <item x="5"/>
        <item x="6"/>
        <item x="7"/>
        <item m="1" x="92"/>
        <item x="10"/>
        <item m="1" x="93"/>
        <item m="1" x="104"/>
        <item m="1" x="123"/>
        <item m="1" x="100"/>
        <item m="1" x="99"/>
        <item m="1" x="117"/>
        <item m="1" x="96"/>
        <item m="1" x="77"/>
        <item m="1" x="82"/>
        <item m="1" x="112"/>
        <item m="1" x="107"/>
        <item m="1" x="89"/>
        <item m="1" x="85"/>
        <item m="1" x="127"/>
        <item m="1" x="87"/>
        <item m="1" x="103"/>
        <item m="1" x="86"/>
        <item m="1" x="125"/>
        <item m="1" x="122"/>
        <item m="1" x="101"/>
        <item m="1" x="94"/>
        <item m="1" x="98"/>
        <item m="1" x="109"/>
        <item m="1" x="133"/>
        <item m="1" x="84"/>
        <item m="1" x="118"/>
        <item m="1" x="120"/>
        <item m="1" x="132"/>
        <item m="1" x="124"/>
        <item m="1" x="90"/>
        <item m="1" x="83"/>
        <item m="1" x="129"/>
        <item m="1" x="80"/>
        <item m="1" x="95"/>
        <item m="1" x="91"/>
        <item m="1" x="116"/>
        <item m="1" x="113"/>
        <item m="1" x="106"/>
        <item m="1" x="97"/>
        <item m="1" x="114"/>
        <item m="1" x="88"/>
        <item m="1" x="126"/>
        <item m="1" x="108"/>
        <item m="1" x="130"/>
        <item m="1" x="110"/>
        <item m="1" x="121"/>
        <item m="1" x="111"/>
        <item m="1" x="102"/>
        <item m="1" x="78"/>
        <item m="1" x="81"/>
        <item m="1" x="105"/>
        <item m="1" x="131"/>
        <item m="1" x="119"/>
        <item x="0"/>
        <item x="1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m="1" x="128"/>
        <item x="63"/>
        <item x="64"/>
        <item x="65"/>
        <item x="66"/>
        <item x="67"/>
        <item x="68"/>
        <item x="69"/>
        <item x="70"/>
        <item x="71"/>
        <item m="1" x="115"/>
        <item x="73"/>
        <item x="74"/>
        <item x="75"/>
        <item x="76"/>
        <item x="62"/>
        <item x="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5" axis="axisRow" compact="0" outline="0" showAll="0" defaultSubtotal="0">
      <items count="133">
        <item x="8"/>
        <item m="1" x="78"/>
        <item x="2"/>
        <item x="3"/>
        <item x="4"/>
        <item x="5"/>
        <item x="6"/>
        <item x="7"/>
        <item m="1" x="91"/>
        <item x="10"/>
        <item m="1" x="92"/>
        <item m="1" x="104"/>
        <item m="1" x="123"/>
        <item m="1" x="100"/>
        <item m="1" x="98"/>
        <item m="1" x="117"/>
        <item m="1" x="95"/>
        <item m="1" x="76"/>
        <item m="1" x="81"/>
        <item m="1" x="112"/>
        <item m="1" x="107"/>
        <item m="1" x="88"/>
        <item m="1" x="84"/>
        <item m="1" x="127"/>
        <item m="1" x="86"/>
        <item m="1" x="103"/>
        <item m="1" x="85"/>
        <item m="1" x="125"/>
        <item m="1" x="122"/>
        <item m="1" x="101"/>
        <item m="1" x="93"/>
        <item m="1" x="97"/>
        <item m="1" x="109"/>
        <item m="1" x="132"/>
        <item m="1" x="83"/>
        <item m="1" x="118"/>
        <item m="1" x="120"/>
        <item m="1" x="131"/>
        <item m="1" x="124"/>
        <item m="1" x="89"/>
        <item m="1" x="82"/>
        <item m="1" x="128"/>
        <item m="1" x="79"/>
        <item m="1" x="94"/>
        <item m="1" x="90"/>
        <item m="1" x="115"/>
        <item m="1" x="113"/>
        <item m="1" x="106"/>
        <item m="1" x="96"/>
        <item m="1" x="114"/>
        <item m="1" x="87"/>
        <item m="1" x="126"/>
        <item m="1" x="108"/>
        <item m="1" x="129"/>
        <item m="1" x="110"/>
        <item m="1" x="121"/>
        <item m="1" x="111"/>
        <item m="1" x="102"/>
        <item m="1" x="77"/>
        <item m="1" x="80"/>
        <item m="1" x="105"/>
        <item m="1" x="130"/>
        <item m="1" x="119"/>
        <item x="0"/>
        <item x="1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m="1" x="99"/>
        <item x="62"/>
        <item x="63"/>
        <item x="64"/>
        <item x="65"/>
        <item x="66"/>
        <item x="67"/>
        <item x="68"/>
        <item x="69"/>
        <item x="70"/>
        <item m="1" x="116"/>
        <item x="72"/>
        <item x="73"/>
        <item x="74"/>
        <item x="75"/>
        <item x="61"/>
        <item x="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6" axis="axisRow" compact="0" outline="0" showAll="0" defaultSubtotal="0">
      <items count="134">
        <item x="8"/>
        <item m="1" x="79"/>
        <item x="2"/>
        <item x="3"/>
        <item x="4"/>
        <item x="5"/>
        <item x="6"/>
        <item x="7"/>
        <item m="1" x="92"/>
        <item x="10"/>
        <item m="1" x="93"/>
        <item m="1" x="105"/>
        <item m="1" x="124"/>
        <item m="1" x="101"/>
        <item m="1" x="100"/>
        <item m="1" x="118"/>
        <item m="1" x="97"/>
        <item m="1" x="77"/>
        <item m="1" x="82"/>
        <item m="1" x="113"/>
        <item m="1" x="108"/>
        <item m="1" x="89"/>
        <item m="1" x="85"/>
        <item m="1" x="128"/>
        <item m="1" x="87"/>
        <item m="1" x="104"/>
        <item m="1" x="86"/>
        <item m="1" x="126"/>
        <item m="1" x="123"/>
        <item m="1" x="102"/>
        <item m="1" x="94"/>
        <item m="1" x="99"/>
        <item m="1" x="110"/>
        <item m="1" x="133"/>
        <item m="1" x="84"/>
        <item m="1" x="119"/>
        <item m="1" x="121"/>
        <item m="1" x="132"/>
        <item m="1" x="125"/>
        <item m="1" x="90"/>
        <item m="1" x="83"/>
        <item m="1" x="129"/>
        <item m="1" x="80"/>
        <item m="1" x="96"/>
        <item m="1" x="91"/>
        <item m="1" x="116"/>
        <item m="1" x="114"/>
        <item m="1" x="107"/>
        <item m="1" x="98"/>
        <item m="1" x="115"/>
        <item m="1" x="88"/>
        <item m="1" x="127"/>
        <item m="1" x="109"/>
        <item m="1" x="130"/>
        <item m="1" x="111"/>
        <item m="1" x="122"/>
        <item m="1" x="112"/>
        <item m="1" x="103"/>
        <item m="1" x="78"/>
        <item m="1" x="81"/>
        <item m="1" x="106"/>
        <item m="1" x="131"/>
        <item m="1" x="120"/>
        <item x="0"/>
        <item x="1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m="1" x="95"/>
        <item x="62"/>
        <item x="63"/>
        <item x="64"/>
        <item x="65"/>
        <item x="66"/>
        <item x="67"/>
        <item x="68"/>
        <item x="69"/>
        <item x="70"/>
        <item m="1" x="117"/>
        <item x="72"/>
        <item x="73"/>
        <item x="74"/>
        <item x="75"/>
        <item x="76"/>
        <item x="61"/>
        <item x="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7" axis="axisRow" compact="0" outline="0" showAll="0" defaultSubtotal="0">
      <items count="134">
        <item x="8"/>
        <item m="1" x="79"/>
        <item x="2"/>
        <item x="3"/>
        <item x="4"/>
        <item x="5"/>
        <item x="6"/>
        <item x="7"/>
        <item m="1" x="93"/>
        <item x="10"/>
        <item m="1" x="82"/>
        <item m="1" x="105"/>
        <item m="1" x="123"/>
        <item m="1" x="101"/>
        <item m="1" x="100"/>
        <item m="1" x="117"/>
        <item m="1" x="97"/>
        <item m="1" x="77"/>
        <item m="1" x="83"/>
        <item m="1" x="113"/>
        <item m="1" x="108"/>
        <item m="1" x="90"/>
        <item m="1" x="86"/>
        <item m="1" x="128"/>
        <item m="1" x="88"/>
        <item m="1" x="104"/>
        <item m="1" x="87"/>
        <item m="1" x="126"/>
        <item m="1" x="122"/>
        <item m="1" x="102"/>
        <item m="1" x="94"/>
        <item m="1" x="99"/>
        <item m="1" x="110"/>
        <item m="1" x="133"/>
        <item m="1" x="85"/>
        <item m="1" x="118"/>
        <item m="1" x="120"/>
        <item m="1" x="132"/>
        <item m="1" x="125"/>
        <item m="1" x="91"/>
        <item m="1" x="84"/>
        <item m="1" x="129"/>
        <item m="1" x="80"/>
        <item m="1" x="96"/>
        <item m="1" x="92"/>
        <item m="1" x="116"/>
        <item m="1" x="114"/>
        <item m="1" x="107"/>
        <item m="1" x="98"/>
        <item m="1" x="115"/>
        <item m="1" x="89"/>
        <item m="1" x="127"/>
        <item m="1" x="109"/>
        <item m="1" x="130"/>
        <item m="1" x="111"/>
        <item m="1" x="121"/>
        <item m="1" x="112"/>
        <item m="1" x="103"/>
        <item m="1" x="78"/>
        <item m="1" x="81"/>
        <item m="1" x="106"/>
        <item m="1" x="131"/>
        <item m="1" x="119"/>
        <item x="0"/>
        <item x="1"/>
        <item x="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124"/>
        <item x="61"/>
        <item x="62"/>
        <item x="63"/>
        <item x="64"/>
        <item x="65"/>
        <item x="66"/>
        <item x="67"/>
        <item x="68"/>
        <item x="69"/>
        <item m="1" x="95"/>
        <item x="71"/>
        <item x="72"/>
        <item x="73"/>
        <item x="74"/>
        <item x="75"/>
        <item x="76"/>
        <item x="11"/>
        <item x="60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8" axis="axisRow" compact="0" outline="0" showAll="0" defaultSubtotal="0">
      <items count="134">
        <item x="8"/>
        <item m="1" x="79"/>
        <item x="2"/>
        <item x="3"/>
        <item x="4"/>
        <item x="5"/>
        <item x="6"/>
        <item x="7"/>
        <item m="1" x="93"/>
        <item x="10"/>
        <item m="1" x="82"/>
        <item m="1" x="105"/>
        <item m="1" x="124"/>
        <item m="1" x="100"/>
        <item m="1" x="99"/>
        <item m="1" x="117"/>
        <item m="1" x="96"/>
        <item m="1" x="77"/>
        <item m="1" x="83"/>
        <item m="1" x="113"/>
        <item m="1" x="108"/>
        <item m="1" x="90"/>
        <item m="1" x="86"/>
        <item m="1" x="128"/>
        <item m="1" x="88"/>
        <item m="1" x="104"/>
        <item m="1" x="87"/>
        <item m="1" x="126"/>
        <item m="1" x="123"/>
        <item m="1" x="101"/>
        <item m="1" x="94"/>
        <item m="1" x="98"/>
        <item m="1" x="110"/>
        <item m="1" x="133"/>
        <item m="1" x="85"/>
        <item m="1" x="118"/>
        <item m="1" x="121"/>
        <item m="1" x="132"/>
        <item m="1" x="125"/>
        <item m="1" x="91"/>
        <item m="1" x="84"/>
        <item m="1" x="129"/>
        <item m="1" x="80"/>
        <item m="1" x="95"/>
        <item m="1" x="92"/>
        <item m="1" x="116"/>
        <item m="1" x="114"/>
        <item m="1" x="107"/>
        <item m="1" x="97"/>
        <item m="1" x="115"/>
        <item m="1" x="89"/>
        <item m="1" x="127"/>
        <item m="1" x="109"/>
        <item m="1" x="130"/>
        <item m="1" x="111"/>
        <item m="1" x="122"/>
        <item m="1" x="112"/>
        <item m="1" x="103"/>
        <item m="1" x="78"/>
        <item m="1" x="81"/>
        <item m="1" x="106"/>
        <item m="1" x="131"/>
        <item m="1" x="119"/>
        <item x="0"/>
        <item x="1"/>
        <item x="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102"/>
        <item x="61"/>
        <item x="62"/>
        <item x="63"/>
        <item x="64"/>
        <item x="65"/>
        <item x="66"/>
        <item x="67"/>
        <item x="68"/>
        <item x="69"/>
        <item m="1" x="120"/>
        <item x="71"/>
        <item x="72"/>
        <item x="73"/>
        <item x="74"/>
        <item x="75"/>
        <item x="76"/>
        <item x="11"/>
        <item x="60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09" axis="axisRow" compact="0" outline="0" showAll="0" defaultSubtotal="0">
      <items count="134">
        <item x="8"/>
        <item m="1" x="79"/>
        <item x="2"/>
        <item x="3"/>
        <item x="4"/>
        <item x="5"/>
        <item x="6"/>
        <item x="7"/>
        <item m="1" x="93"/>
        <item x="10"/>
        <item m="1" x="82"/>
        <item m="1" x="105"/>
        <item m="1" x="123"/>
        <item m="1" x="101"/>
        <item m="1" x="99"/>
        <item m="1" x="117"/>
        <item m="1" x="96"/>
        <item m="1" x="77"/>
        <item m="1" x="83"/>
        <item m="1" x="113"/>
        <item m="1" x="108"/>
        <item m="1" x="90"/>
        <item m="1" x="86"/>
        <item m="1" x="127"/>
        <item m="1" x="88"/>
        <item m="1" x="104"/>
        <item m="1" x="87"/>
        <item m="1" x="125"/>
        <item m="1" x="122"/>
        <item m="1" x="102"/>
        <item m="1" x="94"/>
        <item m="1" x="98"/>
        <item m="1" x="110"/>
        <item m="1" x="133"/>
        <item m="1" x="85"/>
        <item m="1" x="118"/>
        <item m="1" x="120"/>
        <item m="1" x="132"/>
        <item m="1" x="124"/>
        <item m="1" x="91"/>
        <item m="1" x="84"/>
        <item m="1" x="128"/>
        <item m="1" x="80"/>
        <item m="1" x="95"/>
        <item m="1" x="92"/>
        <item m="1" x="116"/>
        <item m="1" x="114"/>
        <item m="1" x="107"/>
        <item m="1" x="97"/>
        <item m="1" x="115"/>
        <item m="1" x="89"/>
        <item m="1" x="126"/>
        <item m="1" x="109"/>
        <item m="1" x="130"/>
        <item m="1" x="111"/>
        <item m="1" x="121"/>
        <item m="1" x="112"/>
        <item m="1" x="103"/>
        <item m="1" x="78"/>
        <item m="1" x="81"/>
        <item m="1" x="106"/>
        <item m="1" x="131"/>
        <item m="1" x="119"/>
        <item x="0"/>
        <item x="1"/>
        <item x="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129"/>
        <item x="61"/>
        <item x="62"/>
        <item x="63"/>
        <item x="64"/>
        <item x="65"/>
        <item x="66"/>
        <item x="67"/>
        <item x="68"/>
        <item x="69"/>
        <item m="1" x="100"/>
        <item x="71"/>
        <item x="72"/>
        <item x="73"/>
        <item x="74"/>
        <item x="75"/>
        <item x="76"/>
        <item x="11"/>
        <item x="60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10" axis="axisRow" compact="0" outline="0" showAll="0" defaultSubtotal="0">
      <items count="134">
        <item x="8"/>
        <item m="1" x="80"/>
        <item x="2"/>
        <item x="3"/>
        <item x="4"/>
        <item x="5"/>
        <item x="6"/>
        <item x="7"/>
        <item m="1" x="95"/>
        <item x="10"/>
        <item m="1" x="83"/>
        <item m="1" x="106"/>
        <item m="1" x="124"/>
        <item m="1" x="102"/>
        <item m="1" x="101"/>
        <item m="1" x="118"/>
        <item m="1" x="98"/>
        <item m="1" x="77"/>
        <item m="1" x="84"/>
        <item m="1" x="114"/>
        <item m="1" x="109"/>
        <item m="1" x="91"/>
        <item m="1" x="87"/>
        <item m="1" x="128"/>
        <item m="1" x="89"/>
        <item m="1" x="105"/>
        <item m="1" x="88"/>
        <item m="1" x="126"/>
        <item m="1" x="123"/>
        <item m="1" x="103"/>
        <item m="1" x="96"/>
        <item m="1" x="100"/>
        <item m="1" x="111"/>
        <item m="1" x="133"/>
        <item m="1" x="86"/>
        <item m="1" x="119"/>
        <item m="1" x="121"/>
        <item m="1" x="132"/>
        <item m="1" x="125"/>
        <item m="1" x="92"/>
        <item m="1" x="85"/>
        <item m="1" x="129"/>
        <item m="1" x="81"/>
        <item m="1" x="97"/>
        <item m="1" x="94"/>
        <item m="1" x="117"/>
        <item m="1" x="115"/>
        <item m="1" x="108"/>
        <item m="1" x="99"/>
        <item m="1" x="116"/>
        <item m="1" x="90"/>
        <item m="1" x="127"/>
        <item m="1" x="110"/>
        <item m="1" x="130"/>
        <item m="1" x="112"/>
        <item m="1" x="122"/>
        <item m="1" x="113"/>
        <item m="1" x="104"/>
        <item m="1" x="79"/>
        <item m="1" x="82"/>
        <item m="1" x="107"/>
        <item m="1" x="131"/>
        <item m="1" x="120"/>
        <item x="0"/>
        <item x="1"/>
        <item x="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93"/>
        <item x="61"/>
        <item x="62"/>
        <item x="63"/>
        <item x="64"/>
        <item x="65"/>
        <item x="66"/>
        <item x="67"/>
        <item x="68"/>
        <item x="69"/>
        <item m="1" x="78"/>
        <item x="71"/>
        <item x="72"/>
        <item x="73"/>
        <item x="74"/>
        <item x="75"/>
        <item x="76"/>
        <item x="11"/>
        <item x="60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11" axis="axisRow" compact="0" outline="0" showAll="0" defaultSubtotal="0">
      <items count="135">
        <item x="8"/>
        <item m="1" x="117"/>
        <item x="2"/>
        <item x="3"/>
        <item x="4"/>
        <item x="5"/>
        <item x="6"/>
        <item x="7"/>
        <item m="1" x="130"/>
        <item x="10"/>
        <item m="1" x="86"/>
        <item m="1" x="132"/>
        <item m="1" x="83"/>
        <item m="1" x="121"/>
        <item m="1" x="112"/>
        <item m="1" x="110"/>
        <item m="1" x="133"/>
        <item m="1" x="99"/>
        <item m="1" x="105"/>
        <item m="1" x="120"/>
        <item m="1" x="88"/>
        <item m="1" x="78"/>
        <item m="1" x="122"/>
        <item m="1" x="91"/>
        <item m="1" x="89"/>
        <item m="1" x="90"/>
        <item m="1" x="114"/>
        <item m="1" x="126"/>
        <item m="1" x="97"/>
        <item m="1" x="81"/>
        <item m="1" x="123"/>
        <item m="1" x="100"/>
        <item m="1" x="127"/>
        <item m="1" x="125"/>
        <item m="1" x="119"/>
        <item m="1" x="118"/>
        <item m="1" x="95"/>
        <item m="1" x="113"/>
        <item m="1" x="84"/>
        <item m="1" x="92"/>
        <item m="1" x="103"/>
        <item m="1" x="101"/>
        <item m="1" x="85"/>
        <item m="1" x="115"/>
        <item m="1" x="94"/>
        <item m="1" x="102"/>
        <item m="1" x="107"/>
        <item m="1" x="124"/>
        <item m="1" x="106"/>
        <item m="1" x="104"/>
        <item m="1" x="93"/>
        <item m="1" x="96"/>
        <item m="1" x="109"/>
        <item m="1" x="87"/>
        <item m="1" x="80"/>
        <item m="1" x="128"/>
        <item m="1" x="129"/>
        <item m="1" x="98"/>
        <item m="1" x="111"/>
        <item m="1" x="116"/>
        <item m="1" x="134"/>
        <item m="1" x="79"/>
        <item m="1" x="131"/>
        <item x="0"/>
        <item x="1"/>
        <item x="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82"/>
        <item x="61"/>
        <item x="62"/>
        <item x="63"/>
        <item x="64"/>
        <item x="65"/>
        <item x="66"/>
        <item x="67"/>
        <item x="68"/>
        <item x="69"/>
        <item m="1" x="108"/>
        <item x="71"/>
        <item x="72"/>
        <item x="73"/>
        <item x="74"/>
        <item x="75"/>
        <item x="76"/>
        <item x="77"/>
        <item x="11"/>
        <item x="60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20_12" axis="axisRow" compact="0" outline="0" showAll="0">
      <items count="136">
        <item x="8"/>
        <item m="1" x="117"/>
        <item x="2"/>
        <item x="3"/>
        <item x="4"/>
        <item x="5"/>
        <item x="6"/>
        <item x="7"/>
        <item m="1" x="130"/>
        <item x="10"/>
        <item m="1" x="86"/>
        <item m="1" x="132"/>
        <item m="1" x="83"/>
        <item m="1" x="121"/>
        <item m="1" x="112"/>
        <item m="1" x="110"/>
        <item m="1" x="133"/>
        <item m="1" x="99"/>
        <item m="1" x="106"/>
        <item m="1" x="120"/>
        <item m="1" x="88"/>
        <item m="1" x="78"/>
        <item m="1" x="122"/>
        <item m="1" x="91"/>
        <item m="1" x="89"/>
        <item m="1" x="90"/>
        <item m="1" x="114"/>
        <item m="1" x="126"/>
        <item m="1" x="97"/>
        <item m="1" x="82"/>
        <item m="1" x="123"/>
        <item m="1" x="100"/>
        <item m="1" x="127"/>
        <item m="1" x="125"/>
        <item m="1" x="119"/>
        <item m="1" x="118"/>
        <item m="1" x="95"/>
        <item m="1" x="113"/>
        <item m="1" x="84"/>
        <item m="1" x="92"/>
        <item m="1" x="103"/>
        <item m="1" x="101"/>
        <item m="1" x="85"/>
        <item m="1" x="115"/>
        <item m="1" x="94"/>
        <item m="1" x="102"/>
        <item m="1" x="108"/>
        <item m="1" x="124"/>
        <item m="1" x="107"/>
        <item m="1" x="105"/>
        <item m="1" x="93"/>
        <item m="1" x="96"/>
        <item m="1" x="109"/>
        <item m="1" x="87"/>
        <item m="1" x="81"/>
        <item m="1" x="128"/>
        <item m="1" x="129"/>
        <item m="1" x="98"/>
        <item m="1" x="111"/>
        <item m="1" x="116"/>
        <item m="1" x="134"/>
        <item m="1" x="80"/>
        <item m="1" x="131"/>
        <item x="0"/>
        <item x="1"/>
        <item x="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79"/>
        <item x="61"/>
        <item x="62"/>
        <item x="63"/>
        <item x="64"/>
        <item x="65"/>
        <item x="66"/>
        <item x="67"/>
        <item x="68"/>
        <item x="69"/>
        <item m="1" x="104"/>
        <item x="71"/>
        <item x="72"/>
        <item x="73"/>
        <item x="74"/>
        <item x="75"/>
        <item x="76"/>
        <item x="77"/>
        <item x="11"/>
        <item x="60"/>
        <item x="7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4">
    <field x="0"/>
    <field x="1"/>
    <field x="2"/>
    <field x="3"/>
    <field x="4"/>
    <field x="5"/>
    <field x="6"/>
    <field x="7"/>
    <field x="8"/>
    <field x="9"/>
    <field x="10"/>
    <field x="11"/>
    <field x="12"/>
    <field x="13"/>
  </rowFields>
  <rowItems count="107">
    <i>
      <x v="1"/>
      <x v="12"/>
      <x/>
      <x/>
      <x/>
      <x/>
      <x/>
      <x/>
      <x/>
      <x/>
      <x/>
      <x/>
      <x/>
      <x/>
    </i>
    <i>
      <x v="2"/>
      <x v="6"/>
      <x v="63"/>
      <x v="63"/>
      <x v="63"/>
      <x v="63"/>
      <x v="63"/>
      <x v="63"/>
      <x v="63"/>
      <x v="63"/>
      <x v="63"/>
      <x v="63"/>
      <x v="63"/>
      <x v="63"/>
    </i>
    <i>
      <x v="3"/>
      <x v="26"/>
      <x v="2"/>
      <x v="2"/>
      <x v="2"/>
      <x v="2"/>
      <x v="2"/>
      <x v="2"/>
      <x v="2"/>
      <x v="2"/>
      <x v="2"/>
      <x v="2"/>
      <x v="2"/>
      <x v="2"/>
    </i>
    <i>
      <x v="4"/>
      <x v="61"/>
      <x v="3"/>
      <x v="3"/>
      <x v="3"/>
      <x v="3"/>
      <x v="3"/>
      <x v="3"/>
      <x v="3"/>
      <x v="3"/>
      <x v="3"/>
      <x v="3"/>
      <x v="3"/>
      <x v="3"/>
    </i>
    <i>
      <x v="5"/>
      <x/>
      <x v="4"/>
      <x v="4"/>
      <x v="4"/>
      <x v="4"/>
      <x v="4"/>
      <x v="4"/>
      <x v="4"/>
      <x v="4"/>
      <x v="4"/>
      <x v="4"/>
      <x v="4"/>
      <x v="4"/>
    </i>
    <i>
      <x v="6"/>
      <x v="1"/>
      <x v="5"/>
      <x v="5"/>
      <x v="5"/>
      <x v="5"/>
      <x v="5"/>
      <x v="5"/>
      <x v="5"/>
      <x v="5"/>
      <x v="5"/>
      <x v="5"/>
      <x v="5"/>
      <x v="5"/>
    </i>
    <i>
      <x v="7"/>
      <x v="2"/>
      <x v="6"/>
      <x v="6"/>
      <x v="6"/>
      <x v="6"/>
      <x v="6"/>
      <x v="6"/>
      <x v="6"/>
      <x v="6"/>
      <x v="6"/>
      <x v="6"/>
      <x v="6"/>
      <x v="6"/>
    </i>
    <i>
      <x v="8"/>
      <x v="3"/>
      <x v="7"/>
      <x v="7"/>
      <x v="7"/>
      <x v="7"/>
      <x v="7"/>
      <x v="7"/>
      <x v="7"/>
      <x v="7"/>
      <x v="7"/>
      <x v="7"/>
      <x v="7"/>
      <x v="7"/>
    </i>
    <i>
      <x v="9"/>
      <x v="19"/>
      <x/>
      <x/>
      <x/>
      <x/>
      <x/>
      <x/>
      <x/>
      <x/>
      <x/>
      <x/>
      <x/>
      <x/>
    </i>
    <i>
      <x v="10"/>
      <x v="21"/>
      <x/>
      <x/>
      <x/>
      <x/>
      <x/>
      <x/>
      <x/>
      <x/>
      <x/>
      <x/>
      <x/>
      <x/>
    </i>
    <i>
      <x v="11"/>
      <x v="73"/>
      <x v="9"/>
      <x v="9"/>
      <x v="9"/>
      <x v="9"/>
      <x v="9"/>
      <x v="9"/>
      <x v="9"/>
      <x v="9"/>
      <x v="9"/>
      <x v="9"/>
      <x v="9"/>
      <x v="9"/>
    </i>
    <i>
      <x v="12"/>
      <x v="46"/>
      <x v="66"/>
      <x v="66"/>
      <x v="66"/>
      <x v="66"/>
      <x v="66"/>
      <x v="66"/>
      <x v="131"/>
      <x v="131"/>
      <x v="131"/>
      <x v="131"/>
      <x v="132"/>
      <x v="132"/>
    </i>
    <i>
      <x v="13"/>
      <x v="20"/>
      <x v="65"/>
      <x v="65"/>
      <x v="65"/>
      <x v="65"/>
      <x v="65"/>
      <x v="65"/>
      <x v="65"/>
      <x v="65"/>
      <x v="65"/>
      <x v="65"/>
      <x v="65"/>
      <x v="65"/>
    </i>
    <i>
      <x v="14"/>
      <x v="24"/>
      <x v="67"/>
      <x v="67"/>
      <x v="67"/>
      <x v="67"/>
      <x v="67"/>
      <x v="67"/>
      <x v="66"/>
      <x v="66"/>
      <x v="66"/>
      <x v="66"/>
      <x v="66"/>
      <x v="66"/>
    </i>
    <i>
      <x v="15"/>
      <x v="79"/>
      <x v="68"/>
      <x v="68"/>
      <x v="68"/>
      <x v="68"/>
      <x v="68"/>
      <x v="68"/>
      <x v="67"/>
      <x v="67"/>
      <x v="67"/>
      <x v="67"/>
      <x v="67"/>
      <x v="67"/>
    </i>
    <i r="1">
      <x v="80"/>
      <x v="68"/>
      <x v="68"/>
      <x v="68"/>
      <x v="68"/>
      <x v="68"/>
      <x v="68"/>
      <x v="67"/>
      <x v="67"/>
      <x v="67"/>
      <x v="67"/>
      <x v="67"/>
      <x v="67"/>
    </i>
    <i r="1">
      <x v="81"/>
      <x v="69"/>
      <x v="69"/>
      <x v="69"/>
      <x v="69"/>
      <x v="69"/>
      <x v="69"/>
      <x v="68"/>
      <x v="68"/>
      <x v="68"/>
      <x v="68"/>
      <x v="68"/>
      <x v="68"/>
    </i>
    <i>
      <x v="16"/>
      <x v="49"/>
      <x v="70"/>
      <x v="70"/>
      <x v="70"/>
      <x v="70"/>
      <x v="70"/>
      <x v="70"/>
      <x v="69"/>
      <x v="69"/>
      <x v="69"/>
      <x v="69"/>
      <x v="69"/>
      <x v="69"/>
    </i>
    <i>
      <x v="17"/>
      <x v="7"/>
      <x v="64"/>
      <x v="64"/>
      <x v="64"/>
      <x v="64"/>
      <x v="64"/>
      <x v="64"/>
      <x v="64"/>
      <x v="64"/>
      <x v="64"/>
      <x v="64"/>
      <x v="64"/>
      <x v="64"/>
    </i>
    <i>
      <x v="18"/>
      <x v="14"/>
      <x v="124"/>
      <x v="123"/>
      <x v="123"/>
      <x v="123"/>
      <x v="122"/>
      <x v="122"/>
      <x v="120"/>
      <x v="120"/>
      <x v="120"/>
      <x v="120"/>
      <x v="120"/>
      <x v="120"/>
    </i>
    <i>
      <x v="19"/>
      <x v="55"/>
      <x v="76"/>
      <x v="76"/>
      <x v="76"/>
      <x v="76"/>
      <x v="76"/>
      <x v="76"/>
      <x v="75"/>
      <x v="75"/>
      <x v="75"/>
      <x v="75"/>
      <x v="75"/>
      <x v="75"/>
    </i>
    <i r="1">
      <x v="56"/>
      <x v="76"/>
      <x v="76"/>
      <x v="76"/>
      <x v="76"/>
      <x v="76"/>
      <x v="76"/>
      <x v="75"/>
      <x v="75"/>
      <x v="75"/>
      <x v="75"/>
      <x v="75"/>
      <x v="75"/>
    </i>
    <i r="1">
      <x v="57"/>
      <x v="76"/>
      <x v="76"/>
      <x v="76"/>
      <x v="76"/>
      <x v="76"/>
      <x v="76"/>
      <x v="75"/>
      <x v="75"/>
      <x v="75"/>
      <x v="75"/>
      <x v="75"/>
      <x v="75"/>
    </i>
    <i>
      <x v="20"/>
      <x v="91"/>
      <x v="77"/>
      <x v="77"/>
      <x v="77"/>
      <x v="77"/>
      <x v="77"/>
      <x v="77"/>
      <x v="76"/>
      <x v="76"/>
      <x v="76"/>
      <x v="76"/>
      <x v="76"/>
      <x v="76"/>
    </i>
    <i>
      <x v="21"/>
      <x v="92"/>
      <x v="74"/>
      <x v="74"/>
      <x v="74"/>
      <x v="74"/>
      <x v="74"/>
      <x v="74"/>
      <x v="73"/>
      <x v="73"/>
      <x v="73"/>
      <x v="73"/>
      <x v="73"/>
      <x v="73"/>
    </i>
    <i r="1">
      <x v="93"/>
      <x v="71"/>
      <x v="71"/>
      <x v="71"/>
      <x v="71"/>
      <x v="71"/>
      <x v="71"/>
      <x v="70"/>
      <x v="70"/>
      <x v="70"/>
      <x v="70"/>
      <x v="70"/>
      <x v="70"/>
    </i>
    <i r="1">
      <x v="94"/>
      <x v="72"/>
      <x v="72"/>
      <x v="72"/>
      <x v="72"/>
      <x v="72"/>
      <x v="72"/>
      <x v="71"/>
      <x v="71"/>
      <x v="71"/>
      <x v="71"/>
      <x v="71"/>
      <x v="71"/>
    </i>
    <i r="1">
      <x v="95"/>
      <x v="73"/>
      <x v="73"/>
      <x v="73"/>
      <x v="73"/>
      <x v="73"/>
      <x v="73"/>
      <x v="72"/>
      <x v="72"/>
      <x v="72"/>
      <x v="72"/>
      <x v="72"/>
      <x v="72"/>
    </i>
    <i>
      <x v="22"/>
      <x v="103"/>
      <x v="75"/>
      <x v="75"/>
      <x v="75"/>
      <x v="75"/>
      <x v="75"/>
      <x v="75"/>
      <x v="74"/>
      <x v="74"/>
      <x v="74"/>
      <x v="74"/>
      <x v="74"/>
      <x v="74"/>
    </i>
    <i>
      <x v="23"/>
      <x v="38"/>
      <x v="78"/>
      <x v="78"/>
      <x v="78"/>
      <x v="78"/>
      <x v="78"/>
      <x v="78"/>
      <x v="77"/>
      <x v="77"/>
      <x v="77"/>
      <x v="77"/>
      <x v="77"/>
      <x v="77"/>
    </i>
    <i r="1">
      <x v="39"/>
      <x v="78"/>
      <x v="78"/>
      <x v="78"/>
      <x v="78"/>
      <x v="78"/>
      <x v="78"/>
      <x v="77"/>
      <x v="77"/>
      <x v="77"/>
      <x v="77"/>
      <x v="77"/>
      <x v="77"/>
    </i>
    <i>
      <x v="24"/>
      <x v="89"/>
      <x v="79"/>
      <x v="79"/>
      <x v="79"/>
      <x v="79"/>
      <x v="79"/>
      <x v="79"/>
      <x v="78"/>
      <x v="78"/>
      <x v="78"/>
      <x v="78"/>
      <x v="78"/>
      <x v="78"/>
    </i>
    <i r="1">
      <x v="90"/>
      <x v="79"/>
      <x v="79"/>
      <x v="79"/>
      <x v="79"/>
      <x v="79"/>
      <x v="79"/>
      <x v="78"/>
      <x v="78"/>
      <x v="78"/>
      <x v="78"/>
      <x v="78"/>
      <x v="78"/>
    </i>
    <i>
      <x v="25"/>
      <x v="17"/>
      <x v="80"/>
      <x v="80"/>
      <x v="80"/>
      <x v="80"/>
      <x v="80"/>
      <x v="80"/>
      <x v="79"/>
      <x v="79"/>
      <x v="79"/>
      <x v="79"/>
      <x v="79"/>
      <x v="79"/>
    </i>
    <i>
      <x v="26"/>
      <x v="27"/>
      <x v="81"/>
      <x v="81"/>
      <x v="81"/>
      <x v="81"/>
      <x v="81"/>
      <x v="81"/>
      <x v="80"/>
      <x v="80"/>
      <x v="80"/>
      <x v="80"/>
      <x v="80"/>
      <x v="80"/>
    </i>
    <i>
      <x v="27"/>
      <x v="51"/>
      <x v="82"/>
      <x v="82"/>
      <x v="82"/>
      <x v="82"/>
      <x v="82"/>
      <x v="82"/>
      <x v="81"/>
      <x v="81"/>
      <x v="81"/>
      <x v="81"/>
      <x v="81"/>
      <x v="81"/>
    </i>
    <i>
      <x v="28"/>
      <x v="99"/>
      <x v="85"/>
      <x v="85"/>
      <x v="85"/>
      <x v="85"/>
      <x v="85"/>
      <x v="85"/>
      <x v="84"/>
      <x v="84"/>
      <x v="84"/>
      <x v="84"/>
      <x v="84"/>
      <x v="84"/>
    </i>
    <i r="1">
      <x v="100"/>
      <x v="86"/>
      <x v="86"/>
      <x v="86"/>
      <x v="86"/>
      <x v="86"/>
      <x v="86"/>
      <x v="85"/>
      <x v="85"/>
      <x v="85"/>
      <x v="85"/>
      <x v="85"/>
      <x v="85"/>
    </i>
    <i r="1">
      <x v="101"/>
      <x v="86"/>
      <x v="86"/>
      <x v="86"/>
      <x v="86"/>
      <x v="86"/>
      <x v="86"/>
      <x v="85"/>
      <x v="85"/>
      <x v="85"/>
      <x v="85"/>
      <x v="85"/>
      <x v="85"/>
    </i>
    <i>
      <x v="29"/>
      <x v="45"/>
      <x v="87"/>
      <x v="87"/>
      <x v="87"/>
      <x v="87"/>
      <x v="87"/>
      <x v="87"/>
      <x v="86"/>
      <x v="86"/>
      <x v="86"/>
      <x v="86"/>
      <x v="86"/>
      <x v="86"/>
    </i>
    <i>
      <x v="30"/>
      <x v="41"/>
      <x v="88"/>
      <x v="88"/>
      <x v="88"/>
      <x v="88"/>
      <x v="88"/>
      <x v="88"/>
      <x v="87"/>
      <x v="87"/>
      <x v="87"/>
      <x v="87"/>
      <x v="87"/>
      <x v="87"/>
    </i>
    <i r="1">
      <x v="42"/>
      <x v="88"/>
      <x v="88"/>
      <x v="88"/>
      <x v="88"/>
      <x v="88"/>
      <x v="88"/>
      <x v="87"/>
      <x v="87"/>
      <x v="87"/>
      <x v="87"/>
      <x v="87"/>
      <x v="87"/>
    </i>
    <i r="1">
      <x v="43"/>
      <x v="88"/>
      <x v="88"/>
      <x v="88"/>
      <x v="88"/>
      <x v="88"/>
      <x v="88"/>
      <x v="87"/>
      <x v="87"/>
      <x v="87"/>
      <x v="87"/>
      <x v="87"/>
      <x v="87"/>
    </i>
    <i>
      <x v="31"/>
      <x v="53"/>
      <x v="83"/>
      <x v="83"/>
      <x v="83"/>
      <x v="83"/>
      <x v="83"/>
      <x v="83"/>
      <x v="82"/>
      <x v="82"/>
      <x v="82"/>
      <x v="82"/>
      <x v="82"/>
      <x v="82"/>
    </i>
    <i>
      <x v="32"/>
      <x v="23"/>
      <x v="89"/>
      <x v="89"/>
      <x v="89"/>
      <x v="89"/>
      <x v="89"/>
      <x v="89"/>
      <x v="88"/>
      <x v="88"/>
      <x v="88"/>
      <x v="88"/>
      <x v="88"/>
      <x v="88"/>
    </i>
    <i>
      <x v="33"/>
      <x v="63"/>
      <x v="84"/>
      <x v="84"/>
      <x v="84"/>
      <x v="84"/>
      <x v="84"/>
      <x v="84"/>
      <x v="83"/>
      <x v="83"/>
      <x v="83"/>
      <x v="83"/>
      <x v="83"/>
      <x v="83"/>
    </i>
    <i r="1">
      <x v="64"/>
      <x v="84"/>
      <x v="84"/>
      <x v="84"/>
      <x v="84"/>
      <x v="84"/>
      <x v="84"/>
      <x v="83"/>
      <x v="83"/>
      <x v="83"/>
      <x v="83"/>
      <x v="83"/>
      <x v="83"/>
    </i>
    <i>
      <x v="34"/>
      <x v="30"/>
      <x v="90"/>
      <x v="90"/>
      <x v="90"/>
      <x v="90"/>
      <x v="90"/>
      <x v="90"/>
      <x v="89"/>
      <x v="89"/>
      <x v="89"/>
      <x v="89"/>
      <x v="89"/>
      <x v="89"/>
    </i>
    <i r="1">
      <x v="31"/>
      <x v="90"/>
      <x v="90"/>
      <x v="90"/>
      <x v="90"/>
      <x v="90"/>
      <x v="90"/>
      <x v="89"/>
      <x v="89"/>
      <x v="89"/>
      <x v="89"/>
      <x v="89"/>
      <x v="89"/>
    </i>
    <i r="1">
      <x v="32"/>
      <x v="90"/>
      <x v="90"/>
      <x v="90"/>
      <x v="90"/>
      <x v="90"/>
      <x v="90"/>
      <x v="89"/>
      <x v="89"/>
      <x v="89"/>
      <x v="89"/>
      <x v="89"/>
      <x v="89"/>
    </i>
    <i>
      <x v="35"/>
      <x v="84"/>
      <x v="91"/>
      <x v="91"/>
      <x v="91"/>
      <x v="91"/>
      <x v="91"/>
      <x v="91"/>
      <x v="90"/>
      <x v="90"/>
      <x v="90"/>
      <x v="90"/>
      <x v="90"/>
      <x v="90"/>
    </i>
    <i r="1">
      <x v="85"/>
      <x v="91"/>
      <x v="91"/>
      <x v="91"/>
      <x v="91"/>
      <x v="91"/>
      <x v="91"/>
      <x v="90"/>
      <x v="90"/>
      <x v="90"/>
      <x v="90"/>
      <x v="90"/>
      <x v="90"/>
    </i>
    <i>
      <x v="36"/>
      <x v="66"/>
      <x v="92"/>
      <x v="92"/>
      <x v="92"/>
      <x v="92"/>
      <x v="92"/>
      <x v="92"/>
      <x v="91"/>
      <x v="91"/>
      <x v="91"/>
      <x v="91"/>
      <x v="91"/>
      <x v="91"/>
    </i>
    <i>
      <x v="37"/>
      <x v="28"/>
      <x v="93"/>
      <x v="93"/>
      <x v="93"/>
      <x v="93"/>
      <x v="93"/>
      <x v="93"/>
      <x v="92"/>
      <x v="92"/>
      <x v="92"/>
      <x v="92"/>
      <x v="92"/>
      <x v="92"/>
    </i>
    <i>
      <x v="38"/>
      <x v="15"/>
      <x v="123"/>
      <x v="122"/>
      <x v="122"/>
      <x v="122"/>
      <x v="121"/>
      <x v="121"/>
      <x v="119"/>
      <x v="119"/>
      <x v="119"/>
      <x v="119"/>
      <x v="119"/>
      <x v="119"/>
    </i>
    <i>
      <x v="39"/>
      <x v="96"/>
      <x v="94"/>
      <x v="94"/>
      <x v="94"/>
      <x v="94"/>
      <x v="94"/>
      <x v="94"/>
      <x v="93"/>
      <x v="93"/>
      <x v="93"/>
      <x v="93"/>
      <x v="93"/>
      <x v="93"/>
    </i>
    <i>
      <x v="40"/>
      <x v="71"/>
      <x v="95"/>
      <x v="95"/>
      <x v="95"/>
      <x v="95"/>
      <x v="95"/>
      <x v="95"/>
      <x v="94"/>
      <x v="94"/>
      <x v="94"/>
      <x v="94"/>
      <x v="94"/>
      <x v="94"/>
    </i>
    <i r="1">
      <x v="72"/>
      <x v="95"/>
      <x v="95"/>
      <x v="95"/>
      <x v="95"/>
      <x v="95"/>
      <x v="95"/>
      <x v="94"/>
      <x v="94"/>
      <x v="94"/>
      <x v="94"/>
      <x v="94"/>
      <x v="94"/>
    </i>
    <i>
      <x v="41"/>
      <x v="48"/>
      <x v="119"/>
      <x v="118"/>
      <x v="118"/>
      <x v="118"/>
      <x v="117"/>
      <x v="117"/>
      <x v="115"/>
      <x v="115"/>
      <x v="115"/>
      <x v="115"/>
      <x v="115"/>
      <x v="115"/>
    </i>
    <i>
      <x v="42"/>
      <x v="44"/>
      <x v="100"/>
      <x v="100"/>
      <x v="100"/>
      <x v="100"/>
      <x v="100"/>
      <x v="100"/>
      <x v="99"/>
      <x v="99"/>
      <x v="99"/>
      <x v="99"/>
      <x v="99"/>
      <x v="99"/>
    </i>
    <i>
      <x v="43"/>
      <x v="25"/>
      <x v="99"/>
      <x v="99"/>
      <x v="99"/>
      <x v="99"/>
      <x v="99"/>
      <x v="99"/>
      <x v="98"/>
      <x v="98"/>
      <x v="98"/>
      <x v="98"/>
      <x v="98"/>
      <x v="98"/>
    </i>
    <i>
      <x v="44"/>
      <x v="58"/>
      <x v="97"/>
      <x v="97"/>
      <x v="97"/>
      <x v="97"/>
      <x v="97"/>
      <x v="97"/>
      <x v="96"/>
      <x v="96"/>
      <x v="96"/>
      <x v="96"/>
      <x v="96"/>
      <x v="96"/>
    </i>
    <i r="1">
      <x v="59"/>
      <x v="97"/>
      <x v="97"/>
      <x v="97"/>
      <x v="97"/>
      <x v="97"/>
      <x v="97"/>
      <x v="96"/>
      <x v="96"/>
      <x v="96"/>
      <x v="96"/>
      <x v="96"/>
      <x v="96"/>
    </i>
    <i>
      <x v="45"/>
      <x v="4"/>
      <x v="98"/>
      <x v="98"/>
      <x v="98"/>
      <x v="98"/>
      <x v="98"/>
      <x v="98"/>
      <x v="97"/>
      <x v="97"/>
      <x v="97"/>
      <x v="97"/>
      <x v="97"/>
      <x v="97"/>
    </i>
    <i r="1">
      <x v="5"/>
      <x v="98"/>
      <x v="98"/>
      <x v="98"/>
      <x v="98"/>
      <x v="98"/>
      <x v="98"/>
      <x v="97"/>
      <x v="97"/>
      <x v="97"/>
      <x v="97"/>
      <x v="97"/>
      <x v="97"/>
    </i>
    <i>
      <x v="46"/>
      <x v="86"/>
      <x v="120"/>
      <x v="119"/>
      <x v="119"/>
      <x v="119"/>
      <x v="118"/>
      <x v="118"/>
      <x v="116"/>
      <x v="116"/>
      <x v="116"/>
      <x v="116"/>
      <x v="116"/>
      <x v="116"/>
    </i>
    <i>
      <x v="47"/>
      <x v="65"/>
      <x v="133"/>
      <x v="132"/>
      <x v="132"/>
      <x v="132"/>
      <x v="131"/>
      <x v="132"/>
      <x v="132"/>
      <x v="132"/>
      <x v="132"/>
      <x v="132"/>
      <x v="133"/>
      <x v="133"/>
    </i>
    <i>
      <x v="48"/>
      <x v="102"/>
      <x v="96"/>
      <x v="96"/>
      <x v="96"/>
      <x v="96"/>
      <x v="96"/>
      <x v="96"/>
      <x v="95"/>
      <x v="95"/>
      <x v="95"/>
      <x v="95"/>
      <x v="95"/>
      <x v="95"/>
    </i>
    <i>
      <x v="49"/>
      <x v="40"/>
      <x v="101"/>
      <x v="101"/>
      <x v="101"/>
      <x v="101"/>
      <x v="101"/>
      <x v="101"/>
      <x v="100"/>
      <x v="100"/>
      <x v="100"/>
      <x v="100"/>
      <x v="100"/>
      <x v="100"/>
    </i>
    <i>
      <x v="50"/>
      <x v="87"/>
      <x v="122"/>
      <x v="121"/>
      <x v="121"/>
      <x v="121"/>
      <x v="120"/>
      <x v="120"/>
      <x v="118"/>
      <x v="118"/>
      <x v="118"/>
      <x v="118"/>
      <x v="118"/>
      <x v="118"/>
    </i>
    <i r="1">
      <x v="88"/>
      <x v="122"/>
      <x v="121"/>
      <x v="121"/>
      <x v="121"/>
      <x v="120"/>
      <x v="120"/>
      <x v="118"/>
      <x v="118"/>
      <x v="118"/>
      <x v="118"/>
      <x v="118"/>
      <x v="118"/>
    </i>
    <i>
      <x v="51"/>
      <x v="8"/>
      <x v="121"/>
      <x v="120"/>
      <x v="120"/>
      <x v="120"/>
      <x v="119"/>
      <x v="119"/>
      <x v="117"/>
      <x v="117"/>
      <x v="117"/>
      <x v="117"/>
      <x v="117"/>
      <x v="117"/>
    </i>
    <i r="1">
      <x v="9"/>
      <x v="121"/>
      <x v="120"/>
      <x v="120"/>
      <x v="120"/>
      <x v="119"/>
      <x v="119"/>
      <x v="117"/>
      <x v="117"/>
      <x v="117"/>
      <x v="117"/>
      <x v="117"/>
      <x v="117"/>
    </i>
    <i>
      <x v="52"/>
      <x v="50"/>
      <x v="102"/>
      <x v="102"/>
      <x v="102"/>
      <x v="102"/>
      <x v="102"/>
      <x v="102"/>
      <x v="101"/>
      <x v="101"/>
      <x v="101"/>
      <x v="101"/>
      <x v="101"/>
      <x v="101"/>
    </i>
    <i>
      <x v="53"/>
      <x v="18"/>
      <x v="103"/>
      <x v="103"/>
      <x v="103"/>
      <x v="103"/>
      <x v="103"/>
      <x v="103"/>
      <x v="102"/>
      <x v="102"/>
      <x v="102"/>
      <x v="102"/>
      <x v="102"/>
      <x v="102"/>
    </i>
    <i r="1">
      <x v="29"/>
      <x v="103"/>
      <x v="103"/>
      <x v="103"/>
      <x v="103"/>
      <x v="103"/>
      <x v="103"/>
      <x v="102"/>
      <x v="102"/>
      <x v="102"/>
      <x v="102"/>
      <x v="102"/>
      <x v="102"/>
    </i>
    <i>
      <x v="54"/>
      <x v="34"/>
      <x v="134"/>
      <x v="133"/>
      <x v="133"/>
      <x v="133"/>
      <x v="132"/>
      <x v="133"/>
      <x v="133"/>
      <x v="133"/>
      <x v="133"/>
      <x v="133"/>
      <x v="134"/>
      <x v="134"/>
    </i>
    <i>
      <x v="55"/>
      <x v="47"/>
      <x v="132"/>
      <x v="131"/>
      <x v="131"/>
      <x v="131"/>
      <x v="130"/>
      <x v="130"/>
      <x v="128"/>
      <x v="128"/>
      <x v="128"/>
      <x v="128"/>
      <x v="128"/>
      <x v="128"/>
    </i>
    <i>
      <x v="56"/>
      <x v="35"/>
      <x v="127"/>
      <x v="126"/>
      <x v="126"/>
      <x v="126"/>
      <x v="125"/>
      <x v="125"/>
      <x v="123"/>
      <x v="123"/>
      <x v="123"/>
      <x v="123"/>
      <x v="123"/>
      <x v="123"/>
    </i>
    <i>
      <x v="57"/>
      <x v="22"/>
      <x v="125"/>
      <x v="124"/>
      <x v="124"/>
      <x v="124"/>
      <x v="123"/>
      <x v="123"/>
      <x v="121"/>
      <x v="121"/>
      <x v="121"/>
      <x v="121"/>
      <x v="121"/>
      <x v="121"/>
    </i>
    <i>
      <x v="58"/>
      <x v="68"/>
      <x v="130"/>
      <x v="129"/>
      <x v="129"/>
      <x v="129"/>
      <x v="128"/>
      <x v="128"/>
      <x v="126"/>
      <x v="126"/>
      <x v="126"/>
      <x v="126"/>
      <x v="126"/>
      <x v="126"/>
    </i>
    <i>
      <x v="59"/>
      <x v="37"/>
      <x v="110"/>
      <x v="109"/>
      <x v="109"/>
      <x v="109"/>
      <x v="108"/>
      <x v="108"/>
      <x v="107"/>
      <x v="107"/>
      <x v="107"/>
      <x v="107"/>
      <x v="107"/>
      <x v="107"/>
    </i>
    <i>
      <x v="60"/>
      <x v="10"/>
      <x v="111"/>
      <x v="110"/>
      <x v="110"/>
      <x v="110"/>
      <x v="109"/>
      <x v="109"/>
      <x v="108"/>
      <x v="108"/>
      <x v="108"/>
      <x v="108"/>
      <x v="108"/>
      <x v="108"/>
    </i>
    <i>
      <x v="61"/>
      <x v="75"/>
      <x v="116"/>
      <x v="115"/>
      <x v="115"/>
      <x v="115"/>
      <x v="114"/>
      <x v="114"/>
      <x/>
      <x/>
      <x/>
      <x/>
      <x/>
      <x/>
    </i>
    <i>
      <x v="62"/>
      <x v="36"/>
      <x v="105"/>
      <x v="104"/>
      <x v="104"/>
      <x v="104"/>
      <x v="104"/>
      <x v="104"/>
      <x v="103"/>
      <x v="103"/>
      <x v="103"/>
      <x v="103"/>
      <x v="103"/>
      <x v="103"/>
    </i>
    <i>
      <x v="63"/>
      <x v="70"/>
      <x v="113"/>
      <x v="112"/>
      <x v="112"/>
      <x v="112"/>
      <x v="111"/>
      <x v="111"/>
      <x v="110"/>
      <x v="110"/>
      <x v="110"/>
      <x v="110"/>
      <x v="110"/>
      <x v="110"/>
    </i>
    <i>
      <x v="64"/>
      <x v="54"/>
      <x v="114"/>
      <x v="113"/>
      <x v="113"/>
      <x v="113"/>
      <x v="112"/>
      <x v="112"/>
      <x v="111"/>
      <x v="111"/>
      <x v="111"/>
      <x v="111"/>
      <x v="111"/>
      <x v="111"/>
    </i>
    <i>
      <x v="65"/>
      <x v="33"/>
      <x v="104"/>
      <x/>
      <x/>
      <x/>
      <x/>
      <x/>
      <x/>
      <x/>
      <x/>
      <x/>
      <x/>
      <x/>
    </i>
    <i>
      <x v="66"/>
      <x v="74"/>
      <x/>
      <x/>
      <x/>
      <x/>
      <x/>
      <x/>
      <x/>
      <x/>
      <x/>
      <x/>
      <x/>
      <x/>
    </i>
    <i>
      <x v="67"/>
      <x v="52"/>
      <x v="112"/>
      <x v="111"/>
      <x v="111"/>
      <x v="111"/>
      <x v="110"/>
      <x v="110"/>
      <x v="109"/>
      <x v="109"/>
      <x v="109"/>
      <x v="109"/>
      <x v="109"/>
      <x v="109"/>
    </i>
    <i>
      <x v="68"/>
      <x v="16"/>
      <x v="108"/>
      <x v="107"/>
      <x v="107"/>
      <x v="107"/>
      <x/>
      <x/>
      <x/>
      <x/>
      <x/>
      <x/>
      <x/>
      <x/>
    </i>
    <i>
      <x v="69"/>
      <x v="82"/>
      <x v="109"/>
      <x v="108"/>
      <x v="108"/>
      <x v="108"/>
      <x v="107"/>
      <x v="107"/>
      <x v="106"/>
      <x v="106"/>
      <x v="106"/>
      <x v="106"/>
      <x v="106"/>
      <x v="106"/>
    </i>
    <i>
      <x v="70"/>
      <x v="67"/>
      <x v="126"/>
      <x v="125"/>
      <x v="125"/>
      <x v="125"/>
      <x v="124"/>
      <x v="124"/>
      <x v="122"/>
      <x v="122"/>
      <x v="122"/>
      <x v="122"/>
      <x v="122"/>
      <x v="122"/>
    </i>
    <i>
      <x v="71"/>
      <x v="13"/>
      <x/>
      <x/>
      <x/>
      <x/>
      <x/>
      <x v="131"/>
      <x v="130"/>
      <x v="130"/>
      <x v="130"/>
      <x v="130"/>
      <x v="130"/>
      <x v="130"/>
    </i>
    <i>
      <x v="72"/>
      <x v="11"/>
      <x v="131"/>
      <x v="130"/>
      <x v="130"/>
      <x v="130"/>
      <x v="129"/>
      <x v="129"/>
      <x v="127"/>
      <x v="127"/>
      <x v="127"/>
      <x v="127"/>
      <x v="127"/>
      <x v="127"/>
    </i>
    <i>
      <x v="73"/>
      <x v="60"/>
      <x v="115"/>
      <x v="114"/>
      <x v="114"/>
      <x v="114"/>
      <x v="113"/>
      <x v="113"/>
      <x v="112"/>
      <x v="112"/>
      <x v="112"/>
      <x v="112"/>
      <x v="112"/>
      <x v="112"/>
    </i>
    <i>
      <x v="74"/>
      <x v="69"/>
      <x v="106"/>
      <x v="105"/>
      <x v="105"/>
      <x v="105"/>
      <x v="105"/>
      <x v="105"/>
      <x v="104"/>
      <x v="104"/>
      <x v="104"/>
      <x v="104"/>
      <x v="104"/>
      <x v="104"/>
    </i>
    <i>
      <x v="75"/>
      <x v="104"/>
      <x v="115"/>
      <x v="114"/>
      <x v="114"/>
      <x v="114"/>
      <x v="113"/>
      <x v="113"/>
      <x v="112"/>
      <x v="112"/>
      <x v="112"/>
      <x v="112"/>
      <x v="112"/>
      <x v="112"/>
    </i>
    <i>
      <x v="76"/>
      <x v="62"/>
      <x v="117"/>
      <x v="116"/>
      <x v="116"/>
      <x v="116"/>
      <x v="115"/>
      <x v="115"/>
      <x v="113"/>
      <x v="113"/>
      <x v="113"/>
      <x v="113"/>
      <x v="113"/>
      <x v="113"/>
    </i>
    <i>
      <x v="77"/>
      <x v="97"/>
      <x v="107"/>
      <x v="106"/>
      <x v="106"/>
      <x v="106"/>
      <x v="106"/>
      <x v="106"/>
      <x v="105"/>
      <x v="105"/>
      <x v="105"/>
      <x v="105"/>
      <x v="105"/>
      <x v="105"/>
    </i>
    <i r="1">
      <x v="98"/>
      <x v="107"/>
      <x v="106"/>
      <x v="106"/>
      <x v="106"/>
      <x v="106"/>
      <x v="106"/>
      <x v="105"/>
      <x v="105"/>
      <x v="105"/>
      <x v="105"/>
      <x v="105"/>
      <x v="105"/>
    </i>
    <i>
      <x v="78"/>
      <x v="83"/>
      <x v="129"/>
      <x v="128"/>
      <x v="128"/>
      <x v="128"/>
      <x v="127"/>
      <x v="127"/>
      <x v="125"/>
      <x v="125"/>
      <x v="125"/>
      <x v="125"/>
      <x v="125"/>
      <x v="125"/>
    </i>
    <i>
      <x v="79"/>
      <x v="77"/>
      <x/>
      <x/>
      <x/>
      <x/>
      <x/>
      <x/>
      <x/>
      <x v="129"/>
      <x v="129"/>
      <x v="129"/>
      <x v="129"/>
      <x v="129"/>
    </i>
    <i>
      <x v="80"/>
      <x v="78"/>
      <x/>
      <x/>
      <x/>
      <x/>
      <x/>
      <x/>
      <x v="129"/>
      <x v="129"/>
      <x v="129"/>
      <x v="129"/>
      <x v="129"/>
      <x v="129"/>
    </i>
    <i>
      <x v="81"/>
      <x v="76"/>
      <x/>
      <x/>
      <x/>
      <x/>
      <x/>
      <x/>
      <x/>
      <x/>
      <x/>
      <x/>
      <x v="131"/>
      <x v="131"/>
    </i>
    <i>
      <x v="82"/>
      <x v="106"/>
      <x/>
      <x/>
      <x/>
      <x/>
      <x/>
      <x/>
      <x/>
      <x/>
      <x/>
      <x/>
      <x/>
      <x/>
    </i>
    <i t="grand">
      <x/>
    </i>
  </rowItems>
  <colItems count="1">
    <i/>
  </colItems>
  <formats count="12">
    <format dxfId="109">
      <pivotArea field="2" type="button" dataOnly="0" labelOnly="1" outline="0" axis="axisRow" fieldPosition="2"/>
    </format>
    <format dxfId="108">
      <pivotArea field="3" type="button" dataOnly="0" labelOnly="1" outline="0" axis="axisRow" fieldPosition="3"/>
    </format>
    <format dxfId="107">
      <pivotArea field="4" type="button" dataOnly="0" labelOnly="1" outline="0" axis="axisRow" fieldPosition="4"/>
    </format>
    <format dxfId="106">
      <pivotArea field="5" type="button" dataOnly="0" labelOnly="1" outline="0" axis="axisRow" fieldPosition="5"/>
    </format>
    <format dxfId="105">
      <pivotArea field="6" type="button" dataOnly="0" labelOnly="1" outline="0" axis="axisRow" fieldPosition="6"/>
    </format>
    <format dxfId="104">
      <pivotArea field="7" type="button" dataOnly="0" labelOnly="1" outline="0" axis="axisRow" fieldPosition="7"/>
    </format>
    <format dxfId="103">
      <pivotArea field="8" type="button" dataOnly="0" labelOnly="1" outline="0" axis="axisRow" fieldPosition="8"/>
    </format>
    <format dxfId="102">
      <pivotArea field="9" type="button" dataOnly="0" labelOnly="1" outline="0" axis="axisRow" fieldPosition="9"/>
    </format>
    <format dxfId="101">
      <pivotArea field="10" type="button" dataOnly="0" labelOnly="1" outline="0" axis="axisRow" fieldPosition="10"/>
    </format>
    <format dxfId="100">
      <pivotArea field="11" type="button" dataOnly="0" labelOnly="1" outline="0" axis="axisRow" fieldPosition="11"/>
    </format>
    <format dxfId="99">
      <pivotArea field="12" type="button" dataOnly="0" labelOnly="1" outline="0" axis="axisRow" fieldPosition="12"/>
    </format>
    <format dxfId="98">
      <pivotArea field="13" type="button" dataOnly="0" labelOnly="1" outline="0" axis="axisRow" fieldPosition="13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31D6C-2F0F-4B24-9F7F-4174F14E9300}" name="Tableau croisé dynamique1" cacheId="19" applyNumberFormats="0" applyBorderFormats="0" applyFontFormats="0" applyPatternFormats="0" applyAlignmentFormats="0" applyWidthHeightFormats="1" dataCaption="Valeurs" updatedVersion="6" minRefreshableVersion="3" showCalcMbrs="0" useAutoFormatting="1" itemPrintTitles="1" createdVersion="3" indent="0" outline="1" outlineData="1" multipleFieldFilters="0" rowHeaderCaption="Parcs">
  <location ref="T3:AF88" firstHeaderRow="1" firstDataRow="2" firstDataCol="1"/>
  <pivotFields count="17">
    <pivotField showAll="0"/>
    <pivotField axis="axisRow" showAll="0">
      <items count="86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"/>
        <item x="18"/>
        <item x="19"/>
        <item x="17"/>
        <item x="20"/>
        <item x="21"/>
        <item x="16"/>
        <item x="22"/>
        <item x="23"/>
        <item x="24"/>
        <item x="27"/>
        <item x="28"/>
        <item x="29"/>
        <item x="25"/>
        <item x="30"/>
        <item x="26"/>
        <item x="31"/>
        <item x="32"/>
        <item x="33"/>
        <item x="34"/>
        <item x="36"/>
        <item x="35"/>
        <item x="42"/>
        <item x="41"/>
        <item x="43"/>
        <item x="38"/>
        <item x="37"/>
        <item x="39"/>
        <item x="40"/>
        <item x="44"/>
        <item x="61"/>
        <item x="62"/>
        <item x="63"/>
        <item x="64"/>
        <item x="6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6"/>
        <item x="67"/>
        <item x="68"/>
        <item x="82"/>
        <item x="69"/>
        <item x="70"/>
        <item x="71"/>
        <item x="72"/>
        <item x="73"/>
        <item x="74"/>
        <item x="75"/>
        <item m="1" x="84"/>
        <item m="1" x="83"/>
        <item x="76"/>
        <item x="77"/>
        <item x="78"/>
        <item x="79"/>
        <item x="80"/>
        <item x="81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68" showAll="0"/>
  </pivotFields>
  <rowFields count="1">
    <field x="1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me de JAN [KWh]" fld="4" baseField="0" baseItem="0"/>
    <dataField name="Somme de FEB [KWh]" fld="5" baseField="0" baseItem="0"/>
    <dataField name="Somme de MAR [KWh]" fld="6" baseField="0" baseItem="0"/>
    <dataField name="Somme de APR [KWh]" fld="7" baseField="0" baseItem="0"/>
    <dataField name="Somme de MAY [KWh]" fld="8" baseField="0" baseItem="0"/>
    <dataField name="Somme de JUNE [KWh]" fld="9" baseField="0" baseItem="0"/>
    <dataField name="Somme de JULY [KWh]" fld="10" baseField="0" baseItem="0"/>
    <dataField name="Somme de AUG [KWh]" fld="11" baseField="0" baseItem="0"/>
    <dataField name="Somme de SEPT [KWh]" fld="12" baseField="0" baseItem="0"/>
    <dataField name="Somme de OCT [KWh]" fld="13" baseField="0" baseItem="0"/>
    <dataField name="Somme de NOV [KWh]" fld="14" baseField="0" baseItem="0"/>
    <dataField name="Somme de DEC [KWh]" fld="15" baseField="0" baseItem="0"/>
  </dataFields>
  <formats count="1">
    <format dxfId="9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9D997-8F92-4C5C-B169-DD86580925D9}" name="Tableau croisé dynamique1" cacheId="18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compact="0" compactData="0" gridDropZones="1" multipleFieldFilters="0">
  <location ref="B3:GJ90" firstHeaderRow="1" firstDataRow="2" firstDataCol="3"/>
  <pivotFields count="192">
    <pivotField axis="axisRow" compact="0" outline="0" showAll="0" defaultSubtotal="0">
      <items count="71">
        <item x="9"/>
        <item x="10"/>
        <item x="11"/>
        <item x="12"/>
        <item x="13"/>
        <item x="0"/>
        <item x="1"/>
        <item x="6"/>
        <item x="29"/>
        <item x="55"/>
        <item x="64"/>
        <item x="32"/>
        <item x="4"/>
        <item x="5"/>
        <item x="14"/>
        <item x="45"/>
        <item x="15"/>
        <item x="2"/>
        <item x="56"/>
        <item x="33"/>
        <item x="52"/>
        <item x="46"/>
        <item x="48"/>
        <item x="47"/>
        <item x="57"/>
        <item x="58"/>
        <item x="30"/>
        <item x="42"/>
        <item x="43"/>
        <item x="44"/>
        <item x="41"/>
        <item x="8"/>
        <item x="28"/>
        <item x="27"/>
        <item x="20"/>
        <item x="34"/>
        <item x="35"/>
        <item x="59"/>
        <item x="60"/>
        <item x="61"/>
        <item x="66"/>
        <item x="3"/>
        <item x="36"/>
        <item x="37"/>
        <item x="51"/>
        <item x="54"/>
        <item x="7"/>
        <item x="69"/>
        <item x="62"/>
        <item x="63"/>
        <item x="16"/>
        <item x="17"/>
        <item x="18"/>
        <item x="49"/>
        <item x="50"/>
        <item x="31"/>
        <item m="1" x="70"/>
        <item x="24"/>
        <item x="21"/>
        <item x="22"/>
        <item x="23"/>
        <item x="65"/>
        <item x="53"/>
        <item x="38"/>
        <item x="39"/>
        <item x="40"/>
        <item x="68"/>
        <item x="26"/>
        <item x="67"/>
        <item x="25"/>
        <item x="19"/>
      </items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168" outline="0" showAll="0"/>
    <pivotField dataField="1" compact="0" numFmtId="168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sd="0" x="11"/>
        <item x="12"/>
        <item x="13"/>
        <item x="14"/>
        <item x="15"/>
        <item sd="0" x="16"/>
        <item t="default"/>
      </items>
    </pivotField>
  </pivotFields>
  <rowFields count="3">
    <field x="191"/>
    <field x="1"/>
    <field x="0"/>
  </rowFields>
  <rowItems count="86">
    <i>
      <x/>
      <x/>
      <x v="4"/>
    </i>
    <i r="2">
      <x v="7"/>
    </i>
    <i r="2">
      <x v="8"/>
    </i>
    <i r="2">
      <x v="9"/>
    </i>
    <i r="2">
      <x v="10"/>
    </i>
    <i r="2">
      <x v="18"/>
    </i>
    <i r="2">
      <x v="24"/>
    </i>
    <i r="2">
      <x v="25"/>
    </i>
    <i r="2">
      <x v="37"/>
    </i>
    <i r="2">
      <x v="38"/>
    </i>
    <i r="2">
      <x v="39"/>
    </i>
    <i r="2">
      <x v="40"/>
    </i>
    <i r="2">
      <x v="47"/>
    </i>
    <i r="2">
      <x v="48"/>
    </i>
    <i r="2">
      <x v="49"/>
    </i>
    <i r="2">
      <x v="61"/>
    </i>
    <i r="2">
      <x v="66"/>
    </i>
    <i r="2">
      <x v="68"/>
    </i>
    <i r="2">
      <x v="69"/>
    </i>
    <i r="2">
      <x v="70"/>
    </i>
    <i t="default">
      <x/>
    </i>
    <i>
      <x v="1"/>
      <x v="11"/>
      <x v="5"/>
    </i>
    <i t="default">
      <x v="1"/>
    </i>
    <i>
      <x v="2"/>
      <x v="11"/>
      <x v="17"/>
    </i>
    <i t="default">
      <x v="2"/>
    </i>
    <i>
      <x v="3"/>
      <x v="12"/>
      <x v="41"/>
    </i>
    <i t="default">
      <x v="3"/>
    </i>
    <i>
      <x v="4"/>
      <x v="12"/>
      <x/>
    </i>
    <i r="2">
      <x v="1"/>
    </i>
    <i r="2">
      <x v="2"/>
    </i>
    <i r="2">
      <x v="3"/>
    </i>
    <i r="2">
      <x v="12"/>
    </i>
    <i r="2">
      <x v="13"/>
    </i>
    <i t="default">
      <x v="4"/>
    </i>
    <i>
      <x v="5"/>
      <x v="1"/>
      <x v="46"/>
    </i>
    <i t="default">
      <x v="5"/>
    </i>
    <i>
      <x v="6"/>
      <x v="7"/>
      <x v="31"/>
    </i>
    <i t="default">
      <x v="6"/>
    </i>
    <i>
      <x v="7"/>
      <x v="2"/>
      <x v="19"/>
    </i>
    <i r="1">
      <x v="12"/>
      <x v="6"/>
    </i>
    <i r="2">
      <x v="35"/>
    </i>
    <i r="2">
      <x v="36"/>
    </i>
    <i t="default">
      <x v="7"/>
    </i>
    <i>
      <x v="8"/>
      <x v="7"/>
      <x v="58"/>
    </i>
    <i r="1">
      <x v="8"/>
      <x v="59"/>
    </i>
    <i r="1">
      <x v="9"/>
      <x v="42"/>
    </i>
    <i r="2">
      <x v="60"/>
    </i>
    <i r="1">
      <x v="10"/>
      <x v="64"/>
    </i>
    <i r="2">
      <x v="65"/>
    </i>
    <i r="1">
      <x v="12"/>
      <x v="63"/>
    </i>
    <i t="default">
      <x v="8"/>
    </i>
    <i>
      <x v="9"/>
      <x v="2"/>
      <x v="14"/>
    </i>
    <i r="2">
      <x v="43"/>
    </i>
    <i r="2">
      <x v="57"/>
    </i>
    <i r="1">
      <x v="4"/>
      <x v="30"/>
    </i>
    <i r="1">
      <x v="8"/>
      <x v="27"/>
    </i>
    <i r="2">
      <x v="29"/>
    </i>
    <i r="2">
      <x v="50"/>
    </i>
    <i r="2">
      <x v="51"/>
    </i>
    <i r="1">
      <x v="10"/>
      <x v="16"/>
    </i>
    <i r="2">
      <x v="34"/>
    </i>
    <i r="2">
      <x v="52"/>
    </i>
    <i t="default">
      <x v="9"/>
    </i>
    <i>
      <x v="10"/>
      <x v="7"/>
      <x v="15"/>
    </i>
    <i r="2">
      <x v="21"/>
    </i>
    <i r="2">
      <x v="22"/>
    </i>
    <i r="2">
      <x v="23"/>
    </i>
    <i r="1">
      <x v="8"/>
      <x v="53"/>
    </i>
    <i r="2">
      <x v="54"/>
    </i>
    <i t="default">
      <x v="10"/>
    </i>
    <i>
      <x v="12"/>
      <x v="4"/>
      <x v="28"/>
    </i>
    <i r="1">
      <x v="9"/>
      <x v="67"/>
    </i>
    <i r="1">
      <x v="12"/>
      <x v="32"/>
    </i>
    <i r="2">
      <x v="33"/>
    </i>
    <i t="default">
      <x v="12"/>
    </i>
    <i>
      <x v="13"/>
      <x v="10"/>
      <x v="26"/>
    </i>
    <i r="2">
      <x v="44"/>
    </i>
    <i t="default">
      <x v="13"/>
    </i>
    <i>
      <x v="14"/>
      <x v="2"/>
      <x v="55"/>
    </i>
    <i r="1">
      <x v="3"/>
      <x v="20"/>
    </i>
    <i r="1">
      <x v="12"/>
      <x v="11"/>
    </i>
    <i t="default">
      <x v="14"/>
    </i>
    <i>
      <x v="15"/>
      <x v="8"/>
      <x v="62"/>
    </i>
    <i r="1">
      <x v="12"/>
      <x v="45"/>
    </i>
    <i t="default">
      <x v="15"/>
    </i>
    <i t="grand">
      <x/>
    </i>
  </rowItems>
  <colFields count="1">
    <field x="-2"/>
  </colFields>
  <colItems count="18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  <i i="81">
      <x v="81"/>
    </i>
    <i i="82">
      <x v="82"/>
    </i>
    <i i="83">
      <x v="83"/>
    </i>
    <i i="84">
      <x v="84"/>
    </i>
    <i i="85">
      <x v="85"/>
    </i>
    <i i="86">
      <x v="86"/>
    </i>
    <i i="87">
      <x v="87"/>
    </i>
    <i i="88">
      <x v="88"/>
    </i>
    <i i="89">
      <x v="89"/>
    </i>
    <i i="90">
      <x v="90"/>
    </i>
    <i i="91">
      <x v="91"/>
    </i>
    <i i="92">
      <x v="92"/>
    </i>
    <i i="93">
      <x v="93"/>
    </i>
    <i i="94">
      <x v="94"/>
    </i>
    <i i="95">
      <x v="95"/>
    </i>
    <i i="96">
      <x v="96"/>
    </i>
    <i i="97">
      <x v="97"/>
    </i>
    <i i="98">
      <x v="98"/>
    </i>
    <i i="99">
      <x v="99"/>
    </i>
    <i i="100">
      <x v="100"/>
    </i>
    <i i="101">
      <x v="101"/>
    </i>
    <i i="102">
      <x v="102"/>
    </i>
    <i i="103">
      <x v="103"/>
    </i>
    <i i="104">
      <x v="104"/>
    </i>
    <i i="105">
      <x v="105"/>
    </i>
    <i i="106">
      <x v="106"/>
    </i>
    <i i="107">
      <x v="107"/>
    </i>
    <i i="108">
      <x v="108"/>
    </i>
    <i i="109">
      <x v="109"/>
    </i>
    <i i="110">
      <x v="110"/>
    </i>
    <i i="111">
      <x v="111"/>
    </i>
    <i i="112">
      <x v="112"/>
    </i>
    <i i="113">
      <x v="113"/>
    </i>
    <i i="114">
      <x v="114"/>
    </i>
    <i i="115">
      <x v="115"/>
    </i>
    <i i="116">
      <x v="116"/>
    </i>
    <i i="117">
      <x v="117"/>
    </i>
    <i i="118">
      <x v="118"/>
    </i>
    <i i="119">
      <x v="119"/>
    </i>
    <i i="120">
      <x v="120"/>
    </i>
    <i i="121">
      <x v="121"/>
    </i>
    <i i="122">
      <x v="122"/>
    </i>
    <i i="123">
      <x v="123"/>
    </i>
    <i i="124">
      <x v="124"/>
    </i>
    <i i="125">
      <x v="125"/>
    </i>
    <i i="126">
      <x v="126"/>
    </i>
    <i i="127">
      <x v="127"/>
    </i>
    <i i="128">
      <x v="128"/>
    </i>
    <i i="129">
      <x v="129"/>
    </i>
    <i i="130">
      <x v="130"/>
    </i>
    <i i="131">
      <x v="131"/>
    </i>
    <i i="132">
      <x v="132"/>
    </i>
    <i i="133">
      <x v="133"/>
    </i>
    <i i="134">
      <x v="134"/>
    </i>
    <i i="135">
      <x v="135"/>
    </i>
    <i i="136">
      <x v="136"/>
    </i>
    <i i="137">
      <x v="137"/>
    </i>
    <i i="138">
      <x v="138"/>
    </i>
    <i i="139">
      <x v="139"/>
    </i>
    <i i="140">
      <x v="140"/>
    </i>
    <i i="141">
      <x v="141"/>
    </i>
    <i i="142">
      <x v="142"/>
    </i>
    <i i="143">
      <x v="143"/>
    </i>
    <i i="144">
      <x v="144"/>
    </i>
    <i i="145">
      <x v="145"/>
    </i>
    <i i="146">
      <x v="146"/>
    </i>
    <i i="147">
      <x v="147"/>
    </i>
    <i i="148">
      <x v="148"/>
    </i>
    <i i="149">
      <x v="149"/>
    </i>
    <i i="150">
      <x v="150"/>
    </i>
    <i i="151">
      <x v="151"/>
    </i>
    <i i="152">
      <x v="152"/>
    </i>
    <i i="153">
      <x v="153"/>
    </i>
    <i i="154">
      <x v="154"/>
    </i>
    <i i="155">
      <x v="155"/>
    </i>
    <i i="156">
      <x v="156"/>
    </i>
    <i i="157">
      <x v="157"/>
    </i>
    <i i="158">
      <x v="158"/>
    </i>
    <i i="159">
      <x v="159"/>
    </i>
    <i i="160">
      <x v="160"/>
    </i>
    <i i="161">
      <x v="161"/>
    </i>
    <i i="162">
      <x v="162"/>
    </i>
    <i i="163">
      <x v="163"/>
    </i>
    <i i="164">
      <x v="164"/>
    </i>
    <i i="165">
      <x v="165"/>
    </i>
    <i i="166">
      <x v="166"/>
    </i>
    <i i="167">
      <x v="167"/>
    </i>
    <i i="168">
      <x v="168"/>
    </i>
    <i i="169">
      <x v="169"/>
    </i>
    <i i="170">
      <x v="170"/>
    </i>
    <i i="171">
      <x v="171"/>
    </i>
    <i i="172">
      <x v="172"/>
    </i>
    <i i="173">
      <x v="173"/>
    </i>
    <i i="174">
      <x v="174"/>
    </i>
    <i i="175">
      <x v="175"/>
    </i>
    <i i="176">
      <x v="176"/>
    </i>
    <i i="177">
      <x v="177"/>
    </i>
    <i i="178">
      <x v="178"/>
    </i>
    <i i="179">
      <x v="179"/>
    </i>
    <i i="180">
      <x v="180"/>
    </i>
    <i i="181">
      <x v="181"/>
    </i>
    <i i="182">
      <x v="182"/>
    </i>
    <i i="183">
      <x v="183"/>
    </i>
    <i i="184">
      <x v="184"/>
    </i>
    <i i="185">
      <x v="185"/>
    </i>
    <i i="186">
      <x v="186"/>
    </i>
    <i i="187">
      <x v="187"/>
    </i>
  </colItems>
  <dataFields count="188">
    <dataField name="JAN 2003" fld="2" baseField="0" baseItem="0" numFmtId="3"/>
    <dataField name="JAN 2004" fld="14" baseField="0" baseItem="0" numFmtId="3"/>
    <dataField name="JAN 2005" fld="26" baseField="0" baseItem="0"/>
    <dataField name="JAN 2006" fld="38" baseField="0" baseItem="0"/>
    <dataField name="JAN 2007" fld="50" baseField="0" baseItem="0"/>
    <dataField name="JAN 2008" fld="62" baseField="0" baseItem="0"/>
    <dataField name="JAN 2009" fld="74" baseField="0" baseItem="0"/>
    <dataField name="JAN 2010" fld="86" baseField="0" baseItem="0"/>
    <dataField name="JAN 2011" fld="98" baseField="0" baseItem="0"/>
    <dataField name="JAN 2012" fld="110" baseField="0" baseItem="0"/>
    <dataField name="JAN 2013" fld="122" baseField="0" baseItem="0"/>
    <dataField name="JAN 2014" fld="134" baseField="0" baseItem="0"/>
    <dataField name="JAN 2015" fld="146" baseField="0" baseItem="0"/>
    <dataField name="JAN 2016" fld="158" baseField="0" baseItem="0"/>
    <dataField name="JAN 2017" fld="170" baseField="0" baseItem="0"/>
    <dataField name="JAN 2018" fld="182" baseField="0" baseItem="0" numFmtId="3"/>
    <dataField name="FEB 2003 " fld="3" baseField="0" baseItem="0"/>
    <dataField name="FEB 2004 " fld="15" baseField="0" baseItem="0"/>
    <dataField name="FEB 2005 " fld="27" baseField="0" baseItem="0"/>
    <dataField name=" FEB 2006 " fld="39" baseField="0" baseItem="0"/>
    <dataField name="FEB 2007 " fld="51" baseField="0" baseItem="0"/>
    <dataField name="FEB 2008 " fld="63" baseField="0" baseItem="0"/>
    <dataField name="FEB 2009 " fld="75" baseField="0" baseItem="0"/>
    <dataField name="FEB 2010 " fld="87" baseField="0" baseItem="0"/>
    <dataField name="FEB 2011 " fld="99" baseField="0" baseItem="0"/>
    <dataField name="FEB 2012 " fld="111" baseField="0" baseItem="0"/>
    <dataField name="FEB 2013 " fld="123" baseField="0" baseItem="0"/>
    <dataField name="FEB 2014 " fld="135" baseField="0" baseItem="0"/>
    <dataField name="FEB 2015 " fld="147" baseField="0" baseItem="0"/>
    <dataField name="FEB 2016 " fld="159" baseField="0" baseItem="0"/>
    <dataField name="FEB 2017 " fld="171" baseField="0" baseItem="0"/>
    <dataField name="FEB 2018 " fld="183" baseField="0" baseItem="0"/>
    <dataField name="MAR 2003 " fld="4" baseField="0" baseItem="0"/>
    <dataField name="MAR 2004 " fld="16" baseField="0" baseItem="0"/>
    <dataField name="MAR 2005 " fld="28" baseField="0" baseItem="0"/>
    <dataField name="MAR 2006 " fld="40" baseField="0" baseItem="0"/>
    <dataField name="MAR 2007 " fld="52" baseField="0" baseItem="0"/>
    <dataField name="MAR 2008 " fld="64" baseField="0" baseItem="0"/>
    <dataField name="MAR 2009 " fld="76" baseField="0" baseItem="0"/>
    <dataField name="MAR 2010 " fld="88" baseField="0" baseItem="0"/>
    <dataField name="MAR 2011 " fld="100" baseField="0" baseItem="0"/>
    <dataField name="MAR 2012 " fld="112" baseField="0" baseItem="0"/>
    <dataField name="MAR 2013 " fld="124" baseField="0" baseItem="0"/>
    <dataField name="MAR 2014 " fld="136" baseField="0" baseItem="0"/>
    <dataField name="MAR 2015 " fld="148" baseField="0" baseItem="0"/>
    <dataField name="MAR 2016 " fld="160" baseField="0" baseItem="0"/>
    <dataField name="MAR 2017 " fld="172" baseField="0" baseItem="0"/>
    <dataField name="MAR 2018 " fld="184" baseField="0" baseItem="0"/>
    <dataField name="APR 2003 " fld="5" baseField="0" baseItem="0"/>
    <dataField name="APR 2004 " fld="17" baseField="0" baseItem="0"/>
    <dataField name="APR 2005 " fld="29" baseField="0" baseItem="0"/>
    <dataField name="APR 2006 " fld="41" baseField="0" baseItem="0"/>
    <dataField name="APR 2007 " fld="53" baseField="0" baseItem="0"/>
    <dataField name="APR 2008 " fld="65" baseField="0" baseItem="0"/>
    <dataField name="APR 2009 " fld="77" baseField="0" baseItem="0"/>
    <dataField name="APR 2010 " fld="89" baseField="0" baseItem="0"/>
    <dataField name="APR 2011 " fld="101" baseField="0" baseItem="0"/>
    <dataField name="APR 2012 " fld="113" baseField="0" baseItem="0"/>
    <dataField name="APR 2013 " fld="125" baseField="0" baseItem="0"/>
    <dataField name="APR 2014 " fld="137" baseField="0" baseItem="0"/>
    <dataField name="APR 2015 " fld="149" baseField="0" baseItem="0"/>
    <dataField name="APR 2016 " fld="161" baseField="0" baseItem="0"/>
    <dataField name="APR 2017 " fld="173" baseField="0" baseItem="0"/>
    <dataField name="APR 2018 " fld="185" baseField="0" baseItem="0"/>
    <dataField name="MAY 2003 " fld="6" baseField="0" baseItem="0"/>
    <dataField name="MAY 2004 " fld="18" baseField="0" baseItem="0"/>
    <dataField name="MAY 2005 " fld="30" baseField="0" baseItem="0"/>
    <dataField name="MAY 2006 " fld="42" baseField="0" baseItem="0"/>
    <dataField name="MAY 2007 " fld="54" baseField="0" baseItem="0"/>
    <dataField name="MAY 2008 " fld="66" baseField="0" baseItem="0"/>
    <dataField name="MAY 2009 " fld="78" baseField="0" baseItem="0"/>
    <dataField name="MAY 2010 " fld="90" baseField="0" baseItem="0"/>
    <dataField name="MAY 2011 " fld="102" baseField="0" baseItem="0"/>
    <dataField name="MAY 2012 " fld="114" baseField="0" baseItem="0"/>
    <dataField name="MAY 2013 " fld="126" baseField="0" baseItem="0"/>
    <dataField name="MAY 2014 " fld="138" baseField="0" baseItem="0"/>
    <dataField name="MAY 2015 " fld="150" baseField="0" baseItem="0"/>
    <dataField name="MAY 2016 " fld="162" baseField="0" baseItem="0"/>
    <dataField name="MAY 2017 " fld="174" baseField="0" baseItem="0"/>
    <dataField name="MAY 2018 " fld="186" baseField="0" baseItem="0"/>
    <dataField name="JUNE 2003 " fld="7" baseField="0" baseItem="0"/>
    <dataField name="JUNE 2004 " fld="19" baseField="0" baseItem="0"/>
    <dataField name="JUNE 2005 " fld="31" baseField="0" baseItem="0"/>
    <dataField name="JUNE 2006 " fld="43" baseField="0" baseItem="0"/>
    <dataField name="JUNE 2007 " fld="55" baseField="0" baseItem="0"/>
    <dataField name="JUNE 2008 " fld="67" baseField="0" baseItem="0"/>
    <dataField name="JUNE 2009 " fld="79" baseField="0" baseItem="0"/>
    <dataField name="JUNE 2010 " fld="91" baseField="0" baseItem="0"/>
    <dataField name="JUNE 2011 " fld="103" baseField="0" baseItem="0"/>
    <dataField name="JUNE 2012 " fld="115" baseField="0" baseItem="0"/>
    <dataField name="JUNE 2013 " fld="127" baseField="0" baseItem="0"/>
    <dataField name="JUNE 2014 " fld="139" baseField="0" baseItem="0"/>
    <dataField name="JUNE 2015 " fld="151" baseField="0" baseItem="0"/>
    <dataField name="JUNE 2016 " fld="163" baseField="0" baseItem="0"/>
    <dataField name="JUNE 2017 " fld="175" baseField="0" baseItem="0"/>
    <dataField name="JUNE 2018 " fld="187" baseField="0" baseItem="0"/>
    <dataField name="JULY 2003 " fld="8" baseField="0" baseItem="0"/>
    <dataField name="JULY 2004 " fld="20" baseField="0" baseItem="0"/>
    <dataField name="JULY 2005 " fld="32" baseField="0" baseItem="0"/>
    <dataField name="JULY 2006 " fld="44" baseField="0" baseItem="0"/>
    <dataField name="JULY 2007 " fld="56" baseField="0" baseItem="0"/>
    <dataField name="JULY 2008 " fld="68" baseField="0" baseItem="0"/>
    <dataField name="JULY 2009 " fld="80" baseField="0" baseItem="0"/>
    <dataField name="JULY 2010 " fld="92" baseField="0" baseItem="0"/>
    <dataField name="JULY 2011 " fld="104" baseField="0" baseItem="0"/>
    <dataField name="JULY 2012 " fld="116" baseField="0" baseItem="0"/>
    <dataField name="JULY 2013 " fld="128" baseField="0" baseItem="0"/>
    <dataField name="JULY 2014 " fld="140" baseField="0" baseItem="0"/>
    <dataField name="JULY 2015 " fld="152" baseField="0" baseItem="0"/>
    <dataField name="JULY 2016 " fld="164" baseField="0" baseItem="0"/>
    <dataField name="JULY 2017 " fld="176" baseField="0" baseItem="0"/>
    <dataField name="JULY 2018" fld="188" baseField="0" baseItem="0"/>
    <dataField name="AUG 2003 " fld="9" baseField="0" baseItem="0"/>
    <dataField name="AUG 2004 " fld="21" baseField="0" baseItem="0"/>
    <dataField name="AUG 2005 " fld="33" baseField="0" baseItem="0"/>
    <dataField name="AUG 2006 " fld="45" baseField="0" baseItem="0"/>
    <dataField name="AUG 2007 " fld="57" baseField="0" baseItem="0"/>
    <dataField name="AUG 2008 " fld="69" baseField="0" baseItem="0"/>
    <dataField name="AUG 2009 " fld="81" baseField="0" baseItem="0"/>
    <dataField name="AUG 2010 " fld="93" baseField="0" baseItem="0"/>
    <dataField name="AUG 2011 " fld="105" baseField="0" baseItem="0"/>
    <dataField name="AUG 2012 " fld="117" baseField="0" baseItem="0"/>
    <dataField name="AUG 2013 " fld="129" baseField="0" baseItem="0"/>
    <dataField name="AUG 2014 " fld="141" baseField="0" baseItem="0"/>
    <dataField name="AUG 2015 " fld="153" baseField="0" baseItem="0"/>
    <dataField name="AUG 2016 " fld="165" baseField="0" baseItem="0"/>
    <dataField name="AUG 2017 " fld="177" baseField="0" baseItem="0"/>
    <dataField name="AUG 2018" fld="189" baseField="0" baseItem="0"/>
    <dataField name="SEPT 2003 " fld="10" baseField="0" baseItem="0"/>
    <dataField name="SEPT 2004 " fld="22" baseField="0" baseItem="0"/>
    <dataField name="SEPT 2005 " fld="34" baseField="0" baseItem="0"/>
    <dataField name="SEPT 2006 " fld="46" baseField="0" baseItem="0"/>
    <dataField name="SEPT 2007 " fld="58" baseField="0" baseItem="0"/>
    <dataField name="SEPT 2008 " fld="70" baseField="0" baseItem="0"/>
    <dataField name="SEPT 2009 " fld="82" baseField="0" baseItem="0"/>
    <dataField name="SEPT 2010 " fld="94" baseField="0" baseItem="0"/>
    <dataField name="SEPT 2011 " fld="106" baseField="0" baseItem="0"/>
    <dataField name="SEPT 2012 " fld="118" baseField="0" baseItem="0"/>
    <dataField name="SEPT 2013 " fld="130" baseField="0" baseItem="0"/>
    <dataField name="SEPT 2014 " fld="142" baseField="0" baseItem="0"/>
    <dataField name="SEPT 2015 " fld="154" baseField="0" baseItem="0"/>
    <dataField name="SEPT 2016 " fld="166" baseField="0" baseItem="0"/>
    <dataField name="SEPT 2017 " fld="178" baseField="0" baseItem="0"/>
    <dataField name="OCT 2003 " fld="11" baseField="0" baseItem="0"/>
    <dataField name="OCT 2004 " fld="23" baseField="0" baseItem="0"/>
    <dataField name="OCT 2005 " fld="35" baseField="0" baseItem="0"/>
    <dataField name="OCT 2006 " fld="47" baseField="0" baseItem="0"/>
    <dataField name="OCT 2007 " fld="59" baseField="0" baseItem="0"/>
    <dataField name="OCT 2008 " fld="71" baseField="0" baseItem="0"/>
    <dataField name="OCT 2009 " fld="83" baseField="0" baseItem="0"/>
    <dataField name="OCT 2010 " fld="95" baseField="0" baseItem="0"/>
    <dataField name="OCT 2011 " fld="107" baseField="0" baseItem="0"/>
    <dataField name="OCT 2012 " fld="119" baseField="0" baseItem="0"/>
    <dataField name="OCT 2013 " fld="131" baseField="0" baseItem="0"/>
    <dataField name="OCT 2014 " fld="143" baseField="0" baseItem="0"/>
    <dataField name="OCT 2015 " fld="155" baseField="0" baseItem="0"/>
    <dataField name="OCT 2016 " fld="167" baseField="0" baseItem="0"/>
    <dataField name="OCT 2017 " fld="179" baseField="0" baseItem="0"/>
    <dataField name="NOV 2003 " fld="12" baseField="0" baseItem="0"/>
    <dataField name="NOV 2004" fld="24" baseField="0" baseItem="4" numFmtId="3"/>
    <dataField name="NOV 2005" fld="36" baseField="0" baseItem="66" numFmtId="3"/>
    <dataField name="NOV 2006 " fld="48" baseField="0" baseItem="0"/>
    <dataField name="NOV 2007 " fld="60" baseField="0" baseItem="0"/>
    <dataField name="NOV 2008 " fld="72" baseField="0" baseItem="0"/>
    <dataField name="NOV 2009 " fld="84" baseField="0" baseItem="0"/>
    <dataField name="NOV 2010 " fld="96" baseField="0" baseItem="0"/>
    <dataField name="NOV 2011 " fld="108" baseField="0" baseItem="0"/>
    <dataField name="NOV 2012 " fld="120" baseField="0" baseItem="0"/>
    <dataField name="NOV 2013 " fld="132" baseField="0" baseItem="0"/>
    <dataField name="NOV 2014 " fld="144" baseField="0" baseItem="0"/>
    <dataField name="NOV 2015 " fld="156" baseField="0" baseItem="0"/>
    <dataField name="NOV 2016 " fld="168" baseField="0" baseItem="0"/>
    <dataField name="NOV 2017 " fld="180" baseField="0" baseItem="0"/>
    <dataField name="DEC 2003 " fld="13" baseField="0" baseItem="0"/>
    <dataField name="DEC 2004 " fld="25" baseField="0" baseItem="0"/>
    <dataField name="DEC 2005 " fld="37" baseField="0" baseItem="0"/>
    <dataField name="DEC 2006 " fld="49" baseField="0" baseItem="0"/>
    <dataField name="DEC 2007 " fld="61" baseField="0" baseItem="0"/>
    <dataField name="DEC 2008 " fld="73" baseField="0" baseItem="0"/>
    <dataField name="DEC 2009 " fld="85" baseField="0" baseItem="0"/>
    <dataField name="DEC 2010 " fld="97" baseField="0" baseItem="0"/>
    <dataField name="DEC 2011 " fld="109" baseField="0" baseItem="0"/>
    <dataField name="DEC 2012 " fld="121" baseField="0" baseItem="0"/>
    <dataField name="DEC 2013 " fld="133" baseField="0" baseItem="0"/>
    <dataField name="DEC 2014 " fld="145" baseField="0" baseItem="0"/>
    <dataField name="DEC 2015 " fld="157" baseField="0" baseItem="0"/>
    <dataField name="DEC 2016 " fld="169" baseField="0" baseItem="0"/>
    <dataField name="DEC 2017 " fld="181" baseField="0" baseItem="0"/>
  </dataFields>
  <formats count="69">
    <format dxfId="72">
      <pivotArea outline="0" collapsedLevelsAreSubtotals="1" fieldPosition="0"/>
    </format>
    <format dxfId="71">
      <pivotArea dataOnly="0" labelOnly="1" outline="0" fieldPosition="0">
        <references count="1">
          <reference field="0" count="1">
            <x v="5"/>
          </reference>
        </references>
      </pivotArea>
    </format>
    <format dxfId="70">
      <pivotArea dataOnly="0" labelOnly="1" outline="0" fieldPosition="0">
        <references count="1">
          <reference field="0" count="1">
            <x v="17"/>
          </reference>
        </references>
      </pivotArea>
    </format>
    <format dxfId="69">
      <pivotArea dataOnly="0" labelOnly="1" outline="0" fieldPosition="0">
        <references count="1">
          <reference field="0" count="1">
            <x v="41"/>
          </reference>
        </references>
      </pivotArea>
    </format>
    <format dxfId="68">
      <pivotArea dataOnly="0" labelOnly="1" outline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67">
      <pivotArea dataOnly="0" labelOnly="1" outline="0" fieldPosition="0">
        <references count="1">
          <reference field="0" count="2">
            <x v="12"/>
            <x v="13"/>
          </reference>
        </references>
      </pivotArea>
    </format>
    <format dxfId="66">
      <pivotArea dataOnly="0" labelOnly="1" outline="0" fieldPosition="0">
        <references count="1">
          <reference field="0" count="1">
            <x v="46"/>
          </reference>
        </references>
      </pivotArea>
    </format>
    <format dxfId="65">
      <pivotArea dataOnly="0" labelOnly="1" outline="0" fieldPosition="0">
        <references count="1">
          <reference field="0" count="1">
            <x v="31"/>
          </reference>
        </references>
      </pivotArea>
    </format>
    <format dxfId="64">
      <pivotArea dataOnly="0" labelOnly="1" outline="0" fieldPosition="0">
        <references count="1">
          <reference field="0" count="1">
            <x v="6"/>
          </reference>
        </references>
      </pivotArea>
    </format>
    <format dxfId="63">
      <pivotArea outline="0" fieldPosition="0">
        <references count="1">
          <reference field="4294967294" count="1">
            <x v="159"/>
          </reference>
        </references>
      </pivotArea>
    </format>
    <format dxfId="62">
      <pivotArea outline="0" fieldPosition="0">
        <references count="1">
          <reference field="4294967294" count="1">
            <x v="160"/>
          </reference>
        </references>
      </pivotArea>
    </format>
    <format dxfId="61">
      <pivotArea dataOnly="0" labelOnly="1" outline="0" fieldPosition="0">
        <references count="3">
          <reference field="0" count="1">
            <x v="14"/>
          </reference>
          <reference field="1" count="1" selected="0">
            <x v="2"/>
          </reference>
          <reference field="191" count="1" selected="0">
            <x v="9"/>
          </reference>
        </references>
      </pivotArea>
    </format>
    <format dxfId="60">
      <pivotArea dataOnly="0" labelOnly="1" outline="0" fieldPosition="0">
        <references count="3">
          <reference field="0" count="2">
            <x v="50"/>
            <x v="51"/>
          </reference>
          <reference field="1" count="1" selected="0">
            <x v="8"/>
          </reference>
          <reference field="191" count="1" selected="0">
            <x v="9"/>
          </reference>
        </references>
      </pivotArea>
    </format>
    <format dxfId="59">
      <pivotArea dataOnly="0" labelOnly="1" outline="0" fieldPosition="0">
        <references count="3">
          <reference field="0" count="2">
            <x v="50"/>
            <x v="51"/>
          </reference>
          <reference field="1" count="1" selected="0">
            <x v="8"/>
          </reference>
          <reference field="191" count="1" selected="0">
            <x v="9"/>
          </reference>
        </references>
      </pivotArea>
    </format>
    <format dxfId="58">
      <pivotArea dataOnly="0" labelOnly="1" outline="0" fieldPosition="0">
        <references count="3">
          <reference field="0" count="1">
            <x v="52"/>
          </reference>
          <reference field="1" count="1" selected="0">
            <x v="10"/>
          </reference>
          <reference field="191" count="1" selected="0">
            <x v="9"/>
          </reference>
        </references>
      </pivotArea>
    </format>
    <format dxfId="57">
      <pivotArea dataOnly="0" labelOnly="1" outline="0" fieldPosition="0">
        <references count="3">
          <reference field="0" count="1">
            <x v="34"/>
          </reference>
          <reference field="1" count="1" selected="0">
            <x v="10"/>
          </reference>
          <reference field="191" count="1" selected="0">
            <x v="9"/>
          </reference>
        </references>
      </pivotArea>
    </format>
    <format dxfId="56">
      <pivotArea dataOnly="0" labelOnly="1" outline="0" fieldPosition="0">
        <references count="3">
          <reference field="0" count="1">
            <x v="58"/>
          </reference>
          <reference field="1" count="1" selected="0">
            <x v="7"/>
          </reference>
          <reference field="191" count="1" selected="0">
            <x v="8"/>
          </reference>
        </references>
      </pivotArea>
    </format>
    <format dxfId="55">
      <pivotArea dataOnly="0" labelOnly="1" outline="0" fieldPosition="0">
        <references count="3">
          <reference field="0" count="1">
            <x v="59"/>
          </reference>
          <reference field="1" count="1" selected="0">
            <x v="8"/>
          </reference>
          <reference field="191" count="1" selected="0">
            <x v="8"/>
          </reference>
        </references>
      </pivotArea>
    </format>
    <format dxfId="54">
      <pivotArea dataOnly="0" labelOnly="1" outline="0" fieldPosition="0">
        <references count="3">
          <reference field="0" count="1">
            <x v="60"/>
          </reference>
          <reference field="1" count="1" selected="0">
            <x v="9"/>
          </reference>
          <reference field="191" count="1" selected="0">
            <x v="8"/>
          </reference>
        </references>
      </pivotArea>
    </format>
    <format dxfId="53">
      <pivotArea dataOnly="0" labelOnly="1" outline="0" fieldPosition="0">
        <references count="3">
          <reference field="0" count="1">
            <x v="57"/>
          </reference>
          <reference field="1" count="1" selected="0">
            <x v="2"/>
          </reference>
          <reference field="191" count="1" selected="0">
            <x v="9"/>
          </reference>
        </references>
      </pivotArea>
    </format>
    <format dxfId="52">
      <pivotArea dataOnly="0" labelOnly="1" outline="0" fieldPosition="0">
        <references count="3">
          <reference field="0" count="1">
            <x v="70"/>
          </reference>
          <reference field="1" count="1" selected="0">
            <x v="0"/>
          </reference>
          <reference field="191" count="1" selected="0">
            <x v="0"/>
          </reference>
        </references>
      </pivotArea>
    </format>
    <format dxfId="51">
      <pivotArea dataOnly="0" labelOnly="1" outline="0" fieldPosition="0">
        <references count="3">
          <reference field="0" count="1">
            <x v="19"/>
          </reference>
          <reference field="1" count="1" selected="0">
            <x v="2"/>
          </reference>
          <reference field="191" count="1" selected="0">
            <x v="7"/>
          </reference>
        </references>
      </pivotArea>
    </format>
    <format dxfId="50">
      <pivotArea dataOnly="0" labelOnly="1" outline="0" fieldPosition="0">
        <references count="3">
          <reference field="0" count="1">
            <x v="35"/>
          </reference>
          <reference field="1" count="1" selected="0">
            <x v="12"/>
          </reference>
          <reference field="191" count="1" selected="0">
            <x v="7"/>
          </reference>
        </references>
      </pivotArea>
    </format>
    <format dxfId="49">
      <pivotArea dataOnly="0" labelOnly="1" outline="0" fieldPosition="0">
        <references count="3">
          <reference field="0" count="1">
            <x v="36"/>
          </reference>
          <reference field="1" count="1" selected="0">
            <x v="12"/>
          </reference>
          <reference field="191" count="1" selected="0">
            <x v="7"/>
          </reference>
        </references>
      </pivotArea>
    </format>
    <format dxfId="48">
      <pivotArea dataOnly="0" labelOnly="1" outline="0" fieldPosition="0">
        <references count="3">
          <reference field="0" count="1">
            <x v="42"/>
          </reference>
          <reference field="1" count="1" selected="0">
            <x v="9"/>
          </reference>
          <reference field="191" count="1" selected="0">
            <x v="8"/>
          </reference>
        </references>
      </pivotArea>
    </format>
    <format dxfId="47">
      <pivotArea dataOnly="0" labelOnly="1" outline="0" fieldPosition="0">
        <references count="3">
          <reference field="0" count="1">
            <x v="43"/>
          </reference>
          <reference field="1" count="1" selected="0">
            <x v="2"/>
          </reference>
          <reference field="191" count="1" selected="0">
            <x v="9"/>
          </reference>
        </references>
      </pivotArea>
    </format>
    <format dxfId="46">
      <pivotArea dataOnly="0" labelOnly="1" outline="0" fieldPosition="0">
        <references count="3">
          <reference field="0" count="1">
            <x v="64"/>
          </reference>
          <reference field="1" count="1" selected="0">
            <x v="10"/>
          </reference>
          <reference field="191" count="1" selected="0">
            <x v="8"/>
          </reference>
        </references>
      </pivotArea>
    </format>
    <format dxfId="45">
      <pivotArea dataOnly="0" labelOnly="1" outline="0" fieldPosition="0">
        <references count="3">
          <reference field="0" count="1">
            <x v="19"/>
          </reference>
          <reference field="1" count="1" selected="0">
            <x v="2"/>
          </reference>
          <reference field="191" count="1" selected="0">
            <x v="7"/>
          </reference>
        </references>
      </pivotArea>
    </format>
    <format dxfId="44">
      <pivotArea dataOnly="0" labelOnly="1" outline="0" fieldPosition="0">
        <references count="3">
          <reference field="0" count="1">
            <x v="35"/>
          </reference>
          <reference field="1" count="1" selected="0">
            <x v="12"/>
          </reference>
          <reference field="191" count="1" selected="0">
            <x v="7"/>
          </reference>
        </references>
      </pivotArea>
    </format>
    <format dxfId="43">
      <pivotArea dataOnly="0" labelOnly="1" outline="0" fieldPosition="0">
        <references count="3">
          <reference field="0" count="1">
            <x v="42"/>
          </reference>
          <reference field="1" count="1" selected="0">
            <x v="9"/>
          </reference>
          <reference field="191" count="1" selected="0">
            <x v="8"/>
          </reference>
        </references>
      </pivotArea>
    </format>
    <format dxfId="42">
      <pivotArea dataOnly="0" labelOnly="1" outline="0" fieldPosition="0">
        <references count="3">
          <reference field="0" count="1">
            <x v="43"/>
          </reference>
          <reference field="1" count="1" selected="0">
            <x v="2"/>
          </reference>
          <reference field="191" count="1" selected="0">
            <x v="9"/>
          </reference>
        </references>
      </pivotArea>
    </format>
    <format dxfId="41">
      <pivotArea dataOnly="0" labelOnly="1" outline="0" fieldPosition="0">
        <references count="3">
          <reference field="0" count="1">
            <x v="65"/>
          </reference>
          <reference field="1" count="1" selected="0">
            <x v="10"/>
          </reference>
          <reference field="191" count="1" selected="0">
            <x v="8"/>
          </reference>
        </references>
      </pivotArea>
    </format>
    <format dxfId="40">
      <pivotArea dataOnly="0" labelOnly="1" outline="0" fieldPosition="0">
        <references count="3">
          <reference field="0" count="1">
            <x v="63"/>
          </reference>
          <reference field="1" count="1" selected="0">
            <x v="12"/>
          </reference>
          <reference field="191" count="1" selected="0">
            <x v="8"/>
          </reference>
        </references>
      </pivotArea>
    </format>
    <format dxfId="39">
      <pivotArea dataOnly="0" labelOnly="1" outline="0" fieldPosition="0">
        <references count="3">
          <reference field="0" count="1">
            <x v="30"/>
          </reference>
          <reference field="1" count="1" selected="0">
            <x v="4"/>
          </reference>
          <reference field="191" count="1" selected="0">
            <x v="9"/>
          </reference>
        </references>
      </pivotArea>
    </format>
    <format dxfId="38">
      <pivotArea dataOnly="0" labelOnly="1" outline="0" fieldPosition="0">
        <references count="3">
          <reference field="0" count="1">
            <x v="27"/>
          </reference>
          <reference field="1" count="1" selected="0">
            <x v="8"/>
          </reference>
          <reference field="191" count="1" selected="0">
            <x v="9"/>
          </reference>
        </references>
      </pivotArea>
    </format>
    <format dxfId="37">
      <pivotArea dataOnly="0" labelOnly="1" outline="0" fieldPosition="0">
        <references count="3">
          <reference field="0" count="1">
            <x v="29"/>
          </reference>
          <reference field="1" count="1" selected="0">
            <x v="8"/>
          </reference>
          <reference field="191" count="1" selected="0">
            <x v="9"/>
          </reference>
        </references>
      </pivotArea>
    </format>
    <format dxfId="36">
      <pivotArea dataOnly="0" labelOnly="1" outline="0" fieldPosition="0">
        <references count="3">
          <reference field="0" count="1">
            <x v="28"/>
          </reference>
          <reference field="1" count="1" selected="0">
            <x v="4"/>
          </reference>
          <reference field="191" count="1" selected="0">
            <x v="12"/>
          </reference>
        </references>
      </pivotArea>
    </format>
    <format dxfId="35">
      <pivotArea dataOnly="0" labelOnly="1" outline="0" fieldPosition="0">
        <references count="3">
          <reference field="0" count="1">
            <x v="15"/>
          </reference>
          <reference field="1" count="1" selected="0">
            <x v="7"/>
          </reference>
          <reference field="191" count="1" selected="0">
            <x v="10"/>
          </reference>
        </references>
      </pivotArea>
    </format>
    <format dxfId="34">
      <pivotArea dataOnly="0" labelOnly="1" outline="0" fieldPosition="0">
        <references count="3">
          <reference field="0" count="1">
            <x v="21"/>
          </reference>
          <reference field="1" count="1" selected="0">
            <x v="7"/>
          </reference>
          <reference field="191" count="1" selected="0">
            <x v="10"/>
          </reference>
        </references>
      </pivotArea>
    </format>
    <format dxfId="33">
      <pivotArea dataOnly="0" labelOnly="1" outline="0" fieldPosition="0">
        <references count="3">
          <reference field="0" count="2">
            <x v="22"/>
            <x v="23"/>
          </reference>
          <reference field="1" count="1" selected="0">
            <x v="7"/>
          </reference>
          <reference field="191" count="1" selected="0">
            <x v="10"/>
          </reference>
        </references>
      </pivotArea>
    </format>
    <format dxfId="32">
      <pivotArea dataOnly="0" labelOnly="1" outline="0" fieldPosition="0">
        <references count="3">
          <reference field="0" count="2">
            <x v="53"/>
            <x v="54"/>
          </reference>
          <reference field="1" count="1" selected="0">
            <x v="8"/>
          </reference>
          <reference field="191" count="1" selected="0">
            <x v="10"/>
          </reference>
        </references>
      </pivotArea>
    </format>
    <format dxfId="31">
      <pivotArea outline="0" fieldPosition="0">
        <references count="3">
          <reference field="0" count="1" selected="0">
            <x v="31"/>
          </reference>
          <reference field="1" count="1" selected="0">
            <x v="7"/>
          </reference>
          <reference field="191" count="1" selected="0">
            <x v="6"/>
          </reference>
        </references>
      </pivotArea>
    </format>
    <format dxfId="30">
      <pivotArea dataOnly="0" labelOnly="1" outline="0" fieldPosition="0">
        <references count="1">
          <reference field="191" count="1">
            <x v="6"/>
          </reference>
        </references>
      </pivotArea>
    </format>
    <format dxfId="29">
      <pivotArea dataOnly="0" labelOnly="1" outline="0" fieldPosition="0">
        <references count="2">
          <reference field="1" count="1">
            <x v="7"/>
          </reference>
          <reference field="191" count="1" selected="0">
            <x v="6"/>
          </reference>
        </references>
      </pivotArea>
    </format>
    <format dxfId="28">
      <pivotArea dataOnly="0" labelOnly="1" outline="0" fieldPosition="0">
        <references count="3">
          <reference field="0" count="1">
            <x v="31"/>
          </reference>
          <reference field="1" count="1" selected="0">
            <x v="7"/>
          </reference>
          <reference field="191" count="1" selected="0">
            <x v="6"/>
          </reference>
        </references>
      </pivotArea>
    </format>
    <format dxfId="27">
      <pivotArea outline="0" fieldPosition="0">
        <references count="3">
          <reference field="0" count="1" selected="0">
            <x v="34"/>
          </reference>
          <reference field="1" count="1" selected="0">
            <x v="10"/>
          </reference>
          <reference field="191" count="1" selected="0">
            <x v="9"/>
          </reference>
        </references>
      </pivotArea>
    </format>
    <format dxfId="26">
      <pivotArea dataOnly="0" labelOnly="1" outline="0" offset="IV10" fieldPosition="0">
        <references count="1">
          <reference field="191" count="1">
            <x v="9"/>
          </reference>
        </references>
      </pivotArea>
    </format>
    <format dxfId="25">
      <pivotArea dataOnly="0" labelOnly="1" outline="0" offset="IV2" fieldPosition="0">
        <references count="2">
          <reference field="1" count="1">
            <x v="10"/>
          </reference>
          <reference field="191" count="1" selected="0">
            <x v="9"/>
          </reference>
        </references>
      </pivotArea>
    </format>
    <format dxfId="24">
      <pivotArea dataOnly="0" labelOnly="1" outline="0" fieldPosition="0">
        <references count="3">
          <reference field="0" count="1">
            <x v="34"/>
          </reference>
          <reference field="1" count="1" selected="0">
            <x v="10"/>
          </reference>
          <reference field="191" count="1" selected="0">
            <x v="9"/>
          </reference>
        </references>
      </pivotArea>
    </format>
    <format dxfId="23">
      <pivotArea outline="0" fieldPosition="0">
        <references count="3">
          <reference field="0" count="1" selected="0">
            <x v="36"/>
          </reference>
          <reference field="1" count="1" selected="0">
            <x v="12"/>
          </reference>
          <reference field="191" count="1" selected="0">
            <x v="7"/>
          </reference>
        </references>
      </pivotArea>
    </format>
    <format dxfId="22">
      <pivotArea dataOnly="0" labelOnly="1" outline="0" offset="IV256" fieldPosition="0">
        <references count="1">
          <reference field="191" count="1">
            <x v="7"/>
          </reference>
        </references>
      </pivotArea>
    </format>
    <format dxfId="21">
      <pivotArea dataOnly="0" labelOnly="1" outline="0" offset="IV256" fieldPosition="0">
        <references count="2">
          <reference field="1" count="1">
            <x v="12"/>
          </reference>
          <reference field="191" count="1" selected="0">
            <x v="7"/>
          </reference>
        </references>
      </pivotArea>
    </format>
    <format dxfId="20">
      <pivotArea dataOnly="0" labelOnly="1" outline="0" fieldPosition="0">
        <references count="3">
          <reference field="0" count="1">
            <x v="36"/>
          </reference>
          <reference field="1" count="1" selected="0">
            <x v="12"/>
          </reference>
          <reference field="191" count="1" selected="0">
            <x v="7"/>
          </reference>
        </references>
      </pivotArea>
    </format>
    <format dxfId="19">
      <pivotArea outline="0" fieldPosition="0">
        <references count="3">
          <reference field="0" count="1" selected="0">
            <x v="64"/>
          </reference>
          <reference field="1" count="1" selected="0">
            <x v="10"/>
          </reference>
          <reference field="191" count="1" selected="0">
            <x v="8"/>
          </reference>
        </references>
      </pivotArea>
    </format>
    <format dxfId="18">
      <pivotArea dataOnly="0" labelOnly="1" outline="0" offset="IV5" fieldPosition="0">
        <references count="1">
          <reference field="191" count="1">
            <x v="8"/>
          </reference>
        </references>
      </pivotArea>
    </format>
    <format dxfId="17">
      <pivotArea dataOnly="0" labelOnly="1" outline="0" offset="IV1" fieldPosition="0">
        <references count="2">
          <reference field="1" count="1">
            <x v="10"/>
          </reference>
          <reference field="191" count="1" selected="0">
            <x v="8"/>
          </reference>
        </references>
      </pivotArea>
    </format>
    <format dxfId="16">
      <pivotArea dataOnly="0" labelOnly="1" outline="0" fieldPosition="0">
        <references count="3">
          <reference field="0" count="1">
            <x v="64"/>
          </reference>
          <reference field="1" count="1" selected="0">
            <x v="10"/>
          </reference>
          <reference field="191" count="1" selected="0">
            <x v="8"/>
          </reference>
        </references>
      </pivotArea>
    </format>
    <format dxfId="15">
      <pivotArea outline="0" fieldPosition="0">
        <references count="3">
          <reference field="0" count="1" selected="0">
            <x v="65"/>
          </reference>
          <reference field="1" count="1" selected="0">
            <x v="10"/>
          </reference>
          <reference field="191" count="1" selected="0">
            <x v="8"/>
          </reference>
        </references>
      </pivotArea>
    </format>
    <format dxfId="14">
      <pivotArea dataOnly="0" labelOnly="1" outline="0" offset="IV6" fieldPosition="0">
        <references count="1">
          <reference field="191" count="1">
            <x v="8"/>
          </reference>
        </references>
      </pivotArea>
    </format>
    <format dxfId="13">
      <pivotArea dataOnly="0" labelOnly="1" outline="0" offset="IV256" fieldPosition="0">
        <references count="2">
          <reference field="1" count="1">
            <x v="10"/>
          </reference>
          <reference field="191" count="1" selected="0">
            <x v="8"/>
          </reference>
        </references>
      </pivotArea>
    </format>
    <format dxfId="12">
      <pivotArea dataOnly="0" labelOnly="1" outline="0" fieldPosition="0">
        <references count="3">
          <reference field="0" count="1">
            <x v="65"/>
          </reference>
          <reference field="1" count="1" selected="0">
            <x v="10"/>
          </reference>
          <reference field="191" count="1" selected="0">
            <x v="8"/>
          </reference>
        </references>
      </pivotArea>
    </format>
    <format dxfId="11">
      <pivotArea outline="0" fieldPosition="0">
        <references count="3">
          <reference field="0" count="3" selected="0">
            <x v="21"/>
            <x v="22"/>
            <x v="23"/>
          </reference>
          <reference field="1" count="1" selected="0">
            <x v="7"/>
          </reference>
          <reference field="191" count="1" selected="0">
            <x v="10"/>
          </reference>
        </references>
      </pivotArea>
    </format>
    <format dxfId="10">
      <pivotArea dataOnly="0" labelOnly="1" outline="0" offset="IV2:IV4" fieldPosition="0">
        <references count="1">
          <reference field="191" count="1">
            <x v="10"/>
          </reference>
        </references>
      </pivotArea>
    </format>
    <format dxfId="9">
      <pivotArea dataOnly="0" labelOnly="1" outline="0" offset="IV2:IV256" fieldPosition="0">
        <references count="2">
          <reference field="1" count="1">
            <x v="7"/>
          </reference>
          <reference field="191" count="1" selected="0">
            <x v="10"/>
          </reference>
        </references>
      </pivotArea>
    </format>
    <format dxfId="8">
      <pivotArea dataOnly="0" labelOnly="1" outline="0" fieldPosition="0">
        <references count="3">
          <reference field="0" count="3">
            <x v="21"/>
            <x v="22"/>
            <x v="23"/>
          </reference>
          <reference field="1" count="1" selected="0">
            <x v="7"/>
          </reference>
          <reference field="191" count="1" selected="0">
            <x v="10"/>
          </reference>
        </references>
      </pivotArea>
    </format>
    <format dxfId="7">
      <pivotArea outline="0" fieldPosition="0">
        <references count="3">
          <reference field="0" count="2" selected="0">
            <x v="53"/>
            <x v="54"/>
          </reference>
          <reference field="1" count="1" selected="0">
            <x v="8"/>
          </reference>
          <reference field="191" count="1" selected="0">
            <x v="10"/>
          </reference>
        </references>
      </pivotArea>
    </format>
    <format dxfId="6">
      <pivotArea dataOnly="0" labelOnly="1" outline="0" offset="IV5:IV256" fieldPosition="0">
        <references count="1">
          <reference field="191" count="1">
            <x v="10"/>
          </reference>
        </references>
      </pivotArea>
    </format>
    <format dxfId="5">
      <pivotArea dataOnly="0" labelOnly="1" outline="0" fieldPosition="0">
        <references count="2">
          <reference field="1" count="1">
            <x v="8"/>
          </reference>
          <reference field="191" count="1" selected="0">
            <x v="10"/>
          </reference>
        </references>
      </pivotArea>
    </format>
    <format dxfId="4">
      <pivotArea dataOnly="0" labelOnly="1" outline="0" fieldPosition="0">
        <references count="3">
          <reference field="0" count="2">
            <x v="53"/>
            <x v="54"/>
          </reference>
          <reference field="1" count="1" selected="0">
            <x v="8"/>
          </reference>
          <reference field="191" count="1" selected="0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" dT="2021-09-20T17:28:16.23" personId="{6DC6A7D9-E883-4B5E-898F-6C251AFA020E}" id="{3E962A80-BE43-4108-946E-3402011114D5}">
    <text>inhérent au calcul</text>
  </threadedComment>
  <threadedComment ref="Q7" dT="2021-09-20T21:51:18.38" personId="{F21E3EFC-A270-4DAD-BC01-BAC6D31EDBA8}" id="{F0A2DF4E-9AC0-4F48-9AF2-1FC6762D2D53}">
    <text>on cherche à faire de la mise en drapeau sur les GE pour 2022. pas d'estimation à ce jour. pas sûr que techniquement, cela soit possible de faire de la mise en drapeau sur ces anciennes machines.</text>
  </threadedComment>
  <threadedComment ref="N8" dT="2021-09-20T17:28:16.23" personId="{6DC6A7D9-E883-4B5E-898F-6C251AFA020E}" id="{D48529F5-FD91-4518-B5F9-756C70C6E927}">
    <text>inhérent au calcul</text>
  </threadedComment>
  <threadedComment ref="Q8" dT="2021-09-20T21:51:18.38" personId="{F21E3EFC-A270-4DAD-BC01-BAC6D31EDBA8}" id="{E9F6F6A7-097C-4243-B901-CDE4B1B22BDD}">
    <text>on cherche à faire de la mise en drapeau sur les GE pour 2022. pas d'estimation à ce jour. pas sûr que techniquement, cela soit possible de faire de la mise en drapeau sur ces anciennes machines.</text>
  </threadedComment>
  <threadedComment ref="N9" dT="2021-09-20T17:28:16.23" personId="{6DC6A7D9-E883-4B5E-898F-6C251AFA020E}" id="{74314E80-5142-45A1-A8D4-514D967A98BC}">
    <text>inhérent au calcul</text>
  </threadedComment>
  <threadedComment ref="Q9" dT="2021-09-20T21:51:18.38" personId="{F21E3EFC-A270-4DAD-BC01-BAC6D31EDBA8}" id="{F34932CE-953D-4310-9171-2B0D24C8A34B}">
    <text>on cherche à faire de la mise en drapeau sur les GE pour 2022. pas d'estimation à ce jour. pas sûr que techniquement, cela soit possible de faire de la mise en drapeau sur ces anciennes machines.</text>
  </threadedComment>
  <threadedComment ref="N10" dT="2021-09-20T17:28:16.23" personId="{6DC6A7D9-E883-4B5E-898F-6C251AFA020E}" id="{4486F103-8E57-42A7-8DB5-CFBE866F7490}">
    <text>inhérent au calcul</text>
  </threadedComment>
  <threadedComment ref="Q10" dT="2021-09-20T21:51:18.38" personId="{F21E3EFC-A270-4DAD-BC01-BAC6D31EDBA8}" id="{01275582-A41C-4EBC-B527-83F7F40A1E32}">
    <text>on cherche à faire de la mise en drapeau sur les GE pour 2022. pas d'estimation à ce jour. pas sûr que techniquement, cela soit possible de faire de la mise en drapeau sur ces anciennes machines.</text>
  </threadedComment>
  <threadedComment ref="N13" dT="2021-09-20T21:25:53.86" personId="{F21E3EFC-A270-4DAD-BC01-BAC6D31EDBA8}" id="{EEA6F8EA-CE4B-4F49-A6C4-532E9E872B9F}">
    <text>calcul des plans de bridages en cours sur les 2 directions (mesures en réception post-implantation terminées au printemps 2021).</text>
  </threadedComment>
  <threadedComment ref="Q13" dT="2021-09-20T21:52:06.37" personId="{F21E3EFC-A270-4DAD-BC01-BAC6D31EDBA8}" id="{0804A286-CCDE-403F-97A1-ABE15514A4E1}">
    <text>bridage chiro possible en 2022 (on attend les résultats des suivis chiro sur Cham Longe 1 &amp; 2)</text>
  </threadedComment>
  <threadedComment ref="Q17" dT="2021-09-20T21:54:48.04" personId="{F21E3EFC-A270-4DAD-BC01-BAC6D31EDBA8}" id="{3A567FBE-C1B3-4422-AA65-006892F432C0}">
    <text>bridage maison en 1/10ième de nuit activé depuis le 31/05/2021. estimation à 0,18% sur la totalité des parcs de Ronchois</text>
  </threadedComment>
  <threadedComment ref="Q18" dT="2021-09-20T21:54:48.04" personId="{F21E3EFC-A270-4DAD-BC01-BAC6D31EDBA8}" id="{2B403182-9EAF-4909-92C0-CE7457CD2213}">
    <text>bridage maison en 1/10ième de nuit activé depuis le 31/05/2021. estimation à 0,18% sur la totalité des parcs de Ronchois</text>
  </threadedComment>
  <threadedComment ref="Q19" dT="2021-09-20T21:54:48.04" personId="{F21E3EFC-A270-4DAD-BC01-BAC6D31EDBA8}" id="{1A230E0D-1A99-4198-90C8-F7D2257F62DB}">
    <text>bridage maison en 1/10ième de nuit activé depuis le 31/05/2021. estimation à 0,18% sur la totalité des parcs de Ronchois</text>
  </threadedComment>
  <threadedComment ref="N26" dT="2021-09-20T09:37:09.54" personId="{6DC6A7D9-E883-4B5E-898F-6C251AFA020E}" id="{CCCB3CBC-AD18-460A-AEB4-84C43472A620}">
    <text>Il y a un leger écart entre DNV qui donne 1,47% en totale (acoustique + chiro), alors que le fichier CDC donne 0,1% en aoustique et 1,26 en chiro.</text>
  </threadedComment>
  <threadedComment ref="N26" dT="2021-09-20T21:49:18.35" personId="{F21E3EFC-A270-4DAD-BC01-BAC6D31EDBA8}" id="{EBE06A17-2921-4428-84F7-7941DEABFC63}" parentId="{CCCB3CBC-AD18-460A-AEB4-84C43472A620}">
    <text>je confirme estimation BLX global=1,36% (0,1% acoustique+1,26% chiro). attention, le fichier CDC présentait 2 scénarios de bridage chiro : actuel et futur. le scénario futur est en fait l'actuel (depuis le 01/07/2021). j'ai mis à jour le fichier CDC afin d'éviter les erreur.</text>
  </threadedComment>
  <threadedComment ref="O26" dT="2021-09-21T10:06:21.02" personId="{476314FE-55A5-4310-8E79-B1067C2E8ADD}" id="{1F3F79CC-E2F7-43DC-A219-9DD50D994337}">
    <text>Inclus dans le bridage acoustique</text>
  </threadedComment>
  <threadedComment ref="Q26" dT="2021-09-20T11:41:57.59" personId="{6DC6A7D9-E883-4B5E-898F-6C251AFA020E}" id="{02DE170F-0B1F-4E79-9BE0-9051FB4BE06D}">
    <text>Repartition sur le Chiro faite sur la base du fichier CDC, car les chiffres sont cohèrentes.</text>
  </threadedComment>
  <threadedComment ref="N27" dT="2021-09-20T09:37:09.54" personId="{6DC6A7D9-E883-4B5E-898F-6C251AFA020E}" id="{C366AB10-F018-4B43-A855-1A1055E42A33}">
    <text>Il y a un leger écart entre DNV qui donne 1,47% en totale (acoustique + chiro), alors que le fichier CDC donne 0,1% en aoustique et 1,26 en chiro.</text>
  </threadedComment>
  <threadedComment ref="N27" dT="2021-09-20T21:49:18.35" personId="{F21E3EFC-A270-4DAD-BC01-BAC6D31EDBA8}" id="{AA09BECF-2DDB-4B67-96E2-27468C4B1D8D}" parentId="{C366AB10-F018-4B43-A855-1A1055E42A33}">
    <text>je confirme estimation BLX global=1,36% (0,1% acoustique+1,26% chiro). attention, le fichier CDC présentait 2 scénarios de bridage chiro : actuel et futur. le scénario futur est en fait l'actuel (depuis le 01/07/2021). j'ai mis à jour le fichier CDC afin d'éviter les erreur.</text>
  </threadedComment>
  <threadedComment ref="Q27" dT="2021-09-20T11:41:57.59" personId="{6DC6A7D9-E883-4B5E-898F-6C251AFA020E}" id="{265B970E-E039-4348-A37E-FBED621B116F}">
    <text>Repartition sur le Chiro faite sur la base du fichier CDC, car les chiffres sont cohèrentes.</text>
  </threadedComment>
  <threadedComment ref="N28" dT="2021-09-20T09:37:09.54" personId="{6DC6A7D9-E883-4B5E-898F-6C251AFA020E}" id="{235AC549-A81E-4613-A4E5-635AD3E91118}">
    <text>Il y a un leger écart entre DNV qui donne 1,47% en totale (acoustique + chiro), alors que le fichier CDC donne 0,1% en aoustique et 1,26 en chiro.</text>
  </threadedComment>
  <threadedComment ref="N28" dT="2021-09-20T21:49:18.35" personId="{F21E3EFC-A270-4DAD-BC01-BAC6D31EDBA8}" id="{B0EA0E0D-A1B9-4B8E-A9A0-F168B4C2D7F5}" parentId="{235AC549-A81E-4613-A4E5-635AD3E91118}">
    <text>je confirme estimation BLX global=1,36% (0,1% acoustique+1,26% chiro). attention, le fichier CDC présentait 2 scénarios de bridage chiro : actuel et futur. le scénario futur est en fait l'actuel (depuis le 01/07/2021). j'ai mis à jour le fichier CDC afin d'éviter les erreur.</text>
  </threadedComment>
  <threadedComment ref="Q28" dT="2021-09-20T11:41:57.59" personId="{6DC6A7D9-E883-4B5E-898F-6C251AFA020E}" id="{077C53FB-14D2-48FB-BE82-5364B3F52CE9}">
    <text>Repartition sur le Chiro faite sur la base du fichier CDC, car les chiffres sont cohèrentes.</text>
  </threadedComment>
  <threadedComment ref="N29" dT="2021-09-20T09:37:09.54" personId="{6DC6A7D9-E883-4B5E-898F-6C251AFA020E}" id="{F0AC8A95-9DC4-4A5D-BA21-E01F70402CE1}">
    <text>Il y a un leger écart entre DNV qui donne 1,47% en totale (acoustique + chiro), alors que le fichier CDC donne 0,1% en aoustique et 1,26 en chiro.</text>
  </threadedComment>
  <threadedComment ref="N29" dT="2021-09-20T21:49:18.35" personId="{F21E3EFC-A270-4DAD-BC01-BAC6D31EDBA8}" id="{DAD13B41-246F-4283-A492-3C5B949947D6}" parentId="{F0AC8A95-9DC4-4A5D-BA21-E01F70402CE1}">
    <text>je confirme estimation BLX global=1,36% (0,1% acoustique+1,26% chiro). attention, le fichier CDC présentait 2 scénarios de bridage chiro : actuel et futur. le scénario futur est en fait l'actuel (depuis le 01/07/2021). j'ai mis à jour le fichier CDC afin d'éviter les erreur.</text>
  </threadedComment>
  <threadedComment ref="Q29" dT="2021-09-20T11:41:57.59" personId="{6DC6A7D9-E883-4B5E-898F-6C251AFA020E}" id="{E17C8F06-6EF1-41C5-B218-7C01C291F7AC}">
    <text>Repartition sur le Chiro faite sur la base du fichier CDC, car les chiffres sont cohèrentes.</text>
  </threadedComment>
  <threadedComment ref="N30" dT="2021-09-20T16:54:50.68" personId="{F21E3EFC-A270-4DAD-BC01-BAC6D31EDBA8}" id="{F9BC4A84-1249-4899-B22E-E7E2A8ADFA73}">
    <text>je ne retrouve pas pourquoi le % de pertes est passé à 1% en 2021. avec le bridage non optimisé, le calcul était de 0.23% par rapport à la prod totale du parc. avec le mode optimisé NRO98,5, le % aurait dû être plus faible. calcul avec le NRO98,5 a retrouvé auprès de KC.</text>
  </threadedComment>
  <threadedComment ref="K38" dT="2021-09-20T13:59:26.60" personId="{6DC6A7D9-E883-4B5E-898F-6C251AFA020E}" id="{B32117DF-63DF-4189-9C42-5CE9B60CF287}">
    <text>réel 95,75% 2020-2021</text>
  </threadedComment>
  <threadedComment ref="Q38" dT="2021-09-20T22:03:58.67" personId="{F21E3EFC-A270-4DAD-BC01-BAC6D31EDBA8}" id="{8767769A-4F55-46FA-9AEF-B3C09CB6E38A}">
    <text>bridage chiro maison activé depuis le 7 mai 2021. % pertes calculés par FR.</text>
  </threadedComment>
  <threadedComment ref="K39" dT="2021-09-20T13:59:26.60" personId="{6DC6A7D9-E883-4B5E-898F-6C251AFA020E}" id="{F208878C-6F23-4FE7-B2E4-F6435F034934}">
    <text>réel 95,75% 2020-2021</text>
  </threadedComment>
  <threadedComment ref="Q39" dT="2021-09-20T22:03:58.67" personId="{F21E3EFC-A270-4DAD-BC01-BAC6D31EDBA8}" id="{02E4959A-1F19-4617-8B29-0A3601D11EE0}">
    <text>bridage chiro maison activé depuis le 7 mai 2021. % pertes calculés par FR.</text>
  </threadedComment>
  <threadedComment ref="K40" dT="2021-09-20T13:59:26.60" personId="{6DC6A7D9-E883-4B5E-898F-6C251AFA020E}" id="{103885B2-22DF-41EA-A4D4-AD765104AC88}">
    <text>réel 96,85% 2020-2021</text>
  </threadedComment>
  <threadedComment ref="K41" dT="2021-09-20T13:59:26.60" personId="{6DC6A7D9-E883-4B5E-898F-6C251AFA020E}" id="{378D7A68-E4FB-4C13-9563-B27A99B03B26}">
    <text>réel 96,85% 2020-2021</text>
  </threadedComment>
  <threadedComment ref="K42" dT="2021-09-20T13:59:26.60" personId="{6DC6A7D9-E883-4B5E-898F-6C251AFA020E}" id="{B53CE3CE-127C-46B6-B76D-3D8A71E4451D}">
    <text>réel 96,85% 2020-2021</text>
  </threadedComment>
  <threadedComment ref="N43" dT="2021-09-20T13:42:18.11" personId="{6DC6A7D9-E883-4B5E-898F-6C251AFA020E}" id="{0139AEC1-2D04-41E4-88C6-1CF270EEADBA}">
    <text>Valeur assumé historiquement et en ligne avec le fichier des bridages CDC.</text>
  </threadedComment>
  <threadedComment ref="N43" dT="2021-09-20T22:07:25.12" personId="{F21E3EFC-A270-4DAD-BC01-BAC6D31EDBA8}" id="{5C62F9AB-B576-4B11-A0F4-7424CE39436C}" parentId="{0139AEC1-2D04-41E4-88C6-1CF270EEADBA}">
    <text>je ne retrouve pas le calcul d'estimation des pertes acoustiques</text>
  </threadedComment>
  <threadedComment ref="N43" dT="2021-09-21T08:18:12.72" personId="{F21E3EFC-A270-4DAD-BC01-BAC6D31EDBA8}" id="{C282BBFC-6AF7-48F6-8642-83983AFE460D}" parentId="{0139AEC1-2D04-41E4-88C6-1CF270EEADBA}">
    <text>rapport DNV du 27/08/2021 établi dans le cadre de la cession confirme :  0,6%</text>
  </threadedComment>
  <threadedComment ref="Q43" dT="2021-09-20T13:41:43.28" personId="{6DC6A7D9-E883-4B5E-898F-6C251AFA020E}" id="{9BAC39FA-E695-42C9-BB08-B8FD301E8189}">
    <text>valeur estimé par Kloé suite à la demande de mise en drapeau à partir de 6 m/s.</text>
  </threadedComment>
  <threadedComment ref="Q43" dT="2021-09-20T22:05:28.73" personId="{F21E3EFC-A270-4DAD-BC01-BAC6D31EDBA8}" id="{3DF6EEEB-14D0-4596-A4F7-301E2C82C082}" parentId="{9BAC39FA-E695-42C9-BB08-B8FD301E8189}">
    <text>le bridage chiro doit être en place au plus tard au 01 juin 2022 (par APC)</text>
  </threadedComment>
  <threadedComment ref="Q44" dT="2021-05-12T16:58:09.97" personId="{F21E3EFC-A270-4DAD-BC01-BAC6D31EDBA8}" id="{4B5D0518-3066-4D3A-AA94-0EBFF7A6C184}">
    <text>bridage Avifaune 2.1% (0,4% Pré+1.7% Post) (KC)+chiro à prévoir 1.9%(APC) (FR). Valeur reprise au Forecast T1 2021.</text>
  </threadedComment>
  <threadedComment ref="Q45" dT="2021-05-12T16:58:09.97" personId="{F21E3EFC-A270-4DAD-BC01-BAC6D31EDBA8}" id="{406BB15D-79EB-46D9-AB52-8D650B8FEE00}">
    <text>bridage Avifaune 2.1% (0,4% Pré+1.7% Post) (KC)+chiro à prévoir 1.9%(APC) (FR). Valeur reprise au Forecast T1 2021.</text>
  </threadedComment>
  <threadedComment ref="Q46" dT="2021-05-12T16:58:09.97" personId="{F21E3EFC-A270-4DAD-BC01-BAC6D31EDBA8}" id="{A5DD77CD-44CE-4238-B344-A9C83E8910B0}">
    <text>bridage Avifaune 2.1% (0,4% Pré+1.7% Post) (KC)+chiro à prévoir 1.9%(APC) (FR). Valeur reprise au Forecast T1 2021.</text>
  </threadedComment>
  <threadedComment ref="K47" dT="2021-09-20T13:59:26.60" personId="{6DC6A7D9-E883-4B5E-898F-6C251AFA020E}" id="{42022060-B6BF-4177-B6FB-C7F788C27ABA}">
    <text>réel 95,75% 2020-2021</text>
  </threadedComment>
  <threadedComment ref="M48" dT="2021-09-21T08:23:04.24" personId="{F21E3EFC-A270-4DAD-BC01-BAC6D31EDBA8}" id="{20E8FE22-EE8D-4448-9AF1-F8B30D3C8FB3}">
    <text>calcul à revérifier avec plans de rbidage actuels (Emilie)</text>
  </threadedComment>
  <threadedComment ref="Q48" dT="2021-09-20T22:13:27.45" personId="{F21E3EFC-A270-4DAD-BC01-BAC6D31EDBA8}" id="{2875145C-CCCB-4E60-AFFE-48F58194EEF3}">
    <text>note : ne prend pas en compte la possible augmentation de la vitesses à 7m/s en juillet et aout. (non encore actée)</text>
  </threadedComment>
  <threadedComment ref="Q49" dT="2021-09-20T22:13:27.45" personId="{F21E3EFC-A270-4DAD-BC01-BAC6D31EDBA8}" id="{956C05CF-D4A7-42B1-938C-B57458024BB9}">
    <text>note : ne prend pas en compte la possible augmentation de la vitesses à 7m/s en juillet et aout. (non encore actée)</text>
  </threadedComment>
  <threadedComment ref="Q50" dT="2021-09-20T22:13:27.45" personId="{F21E3EFC-A270-4DAD-BC01-BAC6D31EDBA8}" id="{4BCD8896-9714-4CF9-9DBC-3953B579C53C}">
    <text>note : ne prend pas en compte la possible augmentation de la vitesses à 7m/s en juillet et aout. (non encore actée)</text>
  </threadedComment>
  <threadedComment ref="K51" dT="2021-09-20T14:07:19.78" personId="{6DC6A7D9-E883-4B5E-898F-6C251AFA020E}" id="{FE41E299-9C55-4627-AC37-0F1C80B7DC29}">
    <text>cette valeur inclut ~7% de givre.</text>
  </threadedComment>
  <threadedComment ref="N51" dT="2021-09-20T16:55:49.19" personId="{F21E3EFC-A270-4DAD-BC01-BAC6D31EDBA8}" id="{FA8BB69E-B168-46AC-A49A-484D05E62CE4}">
    <text>Calcul par KC suite plans de bridages post-implantations finalisés (activés en juillet 2021) (voir mail)</text>
  </threadedComment>
  <threadedComment ref="S51" dT="2021-09-20T14:29:51.52" personId="{6DC6A7D9-E883-4B5E-898F-6C251AFA020E}" id="{A9744049-B42A-447E-BA3E-0D9EAC8B04A5}">
    <text>Integré la nouvelle detection de givre par programme automate.</text>
  </threadedComment>
  <threadedComment ref="K52" dT="2021-09-20T14:07:19.78" personId="{6DC6A7D9-E883-4B5E-898F-6C251AFA020E}" id="{3EB65B08-1A18-41C2-BFF0-F4E18E31B4F2}">
    <text>cette valeur inclut ~7% de givre.</text>
  </threadedComment>
  <threadedComment ref="N52" dT="2021-09-20T16:55:49.19" personId="{F21E3EFC-A270-4DAD-BC01-BAC6D31EDBA8}" id="{2DD77678-5A52-42A4-BD07-90D68E84BC96}">
    <text>Calcul par KC suite plans de bridages post-implantations finalisés (activés en juillet 2021) (voir mail)</text>
  </threadedComment>
  <threadedComment ref="S52" dT="2021-09-20T14:29:51.52" personId="{6DC6A7D9-E883-4B5E-898F-6C251AFA020E}" id="{B969FAC1-7E30-4559-B96D-67485AACB54B}">
    <text>Integré la nouvelle detection de givre par programme automate.</text>
  </threadedComment>
  <threadedComment ref="Q53" dT="2021-05-12T16:59:00.26" personId="{F21E3EFC-A270-4DAD-BC01-BAC6D31EDBA8}" id="{2371509A-A19B-4B40-B325-8040AC82606A}">
    <text>bridage classique à 2,68% (KC). remplacé par 1/10ième de nuit (depuis 16/03/2021) : nouvelle estimation à 1,45%.</text>
  </threadedComment>
  <threadedComment ref="Q54" dT="2021-05-12T17:00:24.18" personId="{F21E3EFC-A270-4DAD-BC01-BAC6D31EDBA8}" id="{C5F78CC3-2FF1-4601-AB9C-2038251ADCD5}">
    <text>APC en cours de signature =2,2% (bridage avifaune)(KC)+2.42% (FR) (bridage chiro)=4.62%</text>
  </threadedComment>
  <threadedComment ref="Q55" dT="2021-05-28T07:22:50.95" personId="{F21E3EFC-A270-4DAD-BC01-BAC6D31EDBA8}" id="{2166E888-8CA9-445B-A42E-6220A09A3A3E}">
    <text>calcul en cours par Florent. mais 0,4% devrait être cohérent</text>
  </threadedComment>
  <threadedComment ref="Q55" dT="2021-06-01T13:26:46.91" personId="{AF10249F-738D-41F0-A533-021E8FF4740D}" id="{6708B8B6-1CF7-4AE8-B14C-452A28EB9EFC}" parentId="{2166E888-8CA9-445B-A42E-6220A09A3A3E}">
    <text>dernier calcul de Florent à 0.05%</text>
  </threadedComment>
  <threadedComment ref="N56" dT="2021-09-20T17:00:17.29" personId="{F21E3EFC-A270-4DAD-BC01-BAC6D31EDBA8}" id="{27BD56E6-4C71-496E-82CE-49DBA7455C96}">
    <text>estimation senvion avec équipement de serrations (doc 2016 Noise Assessment 8WTG). réception post-implantation en cours de finalisation (nord est). Bridage attendu pour fin 2021/début 2022.</text>
  </threadedComment>
  <threadedComment ref="N57" dT="2021-09-20T17:00:17.29" personId="{F21E3EFC-A270-4DAD-BC01-BAC6D31EDBA8}" id="{ED51DABE-0D7A-4383-8464-3A46BA417999}">
    <text>estimation senvion avec équipement de serrations (doc 2016 Noise Assessment 8WTG). réception post-implantation en cours de finalisation (nord est). Bridage attendu pour fin 2021/début 2022.</text>
  </threadedComment>
  <threadedComment ref="K59" dT="2021-09-19T19:54:24.49" personId="{6DC6A7D9-E883-4B5E-898F-6C251AFA020E}" id="{78F993B4-9C9C-4A88-8920-6881942611BE}">
    <text>historique 2020-21 à 99,2%</text>
  </threadedComment>
  <threadedComment ref="N59" dT="2021-09-19T19:50:17.54" personId="{6DC6A7D9-E883-4B5E-898F-6C251AFA020E}" id="{D33BFC2F-6D31-4EFF-B5F3-2DC9FE644480}">
    <text>la reduction du bridage de 0,6% grace aux French Modes est incluse dans la colonne amelioration (ce qui explique la differnce entre 2,2% de DNV et 2,8% repoté ici).</text>
  </threadedComment>
  <threadedComment ref="O59" dT="2021-09-21T09:59:36.32" personId="{476314FE-55A5-4310-8E79-B1067C2E8ADD}" id="{0C25BFE3-4202-49B2-B984-7B9A21352D5A}">
    <text>Inclus dans le bridage acoustique</text>
  </threadedComment>
  <threadedComment ref="Q59" dT="2021-09-20T22:15:56.06" personId="{F21E3EFC-A270-4DAD-BC01-BAC6D31EDBA8}" id="{9372F09E-43B8-4A84-88E5-71B9ECCF39E2}">
    <text>je dois confirmer avec Vézians.</text>
  </threadedComment>
  <threadedComment ref="S59" dT="2021-09-19T19:48:37.51" personId="{6DC6A7D9-E883-4B5E-898F-6C251AFA020E}" id="{4A4CF59C-3B93-4D0F-8118-009D769E90F5}">
    <text>reduction des pertes de 2,8% à 2,2%, selon étude DNV amelioration suite à l'activation des French Modes</text>
  </threadedComment>
  <threadedComment ref="K60" dT="2021-09-19T19:54:24.49" personId="{6DC6A7D9-E883-4B5E-898F-6C251AFA020E}" id="{417778EE-C782-4D16-9A9A-0B235DAE6DF8}">
    <text>historique 2020-21 à 99,2%</text>
  </threadedComment>
  <threadedComment ref="N60" dT="2021-09-19T19:50:17.54" personId="{6DC6A7D9-E883-4B5E-898F-6C251AFA020E}" id="{99EE5BD6-179D-4101-831D-2BC6ECBFFA3C}">
    <text>la reduction du bridage de 0,6% grace aux French Modes est incluse dans la colonne amelioration (ce qui explique la differnce entre 2,2% de DNV et 2,8% repoté ici).</text>
  </threadedComment>
  <threadedComment ref="O60" dT="2021-09-21T09:59:36.32" personId="{476314FE-55A5-4310-8E79-B1067C2E8ADD}" id="{0AB4CFB7-5596-419F-AF57-BDD24CD25AA3}">
    <text>Inclus dans le bridage acoustique</text>
  </threadedComment>
  <threadedComment ref="Q60" dT="2021-09-20T22:15:56.06" personId="{F21E3EFC-A270-4DAD-BC01-BAC6D31EDBA8}" id="{B2090050-7DA9-4020-936C-7E8A7D37F82E}">
    <text>je dois confirmer avec Vézians.</text>
  </threadedComment>
  <threadedComment ref="S60" dT="2021-09-19T19:48:44.92" personId="{6DC6A7D9-E883-4B5E-898F-6C251AFA020E}" id="{85E02F33-484E-48E5-9EF9-8EEB4FC8473A}">
    <text>reduction des pertes de 2,8% à 2,2%, selon étude DNV amelioration suite à l'activation des French Modes</text>
  </threadedComment>
  <threadedComment ref="K61" dT="2021-09-19T19:54:24.49" personId="{6DC6A7D9-E883-4B5E-898F-6C251AFA020E}" id="{0C613E49-BA01-4BBE-9B2B-35FE64A6E803}">
    <text>historique 2020-21 à 98,5%</text>
  </threadedComment>
  <threadedComment ref="S61" dT="2021-09-19T20:29:03.29" personId="{6DC6A7D9-E883-4B5E-898F-6C251AFA020E}" id="{57A69444-A864-4B6B-B878-7E4B1688594A}">
    <text>l'éffet de l'amelioration est partiellement integré dans les calculs DNV.</text>
  </threadedComment>
  <threadedComment ref="K62" dT="2021-09-19T19:54:24.49" personId="{6DC6A7D9-E883-4B5E-898F-6C251AFA020E}" id="{222942E7-0123-4E0A-8AFB-DE58A4396E03}">
    <text>historique 2020-21 à 98,5%</text>
  </threadedComment>
  <threadedComment ref="S62" dT="2021-09-19T20:29:03.29" personId="{6DC6A7D9-E883-4B5E-898F-6C251AFA020E}" id="{6BE3735A-EDD4-4F3C-8FD7-2CA2FB7CF2F0}">
    <text>l'éffet de l'amelioration est partiellement integré dans les calculs DNV.</text>
  </threadedComment>
  <threadedComment ref="K63" dT="2021-09-19T19:54:24.49" personId="{6DC6A7D9-E883-4B5E-898F-6C251AFA020E}" id="{FB1C7DA7-8C1D-4241-9EDF-91A534678E3C}">
    <text>historique 2020-21 à 97,5%</text>
  </threadedComment>
  <threadedComment ref="N63" dT="2021-09-20T08:56:49.65" personId="{6DC6A7D9-E883-4B5E-898F-6C251AFA020E}" id="{CFB9C142-954B-4D42-95D5-1892D792282D}">
    <text>Il y a legèr écart entre DNV qui donne un curtailment globale de 0,64% (acoustique), et le fichier des bridages CDC qui porte sur 0,5%.</text>
  </threadedComment>
  <threadedComment ref="N63" dT="2021-09-20T19:14:30.80" personId="{F21E3EFC-A270-4DAD-BC01-BAC6D31EDBA8}" id="{C55523BF-306B-47BA-9A7F-46B1DD41A487}" parentId="{CFB9C142-954B-4D42-95D5-1892D792282D}">
    <text>le seul calcul que je retrouve de Kloé est à 0.8% (mail du 30/07/2019 calcul sur 360°). je ne retrouve pas le calcul qui a abouti à 0.5%</text>
  </threadedComment>
  <threadedComment ref="O63" dT="2021-09-21T09:59:36.32" personId="{476314FE-55A5-4310-8E79-B1067C2E8ADD}" id="{FFBD4360-BE43-4C64-BA12-DA6C3AB1B99E}">
    <text>Inclus dans le bridage acoustique</text>
  </threadedComment>
  <threadedComment ref="Q63" dT="2021-09-20T22:18:51.05" personId="{F21E3EFC-A270-4DAD-BC01-BAC6D31EDBA8}" id="{69FA4690-97D9-47AF-9273-CE2645DF23DE}">
    <text>mise en drapeau prévu en 2022 pour les chiros. pas d'estimation à ce jour.</text>
  </threadedComment>
  <threadedComment ref="S63" dT="2021-09-19T20:29:03.29" personId="{6DC6A7D9-E883-4B5E-898F-6C251AFA020E}" id="{150B91AE-2B84-469D-A409-807B08F27E6E}">
    <text>l'éffet de l'amelioration est partiellement integré dans les calculs DNV.</text>
  </threadedComment>
  <threadedComment ref="K64" dT="2021-09-19T19:54:24.49" personId="{6DC6A7D9-E883-4B5E-898F-6C251AFA020E}" id="{FBA3283E-69F3-47AA-801A-B1513AF0BDB2}">
    <text>historique 2020-21 à 98,3%</text>
  </threadedComment>
  <threadedComment ref="N64" dT="2021-09-19T20:55:17.19" personId="{6DC6A7D9-E883-4B5E-898F-6C251AFA020E}" id="{1640ECDF-05A9-434E-9E41-BD1E1F28B2B2}">
    <text>ATTENTION, écart significatif :  le nouveau rapport DNV donne 2,58% (acoiustique + chiro)  alors que le fichier des bridages CDC donne 3,6% (l'historique porte sur ~3,7%)</text>
  </threadedComment>
  <threadedComment ref="N64" dT="2021-09-20T18:51:05.84" personId="{F21E3EFC-A270-4DAD-BC01-BAC6D31EDBA8}" id="{91595E5A-CDC2-41E5-B6BC-A211061F7A5D}" parentId="{1640ECDF-05A9-434E-9E41-BD1E1F28B2B2}">
    <text>@Giannino Martin, j'ai vérifié. les plans de bridages acoustiques sont bon. j'ai retrouvé le calcul e KC à 3.63%. pas de bridage chiro à ce jour sur MET.</text>
    <mentions>
      <mention mentionpersonId="{619F99DD-C690-4240-9808-1E7846C19FF1}" mentionId="{0948F714-2C2C-43B0-B1A3-BF1B6DDBF92E}" startIndex="0" length="16"/>
    </mentions>
  </threadedComment>
  <threadedComment ref="N64" dT="2021-09-21T12:30:05.21" personId="{6DC6A7D9-E883-4B5E-898F-6C251AFA020E}" id="{3067B945-5A8B-4352-BEFE-3805BDB3DE13}" parentId="{1640ECDF-05A9-434E-9E41-BD1E1F28B2B2}">
    <text>dernire valeur DNV du 21/09: 3,0%</text>
  </threadedComment>
  <threadedComment ref="O64" dT="2021-09-21T09:39:45.53" personId="{476314FE-55A5-4310-8E79-B1067C2E8ADD}" id="{0384CDDD-C5D9-486C-8D48-E89DB5B49E5E}">
    <text>Inclus dans le bridage acoustique</text>
  </threadedComment>
  <threadedComment ref="K65" dT="2021-09-19T19:54:24.49" personId="{6DC6A7D9-E883-4B5E-898F-6C251AFA020E}" id="{8F123D9B-5EDA-41CD-812C-2CE07A1D352B}">
    <text>historique 2020-21 à 98,0%</text>
  </threadedComment>
  <threadedComment ref="N65" dT="2021-09-20T12:34:32.77" personId="{6DC6A7D9-E883-4B5E-898F-6C251AFA020E}" id="{1100440F-CE49-4BA2-9A21-3F76D2E35079}">
    <text>ATTENTION, écart significatif :  le nouveau rapport DNV donne 4,50% (acoustique + chiro)  alors que le fichier des bridages CDC donne 6,75% (historique ~5,1%) +0,8% en chiro (historique ~0,1%).</text>
  </threadedComment>
  <threadedComment ref="N65" dT="2021-09-20T19:48:21.06" personId="{F21E3EFC-A270-4DAD-BC01-BAC6D31EDBA8}" id="{A7165543-99C4-4B38-9C3C-4600441BAB9A}" parentId="{1100440F-CE49-4BA2-9A21-3F76D2E35079}">
    <text>@Giannino Martin, erreur de saisie sur 1 mode (classe soirée, E8 à 6m/s) dans le fichier centralisé de bridage utilisé par DNV (voir mail séparé). le bridage actif est correct. le calcul de KC à 6,75% est basé sur le bridage correct. je confirme le calcul de KC à 0,8% pour les chiros.</text>
    <mentions>
      <mention mentionpersonId="{619F99DD-C690-4240-9808-1E7846C19FF1}" mentionId="{8E5A033F-779C-4651-AD0C-AD62761AF882}" startIndex="0" length="16"/>
    </mentions>
  </threadedComment>
  <threadedComment ref="N65" dT="2021-09-21T12:31:26.28" personId="{6DC6A7D9-E883-4B5E-898F-6C251AFA020E}" id="{E2ED598F-3644-4B71-BEAE-18DB6F9BAA6B}" parentId="{1100440F-CE49-4BA2-9A21-3F76D2E35079}">
    <text>dernière valeur DNV du 21/09 à 4,2% en acoustique</text>
  </threadedComment>
  <threadedComment ref="O65" dT="2021-09-21T09:39:45.53" personId="{476314FE-55A5-4310-8E79-B1067C2E8ADD}" id="{CF144AF2-9446-49D8-8E0C-0E83609714E0}">
    <text>Inclus dans le bridage acoustique</text>
  </threadedComment>
  <threadedComment ref="Q65" dT="2021-09-20T10:44:36.07" personId="{6DC6A7D9-E883-4B5E-898F-6C251AFA020E}" id="{B9F7C37F-6500-41F0-9E4D-2EF46372FC26}">
    <text>Bridage chiro intergé avec l'acoustique par DNV, dans le fichier CDC nous avions 0,8%.</text>
  </threadedComment>
  <threadedComment ref="Q65" dT="2021-09-21T12:33:16.90" personId="{6DC6A7D9-E883-4B5E-898F-6C251AFA020E}" id="{E06DAC2A-B638-4623-ACFF-D012173641EF}" parentId="{B9F7C37F-6500-41F0-9E4D-2EF46372FC26}">
    <text>dernière valeur DNV du 21/09 à 0,2% en chiro</text>
  </threadedComment>
  <threadedComment ref="K66" dT="2021-09-19T19:54:24.49" personId="{6DC6A7D9-E883-4B5E-898F-6C251AFA020E}" id="{20A4B01F-47B0-4388-AB3B-C6E28A6508A1}">
    <text>historique 2020-21 à 99,1%</text>
  </threadedComment>
  <threadedComment ref="N66" dT="2021-09-19T20:55:17.19" personId="{6DC6A7D9-E883-4B5E-898F-6C251AFA020E}" id="{28D43D78-E8E4-41A4-9FC7-CDB6B511BD2D}">
    <text>il y a encore lèger écart apres correction du nouveau rapport DNV avec 4,9%,  alors que le fichier des bridages CDC donne 6,12% en acoustique et 0,80% en chiro. L'historque poure sur 4,1%.</text>
  </threadedComment>
  <threadedComment ref="N66" dT="2021-09-20T20:05:15.60" personId="{F21E3EFC-A270-4DAD-BC01-BAC6D31EDBA8}" id="{0BB36747-2BA4-4255-9CF6-B57254A0A94D}" parentId="{28D43D78-E8E4-41A4-9FC7-CDB6B511BD2D}">
    <text>@Giannino Martin, je confirme le 6,1% pour l'acoustique. pour spécificité ici, les secteurs angulaires proposés par l'acousticien ne sont pas identiques. Or l'outil interne Boralex ne travaille qu'avec des plages angulaires de même taille. Kloé a dû appliquer le plan de bridage NE sur le secteur [270;90[ et le SO sur [90;270[ (au lieu de [315;90[ et [90;315]). Pour les pertes chiro, je ne retrouve pas les 0,8%. l'estimation que j'ai est celle de DNV en 2018 à 0,3% (sur la base des critères toujours d'actualité à ce jour).</text>
    <mentions>
      <mention mentionpersonId="{619F99DD-C690-4240-9808-1E7846C19FF1}" mentionId="{0D0AA0A1-8EA4-4F35-9E56-56932DC1B117}" startIndex="0" length="16"/>
    </mentions>
  </threadedComment>
  <threadedComment ref="O66" dT="2021-09-21T09:39:45.53" personId="{476314FE-55A5-4310-8E79-B1067C2E8ADD}" id="{F53719F4-310F-45E8-B1E9-830522E94EB2}">
    <text>Inclus dans le bridage acoustique</text>
  </threadedComment>
  <threadedComment ref="Q66" dT="2021-09-20T10:44:36.07" personId="{6DC6A7D9-E883-4B5E-898F-6C251AFA020E}" id="{4BEE42A0-7322-41F1-9615-596C33BF74BE}">
    <text>Verifier si le bridage chiro est intergé ou pas avec l'acoustique par DNV (la valeur corrigée de 4,9%), dans le fichier CDC nous avions 0,8%.</text>
  </threadedComment>
  <threadedComment ref="Q66" dT="2021-09-20T22:22:06.25" personId="{F21E3EFC-A270-4DAD-BC01-BAC6D31EDBA8}" id="{1A63A880-722C-4A76-8BB8-ED26AB0E0CE7}" parentId="{4BEE42A0-7322-41F1-9615-596C33BF74BE}">
    <text>Je ne retrouve pas le calcul des 0,8%. bridage de E2 et E5 uniquement.</text>
  </threadedComment>
  <threadedComment ref="Q66" dT="2021-09-21T12:27:54.36" personId="{6DC6A7D9-E883-4B5E-898F-6C251AFA020E}" id="{45F604F3-710E-4AF4-B35F-CD77D3DF6152}" parentId="{4BEE42A0-7322-41F1-9615-596C33BF74BE}">
    <text>dernier info le 21/09: chiro = 0,3%</text>
  </threadedComment>
  <threadedComment ref="S66" dT="2021-09-19T20:29:03.29" personId="{6DC6A7D9-E883-4B5E-898F-6C251AFA020E}" id="{F22557D2-66DE-4342-A616-B49F7B5E0387}">
    <text>l'éffet de l'amelioration est partiellement integré dans les calculs DNV.</text>
  </threadedComment>
  <threadedComment ref="K67" dT="2021-09-19T19:54:24.49" personId="{6DC6A7D9-E883-4B5E-898F-6C251AFA020E}" id="{CB2D9A16-845B-4636-AE4D-FA5A0D20EC92}">
    <text>historique 2020-21 à 99,5%</text>
  </threadedComment>
  <threadedComment ref="N67" dT="2021-09-20T12:55:49.74" personId="{6DC6A7D9-E883-4B5E-898F-6C251AFA020E}" id="{52389786-428F-4254-87ED-2554F0AC1BDD}">
    <text>Pas d'estimation précise par DNV, assumons la valeur du fichier bridage CDC.</text>
  </threadedComment>
  <threadedComment ref="N67" dT="2021-09-21T12:34:51.52" personId="{6DC6A7D9-E883-4B5E-898F-6C251AFA020E}" id="{0985B3AE-9FBA-450E-A4A4-A88099BBEB32}" parentId="{52389786-428F-4254-87ED-2554F0AC1BDD}">
    <text>dernière valeur DNV du 21/09 à 0,9% en acoustique</text>
  </threadedComment>
  <threadedComment ref="O67" dT="2021-09-21T09:39:45.53" personId="{476314FE-55A5-4310-8E79-B1067C2E8ADD}" id="{6568BDE4-1267-43DE-AF31-F6DDABF86291}">
    <text>Inclus dans le bridage acoustique</text>
  </threadedComment>
  <threadedComment ref="O67" dT="2021-09-21T12:43:31.22" personId="{6DC6A7D9-E883-4B5E-898F-6C251AFA020E}" id="{A4A62335-CAB1-4CCA-9249-BBCA63D6DF07}" parentId="{6568BDE4-1267-43DE-AF31-F6DDABF86291}">
    <text>dernière info DNV du 21/07: Bridage chiro = 1,1%, le bridage Milan est dans la dispo.</text>
  </threadedComment>
  <threadedComment ref="Q67" dT="2021-09-20T12:55:49.74" personId="{6DC6A7D9-E883-4B5E-898F-6C251AFA020E}" id="{7FBCA2AE-53BF-438B-9D10-B56FA8A68B80}">
    <text>Pas d'estimation précise par DNV, mais comptabilisation des arrêts chiro dans le 1,98% de curtailment. En revanche, le Milan Royal a été compatbilisé par DNV comme unavailability à la hauteur 6,73%, ce qui est pour la plus part du bridage. La dispo technique est ~99,5%. Le bridage agricole se confirme ~5,1% pour 2021. Avec la validation de l'IDF on passera à 1% de pertes pour Milan à partir de la saison 2022;.</text>
  </threadedComment>
  <threadedComment ref="Q67" dT="2021-09-21T12:41:01.95" personId="{6DC6A7D9-E883-4B5E-898F-6C251AFA020E}" id="{8185198F-2217-4536-A4D2-129A63A78873}" parentId="{7FBCA2AE-53BF-438B-9D10-B56FA8A68B80}">
    <text>derière info DNV du 21/09/2021: chiro à 1,1%</text>
  </threadedComment>
  <threadedComment ref="S67" dT="2021-09-19T20:29:03.29" personId="{6DC6A7D9-E883-4B5E-898F-6C251AFA020E}" id="{68B36001-1F0D-4F0E-A869-6CBAB48EACD8}">
    <text>En 2022 nous prennons l'hypothèse d'une amelioration d'environs 4% entre la situation de bridage agricole plus horaire (~5% de pertes comptabilisés en 2021) et la situation avec IDF (avec ~1% de pertes estimés)</text>
  </threadedComment>
  <threadedComment ref="K68" dT="2021-09-19T19:54:24.49" personId="{6DC6A7D9-E883-4B5E-898F-6C251AFA020E}" id="{8099E698-9782-4AD3-A534-38822B8A1CA8}">
    <text>historique 2020-21 à 99,5%</text>
  </threadedComment>
  <threadedComment ref="N68" dT="2021-09-20T12:55:49.74" personId="{6DC6A7D9-E883-4B5E-898F-6C251AFA020E}" id="{594F5B5B-FE02-4B4A-9291-B92B2F554DEB}">
    <text>Pas d'estimation précise par DNV, assumons la valeur du fichier bridage CDC.</text>
  </threadedComment>
  <threadedComment ref="N68" dT="2021-09-21T12:34:51.52" personId="{6DC6A7D9-E883-4B5E-898F-6C251AFA020E}" id="{835AA885-AEF5-4392-9647-0A7C3224701F}" parentId="{594F5B5B-FE02-4B4A-9291-B92B2F554DEB}">
    <text>dernière valeur DNV du 21/09 à 0,9% en acoustique</text>
  </threadedComment>
  <threadedComment ref="O68" dT="2021-09-21T09:39:45.53" personId="{476314FE-55A5-4310-8E79-B1067C2E8ADD}" id="{A560C9AB-923B-46CF-B332-7AFEC4CD3744}">
    <text>Inclus dans le bridage acoustique</text>
  </threadedComment>
  <threadedComment ref="O68" dT="2021-09-21T12:43:31.22" personId="{6DC6A7D9-E883-4B5E-898F-6C251AFA020E}" id="{C9073EA7-5FB9-46C7-BDCB-48BECDAD64CB}" parentId="{A560C9AB-923B-46CF-B332-7AFEC4CD3744}">
    <text>dernière info DNV du 21/07: Bridage chiro = 1,1%, le bridage Milan est dans la dispo.</text>
  </threadedComment>
  <threadedComment ref="Q68" dT="2021-09-20T12:55:49.74" personId="{6DC6A7D9-E883-4B5E-898F-6C251AFA020E}" id="{C52A818D-F073-4BA3-835F-B33EA4242859}">
    <text>Pas d'estimation précise par DNV, mais comptabilisation des arrêts chiro dans le 1,98% de curtailment. En revanche, le Milan Royal a été compatbilisé par DNV comme unavailability à la hauteur 6,73%, ce qui est pour la plus part du bridage. La dispo technique est ~99,5%. Le bridage agricole se confirme ~5,1% pour 2021. Avec la validation de l'IDF on passera à 1% de pertes pour Milan à partir de la saison 2022;.</text>
  </threadedComment>
  <threadedComment ref="Q68" dT="2021-09-21T12:41:01.95" personId="{6DC6A7D9-E883-4B5E-898F-6C251AFA020E}" id="{41044E8C-64E1-4EBC-88F5-B5BD290C9EA7}" parentId="{C52A818D-F073-4BA3-835F-B33EA4242859}">
    <text>derière info DNV du 21/09/2021: chiro à 1,1%</text>
  </threadedComment>
  <threadedComment ref="S68" dT="2021-09-19T20:29:03.29" personId="{6DC6A7D9-E883-4B5E-898F-6C251AFA020E}" id="{32927C28-181D-41A7-B280-B0D63D666A48}">
    <text>En 2022 nous prennons l'hypothèse d'une amelioration d'environs 2% par effet d'une mise en service le mois de juin, avec un 4% anneulle venant de l'écart entre le bridage agricole plus horaire (~5% de pertes comptabilisés en 2021) et la situation avec IDF (avec ~1% de pertes estimés)</text>
  </threadedComment>
  <threadedComment ref="K72" dT="2021-09-19T17:28:18.50" personId="{6DC6A7D9-E883-4B5E-898F-6C251AFA020E}" id="{9886807B-D035-41DA-971A-66148ED7C455}">
    <text>cetta valeur donnée par l'étude dans 2019 inclus un effet du givre, qui en réalité n'étais pas optimisées. Nous recuperons donc 0,6% sur ce parc grace à l'optimisation du givre.</text>
  </threadedComment>
  <threadedComment ref="Q72" dT="2021-05-18T06:42:49.22" personId="{F21E3EFC-A270-4DAD-BC01-BAC6D31EDBA8}" id="{20C3925A-0130-4190-BFC7-FD9CDE6DD916}">
    <text>PPB : bridage chiro en 2022</text>
  </threadedComment>
  <threadedComment ref="S72" dT="2021-09-19T17:42:00.90" personId="{6DC6A7D9-E883-4B5E-898F-6C251AFA020E}" id="{CBE06824-9985-41AF-8D1E-3640BB277EA8}">
    <text>par extrapolation sur Noyers Bucamps, sachant que la detection du givre était mal reglée, nous considerons de recuperer 0,6%.</text>
  </threadedComment>
  <threadedComment ref="K73" dT="2021-09-19T17:28:18.50" personId="{6DC6A7D9-E883-4B5E-898F-6C251AFA020E}" id="{89FA82DC-2024-42F2-ADF7-CF58B04F7252}">
    <text>cetta valeur donnée par l'étude dans 2019 inclus un effet du givre, qui en réalité n'étais pas optimisées. Nous recuperons donc 0,6% sur ce parc grace à l'optimisation du givre.</text>
  </threadedComment>
  <threadedComment ref="S73" dT="2021-09-19T17:42:00.90" personId="{6DC6A7D9-E883-4B5E-898F-6C251AFA020E}" id="{140EC469-4502-426D-A81B-2855592515ED}">
    <text>par extrapolation sur Noyers Bucamps, sachant que la detection du givre était mal reglée, nous considerons de recuperer 0,6%.</text>
  </threadedComment>
  <threadedComment ref="K74" dT="2021-09-19T17:28:18.50" personId="{6DC6A7D9-E883-4B5E-898F-6C251AFA020E}" id="{300CBCB8-1EA7-4166-9639-93D232D337C9}">
    <text>cetta valeur donnée par l'étude dans 2019 inclus un effet du givre, qui en réalité n'étais pas optimisées. Nous recuperons donc 0,6% sur ce parc grace à l'optimisation du givre.</text>
  </threadedComment>
  <threadedComment ref="S74" dT="2021-09-19T17:42:00.90" personId="{6DC6A7D9-E883-4B5E-898F-6C251AFA020E}" id="{C11F264C-1E28-46C8-831E-009EE24576FA}">
    <text>par extrapolation sur Noyers Bucamps, sachant que la detection du givre était mal reglée, nous considerons de recuperer 0,6%.</text>
  </threadedComment>
  <threadedComment ref="N76" dT="2021-09-20T17:28:16.23" personId="{6DC6A7D9-E883-4B5E-898F-6C251AFA020E}" id="{242AA240-D332-4C6E-AE9F-137F370AC0EC}">
    <text>inhérent au calcul</text>
  </threadedComment>
  <threadedComment ref="Q78" dT="2021-05-28T07:52:31.28" personId="{F21E3EFC-A270-4DAD-BC01-BAC6D31EDBA8}" id="{1C28EC71-7DE0-4655-AE90-10C83207736C}">
    <text>Bridage chiro+avifaune très probable en 2022 (négociation en cours)-A ANTICIPER sur 2022</text>
  </threadedComment>
  <threadedComment ref="K81" dT="2021-09-19T17:28:18.50" personId="{6DC6A7D9-E883-4B5E-898F-6C251AFA020E}" id="{DBDA4BE3-120F-4053-8A4D-92D9262ED00B}">
    <text>cetta valeur donnée par l'étude dans 2019 inclus un effet du givre, qui en réalité n'étais pas optimisées. Nous recuperons donc 0,6% sur ce parc grace à l'optimisation du givre.</text>
  </threadedComment>
  <threadedComment ref="S81" dT="2021-09-19T17:42:00.90" personId="{6DC6A7D9-E883-4B5E-898F-6C251AFA020E}" id="{C1F8D208-F828-4269-94B2-2853FFD4084C}">
    <text>par extrapolation sur Noyers Bucamps, sachant que la detection du givre était mal reglée, nous considerons de recuperer 0,6%.</text>
  </threadedComment>
  <threadedComment ref="N82" dT="2021-09-20T17:28:16.23" personId="{6DC6A7D9-E883-4B5E-898F-6C251AFA020E}" id="{1ECA69E6-64BC-49CA-9516-A3B3E9FE1CC0}">
    <text>inhérent au calcul</text>
  </threadedComment>
  <threadedComment ref="Q82" dT="2021-09-20T19:21:42.64" personId="{6DC6A7D9-E883-4B5E-898F-6C251AFA020E}" id="{56410B4D-2D46-47EA-A287-C651CDCF3226}">
    <text>HP de debrider mi année 2022 et ne rester que avec le RADAR (pertes 1%).</text>
  </threadedComment>
  <threadedComment ref="Q82" dT="2021-09-21T08:48:29.00" personId="{F21E3EFC-A270-4DAD-BC01-BAC6D31EDBA8}" id="{44CB4093-0531-4FF7-BEFA-6254F2B6CCE1}" parentId="{56410B4D-2D46-47EA-A287-C651CDCF3226}">
    <text>révision hypothèse 2% pour le radar pertes résiduelles</text>
  </threadedComment>
  <threadedComment ref="N84" dT="2021-09-20T17:28:16.23" personId="{6DC6A7D9-E883-4B5E-898F-6C251AFA020E}" id="{C3C0A59C-AB36-4FFF-A857-23F0C9EEB421}">
    <text>inhérent au calcul</text>
  </threadedComment>
  <threadedComment ref="Q84" dT="2021-09-20T19:22:21.37" personId="{6DC6A7D9-E883-4B5E-898F-6C251AFA020E}" id="{F11595AD-0362-46C4-A19C-C2BA81655176}">
    <text>HP de debrider mi année 2022 et ne rester que avec le RADAR (pertes 1%).</text>
  </threadedComment>
  <threadedComment ref="Q84" dT="2021-09-21T08:48:57.69" personId="{F21E3EFC-A270-4DAD-BC01-BAC6D31EDBA8}" id="{3B21EBA6-7912-4CFB-ACA0-7F112F63C092}" parentId="{F11595AD-0362-46C4-A19C-C2BA81655176}">
    <text>révision à 2% pertes résiduelles pour le radar aulieu de 1%</text>
  </threadedComment>
  <threadedComment ref="K85" dT="2021-09-19T17:22:03.91" personId="{6DC6A7D9-E883-4B5E-898F-6C251AFA020E}" id="{890768DC-7942-4C29-885F-4B39110E46F2}">
    <text>cetta valeur donnée par l'étude dans 2021 donne 96,4%, inclus un effet du givre, qui en réalité n'étais pas optimisées. Nous recuperons donc 0,6% sur ce parc grace à l'optimisation du givre.</text>
  </threadedComment>
  <threadedComment ref="O85" dT="2021-09-21T09:39:45.53" personId="{476314FE-55A5-4310-8E79-B1067C2E8ADD}" id="{B8DDDCF9-A902-4A30-A460-20F30FF2A38E}">
    <text>Inclus dans le bridage acoustique</text>
  </threadedComment>
  <threadedComment ref="Q85" dT="2021-09-20T22:28:09.36" personId="{F21E3EFC-A270-4DAD-BC01-BAC6D31EDBA8}" id="{9DE91AE2-E6D3-47BA-8AE9-2065361DD0DE}">
    <text>Mise en drapeau activé depuis juillet 2020. pas d'estimation à ce jour. renforcement possible selon suivi 2021.</text>
  </threadedComment>
  <threadedComment ref="S85" dT="2021-09-19T17:42:00.90" personId="{6DC6A7D9-E883-4B5E-898F-6C251AFA020E}" id="{7D2F280C-E84B-41DA-94FF-3B6C608025C1}">
    <text>l'écart entre l'étude 2019 et 2021 est essentiellement dû au givre, qui était mal reglé : avec l'amelioration nous considerons donc que de recuperer 0,6%.</text>
  </threadedComment>
  <threadedComment ref="N86" dT="2021-09-20T20:55:57.16" personId="{F21E3EFC-A270-4DAD-BC01-BAC6D31EDBA8}" id="{811BF5BD-DB71-4415-822D-B7C512B05839}">
    <text>hypothèse car mesures post-implantation prévue à l'automne 2021. risque très faible.</text>
  </threadedComment>
  <threadedComment ref="K87" dT="2021-09-19T19:54:24.49" personId="{6DC6A7D9-E883-4B5E-898F-6C251AFA020E}" id="{A8814D75-338B-4DE6-BE8B-2CDE4F40E074}">
    <text>historique 2020-21 à 99,3%</text>
  </threadedComment>
  <threadedComment ref="N87" dT="2021-09-20T08:37:33.46" personId="{6DC6A7D9-E883-4B5E-898F-6C251AFA020E}" id="{324C3AD7-99BC-4C3B-AD69-C078D8BB5D03}">
    <text>DNV donne un curtailment globale de 0,10% (acoustique), ce qui est en ligne avec le fichier des bridages CDC à 0,14%.</text>
  </threadedComment>
  <threadedComment ref="N87" dT="2021-09-20T20:19:54.27" personId="{F21E3EFC-A270-4DAD-BC01-BAC6D31EDBA8}" id="{BF4A042A-18F1-4C40-8512-F205C228CBF4}" parentId="{324C3AD7-99BC-4C3B-AD69-C078D8BB5D03}">
    <text>je confirme le 0,14% pour le bridage acoustique.</text>
  </threadedComment>
  <threadedComment ref="O87" dT="2021-09-21T09:39:45.53" personId="{476314FE-55A5-4310-8E79-B1067C2E8ADD}" id="{F185F38D-2684-4DDF-AC3D-5896DE0C43D8}">
    <text>Inclus dans le bridage acoustique</text>
  </threadedComment>
  <threadedComment ref="S87" dT="2021-09-20T05:07:06.54" personId="{6DC6A7D9-E883-4B5E-898F-6C251AFA020E}" id="{7A805806-3D71-469A-864D-D953AB519CCE}">
    <text>l'éffet de l'amelioration est partiellement integré dans les calculs DNV.</text>
  </threadedComment>
  <threadedComment ref="K88" dT="2021-09-19T21:12:38.38" personId="{6DC6A7D9-E883-4B5E-898F-6C251AFA020E}" id="{A1F1F1FB-819A-4564-B519-45D8700D7CFC}">
    <text>historique 2020-21 à 98,1%</text>
  </threadedComment>
  <threadedComment ref="N88" dT="2021-09-20T08:37:33.46" personId="{6DC6A7D9-E883-4B5E-898F-6C251AFA020E}" id="{DF4D4C37-99DD-476C-8225-F4F964D3CD60}">
    <text>valeur donnée par DNV en globale, alors qu'il n'y a pas traçe de bridage dans le fichier des bridages CDC</text>
  </threadedComment>
  <threadedComment ref="N88" dT="2021-09-20T20:30:31.38" personId="{F21E3EFC-A270-4DAD-BC01-BAC6D31EDBA8}" id="{BE92DCFD-12A7-4669-A75B-F7EB8BCFD475}" parentId="{DF4D4C37-99DD-476C-8225-F4F964D3CD60}">
    <text>@Giannino, oui difficile de comprendre d'où vient le chiffre DNV. la campagne post-implantation est en cours (SO fait fin 2020). attente NE. pour l'instant, pas de bridage en place mais l'estimation pré-implantation est à 1,1% (chiffre DNV pour RIB1). De plus, bridage chiro à prévoir pour 2022 (estimation KC=1,1% également). donc, selon BLX, on serait plutôt à 2,2% de perte global (acoustique+chiro)</text>
  </threadedComment>
  <threadedComment ref="O88" dT="2021-09-21T09:39:45.53" personId="{476314FE-55A5-4310-8E79-B1067C2E8ADD}" id="{11E5E08A-A9DB-47BC-9442-23EAE43AAE3E}">
    <text>Inclus dans le bridage acoustique</text>
  </threadedComment>
  <threadedComment ref="Q88" dT="2021-09-20T22:30:29.69" personId="{F21E3EFC-A270-4DAD-BC01-BAC6D31EDBA8}" id="{D9ECF444-D088-4925-8544-FE6620569E5A}">
    <text>bridage chiro attendu pour une 1ière mise en oeuvre en avril 2022 (1,1% calculé par KC)</text>
  </threadedComment>
  <threadedComment ref="K89" dT="2021-09-19T19:54:24.49" personId="{6DC6A7D9-E883-4B5E-898F-6C251AFA020E}" id="{DD71756F-F9EF-4240-981C-D8B0986399A0}">
    <text>historique 2020-21 à 97,7%</text>
  </threadedComment>
  <threadedComment ref="N89" dT="2021-09-19T20:55:17.19" personId="{6DC6A7D9-E883-4B5E-898F-6C251AFA020E}" id="{25EC8532-B9EF-4596-B9DA-197AD4BB7735}">
    <text>ATTENTION, écart significatif :  le nouveau rapport DNV donne 0,93% (acoiustique + chiro)  alors que le fichier des bridages CDC donne 1,7% en acoustique et 0,7% en chiro (l'historique porte sur 0,9% en coustique et 1,0% en chiro)</text>
  </threadedComment>
  <threadedComment ref="N89" dT="2021-09-20T20:43:10.30" personId="{F21E3EFC-A270-4DAD-BC01-BAC6D31EDBA8}" id="{D3272DD8-0A89-4A46-969E-FDF880F89A6F}" parentId="{25EC8532-B9EF-4596-B9DA-197AD4BB7735}">
    <text>@giannino, je confirme les calculs de Kloé. acoustique=1,7% (réactualisation suite mesures)+0.7% chiro=2.4% au total pour blx. Je ne comprends pas le calcul de DNV. le fichier centralisé de bridage est correct (vérifié avec le rapport acoustique).</text>
  </threadedComment>
  <threadedComment ref="O89" dT="2021-09-21T09:39:45.53" personId="{476314FE-55A5-4310-8E79-B1067C2E8ADD}" id="{32D77D10-3955-4E02-A5C2-B59588D3DFA1}">
    <text>Inclus dans le bridage acoustique</text>
  </threadedComment>
  <threadedComment ref="Q89" dT="2021-09-20T10:44:36.07" personId="{6DC6A7D9-E883-4B5E-898F-6C251AFA020E}" id="{C18AA215-3320-4150-9C4F-170F364166A2}">
    <text>Bridage chiro intergé avec l'acoustique par DNV, dans le fichier CDC nous avions 0,7%.</text>
  </threadedComment>
  <threadedComment ref="S89" dT="2021-09-19T20:29:03.29" personId="{6DC6A7D9-E883-4B5E-898F-6C251AFA020E}" id="{1CA93DD5-08B2-4F96-B189-05C42C455072}">
    <text>l'éffet de l'amelioration est partiellement integré dans les calculs DNV.</text>
  </threadedComment>
  <threadedComment ref="K90" dT="2021-09-19T19:54:24.49" personId="{6DC6A7D9-E883-4B5E-898F-6C251AFA020E}" id="{082284E4-BC40-4C8A-9CC9-3C979740C7AD}">
    <text>historique 2020-21 à 97,7%</text>
  </threadedComment>
  <threadedComment ref="N90" dT="2021-09-19T20:55:17.19" personId="{6DC6A7D9-E883-4B5E-898F-6C251AFA020E}" id="{031FC566-5F4E-41D7-B02A-1628F1DC5981}">
    <text>ATTENTION, écart significatif :  le nouveau rapport DNV donne 0,93% (acoiustique + chiro)  alors que le fichier des bridages CDC donne 1,7% en acoustique et 0,7% en chiro (l'historique porte sur 0,9% en coustique et 1,0% en chiro)</text>
  </threadedComment>
  <threadedComment ref="N90" dT="2021-09-20T20:43:10.30" personId="{F21E3EFC-A270-4DAD-BC01-BAC6D31EDBA8}" id="{6628E9C4-B09F-4E2A-841C-6D57E646B51C}" parentId="{031FC566-5F4E-41D7-B02A-1628F1DC5981}">
    <text>@giannino, je confirme les calculs de Kloé. acoustique=1,7% (réactualisation suite mesures)+0.7% chiro=2.4% au total pour blx. Je ne comprends pas le calcul de DNV. le fichier centralisé de bridage est correct (vérifié avec le rapport acoustique).</text>
  </threadedComment>
  <threadedComment ref="O90" dT="2021-09-21T09:39:45.53" personId="{476314FE-55A5-4310-8E79-B1067C2E8ADD}" id="{461E853A-CE8C-47A5-9564-B690FD8CCFEA}">
    <text>Inclus dans le bridage acoustique</text>
  </threadedComment>
  <threadedComment ref="Q90" dT="2021-09-20T10:44:36.07" personId="{6DC6A7D9-E883-4B5E-898F-6C251AFA020E}" id="{9B81078A-C8CB-43F6-9FE7-7B0FFAA627BD}">
    <text>Bridage chiro intergé avec l'acoustique par DNV, dans le fichier CDC nous avions 0,7%.</text>
  </threadedComment>
  <threadedComment ref="S90" dT="2021-09-19T20:29:03.29" personId="{6DC6A7D9-E883-4B5E-898F-6C251AFA020E}" id="{070B1C40-D8AC-47EF-AC82-0E039D05C7FC}">
    <text>l'éffet de l'amelioration est partiellement integré dans les calculs DNV.</text>
  </threadedComment>
  <threadedComment ref="K91" dT="2021-09-19T19:54:24.49" personId="{6DC6A7D9-E883-4B5E-898F-6C251AFA020E}" id="{FF52691B-A953-43F9-BE5E-0579B8803040}">
    <text>historique 2020-21 à 97,7%</text>
  </threadedComment>
  <threadedComment ref="N91" dT="2021-09-20T08:37:33.46" personId="{6DC6A7D9-E883-4B5E-898F-6C251AFA020E}" id="{0D1D4F83-EAEB-4C82-AD5A-0734BE079F95}">
    <text>DNV donne un curtailment globale de 0,10% (acoustique), ce qui est en ligne avec le fichier des bridages CDC à 0,10%.</text>
  </threadedComment>
  <threadedComment ref="N91" dT="2021-09-20T20:53:02.16" personId="{F21E3EFC-A270-4DAD-BC01-BAC6D31EDBA8}" id="{C1D71811-07EC-47EC-8FCB-FC1F80751E0F}" parentId="{0D1D4F83-EAEB-4C82-AD5A-0734BE079F95}">
    <text>ok c'est bon</text>
  </threadedComment>
  <threadedComment ref="O91" dT="2021-09-21T09:39:45.53" personId="{476314FE-55A5-4310-8E79-B1067C2E8ADD}" id="{760E1393-FE4C-4B73-AF62-697CF57C01A6}">
    <text>Inclus dans le bridage acoustique</text>
  </threadedComment>
  <threadedComment ref="S91" dT="2021-09-19T20:29:03.29" personId="{6DC6A7D9-E883-4B5E-898F-6C251AFA020E}" id="{C7F435CB-7BB5-4C54-92F9-93C75E0A0709}">
    <text>l'éffet de l'amelioration est partiellement integré dans les calculs DNV.</text>
  </threadedComment>
  <threadedComment ref="K92" dT="2021-09-19T19:54:24.49" personId="{6DC6A7D9-E883-4B5E-898F-6C251AFA020E}" id="{22B77549-5FEB-4839-847E-2D98B470E9FE}">
    <text>historique 2020-21 à 97,7%</text>
  </threadedComment>
  <threadedComment ref="N92" dT="2021-09-20T08:37:33.46" personId="{6DC6A7D9-E883-4B5E-898F-6C251AFA020E}" id="{11DCE1EA-9B20-491C-A9C5-3F6B8C50AEA3}">
    <text>DNV donne un curtailment globale de 0,10% (acoustique), ce qui est en ligne avec le fichier des bridages CDC à 0,10%.</text>
  </threadedComment>
  <threadedComment ref="N92" dT="2021-09-20T20:53:02.16" personId="{F21E3EFC-A270-4DAD-BC01-BAC6D31EDBA8}" id="{3EEDE57D-3E3E-4C63-8366-FF4D8C80F17C}" parentId="{11DCE1EA-9B20-491C-A9C5-3F6B8C50AEA3}">
    <text>ok c'est bon</text>
  </threadedComment>
  <threadedComment ref="O92" dT="2021-09-21T09:39:45.53" personId="{476314FE-55A5-4310-8E79-B1067C2E8ADD}" id="{9093FBB4-66C5-416F-B45D-4923B375D51A}">
    <text>Inclus dans le bridage acoustique</text>
  </threadedComment>
  <threadedComment ref="S92" dT="2021-09-19T20:29:03.29" personId="{6DC6A7D9-E883-4B5E-898F-6C251AFA020E}" id="{14EB0A8A-2E9C-4EF9-B2FF-2DFB75360E1F}">
    <text>l'éffet de l'amelioration est partiellement integré dans les calculs DNV.</text>
  </threadedComment>
  <threadedComment ref="N96" dT="2021-09-20T20:54:09.56" personId="{F21E3EFC-A270-4DAD-BC01-BAC6D31EDBA8}" id="{6C956CD6-F676-4A47-82CA-7E669E470FF3}">
    <text>calcul des plans de bridages en cours sur les 2 directions (mesures en réception post-implantation terminées au printemps 2021).</text>
  </threadedComment>
  <threadedComment ref="Q96" dT="2021-09-20T20:55:03.67" personId="{F21E3EFC-A270-4DAD-BC01-BAC6D31EDBA8}" id="{F198EE8C-1168-405E-9B37-F260801E3D4F}">
    <text>on attends les résultats des suivis 2021 afin de confirmer s'il y a ou pas un bridage chiro à prévoir (à première vue, enjeu faible)</text>
  </threadedComment>
  <threadedComment ref="S96" dT="2021-09-19T17:17:00.47" personId="{6DC6A7D9-E883-4B5E-898F-6C251AFA020E}" id="{F717460C-2530-4334-B92D-07799DAC912D}">
    <text>Les pertes grivre enregistrés en 2020-21 sont exceprtionnelles (6 GWh entre janvier et avril) , les nouveaux reglages givre remettrons les pertes sur des valeurs prevus d'origine par DNV (~3,5% soit 3,8 GWh).</text>
  </threadedComment>
  <threadedComment ref="N97" dT="2021-05-28T07:08:00.23" personId="{F21E3EFC-A270-4DAD-BC01-BAC6D31EDBA8}" id="{CBA3305D-1DA2-49AA-B686-02CEE1A7CACE}">
    <text>bridage pré-implantation activé depuis la MES (obligation APA)</text>
  </threadedComment>
  <threadedComment ref="Q97" dT="2021-09-20T22:31:45.15" personId="{F21E3EFC-A270-4DAD-BC01-BAC6D31EDBA8}" id="{17318710-9AA9-4EE5-8B67-7767B9B5C791}">
    <text>on attend les résultats des suivis 2021</text>
  </threadedComment>
  <threadedComment ref="N98" dT="2021-09-20T20:57:32.96" personId="{F21E3EFC-A270-4DAD-BC01-BAC6D31EDBA8}" id="{1F510E0E-7D3F-4BE3-9916-5489A2746238}">
    <text>mesures post-implantation réalisées au printemps 2021-&gt; résultats conformes</text>
  </threadedComment>
  <threadedComment ref="Q98" dT="2021-09-20T22:31:45.15" personId="{F21E3EFC-A270-4DAD-BC01-BAC6D31EDBA8}" id="{35DEC00C-5524-4D54-82FE-A91DB9E3F5B2}">
    <text>on attend les résultats des suivis 2021</text>
  </threadedComment>
  <threadedComment ref="N99" dT="2021-09-20T20:57:32.96" personId="{F21E3EFC-A270-4DAD-BC01-BAC6D31EDBA8}" id="{8F24A692-25DF-4D2E-9758-33D80C2E1A03}">
    <text>% à valider avec Ernani ( sur base pré-implantation). mesures prévues début 2022.</text>
  </threadedComment>
  <threadedComment ref="Q99" dT="2021-09-20T22:31:45.15" personId="{F21E3EFC-A270-4DAD-BC01-BAC6D31EDBA8}" id="{928F324F-D78E-4866-9D87-4BF44FA885B4}">
    <text>suivis enviro prévus en 2022.</text>
  </threadedComment>
  <threadedComment ref="N102" dT="2021-05-28T07:08:51.11" personId="{F21E3EFC-A270-4DAD-BC01-BAC6D31EDBA8}" id="{C6F25DA9-F040-430C-BE4D-DDDC29643545}">
    <text>bridage pré-implantation activé depuis le 3 mai 2021. élargissement du secteur Est à 180° (plainte bruit)</text>
  </threadedComment>
  <threadedComment ref="Q102" dT="2021-09-20T22:33:20.30" personId="{F21E3EFC-A270-4DAD-BC01-BAC6D31EDBA8}" id="{556C5A10-7B4B-4395-A7DE-67D7AE1B1DEF}">
    <text>on attend les résultats de suivi</text>
  </threadedComment>
  <threadedComment ref="N103" dT="2021-09-20T21:24:08.99" personId="{F21E3EFC-A270-4DAD-BC01-BAC6D31EDBA8}" id="{6FC70D89-1254-489C-82D2-CBBCB7D61941}">
    <text>Ok, validé avec Ernani (mail du 21/09/21)</text>
  </threadedComment>
  <threadedComment ref="Q103" dT="2021-09-17T15:33:49.72" personId="{476314FE-55A5-4310-8E79-B1067C2E8ADD}" id="{B4526E41-CA36-4B74-A9AC-98FA02D44F02}">
    <text>inclut dans le bridage acoustique</text>
  </threadedComment>
  <threadedComment ref="N104" dT="2021-09-20T21:24:27.16" personId="{F21E3EFC-A270-4DAD-BC01-BAC6D31EDBA8}" id="{BD322EA0-BBA0-49EA-BFC1-40CF68F7E89C}">
    <text>Ok, validé avec Ernani (mail du 21/09/2021)</text>
  </threadedComment>
  <threadedComment ref="Q104" dT="2021-09-21T07:55:51.76" personId="{F21E3EFC-A270-4DAD-BC01-BAC6D31EDBA8}" id="{9EC7C1C1-C3E8-4626-9F64-892E9516DC2D}">
    <text>ok validé avec Ernani (mail du 21/09/21)</text>
  </threadedComment>
  <threadedComment ref="N105" dT="2021-09-20T21:24:27.16" personId="{F21E3EFC-A270-4DAD-BC01-BAC6D31EDBA8}" id="{91B4FD61-89A2-4400-B5A9-23DFDF40B87B}">
    <text>Ok, validé avec Ernani (mail du 21/09/2021)</text>
  </threadedComment>
  <threadedComment ref="Q105" dT="2021-09-21T07:55:51.76" personId="{F21E3EFC-A270-4DAD-BC01-BAC6D31EDBA8}" id="{C4D8B79D-94F9-41AC-9BC0-C4EBF924886E}">
    <text>ok validé avec Ernani (mail du 21/09/21)</text>
  </threadedComment>
  <threadedComment ref="N106" dT="2021-09-20T21:24:27.16" personId="{F21E3EFC-A270-4DAD-BC01-BAC6D31EDBA8}" id="{9D260A50-1A20-4D49-957C-61B363200E22}">
    <text>Ok, validé avec Ernani (mail du 21/09/2021)</text>
  </threadedComment>
  <threadedComment ref="Q106" dT="2021-09-21T07:55:51.76" personId="{F21E3EFC-A270-4DAD-BC01-BAC6D31EDBA8}" id="{5B210FDE-0FBE-45B5-8DE3-5FDDAC36B7B4}">
    <text>ok validé avec Ernani (mail du 21/09/21)</text>
  </threadedComment>
  <threadedComment ref="N107" dT="2021-09-20T21:24:27.16" personId="{F21E3EFC-A270-4DAD-BC01-BAC6D31EDBA8}" id="{F234130C-12A8-4700-8652-82FD6154FDF6}">
    <text>Ok, validé avec Ernani (mail du 21/09/2021)</text>
  </threadedComment>
  <threadedComment ref="Q107" dT="2021-09-20T22:33:36.82" personId="{F21E3EFC-A270-4DAD-BC01-BAC6D31EDBA8}" id="{5FB38C3A-A9F9-458B-8A91-B30B3731A66B}">
    <text>Ok validé averc Ernani (mail du 21/09/2021)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9.bin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customProperty" Target="../customProperty12.bin"/><Relationship Id="rId4" Type="http://schemas.microsoft.com/office/2017/10/relationships/threadedComment" Target="../threadedComments/threadedComment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8.bin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D68CC-D4BD-4BC7-A717-E41E4A724998}">
  <dimension ref="B1:GY90"/>
  <sheetViews>
    <sheetView zoomScale="70" zoomScaleNormal="70" workbookViewId="0">
      <pane xSplit="4" ySplit="4" topLeftCell="FW5" activePane="bottomRight" state="frozen"/>
      <selection pane="topRight" activeCell="E1" sqref="E1"/>
      <selection pane="bottomLeft" activeCell="A5" sqref="A5"/>
      <selection pane="bottomRight" activeCell="FZ60" sqref="FZ60"/>
    </sheetView>
  </sheetViews>
  <sheetFormatPr baseColWidth="10" defaultRowHeight="15"/>
  <cols>
    <col min="2" max="2" width="30.5703125" bestFit="1" customWidth="1"/>
    <col min="3" max="3" width="15.85546875" bestFit="1" customWidth="1"/>
    <col min="4" max="4" width="30.5703125" bestFit="1" customWidth="1"/>
    <col min="5" max="5" width="16" bestFit="1" customWidth="1"/>
    <col min="6" max="8" width="16.42578125" bestFit="1" customWidth="1"/>
    <col min="9" max="9" width="17.85546875" bestFit="1" customWidth="1"/>
    <col min="10" max="10" width="17.42578125" bestFit="1" customWidth="1"/>
    <col min="11" max="11" width="17.85546875" bestFit="1" customWidth="1"/>
    <col min="12" max="12" width="17.140625" bestFit="1" customWidth="1"/>
    <col min="13" max="13" width="17.42578125" bestFit="1" customWidth="1"/>
    <col min="14" max="14" width="18.5703125" bestFit="1" customWidth="1"/>
    <col min="15" max="15" width="17.85546875" bestFit="1" customWidth="1"/>
    <col min="16" max="16" width="18.5703125" bestFit="1" customWidth="1"/>
    <col min="17" max="17" width="18.85546875" bestFit="1" customWidth="1"/>
    <col min="18" max="18" width="18.5703125" bestFit="1" customWidth="1"/>
    <col min="19" max="19" width="18.140625" bestFit="1" customWidth="1"/>
    <col min="20" max="20" width="18.85546875" bestFit="1" customWidth="1"/>
    <col min="21" max="21" width="15.7109375" bestFit="1" customWidth="1"/>
    <col min="22" max="22" width="16" bestFit="1" customWidth="1"/>
    <col min="23" max="24" width="16.42578125" bestFit="1" customWidth="1"/>
    <col min="25" max="26" width="17.85546875" bestFit="1" customWidth="1"/>
    <col min="27" max="27" width="17.140625" bestFit="1" customWidth="1"/>
    <col min="28" max="28" width="17.42578125" bestFit="1" customWidth="1"/>
    <col min="29" max="31" width="17.85546875" bestFit="1" customWidth="1"/>
    <col min="32" max="34" width="18.5703125" bestFit="1" customWidth="1"/>
    <col min="35" max="36" width="18.85546875" bestFit="1" customWidth="1"/>
    <col min="37" max="37" width="15.7109375" bestFit="1" customWidth="1"/>
    <col min="38" max="40" width="16.42578125" bestFit="1" customWidth="1"/>
    <col min="41" max="41" width="17.140625" bestFit="1" customWidth="1"/>
    <col min="42" max="42" width="17.42578125" bestFit="1" customWidth="1"/>
    <col min="43" max="47" width="17.85546875" bestFit="1" customWidth="1"/>
    <col min="48" max="49" width="18.5703125" bestFit="1" customWidth="1"/>
    <col min="50" max="50" width="18.140625" bestFit="1" customWidth="1"/>
    <col min="51" max="51" width="18.5703125" bestFit="1" customWidth="1"/>
    <col min="52" max="52" width="18.85546875" bestFit="1" customWidth="1"/>
    <col min="53" max="53" width="16.42578125" bestFit="1" customWidth="1"/>
    <col min="54" max="55" width="16" bestFit="1" customWidth="1"/>
    <col min="56" max="56" width="16.42578125" bestFit="1" customWidth="1"/>
    <col min="57" max="58" width="17.42578125" bestFit="1" customWidth="1"/>
    <col min="59" max="59" width="17.140625" bestFit="1" customWidth="1"/>
    <col min="60" max="61" width="17.42578125" bestFit="1" customWidth="1"/>
    <col min="62" max="62" width="18.5703125" bestFit="1" customWidth="1"/>
    <col min="63" max="64" width="17.85546875" bestFit="1" customWidth="1"/>
    <col min="65" max="65" width="18.85546875" bestFit="1" customWidth="1"/>
    <col min="66" max="66" width="18.140625" bestFit="1" customWidth="1"/>
    <col min="67" max="67" width="17.85546875" bestFit="1" customWidth="1"/>
    <col min="68" max="68" width="18.5703125" bestFit="1" customWidth="1"/>
    <col min="69" max="69" width="15.7109375" bestFit="1" customWidth="1"/>
    <col min="70" max="71" width="16" bestFit="1" customWidth="1"/>
    <col min="72" max="72" width="16.42578125" bestFit="1" customWidth="1"/>
    <col min="73" max="73" width="17.85546875" bestFit="1" customWidth="1"/>
    <col min="74" max="74" width="17.140625" bestFit="1" customWidth="1"/>
    <col min="75" max="77" width="17.85546875" bestFit="1" customWidth="1"/>
    <col min="78" max="79" width="17.42578125" bestFit="1" customWidth="1"/>
    <col min="80" max="80" width="18.140625" bestFit="1" customWidth="1"/>
    <col min="81" max="81" width="18.5703125" bestFit="1" customWidth="1"/>
    <col min="82" max="82" width="18.140625" bestFit="1" customWidth="1"/>
    <col min="83" max="84" width="17.85546875" bestFit="1" customWidth="1"/>
    <col min="85" max="86" width="16" bestFit="1" customWidth="1"/>
    <col min="87" max="88" width="16.42578125" bestFit="1" customWidth="1"/>
    <col min="89" max="90" width="17.42578125" bestFit="1" customWidth="1"/>
    <col min="91" max="91" width="17.85546875" bestFit="1" customWidth="1"/>
    <col min="92" max="93" width="17.42578125" bestFit="1" customWidth="1"/>
    <col min="94" max="94" width="17.85546875" bestFit="1" customWidth="1"/>
    <col min="95" max="96" width="17.42578125" bestFit="1" customWidth="1"/>
    <col min="97" max="97" width="17.85546875" bestFit="1" customWidth="1"/>
    <col min="98" max="100" width="17.42578125" bestFit="1" customWidth="1"/>
    <col min="101" max="101" width="14.5703125" bestFit="1" customWidth="1"/>
    <col min="102" max="102" width="16" bestFit="1" customWidth="1"/>
    <col min="103" max="104" width="16.42578125" bestFit="1" customWidth="1"/>
    <col min="105" max="105" width="17.85546875" bestFit="1" customWidth="1"/>
    <col min="106" max="106" width="17.140625" bestFit="1" customWidth="1"/>
    <col min="107" max="108" width="17.42578125" bestFit="1" customWidth="1"/>
    <col min="109" max="109" width="17.85546875" bestFit="1" customWidth="1"/>
    <col min="110" max="112" width="17.42578125" bestFit="1" customWidth="1"/>
    <col min="113" max="114" width="17.85546875" bestFit="1" customWidth="1"/>
    <col min="115" max="115" width="17.42578125" bestFit="1" customWidth="1"/>
    <col min="116" max="116" width="17.85546875" bestFit="1" customWidth="1"/>
    <col min="117" max="117" width="13.85546875" bestFit="1" customWidth="1"/>
    <col min="118" max="119" width="16" bestFit="1" customWidth="1"/>
    <col min="120" max="120" width="16.42578125" bestFit="1" customWidth="1"/>
    <col min="121" max="121" width="17.85546875" bestFit="1" customWidth="1"/>
    <col min="122" max="124" width="17.42578125" bestFit="1" customWidth="1"/>
    <col min="125" max="125" width="17.85546875" bestFit="1" customWidth="1"/>
    <col min="126" max="127" width="17.42578125" bestFit="1" customWidth="1"/>
    <col min="128" max="129" width="17.85546875" bestFit="1" customWidth="1"/>
    <col min="130" max="132" width="17.42578125" bestFit="1" customWidth="1"/>
    <col min="133" max="133" width="15.7109375" bestFit="1" customWidth="1"/>
    <col min="134" max="135" width="16" bestFit="1" customWidth="1"/>
    <col min="136" max="136" width="16.42578125" bestFit="1" customWidth="1"/>
    <col min="137" max="140" width="17.85546875" bestFit="1" customWidth="1"/>
    <col min="141" max="143" width="17.42578125" bestFit="1" customWidth="1"/>
    <col min="144" max="144" width="17.85546875" bestFit="1" customWidth="1"/>
    <col min="145" max="145" width="18.85546875" bestFit="1" customWidth="1"/>
    <col min="146" max="147" width="17.85546875" bestFit="1" customWidth="1"/>
    <col min="148" max="148" width="16" bestFit="1" customWidth="1"/>
    <col min="149" max="149" width="16.42578125" bestFit="1" customWidth="1"/>
    <col min="150" max="150" width="16" bestFit="1" customWidth="1"/>
    <col min="151" max="151" width="16.42578125" bestFit="1" customWidth="1"/>
    <col min="152" max="153" width="17.85546875" bestFit="1" customWidth="1"/>
    <col min="154" max="154" width="17.42578125" bestFit="1" customWidth="1"/>
    <col min="155" max="156" width="17.85546875" bestFit="1" customWidth="1"/>
    <col min="157" max="157" width="18.85546875" bestFit="1" customWidth="1"/>
    <col min="158" max="158" width="18.5703125" bestFit="1" customWidth="1"/>
    <col min="159" max="159" width="17.42578125" bestFit="1" customWidth="1"/>
    <col min="160" max="160" width="17.85546875" bestFit="1" customWidth="1"/>
    <col min="161" max="161" width="17.42578125" bestFit="1" customWidth="1"/>
    <col min="162" max="162" width="18.85546875" bestFit="1" customWidth="1"/>
    <col min="163" max="163" width="16" bestFit="1" customWidth="1"/>
    <col min="164" max="165" width="13.140625" bestFit="1" customWidth="1"/>
    <col min="166" max="166" width="16.42578125" bestFit="1" customWidth="1"/>
    <col min="167" max="167" width="17.140625" bestFit="1" customWidth="1"/>
    <col min="168" max="170" width="17.85546875" bestFit="1" customWidth="1"/>
    <col min="171" max="171" width="17.42578125" bestFit="1" customWidth="1"/>
    <col min="172" max="172" width="17.85546875" bestFit="1" customWidth="1"/>
    <col min="173" max="173" width="18.85546875" bestFit="1" customWidth="1"/>
    <col min="174" max="174" width="18.5703125" bestFit="1" customWidth="1"/>
    <col min="175" max="175" width="18.85546875" bestFit="1" customWidth="1"/>
    <col min="176" max="176" width="18.140625" bestFit="1" customWidth="1"/>
    <col min="177" max="177" width="18.85546875" bestFit="1" customWidth="1"/>
    <col min="178" max="179" width="16" bestFit="1" customWidth="1"/>
    <col min="180" max="181" width="16.42578125" bestFit="1" customWidth="1"/>
    <col min="182" max="182" width="17.85546875" bestFit="1" customWidth="1"/>
    <col min="183" max="183" width="17.140625" bestFit="1" customWidth="1"/>
    <col min="184" max="185" width="17.42578125" bestFit="1" customWidth="1"/>
    <col min="186" max="186" width="18.5703125" bestFit="1" customWidth="1"/>
    <col min="187" max="187" width="18.85546875" bestFit="1" customWidth="1"/>
    <col min="188" max="188" width="18.140625" bestFit="1" customWidth="1"/>
    <col min="189" max="190" width="18.5703125" bestFit="1" customWidth="1"/>
    <col min="191" max="191" width="17.42578125" bestFit="1" customWidth="1"/>
    <col min="192" max="192" width="18.85546875" bestFit="1" customWidth="1"/>
    <col min="193" max="193" width="18.5703125" customWidth="1"/>
    <col min="194" max="194" width="13.5703125" customWidth="1"/>
    <col min="195" max="202" width="13.5703125" bestFit="1" customWidth="1"/>
    <col min="203" max="203" width="13.140625" bestFit="1" customWidth="1"/>
    <col min="204" max="204" width="13.5703125" bestFit="1" customWidth="1"/>
    <col min="205" max="205" width="13.5703125" customWidth="1"/>
    <col min="207" max="207" width="24.5703125" bestFit="1" customWidth="1"/>
  </cols>
  <sheetData>
    <row r="1" spans="2:205" ht="21">
      <c r="B1" s="165" t="s">
        <v>2604</v>
      </c>
      <c r="C1" s="164"/>
      <c r="D1" s="164"/>
    </row>
    <row r="3" spans="2:205">
      <c r="E3" s="106" t="s">
        <v>388</v>
      </c>
    </row>
    <row r="4" spans="2:205">
      <c r="B4" s="106" t="s">
        <v>810</v>
      </c>
      <c r="C4" s="106" t="s">
        <v>322</v>
      </c>
      <c r="D4" s="106" t="s">
        <v>278</v>
      </c>
      <c r="E4" t="s">
        <v>602</v>
      </c>
      <c r="F4" t="s">
        <v>603</v>
      </c>
      <c r="G4" t="s">
        <v>604</v>
      </c>
      <c r="H4" t="s">
        <v>605</v>
      </c>
      <c r="I4" t="s">
        <v>606</v>
      </c>
      <c r="J4" t="s">
        <v>607</v>
      </c>
      <c r="K4" t="s">
        <v>608</v>
      </c>
      <c r="L4" t="s">
        <v>609</v>
      </c>
      <c r="M4" t="s">
        <v>610</v>
      </c>
      <c r="N4" t="s">
        <v>611</v>
      </c>
      <c r="O4" t="s">
        <v>612</v>
      </c>
      <c r="P4" t="s">
        <v>613</v>
      </c>
      <c r="Q4" t="s">
        <v>614</v>
      </c>
      <c r="R4" t="s">
        <v>615</v>
      </c>
      <c r="S4" t="s">
        <v>616</v>
      </c>
      <c r="T4" t="s">
        <v>617</v>
      </c>
      <c r="U4" t="s">
        <v>618</v>
      </c>
      <c r="V4" t="s">
        <v>619</v>
      </c>
      <c r="W4" t="s">
        <v>620</v>
      </c>
      <c r="X4" t="s">
        <v>621</v>
      </c>
      <c r="Y4" t="s">
        <v>622</v>
      </c>
      <c r="Z4" t="s">
        <v>623</v>
      </c>
      <c r="AA4" t="s">
        <v>624</v>
      </c>
      <c r="AB4" t="s">
        <v>625</v>
      </c>
      <c r="AC4" t="s">
        <v>626</v>
      </c>
      <c r="AD4" t="s">
        <v>627</v>
      </c>
      <c r="AE4" t="s">
        <v>628</v>
      </c>
      <c r="AF4" t="s">
        <v>629</v>
      </c>
      <c r="AG4" t="s">
        <v>630</v>
      </c>
      <c r="AH4" t="s">
        <v>631</v>
      </c>
      <c r="AI4" t="s">
        <v>632</v>
      </c>
      <c r="AJ4" t="s">
        <v>633</v>
      </c>
      <c r="AK4" t="s">
        <v>634</v>
      </c>
      <c r="AL4" t="s">
        <v>635</v>
      </c>
      <c r="AM4" t="s">
        <v>636</v>
      </c>
      <c r="AN4" t="s">
        <v>637</v>
      </c>
      <c r="AO4" t="s">
        <v>638</v>
      </c>
      <c r="AP4" t="s">
        <v>639</v>
      </c>
      <c r="AQ4" t="s">
        <v>640</v>
      </c>
      <c r="AR4" t="s">
        <v>734</v>
      </c>
      <c r="AS4" t="s">
        <v>2623</v>
      </c>
      <c r="AT4" t="s">
        <v>735</v>
      </c>
      <c r="AU4" t="s">
        <v>736</v>
      </c>
      <c r="AV4" t="s">
        <v>737</v>
      </c>
      <c r="AW4" t="s">
        <v>738</v>
      </c>
      <c r="AX4" t="s">
        <v>739</v>
      </c>
      <c r="AY4" t="s">
        <v>740</v>
      </c>
      <c r="AZ4" t="s">
        <v>741</v>
      </c>
      <c r="BA4" t="s">
        <v>641</v>
      </c>
      <c r="BB4" t="s">
        <v>642</v>
      </c>
      <c r="BC4" t="s">
        <v>643</v>
      </c>
      <c r="BD4" t="s">
        <v>644</v>
      </c>
      <c r="BE4" t="s">
        <v>645</v>
      </c>
      <c r="BF4" t="s">
        <v>646</v>
      </c>
      <c r="BG4" t="s">
        <v>647</v>
      </c>
      <c r="BH4" t="s">
        <v>648</v>
      </c>
      <c r="BI4" t="s">
        <v>649</v>
      </c>
      <c r="BJ4" t="s">
        <v>650</v>
      </c>
      <c r="BK4" t="s">
        <v>651</v>
      </c>
      <c r="BL4" t="s">
        <v>652</v>
      </c>
      <c r="BM4" t="s">
        <v>653</v>
      </c>
      <c r="BN4" t="s">
        <v>654</v>
      </c>
      <c r="BO4" t="s">
        <v>655</v>
      </c>
      <c r="BP4" t="s">
        <v>656</v>
      </c>
      <c r="BQ4" t="s">
        <v>657</v>
      </c>
      <c r="BR4" t="s">
        <v>658</v>
      </c>
      <c r="BS4" t="s">
        <v>659</v>
      </c>
      <c r="BT4" t="s">
        <v>660</v>
      </c>
      <c r="BU4" t="s">
        <v>661</v>
      </c>
      <c r="BV4" t="s">
        <v>662</v>
      </c>
      <c r="BW4" t="s">
        <v>663</v>
      </c>
      <c r="BX4" t="s">
        <v>664</v>
      </c>
      <c r="BY4" t="s">
        <v>665</v>
      </c>
      <c r="BZ4" t="s">
        <v>666</v>
      </c>
      <c r="CA4" t="s">
        <v>667</v>
      </c>
      <c r="CB4" t="s">
        <v>668</v>
      </c>
      <c r="CC4" t="s">
        <v>669</v>
      </c>
      <c r="CD4" t="s">
        <v>670</v>
      </c>
      <c r="CE4" t="s">
        <v>671</v>
      </c>
      <c r="CF4" t="s">
        <v>672</v>
      </c>
      <c r="CG4" t="s">
        <v>673</v>
      </c>
      <c r="CH4" t="s">
        <v>674</v>
      </c>
      <c r="CI4" t="s">
        <v>675</v>
      </c>
      <c r="CJ4" t="s">
        <v>676</v>
      </c>
      <c r="CK4" t="s">
        <v>677</v>
      </c>
      <c r="CL4" t="s">
        <v>678</v>
      </c>
      <c r="CM4" t="s">
        <v>679</v>
      </c>
      <c r="CN4" t="s">
        <v>680</v>
      </c>
      <c r="CO4" t="s">
        <v>681</v>
      </c>
      <c r="CP4" t="s">
        <v>682</v>
      </c>
      <c r="CQ4" t="s">
        <v>683</v>
      </c>
      <c r="CR4" t="s">
        <v>684</v>
      </c>
      <c r="CS4" t="s">
        <v>685</v>
      </c>
      <c r="CT4" t="s">
        <v>686</v>
      </c>
      <c r="CU4" t="s">
        <v>687</v>
      </c>
      <c r="CV4" t="s">
        <v>688</v>
      </c>
      <c r="CW4" t="s">
        <v>689</v>
      </c>
      <c r="CX4" t="s">
        <v>690</v>
      </c>
      <c r="CY4" t="s">
        <v>691</v>
      </c>
      <c r="CZ4" t="s">
        <v>692</v>
      </c>
      <c r="DA4" t="s">
        <v>693</v>
      </c>
      <c r="DB4" t="s">
        <v>694</v>
      </c>
      <c r="DC4" t="s">
        <v>695</v>
      </c>
      <c r="DD4" t="s">
        <v>696</v>
      </c>
      <c r="DE4" t="s">
        <v>697</v>
      </c>
      <c r="DF4" t="s">
        <v>698</v>
      </c>
      <c r="DG4" t="s">
        <v>699</v>
      </c>
      <c r="DH4" t="s">
        <v>700</v>
      </c>
      <c r="DI4" t="s">
        <v>701</v>
      </c>
      <c r="DJ4" t="s">
        <v>702</v>
      </c>
      <c r="DK4" t="s">
        <v>703</v>
      </c>
      <c r="DL4" t="s">
        <v>2605</v>
      </c>
      <c r="DM4" t="s">
        <v>704</v>
      </c>
      <c r="DN4" t="s">
        <v>705</v>
      </c>
      <c r="DO4" t="s">
        <v>706</v>
      </c>
      <c r="DP4" t="s">
        <v>707</v>
      </c>
      <c r="DQ4" t="s">
        <v>708</v>
      </c>
      <c r="DR4" t="s">
        <v>709</v>
      </c>
      <c r="DS4" t="s">
        <v>710</v>
      </c>
      <c r="DT4" t="s">
        <v>711</v>
      </c>
      <c r="DU4" t="s">
        <v>712</v>
      </c>
      <c r="DV4" t="s">
        <v>713</v>
      </c>
      <c r="DW4" t="s">
        <v>714</v>
      </c>
      <c r="DX4" t="s">
        <v>715</v>
      </c>
      <c r="DY4" t="s">
        <v>716</v>
      </c>
      <c r="DZ4" t="s">
        <v>717</v>
      </c>
      <c r="EA4" t="s">
        <v>718</v>
      </c>
      <c r="EB4" t="s">
        <v>2606</v>
      </c>
      <c r="EC4" t="s">
        <v>742</v>
      </c>
      <c r="ED4" t="s">
        <v>743</v>
      </c>
      <c r="EE4" t="s">
        <v>744</v>
      </c>
      <c r="EF4" t="s">
        <v>745</v>
      </c>
      <c r="EG4" t="s">
        <v>746</v>
      </c>
      <c r="EH4" t="s">
        <v>747</v>
      </c>
      <c r="EI4" t="s">
        <v>748</v>
      </c>
      <c r="EJ4" t="s">
        <v>749</v>
      </c>
      <c r="EK4" t="s">
        <v>750</v>
      </c>
      <c r="EL4" t="s">
        <v>751</v>
      </c>
      <c r="EM4" t="s">
        <v>752</v>
      </c>
      <c r="EN4" t="s">
        <v>753</v>
      </c>
      <c r="EO4" t="s">
        <v>754</v>
      </c>
      <c r="EP4" t="s">
        <v>755</v>
      </c>
      <c r="EQ4" t="s">
        <v>756</v>
      </c>
      <c r="ER4" t="s">
        <v>757</v>
      </c>
      <c r="ES4" t="s">
        <v>758</v>
      </c>
      <c r="ET4" t="s">
        <v>759</v>
      </c>
      <c r="EU4" t="s">
        <v>760</v>
      </c>
      <c r="EV4" t="s">
        <v>761</v>
      </c>
      <c r="EW4" t="s">
        <v>762</v>
      </c>
      <c r="EX4" t="s">
        <v>763</v>
      </c>
      <c r="EY4" t="s">
        <v>764</v>
      </c>
      <c r="EZ4" t="s">
        <v>765</v>
      </c>
      <c r="FA4" t="s">
        <v>766</v>
      </c>
      <c r="FB4" t="s">
        <v>767</v>
      </c>
      <c r="FC4" t="s">
        <v>768</v>
      </c>
      <c r="FD4" t="s">
        <v>769</v>
      </c>
      <c r="FE4" t="s">
        <v>770</v>
      </c>
      <c r="FF4" t="s">
        <v>771</v>
      </c>
      <c r="FG4" t="s">
        <v>772</v>
      </c>
      <c r="FH4" t="s">
        <v>2624</v>
      </c>
      <c r="FI4" t="s">
        <v>2625</v>
      </c>
      <c r="FJ4" t="s">
        <v>773</v>
      </c>
      <c r="FK4" t="s">
        <v>774</v>
      </c>
      <c r="FL4" t="s">
        <v>775</v>
      </c>
      <c r="FM4" t="s">
        <v>776</v>
      </c>
      <c r="FN4" t="s">
        <v>777</v>
      </c>
      <c r="FO4" t="s">
        <v>778</v>
      </c>
      <c r="FP4" t="s">
        <v>779</v>
      </c>
      <c r="FQ4" t="s">
        <v>780</v>
      </c>
      <c r="FR4" t="s">
        <v>781</v>
      </c>
      <c r="FS4" t="s">
        <v>782</v>
      </c>
      <c r="FT4" t="s">
        <v>783</v>
      </c>
      <c r="FU4" t="s">
        <v>784</v>
      </c>
      <c r="FV4" t="s">
        <v>719</v>
      </c>
      <c r="FW4" t="s">
        <v>720</v>
      </c>
      <c r="FX4" t="s">
        <v>721</v>
      </c>
      <c r="FY4" t="s">
        <v>722</v>
      </c>
      <c r="FZ4" t="s">
        <v>723</v>
      </c>
      <c r="GA4" t="s">
        <v>724</v>
      </c>
      <c r="GB4" t="s">
        <v>725</v>
      </c>
      <c r="GC4" t="s">
        <v>726</v>
      </c>
      <c r="GD4" t="s">
        <v>727</v>
      </c>
      <c r="GE4" t="s">
        <v>728</v>
      </c>
      <c r="GF4" t="s">
        <v>729</v>
      </c>
      <c r="GG4" t="s">
        <v>730</v>
      </c>
      <c r="GH4" t="s">
        <v>731</v>
      </c>
      <c r="GI4" t="s">
        <v>732</v>
      </c>
      <c r="GJ4" t="s">
        <v>733</v>
      </c>
      <c r="GL4" t="s">
        <v>394</v>
      </c>
      <c r="GM4" t="s">
        <v>812</v>
      </c>
      <c r="GN4" t="s">
        <v>396</v>
      </c>
      <c r="GO4" t="s">
        <v>397</v>
      </c>
      <c r="GP4" t="s">
        <v>398</v>
      </c>
      <c r="GQ4" t="s">
        <v>399</v>
      </c>
      <c r="GR4" t="s">
        <v>400</v>
      </c>
      <c r="GS4" t="s">
        <v>813</v>
      </c>
      <c r="GT4" t="s">
        <v>402</v>
      </c>
      <c r="GU4" t="s">
        <v>403</v>
      </c>
      <c r="GV4" t="s">
        <v>404</v>
      </c>
      <c r="GW4" t="s">
        <v>814</v>
      </c>
    </row>
    <row r="5" spans="2:205">
      <c r="B5" t="s">
        <v>787</v>
      </c>
      <c r="C5" t="s">
        <v>476</v>
      </c>
      <c r="D5" t="s">
        <v>294</v>
      </c>
      <c r="E5" s="61">
        <v>0</v>
      </c>
      <c r="F5" s="61">
        <v>0</v>
      </c>
      <c r="G5" s="61">
        <v>0</v>
      </c>
      <c r="H5" s="61">
        <v>0</v>
      </c>
      <c r="I5" s="61">
        <v>6630396</v>
      </c>
      <c r="J5" s="61">
        <v>9546162</v>
      </c>
      <c r="K5" s="61">
        <v>5743533</v>
      </c>
      <c r="L5" s="61">
        <v>3367450</v>
      </c>
      <c r="M5" s="61">
        <v>4723855</v>
      </c>
      <c r="N5" s="61">
        <v>6353869</v>
      </c>
      <c r="O5" s="61">
        <v>5223743</v>
      </c>
      <c r="P5" s="61">
        <v>8963513</v>
      </c>
      <c r="Q5" s="61">
        <v>6173640</v>
      </c>
      <c r="R5" s="61">
        <v>10785429</v>
      </c>
      <c r="S5" s="61">
        <v>4839030</v>
      </c>
      <c r="T5" s="61">
        <v>10472307</v>
      </c>
      <c r="U5" s="61">
        <v>0</v>
      </c>
      <c r="V5" s="61">
        <v>0</v>
      </c>
      <c r="W5" s="61">
        <v>0</v>
      </c>
      <c r="X5" s="61">
        <v>0</v>
      </c>
      <c r="Y5" s="61">
        <v>10220374</v>
      </c>
      <c r="Z5" s="61">
        <v>5107637</v>
      </c>
      <c r="AA5" s="61">
        <v>5444227</v>
      </c>
      <c r="AB5" s="61">
        <v>7524970</v>
      </c>
      <c r="AC5" s="61">
        <v>2816755</v>
      </c>
      <c r="AD5" s="61">
        <v>4386340</v>
      </c>
      <c r="AE5" s="61">
        <v>5932111</v>
      </c>
      <c r="AF5" s="61">
        <v>9783807</v>
      </c>
      <c r="AG5" s="61">
        <v>5154928</v>
      </c>
      <c r="AH5" s="61">
        <v>8312663</v>
      </c>
      <c r="AI5" s="61">
        <v>9422880</v>
      </c>
      <c r="AJ5" s="61">
        <v>4937407</v>
      </c>
      <c r="AK5" s="61">
        <v>0</v>
      </c>
      <c r="AL5" s="61">
        <v>0</v>
      </c>
      <c r="AM5" s="61">
        <v>0</v>
      </c>
      <c r="AN5" s="61">
        <v>0</v>
      </c>
      <c r="AO5" s="61">
        <v>8446995</v>
      </c>
      <c r="AP5" s="61">
        <v>11690735</v>
      </c>
      <c r="AQ5" s="61">
        <v>8159333</v>
      </c>
      <c r="AR5" s="61">
        <v>8506690</v>
      </c>
      <c r="AS5" s="61">
        <v>4460642</v>
      </c>
      <c r="AT5" s="61">
        <v>6060265</v>
      </c>
      <c r="AU5" s="61">
        <v>6379992</v>
      </c>
      <c r="AV5" s="61">
        <v>5743124</v>
      </c>
      <c r="AW5" s="61">
        <v>6589960</v>
      </c>
      <c r="AX5" s="61">
        <v>8060031</v>
      </c>
      <c r="AY5" s="61">
        <v>6543980</v>
      </c>
      <c r="AZ5" s="61">
        <v>8559570</v>
      </c>
      <c r="BA5" s="61">
        <v>0</v>
      </c>
      <c r="BB5" s="61">
        <v>0</v>
      </c>
      <c r="BC5" s="61">
        <v>0</v>
      </c>
      <c r="BD5" s="61">
        <v>0</v>
      </c>
      <c r="BE5" s="61">
        <v>2584952</v>
      </c>
      <c r="BF5" s="61">
        <v>7068473</v>
      </c>
      <c r="BG5" s="61">
        <v>6178708</v>
      </c>
      <c r="BH5" s="61">
        <v>3948176</v>
      </c>
      <c r="BI5" s="61">
        <v>3856023</v>
      </c>
      <c r="BJ5" s="61">
        <v>9709823</v>
      </c>
      <c r="BK5" s="61">
        <v>5865014</v>
      </c>
      <c r="BL5" s="61">
        <v>3717118</v>
      </c>
      <c r="BM5" s="61">
        <v>5319099</v>
      </c>
      <c r="BN5" s="61">
        <v>6144427</v>
      </c>
      <c r="BO5" s="61">
        <v>4836340</v>
      </c>
      <c r="BP5" s="61">
        <v>6367980</v>
      </c>
      <c r="BQ5" s="61">
        <v>0</v>
      </c>
      <c r="BR5" s="61">
        <v>0</v>
      </c>
      <c r="BS5" s="61">
        <v>0</v>
      </c>
      <c r="BT5" s="61">
        <v>0</v>
      </c>
      <c r="BU5" s="61">
        <v>8119135</v>
      </c>
      <c r="BV5" s="61">
        <v>4050282</v>
      </c>
      <c r="BW5" s="61">
        <v>6734427</v>
      </c>
      <c r="BX5" s="61">
        <v>5788763</v>
      </c>
      <c r="BY5" s="61">
        <v>4100278.0000000005</v>
      </c>
      <c r="BZ5" s="61">
        <v>5253292</v>
      </c>
      <c r="CA5" s="61">
        <v>5253282</v>
      </c>
      <c r="CB5" s="61">
        <v>8672190</v>
      </c>
      <c r="CC5" s="61">
        <v>8007227</v>
      </c>
      <c r="CD5" s="61">
        <v>7663745</v>
      </c>
      <c r="CE5" s="61">
        <v>4052303</v>
      </c>
      <c r="CF5" s="61">
        <v>3036507</v>
      </c>
      <c r="CG5" s="61">
        <v>0</v>
      </c>
      <c r="CH5" s="61">
        <v>0</v>
      </c>
      <c r="CI5" s="61">
        <v>0</v>
      </c>
      <c r="CJ5" s="61">
        <v>0</v>
      </c>
      <c r="CK5" s="61">
        <v>4829405</v>
      </c>
      <c r="CL5" s="61">
        <v>2893844</v>
      </c>
      <c r="CM5" s="61">
        <v>5936481</v>
      </c>
      <c r="CN5" s="61">
        <v>5043592</v>
      </c>
      <c r="CO5" s="61">
        <v>3228670</v>
      </c>
      <c r="CP5" s="61">
        <v>5273371</v>
      </c>
      <c r="CQ5" s="61">
        <v>5872541</v>
      </c>
      <c r="CR5" s="61">
        <v>4946939</v>
      </c>
      <c r="CS5" s="61">
        <v>2945973</v>
      </c>
      <c r="CT5" s="61">
        <v>3089781</v>
      </c>
      <c r="CU5" s="61">
        <v>5098040</v>
      </c>
      <c r="CV5" s="61">
        <v>2440977</v>
      </c>
      <c r="CW5" s="61">
        <v>0</v>
      </c>
      <c r="CX5" s="61">
        <v>0</v>
      </c>
      <c r="CY5" s="61">
        <v>0</v>
      </c>
      <c r="CZ5" s="61">
        <v>0</v>
      </c>
      <c r="DA5" s="61">
        <v>6339681</v>
      </c>
      <c r="DB5" s="61">
        <v>2772410</v>
      </c>
      <c r="DC5" s="61">
        <v>4890958</v>
      </c>
      <c r="DD5" s="61">
        <v>2744177</v>
      </c>
      <c r="DE5" s="61">
        <v>4306710</v>
      </c>
      <c r="DF5" s="61">
        <v>3943743</v>
      </c>
      <c r="DG5" s="61">
        <v>2959065</v>
      </c>
      <c r="DH5" s="61">
        <v>3694707</v>
      </c>
      <c r="DI5" s="61">
        <v>4434035</v>
      </c>
      <c r="DJ5" s="61">
        <v>2516070</v>
      </c>
      <c r="DK5" s="61">
        <v>3858307.17</v>
      </c>
      <c r="DL5" s="61">
        <v>1995095</v>
      </c>
      <c r="DM5" s="61">
        <v>0</v>
      </c>
      <c r="DN5" s="61">
        <v>0</v>
      </c>
      <c r="DO5" s="61">
        <v>0</v>
      </c>
      <c r="DP5" s="61">
        <v>0</v>
      </c>
      <c r="DQ5" s="61">
        <v>4419052</v>
      </c>
      <c r="DR5" s="61">
        <v>3376554</v>
      </c>
      <c r="DS5" s="61">
        <v>3112856</v>
      </c>
      <c r="DT5" s="61">
        <v>4176997.9999999995</v>
      </c>
      <c r="DU5" s="61">
        <v>4518252</v>
      </c>
      <c r="DV5" s="61">
        <v>3418107</v>
      </c>
      <c r="DW5" s="61">
        <v>3321713</v>
      </c>
      <c r="DX5" s="61">
        <v>3545938</v>
      </c>
      <c r="DY5" s="61">
        <v>5165810</v>
      </c>
      <c r="DZ5" s="61">
        <v>2455400</v>
      </c>
      <c r="EA5" s="61">
        <v>2772513</v>
      </c>
      <c r="EB5" s="61">
        <v>3061915</v>
      </c>
      <c r="EC5" s="61">
        <v>0</v>
      </c>
      <c r="ED5" s="61">
        <v>0</v>
      </c>
      <c r="EE5" s="61">
        <v>0</v>
      </c>
      <c r="EF5" s="61">
        <v>0</v>
      </c>
      <c r="EG5" s="61">
        <v>5442426</v>
      </c>
      <c r="EH5" s="61">
        <v>4373621</v>
      </c>
      <c r="EI5" s="61">
        <v>3718917</v>
      </c>
      <c r="EJ5" s="61">
        <v>3485344</v>
      </c>
      <c r="EK5" s="61">
        <v>3430961</v>
      </c>
      <c r="EL5" s="61">
        <v>5736570</v>
      </c>
      <c r="EM5" s="61">
        <v>4147457.9999999995</v>
      </c>
      <c r="EN5" s="61">
        <v>2878473</v>
      </c>
      <c r="EO5" s="61">
        <v>5068245</v>
      </c>
      <c r="EP5" s="61">
        <v>4227860</v>
      </c>
      <c r="EQ5" s="61">
        <v>3840775.5</v>
      </c>
      <c r="ER5" s="61">
        <v>0</v>
      </c>
      <c r="ES5" s="61">
        <v>0</v>
      </c>
      <c r="ET5" s="61">
        <v>0</v>
      </c>
      <c r="EU5" s="61">
        <v>0</v>
      </c>
      <c r="EV5" s="61">
        <v>4872795</v>
      </c>
      <c r="EW5" s="61">
        <v>6488124</v>
      </c>
      <c r="EX5" s="61">
        <v>6754797</v>
      </c>
      <c r="EY5" s="61">
        <v>7437669</v>
      </c>
      <c r="EZ5" s="61">
        <v>4939969</v>
      </c>
      <c r="FA5" s="61">
        <v>7829297</v>
      </c>
      <c r="FB5" s="61">
        <v>9283298</v>
      </c>
      <c r="FC5" s="61">
        <v>5447258</v>
      </c>
      <c r="FD5" s="61">
        <v>3521825</v>
      </c>
      <c r="FE5" s="61">
        <v>2979920</v>
      </c>
      <c r="FF5" s="61">
        <v>4628784</v>
      </c>
      <c r="FG5" s="61">
        <v>0</v>
      </c>
      <c r="FH5" s="168">
        <v>0</v>
      </c>
      <c r="FI5" s="168">
        <v>0</v>
      </c>
      <c r="FJ5" s="61">
        <v>0</v>
      </c>
      <c r="FK5" s="61">
        <v>6120944</v>
      </c>
      <c r="FL5" s="61">
        <v>7300652</v>
      </c>
      <c r="FM5" s="61">
        <v>10281418</v>
      </c>
      <c r="FN5" s="61">
        <v>7338209</v>
      </c>
      <c r="FO5" s="61">
        <v>4721550</v>
      </c>
      <c r="FP5" s="61">
        <v>6758846</v>
      </c>
      <c r="FQ5" s="61">
        <v>6586533</v>
      </c>
      <c r="FR5" s="61">
        <v>6794221</v>
      </c>
      <c r="FS5" s="61">
        <v>6079105</v>
      </c>
      <c r="FT5" s="61">
        <v>7938110</v>
      </c>
      <c r="FU5" s="61">
        <v>6849147</v>
      </c>
      <c r="FV5" s="61">
        <v>0</v>
      </c>
      <c r="FW5" s="61">
        <v>0</v>
      </c>
      <c r="FX5" s="61">
        <v>0</v>
      </c>
      <c r="FY5" s="61">
        <v>0</v>
      </c>
      <c r="FZ5" s="61">
        <v>7372643</v>
      </c>
      <c r="GA5" s="61">
        <v>5477834</v>
      </c>
      <c r="GB5" s="61">
        <v>8014001</v>
      </c>
      <c r="GC5" s="61">
        <v>5248791</v>
      </c>
      <c r="GD5" s="61">
        <v>11852093</v>
      </c>
      <c r="GE5" s="61">
        <v>11226915</v>
      </c>
      <c r="GF5" s="61">
        <v>7644343</v>
      </c>
      <c r="GG5" s="61">
        <v>5489121</v>
      </c>
      <c r="GH5" s="61">
        <v>5532611.1666670004</v>
      </c>
      <c r="GI5" s="61">
        <v>1890020</v>
      </c>
      <c r="GJ5" s="61">
        <v>9720883</v>
      </c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</row>
    <row r="6" spans="2:205">
      <c r="D6" t="s">
        <v>811</v>
      </c>
      <c r="E6" s="61">
        <v>0</v>
      </c>
      <c r="F6" s="61">
        <v>0</v>
      </c>
      <c r="G6" s="61">
        <v>0</v>
      </c>
      <c r="H6" s="61">
        <v>0</v>
      </c>
      <c r="I6" s="61">
        <v>5351769</v>
      </c>
      <c r="J6" s="61">
        <v>5263278</v>
      </c>
      <c r="K6" s="61">
        <v>3232103</v>
      </c>
      <c r="L6" s="61">
        <v>2798682</v>
      </c>
      <c r="M6" s="61">
        <v>4086177</v>
      </c>
      <c r="N6" s="61">
        <v>6045184</v>
      </c>
      <c r="O6" s="61">
        <v>4044725</v>
      </c>
      <c r="P6" s="61">
        <v>4581873</v>
      </c>
      <c r="Q6" s="61">
        <v>4432141</v>
      </c>
      <c r="R6" s="61">
        <v>3957880</v>
      </c>
      <c r="S6" s="61">
        <v>4362040</v>
      </c>
      <c r="T6" s="61">
        <v>6692420</v>
      </c>
      <c r="U6" s="61">
        <v>0</v>
      </c>
      <c r="V6" s="61">
        <v>0</v>
      </c>
      <c r="W6" s="61">
        <v>0</v>
      </c>
      <c r="X6" s="61">
        <v>0</v>
      </c>
      <c r="Y6" s="61">
        <v>3663971</v>
      </c>
      <c r="Z6" s="61">
        <v>3055238</v>
      </c>
      <c r="AA6" s="61">
        <v>3777875</v>
      </c>
      <c r="AB6" s="61">
        <v>2277698</v>
      </c>
      <c r="AC6" s="61">
        <v>3787034</v>
      </c>
      <c r="AD6" s="61">
        <v>5671946</v>
      </c>
      <c r="AE6" s="61">
        <v>4233731</v>
      </c>
      <c r="AF6" s="61">
        <v>4611012</v>
      </c>
      <c r="AG6" s="61">
        <v>2291021</v>
      </c>
      <c r="AH6" s="61">
        <v>4465369</v>
      </c>
      <c r="AI6" s="61">
        <v>5658000</v>
      </c>
      <c r="AJ6" s="61">
        <v>2983720</v>
      </c>
      <c r="AK6" s="61">
        <v>0</v>
      </c>
      <c r="AL6" s="61">
        <v>0</v>
      </c>
      <c r="AM6" s="61">
        <v>0</v>
      </c>
      <c r="AN6" s="61">
        <v>0</v>
      </c>
      <c r="AO6" s="61">
        <v>5300724</v>
      </c>
      <c r="AP6" s="61">
        <v>6833931</v>
      </c>
      <c r="AQ6" s="61">
        <v>7897076</v>
      </c>
      <c r="AR6" s="61">
        <v>5892519</v>
      </c>
      <c r="AS6" s="61">
        <v>4225447</v>
      </c>
      <c r="AT6" s="61">
        <v>5401344</v>
      </c>
      <c r="AU6" s="61">
        <v>3766326</v>
      </c>
      <c r="AV6" s="61">
        <v>5948251</v>
      </c>
      <c r="AW6" s="61">
        <v>6519153</v>
      </c>
      <c r="AX6" s="61">
        <v>4824338</v>
      </c>
      <c r="AY6" s="61">
        <v>5395580</v>
      </c>
      <c r="AZ6" s="61">
        <v>5082593</v>
      </c>
      <c r="BA6" s="61">
        <v>0</v>
      </c>
      <c r="BB6" s="61">
        <v>0</v>
      </c>
      <c r="BC6" s="61">
        <v>0</v>
      </c>
      <c r="BD6" s="61">
        <v>0</v>
      </c>
      <c r="BE6" s="61">
        <v>2440357</v>
      </c>
      <c r="BF6" s="61">
        <v>5900604</v>
      </c>
      <c r="BG6" s="61">
        <v>5307428</v>
      </c>
      <c r="BH6" s="61">
        <v>3531849</v>
      </c>
      <c r="BI6" s="61">
        <v>4963119</v>
      </c>
      <c r="BJ6" s="61">
        <v>5432741</v>
      </c>
      <c r="BK6" s="61">
        <v>3158415</v>
      </c>
      <c r="BL6" s="61">
        <v>5430716</v>
      </c>
      <c r="BM6" s="61">
        <v>4856065</v>
      </c>
      <c r="BN6" s="61">
        <v>5908302</v>
      </c>
      <c r="BO6" s="61">
        <v>5668800</v>
      </c>
      <c r="BP6" s="61">
        <v>4300000</v>
      </c>
      <c r="BQ6" s="61">
        <v>0</v>
      </c>
      <c r="BR6" s="61">
        <v>0</v>
      </c>
      <c r="BS6" s="61">
        <v>0</v>
      </c>
      <c r="BT6" s="61">
        <v>0</v>
      </c>
      <c r="BU6" s="61">
        <v>6030786</v>
      </c>
      <c r="BV6" s="61">
        <v>4467355</v>
      </c>
      <c r="BW6" s="61">
        <v>6324400</v>
      </c>
      <c r="BX6" s="61">
        <v>4921716</v>
      </c>
      <c r="BY6" s="61">
        <v>3542432</v>
      </c>
      <c r="BZ6" s="61">
        <v>4035301</v>
      </c>
      <c r="CA6" s="61">
        <v>5269867</v>
      </c>
      <c r="CB6" s="61">
        <v>6951368</v>
      </c>
      <c r="CC6" s="61">
        <v>5853221</v>
      </c>
      <c r="CD6" s="61">
        <v>7062070</v>
      </c>
      <c r="CE6" s="61">
        <v>4269676</v>
      </c>
      <c r="CF6" s="61">
        <v>3393317</v>
      </c>
      <c r="CG6" s="61">
        <v>0</v>
      </c>
      <c r="CH6" s="61">
        <v>0</v>
      </c>
      <c r="CI6" s="61">
        <v>0</v>
      </c>
      <c r="CJ6" s="61">
        <v>0</v>
      </c>
      <c r="CK6" s="61">
        <v>2206078</v>
      </c>
      <c r="CL6" s="61">
        <v>4299780</v>
      </c>
      <c r="CM6" s="61">
        <v>4541577</v>
      </c>
      <c r="CN6" s="61">
        <v>5188486</v>
      </c>
      <c r="CO6" s="61">
        <v>3577198</v>
      </c>
      <c r="CP6" s="61">
        <v>3157915</v>
      </c>
      <c r="CQ6" s="61">
        <v>5859016</v>
      </c>
      <c r="CR6" s="61">
        <v>3955784</v>
      </c>
      <c r="CS6" s="61">
        <v>3552736</v>
      </c>
      <c r="CT6" s="61">
        <v>3301951</v>
      </c>
      <c r="CU6" s="61">
        <v>1986720</v>
      </c>
      <c r="CV6" s="61">
        <v>2644292</v>
      </c>
      <c r="CW6" s="61">
        <v>0</v>
      </c>
      <c r="CX6" s="61">
        <v>0</v>
      </c>
      <c r="CY6" s="61">
        <v>0</v>
      </c>
      <c r="CZ6" s="61">
        <v>0</v>
      </c>
      <c r="DA6" s="61">
        <v>3300550</v>
      </c>
      <c r="DB6" s="61">
        <v>3495520</v>
      </c>
      <c r="DC6" s="61">
        <v>4070876</v>
      </c>
      <c r="DD6" s="61">
        <v>4197111</v>
      </c>
      <c r="DE6" s="61">
        <v>4764657</v>
      </c>
      <c r="DF6" s="61">
        <v>2998516</v>
      </c>
      <c r="DG6" s="61">
        <v>2855156</v>
      </c>
      <c r="DH6" s="61">
        <v>5389184</v>
      </c>
      <c r="DI6" s="61">
        <v>3652741</v>
      </c>
      <c r="DJ6" s="61">
        <v>4442810</v>
      </c>
      <c r="DK6" s="61">
        <v>4310477.84</v>
      </c>
      <c r="DL6" s="61">
        <v>2424070</v>
      </c>
      <c r="DM6" s="61">
        <v>0</v>
      </c>
      <c r="DN6" s="61">
        <v>0</v>
      </c>
      <c r="DO6" s="61">
        <v>0</v>
      </c>
      <c r="DP6" s="61">
        <v>0</v>
      </c>
      <c r="DQ6" s="61">
        <v>3596445</v>
      </c>
      <c r="DR6" s="61">
        <v>3602250</v>
      </c>
      <c r="DS6" s="61">
        <v>3446121</v>
      </c>
      <c r="DT6" s="61">
        <v>4266693</v>
      </c>
      <c r="DU6" s="61">
        <v>3373521</v>
      </c>
      <c r="DV6" s="61">
        <v>2930310</v>
      </c>
      <c r="DW6" s="61">
        <v>4205404</v>
      </c>
      <c r="DX6" s="61">
        <v>3261801</v>
      </c>
      <c r="DY6" s="61">
        <v>4066374</v>
      </c>
      <c r="DZ6" s="61">
        <v>3937950</v>
      </c>
      <c r="EA6" s="61">
        <v>3595246</v>
      </c>
      <c r="EB6" s="61">
        <v>3595181</v>
      </c>
      <c r="EC6" s="61">
        <v>0</v>
      </c>
      <c r="ED6" s="61">
        <v>0</v>
      </c>
      <c r="EE6" s="61">
        <v>0</v>
      </c>
      <c r="EF6" s="61">
        <v>0</v>
      </c>
      <c r="EG6" s="61">
        <v>5362031</v>
      </c>
      <c r="EH6" s="61">
        <v>4259976</v>
      </c>
      <c r="EI6" s="61">
        <v>3485841</v>
      </c>
      <c r="EJ6" s="61">
        <v>4173863.9999999995</v>
      </c>
      <c r="EK6" s="61">
        <v>3475487</v>
      </c>
      <c r="EL6" s="61">
        <v>4999042</v>
      </c>
      <c r="EM6" s="61">
        <v>4652846</v>
      </c>
      <c r="EN6" s="61">
        <v>4291840</v>
      </c>
      <c r="EO6" s="61">
        <v>5072521</v>
      </c>
      <c r="EP6" s="61">
        <v>362230</v>
      </c>
      <c r="EQ6" s="61">
        <v>3850563.67</v>
      </c>
      <c r="ER6" s="61">
        <v>0</v>
      </c>
      <c r="ES6" s="61">
        <v>0</v>
      </c>
      <c r="ET6" s="61">
        <v>0</v>
      </c>
      <c r="EU6" s="61">
        <v>0</v>
      </c>
      <c r="EV6" s="61">
        <v>5632128</v>
      </c>
      <c r="EW6" s="61">
        <v>3503480</v>
      </c>
      <c r="EX6" s="61">
        <v>7225896</v>
      </c>
      <c r="EY6" s="61">
        <v>5299564</v>
      </c>
      <c r="EZ6" s="61">
        <v>5765001</v>
      </c>
      <c r="FA6" s="61">
        <v>5147894</v>
      </c>
      <c r="FB6" s="61">
        <v>6138712</v>
      </c>
      <c r="FC6" s="61">
        <v>4209225</v>
      </c>
      <c r="FD6" s="61">
        <v>4392985</v>
      </c>
      <c r="FE6" s="61">
        <v>3897250</v>
      </c>
      <c r="FF6" s="61">
        <v>5697176</v>
      </c>
      <c r="FG6" s="61">
        <v>0</v>
      </c>
      <c r="FH6" s="168">
        <v>0</v>
      </c>
      <c r="FI6" s="168">
        <v>0</v>
      </c>
      <c r="FJ6" s="61">
        <v>0</v>
      </c>
      <c r="FK6" s="61">
        <v>6317673</v>
      </c>
      <c r="FL6" s="61">
        <v>4542021</v>
      </c>
      <c r="FM6" s="61">
        <v>4714068</v>
      </c>
      <c r="FN6" s="61">
        <v>3092203</v>
      </c>
      <c r="FO6" s="61">
        <v>5260269</v>
      </c>
      <c r="FP6" s="61">
        <v>3941792</v>
      </c>
      <c r="FQ6" s="61">
        <v>3938938</v>
      </c>
      <c r="FR6" s="61">
        <v>5116079</v>
      </c>
      <c r="FS6" s="61">
        <v>5571288</v>
      </c>
      <c r="FT6" s="61">
        <v>3900530</v>
      </c>
      <c r="FU6" s="61">
        <v>6157581</v>
      </c>
      <c r="FV6" s="61">
        <v>0</v>
      </c>
      <c r="FW6" s="61">
        <v>0</v>
      </c>
      <c r="FX6" s="61">
        <v>0</v>
      </c>
      <c r="FY6" s="61">
        <v>0</v>
      </c>
      <c r="FZ6" s="61">
        <v>4367009</v>
      </c>
      <c r="GA6" s="61">
        <v>2873400</v>
      </c>
      <c r="GB6" s="61">
        <v>4346950</v>
      </c>
      <c r="GC6" s="61">
        <v>3726661</v>
      </c>
      <c r="GD6" s="61">
        <v>6616352</v>
      </c>
      <c r="GE6" s="61">
        <v>5317316</v>
      </c>
      <c r="GF6" s="61">
        <v>5073554</v>
      </c>
      <c r="GG6" s="61">
        <v>4990143</v>
      </c>
      <c r="GH6" s="61">
        <v>4642230</v>
      </c>
      <c r="GI6" s="61">
        <v>5737660</v>
      </c>
      <c r="GJ6" s="61">
        <v>4491699</v>
      </c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</row>
    <row r="7" spans="2:205">
      <c r="D7" t="s">
        <v>300</v>
      </c>
      <c r="E7" s="61">
        <v>0</v>
      </c>
      <c r="F7" s="61">
        <v>0</v>
      </c>
      <c r="G7" s="61">
        <v>0</v>
      </c>
      <c r="H7" s="61">
        <v>0</v>
      </c>
      <c r="I7" s="61">
        <v>0</v>
      </c>
      <c r="J7" s="61">
        <v>0</v>
      </c>
      <c r="K7" s="61">
        <v>0</v>
      </c>
      <c r="L7" s="61">
        <v>0</v>
      </c>
      <c r="M7" s="61">
        <v>0</v>
      </c>
      <c r="N7" s="61">
        <v>0</v>
      </c>
      <c r="O7" s="61">
        <v>0</v>
      </c>
      <c r="P7" s="61">
        <v>7037476</v>
      </c>
      <c r="Q7" s="61">
        <v>7486525</v>
      </c>
      <c r="R7" s="61">
        <v>8684046</v>
      </c>
      <c r="S7" s="61">
        <v>5449290</v>
      </c>
      <c r="T7" s="61">
        <v>9153058</v>
      </c>
      <c r="U7" s="61">
        <v>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  <c r="AE7" s="61">
        <v>0</v>
      </c>
      <c r="AF7" s="61">
        <v>10209967</v>
      </c>
      <c r="AG7" s="61">
        <v>6734435</v>
      </c>
      <c r="AH7" s="61">
        <v>8857081</v>
      </c>
      <c r="AI7" s="61">
        <v>6808060</v>
      </c>
      <c r="AJ7" s="61">
        <v>5463666</v>
      </c>
      <c r="AK7" s="61">
        <v>0</v>
      </c>
      <c r="AL7" s="61">
        <v>0</v>
      </c>
      <c r="AM7" s="61">
        <v>0</v>
      </c>
      <c r="AN7" s="61">
        <v>0</v>
      </c>
      <c r="AO7" s="61">
        <v>0</v>
      </c>
      <c r="AP7" s="61">
        <v>0</v>
      </c>
      <c r="AQ7" s="61">
        <v>0</v>
      </c>
      <c r="AR7" s="61">
        <v>0</v>
      </c>
      <c r="AS7" s="61">
        <v>0</v>
      </c>
      <c r="AT7" s="61">
        <v>0</v>
      </c>
      <c r="AU7" s="61">
        <v>0</v>
      </c>
      <c r="AV7" s="61">
        <v>4487324</v>
      </c>
      <c r="AW7" s="61">
        <v>6187769</v>
      </c>
      <c r="AX7" s="61">
        <v>7492264</v>
      </c>
      <c r="AY7" s="61">
        <v>5795320</v>
      </c>
      <c r="AZ7" s="61">
        <v>6779933</v>
      </c>
      <c r="BA7" s="61">
        <v>0</v>
      </c>
      <c r="BB7" s="61">
        <v>0</v>
      </c>
      <c r="BC7" s="61">
        <v>0</v>
      </c>
      <c r="BD7" s="61">
        <v>0</v>
      </c>
      <c r="BE7" s="61">
        <v>0</v>
      </c>
      <c r="BF7" s="61">
        <v>0</v>
      </c>
      <c r="BG7" s="61">
        <v>0</v>
      </c>
      <c r="BH7" s="61">
        <v>0</v>
      </c>
      <c r="BI7" s="61">
        <v>0</v>
      </c>
      <c r="BJ7" s="61">
        <v>0</v>
      </c>
      <c r="BK7" s="61">
        <v>0</v>
      </c>
      <c r="BL7" s="61">
        <v>4239860</v>
      </c>
      <c r="BM7" s="61">
        <v>5632001</v>
      </c>
      <c r="BN7" s="61">
        <v>3757305</v>
      </c>
      <c r="BO7" s="61">
        <v>3951690</v>
      </c>
      <c r="BP7" s="61">
        <v>3981877</v>
      </c>
      <c r="BQ7" s="61">
        <v>0</v>
      </c>
      <c r="BR7" s="61">
        <v>0</v>
      </c>
      <c r="BS7" s="61">
        <v>0</v>
      </c>
      <c r="BT7" s="61">
        <v>0</v>
      </c>
      <c r="BU7" s="61">
        <v>0</v>
      </c>
      <c r="BV7" s="61">
        <v>0</v>
      </c>
      <c r="BW7" s="61">
        <v>0</v>
      </c>
      <c r="BX7" s="61">
        <v>0</v>
      </c>
      <c r="BY7" s="61">
        <v>0</v>
      </c>
      <c r="BZ7" s="61">
        <v>0</v>
      </c>
      <c r="CA7" s="61">
        <v>0</v>
      </c>
      <c r="CB7" s="61">
        <v>5891904</v>
      </c>
      <c r="CC7" s="61">
        <v>5265527</v>
      </c>
      <c r="CD7" s="61">
        <v>4400253</v>
      </c>
      <c r="CE7" s="61">
        <v>4169984</v>
      </c>
      <c r="CF7" s="61">
        <v>2519791</v>
      </c>
      <c r="CG7" s="61">
        <v>0</v>
      </c>
      <c r="CH7" s="61">
        <v>0</v>
      </c>
      <c r="CI7" s="61">
        <v>0</v>
      </c>
      <c r="CJ7" s="61">
        <v>0</v>
      </c>
      <c r="CK7" s="61">
        <v>0</v>
      </c>
      <c r="CL7" s="61">
        <v>0</v>
      </c>
      <c r="CM7" s="61">
        <v>0</v>
      </c>
      <c r="CN7" s="61">
        <v>0</v>
      </c>
      <c r="CO7" s="61">
        <v>0</v>
      </c>
      <c r="CP7" s="61">
        <v>0</v>
      </c>
      <c r="CQ7" s="61">
        <v>0</v>
      </c>
      <c r="CR7" s="61">
        <v>3926467</v>
      </c>
      <c r="CS7" s="61">
        <v>3532817</v>
      </c>
      <c r="CT7" s="61">
        <v>3580819</v>
      </c>
      <c r="CU7" s="61">
        <v>4017030</v>
      </c>
      <c r="CV7" s="61">
        <v>3306145</v>
      </c>
      <c r="CW7" s="61">
        <v>0</v>
      </c>
      <c r="CX7" s="61">
        <v>0</v>
      </c>
      <c r="CY7" s="61">
        <v>0</v>
      </c>
      <c r="CZ7" s="61">
        <v>0</v>
      </c>
      <c r="DA7" s="61">
        <v>0</v>
      </c>
      <c r="DB7" s="61">
        <v>0</v>
      </c>
      <c r="DC7" s="61">
        <v>0</v>
      </c>
      <c r="DD7" s="61">
        <v>0</v>
      </c>
      <c r="DE7" s="61">
        <v>0</v>
      </c>
      <c r="DF7" s="61">
        <v>0</v>
      </c>
      <c r="DG7" s="61">
        <v>0</v>
      </c>
      <c r="DH7" s="61">
        <v>3244572</v>
      </c>
      <c r="DI7" s="61">
        <v>3893162</v>
      </c>
      <c r="DJ7" s="61">
        <v>2799470</v>
      </c>
      <c r="DK7" s="61">
        <v>4729281.83</v>
      </c>
      <c r="DL7" s="61">
        <v>2168821</v>
      </c>
      <c r="DM7" s="61">
        <v>0</v>
      </c>
      <c r="DN7" s="61">
        <v>0</v>
      </c>
      <c r="DO7" s="61">
        <v>0</v>
      </c>
      <c r="DP7" s="61">
        <v>0</v>
      </c>
      <c r="DQ7" s="61">
        <v>0</v>
      </c>
      <c r="DR7" s="61">
        <v>0</v>
      </c>
      <c r="DS7" s="61">
        <v>0</v>
      </c>
      <c r="DT7" s="61">
        <v>0</v>
      </c>
      <c r="DU7" s="61">
        <v>0</v>
      </c>
      <c r="DV7" s="61">
        <v>0</v>
      </c>
      <c r="DW7" s="61">
        <v>0</v>
      </c>
      <c r="DX7" s="61">
        <v>3610867</v>
      </c>
      <c r="DY7" s="61">
        <v>3121977</v>
      </c>
      <c r="DZ7" s="61">
        <v>2934740</v>
      </c>
      <c r="EA7" s="61">
        <v>3574341</v>
      </c>
      <c r="EB7" s="61">
        <v>2920896</v>
      </c>
      <c r="EC7" s="61">
        <v>0</v>
      </c>
      <c r="ED7" s="61">
        <v>0</v>
      </c>
      <c r="EE7" s="61">
        <v>0</v>
      </c>
      <c r="EF7" s="61">
        <v>0</v>
      </c>
      <c r="EG7" s="61">
        <v>0</v>
      </c>
      <c r="EH7" s="61">
        <v>0</v>
      </c>
      <c r="EI7" s="61">
        <v>0</v>
      </c>
      <c r="EJ7" s="61">
        <v>0</v>
      </c>
      <c r="EK7" s="61">
        <v>0</v>
      </c>
      <c r="EL7" s="61">
        <v>0</v>
      </c>
      <c r="EM7" s="61">
        <v>0</v>
      </c>
      <c r="EN7" s="61">
        <v>2790666</v>
      </c>
      <c r="EO7" s="61">
        <v>5833335</v>
      </c>
      <c r="EP7" s="61">
        <v>2044240</v>
      </c>
      <c r="EQ7" s="61">
        <v>4399548.67</v>
      </c>
      <c r="ER7" s="61">
        <v>0</v>
      </c>
      <c r="ES7" s="61">
        <v>0</v>
      </c>
      <c r="ET7" s="61">
        <v>0</v>
      </c>
      <c r="EU7" s="61">
        <v>0</v>
      </c>
      <c r="EV7" s="61">
        <v>0</v>
      </c>
      <c r="EW7" s="61">
        <v>0</v>
      </c>
      <c r="EX7" s="61">
        <v>0</v>
      </c>
      <c r="EY7" s="61">
        <v>0</v>
      </c>
      <c r="EZ7" s="61">
        <v>0</v>
      </c>
      <c r="FA7" s="61">
        <v>0</v>
      </c>
      <c r="FB7" s="61">
        <v>0</v>
      </c>
      <c r="FC7" s="61">
        <v>3499579</v>
      </c>
      <c r="FD7" s="61">
        <v>4368788</v>
      </c>
      <c r="FE7" s="61">
        <v>3934500</v>
      </c>
      <c r="FF7" s="61">
        <v>4204669</v>
      </c>
      <c r="FG7" s="61">
        <v>0</v>
      </c>
      <c r="FH7" s="168">
        <v>0</v>
      </c>
      <c r="FI7" s="168">
        <v>0</v>
      </c>
      <c r="FJ7" s="61">
        <v>0</v>
      </c>
      <c r="FK7" s="61">
        <v>0</v>
      </c>
      <c r="FL7" s="61">
        <v>0</v>
      </c>
      <c r="FM7" s="61">
        <v>0</v>
      </c>
      <c r="FN7" s="61">
        <v>0</v>
      </c>
      <c r="FO7" s="61">
        <v>0</v>
      </c>
      <c r="FP7" s="61">
        <v>0</v>
      </c>
      <c r="FQ7" s="61">
        <v>0</v>
      </c>
      <c r="FR7" s="61">
        <v>4310376</v>
      </c>
      <c r="FS7" s="61">
        <v>7266901</v>
      </c>
      <c r="FT7" s="61">
        <v>6025270</v>
      </c>
      <c r="FU7" s="61">
        <v>5179858</v>
      </c>
      <c r="FV7" s="61">
        <v>0</v>
      </c>
      <c r="FW7" s="61">
        <v>0</v>
      </c>
      <c r="FX7" s="61">
        <v>0</v>
      </c>
      <c r="FY7" s="61">
        <v>0</v>
      </c>
      <c r="FZ7" s="61">
        <v>0</v>
      </c>
      <c r="GA7" s="61">
        <v>0</v>
      </c>
      <c r="GB7" s="61">
        <v>0</v>
      </c>
      <c r="GC7" s="61">
        <v>0</v>
      </c>
      <c r="GD7" s="61">
        <v>0</v>
      </c>
      <c r="GE7" s="61">
        <v>0</v>
      </c>
      <c r="GF7" s="61">
        <v>4516167</v>
      </c>
      <c r="GG7" s="61">
        <v>5120081</v>
      </c>
      <c r="GH7" s="61">
        <v>4887688.9989999998</v>
      </c>
      <c r="GI7" s="61">
        <v>2895670</v>
      </c>
      <c r="GJ7" s="61">
        <v>8370891</v>
      </c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</row>
    <row r="8" spans="2:205">
      <c r="D8" t="s">
        <v>358</v>
      </c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>
        <v>595324</v>
      </c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>
        <v>603220</v>
      </c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>
        <v>1085000</v>
      </c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168"/>
      <c r="FI8" s="168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</row>
    <row r="9" spans="2:205">
      <c r="D9" t="s">
        <v>367</v>
      </c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>
        <v>292321</v>
      </c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>
        <v>581601</v>
      </c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>
        <v>915873</v>
      </c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168"/>
      <c r="FI9" s="168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</row>
    <row r="10" spans="2:205">
      <c r="D10" t="s">
        <v>359</v>
      </c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>
        <v>431643</v>
      </c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>
        <v>521885</v>
      </c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>
        <v>693560</v>
      </c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168"/>
      <c r="FI10" s="168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</row>
    <row r="11" spans="2:205">
      <c r="D11" t="s">
        <v>360</v>
      </c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>
        <v>692509</v>
      </c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>
        <v>799648</v>
      </c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>
        <v>896619</v>
      </c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168"/>
      <c r="FI11" s="168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</row>
    <row r="12" spans="2:205">
      <c r="D12" t="s">
        <v>361</v>
      </c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>
        <v>228185</v>
      </c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>
        <v>600641</v>
      </c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>
        <v>782779</v>
      </c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168"/>
      <c r="FI12" s="168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</row>
    <row r="13" spans="2:205">
      <c r="D13" t="s">
        <v>362</v>
      </c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>
        <v>888171</v>
      </c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>
        <v>911648</v>
      </c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>
        <v>1171728</v>
      </c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168"/>
      <c r="FI13" s="168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</row>
    <row r="14" spans="2:205">
      <c r="D14" t="s">
        <v>363</v>
      </c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>
        <v>117053</v>
      </c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>
        <v>506646</v>
      </c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>
        <v>644929</v>
      </c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168"/>
      <c r="FI14" s="168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</row>
    <row r="15" spans="2:205">
      <c r="D15" t="s">
        <v>364</v>
      </c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>
        <v>300293</v>
      </c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>
        <v>479624</v>
      </c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>
        <v>674966</v>
      </c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168"/>
      <c r="FI15" s="168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</row>
    <row r="16" spans="2:205">
      <c r="D16" t="s">
        <v>369</v>
      </c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>
        <v>634883</v>
      </c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>
        <v>951013</v>
      </c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>
        <v>1082474</v>
      </c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168"/>
      <c r="FI16" s="168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</row>
    <row r="17" spans="2:207">
      <c r="D17" t="s">
        <v>372</v>
      </c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>
        <v>359348</v>
      </c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>
        <v>769637</v>
      </c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>
        <v>1248725</v>
      </c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168"/>
      <c r="FI17" s="168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</row>
    <row r="18" spans="2:207">
      <c r="D18" t="s">
        <v>365</v>
      </c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>
        <v>549670</v>
      </c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>
        <v>758607</v>
      </c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>
        <v>826398</v>
      </c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168"/>
      <c r="FI18" s="168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</row>
    <row r="19" spans="2:207">
      <c r="D19" t="s">
        <v>366</v>
      </c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>
        <v>717033</v>
      </c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>
        <v>948013</v>
      </c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>
        <v>1083275</v>
      </c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168"/>
      <c r="FI19" s="168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</row>
    <row r="20" spans="2:207">
      <c r="D20" t="s">
        <v>368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>
        <v>341016</v>
      </c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>
        <v>618123</v>
      </c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>
        <v>943769</v>
      </c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168"/>
      <c r="FI20" s="168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</row>
    <row r="21" spans="2:207">
      <c r="D21" t="s">
        <v>371</v>
      </c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>
        <v>767751</v>
      </c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>
        <v>1082058</v>
      </c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>
        <v>1561717</v>
      </c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168"/>
      <c r="FI21" s="168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</row>
    <row r="22" spans="2:207">
      <c r="D22" t="s">
        <v>370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>
        <v>695138</v>
      </c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>
        <v>958688</v>
      </c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>
        <v>1052668</v>
      </c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168"/>
      <c r="FI22" s="168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</row>
    <row r="23" spans="2:207">
      <c r="D23" t="s">
        <v>2622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2992933</v>
      </c>
      <c r="M23" s="61">
        <v>10522409</v>
      </c>
      <c r="N23" s="61">
        <v>10046864</v>
      </c>
      <c r="O23" s="61">
        <v>8304429</v>
      </c>
      <c r="P23" s="61">
        <v>13637486</v>
      </c>
      <c r="Q23" s="61">
        <v>10794636</v>
      </c>
      <c r="R23" s="61">
        <v>13210811</v>
      </c>
      <c r="S23" s="61">
        <v>5969860</v>
      </c>
      <c r="T23" s="61">
        <v>12389993</v>
      </c>
      <c r="U23" s="61">
        <v>0</v>
      </c>
      <c r="V23" s="61">
        <v>0</v>
      </c>
      <c r="W23" s="61">
        <v>0</v>
      </c>
      <c r="X23" s="61">
        <v>0</v>
      </c>
      <c r="Y23" s="61">
        <v>0</v>
      </c>
      <c r="Z23" s="61">
        <v>0</v>
      </c>
      <c r="AA23" s="61">
        <v>0</v>
      </c>
      <c r="AB23" s="61">
        <v>5581754</v>
      </c>
      <c r="AC23" s="61">
        <v>8297629</v>
      </c>
      <c r="AD23" s="61">
        <v>7442966</v>
      </c>
      <c r="AE23" s="61">
        <v>9180243</v>
      </c>
      <c r="AF23" s="61">
        <v>14156030</v>
      </c>
      <c r="AG23" s="61">
        <v>8007497</v>
      </c>
      <c r="AH23" s="61">
        <v>10721997</v>
      </c>
      <c r="AI23" s="61">
        <v>9272280</v>
      </c>
      <c r="AJ23" s="61">
        <v>8974688</v>
      </c>
      <c r="AK23" s="61">
        <v>0</v>
      </c>
      <c r="AL23" s="61">
        <v>0</v>
      </c>
      <c r="AM23" s="61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8972503</v>
      </c>
      <c r="AS23" s="61">
        <v>7942356</v>
      </c>
      <c r="AT23" s="61">
        <v>4601851</v>
      </c>
      <c r="AU23" s="61">
        <v>7590267</v>
      </c>
      <c r="AV23" s="61">
        <v>7233118</v>
      </c>
      <c r="AW23" s="61">
        <v>9079137</v>
      </c>
      <c r="AX23" s="61">
        <v>8828151</v>
      </c>
      <c r="AY23" s="61">
        <v>10764790</v>
      </c>
      <c r="AZ23" s="61">
        <v>9112139</v>
      </c>
      <c r="BA23" s="61">
        <v>0</v>
      </c>
      <c r="BB23" s="61">
        <v>0</v>
      </c>
      <c r="BC23" s="61">
        <v>0</v>
      </c>
      <c r="BD23" s="61">
        <v>0</v>
      </c>
      <c r="BE23" s="61">
        <v>0</v>
      </c>
      <c r="BF23" s="61">
        <v>0</v>
      </c>
      <c r="BG23" s="61">
        <v>0</v>
      </c>
      <c r="BH23" s="61">
        <v>6528703</v>
      </c>
      <c r="BI23" s="61">
        <v>5690189</v>
      </c>
      <c r="BJ23" s="61">
        <v>8261652</v>
      </c>
      <c r="BK23" s="61">
        <v>8847933</v>
      </c>
      <c r="BL23" s="61">
        <v>4850213</v>
      </c>
      <c r="BM23" s="61">
        <v>6539563</v>
      </c>
      <c r="BN23" s="61">
        <v>6933332</v>
      </c>
      <c r="BO23" s="61">
        <v>3979790</v>
      </c>
      <c r="BP23" s="61">
        <v>6536125</v>
      </c>
      <c r="BQ23" s="61">
        <v>0</v>
      </c>
      <c r="BR23" s="61">
        <v>0</v>
      </c>
      <c r="BS23" s="61">
        <v>0</v>
      </c>
      <c r="BT23" s="61">
        <v>0</v>
      </c>
      <c r="BU23" s="61">
        <v>0</v>
      </c>
      <c r="BV23" s="61">
        <v>0</v>
      </c>
      <c r="BW23" s="61">
        <v>0</v>
      </c>
      <c r="BX23" s="61">
        <v>5841236</v>
      </c>
      <c r="BY23" s="61">
        <v>7173486</v>
      </c>
      <c r="BZ23" s="61">
        <v>4938169</v>
      </c>
      <c r="CA23" s="61">
        <v>7226035</v>
      </c>
      <c r="CB23" s="61">
        <v>7410118</v>
      </c>
      <c r="CC23" s="61">
        <v>7957217</v>
      </c>
      <c r="CD23" s="61">
        <v>5685227</v>
      </c>
      <c r="CE23" s="61">
        <v>4882727</v>
      </c>
      <c r="CF23" s="61">
        <v>4714545</v>
      </c>
      <c r="CG23" s="61">
        <v>0</v>
      </c>
      <c r="CH23" s="61">
        <v>0</v>
      </c>
      <c r="CI23" s="61">
        <v>0</v>
      </c>
      <c r="CJ23" s="61">
        <v>0</v>
      </c>
      <c r="CK23" s="61">
        <v>0</v>
      </c>
      <c r="CL23" s="61">
        <v>0</v>
      </c>
      <c r="CM23" s="61">
        <v>0</v>
      </c>
      <c r="CN23" s="61">
        <v>3950622</v>
      </c>
      <c r="CO23" s="61">
        <v>7108919</v>
      </c>
      <c r="CP23" s="61">
        <v>6134040</v>
      </c>
      <c r="CQ23" s="61">
        <v>7660803</v>
      </c>
      <c r="CR23" s="61">
        <v>3420629</v>
      </c>
      <c r="CS23" s="61">
        <v>6708845</v>
      </c>
      <c r="CT23" s="61">
        <v>5814650</v>
      </c>
      <c r="CU23" s="61">
        <v>7160460</v>
      </c>
      <c r="CV23" s="61">
        <v>5590701</v>
      </c>
      <c r="CW23" s="61">
        <v>0</v>
      </c>
      <c r="CX23" s="61">
        <v>0</v>
      </c>
      <c r="CY23" s="61">
        <v>0</v>
      </c>
      <c r="CZ23" s="61">
        <v>0</v>
      </c>
      <c r="DA23" s="61">
        <v>0</v>
      </c>
      <c r="DB23" s="61">
        <v>0</v>
      </c>
      <c r="DC23" s="61">
        <v>2109</v>
      </c>
      <c r="DD23" s="61">
        <v>4040617</v>
      </c>
      <c r="DE23" s="61">
        <v>5257567</v>
      </c>
      <c r="DF23" s="61">
        <v>6256451</v>
      </c>
      <c r="DG23" s="61">
        <v>5067145</v>
      </c>
      <c r="DH23" s="61">
        <v>4279050</v>
      </c>
      <c r="DI23" s="61">
        <v>7936154</v>
      </c>
      <c r="DJ23" s="61">
        <v>5674480</v>
      </c>
      <c r="DK23" s="61">
        <v>6324435.8300000001</v>
      </c>
      <c r="DL23" s="61">
        <v>3139625</v>
      </c>
      <c r="DM23" s="61">
        <v>0</v>
      </c>
      <c r="DN23" s="61">
        <v>0</v>
      </c>
      <c r="DO23" s="61">
        <v>0</v>
      </c>
      <c r="DP23" s="61">
        <v>0</v>
      </c>
      <c r="DQ23" s="61">
        <v>0</v>
      </c>
      <c r="DR23" s="61">
        <v>0</v>
      </c>
      <c r="DS23" s="61">
        <v>6721</v>
      </c>
      <c r="DT23" s="61">
        <v>6079805</v>
      </c>
      <c r="DU23" s="61">
        <v>6001333</v>
      </c>
      <c r="DV23" s="61">
        <v>5739230</v>
      </c>
      <c r="DW23" s="61">
        <v>3916533</v>
      </c>
      <c r="DX23" s="61">
        <v>6392641</v>
      </c>
      <c r="DY23" s="61">
        <v>4407493</v>
      </c>
      <c r="DZ23" s="61">
        <v>6474670</v>
      </c>
      <c r="EA23" s="61">
        <v>4408831</v>
      </c>
      <c r="EB23" s="61">
        <v>5072787</v>
      </c>
      <c r="EC23" s="61">
        <v>0</v>
      </c>
      <c r="ED23" s="61">
        <v>0</v>
      </c>
      <c r="EE23" s="61">
        <v>0</v>
      </c>
      <c r="EF23" s="61">
        <v>0</v>
      </c>
      <c r="EG23" s="61">
        <v>0</v>
      </c>
      <c r="EH23" s="61">
        <v>0</v>
      </c>
      <c r="EI23" s="61">
        <v>569481</v>
      </c>
      <c r="EJ23" s="61">
        <v>4813130</v>
      </c>
      <c r="EK23" s="61">
        <v>7305447</v>
      </c>
      <c r="EL23" s="61">
        <v>4673615</v>
      </c>
      <c r="EM23" s="61">
        <v>4444768</v>
      </c>
      <c r="EN23" s="61">
        <v>2739485</v>
      </c>
      <c r="EO23" s="61">
        <v>5836599</v>
      </c>
      <c r="EP23" s="61">
        <v>4861230</v>
      </c>
      <c r="EQ23" s="61">
        <v>4851111</v>
      </c>
      <c r="ER23" s="61">
        <v>0</v>
      </c>
      <c r="ES23" s="61">
        <v>0</v>
      </c>
      <c r="ET23" s="61">
        <v>0</v>
      </c>
      <c r="EU23" s="61">
        <v>0</v>
      </c>
      <c r="EV23" s="61">
        <v>0</v>
      </c>
      <c r="EW23" s="61">
        <v>0</v>
      </c>
      <c r="EX23" s="61">
        <v>3488426</v>
      </c>
      <c r="EY23" s="61">
        <v>7320825</v>
      </c>
      <c r="EZ23" s="61">
        <v>8595215</v>
      </c>
      <c r="FA23" s="61">
        <v>8101406</v>
      </c>
      <c r="FB23" s="61">
        <v>9851045</v>
      </c>
      <c r="FC23" s="61">
        <v>8638219</v>
      </c>
      <c r="FD23" s="61">
        <v>4413304</v>
      </c>
      <c r="FE23" s="61">
        <v>4190800</v>
      </c>
      <c r="FF23" s="61">
        <v>9136393</v>
      </c>
      <c r="FG23" s="61">
        <v>0</v>
      </c>
      <c r="FH23" s="168">
        <v>0</v>
      </c>
      <c r="FI23" s="168">
        <v>0</v>
      </c>
      <c r="FJ23" s="61">
        <v>0</v>
      </c>
      <c r="FK23" s="61">
        <v>0</v>
      </c>
      <c r="FL23" s="61">
        <v>0</v>
      </c>
      <c r="FM23" s="61">
        <v>6697218</v>
      </c>
      <c r="FN23" s="61">
        <v>6773549</v>
      </c>
      <c r="FO23" s="61">
        <v>6636360</v>
      </c>
      <c r="FP23" s="61">
        <v>8696108</v>
      </c>
      <c r="FQ23" s="61">
        <v>8078683</v>
      </c>
      <c r="FR23" s="61">
        <v>7230595</v>
      </c>
      <c r="FS23" s="61">
        <v>12342033</v>
      </c>
      <c r="FT23" s="61">
        <v>8514380</v>
      </c>
      <c r="FU23" s="61">
        <v>6655230</v>
      </c>
      <c r="FV23" s="61">
        <v>0</v>
      </c>
      <c r="FW23" s="61">
        <v>0</v>
      </c>
      <c r="FX23" s="61">
        <v>0</v>
      </c>
      <c r="FY23" s="61">
        <v>0</v>
      </c>
      <c r="FZ23" s="61">
        <v>0</v>
      </c>
      <c r="GA23" s="61">
        <v>0</v>
      </c>
      <c r="GB23" s="61">
        <v>5231422</v>
      </c>
      <c r="GC23" s="61">
        <v>6266899</v>
      </c>
      <c r="GD23" s="61">
        <v>13634092</v>
      </c>
      <c r="GE23" s="61">
        <v>12513482</v>
      </c>
      <c r="GF23" s="61">
        <v>11798850</v>
      </c>
      <c r="GG23" s="61">
        <v>10479735</v>
      </c>
      <c r="GH23" s="61">
        <v>15894931</v>
      </c>
      <c r="GI23" s="61">
        <v>6502050</v>
      </c>
      <c r="GJ23" s="61">
        <v>10889352</v>
      </c>
      <c r="GK23" s="61"/>
    </row>
    <row r="24" spans="2:207">
      <c r="D24" s="3" t="s">
        <v>2626</v>
      </c>
      <c r="E24" s="61"/>
      <c r="F24" s="61"/>
      <c r="G24" s="61"/>
      <c r="H24" s="61"/>
      <c r="I24" s="61"/>
      <c r="J24" s="61"/>
      <c r="K24" s="61"/>
      <c r="L24" s="61"/>
      <c r="M24" s="61">
        <v>6826641</v>
      </c>
      <c r="N24" s="61">
        <v>7757729</v>
      </c>
      <c r="O24" s="61">
        <v>5454082</v>
      </c>
      <c r="P24" s="61">
        <v>9735906</v>
      </c>
      <c r="Q24" s="61">
        <v>8276453</v>
      </c>
      <c r="R24" s="61">
        <v>9767409.166666666</v>
      </c>
      <c r="S24" s="61">
        <v>4221994</v>
      </c>
      <c r="T24" s="61">
        <v>9322891.5</v>
      </c>
      <c r="U24" s="61"/>
      <c r="V24" s="61"/>
      <c r="W24" s="61"/>
      <c r="X24" s="61"/>
      <c r="Y24" s="61"/>
      <c r="Z24" s="61"/>
      <c r="AA24" s="61"/>
      <c r="AB24" s="61"/>
      <c r="AC24" s="61">
        <v>5764908</v>
      </c>
      <c r="AD24" s="61">
        <v>4578614</v>
      </c>
      <c r="AE24" s="61">
        <v>5349208</v>
      </c>
      <c r="AF24" s="61">
        <v>10204239</v>
      </c>
      <c r="AG24" s="61">
        <v>6194485</v>
      </c>
      <c r="AH24" s="61">
        <v>8875826.9999999981</v>
      </c>
      <c r="AI24" s="61">
        <v>6975818</v>
      </c>
      <c r="AJ24" s="61">
        <v>7114328.5</v>
      </c>
      <c r="AK24" s="61"/>
      <c r="AL24" s="61"/>
      <c r="AM24" s="61"/>
      <c r="AN24" s="61"/>
      <c r="AO24" s="61"/>
      <c r="AP24" s="61"/>
      <c r="AQ24" s="61"/>
      <c r="AR24" s="61"/>
      <c r="AS24" s="61">
        <v>5610133</v>
      </c>
      <c r="AT24" s="61">
        <v>3487474</v>
      </c>
      <c r="AU24" s="61">
        <v>5631499</v>
      </c>
      <c r="AV24" s="61">
        <v>5003435</v>
      </c>
      <c r="AW24" s="61">
        <v>7032682</v>
      </c>
      <c r="AX24" s="61">
        <v>6491126.166666667</v>
      </c>
      <c r="AY24" s="61">
        <v>7467891.833333334</v>
      </c>
      <c r="AZ24" s="61">
        <v>6972601.4999999991</v>
      </c>
      <c r="BA24" s="61"/>
      <c r="BB24" s="61"/>
      <c r="BC24" s="61"/>
      <c r="BD24" s="61"/>
      <c r="BE24" s="61"/>
      <c r="BF24" s="61"/>
      <c r="BG24" s="61"/>
      <c r="BH24" s="61"/>
      <c r="BI24" s="61">
        <v>2872972</v>
      </c>
      <c r="BJ24" s="61">
        <v>6627680</v>
      </c>
      <c r="BK24" s="61">
        <v>5918581</v>
      </c>
      <c r="BL24" s="61">
        <v>3235871</v>
      </c>
      <c r="BM24" s="61">
        <v>4398472</v>
      </c>
      <c r="BN24" s="61">
        <v>4629024.333333333</v>
      </c>
      <c r="BO24" s="61">
        <v>2521805.666666666</v>
      </c>
      <c r="BP24" s="61">
        <v>4687787</v>
      </c>
      <c r="BQ24" s="61"/>
      <c r="BR24" s="61"/>
      <c r="BS24" s="61"/>
      <c r="BT24" s="61"/>
      <c r="BU24" s="61"/>
      <c r="BV24" s="61"/>
      <c r="BW24" s="61"/>
      <c r="BX24" s="61"/>
      <c r="BY24" s="61">
        <v>3984047</v>
      </c>
      <c r="BZ24" s="61">
        <v>4084100</v>
      </c>
      <c r="CA24" s="61">
        <v>4286991</v>
      </c>
      <c r="CB24" s="61">
        <v>5024617</v>
      </c>
      <c r="CC24" s="61">
        <v>4741306</v>
      </c>
      <c r="CD24" s="61">
        <v>3648753.666666666</v>
      </c>
      <c r="CE24" s="61">
        <v>3587356.166666667</v>
      </c>
      <c r="CF24" s="61">
        <v>3266536</v>
      </c>
      <c r="CG24" s="61"/>
      <c r="CH24" s="61"/>
      <c r="CI24" s="61"/>
      <c r="CJ24" s="61"/>
      <c r="CK24" s="61"/>
      <c r="CL24" s="61"/>
      <c r="CM24" s="61"/>
      <c r="CN24" s="61">
        <v>887872</v>
      </c>
      <c r="CO24" s="61">
        <v>4080730</v>
      </c>
      <c r="CP24" s="61">
        <v>4464006</v>
      </c>
      <c r="CQ24" s="61">
        <v>4522680</v>
      </c>
      <c r="CR24" s="61">
        <v>2498948</v>
      </c>
      <c r="CS24" s="61">
        <v>4373545</v>
      </c>
      <c r="CT24" s="61">
        <v>2948695.0003333334</v>
      </c>
      <c r="CU24" s="61">
        <v>3738945.4999999995</v>
      </c>
      <c r="CV24" s="61">
        <v>2715264</v>
      </c>
      <c r="CW24" s="61"/>
      <c r="CX24" s="61"/>
      <c r="CY24" s="61"/>
      <c r="CZ24" s="61"/>
      <c r="DA24" s="61"/>
      <c r="DB24" s="61"/>
      <c r="DC24" s="61"/>
      <c r="DD24" s="61">
        <v>1331337</v>
      </c>
      <c r="DE24" s="61">
        <v>3434877</v>
      </c>
      <c r="DF24" s="61">
        <v>3732561</v>
      </c>
      <c r="DG24" s="61">
        <v>3222703</v>
      </c>
      <c r="DH24" s="61">
        <v>2980954</v>
      </c>
      <c r="DI24" s="61">
        <v>4153475</v>
      </c>
      <c r="DJ24" s="61">
        <v>2736082.9999999995</v>
      </c>
      <c r="DK24" s="61">
        <v>3943207.333333333</v>
      </c>
      <c r="DL24" s="61">
        <v>2155381.3333333335</v>
      </c>
      <c r="DM24" s="61"/>
      <c r="DN24" s="61"/>
      <c r="DO24" s="61"/>
      <c r="DP24" s="61"/>
      <c r="DQ24" s="61"/>
      <c r="DR24" s="61"/>
      <c r="DS24" s="61"/>
      <c r="DT24" s="61">
        <v>2380060</v>
      </c>
      <c r="DU24" s="61">
        <v>2888081</v>
      </c>
      <c r="DV24" s="61">
        <v>3686130</v>
      </c>
      <c r="DW24" s="61">
        <v>2759363</v>
      </c>
      <c r="DX24" s="61">
        <v>3794776</v>
      </c>
      <c r="DY24" s="61">
        <v>3323970.333333333</v>
      </c>
      <c r="DZ24" s="61">
        <v>3491642.5</v>
      </c>
      <c r="EA24" s="61">
        <v>2559840</v>
      </c>
      <c r="EB24" s="61">
        <v>2999997.5</v>
      </c>
      <c r="EC24" s="61"/>
      <c r="ED24" s="61"/>
      <c r="EE24" s="61"/>
      <c r="EF24" s="61"/>
      <c r="EG24" s="61"/>
      <c r="EH24" s="61"/>
      <c r="EI24" s="61"/>
      <c r="EJ24" s="61">
        <v>2407651</v>
      </c>
      <c r="EK24" s="61">
        <v>4178220.0000000005</v>
      </c>
      <c r="EL24" s="61">
        <v>3138635</v>
      </c>
      <c r="EM24" s="61">
        <v>2994669</v>
      </c>
      <c r="EN24" s="61">
        <v>1850982</v>
      </c>
      <c r="EO24" s="61">
        <v>4840567</v>
      </c>
      <c r="EP24" s="61">
        <v>2836271.9999999991</v>
      </c>
      <c r="EQ24" s="61">
        <v>4191897.833333334</v>
      </c>
      <c r="ER24" s="61"/>
      <c r="ES24" s="61"/>
      <c r="ET24" s="61"/>
      <c r="EU24" s="61"/>
      <c r="EV24" s="61"/>
      <c r="EW24" s="61"/>
      <c r="EX24" s="61"/>
      <c r="EY24" s="61">
        <v>5485591</v>
      </c>
      <c r="EZ24" s="61">
        <v>5175616</v>
      </c>
      <c r="FA24" s="61">
        <v>5956500</v>
      </c>
      <c r="FB24" s="61">
        <v>6628092</v>
      </c>
      <c r="FC24" s="61">
        <v>5377612</v>
      </c>
      <c r="FD24" s="61">
        <v>3416596</v>
      </c>
      <c r="FE24" s="61">
        <v>3307691.666666667</v>
      </c>
      <c r="FF24" s="61">
        <v>5781472.8330000006</v>
      </c>
      <c r="FG24" s="61"/>
      <c r="FH24" s="168"/>
      <c r="FI24" s="168"/>
      <c r="FJ24" s="61"/>
      <c r="FK24" s="61"/>
      <c r="FL24" s="61"/>
      <c r="FM24" s="61"/>
      <c r="FN24" s="61">
        <v>5273829</v>
      </c>
      <c r="FO24" s="61">
        <v>4233438</v>
      </c>
      <c r="FP24" s="61">
        <v>5875331</v>
      </c>
      <c r="FQ24" s="61">
        <v>6083605</v>
      </c>
      <c r="FR24" s="61">
        <v>5266763</v>
      </c>
      <c r="FS24" s="61">
        <v>8656093</v>
      </c>
      <c r="FT24" s="61">
        <v>6485690.333333333</v>
      </c>
      <c r="FU24" s="61">
        <v>4488161.833333334</v>
      </c>
      <c r="FV24" s="61"/>
      <c r="FW24" s="61"/>
      <c r="FX24" s="61"/>
      <c r="FY24" s="61"/>
      <c r="FZ24" s="61"/>
      <c r="GA24" s="61"/>
      <c r="GB24" s="61"/>
      <c r="GC24" s="61">
        <v>3848812</v>
      </c>
      <c r="GD24" s="61">
        <v>9698284</v>
      </c>
      <c r="GE24" s="61">
        <v>9384131</v>
      </c>
      <c r="GF24" s="61">
        <v>8485116</v>
      </c>
      <c r="GG24" s="61">
        <v>7531133</v>
      </c>
      <c r="GH24" s="61">
        <v>9950260.166666666</v>
      </c>
      <c r="GI24" s="61">
        <v>4696645.8333333349</v>
      </c>
      <c r="GJ24" s="61">
        <v>7703725</v>
      </c>
      <c r="GK24" s="61"/>
      <c r="GL24" s="61">
        <f>AVERAGE(M24:T24)</f>
        <v>7670388.208333333</v>
      </c>
      <c r="GM24" s="61">
        <f>AVERAGE(AC24:AJ24)</f>
        <v>6882178.4375</v>
      </c>
      <c r="GN24" s="61">
        <f>AVERAGE(AS24:AZ24)</f>
        <v>5962105.3125</v>
      </c>
      <c r="GO24" s="61">
        <f>AVERAGE(BI24:BP24)</f>
        <v>4361524.125</v>
      </c>
      <c r="GP24" s="61">
        <f>AVERAGE(BY24:CF24)</f>
        <v>4077963.3541666665</v>
      </c>
      <c r="GQ24" s="61">
        <f>AVERAGE(CN24:CV24)</f>
        <v>3358965.0555925923</v>
      </c>
      <c r="GR24" s="61">
        <f>AVERAGE(DD24:DL24)</f>
        <v>3076730.9629629627</v>
      </c>
      <c r="GS24" s="61">
        <f>AVERAGE(DT24:EB24)</f>
        <v>3098206.7037037034</v>
      </c>
      <c r="GT24" s="61">
        <f>AVERAGE(EJ24:EQ24)</f>
        <v>3304861.729166667</v>
      </c>
      <c r="GU24" s="61">
        <f>AVERAGE(EY24:FF24)</f>
        <v>5141146.4374583326</v>
      </c>
      <c r="GV24" s="61">
        <f>AVERAGE(FN24:FU24)</f>
        <v>5795363.895833334</v>
      </c>
      <c r="GW24" s="61">
        <f>AVERAGE(GC24:GJ24)</f>
        <v>7662263.375</v>
      </c>
      <c r="GX24" t="s">
        <v>846</v>
      </c>
      <c r="GY24" s="3" t="s">
        <v>2626</v>
      </c>
    </row>
    <row r="25" spans="2:207">
      <c r="B25" t="s">
        <v>2608</v>
      </c>
      <c r="E25" s="61">
        <v>0</v>
      </c>
      <c r="F25" s="61">
        <v>0</v>
      </c>
      <c r="G25" s="61">
        <v>0</v>
      </c>
      <c r="H25" s="61">
        <v>0</v>
      </c>
      <c r="I25" s="61">
        <v>11982165</v>
      </c>
      <c r="J25" s="61">
        <v>14809440</v>
      </c>
      <c r="K25" s="61">
        <v>8975636</v>
      </c>
      <c r="L25" s="61">
        <v>9159065</v>
      </c>
      <c r="M25" s="61">
        <v>26159082</v>
      </c>
      <c r="N25" s="61">
        <v>30203646</v>
      </c>
      <c r="O25" s="61">
        <v>23026979</v>
      </c>
      <c r="P25" s="61">
        <v>43956254</v>
      </c>
      <c r="Q25" s="61">
        <v>37163395</v>
      </c>
      <c r="R25" s="61">
        <v>46405575.166666664</v>
      </c>
      <c r="S25" s="61">
        <v>24842214</v>
      </c>
      <c r="T25" s="61">
        <v>48030669.5</v>
      </c>
      <c r="U25" s="61">
        <v>0</v>
      </c>
      <c r="V25" s="61">
        <v>0</v>
      </c>
      <c r="W25" s="61">
        <v>0</v>
      </c>
      <c r="X25" s="61">
        <v>0</v>
      </c>
      <c r="Y25" s="61">
        <v>13884345</v>
      </c>
      <c r="Z25" s="61">
        <v>8162875</v>
      </c>
      <c r="AA25" s="61">
        <v>9222102</v>
      </c>
      <c r="AB25" s="61">
        <v>15384422</v>
      </c>
      <c r="AC25" s="61">
        <v>20666326</v>
      </c>
      <c r="AD25" s="61">
        <v>22079866</v>
      </c>
      <c r="AE25" s="61">
        <v>24695293</v>
      </c>
      <c r="AF25" s="61">
        <v>48965055</v>
      </c>
      <c r="AG25" s="61">
        <v>28382366</v>
      </c>
      <c r="AH25" s="61">
        <v>41232937</v>
      </c>
      <c r="AI25" s="61">
        <v>38137038</v>
      </c>
      <c r="AJ25" s="61">
        <v>29473809.5</v>
      </c>
      <c r="AK25" s="61">
        <v>0</v>
      </c>
      <c r="AL25" s="61">
        <v>0</v>
      </c>
      <c r="AM25" s="61">
        <v>0</v>
      </c>
      <c r="AN25" s="61">
        <v>0</v>
      </c>
      <c r="AO25" s="61">
        <v>13747719</v>
      </c>
      <c r="AP25" s="61">
        <v>18524666</v>
      </c>
      <c r="AQ25" s="61">
        <v>16056409</v>
      </c>
      <c r="AR25" s="61">
        <v>23371712</v>
      </c>
      <c r="AS25" s="61">
        <v>22238578</v>
      </c>
      <c r="AT25" s="61">
        <v>19550934</v>
      </c>
      <c r="AU25" s="61">
        <v>23368084</v>
      </c>
      <c r="AV25" s="61">
        <v>28415252</v>
      </c>
      <c r="AW25" s="61">
        <v>35408701</v>
      </c>
      <c r="AX25" s="61">
        <v>35695910.166666664</v>
      </c>
      <c r="AY25" s="61">
        <v>35967561.833333336</v>
      </c>
      <c r="AZ25" s="61">
        <v>36506836.5</v>
      </c>
      <c r="BA25" s="61">
        <v>0</v>
      </c>
      <c r="BB25" s="61">
        <v>0</v>
      </c>
      <c r="BC25" s="61">
        <v>0</v>
      </c>
      <c r="BD25" s="61">
        <v>0</v>
      </c>
      <c r="BE25" s="61">
        <v>5025309</v>
      </c>
      <c r="BF25" s="61">
        <v>12969077</v>
      </c>
      <c r="BG25" s="61">
        <v>11486136</v>
      </c>
      <c r="BH25" s="61">
        <v>14008728</v>
      </c>
      <c r="BI25" s="61">
        <v>17382303</v>
      </c>
      <c r="BJ25" s="61">
        <v>30031896</v>
      </c>
      <c r="BK25" s="61">
        <v>23789943</v>
      </c>
      <c r="BL25" s="61">
        <v>21473778</v>
      </c>
      <c r="BM25" s="61">
        <v>26745200</v>
      </c>
      <c r="BN25" s="61">
        <v>27372390.333333332</v>
      </c>
      <c r="BO25" s="61">
        <v>20958425.666666664</v>
      </c>
      <c r="BP25" s="61">
        <v>25873769</v>
      </c>
      <c r="BQ25" s="61">
        <v>0</v>
      </c>
      <c r="BR25" s="61">
        <v>0</v>
      </c>
      <c r="BS25" s="61">
        <v>0</v>
      </c>
      <c r="BT25" s="61">
        <v>0</v>
      </c>
      <c r="BU25" s="61">
        <v>14149921</v>
      </c>
      <c r="BV25" s="61">
        <v>8517637</v>
      </c>
      <c r="BW25" s="61">
        <v>13058827</v>
      </c>
      <c r="BX25" s="61">
        <v>16551715</v>
      </c>
      <c r="BY25" s="61">
        <v>18800243</v>
      </c>
      <c r="BZ25" s="61">
        <v>18310862</v>
      </c>
      <c r="CA25" s="61">
        <v>22036175</v>
      </c>
      <c r="CB25" s="61">
        <v>33950197</v>
      </c>
      <c r="CC25" s="61">
        <v>31824498</v>
      </c>
      <c r="CD25" s="61">
        <v>28460048.666666664</v>
      </c>
      <c r="CE25" s="61">
        <v>20962046.166666668</v>
      </c>
      <c r="CF25" s="61">
        <v>16930696</v>
      </c>
      <c r="CG25" s="61">
        <v>0</v>
      </c>
      <c r="CH25" s="61">
        <v>0</v>
      </c>
      <c r="CI25" s="61">
        <v>0</v>
      </c>
      <c r="CJ25" s="61">
        <v>0</v>
      </c>
      <c r="CK25" s="61">
        <v>7035483</v>
      </c>
      <c r="CL25" s="61">
        <v>7193624</v>
      </c>
      <c r="CM25" s="61">
        <v>10478058</v>
      </c>
      <c r="CN25" s="61">
        <v>15070572</v>
      </c>
      <c r="CO25" s="61">
        <v>17995517</v>
      </c>
      <c r="CP25" s="61">
        <v>19029332</v>
      </c>
      <c r="CQ25" s="61">
        <v>23915040</v>
      </c>
      <c r="CR25" s="61">
        <v>18748767</v>
      </c>
      <c r="CS25" s="61">
        <v>21113916</v>
      </c>
      <c r="CT25" s="61">
        <v>18735896.000333332</v>
      </c>
      <c r="CU25" s="61">
        <v>22001195.5</v>
      </c>
      <c r="CV25" s="61">
        <v>24307717</v>
      </c>
      <c r="CW25" s="61">
        <v>0</v>
      </c>
      <c r="CX25" s="61">
        <v>0</v>
      </c>
      <c r="CY25" s="61">
        <v>0</v>
      </c>
      <c r="CZ25" s="61">
        <v>0</v>
      </c>
      <c r="DA25" s="61">
        <v>9640231</v>
      </c>
      <c r="DB25" s="61">
        <v>6267930</v>
      </c>
      <c r="DC25" s="61">
        <v>8963943</v>
      </c>
      <c r="DD25" s="61">
        <v>12313242</v>
      </c>
      <c r="DE25" s="61">
        <v>17763811</v>
      </c>
      <c r="DF25" s="61">
        <v>16931271</v>
      </c>
      <c r="DG25" s="61">
        <v>14104069</v>
      </c>
      <c r="DH25" s="61">
        <v>19588467</v>
      </c>
      <c r="DI25" s="61">
        <v>24069567</v>
      </c>
      <c r="DJ25" s="61">
        <v>18168913</v>
      </c>
      <c r="DK25" s="61">
        <v>23165710.003333334</v>
      </c>
      <c r="DL25" s="61">
        <v>22974044.333333332</v>
      </c>
      <c r="DM25" s="61">
        <v>0</v>
      </c>
      <c r="DN25" s="61">
        <v>0</v>
      </c>
      <c r="DO25" s="61">
        <v>0</v>
      </c>
      <c r="DP25" s="61">
        <v>0</v>
      </c>
      <c r="DQ25" s="61">
        <v>8015497</v>
      </c>
      <c r="DR25" s="61">
        <v>6978804</v>
      </c>
      <c r="DS25" s="61">
        <v>6565698</v>
      </c>
      <c r="DT25" s="61">
        <v>16903556</v>
      </c>
      <c r="DU25" s="61">
        <v>16781187</v>
      </c>
      <c r="DV25" s="61">
        <v>15773777</v>
      </c>
      <c r="DW25" s="61">
        <v>14203013</v>
      </c>
      <c r="DX25" s="61">
        <v>20606023</v>
      </c>
      <c r="DY25" s="61">
        <v>20085624.333333332</v>
      </c>
      <c r="DZ25" s="61">
        <v>19294402.5</v>
      </c>
      <c r="EA25" s="61">
        <v>16910771</v>
      </c>
      <c r="EB25" s="61">
        <v>32315256.5</v>
      </c>
      <c r="EC25" s="61">
        <v>0</v>
      </c>
      <c r="ED25" s="61">
        <v>0</v>
      </c>
      <c r="EE25" s="61">
        <v>0</v>
      </c>
      <c r="EF25" s="61">
        <v>0</v>
      </c>
      <c r="EG25" s="61">
        <v>10804457</v>
      </c>
      <c r="EH25" s="61">
        <v>8633597</v>
      </c>
      <c r="EI25" s="61">
        <v>7774239</v>
      </c>
      <c r="EJ25" s="61">
        <v>14879989</v>
      </c>
      <c r="EK25" s="61">
        <v>18390115</v>
      </c>
      <c r="EL25" s="61">
        <v>18547862</v>
      </c>
      <c r="EM25" s="61">
        <v>16239741</v>
      </c>
      <c r="EN25" s="61">
        <v>14551446</v>
      </c>
      <c r="EO25" s="61">
        <v>26651267</v>
      </c>
      <c r="EP25" s="61">
        <v>14331832</v>
      </c>
      <c r="EQ25" s="61">
        <v>21133896.673333332</v>
      </c>
      <c r="ER25" s="61">
        <v>0</v>
      </c>
      <c r="ES25" s="61">
        <v>0</v>
      </c>
      <c r="ET25" s="61">
        <v>0</v>
      </c>
      <c r="EU25" s="61">
        <v>0</v>
      </c>
      <c r="EV25" s="61">
        <v>10504923</v>
      </c>
      <c r="EW25" s="61">
        <v>9991604</v>
      </c>
      <c r="EX25" s="61">
        <v>17469119</v>
      </c>
      <c r="EY25" s="61">
        <v>25543649</v>
      </c>
      <c r="EZ25" s="61">
        <v>24475801</v>
      </c>
      <c r="FA25" s="61">
        <v>27035097</v>
      </c>
      <c r="FB25" s="61">
        <v>31901147</v>
      </c>
      <c r="FC25" s="61">
        <v>27171893</v>
      </c>
      <c r="FD25" s="61">
        <v>20113498</v>
      </c>
      <c r="FE25" s="61">
        <v>18310161.666666668</v>
      </c>
      <c r="FF25" s="61">
        <v>29448494.833000001</v>
      </c>
      <c r="FG25" s="61">
        <v>0</v>
      </c>
      <c r="FH25" s="168">
        <v>0</v>
      </c>
      <c r="FI25" s="168">
        <v>0</v>
      </c>
      <c r="FJ25" s="61">
        <v>0</v>
      </c>
      <c r="FK25" s="61">
        <v>12438617</v>
      </c>
      <c r="FL25" s="61">
        <v>11842673</v>
      </c>
      <c r="FM25" s="61">
        <v>21692704</v>
      </c>
      <c r="FN25" s="61">
        <v>22477790</v>
      </c>
      <c r="FO25" s="61">
        <v>20851617</v>
      </c>
      <c r="FP25" s="61">
        <v>25272077</v>
      </c>
      <c r="FQ25" s="61">
        <v>24687759</v>
      </c>
      <c r="FR25" s="61">
        <v>28718034</v>
      </c>
      <c r="FS25" s="61">
        <v>39915420</v>
      </c>
      <c r="FT25" s="61">
        <v>32863980.333333332</v>
      </c>
      <c r="FU25" s="61">
        <v>29329977.833333336</v>
      </c>
      <c r="FV25" s="61">
        <v>0</v>
      </c>
      <c r="FW25" s="61">
        <v>0</v>
      </c>
      <c r="FX25" s="61">
        <v>0</v>
      </c>
      <c r="FY25" s="61">
        <v>0</v>
      </c>
      <c r="FZ25" s="61">
        <v>11739652</v>
      </c>
      <c r="GA25" s="61">
        <v>8351234</v>
      </c>
      <c r="GB25" s="61">
        <v>17592373</v>
      </c>
      <c r="GC25" s="61">
        <v>19091163</v>
      </c>
      <c r="GD25" s="61">
        <v>41800821</v>
      </c>
      <c r="GE25" s="61">
        <v>38441844</v>
      </c>
      <c r="GF25" s="61">
        <v>37518030</v>
      </c>
      <c r="GG25" s="61">
        <v>33610213</v>
      </c>
      <c r="GH25" s="61">
        <v>40907721.332333662</v>
      </c>
      <c r="GI25" s="61">
        <v>21722045.833333336</v>
      </c>
      <c r="GJ25" s="61">
        <v>41176550</v>
      </c>
      <c r="GK25" s="61"/>
    </row>
    <row r="26" spans="2:207">
      <c r="B26" t="s">
        <v>788</v>
      </c>
      <c r="C26" t="s">
        <v>789</v>
      </c>
      <c r="D26" s="3" t="s">
        <v>282</v>
      </c>
      <c r="E26" s="61">
        <v>1792924</v>
      </c>
      <c r="F26" s="61">
        <v>1882625</v>
      </c>
      <c r="G26" s="61">
        <v>2158684</v>
      </c>
      <c r="H26" s="61">
        <v>1789404</v>
      </c>
      <c r="I26" s="61">
        <v>894720</v>
      </c>
      <c r="J26" s="61">
        <v>1576691</v>
      </c>
      <c r="K26" s="61">
        <v>1131665</v>
      </c>
      <c r="L26" s="61">
        <v>1779195</v>
      </c>
      <c r="M26" s="61">
        <v>1710663</v>
      </c>
      <c r="N26" s="61">
        <v>1108767</v>
      </c>
      <c r="O26" s="61">
        <v>1117627</v>
      </c>
      <c r="P26" s="61">
        <v>2290700</v>
      </c>
      <c r="Q26" s="61">
        <v>1449854</v>
      </c>
      <c r="R26" s="61">
        <v>1680604</v>
      </c>
      <c r="S26" s="61">
        <v>1383490</v>
      </c>
      <c r="T26" s="61">
        <v>1803967</v>
      </c>
      <c r="U26" s="61">
        <v>1561822</v>
      </c>
      <c r="V26" s="61">
        <v>1072098</v>
      </c>
      <c r="W26" s="61">
        <v>1923957</v>
      </c>
      <c r="X26" s="61">
        <v>775965</v>
      </c>
      <c r="Y26" s="61">
        <v>1281015</v>
      </c>
      <c r="Z26" s="61">
        <v>2370593</v>
      </c>
      <c r="AA26" s="61">
        <v>1452814</v>
      </c>
      <c r="AB26" s="61">
        <v>1685068</v>
      </c>
      <c r="AC26" s="61">
        <v>1311778</v>
      </c>
      <c r="AD26" s="61">
        <v>1382101</v>
      </c>
      <c r="AE26" s="61">
        <v>1882103</v>
      </c>
      <c r="AF26" s="61">
        <v>1860151</v>
      </c>
      <c r="AG26" s="61">
        <v>1541635</v>
      </c>
      <c r="AH26" s="61">
        <v>1515181</v>
      </c>
      <c r="AI26" s="61">
        <v>1682780</v>
      </c>
      <c r="AJ26" s="61">
        <v>925472</v>
      </c>
      <c r="AK26" s="61">
        <v>2611652</v>
      </c>
      <c r="AL26" s="61">
        <v>1728406</v>
      </c>
      <c r="AM26" s="61">
        <v>2070751</v>
      </c>
      <c r="AN26" s="61">
        <v>2151107</v>
      </c>
      <c r="AO26" s="61">
        <v>1653481</v>
      </c>
      <c r="AP26" s="61">
        <v>2233372</v>
      </c>
      <c r="AQ26" s="61">
        <v>1166327</v>
      </c>
      <c r="AR26" s="61">
        <v>2120015</v>
      </c>
      <c r="AS26" s="61">
        <v>2123241</v>
      </c>
      <c r="AT26" s="61">
        <v>1505988</v>
      </c>
      <c r="AU26" s="61">
        <v>1825775</v>
      </c>
      <c r="AV26" s="61">
        <v>2207103</v>
      </c>
      <c r="AW26" s="61">
        <v>1960814</v>
      </c>
      <c r="AX26" s="61">
        <v>1718887</v>
      </c>
      <c r="AY26" s="61">
        <v>1483670</v>
      </c>
      <c r="AZ26" s="61">
        <v>1887419</v>
      </c>
      <c r="BA26" s="61">
        <v>2064698</v>
      </c>
      <c r="BB26" s="61">
        <v>1463369</v>
      </c>
      <c r="BC26" s="61">
        <v>2064192</v>
      </c>
      <c r="BD26" s="61">
        <v>1398045</v>
      </c>
      <c r="BE26" s="61">
        <v>1139482</v>
      </c>
      <c r="BF26" s="61">
        <v>1740714</v>
      </c>
      <c r="BG26" s="61">
        <v>1442818</v>
      </c>
      <c r="BH26" s="61">
        <v>1115294</v>
      </c>
      <c r="BI26" s="61">
        <v>1874891</v>
      </c>
      <c r="BJ26" s="61">
        <v>1834810</v>
      </c>
      <c r="BK26" s="61">
        <v>1491878</v>
      </c>
      <c r="BL26" s="61">
        <v>1280175</v>
      </c>
      <c r="BM26" s="61">
        <v>1686039</v>
      </c>
      <c r="BN26" s="61">
        <v>1639909</v>
      </c>
      <c r="BO26" s="61">
        <v>1266510</v>
      </c>
      <c r="BP26" s="61">
        <v>1834801</v>
      </c>
      <c r="BQ26" s="61">
        <v>1086318</v>
      </c>
      <c r="BR26" s="61">
        <v>1114826</v>
      </c>
      <c r="BS26" s="61">
        <v>1626251</v>
      </c>
      <c r="BT26" s="61">
        <v>1510875</v>
      </c>
      <c r="BU26" s="61">
        <v>1448960</v>
      </c>
      <c r="BV26" s="61">
        <v>1593610</v>
      </c>
      <c r="BW26" s="61">
        <v>1597127</v>
      </c>
      <c r="BX26" s="61">
        <v>1050483</v>
      </c>
      <c r="BY26" s="61">
        <v>1327450</v>
      </c>
      <c r="BZ26" s="61">
        <v>1795319</v>
      </c>
      <c r="CA26" s="61">
        <v>1318088</v>
      </c>
      <c r="CB26" s="61">
        <v>1359524</v>
      </c>
      <c r="CC26" s="61">
        <v>1707008</v>
      </c>
      <c r="CD26" s="61">
        <v>2322927</v>
      </c>
      <c r="CE26" s="61">
        <v>1581458</v>
      </c>
      <c r="CF26" s="61">
        <v>842284</v>
      </c>
      <c r="CG26" s="61">
        <v>1254877</v>
      </c>
      <c r="CH26" s="61">
        <v>1205330</v>
      </c>
      <c r="CI26" s="61">
        <v>1150410</v>
      </c>
      <c r="CJ26" s="61">
        <v>1140679</v>
      </c>
      <c r="CK26" s="61">
        <v>903824</v>
      </c>
      <c r="CL26" s="61">
        <v>879670</v>
      </c>
      <c r="CM26" s="61">
        <v>499191</v>
      </c>
      <c r="CN26" s="61">
        <v>828179</v>
      </c>
      <c r="CO26" s="61">
        <v>817360</v>
      </c>
      <c r="CP26" s="61">
        <v>1110665</v>
      </c>
      <c r="CQ26" s="61">
        <v>1234441</v>
      </c>
      <c r="CR26" s="61">
        <v>1048035.0000000001</v>
      </c>
      <c r="CS26" s="61">
        <v>813418</v>
      </c>
      <c r="CT26" s="61">
        <v>903840</v>
      </c>
      <c r="CU26" s="61">
        <v>974890</v>
      </c>
      <c r="CV26" s="61">
        <v>569602</v>
      </c>
      <c r="CW26" s="61">
        <v>699545</v>
      </c>
      <c r="CX26" s="61">
        <v>1157172</v>
      </c>
      <c r="CY26" s="61">
        <v>1002161</v>
      </c>
      <c r="CZ26" s="61">
        <v>735702</v>
      </c>
      <c r="DA26" s="61">
        <v>1311624</v>
      </c>
      <c r="DB26" s="61">
        <v>617450</v>
      </c>
      <c r="DC26" s="61">
        <v>1013246</v>
      </c>
      <c r="DD26" s="61">
        <v>843702</v>
      </c>
      <c r="DE26" s="61">
        <v>825186</v>
      </c>
      <c r="DF26" s="61">
        <v>685481</v>
      </c>
      <c r="DG26" s="61">
        <v>773638</v>
      </c>
      <c r="DH26" s="61">
        <v>1307982</v>
      </c>
      <c r="DI26" s="61">
        <v>887834</v>
      </c>
      <c r="DJ26" s="61">
        <v>806200</v>
      </c>
      <c r="DK26" s="61">
        <v>1385119.83</v>
      </c>
      <c r="DL26" s="61">
        <v>390883</v>
      </c>
      <c r="DM26" s="61">
        <v>618165</v>
      </c>
      <c r="DN26" s="61">
        <v>1111594</v>
      </c>
      <c r="DO26" s="61">
        <v>1327329</v>
      </c>
      <c r="DP26" s="61">
        <v>1255489</v>
      </c>
      <c r="DQ26" s="61">
        <v>1094665</v>
      </c>
      <c r="DR26" s="61">
        <v>661981</v>
      </c>
      <c r="DS26" s="61">
        <v>717588</v>
      </c>
      <c r="DT26" s="61">
        <v>664946</v>
      </c>
      <c r="DU26" s="61">
        <v>1119442</v>
      </c>
      <c r="DV26" s="61">
        <v>1140210</v>
      </c>
      <c r="DW26" s="61">
        <v>814016</v>
      </c>
      <c r="DX26" s="61">
        <v>498202</v>
      </c>
      <c r="DY26" s="61">
        <v>1554628</v>
      </c>
      <c r="DZ26" s="61">
        <v>1123480</v>
      </c>
      <c r="EA26" s="61">
        <v>1097749</v>
      </c>
      <c r="EB26" s="61">
        <v>637534</v>
      </c>
      <c r="EC26" s="61">
        <v>1630918</v>
      </c>
      <c r="ED26" s="61">
        <v>1633166</v>
      </c>
      <c r="EE26" s="61">
        <v>616357</v>
      </c>
      <c r="EF26" s="61">
        <v>1924625</v>
      </c>
      <c r="EG26" s="61">
        <v>1129250</v>
      </c>
      <c r="EH26" s="61">
        <v>1062400</v>
      </c>
      <c r="EI26" s="61">
        <v>689400</v>
      </c>
      <c r="EJ26" s="61">
        <v>982566</v>
      </c>
      <c r="EK26" s="61">
        <v>1138592</v>
      </c>
      <c r="EL26" s="61">
        <v>1341593</v>
      </c>
      <c r="EM26" s="61">
        <v>1386439</v>
      </c>
      <c r="EN26" s="61">
        <v>973703</v>
      </c>
      <c r="EO26" s="61">
        <v>882876</v>
      </c>
      <c r="EP26" s="61">
        <v>1101040</v>
      </c>
      <c r="EQ26" s="61">
        <v>781844.33</v>
      </c>
      <c r="ER26" s="61">
        <v>2045130</v>
      </c>
      <c r="ES26" s="61">
        <v>1775520</v>
      </c>
      <c r="ET26" s="61">
        <v>2814757</v>
      </c>
      <c r="EU26" s="61">
        <v>2200116</v>
      </c>
      <c r="EV26" s="61">
        <v>1239901</v>
      </c>
      <c r="EW26" s="61">
        <v>1103352</v>
      </c>
      <c r="EX26" s="61">
        <v>1425304</v>
      </c>
      <c r="EY26" s="61">
        <v>2336040</v>
      </c>
      <c r="EZ26" s="61">
        <v>1527492</v>
      </c>
      <c r="FA26" s="61">
        <v>1538206</v>
      </c>
      <c r="FB26" s="61">
        <v>1767476</v>
      </c>
      <c r="FC26" s="61">
        <v>1615918</v>
      </c>
      <c r="FD26" s="61">
        <v>1650498</v>
      </c>
      <c r="FE26" s="61">
        <v>1089550</v>
      </c>
      <c r="FF26" s="61">
        <v>1447550</v>
      </c>
      <c r="FG26" s="61">
        <v>2155844</v>
      </c>
      <c r="FH26" s="168">
        <v>1003271</v>
      </c>
      <c r="FI26" s="168">
        <v>1165828</v>
      </c>
      <c r="FJ26" s="61">
        <v>1624683</v>
      </c>
      <c r="FK26" s="61">
        <v>1162023</v>
      </c>
      <c r="FL26" s="61">
        <v>1152675</v>
      </c>
      <c r="FM26" s="61">
        <v>2239525</v>
      </c>
      <c r="FN26" s="61">
        <v>1100635</v>
      </c>
      <c r="FO26" s="61">
        <v>2159233</v>
      </c>
      <c r="FP26" s="61">
        <v>1921004</v>
      </c>
      <c r="FQ26" s="61">
        <v>1600947</v>
      </c>
      <c r="FR26" s="61">
        <v>1954279</v>
      </c>
      <c r="FS26" s="61">
        <v>1396722</v>
      </c>
      <c r="FT26" s="61">
        <v>1481490</v>
      </c>
      <c r="FU26" s="61">
        <v>1686285</v>
      </c>
      <c r="FV26" s="61">
        <v>2126339</v>
      </c>
      <c r="FW26" s="61">
        <v>1596738</v>
      </c>
      <c r="FX26" s="61">
        <v>1114954</v>
      </c>
      <c r="FY26" s="61">
        <v>1131107</v>
      </c>
      <c r="FZ26" s="61">
        <v>1687748</v>
      </c>
      <c r="GA26" s="61">
        <v>1682878</v>
      </c>
      <c r="GB26" s="61">
        <v>1471552</v>
      </c>
      <c r="GC26" s="61">
        <v>2394515</v>
      </c>
      <c r="GD26" s="61">
        <v>1821741</v>
      </c>
      <c r="GE26" s="61">
        <v>1855551</v>
      </c>
      <c r="GF26" s="61">
        <v>1954382</v>
      </c>
      <c r="GG26" s="61">
        <v>1352651</v>
      </c>
      <c r="GH26" s="61">
        <v>2534702.6669999999</v>
      </c>
      <c r="GI26" s="61">
        <v>1287030</v>
      </c>
      <c r="GJ26" s="61">
        <v>1466061</v>
      </c>
      <c r="GK26" s="61"/>
      <c r="GL26" s="61">
        <f>AVERAGE(E26:T26)</f>
        <v>1596973.75</v>
      </c>
      <c r="GM26" s="61">
        <f>AVERAGE(U26:AJ26)</f>
        <v>1514033.3125</v>
      </c>
      <c r="GN26" s="61">
        <f>AVERAGE(AK26:AZ26)</f>
        <v>1903000.5</v>
      </c>
      <c r="GO26" s="61">
        <f>AVERAGE(BA26:BP26)</f>
        <v>1583601.5625</v>
      </c>
      <c r="GP26" s="61">
        <f>AVERAGE(BQ26:CF26)</f>
        <v>1455156.75</v>
      </c>
      <c r="GQ26" s="61">
        <f>AVERAGE(CG26:CV26)</f>
        <v>958400.6875</v>
      </c>
      <c r="GR26" s="61">
        <f>AVERAGE(CW26:DL26)</f>
        <v>902682.864375</v>
      </c>
      <c r="GS26" s="61">
        <f>AVERAGE(DM26:EB26)</f>
        <v>964813.625</v>
      </c>
      <c r="GT26" s="61">
        <f>AVERAGE(EC26:EQ26)</f>
        <v>1151651.2886666665</v>
      </c>
      <c r="GU26" s="61">
        <f>AVERAGE(ER26:FF26)</f>
        <v>1705120.6666666667</v>
      </c>
      <c r="GV26" s="61">
        <f>AVERAGE(FG26:FU26)</f>
        <v>1586962.9333333333</v>
      </c>
      <c r="GW26" s="61">
        <f>AVERAGE(FV26:GJ26)</f>
        <v>1698529.9778</v>
      </c>
      <c r="GX26" t="s">
        <v>846</v>
      </c>
      <c r="GY26" s="3" t="s">
        <v>282</v>
      </c>
    </row>
    <row r="27" spans="2:207">
      <c r="B27" t="s">
        <v>2609</v>
      </c>
      <c r="E27" s="61">
        <v>1792924</v>
      </c>
      <c r="F27" s="61">
        <v>1882625</v>
      </c>
      <c r="G27" s="61">
        <v>2158684</v>
      </c>
      <c r="H27" s="61">
        <v>1789404</v>
      </c>
      <c r="I27" s="61">
        <v>894720</v>
      </c>
      <c r="J27" s="61">
        <v>1576691</v>
      </c>
      <c r="K27" s="61">
        <v>1131665</v>
      </c>
      <c r="L27" s="61">
        <v>1779195</v>
      </c>
      <c r="M27" s="61">
        <v>1710663</v>
      </c>
      <c r="N27" s="61">
        <v>1108767</v>
      </c>
      <c r="O27" s="61">
        <v>1117627</v>
      </c>
      <c r="P27" s="61">
        <v>2290700</v>
      </c>
      <c r="Q27" s="61">
        <v>1449854</v>
      </c>
      <c r="R27" s="61">
        <v>1680604</v>
      </c>
      <c r="S27" s="61">
        <v>1383490</v>
      </c>
      <c r="T27" s="61">
        <v>1803967</v>
      </c>
      <c r="U27" s="61">
        <v>1561822</v>
      </c>
      <c r="V27" s="61">
        <v>1072098</v>
      </c>
      <c r="W27" s="61">
        <v>1923957</v>
      </c>
      <c r="X27" s="61">
        <v>775965</v>
      </c>
      <c r="Y27" s="61">
        <v>1281015</v>
      </c>
      <c r="Z27" s="61">
        <v>2370593</v>
      </c>
      <c r="AA27" s="61">
        <v>1452814</v>
      </c>
      <c r="AB27" s="61">
        <v>1685068</v>
      </c>
      <c r="AC27" s="61">
        <v>1311778</v>
      </c>
      <c r="AD27" s="61">
        <v>1382101</v>
      </c>
      <c r="AE27" s="61">
        <v>1882103</v>
      </c>
      <c r="AF27" s="61">
        <v>1860151</v>
      </c>
      <c r="AG27" s="61">
        <v>1541635</v>
      </c>
      <c r="AH27" s="61">
        <v>1515181</v>
      </c>
      <c r="AI27" s="61">
        <v>1682780</v>
      </c>
      <c r="AJ27" s="61">
        <v>925472</v>
      </c>
      <c r="AK27" s="61">
        <v>2611652</v>
      </c>
      <c r="AL27" s="61">
        <v>1728406</v>
      </c>
      <c r="AM27" s="61">
        <v>2070751</v>
      </c>
      <c r="AN27" s="61">
        <v>2151107</v>
      </c>
      <c r="AO27" s="61">
        <v>1653481</v>
      </c>
      <c r="AP27" s="61">
        <v>2233372</v>
      </c>
      <c r="AQ27" s="61">
        <v>1166327</v>
      </c>
      <c r="AR27" s="61">
        <v>2120015</v>
      </c>
      <c r="AS27" s="61">
        <v>2123241</v>
      </c>
      <c r="AT27" s="61">
        <v>1505988</v>
      </c>
      <c r="AU27" s="61">
        <v>1825775</v>
      </c>
      <c r="AV27" s="61">
        <v>2207103</v>
      </c>
      <c r="AW27" s="61">
        <v>1960814</v>
      </c>
      <c r="AX27" s="61">
        <v>1718887</v>
      </c>
      <c r="AY27" s="61">
        <v>1483670</v>
      </c>
      <c r="AZ27" s="61">
        <v>1887419</v>
      </c>
      <c r="BA27" s="61">
        <v>2064698</v>
      </c>
      <c r="BB27" s="61">
        <v>1463369</v>
      </c>
      <c r="BC27" s="61">
        <v>2064192</v>
      </c>
      <c r="BD27" s="61">
        <v>1398045</v>
      </c>
      <c r="BE27" s="61">
        <v>1139482</v>
      </c>
      <c r="BF27" s="61">
        <v>1740714</v>
      </c>
      <c r="BG27" s="61">
        <v>1442818</v>
      </c>
      <c r="BH27" s="61">
        <v>1115294</v>
      </c>
      <c r="BI27" s="61">
        <v>1874891</v>
      </c>
      <c r="BJ27" s="61">
        <v>1834810</v>
      </c>
      <c r="BK27" s="61">
        <v>1491878</v>
      </c>
      <c r="BL27" s="61">
        <v>1280175</v>
      </c>
      <c r="BM27" s="61">
        <v>1686039</v>
      </c>
      <c r="BN27" s="61">
        <v>1639909</v>
      </c>
      <c r="BO27" s="61">
        <v>1266510</v>
      </c>
      <c r="BP27" s="61">
        <v>1834801</v>
      </c>
      <c r="BQ27" s="61">
        <v>1086318</v>
      </c>
      <c r="BR27" s="61">
        <v>1114826</v>
      </c>
      <c r="BS27" s="61">
        <v>1626251</v>
      </c>
      <c r="BT27" s="61">
        <v>1510875</v>
      </c>
      <c r="BU27" s="61">
        <v>1448960</v>
      </c>
      <c r="BV27" s="61">
        <v>1593610</v>
      </c>
      <c r="BW27" s="61">
        <v>1597127</v>
      </c>
      <c r="BX27" s="61">
        <v>1050483</v>
      </c>
      <c r="BY27" s="61">
        <v>1327450</v>
      </c>
      <c r="BZ27" s="61">
        <v>1795319</v>
      </c>
      <c r="CA27" s="61">
        <v>1318088</v>
      </c>
      <c r="CB27" s="61">
        <v>1359524</v>
      </c>
      <c r="CC27" s="61">
        <v>1707008</v>
      </c>
      <c r="CD27" s="61">
        <v>2322927</v>
      </c>
      <c r="CE27" s="61">
        <v>1581458</v>
      </c>
      <c r="CF27" s="61">
        <v>842284</v>
      </c>
      <c r="CG27" s="61">
        <v>1254877</v>
      </c>
      <c r="CH27" s="61">
        <v>1205330</v>
      </c>
      <c r="CI27" s="61">
        <v>1150410</v>
      </c>
      <c r="CJ27" s="61">
        <v>1140679</v>
      </c>
      <c r="CK27" s="61">
        <v>903824</v>
      </c>
      <c r="CL27" s="61">
        <v>879670</v>
      </c>
      <c r="CM27" s="61">
        <v>499191</v>
      </c>
      <c r="CN27" s="61">
        <v>828179</v>
      </c>
      <c r="CO27" s="61">
        <v>817360</v>
      </c>
      <c r="CP27" s="61">
        <v>1110665</v>
      </c>
      <c r="CQ27" s="61">
        <v>1234441</v>
      </c>
      <c r="CR27" s="61">
        <v>1048035.0000000001</v>
      </c>
      <c r="CS27" s="61">
        <v>813418</v>
      </c>
      <c r="CT27" s="61">
        <v>903840</v>
      </c>
      <c r="CU27" s="61">
        <v>974890</v>
      </c>
      <c r="CV27" s="61">
        <v>569602</v>
      </c>
      <c r="CW27" s="61">
        <v>699545</v>
      </c>
      <c r="CX27" s="61">
        <v>1157172</v>
      </c>
      <c r="CY27" s="61">
        <v>1002161</v>
      </c>
      <c r="CZ27" s="61">
        <v>735702</v>
      </c>
      <c r="DA27" s="61">
        <v>1311624</v>
      </c>
      <c r="DB27" s="61">
        <v>617450</v>
      </c>
      <c r="DC27" s="61">
        <v>1013246</v>
      </c>
      <c r="DD27" s="61">
        <v>843702</v>
      </c>
      <c r="DE27" s="61">
        <v>825186</v>
      </c>
      <c r="DF27" s="61">
        <v>685481</v>
      </c>
      <c r="DG27" s="61">
        <v>773638</v>
      </c>
      <c r="DH27" s="61">
        <v>1307982</v>
      </c>
      <c r="DI27" s="61">
        <v>887834</v>
      </c>
      <c r="DJ27" s="61">
        <v>806200</v>
      </c>
      <c r="DK27" s="61">
        <v>1385119.83</v>
      </c>
      <c r="DL27" s="61">
        <v>390883</v>
      </c>
      <c r="DM27" s="61">
        <v>618165</v>
      </c>
      <c r="DN27" s="61">
        <v>1111594</v>
      </c>
      <c r="DO27" s="61">
        <v>1327329</v>
      </c>
      <c r="DP27" s="61">
        <v>1255489</v>
      </c>
      <c r="DQ27" s="61">
        <v>1094665</v>
      </c>
      <c r="DR27" s="61">
        <v>661981</v>
      </c>
      <c r="DS27" s="61">
        <v>717588</v>
      </c>
      <c r="DT27" s="61">
        <v>664946</v>
      </c>
      <c r="DU27" s="61">
        <v>1119442</v>
      </c>
      <c r="DV27" s="61">
        <v>1140210</v>
      </c>
      <c r="DW27" s="61">
        <v>814016</v>
      </c>
      <c r="DX27" s="61">
        <v>498202</v>
      </c>
      <c r="DY27" s="61">
        <v>1554628</v>
      </c>
      <c r="DZ27" s="61">
        <v>1123480</v>
      </c>
      <c r="EA27" s="61">
        <v>1097749</v>
      </c>
      <c r="EB27" s="61">
        <v>637534</v>
      </c>
      <c r="EC27" s="61">
        <v>1630918</v>
      </c>
      <c r="ED27" s="61">
        <v>1633166</v>
      </c>
      <c r="EE27" s="61">
        <v>616357</v>
      </c>
      <c r="EF27" s="61">
        <v>1924625</v>
      </c>
      <c r="EG27" s="61">
        <v>1129250</v>
      </c>
      <c r="EH27" s="61">
        <v>1062400</v>
      </c>
      <c r="EI27" s="61">
        <v>689400</v>
      </c>
      <c r="EJ27" s="61">
        <v>982566</v>
      </c>
      <c r="EK27" s="61">
        <v>1138592</v>
      </c>
      <c r="EL27" s="61">
        <v>1341593</v>
      </c>
      <c r="EM27" s="61">
        <v>1386439</v>
      </c>
      <c r="EN27" s="61">
        <v>973703</v>
      </c>
      <c r="EO27" s="61">
        <v>882876</v>
      </c>
      <c r="EP27" s="61">
        <v>1101040</v>
      </c>
      <c r="EQ27" s="61">
        <v>781844.33</v>
      </c>
      <c r="ER27" s="61">
        <v>2045130</v>
      </c>
      <c r="ES27" s="61">
        <v>1775520</v>
      </c>
      <c r="ET27" s="61">
        <v>2814757</v>
      </c>
      <c r="EU27" s="61">
        <v>2200116</v>
      </c>
      <c r="EV27" s="61">
        <v>1239901</v>
      </c>
      <c r="EW27" s="61">
        <v>1103352</v>
      </c>
      <c r="EX27" s="61">
        <v>1425304</v>
      </c>
      <c r="EY27" s="61">
        <v>2336040</v>
      </c>
      <c r="EZ27" s="61">
        <v>1527492</v>
      </c>
      <c r="FA27" s="61">
        <v>1538206</v>
      </c>
      <c r="FB27" s="61">
        <v>1767476</v>
      </c>
      <c r="FC27" s="61">
        <v>1615918</v>
      </c>
      <c r="FD27" s="61">
        <v>1650498</v>
      </c>
      <c r="FE27" s="61">
        <v>1089550</v>
      </c>
      <c r="FF27" s="61">
        <v>1447550</v>
      </c>
      <c r="FG27" s="61">
        <v>2155844</v>
      </c>
      <c r="FH27" s="168">
        <v>1003271</v>
      </c>
      <c r="FI27" s="168">
        <v>1165828</v>
      </c>
      <c r="FJ27" s="61">
        <v>1624683</v>
      </c>
      <c r="FK27" s="61">
        <v>1162023</v>
      </c>
      <c r="FL27" s="61">
        <v>1152675</v>
      </c>
      <c r="FM27" s="61">
        <v>2239525</v>
      </c>
      <c r="FN27" s="61">
        <v>1100635</v>
      </c>
      <c r="FO27" s="61">
        <v>2159233</v>
      </c>
      <c r="FP27" s="61">
        <v>1921004</v>
      </c>
      <c r="FQ27" s="61">
        <v>1600947</v>
      </c>
      <c r="FR27" s="61">
        <v>1954279</v>
      </c>
      <c r="FS27" s="61">
        <v>1396722</v>
      </c>
      <c r="FT27" s="61">
        <v>1481490</v>
      </c>
      <c r="FU27" s="61">
        <v>1686285</v>
      </c>
      <c r="FV27" s="61">
        <v>2126339</v>
      </c>
      <c r="FW27" s="61">
        <v>1596738</v>
      </c>
      <c r="FX27" s="61">
        <v>1114954</v>
      </c>
      <c r="FY27" s="61">
        <v>1131107</v>
      </c>
      <c r="FZ27" s="61">
        <v>1687748</v>
      </c>
      <c r="GA27" s="61">
        <v>1682878</v>
      </c>
      <c r="GB27" s="61">
        <v>1471552</v>
      </c>
      <c r="GC27" s="61">
        <v>2394515</v>
      </c>
      <c r="GD27" s="61">
        <v>1821741</v>
      </c>
      <c r="GE27" s="61">
        <v>1855551</v>
      </c>
      <c r="GF27" s="61">
        <v>1954382</v>
      </c>
      <c r="GG27" s="61">
        <v>1352651</v>
      </c>
      <c r="GH27" s="61">
        <v>2534702.6669999999</v>
      </c>
      <c r="GI27" s="61">
        <v>1287030</v>
      </c>
      <c r="GJ27" s="61">
        <v>1466061</v>
      </c>
      <c r="GK27" s="61"/>
    </row>
    <row r="28" spans="2:207">
      <c r="B28" t="s">
        <v>798</v>
      </c>
      <c r="C28" t="s">
        <v>789</v>
      </c>
      <c r="D28" s="3" t="s">
        <v>284</v>
      </c>
      <c r="E28" s="61"/>
      <c r="F28" s="61">
        <v>1045174</v>
      </c>
      <c r="G28" s="61">
        <v>1038574</v>
      </c>
      <c r="H28" s="61">
        <v>484627</v>
      </c>
      <c r="I28" s="61">
        <v>1187040</v>
      </c>
      <c r="J28" s="61">
        <v>1241448</v>
      </c>
      <c r="K28" s="61">
        <v>796346</v>
      </c>
      <c r="L28" s="61">
        <v>430489</v>
      </c>
      <c r="M28" s="61">
        <v>623005</v>
      </c>
      <c r="N28" s="61">
        <v>914035</v>
      </c>
      <c r="O28" s="61">
        <v>636863</v>
      </c>
      <c r="P28" s="61">
        <v>1125427</v>
      </c>
      <c r="Q28" s="61">
        <v>1001588</v>
      </c>
      <c r="R28" s="61">
        <v>1154295</v>
      </c>
      <c r="S28" s="61">
        <v>423300</v>
      </c>
      <c r="T28" s="61">
        <v>996853</v>
      </c>
      <c r="U28" s="61"/>
      <c r="V28" s="61">
        <v>708827</v>
      </c>
      <c r="W28" s="61">
        <v>502254</v>
      </c>
      <c r="X28" s="61">
        <v>571531</v>
      </c>
      <c r="Y28" s="61">
        <v>856511</v>
      </c>
      <c r="Z28" s="61">
        <v>700469</v>
      </c>
      <c r="AA28" s="61">
        <v>413320</v>
      </c>
      <c r="AB28" s="61">
        <v>715370</v>
      </c>
      <c r="AC28" s="61">
        <v>526724</v>
      </c>
      <c r="AD28" s="61">
        <v>431259</v>
      </c>
      <c r="AE28" s="61">
        <v>580655</v>
      </c>
      <c r="AF28" s="61">
        <v>1168482</v>
      </c>
      <c r="AG28" s="61">
        <v>607516</v>
      </c>
      <c r="AH28" s="61">
        <v>871060</v>
      </c>
      <c r="AI28" s="61">
        <v>741180</v>
      </c>
      <c r="AJ28" s="61">
        <v>600247</v>
      </c>
      <c r="AK28" s="61"/>
      <c r="AL28" s="61">
        <v>652257</v>
      </c>
      <c r="AM28" s="61">
        <v>534399</v>
      </c>
      <c r="AN28" s="61">
        <v>824043</v>
      </c>
      <c r="AO28" s="61">
        <v>736700</v>
      </c>
      <c r="AP28" s="61">
        <v>1135335</v>
      </c>
      <c r="AQ28" s="61">
        <v>731474</v>
      </c>
      <c r="AR28" s="61">
        <v>730198</v>
      </c>
      <c r="AS28" s="61">
        <v>371994</v>
      </c>
      <c r="AT28" s="61">
        <v>301162</v>
      </c>
      <c r="AU28" s="61">
        <v>404919</v>
      </c>
      <c r="AV28" s="61">
        <v>468748</v>
      </c>
      <c r="AW28" s="61">
        <v>716751</v>
      </c>
      <c r="AX28" s="61">
        <v>634098</v>
      </c>
      <c r="AY28" s="61">
        <v>756780</v>
      </c>
      <c r="AZ28" s="61">
        <v>670946</v>
      </c>
      <c r="BA28" s="61"/>
      <c r="BB28" s="61">
        <v>467310</v>
      </c>
      <c r="BC28" s="61">
        <v>386038</v>
      </c>
      <c r="BD28" s="61">
        <v>552844</v>
      </c>
      <c r="BE28" s="61">
        <v>207721</v>
      </c>
      <c r="BF28" s="61">
        <v>414485</v>
      </c>
      <c r="BG28" s="61">
        <v>286767</v>
      </c>
      <c r="BH28" s="61">
        <v>384561</v>
      </c>
      <c r="BI28" s="61">
        <v>248240</v>
      </c>
      <c r="BJ28" s="61">
        <v>623596</v>
      </c>
      <c r="BK28" s="61">
        <v>478878</v>
      </c>
      <c r="BL28" s="61">
        <v>305161</v>
      </c>
      <c r="BM28" s="61">
        <v>363203</v>
      </c>
      <c r="BN28" s="61">
        <v>357528</v>
      </c>
      <c r="BO28" s="61">
        <v>247910</v>
      </c>
      <c r="BP28" s="61">
        <v>480225</v>
      </c>
      <c r="BQ28" s="61"/>
      <c r="BR28" s="61">
        <v>293581</v>
      </c>
      <c r="BS28" s="61">
        <v>467902</v>
      </c>
      <c r="BT28" s="61">
        <v>626716</v>
      </c>
      <c r="BU28" s="61">
        <v>630996</v>
      </c>
      <c r="BV28" s="61">
        <v>251675</v>
      </c>
      <c r="BW28" s="61">
        <v>442008</v>
      </c>
      <c r="BX28" s="61">
        <v>357288</v>
      </c>
      <c r="BY28" s="61">
        <v>435943</v>
      </c>
      <c r="BZ28" s="61">
        <v>313549</v>
      </c>
      <c r="CA28" s="61">
        <v>421582</v>
      </c>
      <c r="CB28" s="61">
        <v>488314</v>
      </c>
      <c r="CC28" s="61">
        <v>478410</v>
      </c>
      <c r="CD28" s="61">
        <v>340201</v>
      </c>
      <c r="CE28" s="61">
        <v>277508</v>
      </c>
      <c r="CF28" s="61">
        <v>219613</v>
      </c>
      <c r="CG28" s="61"/>
      <c r="CH28" s="61">
        <v>423885</v>
      </c>
      <c r="CI28" s="61">
        <v>265524</v>
      </c>
      <c r="CJ28" s="61">
        <v>182766</v>
      </c>
      <c r="CK28" s="61">
        <v>324527</v>
      </c>
      <c r="CL28" s="61">
        <v>291397</v>
      </c>
      <c r="CM28" s="61">
        <v>237994</v>
      </c>
      <c r="CN28" s="61">
        <v>248115</v>
      </c>
      <c r="CO28" s="61">
        <v>464948</v>
      </c>
      <c r="CP28" s="61">
        <v>421062</v>
      </c>
      <c r="CQ28" s="61">
        <v>384177</v>
      </c>
      <c r="CR28" s="61">
        <v>161117</v>
      </c>
      <c r="CS28" s="61">
        <v>418590</v>
      </c>
      <c r="CT28" s="61">
        <v>254821</v>
      </c>
      <c r="CU28" s="61">
        <v>410820</v>
      </c>
      <c r="CV28" s="61">
        <v>210366</v>
      </c>
      <c r="CW28" s="61"/>
      <c r="CX28" s="61">
        <v>379573</v>
      </c>
      <c r="CY28" s="61">
        <v>387513</v>
      </c>
      <c r="CZ28" s="61">
        <v>222547</v>
      </c>
      <c r="DA28" s="61">
        <v>589503</v>
      </c>
      <c r="DB28" s="61">
        <v>418840</v>
      </c>
      <c r="DC28" s="61">
        <v>434543</v>
      </c>
      <c r="DD28" s="61">
        <v>240474</v>
      </c>
      <c r="DE28" s="61">
        <v>331942</v>
      </c>
      <c r="DF28" s="61">
        <v>351345</v>
      </c>
      <c r="DG28" s="61">
        <v>217066</v>
      </c>
      <c r="DH28" s="61">
        <v>225903</v>
      </c>
      <c r="DI28" s="61">
        <v>451331</v>
      </c>
      <c r="DJ28" s="61">
        <v>280130</v>
      </c>
      <c r="DK28" s="61">
        <v>341302.83</v>
      </c>
      <c r="DL28" s="61">
        <v>167282</v>
      </c>
      <c r="DM28" s="61"/>
      <c r="DN28" s="61">
        <v>422651</v>
      </c>
      <c r="DO28" s="61">
        <v>279632</v>
      </c>
      <c r="DP28" s="61">
        <v>545010</v>
      </c>
      <c r="DQ28" s="61">
        <v>391776</v>
      </c>
      <c r="DR28" s="61">
        <v>411129</v>
      </c>
      <c r="DS28" s="61">
        <v>296004</v>
      </c>
      <c r="DT28" s="61">
        <v>445639</v>
      </c>
      <c r="DU28" s="61">
        <v>304002</v>
      </c>
      <c r="DV28" s="61">
        <v>369351</v>
      </c>
      <c r="DW28" s="61">
        <v>239573</v>
      </c>
      <c r="DX28" s="61">
        <v>361064</v>
      </c>
      <c r="DY28" s="61">
        <v>274368</v>
      </c>
      <c r="DZ28" s="61">
        <v>324500</v>
      </c>
      <c r="EA28" s="61">
        <v>242603</v>
      </c>
      <c r="EB28" s="61">
        <v>278554</v>
      </c>
      <c r="EC28" s="61"/>
      <c r="ED28" s="61">
        <v>588119</v>
      </c>
      <c r="EE28" s="61">
        <v>249609</v>
      </c>
      <c r="EF28" s="61">
        <v>371535</v>
      </c>
      <c r="EG28" s="61">
        <v>321024</v>
      </c>
      <c r="EH28" s="61">
        <v>414327</v>
      </c>
      <c r="EI28" s="61">
        <v>397097</v>
      </c>
      <c r="EJ28" s="61">
        <v>343348</v>
      </c>
      <c r="EK28" s="61">
        <v>449379</v>
      </c>
      <c r="EL28" s="61">
        <v>320129</v>
      </c>
      <c r="EM28" s="61">
        <v>297133</v>
      </c>
      <c r="EN28" s="61">
        <v>137366</v>
      </c>
      <c r="EO28" s="61">
        <v>384900</v>
      </c>
      <c r="EP28" s="61">
        <v>264310</v>
      </c>
      <c r="EQ28" s="61">
        <v>336284.67</v>
      </c>
      <c r="ER28" s="61"/>
      <c r="ES28" s="61">
        <v>802236</v>
      </c>
      <c r="ET28" s="61">
        <v>545113</v>
      </c>
      <c r="EU28" s="61">
        <v>729274</v>
      </c>
      <c r="EV28" s="61">
        <v>184753</v>
      </c>
      <c r="EW28" s="61">
        <v>513277.00000000006</v>
      </c>
      <c r="EX28" s="61">
        <v>416268</v>
      </c>
      <c r="EY28" s="61">
        <v>514909.99999999994</v>
      </c>
      <c r="EZ28" s="61">
        <v>687415</v>
      </c>
      <c r="FA28" s="61">
        <v>514856</v>
      </c>
      <c r="FB28" s="61">
        <v>771701</v>
      </c>
      <c r="FC28" s="61">
        <v>553377</v>
      </c>
      <c r="FD28" s="61">
        <v>314461</v>
      </c>
      <c r="FE28" s="61">
        <v>272520</v>
      </c>
      <c r="FF28" s="61">
        <v>572120</v>
      </c>
      <c r="FG28" s="61"/>
      <c r="FH28" s="168">
        <v>391628</v>
      </c>
      <c r="FI28" s="168">
        <v>622939</v>
      </c>
      <c r="FJ28" s="61">
        <v>879371</v>
      </c>
      <c r="FK28" s="61">
        <v>677928</v>
      </c>
      <c r="FL28" s="61">
        <v>714757</v>
      </c>
      <c r="FM28" s="61">
        <v>1296130</v>
      </c>
      <c r="FN28" s="61">
        <v>542243</v>
      </c>
      <c r="FO28" s="61">
        <v>477386</v>
      </c>
      <c r="FP28" s="61">
        <v>641154</v>
      </c>
      <c r="FQ28" s="61">
        <v>614883</v>
      </c>
      <c r="FR28" s="61">
        <v>541689</v>
      </c>
      <c r="FS28" s="61">
        <v>1015422</v>
      </c>
      <c r="FT28" s="61">
        <v>604760</v>
      </c>
      <c r="FU28" s="61">
        <v>507792</v>
      </c>
      <c r="FV28" s="61"/>
      <c r="FW28" s="61">
        <v>587875</v>
      </c>
      <c r="FX28" s="61">
        <v>622374</v>
      </c>
      <c r="FY28" s="61">
        <v>954371</v>
      </c>
      <c r="FZ28" s="61">
        <v>1003285</v>
      </c>
      <c r="GA28" s="61">
        <v>513888.00000000006</v>
      </c>
      <c r="GB28" s="61">
        <v>711639</v>
      </c>
      <c r="GC28" s="61">
        <v>492847</v>
      </c>
      <c r="GD28" s="61">
        <v>1180348</v>
      </c>
      <c r="GE28" s="61">
        <v>1074486</v>
      </c>
      <c r="GF28" s="61">
        <v>980166</v>
      </c>
      <c r="GG28" s="61">
        <v>889377</v>
      </c>
      <c r="GH28" s="61">
        <v>1061995.6669999999</v>
      </c>
      <c r="GI28" s="61">
        <v>408250</v>
      </c>
      <c r="GJ28" s="61">
        <v>934264</v>
      </c>
      <c r="GK28" s="61"/>
      <c r="GL28" s="61">
        <f>AVERAGE(F28:T28)</f>
        <v>873270.93333333335</v>
      </c>
      <c r="GM28" s="61">
        <f>AVERAGE(V28:AJ28)</f>
        <v>666360.33333333337</v>
      </c>
      <c r="GN28" s="61">
        <f>AVERAGE(AL28:AZ28)</f>
        <v>644653.6</v>
      </c>
      <c r="GO28" s="61">
        <f>AVERAGE(BB28:BP28)</f>
        <v>386964.46666666667</v>
      </c>
      <c r="GP28" s="61">
        <f>AVERAGE(BR28:CF28)</f>
        <v>403019.06666666665</v>
      </c>
      <c r="GQ28" s="61">
        <f>AVERAGE(CH28:CV28)</f>
        <v>313340.59999999998</v>
      </c>
      <c r="GR28" s="61">
        <f>AVERAGE(CX28:DL28)</f>
        <v>335952.98866666667</v>
      </c>
      <c r="GS28" s="61">
        <f>AVERAGE(DN28:EB28)</f>
        <v>345723.73333333334</v>
      </c>
      <c r="GT28" s="61">
        <f>AVERAGE(ED28:EQ28)</f>
        <v>348182.90499999997</v>
      </c>
      <c r="GU28" s="61">
        <f>AVERAGE(ES28:FF28)</f>
        <v>528020.07142857148</v>
      </c>
      <c r="GV28" s="61">
        <f>AVERAGE(FH28:FU28)</f>
        <v>680577.28571428568</v>
      </c>
      <c r="GW28" s="61">
        <f>AVERAGE(FW28:GJ28)</f>
        <v>815368.97621428571</v>
      </c>
      <c r="GX28" t="s">
        <v>846</v>
      </c>
      <c r="GY28" s="3" t="s">
        <v>284</v>
      </c>
    </row>
    <row r="29" spans="2:207">
      <c r="B29" t="s">
        <v>2610</v>
      </c>
      <c r="E29" s="61"/>
      <c r="F29" s="61">
        <v>1045174</v>
      </c>
      <c r="G29" s="61">
        <v>1038574</v>
      </c>
      <c r="H29" s="61">
        <v>484627</v>
      </c>
      <c r="I29" s="61">
        <v>1187040</v>
      </c>
      <c r="J29" s="61">
        <v>1241448</v>
      </c>
      <c r="K29" s="61">
        <v>796346</v>
      </c>
      <c r="L29" s="61">
        <v>430489</v>
      </c>
      <c r="M29" s="61">
        <v>623005</v>
      </c>
      <c r="N29" s="61">
        <v>914035</v>
      </c>
      <c r="O29" s="61">
        <v>636863</v>
      </c>
      <c r="P29" s="61">
        <v>1125427</v>
      </c>
      <c r="Q29" s="61">
        <v>1001588</v>
      </c>
      <c r="R29" s="61">
        <v>1154295</v>
      </c>
      <c r="S29" s="61">
        <v>423300</v>
      </c>
      <c r="T29" s="61">
        <v>996853</v>
      </c>
      <c r="U29" s="61"/>
      <c r="V29" s="61">
        <v>708827</v>
      </c>
      <c r="W29" s="61">
        <v>502254</v>
      </c>
      <c r="X29" s="61">
        <v>571531</v>
      </c>
      <c r="Y29" s="61">
        <v>856511</v>
      </c>
      <c r="Z29" s="61">
        <v>700469</v>
      </c>
      <c r="AA29" s="61">
        <v>413320</v>
      </c>
      <c r="AB29" s="61">
        <v>715370</v>
      </c>
      <c r="AC29" s="61">
        <v>526724</v>
      </c>
      <c r="AD29" s="61">
        <v>431259</v>
      </c>
      <c r="AE29" s="61">
        <v>580655</v>
      </c>
      <c r="AF29" s="61">
        <v>1168482</v>
      </c>
      <c r="AG29" s="61">
        <v>607516</v>
      </c>
      <c r="AH29" s="61">
        <v>871060</v>
      </c>
      <c r="AI29" s="61">
        <v>741180</v>
      </c>
      <c r="AJ29" s="61">
        <v>600247</v>
      </c>
      <c r="AK29" s="61"/>
      <c r="AL29" s="61">
        <v>652257</v>
      </c>
      <c r="AM29" s="61">
        <v>534399</v>
      </c>
      <c r="AN29" s="61">
        <v>824043</v>
      </c>
      <c r="AO29" s="61">
        <v>736700</v>
      </c>
      <c r="AP29" s="61">
        <v>1135335</v>
      </c>
      <c r="AQ29" s="61">
        <v>731474</v>
      </c>
      <c r="AR29" s="61">
        <v>730198</v>
      </c>
      <c r="AS29" s="61">
        <v>371994</v>
      </c>
      <c r="AT29" s="61">
        <v>301162</v>
      </c>
      <c r="AU29" s="61">
        <v>404919</v>
      </c>
      <c r="AV29" s="61">
        <v>468748</v>
      </c>
      <c r="AW29" s="61">
        <v>716751</v>
      </c>
      <c r="AX29" s="61">
        <v>634098</v>
      </c>
      <c r="AY29" s="61">
        <v>756780</v>
      </c>
      <c r="AZ29" s="61">
        <v>670946</v>
      </c>
      <c r="BA29" s="61"/>
      <c r="BB29" s="61">
        <v>467310</v>
      </c>
      <c r="BC29" s="61">
        <v>386038</v>
      </c>
      <c r="BD29" s="61">
        <v>552844</v>
      </c>
      <c r="BE29" s="61">
        <v>207721</v>
      </c>
      <c r="BF29" s="61">
        <v>414485</v>
      </c>
      <c r="BG29" s="61">
        <v>286767</v>
      </c>
      <c r="BH29" s="61">
        <v>384561</v>
      </c>
      <c r="BI29" s="61">
        <v>248240</v>
      </c>
      <c r="BJ29" s="61">
        <v>623596</v>
      </c>
      <c r="BK29" s="61">
        <v>478878</v>
      </c>
      <c r="BL29" s="61">
        <v>305161</v>
      </c>
      <c r="BM29" s="61">
        <v>363203</v>
      </c>
      <c r="BN29" s="61">
        <v>357528</v>
      </c>
      <c r="BO29" s="61">
        <v>247910</v>
      </c>
      <c r="BP29" s="61">
        <v>480225</v>
      </c>
      <c r="BQ29" s="61"/>
      <c r="BR29" s="61">
        <v>293581</v>
      </c>
      <c r="BS29" s="61">
        <v>467902</v>
      </c>
      <c r="BT29" s="61">
        <v>626716</v>
      </c>
      <c r="BU29" s="61">
        <v>630996</v>
      </c>
      <c r="BV29" s="61">
        <v>251675</v>
      </c>
      <c r="BW29" s="61">
        <v>442008</v>
      </c>
      <c r="BX29" s="61">
        <v>357288</v>
      </c>
      <c r="BY29" s="61">
        <v>435943</v>
      </c>
      <c r="BZ29" s="61">
        <v>313549</v>
      </c>
      <c r="CA29" s="61">
        <v>421582</v>
      </c>
      <c r="CB29" s="61">
        <v>488314</v>
      </c>
      <c r="CC29" s="61">
        <v>478410</v>
      </c>
      <c r="CD29" s="61">
        <v>340201</v>
      </c>
      <c r="CE29" s="61">
        <v>277508</v>
      </c>
      <c r="CF29" s="61">
        <v>219613</v>
      </c>
      <c r="CG29" s="61"/>
      <c r="CH29" s="61">
        <v>423885</v>
      </c>
      <c r="CI29" s="61">
        <v>265524</v>
      </c>
      <c r="CJ29" s="61">
        <v>182766</v>
      </c>
      <c r="CK29" s="61">
        <v>324527</v>
      </c>
      <c r="CL29" s="61">
        <v>291397</v>
      </c>
      <c r="CM29" s="61">
        <v>237994</v>
      </c>
      <c r="CN29" s="61">
        <v>248115</v>
      </c>
      <c r="CO29" s="61">
        <v>464948</v>
      </c>
      <c r="CP29" s="61">
        <v>421062</v>
      </c>
      <c r="CQ29" s="61">
        <v>384177</v>
      </c>
      <c r="CR29" s="61">
        <v>161117</v>
      </c>
      <c r="CS29" s="61">
        <v>418590</v>
      </c>
      <c r="CT29" s="61">
        <v>254821</v>
      </c>
      <c r="CU29" s="61">
        <v>410820</v>
      </c>
      <c r="CV29" s="61">
        <v>210366</v>
      </c>
      <c r="CW29" s="61"/>
      <c r="CX29" s="61">
        <v>379573</v>
      </c>
      <c r="CY29" s="61">
        <v>387513</v>
      </c>
      <c r="CZ29" s="61">
        <v>222547</v>
      </c>
      <c r="DA29" s="61">
        <v>589503</v>
      </c>
      <c r="DB29" s="61">
        <v>418840</v>
      </c>
      <c r="DC29" s="61">
        <v>434543</v>
      </c>
      <c r="DD29" s="61">
        <v>240474</v>
      </c>
      <c r="DE29" s="61">
        <v>331942</v>
      </c>
      <c r="DF29" s="61">
        <v>351345</v>
      </c>
      <c r="DG29" s="61">
        <v>217066</v>
      </c>
      <c r="DH29" s="61">
        <v>225903</v>
      </c>
      <c r="DI29" s="61">
        <v>451331</v>
      </c>
      <c r="DJ29" s="61">
        <v>280130</v>
      </c>
      <c r="DK29" s="61">
        <v>341302.83</v>
      </c>
      <c r="DL29" s="61">
        <v>167282</v>
      </c>
      <c r="DM29" s="61"/>
      <c r="DN29" s="61">
        <v>422651</v>
      </c>
      <c r="DO29" s="61">
        <v>279632</v>
      </c>
      <c r="DP29" s="61">
        <v>545010</v>
      </c>
      <c r="DQ29" s="61">
        <v>391776</v>
      </c>
      <c r="DR29" s="61">
        <v>411129</v>
      </c>
      <c r="DS29" s="61">
        <v>296004</v>
      </c>
      <c r="DT29" s="61">
        <v>445639</v>
      </c>
      <c r="DU29" s="61">
        <v>304002</v>
      </c>
      <c r="DV29" s="61">
        <v>369351</v>
      </c>
      <c r="DW29" s="61">
        <v>239573</v>
      </c>
      <c r="DX29" s="61">
        <v>361064</v>
      </c>
      <c r="DY29" s="61">
        <v>274368</v>
      </c>
      <c r="DZ29" s="61">
        <v>324500</v>
      </c>
      <c r="EA29" s="61">
        <v>242603</v>
      </c>
      <c r="EB29" s="61">
        <v>278554</v>
      </c>
      <c r="EC29" s="61"/>
      <c r="ED29" s="61">
        <v>588119</v>
      </c>
      <c r="EE29" s="61">
        <v>249609</v>
      </c>
      <c r="EF29" s="61">
        <v>371535</v>
      </c>
      <c r="EG29" s="61">
        <v>321024</v>
      </c>
      <c r="EH29" s="61">
        <v>414327</v>
      </c>
      <c r="EI29" s="61">
        <v>397097</v>
      </c>
      <c r="EJ29" s="61">
        <v>343348</v>
      </c>
      <c r="EK29" s="61">
        <v>449379</v>
      </c>
      <c r="EL29" s="61">
        <v>320129</v>
      </c>
      <c r="EM29" s="61">
        <v>297133</v>
      </c>
      <c r="EN29" s="61">
        <v>137366</v>
      </c>
      <c r="EO29" s="61">
        <v>384900</v>
      </c>
      <c r="EP29" s="61">
        <v>264310</v>
      </c>
      <c r="EQ29" s="61">
        <v>336284.67</v>
      </c>
      <c r="ER29" s="61"/>
      <c r="ES29" s="61">
        <v>802236</v>
      </c>
      <c r="ET29" s="61">
        <v>545113</v>
      </c>
      <c r="EU29" s="61">
        <v>729274</v>
      </c>
      <c r="EV29" s="61">
        <v>184753</v>
      </c>
      <c r="EW29" s="61">
        <v>513277.00000000006</v>
      </c>
      <c r="EX29" s="61">
        <v>416268</v>
      </c>
      <c r="EY29" s="61">
        <v>514909.99999999994</v>
      </c>
      <c r="EZ29" s="61">
        <v>687415</v>
      </c>
      <c r="FA29" s="61">
        <v>514856</v>
      </c>
      <c r="FB29" s="61">
        <v>771701</v>
      </c>
      <c r="FC29" s="61">
        <v>553377</v>
      </c>
      <c r="FD29" s="61">
        <v>314461</v>
      </c>
      <c r="FE29" s="61">
        <v>272520</v>
      </c>
      <c r="FF29" s="61">
        <v>572120</v>
      </c>
      <c r="FG29" s="61"/>
      <c r="FH29" s="168">
        <v>391628</v>
      </c>
      <c r="FI29" s="168">
        <v>622939</v>
      </c>
      <c r="FJ29" s="61">
        <v>879371</v>
      </c>
      <c r="FK29" s="61">
        <v>677928</v>
      </c>
      <c r="FL29" s="61">
        <v>714757</v>
      </c>
      <c r="FM29" s="61">
        <v>1296130</v>
      </c>
      <c r="FN29" s="61">
        <v>542243</v>
      </c>
      <c r="FO29" s="61">
        <v>477386</v>
      </c>
      <c r="FP29" s="61">
        <v>641154</v>
      </c>
      <c r="FQ29" s="61">
        <v>614883</v>
      </c>
      <c r="FR29" s="61">
        <v>541689</v>
      </c>
      <c r="FS29" s="61">
        <v>1015422</v>
      </c>
      <c r="FT29" s="61">
        <v>604760</v>
      </c>
      <c r="FU29" s="61">
        <v>507792</v>
      </c>
      <c r="FV29" s="61"/>
      <c r="FW29" s="61">
        <v>587875</v>
      </c>
      <c r="FX29" s="61">
        <v>622374</v>
      </c>
      <c r="FY29" s="61">
        <v>954371</v>
      </c>
      <c r="FZ29" s="61">
        <v>1003285</v>
      </c>
      <c r="GA29" s="61">
        <v>513888.00000000006</v>
      </c>
      <c r="GB29" s="61">
        <v>711639</v>
      </c>
      <c r="GC29" s="61">
        <v>492847</v>
      </c>
      <c r="GD29" s="61">
        <v>1180348</v>
      </c>
      <c r="GE29" s="61">
        <v>1074486</v>
      </c>
      <c r="GF29" s="61">
        <v>980166</v>
      </c>
      <c r="GG29" s="61">
        <v>889377</v>
      </c>
      <c r="GH29" s="61">
        <v>1061995.6669999999</v>
      </c>
      <c r="GI29" s="61">
        <v>408250</v>
      </c>
      <c r="GJ29" s="61">
        <v>934264</v>
      </c>
      <c r="GK29" s="61"/>
    </row>
    <row r="30" spans="2:207">
      <c r="B30" t="s">
        <v>804</v>
      </c>
      <c r="C30" t="s">
        <v>786</v>
      </c>
      <c r="D30" s="3" t="s">
        <v>285</v>
      </c>
      <c r="E30" s="61"/>
      <c r="F30" s="61"/>
      <c r="G30" s="61">
        <v>3151316</v>
      </c>
      <c r="H30" s="61">
        <v>1299960</v>
      </c>
      <c r="I30" s="61">
        <v>3763661</v>
      </c>
      <c r="J30" s="61">
        <v>3572955</v>
      </c>
      <c r="K30" s="61">
        <v>2029142</v>
      </c>
      <c r="L30" s="61">
        <v>1235521</v>
      </c>
      <c r="M30" s="61">
        <v>1791620</v>
      </c>
      <c r="N30" s="61">
        <v>2573826</v>
      </c>
      <c r="O30" s="61">
        <v>1933188</v>
      </c>
      <c r="P30" s="61">
        <v>2804351</v>
      </c>
      <c r="Q30" s="61">
        <v>2912197</v>
      </c>
      <c r="R30" s="61">
        <v>3134376</v>
      </c>
      <c r="S30" s="61">
        <v>1193210</v>
      </c>
      <c r="T30" s="61">
        <v>2494262</v>
      </c>
      <c r="U30" s="61"/>
      <c r="V30" s="61"/>
      <c r="W30" s="61">
        <v>2159772</v>
      </c>
      <c r="X30" s="61">
        <v>1738357</v>
      </c>
      <c r="Y30" s="61">
        <v>2514976</v>
      </c>
      <c r="Z30" s="61">
        <v>2122227</v>
      </c>
      <c r="AA30" s="61">
        <v>1253416</v>
      </c>
      <c r="AB30" s="61">
        <v>1835294</v>
      </c>
      <c r="AC30" s="61">
        <v>1694658</v>
      </c>
      <c r="AD30" s="61">
        <v>1384591</v>
      </c>
      <c r="AE30" s="61">
        <v>1694780</v>
      </c>
      <c r="AF30" s="61">
        <v>3121096</v>
      </c>
      <c r="AG30" s="61">
        <v>1608360</v>
      </c>
      <c r="AH30" s="61">
        <v>2521746</v>
      </c>
      <c r="AI30" s="61">
        <v>2141800</v>
      </c>
      <c r="AJ30" s="61">
        <v>1470942</v>
      </c>
      <c r="AK30" s="61"/>
      <c r="AL30" s="61"/>
      <c r="AM30" s="61">
        <v>1477575</v>
      </c>
      <c r="AN30" s="61">
        <v>2579546</v>
      </c>
      <c r="AO30" s="61">
        <v>2263104</v>
      </c>
      <c r="AP30" s="61">
        <v>3349890</v>
      </c>
      <c r="AQ30" s="61">
        <v>2402650</v>
      </c>
      <c r="AR30" s="61">
        <v>1977276</v>
      </c>
      <c r="AS30" s="61">
        <v>1180348</v>
      </c>
      <c r="AT30" s="61">
        <v>890465</v>
      </c>
      <c r="AU30" s="61">
        <v>1443936</v>
      </c>
      <c r="AV30" s="61">
        <v>1342092</v>
      </c>
      <c r="AW30" s="61">
        <v>2090833.9999999998</v>
      </c>
      <c r="AX30" s="61">
        <v>1841498</v>
      </c>
      <c r="AY30" s="61">
        <v>2446330</v>
      </c>
      <c r="AZ30" s="61">
        <v>1530964</v>
      </c>
      <c r="BA30" s="61"/>
      <c r="BB30" s="61"/>
      <c r="BC30" s="61">
        <v>1190829</v>
      </c>
      <c r="BD30" s="61">
        <v>1890847</v>
      </c>
      <c r="BE30" s="61">
        <v>419311</v>
      </c>
      <c r="BF30" s="61">
        <v>1188797</v>
      </c>
      <c r="BG30" s="61">
        <v>706028</v>
      </c>
      <c r="BH30" s="61">
        <v>1039828</v>
      </c>
      <c r="BI30" s="61">
        <v>712583</v>
      </c>
      <c r="BJ30" s="61">
        <v>1708992</v>
      </c>
      <c r="BK30" s="61">
        <v>1464301</v>
      </c>
      <c r="BL30" s="61">
        <v>832915</v>
      </c>
      <c r="BM30" s="61">
        <v>1120370</v>
      </c>
      <c r="BN30" s="61">
        <v>1260611</v>
      </c>
      <c r="BO30" s="61">
        <v>746260</v>
      </c>
      <c r="BP30" s="61">
        <v>1100000</v>
      </c>
      <c r="BQ30" s="61"/>
      <c r="BR30" s="61"/>
      <c r="BS30" s="61">
        <v>1433066</v>
      </c>
      <c r="BT30" s="61">
        <v>2300852</v>
      </c>
      <c r="BU30" s="61">
        <v>2028133</v>
      </c>
      <c r="BV30" s="61">
        <v>608339</v>
      </c>
      <c r="BW30" s="61">
        <v>1362117</v>
      </c>
      <c r="BX30" s="61">
        <v>962969</v>
      </c>
      <c r="BY30" s="61">
        <v>1532843</v>
      </c>
      <c r="BZ30" s="61">
        <v>965377</v>
      </c>
      <c r="CA30" s="61">
        <v>1502620</v>
      </c>
      <c r="CB30" s="61">
        <v>1538421</v>
      </c>
      <c r="CC30" s="61">
        <v>1517948</v>
      </c>
      <c r="CD30" s="61">
        <v>906594</v>
      </c>
      <c r="CE30" s="61">
        <v>747046</v>
      </c>
      <c r="CF30" s="61">
        <v>457949</v>
      </c>
      <c r="CG30" s="61"/>
      <c r="CH30" s="61"/>
      <c r="CI30" s="61">
        <v>879126</v>
      </c>
      <c r="CJ30" s="61">
        <v>566412</v>
      </c>
      <c r="CK30" s="61">
        <v>970588</v>
      </c>
      <c r="CL30" s="61">
        <v>1040365</v>
      </c>
      <c r="CM30" s="61">
        <v>659453</v>
      </c>
      <c r="CN30" s="61">
        <v>670839</v>
      </c>
      <c r="CO30" s="61">
        <v>1533822</v>
      </c>
      <c r="CP30" s="61">
        <v>1369914</v>
      </c>
      <c r="CQ30" s="61">
        <v>1086397</v>
      </c>
      <c r="CR30" s="61">
        <v>481000</v>
      </c>
      <c r="CS30" s="61">
        <v>1206744</v>
      </c>
      <c r="CT30" s="61">
        <v>835095</v>
      </c>
      <c r="CU30" s="61">
        <v>1401780</v>
      </c>
      <c r="CV30" s="61">
        <v>464445</v>
      </c>
      <c r="CW30" s="61"/>
      <c r="CX30" s="61"/>
      <c r="CY30" s="61">
        <v>1419404</v>
      </c>
      <c r="CZ30" s="61">
        <v>628703</v>
      </c>
      <c r="DA30" s="61">
        <v>1996603</v>
      </c>
      <c r="DB30" s="61">
        <v>1338480</v>
      </c>
      <c r="DC30" s="61">
        <v>1532409</v>
      </c>
      <c r="DD30" s="61">
        <v>715900</v>
      </c>
      <c r="DE30" s="61">
        <v>1038332.0000000001</v>
      </c>
      <c r="DF30" s="61">
        <v>1056618</v>
      </c>
      <c r="DG30" s="61">
        <v>670566</v>
      </c>
      <c r="DH30" s="61">
        <v>739009</v>
      </c>
      <c r="DI30" s="61">
        <v>1563361</v>
      </c>
      <c r="DJ30" s="61">
        <v>950990</v>
      </c>
      <c r="DK30" s="61">
        <v>1069742.33</v>
      </c>
      <c r="DL30" s="61">
        <v>375189</v>
      </c>
      <c r="DM30" s="61"/>
      <c r="DN30" s="61"/>
      <c r="DO30" s="61">
        <v>1034573</v>
      </c>
      <c r="DP30" s="61">
        <v>1910102</v>
      </c>
      <c r="DQ30" s="61">
        <v>1118628</v>
      </c>
      <c r="DR30" s="61">
        <v>1352405</v>
      </c>
      <c r="DS30" s="61">
        <v>995180</v>
      </c>
      <c r="DT30" s="61">
        <v>1400832</v>
      </c>
      <c r="DU30" s="61">
        <v>1026272.9999999999</v>
      </c>
      <c r="DV30" s="61">
        <v>1066381</v>
      </c>
      <c r="DW30" s="61">
        <v>808006</v>
      </c>
      <c r="DX30" s="61">
        <v>1210974</v>
      </c>
      <c r="DY30" s="61">
        <v>732325</v>
      </c>
      <c r="DZ30" s="61">
        <v>1032810</v>
      </c>
      <c r="EA30" s="61">
        <v>760116</v>
      </c>
      <c r="EB30" s="61">
        <v>728134</v>
      </c>
      <c r="EC30" s="61"/>
      <c r="ED30" s="61"/>
      <c r="EE30" s="61">
        <v>814974</v>
      </c>
      <c r="EF30" s="61">
        <v>1057874</v>
      </c>
      <c r="EG30" s="61">
        <v>902765</v>
      </c>
      <c r="EH30" s="61">
        <v>1116304</v>
      </c>
      <c r="EI30" s="61">
        <v>1048209.0000000001</v>
      </c>
      <c r="EJ30" s="61">
        <v>1151609</v>
      </c>
      <c r="EK30" s="61">
        <v>1507585</v>
      </c>
      <c r="EL30" s="61">
        <v>993483</v>
      </c>
      <c r="EM30" s="61">
        <v>989186</v>
      </c>
      <c r="EN30" s="61">
        <v>338473</v>
      </c>
      <c r="EO30" s="61">
        <v>1023106</v>
      </c>
      <c r="EP30" s="61">
        <v>767160</v>
      </c>
      <c r="EQ30" s="61">
        <v>968238</v>
      </c>
      <c r="ER30" s="61"/>
      <c r="ES30" s="61"/>
      <c r="ET30" s="61">
        <v>1448051</v>
      </c>
      <c r="EU30" s="61">
        <v>1952392</v>
      </c>
      <c r="EV30" s="61">
        <v>481819</v>
      </c>
      <c r="EW30" s="61">
        <v>1449925</v>
      </c>
      <c r="EX30" s="61">
        <v>1294342</v>
      </c>
      <c r="EY30" s="61">
        <v>1295063</v>
      </c>
      <c r="EZ30" s="61">
        <v>2278659</v>
      </c>
      <c r="FA30" s="61">
        <v>1393862</v>
      </c>
      <c r="FB30" s="61">
        <v>2099412</v>
      </c>
      <c r="FC30" s="61">
        <v>1443306</v>
      </c>
      <c r="FD30" s="61">
        <v>830228</v>
      </c>
      <c r="FE30" s="61">
        <v>806770</v>
      </c>
      <c r="FF30" s="61">
        <v>1505311</v>
      </c>
      <c r="FG30" s="61"/>
      <c r="FH30" s="168"/>
      <c r="FI30" s="168">
        <v>1681383</v>
      </c>
      <c r="FJ30" s="61">
        <v>2352006</v>
      </c>
      <c r="FK30" s="61">
        <v>2005510</v>
      </c>
      <c r="FL30" s="61">
        <v>1941539</v>
      </c>
      <c r="FM30" s="61">
        <v>3326958</v>
      </c>
      <c r="FN30" s="61">
        <v>1855086</v>
      </c>
      <c r="FO30" s="61">
        <v>1248467</v>
      </c>
      <c r="FP30" s="61">
        <v>1746113</v>
      </c>
      <c r="FQ30" s="61">
        <v>1801151</v>
      </c>
      <c r="FR30" s="61">
        <v>1300682</v>
      </c>
      <c r="FS30" s="61">
        <v>2895446</v>
      </c>
      <c r="FT30" s="61">
        <v>1604870</v>
      </c>
      <c r="FU30" s="61">
        <v>1522162</v>
      </c>
      <c r="FV30" s="61"/>
      <c r="FW30" s="61"/>
      <c r="FX30" s="61">
        <v>1936101</v>
      </c>
      <c r="FY30" s="61">
        <v>2638869</v>
      </c>
      <c r="FZ30" s="61">
        <v>2919968</v>
      </c>
      <c r="GA30" s="61">
        <v>1744561</v>
      </c>
      <c r="GB30" s="61">
        <v>1902068</v>
      </c>
      <c r="GC30" s="61">
        <v>1062682</v>
      </c>
      <c r="GD30" s="61">
        <v>3903297</v>
      </c>
      <c r="GE30" s="61">
        <v>2958815</v>
      </c>
      <c r="GF30" s="61">
        <v>2545658</v>
      </c>
      <c r="GG30" s="61">
        <v>2733233</v>
      </c>
      <c r="GH30" s="61">
        <v>2525426.8333330001</v>
      </c>
      <c r="GI30" s="61">
        <v>1032810</v>
      </c>
      <c r="GJ30" s="61">
        <v>2513630</v>
      </c>
      <c r="GK30" s="61"/>
      <c r="GL30" s="61">
        <f>AVERAGE(G30:T30)</f>
        <v>2420684.6428571427</v>
      </c>
      <c r="GM30" s="61">
        <f>AVERAGE(W30:AJ30)</f>
        <v>1947286.7857142857</v>
      </c>
      <c r="GN30" s="61">
        <f>AVERAGE(AM30:AZ30)</f>
        <v>1915464.857142857</v>
      </c>
      <c r="GO30" s="61">
        <f>AVERAGE(BC30:BP30)</f>
        <v>1098690.857142857</v>
      </c>
      <c r="GP30" s="61">
        <f>AVERAGE(BS30:CF30)</f>
        <v>1276019.5714285714</v>
      </c>
      <c r="GQ30" s="61">
        <f>AVERAGE(CI30:CV30)</f>
        <v>940427.14285714284</v>
      </c>
      <c r="GR30" s="61">
        <f>AVERAGE(CY30:DL30)</f>
        <v>1078236.1664285713</v>
      </c>
      <c r="GS30" s="61">
        <f>AVERAGE(DO30:EB30)</f>
        <v>1084052.7857142857</v>
      </c>
      <c r="GT30" s="61">
        <f>AVERAGE(EE30:EQ30)</f>
        <v>975305.07692307688</v>
      </c>
      <c r="GU30" s="61">
        <f>AVERAGE(ET30:FF30)</f>
        <v>1406087.6923076923</v>
      </c>
      <c r="GV30" s="61">
        <f>AVERAGE(FI30:FU30)</f>
        <v>1944721</v>
      </c>
      <c r="GW30" s="61">
        <f>AVERAGE(FX30:GJ30)</f>
        <v>2339778.3717948464</v>
      </c>
      <c r="GX30" t="s">
        <v>846</v>
      </c>
      <c r="GY30" s="3" t="s">
        <v>285</v>
      </c>
    </row>
    <row r="31" spans="2:207">
      <c r="B31" t="s">
        <v>2611</v>
      </c>
      <c r="E31" s="61"/>
      <c r="F31" s="61"/>
      <c r="G31" s="61">
        <v>3151316</v>
      </c>
      <c r="H31" s="61">
        <v>1299960</v>
      </c>
      <c r="I31" s="61">
        <v>3763661</v>
      </c>
      <c r="J31" s="61">
        <v>3572955</v>
      </c>
      <c r="K31" s="61">
        <v>2029142</v>
      </c>
      <c r="L31" s="61">
        <v>1235521</v>
      </c>
      <c r="M31" s="61">
        <v>1791620</v>
      </c>
      <c r="N31" s="61">
        <v>2573826</v>
      </c>
      <c r="O31" s="61">
        <v>1933188</v>
      </c>
      <c r="P31" s="61">
        <v>2804351</v>
      </c>
      <c r="Q31" s="61">
        <v>2912197</v>
      </c>
      <c r="R31" s="61">
        <v>3134376</v>
      </c>
      <c r="S31" s="61">
        <v>1193210</v>
      </c>
      <c r="T31" s="61">
        <v>2494262</v>
      </c>
      <c r="U31" s="61"/>
      <c r="V31" s="61"/>
      <c r="W31" s="61">
        <v>2159772</v>
      </c>
      <c r="X31" s="61">
        <v>1738357</v>
      </c>
      <c r="Y31" s="61">
        <v>2514976</v>
      </c>
      <c r="Z31" s="61">
        <v>2122227</v>
      </c>
      <c r="AA31" s="61">
        <v>1253416</v>
      </c>
      <c r="AB31" s="61">
        <v>1835294</v>
      </c>
      <c r="AC31" s="61">
        <v>1694658</v>
      </c>
      <c r="AD31" s="61">
        <v>1384591</v>
      </c>
      <c r="AE31" s="61">
        <v>1694780</v>
      </c>
      <c r="AF31" s="61">
        <v>3121096</v>
      </c>
      <c r="AG31" s="61">
        <v>1608360</v>
      </c>
      <c r="AH31" s="61">
        <v>2521746</v>
      </c>
      <c r="AI31" s="61">
        <v>2141800</v>
      </c>
      <c r="AJ31" s="61">
        <v>1470942</v>
      </c>
      <c r="AK31" s="61"/>
      <c r="AL31" s="61"/>
      <c r="AM31" s="61">
        <v>1477575</v>
      </c>
      <c r="AN31" s="61">
        <v>2579546</v>
      </c>
      <c r="AO31" s="61">
        <v>2263104</v>
      </c>
      <c r="AP31" s="61">
        <v>3349890</v>
      </c>
      <c r="AQ31" s="61">
        <v>2402650</v>
      </c>
      <c r="AR31" s="61">
        <v>1977276</v>
      </c>
      <c r="AS31" s="61">
        <v>1180348</v>
      </c>
      <c r="AT31" s="61">
        <v>890465</v>
      </c>
      <c r="AU31" s="61">
        <v>1443936</v>
      </c>
      <c r="AV31" s="61">
        <v>1342092</v>
      </c>
      <c r="AW31" s="61">
        <v>2090833.9999999998</v>
      </c>
      <c r="AX31" s="61">
        <v>1841498</v>
      </c>
      <c r="AY31" s="61">
        <v>2446330</v>
      </c>
      <c r="AZ31" s="61">
        <v>1530964</v>
      </c>
      <c r="BA31" s="61"/>
      <c r="BB31" s="61"/>
      <c r="BC31" s="61">
        <v>1190829</v>
      </c>
      <c r="BD31" s="61">
        <v>1890847</v>
      </c>
      <c r="BE31" s="61">
        <v>419311</v>
      </c>
      <c r="BF31" s="61">
        <v>1188797</v>
      </c>
      <c r="BG31" s="61">
        <v>706028</v>
      </c>
      <c r="BH31" s="61">
        <v>1039828</v>
      </c>
      <c r="BI31" s="61">
        <v>712583</v>
      </c>
      <c r="BJ31" s="61">
        <v>1708992</v>
      </c>
      <c r="BK31" s="61">
        <v>1464301</v>
      </c>
      <c r="BL31" s="61">
        <v>832915</v>
      </c>
      <c r="BM31" s="61">
        <v>1120370</v>
      </c>
      <c r="BN31" s="61">
        <v>1260611</v>
      </c>
      <c r="BO31" s="61">
        <v>746260</v>
      </c>
      <c r="BP31" s="61">
        <v>1100000</v>
      </c>
      <c r="BQ31" s="61"/>
      <c r="BR31" s="61"/>
      <c r="BS31" s="61">
        <v>1433066</v>
      </c>
      <c r="BT31" s="61">
        <v>2300852</v>
      </c>
      <c r="BU31" s="61">
        <v>2028133</v>
      </c>
      <c r="BV31" s="61">
        <v>608339</v>
      </c>
      <c r="BW31" s="61">
        <v>1362117</v>
      </c>
      <c r="BX31" s="61">
        <v>962969</v>
      </c>
      <c r="BY31" s="61">
        <v>1532843</v>
      </c>
      <c r="BZ31" s="61">
        <v>965377</v>
      </c>
      <c r="CA31" s="61">
        <v>1502620</v>
      </c>
      <c r="CB31" s="61">
        <v>1538421</v>
      </c>
      <c r="CC31" s="61">
        <v>1517948</v>
      </c>
      <c r="CD31" s="61">
        <v>906594</v>
      </c>
      <c r="CE31" s="61">
        <v>747046</v>
      </c>
      <c r="CF31" s="61">
        <v>457949</v>
      </c>
      <c r="CG31" s="61"/>
      <c r="CH31" s="61"/>
      <c r="CI31" s="61">
        <v>879126</v>
      </c>
      <c r="CJ31" s="61">
        <v>566412</v>
      </c>
      <c r="CK31" s="61">
        <v>970588</v>
      </c>
      <c r="CL31" s="61">
        <v>1040365</v>
      </c>
      <c r="CM31" s="61">
        <v>659453</v>
      </c>
      <c r="CN31" s="61">
        <v>670839</v>
      </c>
      <c r="CO31" s="61">
        <v>1533822</v>
      </c>
      <c r="CP31" s="61">
        <v>1369914</v>
      </c>
      <c r="CQ31" s="61">
        <v>1086397</v>
      </c>
      <c r="CR31" s="61">
        <v>481000</v>
      </c>
      <c r="CS31" s="61">
        <v>1206744</v>
      </c>
      <c r="CT31" s="61">
        <v>835095</v>
      </c>
      <c r="CU31" s="61">
        <v>1401780</v>
      </c>
      <c r="CV31" s="61">
        <v>464445</v>
      </c>
      <c r="CW31" s="61"/>
      <c r="CX31" s="61"/>
      <c r="CY31" s="61">
        <v>1419404</v>
      </c>
      <c r="CZ31" s="61">
        <v>628703</v>
      </c>
      <c r="DA31" s="61">
        <v>1996603</v>
      </c>
      <c r="DB31" s="61">
        <v>1338480</v>
      </c>
      <c r="DC31" s="61">
        <v>1532409</v>
      </c>
      <c r="DD31" s="61">
        <v>715900</v>
      </c>
      <c r="DE31" s="61">
        <v>1038332.0000000001</v>
      </c>
      <c r="DF31" s="61">
        <v>1056618</v>
      </c>
      <c r="DG31" s="61">
        <v>670566</v>
      </c>
      <c r="DH31" s="61">
        <v>739009</v>
      </c>
      <c r="DI31" s="61">
        <v>1563361</v>
      </c>
      <c r="DJ31" s="61">
        <v>950990</v>
      </c>
      <c r="DK31" s="61">
        <v>1069742.33</v>
      </c>
      <c r="DL31" s="61">
        <v>375189</v>
      </c>
      <c r="DM31" s="61"/>
      <c r="DN31" s="61"/>
      <c r="DO31" s="61">
        <v>1034573</v>
      </c>
      <c r="DP31" s="61">
        <v>1910102</v>
      </c>
      <c r="DQ31" s="61">
        <v>1118628</v>
      </c>
      <c r="DR31" s="61">
        <v>1352405</v>
      </c>
      <c r="DS31" s="61">
        <v>995180</v>
      </c>
      <c r="DT31" s="61">
        <v>1400832</v>
      </c>
      <c r="DU31" s="61">
        <v>1026272.9999999999</v>
      </c>
      <c r="DV31" s="61">
        <v>1066381</v>
      </c>
      <c r="DW31" s="61">
        <v>808006</v>
      </c>
      <c r="DX31" s="61">
        <v>1210974</v>
      </c>
      <c r="DY31" s="61">
        <v>732325</v>
      </c>
      <c r="DZ31" s="61">
        <v>1032810</v>
      </c>
      <c r="EA31" s="61">
        <v>760116</v>
      </c>
      <c r="EB31" s="61">
        <v>728134</v>
      </c>
      <c r="EC31" s="61"/>
      <c r="ED31" s="61"/>
      <c r="EE31" s="61">
        <v>814974</v>
      </c>
      <c r="EF31" s="61">
        <v>1057874</v>
      </c>
      <c r="EG31" s="61">
        <v>902765</v>
      </c>
      <c r="EH31" s="61">
        <v>1116304</v>
      </c>
      <c r="EI31" s="61">
        <v>1048209.0000000001</v>
      </c>
      <c r="EJ31" s="61">
        <v>1151609</v>
      </c>
      <c r="EK31" s="61">
        <v>1507585</v>
      </c>
      <c r="EL31" s="61">
        <v>993483</v>
      </c>
      <c r="EM31" s="61">
        <v>989186</v>
      </c>
      <c r="EN31" s="61">
        <v>338473</v>
      </c>
      <c r="EO31" s="61">
        <v>1023106</v>
      </c>
      <c r="EP31" s="61">
        <v>767160</v>
      </c>
      <c r="EQ31" s="61">
        <v>968238</v>
      </c>
      <c r="ER31" s="61"/>
      <c r="ES31" s="61"/>
      <c r="ET31" s="61">
        <v>1448051</v>
      </c>
      <c r="EU31" s="61">
        <v>1952392</v>
      </c>
      <c r="EV31" s="61">
        <v>481819</v>
      </c>
      <c r="EW31" s="61">
        <v>1449925</v>
      </c>
      <c r="EX31" s="61">
        <v>1294342</v>
      </c>
      <c r="EY31" s="61">
        <v>1295063</v>
      </c>
      <c r="EZ31" s="61">
        <v>2278659</v>
      </c>
      <c r="FA31" s="61">
        <v>1393862</v>
      </c>
      <c r="FB31" s="61">
        <v>2099412</v>
      </c>
      <c r="FC31" s="61">
        <v>1443306</v>
      </c>
      <c r="FD31" s="61">
        <v>830228</v>
      </c>
      <c r="FE31" s="61">
        <v>806770</v>
      </c>
      <c r="FF31" s="61">
        <v>1505311</v>
      </c>
      <c r="FG31" s="61"/>
      <c r="FH31" s="168"/>
      <c r="FI31" s="168">
        <v>1681383</v>
      </c>
      <c r="FJ31" s="61">
        <v>2352006</v>
      </c>
      <c r="FK31" s="61">
        <v>2005510</v>
      </c>
      <c r="FL31" s="61">
        <v>1941539</v>
      </c>
      <c r="FM31" s="61">
        <v>3326958</v>
      </c>
      <c r="FN31" s="61">
        <v>1855086</v>
      </c>
      <c r="FO31" s="61">
        <v>1248467</v>
      </c>
      <c r="FP31" s="61">
        <v>1746113</v>
      </c>
      <c r="FQ31" s="61">
        <v>1801151</v>
      </c>
      <c r="FR31" s="61">
        <v>1300682</v>
      </c>
      <c r="FS31" s="61">
        <v>2895446</v>
      </c>
      <c r="FT31" s="61">
        <v>1604870</v>
      </c>
      <c r="FU31" s="61">
        <v>1522162</v>
      </c>
      <c r="FV31" s="61"/>
      <c r="FW31" s="61"/>
      <c r="FX31" s="61">
        <v>1936101</v>
      </c>
      <c r="FY31" s="61">
        <v>2638869</v>
      </c>
      <c r="FZ31" s="61">
        <v>2919968</v>
      </c>
      <c r="GA31" s="61">
        <v>1744561</v>
      </c>
      <c r="GB31" s="61">
        <v>1902068</v>
      </c>
      <c r="GC31" s="61">
        <v>1062682</v>
      </c>
      <c r="GD31" s="61">
        <v>3903297</v>
      </c>
      <c r="GE31" s="61">
        <v>2958815</v>
      </c>
      <c r="GF31" s="61">
        <v>2545658</v>
      </c>
      <c r="GG31" s="61">
        <v>2733233</v>
      </c>
      <c r="GH31" s="61">
        <v>2525426.8333330001</v>
      </c>
      <c r="GI31" s="61">
        <v>1032810</v>
      </c>
      <c r="GJ31" s="61">
        <v>2513630</v>
      </c>
      <c r="GK31" s="61"/>
    </row>
    <row r="32" spans="2:207">
      <c r="B32" t="s">
        <v>785</v>
      </c>
      <c r="C32" t="s">
        <v>786</v>
      </c>
      <c r="D32" s="3" t="s">
        <v>290</v>
      </c>
      <c r="E32" s="61">
        <v>0</v>
      </c>
      <c r="F32" s="61">
        <v>0</v>
      </c>
      <c r="G32" s="61">
        <v>0</v>
      </c>
      <c r="H32" s="61">
        <v>0</v>
      </c>
      <c r="I32" s="61">
        <v>1649362</v>
      </c>
      <c r="J32" s="61">
        <v>2778002</v>
      </c>
      <c r="K32" s="61">
        <v>1587329</v>
      </c>
      <c r="L32" s="61">
        <v>1023722</v>
      </c>
      <c r="M32" s="61">
        <v>1246453</v>
      </c>
      <c r="N32" s="61">
        <v>1836150</v>
      </c>
      <c r="O32" s="61">
        <v>1474148</v>
      </c>
      <c r="P32" s="61">
        <v>2455176</v>
      </c>
      <c r="Q32" s="61">
        <v>1684562</v>
      </c>
      <c r="R32" s="61">
        <v>3052634</v>
      </c>
      <c r="S32" s="61">
        <v>1400150</v>
      </c>
      <c r="T32" s="61">
        <v>2999839</v>
      </c>
      <c r="U32" s="61">
        <v>0</v>
      </c>
      <c r="V32" s="61">
        <v>0</v>
      </c>
      <c r="W32" s="61">
        <v>0</v>
      </c>
      <c r="X32" s="61">
        <v>0</v>
      </c>
      <c r="Y32" s="61">
        <v>2634041</v>
      </c>
      <c r="Z32" s="61">
        <v>1470573</v>
      </c>
      <c r="AA32" s="61">
        <v>1454386</v>
      </c>
      <c r="AB32" s="61">
        <v>2081018</v>
      </c>
      <c r="AC32" s="61">
        <v>841183</v>
      </c>
      <c r="AD32" s="61">
        <v>1212538</v>
      </c>
      <c r="AE32" s="61">
        <v>1636636</v>
      </c>
      <c r="AF32" s="61">
        <v>2666582</v>
      </c>
      <c r="AG32" s="61">
        <v>1492969</v>
      </c>
      <c r="AH32" s="61">
        <v>2321083</v>
      </c>
      <c r="AI32" s="61">
        <v>2620160</v>
      </c>
      <c r="AJ32" s="61">
        <v>1332901</v>
      </c>
      <c r="AK32" s="61">
        <v>0</v>
      </c>
      <c r="AL32" s="61">
        <v>0</v>
      </c>
      <c r="AM32" s="61">
        <v>0</v>
      </c>
      <c r="AN32" s="61">
        <v>0</v>
      </c>
      <c r="AO32" s="61">
        <v>2384239</v>
      </c>
      <c r="AP32" s="61">
        <v>3280768</v>
      </c>
      <c r="AQ32" s="61">
        <v>2268822</v>
      </c>
      <c r="AR32" s="61">
        <v>2240933</v>
      </c>
      <c r="AS32" s="61">
        <v>1270884</v>
      </c>
      <c r="AT32" s="61">
        <v>1670495</v>
      </c>
      <c r="AU32" s="61">
        <v>1762362</v>
      </c>
      <c r="AV32" s="61">
        <v>1686085</v>
      </c>
      <c r="AW32" s="61">
        <v>1803894</v>
      </c>
      <c r="AX32" s="61">
        <v>2226547</v>
      </c>
      <c r="AY32" s="61">
        <v>1796450</v>
      </c>
      <c r="AZ32" s="61">
        <v>2391194</v>
      </c>
      <c r="BA32" s="61">
        <v>0</v>
      </c>
      <c r="BB32" s="61">
        <v>0</v>
      </c>
      <c r="BC32" s="61">
        <v>0</v>
      </c>
      <c r="BD32" s="61">
        <v>0</v>
      </c>
      <c r="BE32" s="61">
        <v>705520</v>
      </c>
      <c r="BF32" s="61">
        <v>1859570</v>
      </c>
      <c r="BG32" s="61">
        <v>1686279</v>
      </c>
      <c r="BH32" s="61">
        <v>1079441</v>
      </c>
      <c r="BI32" s="61">
        <v>1100814</v>
      </c>
      <c r="BJ32" s="61">
        <v>2528917</v>
      </c>
      <c r="BK32" s="61">
        <v>1625295</v>
      </c>
      <c r="BL32" s="61">
        <v>1073363</v>
      </c>
      <c r="BM32" s="61">
        <v>1503635</v>
      </c>
      <c r="BN32" s="61">
        <v>1613645</v>
      </c>
      <c r="BO32" s="61">
        <v>1370690</v>
      </c>
      <c r="BP32" s="61">
        <v>1898629</v>
      </c>
      <c r="BQ32" s="61">
        <v>0</v>
      </c>
      <c r="BR32" s="61">
        <v>0</v>
      </c>
      <c r="BS32" s="61">
        <v>0</v>
      </c>
      <c r="BT32" s="61">
        <v>0</v>
      </c>
      <c r="BU32" s="61">
        <v>2253260</v>
      </c>
      <c r="BV32" s="61">
        <v>1136952</v>
      </c>
      <c r="BW32" s="61">
        <v>1866885</v>
      </c>
      <c r="BX32" s="61">
        <v>1598236</v>
      </c>
      <c r="BY32" s="61">
        <v>1094881</v>
      </c>
      <c r="BZ32" s="61">
        <v>1458112</v>
      </c>
      <c r="CA32" s="61">
        <v>1484352</v>
      </c>
      <c r="CB32" s="61">
        <v>2423783</v>
      </c>
      <c r="CC32" s="61">
        <v>2203922</v>
      </c>
      <c r="CD32" s="61">
        <v>2151162</v>
      </c>
      <c r="CE32" s="61">
        <v>1419043</v>
      </c>
      <c r="CF32" s="61">
        <v>921955</v>
      </c>
      <c r="CG32" s="61">
        <v>0</v>
      </c>
      <c r="CH32" s="61">
        <v>0</v>
      </c>
      <c r="CI32" s="61">
        <v>0</v>
      </c>
      <c r="CJ32" s="61">
        <v>0</v>
      </c>
      <c r="CK32" s="61">
        <v>1329356</v>
      </c>
      <c r="CL32" s="61">
        <v>845434</v>
      </c>
      <c r="CM32" s="61">
        <v>1651154</v>
      </c>
      <c r="CN32" s="61">
        <v>1429432</v>
      </c>
      <c r="CO32" s="61">
        <v>853923</v>
      </c>
      <c r="CP32" s="61">
        <v>1444811</v>
      </c>
      <c r="CQ32" s="61">
        <v>1691946</v>
      </c>
      <c r="CR32" s="61">
        <v>1392093</v>
      </c>
      <c r="CS32" s="61">
        <v>759722</v>
      </c>
      <c r="CT32" s="61">
        <v>887301</v>
      </c>
      <c r="CU32" s="61">
        <v>1139480</v>
      </c>
      <c r="CV32" s="61">
        <v>706435</v>
      </c>
      <c r="CW32" s="61">
        <v>0</v>
      </c>
      <c r="CX32" s="61">
        <v>0</v>
      </c>
      <c r="CY32" s="61">
        <v>0</v>
      </c>
      <c r="CZ32" s="61">
        <v>0</v>
      </c>
      <c r="DA32" s="61">
        <v>1824658</v>
      </c>
      <c r="DB32" s="61">
        <v>819690</v>
      </c>
      <c r="DC32" s="61">
        <v>1391202</v>
      </c>
      <c r="DD32" s="61">
        <v>807261</v>
      </c>
      <c r="DE32" s="61">
        <v>1195920</v>
      </c>
      <c r="DF32" s="61">
        <v>1118668</v>
      </c>
      <c r="DG32" s="61">
        <v>774432</v>
      </c>
      <c r="DH32" s="61">
        <v>1093965</v>
      </c>
      <c r="DI32" s="61">
        <v>1166107</v>
      </c>
      <c r="DJ32" s="61">
        <v>780960</v>
      </c>
      <c r="DK32" s="61">
        <v>1015067.67</v>
      </c>
      <c r="DL32" s="61">
        <v>541721</v>
      </c>
      <c r="DM32" s="61">
        <v>0</v>
      </c>
      <c r="DN32" s="61">
        <v>0</v>
      </c>
      <c r="DO32" s="61">
        <v>0</v>
      </c>
      <c r="DP32" s="61">
        <v>0</v>
      </c>
      <c r="DQ32" s="61">
        <v>1249722</v>
      </c>
      <c r="DR32" s="61">
        <v>955545</v>
      </c>
      <c r="DS32" s="61">
        <v>834651</v>
      </c>
      <c r="DT32" s="61">
        <v>1204168</v>
      </c>
      <c r="DU32" s="61">
        <v>1254228</v>
      </c>
      <c r="DV32" s="61">
        <v>1004674</v>
      </c>
      <c r="DW32" s="61">
        <v>956532</v>
      </c>
      <c r="DX32" s="61">
        <v>898929</v>
      </c>
      <c r="DY32" s="61">
        <v>1346914</v>
      </c>
      <c r="DZ32" s="61">
        <v>744810</v>
      </c>
      <c r="EA32" s="61">
        <v>835253</v>
      </c>
      <c r="EB32" s="61">
        <v>836917</v>
      </c>
      <c r="EC32" s="61">
        <v>0</v>
      </c>
      <c r="ED32" s="61">
        <v>0</v>
      </c>
      <c r="EE32" s="61">
        <v>0</v>
      </c>
      <c r="EF32" s="61">
        <v>0</v>
      </c>
      <c r="EG32" s="61">
        <v>1570773</v>
      </c>
      <c r="EH32" s="61">
        <v>1202618</v>
      </c>
      <c r="EI32" s="61">
        <v>1057482</v>
      </c>
      <c r="EJ32" s="61">
        <v>1016623</v>
      </c>
      <c r="EK32" s="61">
        <v>1012225</v>
      </c>
      <c r="EL32" s="61">
        <v>1675837</v>
      </c>
      <c r="EM32" s="61">
        <v>1228987</v>
      </c>
      <c r="EN32" s="61">
        <v>815333</v>
      </c>
      <c r="EO32" s="61">
        <v>1374772</v>
      </c>
      <c r="EP32" s="61">
        <v>1159890</v>
      </c>
      <c r="EQ32" s="61">
        <v>1135635</v>
      </c>
      <c r="ER32" s="61">
        <v>0</v>
      </c>
      <c r="ES32" s="61">
        <v>0</v>
      </c>
      <c r="ET32" s="61">
        <v>0</v>
      </c>
      <c r="EU32" s="61">
        <v>0</v>
      </c>
      <c r="EV32" s="61">
        <v>1318866</v>
      </c>
      <c r="EW32" s="61">
        <v>1856090</v>
      </c>
      <c r="EX32" s="61">
        <v>1904187</v>
      </c>
      <c r="EY32" s="61">
        <v>1986443</v>
      </c>
      <c r="EZ32" s="61">
        <v>1438127</v>
      </c>
      <c r="FA32" s="61">
        <v>2093002</v>
      </c>
      <c r="FB32" s="61">
        <v>2507389</v>
      </c>
      <c r="FC32" s="61">
        <v>1526081</v>
      </c>
      <c r="FD32" s="61">
        <v>1043491</v>
      </c>
      <c r="FE32" s="61">
        <v>939340</v>
      </c>
      <c r="FF32" s="61">
        <v>1278324</v>
      </c>
      <c r="FG32" s="61">
        <v>0</v>
      </c>
      <c r="FH32" s="168">
        <v>0</v>
      </c>
      <c r="FI32" s="168">
        <v>0</v>
      </c>
      <c r="FJ32" s="61">
        <v>0</v>
      </c>
      <c r="FK32" s="61">
        <v>1569756</v>
      </c>
      <c r="FL32" s="61">
        <v>2020055</v>
      </c>
      <c r="FM32" s="61">
        <v>2827914</v>
      </c>
      <c r="FN32" s="61">
        <v>2017668</v>
      </c>
      <c r="FO32" s="61">
        <v>1384240</v>
      </c>
      <c r="FP32" s="61">
        <v>1633310</v>
      </c>
      <c r="FQ32" s="61">
        <v>1792175</v>
      </c>
      <c r="FR32" s="61">
        <v>1954804</v>
      </c>
      <c r="FS32" s="61">
        <v>1686308</v>
      </c>
      <c r="FT32" s="61">
        <v>2132220</v>
      </c>
      <c r="FU32" s="61">
        <v>1948325</v>
      </c>
      <c r="FV32" s="61">
        <v>0</v>
      </c>
      <c r="FW32" s="61">
        <v>0</v>
      </c>
      <c r="FX32" s="61">
        <v>0</v>
      </c>
      <c r="FY32" s="61">
        <v>0</v>
      </c>
      <c r="FZ32" s="61">
        <v>2000742</v>
      </c>
      <c r="GA32" s="61">
        <v>1622342</v>
      </c>
      <c r="GB32" s="61">
        <v>2182442</v>
      </c>
      <c r="GC32" s="61">
        <v>1327538</v>
      </c>
      <c r="GD32" s="61">
        <v>3399439</v>
      </c>
      <c r="GE32" s="61">
        <v>3088802</v>
      </c>
      <c r="GF32" s="61">
        <v>2175442</v>
      </c>
      <c r="GG32" s="61">
        <v>1546124</v>
      </c>
      <c r="GH32" s="61">
        <v>1850260</v>
      </c>
      <c r="GI32" s="61">
        <v>653720</v>
      </c>
      <c r="GJ32" s="61">
        <v>2805095</v>
      </c>
      <c r="GK32" s="61"/>
      <c r="GL32" s="61">
        <f t="shared" ref="GL32:GL37" si="0">AVERAGE(I32:T32)</f>
        <v>1932293.9166666667</v>
      </c>
      <c r="GM32" s="61">
        <f t="shared" ref="GM32:GM37" si="1">AVERAGE(Y32:AJ32)</f>
        <v>1813672.5</v>
      </c>
      <c r="GN32" s="61">
        <f t="shared" ref="GN32:GN37" si="2">AVERAGE(AO32:AZ32)</f>
        <v>2065222.75</v>
      </c>
      <c r="GO32" s="61">
        <f t="shared" ref="GO32:GO37" si="3">AVERAGE(BE32:BP32)</f>
        <v>1503816.5</v>
      </c>
      <c r="GP32" s="61">
        <f t="shared" ref="GP32:GP37" si="4">AVERAGE(BU32:CF32)</f>
        <v>1667711.9166666667</v>
      </c>
      <c r="GQ32" s="61">
        <f t="shared" ref="GQ32:GQ37" si="5">AVERAGE(CK32:CV32)</f>
        <v>1177590.5833333333</v>
      </c>
      <c r="GR32" s="61">
        <f t="shared" ref="GR32:GR37" si="6">AVERAGE(DA32:DL32)</f>
        <v>1044137.6391666667</v>
      </c>
      <c r="GS32" s="61">
        <f t="shared" ref="GS32:GS37" si="7">AVERAGE(DQ32:EB32)</f>
        <v>1010195.25</v>
      </c>
      <c r="GT32" s="61">
        <f t="shared" ref="GT32:GT37" si="8">AVERAGE(EG32:EQ32)</f>
        <v>1204561.3636363635</v>
      </c>
      <c r="GU32" s="61">
        <f t="shared" ref="GU32:GU37" si="9">AVERAGE(EV32:FF32)</f>
        <v>1626485.4545454546</v>
      </c>
      <c r="GV32" s="61">
        <f t="shared" ref="GV32:GV37" si="10">AVERAGE(FK32:FU32)</f>
        <v>1906070.4545454546</v>
      </c>
      <c r="GW32" s="61">
        <f t="shared" ref="GW32:GW37" si="11">AVERAGE(FZ32:GJ32)</f>
        <v>2059267.8181818181</v>
      </c>
      <c r="GX32" t="s">
        <v>846</v>
      </c>
      <c r="GY32" s="3" t="s">
        <v>290</v>
      </c>
    </row>
    <row r="33" spans="2:207">
      <c r="D33" s="3" t="s">
        <v>291</v>
      </c>
      <c r="E33" s="61">
        <v>0</v>
      </c>
      <c r="F33" s="61">
        <v>0</v>
      </c>
      <c r="G33" s="61">
        <v>0</v>
      </c>
      <c r="H33" s="61">
        <v>0</v>
      </c>
      <c r="I33" s="61">
        <v>1287269</v>
      </c>
      <c r="J33" s="61">
        <v>1840815</v>
      </c>
      <c r="K33" s="61">
        <v>1113595</v>
      </c>
      <c r="L33" s="61">
        <v>598145</v>
      </c>
      <c r="M33" s="61">
        <v>905805</v>
      </c>
      <c r="N33" s="61">
        <v>1171051</v>
      </c>
      <c r="O33" s="61">
        <v>978161</v>
      </c>
      <c r="P33" s="61">
        <v>1767633</v>
      </c>
      <c r="Q33" s="61">
        <v>1194694</v>
      </c>
      <c r="R33" s="61">
        <v>2045370</v>
      </c>
      <c r="S33" s="61">
        <v>867420</v>
      </c>
      <c r="T33" s="61">
        <v>1857453</v>
      </c>
      <c r="U33" s="61">
        <v>0</v>
      </c>
      <c r="V33" s="61">
        <v>0</v>
      </c>
      <c r="W33" s="61">
        <v>0</v>
      </c>
      <c r="X33" s="61">
        <v>0</v>
      </c>
      <c r="Y33" s="61">
        <v>2018415</v>
      </c>
      <c r="Z33" s="61">
        <v>993085</v>
      </c>
      <c r="AA33" s="61">
        <v>999432</v>
      </c>
      <c r="AB33" s="61">
        <v>1446935</v>
      </c>
      <c r="AC33" s="61">
        <v>452428</v>
      </c>
      <c r="AD33" s="61">
        <v>861783</v>
      </c>
      <c r="AE33" s="61">
        <v>1087029</v>
      </c>
      <c r="AF33" s="61">
        <v>1886128</v>
      </c>
      <c r="AG33" s="61">
        <v>932583</v>
      </c>
      <c r="AH33" s="61">
        <v>1592489</v>
      </c>
      <c r="AI33" s="61">
        <v>1776850</v>
      </c>
      <c r="AJ33" s="61">
        <v>882460</v>
      </c>
      <c r="AK33" s="61">
        <v>0</v>
      </c>
      <c r="AL33" s="61">
        <v>0</v>
      </c>
      <c r="AM33" s="61">
        <v>0</v>
      </c>
      <c r="AN33" s="61">
        <v>0</v>
      </c>
      <c r="AO33" s="61">
        <v>1531607</v>
      </c>
      <c r="AP33" s="61">
        <v>2238558</v>
      </c>
      <c r="AQ33" s="61">
        <v>1479079</v>
      </c>
      <c r="AR33" s="61">
        <v>1639613</v>
      </c>
      <c r="AS33" s="61">
        <v>811087</v>
      </c>
      <c r="AT33" s="61">
        <v>1122861</v>
      </c>
      <c r="AU33" s="61">
        <v>1201733</v>
      </c>
      <c r="AV33" s="61">
        <v>997400</v>
      </c>
      <c r="AW33" s="61">
        <v>1319789</v>
      </c>
      <c r="AX33" s="61">
        <v>1522060</v>
      </c>
      <c r="AY33" s="61">
        <v>1215450</v>
      </c>
      <c r="AZ33" s="61">
        <v>1558047</v>
      </c>
      <c r="BA33" s="61">
        <v>0</v>
      </c>
      <c r="BB33" s="61">
        <v>0</v>
      </c>
      <c r="BC33" s="61">
        <v>0</v>
      </c>
      <c r="BD33" s="61">
        <v>0</v>
      </c>
      <c r="BE33" s="61">
        <v>472374</v>
      </c>
      <c r="BF33" s="61">
        <v>1436794</v>
      </c>
      <c r="BG33" s="61">
        <v>1114412</v>
      </c>
      <c r="BH33" s="61">
        <v>745787</v>
      </c>
      <c r="BI33" s="61">
        <v>675216</v>
      </c>
      <c r="BJ33" s="61">
        <v>1860707</v>
      </c>
      <c r="BK33" s="61">
        <v>1113550</v>
      </c>
      <c r="BL33" s="61">
        <v>656665</v>
      </c>
      <c r="BM33" s="61">
        <v>1004460</v>
      </c>
      <c r="BN33" s="61">
        <v>1183449</v>
      </c>
      <c r="BO33" s="61">
        <v>813810</v>
      </c>
      <c r="BP33" s="61">
        <v>1185102</v>
      </c>
      <c r="BQ33" s="61">
        <v>0</v>
      </c>
      <c r="BR33" s="61">
        <v>0</v>
      </c>
      <c r="BS33" s="61">
        <v>0</v>
      </c>
      <c r="BT33" s="61">
        <v>0</v>
      </c>
      <c r="BU33" s="61">
        <v>1533027</v>
      </c>
      <c r="BV33" s="61">
        <v>743383</v>
      </c>
      <c r="BW33" s="61">
        <v>1238979</v>
      </c>
      <c r="BX33" s="61">
        <v>1018702</v>
      </c>
      <c r="BY33" s="61">
        <v>756631</v>
      </c>
      <c r="BZ33" s="61">
        <v>984543</v>
      </c>
      <c r="CA33" s="61">
        <v>931204</v>
      </c>
      <c r="CB33" s="61">
        <v>1598432</v>
      </c>
      <c r="CC33" s="61">
        <v>1489908</v>
      </c>
      <c r="CD33" s="61">
        <v>1402285</v>
      </c>
      <c r="CE33" s="61">
        <v>910959</v>
      </c>
      <c r="CF33" s="61">
        <v>494924</v>
      </c>
      <c r="CG33" s="61">
        <v>0</v>
      </c>
      <c r="CH33" s="61">
        <v>0</v>
      </c>
      <c r="CI33" s="61">
        <v>0</v>
      </c>
      <c r="CJ33" s="61">
        <v>0</v>
      </c>
      <c r="CK33" s="61">
        <v>899101</v>
      </c>
      <c r="CL33" s="61">
        <v>510760</v>
      </c>
      <c r="CM33" s="61">
        <v>1095866</v>
      </c>
      <c r="CN33" s="61">
        <v>867277</v>
      </c>
      <c r="CO33" s="61">
        <v>623969</v>
      </c>
      <c r="CP33" s="61">
        <v>1015745</v>
      </c>
      <c r="CQ33" s="61">
        <v>1029890.0000000001</v>
      </c>
      <c r="CR33" s="61">
        <v>893692</v>
      </c>
      <c r="CS33" s="61">
        <v>547485</v>
      </c>
      <c r="CT33" s="61">
        <v>552144</v>
      </c>
      <c r="CU33" s="61">
        <v>801600</v>
      </c>
      <c r="CV33" s="61">
        <v>323947</v>
      </c>
      <c r="CW33" s="61">
        <v>0</v>
      </c>
      <c r="CX33" s="61">
        <v>0</v>
      </c>
      <c r="CY33" s="61">
        <v>0</v>
      </c>
      <c r="CZ33" s="61">
        <v>0</v>
      </c>
      <c r="DA33" s="61">
        <v>1184833</v>
      </c>
      <c r="DB33" s="61">
        <v>495630</v>
      </c>
      <c r="DC33" s="61">
        <v>953468</v>
      </c>
      <c r="DD33" s="61">
        <v>445246</v>
      </c>
      <c r="DE33" s="61">
        <v>696601</v>
      </c>
      <c r="DF33" s="61">
        <v>727901</v>
      </c>
      <c r="DG33" s="61">
        <v>571432</v>
      </c>
      <c r="DH33" s="61">
        <v>645745</v>
      </c>
      <c r="DI33" s="61">
        <v>851371</v>
      </c>
      <c r="DJ33" s="61">
        <v>434990</v>
      </c>
      <c r="DK33" s="61">
        <v>728100</v>
      </c>
      <c r="DL33" s="61">
        <v>331758</v>
      </c>
      <c r="DM33" s="61">
        <v>0</v>
      </c>
      <c r="DN33" s="61">
        <v>0</v>
      </c>
      <c r="DO33" s="61">
        <v>0</v>
      </c>
      <c r="DP33" s="61">
        <v>0</v>
      </c>
      <c r="DQ33" s="61">
        <v>803804</v>
      </c>
      <c r="DR33" s="61">
        <v>618078</v>
      </c>
      <c r="DS33" s="61">
        <v>580539</v>
      </c>
      <c r="DT33" s="61">
        <v>732390</v>
      </c>
      <c r="DU33" s="61">
        <v>848315</v>
      </c>
      <c r="DV33" s="61">
        <v>596750</v>
      </c>
      <c r="DW33" s="61">
        <v>580147</v>
      </c>
      <c r="DX33" s="61">
        <v>721990</v>
      </c>
      <c r="DY33" s="61">
        <v>1006319</v>
      </c>
      <c r="DZ33" s="61">
        <v>421070</v>
      </c>
      <c r="EA33" s="61">
        <v>486735</v>
      </c>
      <c r="EB33" s="61">
        <v>563638</v>
      </c>
      <c r="EC33" s="61">
        <v>0</v>
      </c>
      <c r="ED33" s="61">
        <v>0</v>
      </c>
      <c r="EE33" s="61">
        <v>0</v>
      </c>
      <c r="EF33" s="61">
        <v>0</v>
      </c>
      <c r="EG33" s="61">
        <v>923638</v>
      </c>
      <c r="EH33" s="61">
        <v>807609</v>
      </c>
      <c r="EI33" s="61">
        <v>674967</v>
      </c>
      <c r="EJ33" s="61">
        <v>622755</v>
      </c>
      <c r="EK33" s="61">
        <v>596940</v>
      </c>
      <c r="EL33" s="61">
        <v>1018344</v>
      </c>
      <c r="EM33" s="61">
        <v>766366</v>
      </c>
      <c r="EN33" s="61">
        <v>541619</v>
      </c>
      <c r="EO33" s="61">
        <v>951034</v>
      </c>
      <c r="EP33" s="61">
        <v>777990</v>
      </c>
      <c r="EQ33" s="61">
        <v>682057.83</v>
      </c>
      <c r="ER33" s="61">
        <v>0</v>
      </c>
      <c r="ES33" s="61">
        <v>0</v>
      </c>
      <c r="ET33" s="61">
        <v>0</v>
      </c>
      <c r="EU33" s="61">
        <v>0</v>
      </c>
      <c r="EV33" s="61">
        <v>900808</v>
      </c>
      <c r="EW33" s="61">
        <v>1206467</v>
      </c>
      <c r="EX33" s="61">
        <v>1257545</v>
      </c>
      <c r="EY33" s="61">
        <v>1458317</v>
      </c>
      <c r="EZ33" s="61">
        <v>833953</v>
      </c>
      <c r="FA33" s="61">
        <v>1475512</v>
      </c>
      <c r="FB33" s="61">
        <v>1816552</v>
      </c>
      <c r="FC33" s="61">
        <v>1076440</v>
      </c>
      <c r="FD33" s="61">
        <v>666696</v>
      </c>
      <c r="FE33" s="61">
        <v>516340.00000000006</v>
      </c>
      <c r="FF33" s="61">
        <v>776845</v>
      </c>
      <c r="FG33" s="61">
        <v>0</v>
      </c>
      <c r="FH33" s="168">
        <v>0</v>
      </c>
      <c r="FI33" s="168">
        <v>0</v>
      </c>
      <c r="FJ33" s="61">
        <v>0</v>
      </c>
      <c r="FK33" s="61">
        <v>1177274</v>
      </c>
      <c r="FL33" s="61">
        <v>1352046</v>
      </c>
      <c r="FM33" s="61">
        <v>2012523</v>
      </c>
      <c r="FN33" s="61">
        <v>1397506</v>
      </c>
      <c r="FO33" s="61">
        <v>864840</v>
      </c>
      <c r="FP33" s="61">
        <v>1423290</v>
      </c>
      <c r="FQ33" s="61">
        <v>1288263</v>
      </c>
      <c r="FR33" s="61">
        <v>1187891</v>
      </c>
      <c r="FS33" s="61">
        <v>1112765</v>
      </c>
      <c r="FT33" s="61">
        <v>1565000</v>
      </c>
      <c r="FU33" s="61">
        <v>1249031</v>
      </c>
      <c r="FV33" s="61">
        <v>0</v>
      </c>
      <c r="FW33" s="61">
        <v>0</v>
      </c>
      <c r="FX33" s="61">
        <v>0</v>
      </c>
      <c r="FY33" s="61">
        <v>0</v>
      </c>
      <c r="FZ33" s="61">
        <v>1366724</v>
      </c>
      <c r="GA33" s="61">
        <v>955253</v>
      </c>
      <c r="GB33" s="61">
        <v>1577442</v>
      </c>
      <c r="GC33" s="61">
        <v>1077992</v>
      </c>
      <c r="GD33" s="61">
        <v>2235065</v>
      </c>
      <c r="GE33" s="61">
        <v>2154771</v>
      </c>
      <c r="GF33" s="61">
        <v>1443458</v>
      </c>
      <c r="GG33" s="61">
        <v>1170725</v>
      </c>
      <c r="GH33" s="61">
        <v>1049195</v>
      </c>
      <c r="GI33" s="61">
        <v>306510</v>
      </c>
      <c r="GJ33" s="61">
        <v>1711575</v>
      </c>
      <c r="GK33" s="61"/>
      <c r="GL33" s="61">
        <f t="shared" si="0"/>
        <v>1302284.25</v>
      </c>
      <c r="GM33" s="61">
        <f t="shared" si="1"/>
        <v>1244134.75</v>
      </c>
      <c r="GN33" s="61">
        <f t="shared" si="2"/>
        <v>1386440.3333333333</v>
      </c>
      <c r="GO33" s="61">
        <f t="shared" si="3"/>
        <v>1021860.5</v>
      </c>
      <c r="GP33" s="61">
        <f t="shared" si="4"/>
        <v>1091914.75</v>
      </c>
      <c r="GQ33" s="61">
        <f t="shared" si="5"/>
        <v>763456.33333333337</v>
      </c>
      <c r="GR33" s="61">
        <f t="shared" si="6"/>
        <v>672256.25</v>
      </c>
      <c r="GS33" s="61">
        <f t="shared" si="7"/>
        <v>663314.58333333337</v>
      </c>
      <c r="GT33" s="61">
        <f t="shared" si="8"/>
        <v>760301.80272727273</v>
      </c>
      <c r="GU33" s="61">
        <f t="shared" si="9"/>
        <v>1089588.6363636365</v>
      </c>
      <c r="GV33" s="61">
        <f t="shared" si="10"/>
        <v>1330039</v>
      </c>
      <c r="GW33" s="61">
        <f t="shared" si="11"/>
        <v>1368064.5454545454</v>
      </c>
      <c r="GX33" t="s">
        <v>846</v>
      </c>
      <c r="GY33" s="3" t="s">
        <v>291</v>
      </c>
    </row>
    <row r="34" spans="2:207">
      <c r="D34" s="3" t="s">
        <v>292</v>
      </c>
      <c r="E34" s="61">
        <v>0</v>
      </c>
      <c r="F34" s="61">
        <v>0</v>
      </c>
      <c r="G34" s="61">
        <v>0</v>
      </c>
      <c r="H34" s="61">
        <v>0</v>
      </c>
      <c r="I34" s="61">
        <v>1571561</v>
      </c>
      <c r="J34" s="61">
        <v>2197285</v>
      </c>
      <c r="K34" s="61">
        <v>1296577</v>
      </c>
      <c r="L34" s="61">
        <v>778115</v>
      </c>
      <c r="M34" s="61">
        <v>1185113</v>
      </c>
      <c r="N34" s="61">
        <v>1578875</v>
      </c>
      <c r="O34" s="61">
        <v>1256741</v>
      </c>
      <c r="P34" s="61">
        <v>2013375</v>
      </c>
      <c r="Q34" s="61">
        <v>1504944</v>
      </c>
      <c r="R34" s="61">
        <v>2476112</v>
      </c>
      <c r="S34" s="61">
        <v>1195400</v>
      </c>
      <c r="T34" s="61">
        <v>2642601</v>
      </c>
      <c r="U34" s="61">
        <v>0</v>
      </c>
      <c r="V34" s="61">
        <v>0</v>
      </c>
      <c r="W34" s="61">
        <v>0</v>
      </c>
      <c r="X34" s="61">
        <v>0</v>
      </c>
      <c r="Y34" s="61">
        <v>2408712</v>
      </c>
      <c r="Z34" s="61">
        <v>1085431</v>
      </c>
      <c r="AA34" s="61">
        <v>1483398</v>
      </c>
      <c r="AB34" s="61">
        <v>1790959</v>
      </c>
      <c r="AC34" s="61">
        <v>716533</v>
      </c>
      <c r="AD34" s="61">
        <v>1170521</v>
      </c>
      <c r="AE34" s="61">
        <v>1614320</v>
      </c>
      <c r="AF34" s="61">
        <v>2345656</v>
      </c>
      <c r="AG34" s="61">
        <v>1213229</v>
      </c>
      <c r="AH34" s="61">
        <v>2077592.9999999998</v>
      </c>
      <c r="AI34" s="61">
        <v>2285860</v>
      </c>
      <c r="AJ34" s="61">
        <v>1366261</v>
      </c>
      <c r="AK34" s="61">
        <v>0</v>
      </c>
      <c r="AL34" s="61">
        <v>0</v>
      </c>
      <c r="AM34" s="61">
        <v>0</v>
      </c>
      <c r="AN34" s="61">
        <v>0</v>
      </c>
      <c r="AO34" s="61">
        <v>2062121</v>
      </c>
      <c r="AP34" s="61">
        <v>2829646</v>
      </c>
      <c r="AQ34" s="61">
        <v>2099151</v>
      </c>
      <c r="AR34" s="61">
        <v>2021705</v>
      </c>
      <c r="AS34" s="61">
        <v>1111156</v>
      </c>
      <c r="AT34" s="61">
        <v>1517354</v>
      </c>
      <c r="AU34" s="61">
        <v>1575310</v>
      </c>
      <c r="AV34" s="61">
        <v>1400097</v>
      </c>
      <c r="AW34" s="61">
        <v>1667693</v>
      </c>
      <c r="AX34" s="61">
        <v>1937915</v>
      </c>
      <c r="AY34" s="61">
        <v>1611790</v>
      </c>
      <c r="AZ34" s="61">
        <v>2095639</v>
      </c>
      <c r="BA34" s="61">
        <v>0</v>
      </c>
      <c r="BB34" s="61">
        <v>0</v>
      </c>
      <c r="BC34" s="61">
        <v>0</v>
      </c>
      <c r="BD34" s="61">
        <v>0</v>
      </c>
      <c r="BE34" s="61">
        <v>689435</v>
      </c>
      <c r="BF34" s="61">
        <v>1543321</v>
      </c>
      <c r="BG34" s="61">
        <v>1661660</v>
      </c>
      <c r="BH34" s="61">
        <v>1023837</v>
      </c>
      <c r="BI34" s="61">
        <v>954474</v>
      </c>
      <c r="BJ34" s="61">
        <v>2441565</v>
      </c>
      <c r="BK34" s="61">
        <v>1333168</v>
      </c>
      <c r="BL34" s="61">
        <v>906126</v>
      </c>
      <c r="BM34" s="61">
        <v>1302373</v>
      </c>
      <c r="BN34" s="61">
        <v>1571457</v>
      </c>
      <c r="BO34" s="61">
        <v>1193620</v>
      </c>
      <c r="BP34" s="61">
        <v>1582408</v>
      </c>
      <c r="BQ34" s="61">
        <v>0</v>
      </c>
      <c r="BR34" s="61">
        <v>0</v>
      </c>
      <c r="BS34" s="61">
        <v>0</v>
      </c>
      <c r="BT34" s="61">
        <v>0</v>
      </c>
      <c r="BU34" s="61">
        <v>1950317</v>
      </c>
      <c r="BV34" s="61">
        <v>955903</v>
      </c>
      <c r="BW34" s="61">
        <v>1592393</v>
      </c>
      <c r="BX34" s="61">
        <v>1509128</v>
      </c>
      <c r="BY34" s="61">
        <v>987415</v>
      </c>
      <c r="BZ34" s="61">
        <v>1282706</v>
      </c>
      <c r="CA34" s="61">
        <v>1289699</v>
      </c>
      <c r="CB34" s="61">
        <v>2155923</v>
      </c>
      <c r="CC34" s="61">
        <v>1980355</v>
      </c>
      <c r="CD34" s="61">
        <v>1836019</v>
      </c>
      <c r="CE34" s="61">
        <v>208378</v>
      </c>
      <c r="CF34" s="61">
        <v>809275</v>
      </c>
      <c r="CG34" s="61">
        <v>0</v>
      </c>
      <c r="CH34" s="61">
        <v>0</v>
      </c>
      <c r="CI34" s="61">
        <v>0</v>
      </c>
      <c r="CJ34" s="61">
        <v>0</v>
      </c>
      <c r="CK34" s="61">
        <v>1131986</v>
      </c>
      <c r="CL34" s="61">
        <v>686371</v>
      </c>
      <c r="CM34" s="61">
        <v>1443023</v>
      </c>
      <c r="CN34" s="61">
        <v>1274634</v>
      </c>
      <c r="CO34" s="61">
        <v>790421</v>
      </c>
      <c r="CP34" s="61">
        <v>1218562</v>
      </c>
      <c r="CQ34" s="61">
        <v>1442415</v>
      </c>
      <c r="CR34" s="61">
        <v>1159442</v>
      </c>
      <c r="CS34" s="61">
        <v>751646</v>
      </c>
      <c r="CT34" s="61">
        <v>734289</v>
      </c>
      <c r="CU34" s="61">
        <v>1844960</v>
      </c>
      <c r="CV34" s="61">
        <v>678717</v>
      </c>
      <c r="CW34" s="61">
        <v>0</v>
      </c>
      <c r="CX34" s="61">
        <v>0</v>
      </c>
      <c r="CY34" s="61">
        <v>0</v>
      </c>
      <c r="CZ34" s="61">
        <v>0</v>
      </c>
      <c r="DA34" s="61">
        <v>1495704</v>
      </c>
      <c r="DB34" s="61">
        <v>631820</v>
      </c>
      <c r="DC34" s="61">
        <v>1125780</v>
      </c>
      <c r="DD34" s="61">
        <v>685209</v>
      </c>
      <c r="DE34" s="61">
        <v>1114073</v>
      </c>
      <c r="DF34" s="61">
        <v>917813</v>
      </c>
      <c r="DG34" s="61">
        <v>768043</v>
      </c>
      <c r="DH34" s="61">
        <v>910302</v>
      </c>
      <c r="DI34" s="61">
        <v>1024265.0000000001</v>
      </c>
      <c r="DJ34" s="61">
        <v>564490</v>
      </c>
      <c r="DK34" s="61">
        <v>840653</v>
      </c>
      <c r="DL34" s="61">
        <v>554073</v>
      </c>
      <c r="DM34" s="61">
        <v>0</v>
      </c>
      <c r="DN34" s="61">
        <v>0</v>
      </c>
      <c r="DO34" s="61">
        <v>0</v>
      </c>
      <c r="DP34" s="61">
        <v>0</v>
      </c>
      <c r="DQ34" s="61">
        <v>1036215.9999999999</v>
      </c>
      <c r="DR34" s="61">
        <v>776892</v>
      </c>
      <c r="DS34" s="61">
        <v>753010</v>
      </c>
      <c r="DT34" s="61">
        <v>1012033</v>
      </c>
      <c r="DU34" s="61">
        <v>1055611</v>
      </c>
      <c r="DV34" s="61">
        <v>821137</v>
      </c>
      <c r="DW34" s="61">
        <v>801099</v>
      </c>
      <c r="DX34" s="61">
        <v>851179</v>
      </c>
      <c r="DY34" s="61">
        <v>1238039</v>
      </c>
      <c r="DZ34" s="61">
        <v>558000</v>
      </c>
      <c r="EA34" s="61">
        <v>586161</v>
      </c>
      <c r="EB34" s="61">
        <v>733959</v>
      </c>
      <c r="EC34" s="61">
        <v>0</v>
      </c>
      <c r="ED34" s="61">
        <v>0</v>
      </c>
      <c r="EE34" s="61">
        <v>0</v>
      </c>
      <c r="EF34" s="61">
        <v>0</v>
      </c>
      <c r="EG34" s="61">
        <v>1313619</v>
      </c>
      <c r="EH34" s="61">
        <v>1069976</v>
      </c>
      <c r="EI34" s="61">
        <v>913825</v>
      </c>
      <c r="EJ34" s="61">
        <v>784349</v>
      </c>
      <c r="EK34" s="61">
        <v>790940</v>
      </c>
      <c r="EL34" s="61">
        <v>1346481</v>
      </c>
      <c r="EM34" s="61">
        <v>936906</v>
      </c>
      <c r="EN34" s="61">
        <v>648760</v>
      </c>
      <c r="EO34" s="61">
        <v>1249805</v>
      </c>
      <c r="EP34" s="61">
        <v>1016760</v>
      </c>
      <c r="EQ34" s="61">
        <v>913916</v>
      </c>
      <c r="ER34" s="61">
        <v>0</v>
      </c>
      <c r="ES34" s="61">
        <v>0</v>
      </c>
      <c r="ET34" s="61">
        <v>0</v>
      </c>
      <c r="EU34" s="61">
        <v>0</v>
      </c>
      <c r="EV34" s="61">
        <v>1203889</v>
      </c>
      <c r="EW34" s="61">
        <v>1472633</v>
      </c>
      <c r="EX34" s="61">
        <v>1599062</v>
      </c>
      <c r="EY34" s="61">
        <v>1839466</v>
      </c>
      <c r="EZ34" s="61">
        <v>1187843</v>
      </c>
      <c r="FA34" s="61">
        <v>1984718</v>
      </c>
      <c r="FB34" s="61">
        <v>2201217</v>
      </c>
      <c r="FC34" s="61">
        <v>1288610</v>
      </c>
      <c r="FD34" s="61">
        <v>760331</v>
      </c>
      <c r="FE34" s="61">
        <v>587910</v>
      </c>
      <c r="FF34" s="61">
        <v>1106598</v>
      </c>
      <c r="FG34" s="61">
        <v>0</v>
      </c>
      <c r="FH34" s="168">
        <v>0</v>
      </c>
      <c r="FI34" s="168">
        <v>0</v>
      </c>
      <c r="FJ34" s="61">
        <v>0</v>
      </c>
      <c r="FK34" s="61">
        <v>1647376</v>
      </c>
      <c r="FL34" s="61">
        <v>1859336</v>
      </c>
      <c r="FM34" s="61">
        <v>2317187</v>
      </c>
      <c r="FN34" s="61">
        <v>1877593</v>
      </c>
      <c r="FO34" s="61">
        <v>1082439</v>
      </c>
      <c r="FP34" s="61">
        <v>1770305</v>
      </c>
      <c r="FQ34" s="61">
        <v>1605560</v>
      </c>
      <c r="FR34" s="61">
        <v>1597957</v>
      </c>
      <c r="FS34" s="61">
        <v>1592086</v>
      </c>
      <c r="FT34" s="61">
        <v>2000890</v>
      </c>
      <c r="FU34" s="61">
        <v>1722992</v>
      </c>
      <c r="FV34" s="61">
        <v>0</v>
      </c>
      <c r="FW34" s="61">
        <v>0</v>
      </c>
      <c r="FX34" s="61">
        <v>0</v>
      </c>
      <c r="FY34" s="61">
        <v>0</v>
      </c>
      <c r="FZ34" s="61">
        <v>1819122</v>
      </c>
      <c r="GA34" s="61">
        <v>1227155</v>
      </c>
      <c r="GB34" s="61">
        <v>1951919</v>
      </c>
      <c r="GC34" s="61">
        <v>1252646</v>
      </c>
      <c r="GD34" s="61">
        <v>2908380</v>
      </c>
      <c r="GE34" s="61">
        <v>2775659</v>
      </c>
      <c r="GF34" s="61">
        <v>1751113</v>
      </c>
      <c r="GG34" s="61">
        <v>1331701</v>
      </c>
      <c r="GH34" s="61">
        <v>709570</v>
      </c>
      <c r="GI34" s="61">
        <v>353930</v>
      </c>
      <c r="GJ34" s="61">
        <v>2508209</v>
      </c>
      <c r="GK34" s="61"/>
      <c r="GL34" s="61">
        <f t="shared" si="0"/>
        <v>1641391.5833333333</v>
      </c>
      <c r="GM34" s="61">
        <f t="shared" si="1"/>
        <v>1629872.75</v>
      </c>
      <c r="GN34" s="61">
        <f t="shared" si="2"/>
        <v>1827464.75</v>
      </c>
      <c r="GO34" s="61">
        <f t="shared" si="3"/>
        <v>1350287</v>
      </c>
      <c r="GP34" s="61">
        <f t="shared" si="4"/>
        <v>1379792.5833333333</v>
      </c>
      <c r="GQ34" s="61">
        <f t="shared" si="5"/>
        <v>1096372.1666666667</v>
      </c>
      <c r="GR34" s="61">
        <f t="shared" si="6"/>
        <v>886018.75</v>
      </c>
      <c r="GS34" s="61">
        <f t="shared" si="7"/>
        <v>851944.66666666663</v>
      </c>
      <c r="GT34" s="61">
        <f t="shared" si="8"/>
        <v>998667</v>
      </c>
      <c r="GU34" s="61">
        <f t="shared" si="9"/>
        <v>1384752.4545454546</v>
      </c>
      <c r="GV34" s="61">
        <f t="shared" si="10"/>
        <v>1733974.6363636365</v>
      </c>
      <c r="GW34" s="61">
        <f t="shared" si="11"/>
        <v>1689945.8181818181</v>
      </c>
      <c r="GX34" t="s">
        <v>846</v>
      </c>
      <c r="GY34" s="3" t="s">
        <v>292</v>
      </c>
    </row>
    <row r="35" spans="2:207">
      <c r="D35" s="3" t="s">
        <v>293</v>
      </c>
      <c r="E35" s="61">
        <v>0</v>
      </c>
      <c r="F35" s="61">
        <v>0</v>
      </c>
      <c r="G35" s="61">
        <v>0</v>
      </c>
      <c r="H35" s="61">
        <v>0</v>
      </c>
      <c r="I35" s="61">
        <v>2122204</v>
      </c>
      <c r="J35" s="61">
        <v>2730060</v>
      </c>
      <c r="K35" s="61">
        <v>1746032</v>
      </c>
      <c r="L35" s="61">
        <v>967468</v>
      </c>
      <c r="M35" s="61">
        <v>1386484</v>
      </c>
      <c r="N35" s="61">
        <v>1767793</v>
      </c>
      <c r="O35" s="61">
        <v>1514693</v>
      </c>
      <c r="P35" s="61">
        <v>2727329</v>
      </c>
      <c r="Q35" s="61">
        <v>1789440</v>
      </c>
      <c r="R35" s="61">
        <v>3211313</v>
      </c>
      <c r="S35" s="61">
        <v>1376060</v>
      </c>
      <c r="T35" s="61">
        <v>2972414</v>
      </c>
      <c r="U35" s="61">
        <v>0</v>
      </c>
      <c r="V35" s="61">
        <v>0</v>
      </c>
      <c r="W35" s="61">
        <v>0</v>
      </c>
      <c r="X35" s="61">
        <v>0</v>
      </c>
      <c r="Y35" s="61">
        <v>3159206</v>
      </c>
      <c r="Z35" s="61">
        <v>1558548</v>
      </c>
      <c r="AA35" s="61">
        <v>1507011</v>
      </c>
      <c r="AB35" s="61">
        <v>2206058</v>
      </c>
      <c r="AC35" s="61">
        <v>806611</v>
      </c>
      <c r="AD35" s="61">
        <v>1141498</v>
      </c>
      <c r="AE35" s="61">
        <v>1594126</v>
      </c>
      <c r="AF35" s="61">
        <v>2885441</v>
      </c>
      <c r="AG35" s="61">
        <v>1516147</v>
      </c>
      <c r="AH35" s="61">
        <v>2321498</v>
      </c>
      <c r="AI35" s="61">
        <v>2740010</v>
      </c>
      <c r="AJ35" s="61">
        <v>1355785</v>
      </c>
      <c r="AK35" s="61">
        <v>0</v>
      </c>
      <c r="AL35" s="61">
        <v>0</v>
      </c>
      <c r="AM35" s="61">
        <v>0</v>
      </c>
      <c r="AN35" s="61">
        <v>0</v>
      </c>
      <c r="AO35" s="61">
        <v>2469028</v>
      </c>
      <c r="AP35" s="61">
        <v>3341763</v>
      </c>
      <c r="AQ35" s="61">
        <v>2312281</v>
      </c>
      <c r="AR35" s="61">
        <v>2604439</v>
      </c>
      <c r="AS35" s="61">
        <v>1267515</v>
      </c>
      <c r="AT35" s="61">
        <v>1749555</v>
      </c>
      <c r="AU35" s="61">
        <v>1840587</v>
      </c>
      <c r="AV35" s="61">
        <v>1659542</v>
      </c>
      <c r="AW35" s="61">
        <v>1798584</v>
      </c>
      <c r="AX35" s="61">
        <v>2373509</v>
      </c>
      <c r="AY35" s="61">
        <v>1920290</v>
      </c>
      <c r="AZ35" s="61">
        <v>2514690</v>
      </c>
      <c r="BA35" s="61">
        <v>0</v>
      </c>
      <c r="BB35" s="61">
        <v>0</v>
      </c>
      <c r="BC35" s="61">
        <v>0</v>
      </c>
      <c r="BD35" s="61">
        <v>0</v>
      </c>
      <c r="BE35" s="61">
        <v>717623</v>
      </c>
      <c r="BF35" s="61">
        <v>2228788</v>
      </c>
      <c r="BG35" s="61">
        <v>1716357</v>
      </c>
      <c r="BH35" s="61">
        <v>1099111</v>
      </c>
      <c r="BI35" s="61">
        <v>1125519</v>
      </c>
      <c r="BJ35" s="61">
        <v>2878634</v>
      </c>
      <c r="BK35" s="61">
        <v>1793001</v>
      </c>
      <c r="BL35" s="61">
        <v>1080964</v>
      </c>
      <c r="BM35" s="61">
        <v>1508631</v>
      </c>
      <c r="BN35" s="61">
        <v>1775876</v>
      </c>
      <c r="BO35" s="61">
        <v>1458220</v>
      </c>
      <c r="BP35" s="61">
        <v>1701841</v>
      </c>
      <c r="BQ35" s="61">
        <v>0</v>
      </c>
      <c r="BR35" s="61">
        <v>0</v>
      </c>
      <c r="BS35" s="61">
        <v>0</v>
      </c>
      <c r="BT35" s="61">
        <v>0</v>
      </c>
      <c r="BU35" s="61">
        <v>2382531</v>
      </c>
      <c r="BV35" s="61">
        <v>1214044</v>
      </c>
      <c r="BW35" s="61">
        <v>2036170</v>
      </c>
      <c r="BX35" s="61">
        <v>1662697</v>
      </c>
      <c r="BY35" s="61">
        <v>1261351</v>
      </c>
      <c r="BZ35" s="61">
        <v>1527931</v>
      </c>
      <c r="CA35" s="61">
        <v>1548027</v>
      </c>
      <c r="CB35" s="61">
        <v>2494052</v>
      </c>
      <c r="CC35" s="61">
        <v>2333042</v>
      </c>
      <c r="CD35" s="61">
        <v>2274279</v>
      </c>
      <c r="CE35" s="61">
        <v>1513923</v>
      </c>
      <c r="CF35" s="61">
        <v>810353</v>
      </c>
      <c r="CG35" s="61">
        <v>0</v>
      </c>
      <c r="CH35" s="61">
        <v>0</v>
      </c>
      <c r="CI35" s="61">
        <v>0</v>
      </c>
      <c r="CJ35" s="61">
        <v>0</v>
      </c>
      <c r="CK35" s="61">
        <v>1468962</v>
      </c>
      <c r="CL35" s="61">
        <v>851279</v>
      </c>
      <c r="CM35" s="61">
        <v>1746438</v>
      </c>
      <c r="CN35" s="61">
        <v>1472249</v>
      </c>
      <c r="CO35" s="61">
        <v>960357</v>
      </c>
      <c r="CP35" s="61">
        <v>1594253</v>
      </c>
      <c r="CQ35" s="61">
        <v>1708290</v>
      </c>
      <c r="CR35" s="61">
        <v>1501712</v>
      </c>
      <c r="CS35" s="61">
        <v>887120</v>
      </c>
      <c r="CT35" s="61">
        <v>916047</v>
      </c>
      <c r="CU35" s="61">
        <v>1312000</v>
      </c>
      <c r="CV35" s="61">
        <v>731878</v>
      </c>
      <c r="CW35" s="61">
        <v>0</v>
      </c>
      <c r="CX35" s="61">
        <v>0</v>
      </c>
      <c r="CY35" s="61">
        <v>0</v>
      </c>
      <c r="CZ35" s="61">
        <v>0</v>
      </c>
      <c r="DA35" s="61">
        <v>1834486</v>
      </c>
      <c r="DB35" s="61">
        <v>825270</v>
      </c>
      <c r="DC35" s="61">
        <v>1420508</v>
      </c>
      <c r="DD35" s="61">
        <v>806461</v>
      </c>
      <c r="DE35" s="61">
        <v>1300116</v>
      </c>
      <c r="DF35" s="61">
        <v>1179361</v>
      </c>
      <c r="DG35" s="61">
        <v>845158</v>
      </c>
      <c r="DH35" s="61">
        <v>1044694.9999999999</v>
      </c>
      <c r="DI35" s="61">
        <v>1392292</v>
      </c>
      <c r="DJ35" s="61">
        <v>735630</v>
      </c>
      <c r="DK35" s="61">
        <v>1274486.5</v>
      </c>
      <c r="DL35" s="61">
        <v>567543</v>
      </c>
      <c r="DM35" s="61">
        <v>0</v>
      </c>
      <c r="DN35" s="61">
        <v>0</v>
      </c>
      <c r="DO35" s="61">
        <v>0</v>
      </c>
      <c r="DP35" s="61">
        <v>0</v>
      </c>
      <c r="DQ35" s="61">
        <v>1329310</v>
      </c>
      <c r="DR35" s="61">
        <v>1026039</v>
      </c>
      <c r="DS35" s="61">
        <v>944656</v>
      </c>
      <c r="DT35" s="61">
        <v>1228407</v>
      </c>
      <c r="DU35" s="61">
        <v>1360098</v>
      </c>
      <c r="DV35" s="61">
        <v>995546</v>
      </c>
      <c r="DW35" s="61">
        <v>983935</v>
      </c>
      <c r="DX35" s="61">
        <v>1073840</v>
      </c>
      <c r="DY35" s="61">
        <v>1574538</v>
      </c>
      <c r="DZ35" s="61">
        <v>731520</v>
      </c>
      <c r="EA35" s="61">
        <v>864364</v>
      </c>
      <c r="EB35" s="61">
        <v>927401</v>
      </c>
      <c r="EC35" s="61">
        <v>0</v>
      </c>
      <c r="ED35" s="61">
        <v>0</v>
      </c>
      <c r="EE35" s="61">
        <v>0</v>
      </c>
      <c r="EF35" s="61">
        <v>0</v>
      </c>
      <c r="EG35" s="61">
        <v>1634396</v>
      </c>
      <c r="EH35" s="61">
        <v>1293418</v>
      </c>
      <c r="EI35" s="61">
        <v>1072643</v>
      </c>
      <c r="EJ35" s="61">
        <v>1061617</v>
      </c>
      <c r="EK35" s="61">
        <v>1030856</v>
      </c>
      <c r="EL35" s="61">
        <v>1695908</v>
      </c>
      <c r="EM35" s="61">
        <v>1215199</v>
      </c>
      <c r="EN35" s="61">
        <v>872761</v>
      </c>
      <c r="EO35" s="61">
        <v>1492634</v>
      </c>
      <c r="EP35" s="61">
        <v>1273220</v>
      </c>
      <c r="EQ35" s="61">
        <v>1109166.67</v>
      </c>
      <c r="ER35" s="61">
        <v>0</v>
      </c>
      <c r="ES35" s="61">
        <v>0</v>
      </c>
      <c r="ET35" s="61">
        <v>0</v>
      </c>
      <c r="EU35" s="61">
        <v>0</v>
      </c>
      <c r="EV35" s="61">
        <v>1449232</v>
      </c>
      <c r="EW35" s="61">
        <v>1952934</v>
      </c>
      <c r="EX35" s="61">
        <v>1994003</v>
      </c>
      <c r="EY35" s="61">
        <v>2153443</v>
      </c>
      <c r="EZ35" s="61">
        <v>1480046</v>
      </c>
      <c r="FA35" s="61">
        <v>2276065</v>
      </c>
      <c r="FB35" s="61">
        <v>2758140</v>
      </c>
      <c r="FC35" s="61">
        <v>1556127</v>
      </c>
      <c r="FD35" s="61">
        <v>1051307</v>
      </c>
      <c r="FE35" s="61">
        <v>936330</v>
      </c>
      <c r="FF35" s="61">
        <v>1467017</v>
      </c>
      <c r="FG35" s="61">
        <v>0</v>
      </c>
      <c r="FH35" s="168">
        <v>0</v>
      </c>
      <c r="FI35" s="168">
        <v>0</v>
      </c>
      <c r="FJ35" s="61">
        <v>0</v>
      </c>
      <c r="FK35" s="61">
        <v>1726538</v>
      </c>
      <c r="FL35" s="61">
        <v>2069215.0000000002</v>
      </c>
      <c r="FM35" s="61">
        <v>3123794</v>
      </c>
      <c r="FN35" s="61">
        <v>2045442</v>
      </c>
      <c r="FO35" s="61">
        <v>1390031</v>
      </c>
      <c r="FP35" s="61">
        <v>1931941</v>
      </c>
      <c r="FQ35" s="61">
        <v>1900535</v>
      </c>
      <c r="FR35" s="61">
        <v>2053569</v>
      </c>
      <c r="FS35" s="61">
        <v>1687946</v>
      </c>
      <c r="FT35" s="61">
        <v>2240000</v>
      </c>
      <c r="FU35" s="61">
        <v>1928799</v>
      </c>
      <c r="FV35" s="61">
        <v>0</v>
      </c>
      <c r="FW35" s="61">
        <v>0</v>
      </c>
      <c r="FX35" s="61">
        <v>0</v>
      </c>
      <c r="FY35" s="61">
        <v>0</v>
      </c>
      <c r="FZ35" s="61">
        <v>2186055</v>
      </c>
      <c r="GA35" s="61">
        <v>1673084</v>
      </c>
      <c r="GB35" s="61">
        <v>2302198</v>
      </c>
      <c r="GC35" s="61">
        <v>1590615</v>
      </c>
      <c r="GD35" s="61">
        <v>3309209</v>
      </c>
      <c r="GE35" s="61">
        <v>3207683</v>
      </c>
      <c r="GF35" s="61">
        <v>2274330</v>
      </c>
      <c r="GG35" s="61">
        <v>1440571</v>
      </c>
      <c r="GH35" s="61">
        <v>1923586.1666670002</v>
      </c>
      <c r="GI35" s="61">
        <v>575860</v>
      </c>
      <c r="GJ35" s="61">
        <v>2696004</v>
      </c>
      <c r="GK35" s="61"/>
      <c r="GL35" s="61">
        <f t="shared" si="0"/>
        <v>2025940.8333333333</v>
      </c>
      <c r="GM35" s="61">
        <f t="shared" si="1"/>
        <v>1899328.25</v>
      </c>
      <c r="GN35" s="61">
        <f t="shared" si="2"/>
        <v>2154315.25</v>
      </c>
      <c r="GO35" s="61">
        <f t="shared" si="3"/>
        <v>1590380.4166666667</v>
      </c>
      <c r="GP35" s="61">
        <f t="shared" si="4"/>
        <v>1754866.6666666667</v>
      </c>
      <c r="GQ35" s="61">
        <f t="shared" si="5"/>
        <v>1262548.75</v>
      </c>
      <c r="GR35" s="61">
        <f t="shared" si="6"/>
        <v>1102167.2083333333</v>
      </c>
      <c r="GS35" s="61">
        <f t="shared" si="7"/>
        <v>1086637.8333333333</v>
      </c>
      <c r="GT35" s="61">
        <f t="shared" si="8"/>
        <v>1250165.3336363637</v>
      </c>
      <c r="GU35" s="61">
        <f t="shared" si="9"/>
        <v>1734058.5454545454</v>
      </c>
      <c r="GV35" s="61">
        <f t="shared" si="10"/>
        <v>2008891.8181818181</v>
      </c>
      <c r="GW35" s="61">
        <f t="shared" si="11"/>
        <v>2107199.5606060908</v>
      </c>
      <c r="GX35" t="s">
        <v>846</v>
      </c>
      <c r="GY35" s="3" t="s">
        <v>293</v>
      </c>
    </row>
    <row r="36" spans="2:207">
      <c r="D36" s="3" t="s">
        <v>286</v>
      </c>
      <c r="E36" s="61"/>
      <c r="F36" s="61"/>
      <c r="G36" s="61"/>
      <c r="H36" s="61">
        <v>0</v>
      </c>
      <c r="I36" s="61">
        <v>2394196</v>
      </c>
      <c r="J36" s="61">
        <v>2654928</v>
      </c>
      <c r="K36" s="61">
        <v>1641683</v>
      </c>
      <c r="L36" s="61">
        <v>1478058</v>
      </c>
      <c r="M36" s="61">
        <v>2094607</v>
      </c>
      <c r="N36" s="61">
        <v>3214236</v>
      </c>
      <c r="O36" s="61">
        <v>2127660</v>
      </c>
      <c r="P36" s="61">
        <v>2378227</v>
      </c>
      <c r="Q36" s="61">
        <v>2303624</v>
      </c>
      <c r="R36" s="61">
        <v>2032816</v>
      </c>
      <c r="S36" s="61">
        <v>2134700</v>
      </c>
      <c r="T36" s="61">
        <v>3406110</v>
      </c>
      <c r="U36" s="61"/>
      <c r="V36" s="61"/>
      <c r="W36" s="61"/>
      <c r="X36" s="61">
        <v>0</v>
      </c>
      <c r="Y36" s="61">
        <v>1703979</v>
      </c>
      <c r="Z36" s="61">
        <v>1518741</v>
      </c>
      <c r="AA36" s="61">
        <v>1918582</v>
      </c>
      <c r="AB36" s="61">
        <v>1202095</v>
      </c>
      <c r="AC36" s="61">
        <v>1879976</v>
      </c>
      <c r="AD36" s="61">
        <v>2825926</v>
      </c>
      <c r="AE36" s="61">
        <v>2232130</v>
      </c>
      <c r="AF36" s="61">
        <v>2373499</v>
      </c>
      <c r="AG36" s="61">
        <v>1232721</v>
      </c>
      <c r="AH36" s="61">
        <v>2307344</v>
      </c>
      <c r="AI36" s="61">
        <v>2819000</v>
      </c>
      <c r="AJ36" s="61">
        <v>1661444</v>
      </c>
      <c r="AK36" s="61"/>
      <c r="AL36" s="61"/>
      <c r="AM36" s="61"/>
      <c r="AN36" s="61">
        <v>0</v>
      </c>
      <c r="AO36" s="61">
        <v>2454243</v>
      </c>
      <c r="AP36" s="61">
        <v>3556876</v>
      </c>
      <c r="AQ36" s="61">
        <v>4080114</v>
      </c>
      <c r="AR36" s="61">
        <v>2973957</v>
      </c>
      <c r="AS36" s="61">
        <v>2106666</v>
      </c>
      <c r="AT36" s="61">
        <v>2738953</v>
      </c>
      <c r="AU36" s="61">
        <v>1880309</v>
      </c>
      <c r="AV36" s="61">
        <v>3006333</v>
      </c>
      <c r="AW36" s="61">
        <v>3305707</v>
      </c>
      <c r="AX36" s="61">
        <v>2196726</v>
      </c>
      <c r="AY36" s="61">
        <v>2623710</v>
      </c>
      <c r="AZ36" s="61">
        <v>2569529</v>
      </c>
      <c r="BA36" s="61"/>
      <c r="BB36" s="61"/>
      <c r="BC36" s="61"/>
      <c r="BD36" s="61">
        <v>0</v>
      </c>
      <c r="BE36" s="61">
        <v>1201927</v>
      </c>
      <c r="BF36" s="61">
        <v>2838924</v>
      </c>
      <c r="BG36" s="61">
        <v>2644161</v>
      </c>
      <c r="BH36" s="61">
        <v>1757700</v>
      </c>
      <c r="BI36" s="61">
        <v>2624270</v>
      </c>
      <c r="BJ36" s="61">
        <v>2716790</v>
      </c>
      <c r="BK36" s="61">
        <v>1592182</v>
      </c>
      <c r="BL36" s="61">
        <v>2790203</v>
      </c>
      <c r="BM36" s="61">
        <v>2390393</v>
      </c>
      <c r="BN36" s="61">
        <v>2962935</v>
      </c>
      <c r="BO36" s="61">
        <v>2581300</v>
      </c>
      <c r="BP36" s="61">
        <v>2000000</v>
      </c>
      <c r="BQ36" s="61"/>
      <c r="BR36" s="61"/>
      <c r="BS36" s="61"/>
      <c r="BT36" s="61">
        <v>0</v>
      </c>
      <c r="BU36" s="61">
        <v>3106216</v>
      </c>
      <c r="BV36" s="61">
        <v>2208428</v>
      </c>
      <c r="BW36" s="61">
        <v>3049118</v>
      </c>
      <c r="BX36" s="61">
        <v>2458833</v>
      </c>
      <c r="BY36" s="61">
        <v>1990460</v>
      </c>
      <c r="BZ36" s="61">
        <v>1999180</v>
      </c>
      <c r="CA36" s="61">
        <v>2733202</v>
      </c>
      <c r="CB36" s="61">
        <v>3447633</v>
      </c>
      <c r="CC36" s="61">
        <v>2989854</v>
      </c>
      <c r="CD36" s="61">
        <v>3556591</v>
      </c>
      <c r="CE36" s="61">
        <v>2205246</v>
      </c>
      <c r="CF36" s="61">
        <v>1590236</v>
      </c>
      <c r="CG36" s="61"/>
      <c r="CH36" s="61"/>
      <c r="CI36" s="61"/>
      <c r="CJ36" s="61">
        <v>0</v>
      </c>
      <c r="CK36" s="61">
        <v>1098273</v>
      </c>
      <c r="CL36" s="61">
        <v>2219113</v>
      </c>
      <c r="CM36" s="61">
        <v>2284879</v>
      </c>
      <c r="CN36" s="61">
        <v>2577442</v>
      </c>
      <c r="CO36" s="61">
        <v>2028352</v>
      </c>
      <c r="CP36" s="61">
        <v>1761914</v>
      </c>
      <c r="CQ36" s="61">
        <v>3120190</v>
      </c>
      <c r="CR36" s="61">
        <v>1999028</v>
      </c>
      <c r="CS36" s="61">
        <v>1823158</v>
      </c>
      <c r="CT36" s="61">
        <v>1753532</v>
      </c>
      <c r="CU36" s="61">
        <v>1032630</v>
      </c>
      <c r="CV36" s="61">
        <v>1295613</v>
      </c>
      <c r="CW36" s="61"/>
      <c r="CX36" s="61"/>
      <c r="CY36" s="61"/>
      <c r="CZ36" s="61">
        <v>0</v>
      </c>
      <c r="DA36" s="61">
        <v>1779259</v>
      </c>
      <c r="DB36" s="61">
        <v>1725480</v>
      </c>
      <c r="DC36" s="61">
        <v>2039969</v>
      </c>
      <c r="DD36" s="61">
        <v>2298538</v>
      </c>
      <c r="DE36" s="61">
        <v>2492022</v>
      </c>
      <c r="DF36" s="61">
        <v>1739875</v>
      </c>
      <c r="DG36" s="61">
        <v>1483995</v>
      </c>
      <c r="DH36" s="61">
        <v>2872110</v>
      </c>
      <c r="DI36" s="61">
        <v>1819884</v>
      </c>
      <c r="DJ36" s="61">
        <v>2263550</v>
      </c>
      <c r="DK36" s="61">
        <v>2141372.17</v>
      </c>
      <c r="DL36" s="61">
        <v>1176094</v>
      </c>
      <c r="DM36" s="61"/>
      <c r="DN36" s="61"/>
      <c r="DO36" s="61"/>
      <c r="DP36" s="61">
        <v>0</v>
      </c>
      <c r="DQ36" s="61">
        <v>2021632</v>
      </c>
      <c r="DR36" s="61">
        <v>1893215</v>
      </c>
      <c r="DS36" s="61">
        <v>1763094</v>
      </c>
      <c r="DT36" s="61">
        <v>2258757</v>
      </c>
      <c r="DU36" s="61">
        <v>1701739</v>
      </c>
      <c r="DV36" s="61">
        <v>1588240</v>
      </c>
      <c r="DW36" s="61">
        <v>2154832</v>
      </c>
      <c r="DX36" s="61">
        <v>1726569</v>
      </c>
      <c r="DY36" s="61">
        <v>2011302</v>
      </c>
      <c r="DZ36" s="61">
        <v>2040000</v>
      </c>
      <c r="EA36" s="61">
        <v>1788477</v>
      </c>
      <c r="EB36" s="61">
        <v>1844509</v>
      </c>
      <c r="EC36" s="61"/>
      <c r="ED36" s="61"/>
      <c r="EE36" s="61"/>
      <c r="EF36" s="61">
        <v>0</v>
      </c>
      <c r="EG36" s="61">
        <v>3026106</v>
      </c>
      <c r="EH36" s="61">
        <v>2143648</v>
      </c>
      <c r="EI36" s="61">
        <v>1709825</v>
      </c>
      <c r="EJ36" s="61">
        <v>2109929</v>
      </c>
      <c r="EK36" s="61">
        <v>1736445</v>
      </c>
      <c r="EL36" s="61">
        <v>2475367</v>
      </c>
      <c r="EM36" s="61">
        <v>2441273</v>
      </c>
      <c r="EN36" s="61">
        <v>2134235</v>
      </c>
      <c r="EO36" s="61">
        <v>2609767</v>
      </c>
      <c r="EP36" s="61">
        <v>171190</v>
      </c>
      <c r="EQ36" s="61">
        <v>2006893</v>
      </c>
      <c r="ER36" s="61"/>
      <c r="ES36" s="61"/>
      <c r="ET36" s="61"/>
      <c r="EU36" s="61">
        <v>0</v>
      </c>
      <c r="EV36" s="61">
        <v>2817601</v>
      </c>
      <c r="EW36" s="61">
        <v>1793045</v>
      </c>
      <c r="EX36" s="61">
        <v>3572652</v>
      </c>
      <c r="EY36" s="61">
        <v>2341928</v>
      </c>
      <c r="EZ36" s="61">
        <v>2947858</v>
      </c>
      <c r="FA36" s="61">
        <v>2578693</v>
      </c>
      <c r="FB36" s="61">
        <v>3152555</v>
      </c>
      <c r="FC36" s="61">
        <v>2082408</v>
      </c>
      <c r="FD36" s="61">
        <v>2243428</v>
      </c>
      <c r="FE36" s="61">
        <v>1998260</v>
      </c>
      <c r="FF36" s="61">
        <v>2763248</v>
      </c>
      <c r="FG36" s="61"/>
      <c r="FH36" s="168"/>
      <c r="FI36" s="168"/>
      <c r="FJ36" s="61">
        <v>0</v>
      </c>
      <c r="FK36" s="61">
        <v>2869850</v>
      </c>
      <c r="FL36" s="61">
        <v>2190940</v>
      </c>
      <c r="FM36" s="61">
        <v>2323227</v>
      </c>
      <c r="FN36" s="61">
        <v>1575587</v>
      </c>
      <c r="FO36" s="61">
        <v>2688405</v>
      </c>
      <c r="FP36" s="61">
        <v>1893792</v>
      </c>
      <c r="FQ36" s="61">
        <v>2011253</v>
      </c>
      <c r="FR36" s="61">
        <v>2620499</v>
      </c>
      <c r="FS36" s="61">
        <v>3044194</v>
      </c>
      <c r="FT36" s="61">
        <v>1992070</v>
      </c>
      <c r="FU36" s="61">
        <v>2998169</v>
      </c>
      <c r="FV36" s="61"/>
      <c r="FW36" s="61"/>
      <c r="FX36" s="61"/>
      <c r="FY36" s="61">
        <v>0</v>
      </c>
      <c r="FZ36" s="61">
        <v>2174830</v>
      </c>
      <c r="GA36" s="61">
        <v>1423601</v>
      </c>
      <c r="GB36" s="61">
        <v>2232728</v>
      </c>
      <c r="GC36" s="61">
        <v>1844601</v>
      </c>
      <c r="GD36" s="61">
        <v>3522263</v>
      </c>
      <c r="GE36" s="61">
        <v>2677920</v>
      </c>
      <c r="GF36" s="61">
        <v>2573383</v>
      </c>
      <c r="GG36" s="61">
        <v>2642088</v>
      </c>
      <c r="GH36" s="61">
        <v>2217895.3330000001</v>
      </c>
      <c r="GI36" s="61">
        <v>2754500</v>
      </c>
      <c r="GJ36" s="61">
        <v>2341847</v>
      </c>
      <c r="GK36" s="61"/>
      <c r="GL36" s="61">
        <f t="shared" si="0"/>
        <v>2321737.0833333335</v>
      </c>
      <c r="GM36" s="61">
        <f t="shared" si="1"/>
        <v>1972953.0833333333</v>
      </c>
      <c r="GN36" s="61">
        <f t="shared" si="2"/>
        <v>2791093.5833333335</v>
      </c>
      <c r="GO36" s="61">
        <f t="shared" si="3"/>
        <v>2341732.0833333335</v>
      </c>
      <c r="GP36" s="61">
        <f t="shared" si="4"/>
        <v>2611249.75</v>
      </c>
      <c r="GQ36" s="61">
        <f t="shared" si="5"/>
        <v>1916177</v>
      </c>
      <c r="GR36" s="61">
        <f t="shared" si="6"/>
        <v>1986012.3475000001</v>
      </c>
      <c r="GS36" s="61">
        <f t="shared" si="7"/>
        <v>1899363.8333333333</v>
      </c>
      <c r="GT36" s="61">
        <f t="shared" si="8"/>
        <v>2051334.3636363635</v>
      </c>
      <c r="GU36" s="61">
        <f t="shared" si="9"/>
        <v>2571970.5454545454</v>
      </c>
      <c r="GV36" s="61">
        <f t="shared" si="10"/>
        <v>2382544.1818181816</v>
      </c>
      <c r="GW36" s="61">
        <f t="shared" si="11"/>
        <v>2400514.212090909</v>
      </c>
      <c r="GX36" t="s">
        <v>846</v>
      </c>
      <c r="GY36" s="3" t="s">
        <v>286</v>
      </c>
    </row>
    <row r="37" spans="2:207">
      <c r="D37" s="3" t="s">
        <v>287</v>
      </c>
      <c r="E37" s="61">
        <v>0</v>
      </c>
      <c r="F37" s="61">
        <v>0</v>
      </c>
      <c r="G37" s="61">
        <v>0</v>
      </c>
      <c r="H37" s="61">
        <v>0</v>
      </c>
      <c r="I37" s="61">
        <v>2957573</v>
      </c>
      <c r="J37" s="61">
        <v>2608350</v>
      </c>
      <c r="K37" s="61">
        <v>1590420</v>
      </c>
      <c r="L37" s="61">
        <v>1320624</v>
      </c>
      <c r="M37" s="61">
        <v>1991570</v>
      </c>
      <c r="N37" s="61">
        <v>2830948</v>
      </c>
      <c r="O37" s="61">
        <v>1917065</v>
      </c>
      <c r="P37" s="61">
        <v>2203646</v>
      </c>
      <c r="Q37" s="61">
        <v>2128517</v>
      </c>
      <c r="R37" s="61">
        <v>1925064</v>
      </c>
      <c r="S37" s="61">
        <v>2227340</v>
      </c>
      <c r="T37" s="61">
        <v>3286310</v>
      </c>
      <c r="U37" s="61">
        <v>0</v>
      </c>
      <c r="V37" s="61">
        <v>0</v>
      </c>
      <c r="W37" s="61">
        <v>0</v>
      </c>
      <c r="X37" s="61">
        <v>0</v>
      </c>
      <c r="Y37" s="61">
        <v>1959992</v>
      </c>
      <c r="Z37" s="61">
        <v>1536497</v>
      </c>
      <c r="AA37" s="61">
        <v>1859293</v>
      </c>
      <c r="AB37" s="61">
        <v>1075603</v>
      </c>
      <c r="AC37" s="61">
        <v>1907058</v>
      </c>
      <c r="AD37" s="61">
        <v>2846020</v>
      </c>
      <c r="AE37" s="61">
        <v>2001601</v>
      </c>
      <c r="AF37" s="61">
        <v>2237513</v>
      </c>
      <c r="AG37" s="61">
        <v>1058300</v>
      </c>
      <c r="AH37" s="61">
        <v>2158025</v>
      </c>
      <c r="AI37" s="61">
        <v>2839000</v>
      </c>
      <c r="AJ37" s="61">
        <v>1322276</v>
      </c>
      <c r="AK37" s="61">
        <v>0</v>
      </c>
      <c r="AL37" s="61">
        <v>0</v>
      </c>
      <c r="AM37" s="61">
        <v>0</v>
      </c>
      <c r="AN37" s="61">
        <v>0</v>
      </c>
      <c r="AO37" s="61">
        <v>2846481</v>
      </c>
      <c r="AP37" s="61">
        <v>3277055</v>
      </c>
      <c r="AQ37" s="61">
        <v>3816962</v>
      </c>
      <c r="AR37" s="61">
        <v>2918562</v>
      </c>
      <c r="AS37" s="61">
        <v>2118781</v>
      </c>
      <c r="AT37" s="61">
        <v>2662391</v>
      </c>
      <c r="AU37" s="61">
        <v>1886017</v>
      </c>
      <c r="AV37" s="61">
        <v>2941918</v>
      </c>
      <c r="AW37" s="61">
        <v>3213446</v>
      </c>
      <c r="AX37" s="61">
        <v>2627612</v>
      </c>
      <c r="AY37" s="61">
        <v>2771870</v>
      </c>
      <c r="AZ37" s="61">
        <v>2513064</v>
      </c>
      <c r="BA37" s="61">
        <v>0</v>
      </c>
      <c r="BB37" s="61">
        <v>0</v>
      </c>
      <c r="BC37" s="61">
        <v>0</v>
      </c>
      <c r="BD37" s="61">
        <v>0</v>
      </c>
      <c r="BE37" s="61">
        <v>1238430</v>
      </c>
      <c r="BF37" s="61">
        <v>3061680</v>
      </c>
      <c r="BG37" s="61">
        <v>2663267</v>
      </c>
      <c r="BH37" s="61">
        <v>1774149</v>
      </c>
      <c r="BI37" s="61">
        <v>2338849</v>
      </c>
      <c r="BJ37" s="61">
        <v>2715951</v>
      </c>
      <c r="BK37" s="61">
        <v>1566233</v>
      </c>
      <c r="BL37" s="61">
        <v>2640513</v>
      </c>
      <c r="BM37" s="61">
        <v>2465672</v>
      </c>
      <c r="BN37" s="61">
        <v>2945367</v>
      </c>
      <c r="BO37" s="61">
        <v>3087500</v>
      </c>
      <c r="BP37" s="61">
        <v>2300000</v>
      </c>
      <c r="BQ37" s="61">
        <v>0</v>
      </c>
      <c r="BR37" s="61">
        <v>0</v>
      </c>
      <c r="BS37" s="61">
        <v>0</v>
      </c>
      <c r="BT37" s="61">
        <v>0</v>
      </c>
      <c r="BU37" s="61">
        <v>2924570</v>
      </c>
      <c r="BV37" s="61">
        <v>2258927</v>
      </c>
      <c r="BW37" s="61">
        <v>3275282</v>
      </c>
      <c r="BX37" s="61">
        <v>2462883</v>
      </c>
      <c r="BY37" s="61">
        <v>1551972</v>
      </c>
      <c r="BZ37" s="61">
        <v>2036121</v>
      </c>
      <c r="CA37" s="61">
        <v>2536665</v>
      </c>
      <c r="CB37" s="61">
        <v>3503735</v>
      </c>
      <c r="CC37" s="61">
        <v>2863367</v>
      </c>
      <c r="CD37" s="61">
        <v>3505479</v>
      </c>
      <c r="CE37" s="61">
        <v>2064430</v>
      </c>
      <c r="CF37" s="61">
        <v>1803081</v>
      </c>
      <c r="CG37" s="61">
        <v>0</v>
      </c>
      <c r="CH37" s="61">
        <v>0</v>
      </c>
      <c r="CI37" s="61">
        <v>0</v>
      </c>
      <c r="CJ37" s="61">
        <v>0</v>
      </c>
      <c r="CK37" s="61">
        <v>1107805</v>
      </c>
      <c r="CL37" s="61">
        <v>2080667</v>
      </c>
      <c r="CM37" s="61">
        <v>2256698</v>
      </c>
      <c r="CN37" s="61">
        <v>2611044</v>
      </c>
      <c r="CO37" s="61">
        <v>1548846</v>
      </c>
      <c r="CP37" s="61">
        <v>1396001</v>
      </c>
      <c r="CQ37" s="61">
        <v>2738826</v>
      </c>
      <c r="CR37" s="61">
        <v>1956756</v>
      </c>
      <c r="CS37" s="61">
        <v>1729578</v>
      </c>
      <c r="CT37" s="61">
        <v>1548419</v>
      </c>
      <c r="CU37" s="61">
        <v>954090</v>
      </c>
      <c r="CV37" s="61">
        <v>1348679</v>
      </c>
      <c r="CW37" s="61">
        <v>0</v>
      </c>
      <c r="CX37" s="61">
        <v>0</v>
      </c>
      <c r="CY37" s="61">
        <v>0</v>
      </c>
      <c r="CZ37" s="61">
        <v>0</v>
      </c>
      <c r="DA37" s="61">
        <v>1521291</v>
      </c>
      <c r="DB37" s="61">
        <v>1770040</v>
      </c>
      <c r="DC37" s="61">
        <v>2030907</v>
      </c>
      <c r="DD37" s="61">
        <v>1898573</v>
      </c>
      <c r="DE37" s="61">
        <v>2272635</v>
      </c>
      <c r="DF37" s="61">
        <v>1258641</v>
      </c>
      <c r="DG37" s="61">
        <v>1371161</v>
      </c>
      <c r="DH37" s="61">
        <v>2517074</v>
      </c>
      <c r="DI37" s="61">
        <v>1832857</v>
      </c>
      <c r="DJ37" s="61">
        <v>2179260</v>
      </c>
      <c r="DK37" s="61">
        <v>2169105.67</v>
      </c>
      <c r="DL37" s="61">
        <v>1247976</v>
      </c>
      <c r="DM37" s="61">
        <v>0</v>
      </c>
      <c r="DN37" s="61">
        <v>0</v>
      </c>
      <c r="DO37" s="61">
        <v>0</v>
      </c>
      <c r="DP37" s="61">
        <v>0</v>
      </c>
      <c r="DQ37" s="61">
        <v>1574813</v>
      </c>
      <c r="DR37" s="61">
        <v>1709035</v>
      </c>
      <c r="DS37" s="61">
        <v>1683027</v>
      </c>
      <c r="DT37" s="61">
        <v>2007936</v>
      </c>
      <c r="DU37" s="61">
        <v>1671782</v>
      </c>
      <c r="DV37" s="61">
        <v>1342070</v>
      </c>
      <c r="DW37" s="61">
        <v>2050572</v>
      </c>
      <c r="DX37" s="61">
        <v>1535232</v>
      </c>
      <c r="DY37" s="61">
        <v>2055072</v>
      </c>
      <c r="DZ37" s="61">
        <v>1897950</v>
      </c>
      <c r="EA37" s="61">
        <v>1806769</v>
      </c>
      <c r="EB37" s="61">
        <v>1750672</v>
      </c>
      <c r="EC37" s="61">
        <v>0</v>
      </c>
      <c r="ED37" s="61">
        <v>0</v>
      </c>
      <c r="EE37" s="61">
        <v>0</v>
      </c>
      <c r="EF37" s="61">
        <v>0</v>
      </c>
      <c r="EG37" s="61">
        <v>2335925</v>
      </c>
      <c r="EH37" s="61">
        <v>2116328</v>
      </c>
      <c r="EI37" s="61">
        <v>1776016</v>
      </c>
      <c r="EJ37" s="61">
        <v>2063935</v>
      </c>
      <c r="EK37" s="61">
        <v>1739042</v>
      </c>
      <c r="EL37" s="61">
        <v>2523675</v>
      </c>
      <c r="EM37" s="61">
        <v>2211573</v>
      </c>
      <c r="EN37" s="61">
        <v>2157605</v>
      </c>
      <c r="EO37" s="61">
        <v>2462754</v>
      </c>
      <c r="EP37" s="61">
        <v>191040</v>
      </c>
      <c r="EQ37" s="61">
        <v>1843670.67</v>
      </c>
      <c r="ER37" s="61">
        <v>0</v>
      </c>
      <c r="ES37" s="61">
        <v>0</v>
      </c>
      <c r="ET37" s="61">
        <v>0</v>
      </c>
      <c r="EU37" s="61">
        <v>0</v>
      </c>
      <c r="EV37" s="61">
        <v>2814527</v>
      </c>
      <c r="EW37" s="61">
        <v>1710435</v>
      </c>
      <c r="EX37" s="61">
        <v>3653244</v>
      </c>
      <c r="EY37" s="61">
        <v>2957636</v>
      </c>
      <c r="EZ37" s="61">
        <v>2817143</v>
      </c>
      <c r="FA37" s="61">
        <v>2569201</v>
      </c>
      <c r="FB37" s="61">
        <v>2986157</v>
      </c>
      <c r="FC37" s="61">
        <v>2126817</v>
      </c>
      <c r="FD37" s="61">
        <v>2149557</v>
      </c>
      <c r="FE37" s="61">
        <v>1898990</v>
      </c>
      <c r="FF37" s="61">
        <v>2933928</v>
      </c>
      <c r="FG37" s="61">
        <v>0</v>
      </c>
      <c r="FH37" s="168">
        <v>0</v>
      </c>
      <c r="FI37" s="168">
        <v>0</v>
      </c>
      <c r="FJ37" s="61">
        <v>0</v>
      </c>
      <c r="FK37" s="61">
        <v>3447823</v>
      </c>
      <c r="FL37" s="61">
        <v>2351081</v>
      </c>
      <c r="FM37" s="61">
        <v>2390841</v>
      </c>
      <c r="FN37" s="61">
        <v>1516616</v>
      </c>
      <c r="FO37" s="61">
        <v>2571864</v>
      </c>
      <c r="FP37" s="61">
        <v>2048000</v>
      </c>
      <c r="FQ37" s="61">
        <v>1927685</v>
      </c>
      <c r="FR37" s="61">
        <v>2495580</v>
      </c>
      <c r="FS37" s="61">
        <v>2527094</v>
      </c>
      <c r="FT37" s="61">
        <v>1908460</v>
      </c>
      <c r="FU37" s="61">
        <v>3159412</v>
      </c>
      <c r="FV37" s="61">
        <v>0</v>
      </c>
      <c r="FW37" s="61">
        <v>0</v>
      </c>
      <c r="FX37" s="61">
        <v>0</v>
      </c>
      <c r="FY37" s="61">
        <v>0</v>
      </c>
      <c r="FZ37" s="61">
        <v>2192179</v>
      </c>
      <c r="GA37" s="61">
        <v>1449799</v>
      </c>
      <c r="GB37" s="61">
        <v>2114222</v>
      </c>
      <c r="GC37" s="61">
        <v>1882060</v>
      </c>
      <c r="GD37" s="61">
        <v>3094089</v>
      </c>
      <c r="GE37" s="61">
        <v>2639396</v>
      </c>
      <c r="GF37" s="61">
        <v>2500171</v>
      </c>
      <c r="GG37" s="61">
        <v>2348055</v>
      </c>
      <c r="GH37" s="61">
        <v>2424334.6669999999</v>
      </c>
      <c r="GI37" s="61">
        <v>2983160</v>
      </c>
      <c r="GJ37" s="61">
        <v>2149852</v>
      </c>
      <c r="GK37" s="61"/>
      <c r="GL37" s="61">
        <f t="shared" si="0"/>
        <v>2248952.25</v>
      </c>
      <c r="GM37" s="61">
        <f t="shared" si="1"/>
        <v>1900098.1666666667</v>
      </c>
      <c r="GN37" s="61">
        <f t="shared" si="2"/>
        <v>2799513.25</v>
      </c>
      <c r="GO37" s="61">
        <f t="shared" si="3"/>
        <v>2399800.9166666665</v>
      </c>
      <c r="GP37" s="61">
        <f t="shared" si="4"/>
        <v>2565542.6666666665</v>
      </c>
      <c r="GQ37" s="61">
        <f t="shared" si="5"/>
        <v>1773117.4166666667</v>
      </c>
      <c r="GR37" s="61">
        <f t="shared" si="6"/>
        <v>1839126.7225000001</v>
      </c>
      <c r="GS37" s="61">
        <f t="shared" si="7"/>
        <v>1757077.5</v>
      </c>
      <c r="GT37" s="61">
        <f t="shared" si="8"/>
        <v>1947414.8790909091</v>
      </c>
      <c r="GU37" s="61">
        <f t="shared" si="9"/>
        <v>2601603.1818181816</v>
      </c>
      <c r="GV37" s="61">
        <f t="shared" si="10"/>
        <v>2394950.5454545454</v>
      </c>
      <c r="GW37" s="61">
        <f t="shared" si="11"/>
        <v>2343392.515181818</v>
      </c>
      <c r="GX37" t="s">
        <v>846</v>
      </c>
      <c r="GY37" s="3" t="s">
        <v>287</v>
      </c>
    </row>
    <row r="38" spans="2:207">
      <c r="B38" t="s">
        <v>2612</v>
      </c>
      <c r="E38" s="61">
        <v>0</v>
      </c>
      <c r="F38" s="61">
        <v>0</v>
      </c>
      <c r="G38" s="61">
        <v>0</v>
      </c>
      <c r="H38" s="61">
        <v>0</v>
      </c>
      <c r="I38" s="61">
        <v>11982165</v>
      </c>
      <c r="J38" s="61">
        <v>14809440</v>
      </c>
      <c r="K38" s="61">
        <v>8975636</v>
      </c>
      <c r="L38" s="61">
        <v>6166132</v>
      </c>
      <c r="M38" s="61">
        <v>8810032</v>
      </c>
      <c r="N38" s="61">
        <v>12399053</v>
      </c>
      <c r="O38" s="61">
        <v>9268468</v>
      </c>
      <c r="P38" s="61">
        <v>13545386</v>
      </c>
      <c r="Q38" s="61">
        <v>10605781</v>
      </c>
      <c r="R38" s="61">
        <v>14743309</v>
      </c>
      <c r="S38" s="61">
        <v>9201070</v>
      </c>
      <c r="T38" s="61">
        <v>17164727</v>
      </c>
      <c r="U38" s="61">
        <v>0</v>
      </c>
      <c r="V38" s="61">
        <v>0</v>
      </c>
      <c r="W38" s="61">
        <v>0</v>
      </c>
      <c r="X38" s="61">
        <v>0</v>
      </c>
      <c r="Y38" s="61">
        <v>13884345</v>
      </c>
      <c r="Z38" s="61">
        <v>8162875</v>
      </c>
      <c r="AA38" s="61">
        <v>9222102</v>
      </c>
      <c r="AB38" s="61">
        <v>9802668</v>
      </c>
      <c r="AC38" s="61">
        <v>6603789</v>
      </c>
      <c r="AD38" s="61">
        <v>10058286</v>
      </c>
      <c r="AE38" s="61">
        <v>10165842</v>
      </c>
      <c r="AF38" s="61">
        <v>14394819</v>
      </c>
      <c r="AG38" s="61">
        <v>7445949</v>
      </c>
      <c r="AH38" s="61">
        <v>12778032</v>
      </c>
      <c r="AI38" s="61">
        <v>15080880</v>
      </c>
      <c r="AJ38" s="61">
        <v>7921127</v>
      </c>
      <c r="AK38" s="61">
        <v>0</v>
      </c>
      <c r="AL38" s="61">
        <v>0</v>
      </c>
      <c r="AM38" s="61">
        <v>0</v>
      </c>
      <c r="AN38" s="61">
        <v>0</v>
      </c>
      <c r="AO38" s="61">
        <v>13747719</v>
      </c>
      <c r="AP38" s="61">
        <v>18524666</v>
      </c>
      <c r="AQ38" s="61">
        <v>16056409</v>
      </c>
      <c r="AR38" s="61">
        <v>14399209</v>
      </c>
      <c r="AS38" s="61">
        <v>8686089</v>
      </c>
      <c r="AT38" s="61">
        <v>11461609</v>
      </c>
      <c r="AU38" s="61">
        <v>10146318</v>
      </c>
      <c r="AV38" s="61">
        <v>11691375</v>
      </c>
      <c r="AW38" s="61">
        <v>13109113</v>
      </c>
      <c r="AX38" s="61">
        <v>12884369</v>
      </c>
      <c r="AY38" s="61">
        <v>11939560</v>
      </c>
      <c r="AZ38" s="61">
        <v>13642163</v>
      </c>
      <c r="BA38" s="61">
        <v>0</v>
      </c>
      <c r="BB38" s="61">
        <v>0</v>
      </c>
      <c r="BC38" s="61">
        <v>0</v>
      </c>
      <c r="BD38" s="61">
        <v>0</v>
      </c>
      <c r="BE38" s="61">
        <v>5025309</v>
      </c>
      <c r="BF38" s="61">
        <v>12969077</v>
      </c>
      <c r="BG38" s="61">
        <v>11486136</v>
      </c>
      <c r="BH38" s="61">
        <v>7480025</v>
      </c>
      <c r="BI38" s="61">
        <v>8819142</v>
      </c>
      <c r="BJ38" s="61">
        <v>15142564</v>
      </c>
      <c r="BK38" s="61">
        <v>9023429</v>
      </c>
      <c r="BL38" s="61">
        <v>9147834</v>
      </c>
      <c r="BM38" s="61">
        <v>10175164</v>
      </c>
      <c r="BN38" s="61">
        <v>12052729</v>
      </c>
      <c r="BO38" s="61">
        <v>10505140</v>
      </c>
      <c r="BP38" s="61">
        <v>10667980</v>
      </c>
      <c r="BQ38" s="61">
        <v>0</v>
      </c>
      <c r="BR38" s="61">
        <v>0</v>
      </c>
      <c r="BS38" s="61">
        <v>0</v>
      </c>
      <c r="BT38" s="61">
        <v>0</v>
      </c>
      <c r="BU38" s="61">
        <v>14149921</v>
      </c>
      <c r="BV38" s="61">
        <v>8517637</v>
      </c>
      <c r="BW38" s="61">
        <v>13058827</v>
      </c>
      <c r="BX38" s="61">
        <v>10710479</v>
      </c>
      <c r="BY38" s="61">
        <v>7642710</v>
      </c>
      <c r="BZ38" s="61">
        <v>9288593</v>
      </c>
      <c r="CA38" s="61">
        <v>10523149</v>
      </c>
      <c r="CB38" s="61">
        <v>15623558</v>
      </c>
      <c r="CC38" s="61">
        <v>13860448</v>
      </c>
      <c r="CD38" s="61">
        <v>14725815</v>
      </c>
      <c r="CE38" s="61">
        <v>8321979</v>
      </c>
      <c r="CF38" s="61">
        <v>6429824</v>
      </c>
      <c r="CG38" s="61">
        <v>0</v>
      </c>
      <c r="CH38" s="61">
        <v>0</v>
      </c>
      <c r="CI38" s="61">
        <v>0</v>
      </c>
      <c r="CJ38" s="61">
        <v>0</v>
      </c>
      <c r="CK38" s="61">
        <v>7035483</v>
      </c>
      <c r="CL38" s="61">
        <v>7193624</v>
      </c>
      <c r="CM38" s="61">
        <v>10478058</v>
      </c>
      <c r="CN38" s="61">
        <v>10232078</v>
      </c>
      <c r="CO38" s="61">
        <v>6805868</v>
      </c>
      <c r="CP38" s="61">
        <v>8431286</v>
      </c>
      <c r="CQ38" s="61">
        <v>11731557</v>
      </c>
      <c r="CR38" s="61">
        <v>8902723</v>
      </c>
      <c r="CS38" s="61">
        <v>6498709</v>
      </c>
      <c r="CT38" s="61">
        <v>6391732</v>
      </c>
      <c r="CU38" s="61">
        <v>7084760</v>
      </c>
      <c r="CV38" s="61">
        <v>5085269</v>
      </c>
      <c r="CW38" s="61">
        <v>0</v>
      </c>
      <c r="CX38" s="61">
        <v>0</v>
      </c>
      <c r="CY38" s="61">
        <v>0</v>
      </c>
      <c r="CZ38" s="61">
        <v>0</v>
      </c>
      <c r="DA38" s="61">
        <v>9640231</v>
      </c>
      <c r="DB38" s="61">
        <v>6267930</v>
      </c>
      <c r="DC38" s="61">
        <v>8961834</v>
      </c>
      <c r="DD38" s="61">
        <v>6941288</v>
      </c>
      <c r="DE38" s="61">
        <v>9071367</v>
      </c>
      <c r="DF38" s="61">
        <v>6942259</v>
      </c>
      <c r="DG38" s="61">
        <v>5814221</v>
      </c>
      <c r="DH38" s="61">
        <v>9083891</v>
      </c>
      <c r="DI38" s="61">
        <v>8086776</v>
      </c>
      <c r="DJ38" s="61">
        <v>6958880</v>
      </c>
      <c r="DK38" s="61">
        <v>8168785.0099999998</v>
      </c>
      <c r="DL38" s="61">
        <v>4419165</v>
      </c>
      <c r="DM38" s="61">
        <v>0</v>
      </c>
      <c r="DN38" s="61">
        <v>0</v>
      </c>
      <c r="DO38" s="61">
        <v>0</v>
      </c>
      <c r="DP38" s="61">
        <v>0</v>
      </c>
      <c r="DQ38" s="61">
        <v>8015497</v>
      </c>
      <c r="DR38" s="61">
        <v>6978804</v>
      </c>
      <c r="DS38" s="61">
        <v>6558977</v>
      </c>
      <c r="DT38" s="61">
        <v>8443691</v>
      </c>
      <c r="DU38" s="61">
        <v>7891773</v>
      </c>
      <c r="DV38" s="61">
        <v>6348417</v>
      </c>
      <c r="DW38" s="61">
        <v>7527117</v>
      </c>
      <c r="DX38" s="61">
        <v>6807739</v>
      </c>
      <c r="DY38" s="61">
        <v>9232184</v>
      </c>
      <c r="DZ38" s="61">
        <v>6393350</v>
      </c>
      <c r="EA38" s="61">
        <v>6367759</v>
      </c>
      <c r="EB38" s="61">
        <v>6657096</v>
      </c>
      <c r="EC38" s="61">
        <v>0</v>
      </c>
      <c r="ED38" s="61">
        <v>0</v>
      </c>
      <c r="EE38" s="61">
        <v>0</v>
      </c>
      <c r="EF38" s="61">
        <v>0</v>
      </c>
      <c r="EG38" s="61">
        <v>10804457</v>
      </c>
      <c r="EH38" s="61">
        <v>8633597</v>
      </c>
      <c r="EI38" s="61">
        <v>7204758</v>
      </c>
      <c r="EJ38" s="61">
        <v>7659208</v>
      </c>
      <c r="EK38" s="61">
        <v>6906448</v>
      </c>
      <c r="EL38" s="61">
        <v>10735612</v>
      </c>
      <c r="EM38" s="61">
        <v>8800304</v>
      </c>
      <c r="EN38" s="61">
        <v>7170313</v>
      </c>
      <c r="EO38" s="61">
        <v>10140766</v>
      </c>
      <c r="EP38" s="61">
        <v>4590090</v>
      </c>
      <c r="EQ38" s="61">
        <v>7691339.1699999999</v>
      </c>
      <c r="ER38" s="61">
        <v>0</v>
      </c>
      <c r="ES38" s="61">
        <v>0</v>
      </c>
      <c r="ET38" s="61">
        <v>0</v>
      </c>
      <c r="EU38" s="61">
        <v>0</v>
      </c>
      <c r="EV38" s="61">
        <v>10504923</v>
      </c>
      <c r="EW38" s="61">
        <v>9991604</v>
      </c>
      <c r="EX38" s="61">
        <v>13980693</v>
      </c>
      <c r="EY38" s="61">
        <v>12737233</v>
      </c>
      <c r="EZ38" s="61">
        <v>10704970</v>
      </c>
      <c r="FA38" s="61">
        <v>12977191</v>
      </c>
      <c r="FB38" s="61">
        <v>15422010</v>
      </c>
      <c r="FC38" s="61">
        <v>9656483</v>
      </c>
      <c r="FD38" s="61">
        <v>7914810</v>
      </c>
      <c r="FE38" s="61">
        <v>6877170</v>
      </c>
      <c r="FF38" s="61">
        <v>10325960</v>
      </c>
      <c r="FG38" s="61">
        <v>0</v>
      </c>
      <c r="FH38" s="168">
        <v>0</v>
      </c>
      <c r="FI38" s="168">
        <v>0</v>
      </c>
      <c r="FJ38" s="61">
        <v>0</v>
      </c>
      <c r="FK38" s="61">
        <v>12438617</v>
      </c>
      <c r="FL38" s="61">
        <v>11842673</v>
      </c>
      <c r="FM38" s="61">
        <v>14995486</v>
      </c>
      <c r="FN38" s="61">
        <v>10430412</v>
      </c>
      <c r="FO38" s="61">
        <v>9981819</v>
      </c>
      <c r="FP38" s="61">
        <v>10700638</v>
      </c>
      <c r="FQ38" s="61">
        <v>10525471</v>
      </c>
      <c r="FR38" s="61">
        <v>11910300</v>
      </c>
      <c r="FS38" s="61">
        <v>11650393</v>
      </c>
      <c r="FT38" s="61">
        <v>11838640</v>
      </c>
      <c r="FU38" s="61">
        <v>13006728</v>
      </c>
      <c r="FV38" s="61">
        <v>0</v>
      </c>
      <c r="FW38" s="61">
        <v>0</v>
      </c>
      <c r="FX38" s="61">
        <v>0</v>
      </c>
      <c r="FY38" s="61">
        <v>0</v>
      </c>
      <c r="FZ38" s="61">
        <v>11739652</v>
      </c>
      <c r="GA38" s="61">
        <v>8351234</v>
      </c>
      <c r="GB38" s="61">
        <v>12360951</v>
      </c>
      <c r="GC38" s="61">
        <v>8975452</v>
      </c>
      <c r="GD38" s="61">
        <v>18468445</v>
      </c>
      <c r="GE38" s="61">
        <v>16544231</v>
      </c>
      <c r="GF38" s="61">
        <v>12717897</v>
      </c>
      <c r="GG38" s="61">
        <v>10479264</v>
      </c>
      <c r="GH38" s="61">
        <v>10174841.166666999</v>
      </c>
      <c r="GI38" s="61">
        <v>7627680</v>
      </c>
      <c r="GJ38" s="61">
        <v>14212582</v>
      </c>
      <c r="GK38" s="61"/>
    </row>
    <row r="39" spans="2:207">
      <c r="B39" t="s">
        <v>808</v>
      </c>
      <c r="C39" t="s">
        <v>809</v>
      </c>
      <c r="D39" s="3" t="s">
        <v>288</v>
      </c>
      <c r="E39" s="61"/>
      <c r="F39" s="61"/>
      <c r="G39" s="61"/>
      <c r="H39" s="61">
        <v>1518376</v>
      </c>
      <c r="I39" s="61">
        <v>2867286</v>
      </c>
      <c r="J39" s="61">
        <v>2388554</v>
      </c>
      <c r="K39" s="61">
        <v>1501627</v>
      </c>
      <c r="L39" s="61">
        <v>1731665</v>
      </c>
      <c r="M39" s="61">
        <v>2345437</v>
      </c>
      <c r="N39" s="61">
        <v>1775318</v>
      </c>
      <c r="O39" s="61">
        <v>1985439</v>
      </c>
      <c r="P39" s="61">
        <v>2842746</v>
      </c>
      <c r="Q39" s="61">
        <v>2685106</v>
      </c>
      <c r="R39" s="61">
        <v>3251102</v>
      </c>
      <c r="S39" s="61">
        <v>1574520</v>
      </c>
      <c r="T39" s="61">
        <v>2934544</v>
      </c>
      <c r="U39" s="61"/>
      <c r="V39" s="61"/>
      <c r="W39" s="61"/>
      <c r="X39" s="61">
        <v>1466477</v>
      </c>
      <c r="Y39" s="61">
        <v>2322728</v>
      </c>
      <c r="Z39" s="61">
        <v>1536291</v>
      </c>
      <c r="AA39" s="61">
        <v>950483</v>
      </c>
      <c r="AB39" s="61">
        <v>1689516</v>
      </c>
      <c r="AC39" s="61">
        <v>1959606</v>
      </c>
      <c r="AD39" s="61">
        <v>845331</v>
      </c>
      <c r="AE39" s="61">
        <v>1872063</v>
      </c>
      <c r="AF39" s="61">
        <v>2866427</v>
      </c>
      <c r="AG39" s="61">
        <v>2065534.9999999998</v>
      </c>
      <c r="AH39" s="61">
        <v>2344601</v>
      </c>
      <c r="AI39" s="61">
        <v>2016220</v>
      </c>
      <c r="AJ39" s="61">
        <v>2047865</v>
      </c>
      <c r="AK39" s="61"/>
      <c r="AL39" s="61"/>
      <c r="AM39" s="61"/>
      <c r="AN39" s="61">
        <v>2699230</v>
      </c>
      <c r="AO39" s="61">
        <v>2020789</v>
      </c>
      <c r="AP39" s="61">
        <v>2751072</v>
      </c>
      <c r="AQ39" s="61">
        <v>1687579</v>
      </c>
      <c r="AR39" s="61">
        <v>2388715</v>
      </c>
      <c r="AS39" s="61">
        <v>1319453</v>
      </c>
      <c r="AT39" s="61">
        <v>1077580</v>
      </c>
      <c r="AU39" s="61">
        <v>1809360</v>
      </c>
      <c r="AV39" s="61">
        <v>1535680</v>
      </c>
      <c r="AW39" s="61">
        <v>2113200</v>
      </c>
      <c r="AX39" s="61">
        <v>2376645</v>
      </c>
      <c r="AY39" s="61">
        <v>2219660</v>
      </c>
      <c r="AZ39" s="61">
        <v>1793285</v>
      </c>
      <c r="BA39" s="61"/>
      <c r="BB39" s="61"/>
      <c r="BC39" s="61"/>
      <c r="BD39" s="61">
        <v>1120590</v>
      </c>
      <c r="BE39" s="61">
        <v>1070177</v>
      </c>
      <c r="BF39" s="61">
        <v>870244</v>
      </c>
      <c r="BG39" s="61">
        <v>952239</v>
      </c>
      <c r="BH39" s="61">
        <v>1651973</v>
      </c>
      <c r="BI39" s="61">
        <v>885975</v>
      </c>
      <c r="BJ39" s="61">
        <v>2294898</v>
      </c>
      <c r="BK39" s="61">
        <v>2290836</v>
      </c>
      <c r="BL39" s="61">
        <v>1324759</v>
      </c>
      <c r="BM39" s="61">
        <v>1214565</v>
      </c>
      <c r="BN39" s="61">
        <v>1396087</v>
      </c>
      <c r="BO39" s="61">
        <v>974610</v>
      </c>
      <c r="BP39" s="61">
        <v>1531124</v>
      </c>
      <c r="BQ39" s="61"/>
      <c r="BR39" s="61"/>
      <c r="BS39" s="61"/>
      <c r="BT39" s="61">
        <v>1497800</v>
      </c>
      <c r="BU39" s="61">
        <v>2036347</v>
      </c>
      <c r="BV39" s="61">
        <v>589102</v>
      </c>
      <c r="BW39" s="61">
        <v>1401968</v>
      </c>
      <c r="BX39" s="61">
        <v>1164652</v>
      </c>
      <c r="BY39" s="61">
        <v>973216</v>
      </c>
      <c r="BZ39" s="61">
        <v>1157111</v>
      </c>
      <c r="CA39" s="61">
        <v>1752885</v>
      </c>
      <c r="CB39" s="61">
        <v>1307618</v>
      </c>
      <c r="CC39" s="61">
        <v>1426506</v>
      </c>
      <c r="CD39" s="61">
        <v>861870</v>
      </c>
      <c r="CE39" s="61">
        <v>1086052</v>
      </c>
      <c r="CF39" s="61">
        <v>796785</v>
      </c>
      <c r="CG39" s="61"/>
      <c r="CH39" s="61"/>
      <c r="CI39" s="61"/>
      <c r="CJ39" s="61">
        <v>746975</v>
      </c>
      <c r="CK39" s="61">
        <v>1338074</v>
      </c>
      <c r="CL39" s="61">
        <v>765014</v>
      </c>
      <c r="CM39" s="61">
        <v>696896</v>
      </c>
      <c r="CN39" s="61">
        <v>910891</v>
      </c>
      <c r="CO39" s="61">
        <v>1509341</v>
      </c>
      <c r="CP39" s="61">
        <v>1715533</v>
      </c>
      <c r="CQ39" s="61">
        <v>1438387</v>
      </c>
      <c r="CR39" s="61">
        <v>998056</v>
      </c>
      <c r="CS39" s="61">
        <v>1059999</v>
      </c>
      <c r="CT39" s="61">
        <v>721216</v>
      </c>
      <c r="CU39" s="61">
        <v>1125670</v>
      </c>
      <c r="CV39" s="61">
        <v>639838</v>
      </c>
      <c r="CW39" s="61"/>
      <c r="CX39" s="61"/>
      <c r="CY39" s="61"/>
      <c r="CZ39" s="61">
        <v>793374</v>
      </c>
      <c r="DA39" s="61">
        <v>1583537</v>
      </c>
      <c r="DB39" s="61">
        <v>1504490</v>
      </c>
      <c r="DC39" s="61">
        <v>1576847</v>
      </c>
      <c r="DD39" s="61">
        <v>880950</v>
      </c>
      <c r="DE39" s="61">
        <v>888497</v>
      </c>
      <c r="DF39" s="61">
        <v>1079322</v>
      </c>
      <c r="DG39" s="61">
        <v>1157218</v>
      </c>
      <c r="DH39" s="61">
        <v>612923</v>
      </c>
      <c r="DI39" s="61">
        <v>1096240</v>
      </c>
      <c r="DJ39" s="61">
        <v>709850</v>
      </c>
      <c r="DK39" s="61">
        <v>1036955.17</v>
      </c>
      <c r="DL39" s="61">
        <v>613341</v>
      </c>
      <c r="DM39" s="61"/>
      <c r="DN39" s="61"/>
      <c r="DO39" s="61"/>
      <c r="DP39" s="61">
        <v>823769</v>
      </c>
      <c r="DQ39" s="61">
        <v>1379175</v>
      </c>
      <c r="DR39" s="61">
        <v>1454344</v>
      </c>
      <c r="DS39" s="61">
        <v>776733</v>
      </c>
      <c r="DT39" s="61">
        <v>1152453</v>
      </c>
      <c r="DU39" s="61">
        <v>612396</v>
      </c>
      <c r="DV39" s="61">
        <v>1497936</v>
      </c>
      <c r="DW39" s="61">
        <v>681891</v>
      </c>
      <c r="DX39" s="61">
        <v>878113</v>
      </c>
      <c r="DY39" s="61">
        <v>1066283</v>
      </c>
      <c r="DZ39" s="61">
        <v>1019170</v>
      </c>
      <c r="EA39" s="61">
        <v>919119</v>
      </c>
      <c r="EB39" s="61">
        <v>515582</v>
      </c>
      <c r="EC39" s="61"/>
      <c r="ED39" s="61"/>
      <c r="EE39" s="61"/>
      <c r="EF39" s="61">
        <v>1324409</v>
      </c>
      <c r="EG39" s="61">
        <v>842674</v>
      </c>
      <c r="EH39" s="61">
        <v>1502617</v>
      </c>
      <c r="EI39" s="61">
        <v>1361316</v>
      </c>
      <c r="EJ39" s="61">
        <v>735789</v>
      </c>
      <c r="EK39" s="61">
        <v>1376704</v>
      </c>
      <c r="EL39" s="61">
        <v>806562</v>
      </c>
      <c r="EM39" s="61">
        <v>835194</v>
      </c>
      <c r="EN39" s="61">
        <v>517191.00000000006</v>
      </c>
      <c r="EO39" s="61">
        <v>1204433</v>
      </c>
      <c r="EP39" s="61">
        <v>880130</v>
      </c>
      <c r="EQ39" s="61">
        <v>1440644.33</v>
      </c>
      <c r="ER39" s="61"/>
      <c r="ES39" s="61"/>
      <c r="ET39" s="61"/>
      <c r="EU39" s="61">
        <v>1807503</v>
      </c>
      <c r="EV39" s="61">
        <v>837499</v>
      </c>
      <c r="EW39" s="61">
        <v>1447217</v>
      </c>
      <c r="EX39" s="61">
        <v>1106448</v>
      </c>
      <c r="EY39" s="61">
        <v>1648452</v>
      </c>
      <c r="EZ39" s="61">
        <v>1090807</v>
      </c>
      <c r="FA39" s="61">
        <v>1546552</v>
      </c>
      <c r="FB39" s="61">
        <v>2030181</v>
      </c>
      <c r="FC39" s="61">
        <v>1693816</v>
      </c>
      <c r="FD39" s="61">
        <v>1404324</v>
      </c>
      <c r="FE39" s="61">
        <v>919160</v>
      </c>
      <c r="FF39" s="61">
        <v>1237505</v>
      </c>
      <c r="FG39" s="61"/>
      <c r="FH39" s="168"/>
      <c r="FI39" s="168"/>
      <c r="FJ39" s="61">
        <v>2343124</v>
      </c>
      <c r="FK39" s="61">
        <v>985010</v>
      </c>
      <c r="FL39" s="61">
        <v>1837697</v>
      </c>
      <c r="FM39" s="61">
        <v>3494116</v>
      </c>
      <c r="FN39" s="61">
        <v>1778402</v>
      </c>
      <c r="FO39" s="61">
        <v>1236912</v>
      </c>
      <c r="FP39" s="61">
        <v>1735353</v>
      </c>
      <c r="FQ39" s="61">
        <v>2062413</v>
      </c>
      <c r="FR39" s="61">
        <v>1572075</v>
      </c>
      <c r="FS39" s="61">
        <v>2695850</v>
      </c>
      <c r="FT39" s="61">
        <v>1871600</v>
      </c>
      <c r="FU39" s="61">
        <v>1463076</v>
      </c>
      <c r="FV39" s="61"/>
      <c r="FW39" s="61"/>
      <c r="FX39" s="61"/>
      <c r="FY39" s="61">
        <v>2814804</v>
      </c>
      <c r="FZ39" s="61">
        <v>2597457</v>
      </c>
      <c r="GA39" s="61">
        <v>1758644</v>
      </c>
      <c r="GB39" s="61">
        <v>2067117.0000000002</v>
      </c>
      <c r="GC39" s="61">
        <v>1636252</v>
      </c>
      <c r="GD39" s="61">
        <v>3019106</v>
      </c>
      <c r="GE39" s="61">
        <v>3195809</v>
      </c>
      <c r="GF39" s="61">
        <v>2289693</v>
      </c>
      <c r="GG39" s="61">
        <v>2189167</v>
      </c>
      <c r="GH39" s="61">
        <v>3423666</v>
      </c>
      <c r="GI39" s="61">
        <v>1133880</v>
      </c>
      <c r="GJ39" s="61">
        <v>2374559</v>
      </c>
      <c r="GK39" s="61"/>
      <c r="GL39" s="61">
        <f>AVERAGE(H39:T39)</f>
        <v>2261670.769230769</v>
      </c>
      <c r="GM39" s="61">
        <f>AVERAGE(X39:AJ39)</f>
        <v>1844857.1538461538</v>
      </c>
      <c r="GN39" s="61">
        <f>AVERAGE(AN39:AZ39)</f>
        <v>1984019.076923077</v>
      </c>
      <c r="GO39" s="61">
        <f>AVERAGE(BD39:BP39)</f>
        <v>1352159.7692307692</v>
      </c>
      <c r="GP39" s="61">
        <f>AVERAGE(BT39:CF39)</f>
        <v>1234762.4615384615</v>
      </c>
      <c r="GQ39" s="61">
        <f>AVERAGE(CJ39:CV39)</f>
        <v>1051222.3076923077</v>
      </c>
      <c r="GR39" s="61">
        <f>AVERAGE(CZ39:DL39)</f>
        <v>1041041.8592307692</v>
      </c>
      <c r="GS39" s="61">
        <f>AVERAGE(DP39:EB39)</f>
        <v>982843.38461538462</v>
      </c>
      <c r="GT39" s="61">
        <f>AVERAGE(EF39:EQ39)</f>
        <v>1068971.9441666666</v>
      </c>
      <c r="GU39" s="61">
        <f>AVERAGE(EU39:FF39)</f>
        <v>1397455.3333333333</v>
      </c>
      <c r="GV39" s="61">
        <f>AVERAGE(FJ39:FU39)</f>
        <v>1922969</v>
      </c>
      <c r="GW39" s="61">
        <f>AVERAGE(FY39:GJ39)</f>
        <v>2375012.8333333335</v>
      </c>
      <c r="GX39" t="s">
        <v>846</v>
      </c>
      <c r="GY39" s="3" t="s">
        <v>288</v>
      </c>
    </row>
    <row r="40" spans="2:207">
      <c r="B40" t="s">
        <v>2613</v>
      </c>
      <c r="E40" s="61"/>
      <c r="F40" s="61"/>
      <c r="G40" s="61"/>
      <c r="H40" s="61">
        <v>1518376</v>
      </c>
      <c r="I40" s="61">
        <v>2867286</v>
      </c>
      <c r="J40" s="61">
        <v>2388554</v>
      </c>
      <c r="K40" s="61">
        <v>1501627</v>
      </c>
      <c r="L40" s="61">
        <v>1731665</v>
      </c>
      <c r="M40" s="61">
        <v>2345437</v>
      </c>
      <c r="N40" s="61">
        <v>1775318</v>
      </c>
      <c r="O40" s="61">
        <v>1985439</v>
      </c>
      <c r="P40" s="61">
        <v>2842746</v>
      </c>
      <c r="Q40" s="61">
        <v>2685106</v>
      </c>
      <c r="R40" s="61">
        <v>3251102</v>
      </c>
      <c r="S40" s="61">
        <v>1574520</v>
      </c>
      <c r="T40" s="61">
        <v>2934544</v>
      </c>
      <c r="U40" s="61"/>
      <c r="V40" s="61"/>
      <c r="W40" s="61"/>
      <c r="X40" s="61">
        <v>1466477</v>
      </c>
      <c r="Y40" s="61">
        <v>2322728</v>
      </c>
      <c r="Z40" s="61">
        <v>1536291</v>
      </c>
      <c r="AA40" s="61">
        <v>950483</v>
      </c>
      <c r="AB40" s="61">
        <v>1689516</v>
      </c>
      <c r="AC40" s="61">
        <v>1959606</v>
      </c>
      <c r="AD40" s="61">
        <v>845331</v>
      </c>
      <c r="AE40" s="61">
        <v>1872063</v>
      </c>
      <c r="AF40" s="61">
        <v>2866427</v>
      </c>
      <c r="AG40" s="61">
        <v>2065534.9999999998</v>
      </c>
      <c r="AH40" s="61">
        <v>2344601</v>
      </c>
      <c r="AI40" s="61">
        <v>2016220</v>
      </c>
      <c r="AJ40" s="61">
        <v>2047865</v>
      </c>
      <c r="AK40" s="61"/>
      <c r="AL40" s="61"/>
      <c r="AM40" s="61"/>
      <c r="AN40" s="61">
        <v>2699230</v>
      </c>
      <c r="AO40" s="61">
        <v>2020789</v>
      </c>
      <c r="AP40" s="61">
        <v>2751072</v>
      </c>
      <c r="AQ40" s="61">
        <v>1687579</v>
      </c>
      <c r="AR40" s="61">
        <v>2388715</v>
      </c>
      <c r="AS40" s="61">
        <v>1319453</v>
      </c>
      <c r="AT40" s="61">
        <v>1077580</v>
      </c>
      <c r="AU40" s="61">
        <v>1809360</v>
      </c>
      <c r="AV40" s="61">
        <v>1535680</v>
      </c>
      <c r="AW40" s="61">
        <v>2113200</v>
      </c>
      <c r="AX40" s="61">
        <v>2376645</v>
      </c>
      <c r="AY40" s="61">
        <v>2219660</v>
      </c>
      <c r="AZ40" s="61">
        <v>1793285</v>
      </c>
      <c r="BA40" s="61"/>
      <c r="BB40" s="61"/>
      <c r="BC40" s="61"/>
      <c r="BD40" s="61">
        <v>1120590</v>
      </c>
      <c r="BE40" s="61">
        <v>1070177</v>
      </c>
      <c r="BF40" s="61">
        <v>870244</v>
      </c>
      <c r="BG40" s="61">
        <v>952239</v>
      </c>
      <c r="BH40" s="61">
        <v>1651973</v>
      </c>
      <c r="BI40" s="61">
        <v>885975</v>
      </c>
      <c r="BJ40" s="61">
        <v>2294898</v>
      </c>
      <c r="BK40" s="61">
        <v>2290836</v>
      </c>
      <c r="BL40" s="61">
        <v>1324759</v>
      </c>
      <c r="BM40" s="61">
        <v>1214565</v>
      </c>
      <c r="BN40" s="61">
        <v>1396087</v>
      </c>
      <c r="BO40" s="61">
        <v>974610</v>
      </c>
      <c r="BP40" s="61">
        <v>1531124</v>
      </c>
      <c r="BQ40" s="61"/>
      <c r="BR40" s="61"/>
      <c r="BS40" s="61"/>
      <c r="BT40" s="61">
        <v>1497800</v>
      </c>
      <c r="BU40" s="61">
        <v>2036347</v>
      </c>
      <c r="BV40" s="61">
        <v>589102</v>
      </c>
      <c r="BW40" s="61">
        <v>1401968</v>
      </c>
      <c r="BX40" s="61">
        <v>1164652</v>
      </c>
      <c r="BY40" s="61">
        <v>973216</v>
      </c>
      <c r="BZ40" s="61">
        <v>1157111</v>
      </c>
      <c r="CA40" s="61">
        <v>1752885</v>
      </c>
      <c r="CB40" s="61">
        <v>1307618</v>
      </c>
      <c r="CC40" s="61">
        <v>1426506</v>
      </c>
      <c r="CD40" s="61">
        <v>861870</v>
      </c>
      <c r="CE40" s="61">
        <v>1086052</v>
      </c>
      <c r="CF40" s="61">
        <v>796785</v>
      </c>
      <c r="CG40" s="61"/>
      <c r="CH40" s="61"/>
      <c r="CI40" s="61"/>
      <c r="CJ40" s="61">
        <v>746975</v>
      </c>
      <c r="CK40" s="61">
        <v>1338074</v>
      </c>
      <c r="CL40" s="61">
        <v>765014</v>
      </c>
      <c r="CM40" s="61">
        <v>696896</v>
      </c>
      <c r="CN40" s="61">
        <v>910891</v>
      </c>
      <c r="CO40" s="61">
        <v>1509341</v>
      </c>
      <c r="CP40" s="61">
        <v>1715533</v>
      </c>
      <c r="CQ40" s="61">
        <v>1438387</v>
      </c>
      <c r="CR40" s="61">
        <v>998056</v>
      </c>
      <c r="CS40" s="61">
        <v>1059999</v>
      </c>
      <c r="CT40" s="61">
        <v>721216</v>
      </c>
      <c r="CU40" s="61">
        <v>1125670</v>
      </c>
      <c r="CV40" s="61">
        <v>639838</v>
      </c>
      <c r="CW40" s="61"/>
      <c r="CX40" s="61"/>
      <c r="CY40" s="61"/>
      <c r="CZ40" s="61">
        <v>793374</v>
      </c>
      <c r="DA40" s="61">
        <v>1583537</v>
      </c>
      <c r="DB40" s="61">
        <v>1504490</v>
      </c>
      <c r="DC40" s="61">
        <v>1576847</v>
      </c>
      <c r="DD40" s="61">
        <v>880950</v>
      </c>
      <c r="DE40" s="61">
        <v>888497</v>
      </c>
      <c r="DF40" s="61">
        <v>1079322</v>
      </c>
      <c r="DG40" s="61">
        <v>1157218</v>
      </c>
      <c r="DH40" s="61">
        <v>612923</v>
      </c>
      <c r="DI40" s="61">
        <v>1096240</v>
      </c>
      <c r="DJ40" s="61">
        <v>709850</v>
      </c>
      <c r="DK40" s="61">
        <v>1036955.17</v>
      </c>
      <c r="DL40" s="61">
        <v>613341</v>
      </c>
      <c r="DM40" s="61"/>
      <c r="DN40" s="61"/>
      <c r="DO40" s="61"/>
      <c r="DP40" s="61">
        <v>823769</v>
      </c>
      <c r="DQ40" s="61">
        <v>1379175</v>
      </c>
      <c r="DR40" s="61">
        <v>1454344</v>
      </c>
      <c r="DS40" s="61">
        <v>776733</v>
      </c>
      <c r="DT40" s="61">
        <v>1152453</v>
      </c>
      <c r="DU40" s="61">
        <v>612396</v>
      </c>
      <c r="DV40" s="61">
        <v>1497936</v>
      </c>
      <c r="DW40" s="61">
        <v>681891</v>
      </c>
      <c r="DX40" s="61">
        <v>878113</v>
      </c>
      <c r="DY40" s="61">
        <v>1066283</v>
      </c>
      <c r="DZ40" s="61">
        <v>1019170</v>
      </c>
      <c r="EA40" s="61">
        <v>919119</v>
      </c>
      <c r="EB40" s="61">
        <v>515582</v>
      </c>
      <c r="EC40" s="61"/>
      <c r="ED40" s="61"/>
      <c r="EE40" s="61"/>
      <c r="EF40" s="61">
        <v>1324409</v>
      </c>
      <c r="EG40" s="61">
        <v>842674</v>
      </c>
      <c r="EH40" s="61">
        <v>1502617</v>
      </c>
      <c r="EI40" s="61">
        <v>1361316</v>
      </c>
      <c r="EJ40" s="61">
        <v>735789</v>
      </c>
      <c r="EK40" s="61">
        <v>1376704</v>
      </c>
      <c r="EL40" s="61">
        <v>806562</v>
      </c>
      <c r="EM40" s="61">
        <v>835194</v>
      </c>
      <c r="EN40" s="61">
        <v>517191.00000000006</v>
      </c>
      <c r="EO40" s="61">
        <v>1204433</v>
      </c>
      <c r="EP40" s="61">
        <v>880130</v>
      </c>
      <c r="EQ40" s="61">
        <v>1440644.33</v>
      </c>
      <c r="ER40" s="61"/>
      <c r="ES40" s="61"/>
      <c r="ET40" s="61"/>
      <c r="EU40" s="61">
        <v>1807503</v>
      </c>
      <c r="EV40" s="61">
        <v>837499</v>
      </c>
      <c r="EW40" s="61">
        <v>1447217</v>
      </c>
      <c r="EX40" s="61">
        <v>1106448</v>
      </c>
      <c r="EY40" s="61">
        <v>1648452</v>
      </c>
      <c r="EZ40" s="61">
        <v>1090807</v>
      </c>
      <c r="FA40" s="61">
        <v>1546552</v>
      </c>
      <c r="FB40" s="61">
        <v>2030181</v>
      </c>
      <c r="FC40" s="61">
        <v>1693816</v>
      </c>
      <c r="FD40" s="61">
        <v>1404324</v>
      </c>
      <c r="FE40" s="61">
        <v>919160</v>
      </c>
      <c r="FF40" s="61">
        <v>1237505</v>
      </c>
      <c r="FG40" s="61"/>
      <c r="FH40" s="168"/>
      <c r="FI40" s="168"/>
      <c r="FJ40" s="61">
        <v>2343124</v>
      </c>
      <c r="FK40" s="61">
        <v>985010</v>
      </c>
      <c r="FL40" s="61">
        <v>1837697</v>
      </c>
      <c r="FM40" s="61">
        <v>3494116</v>
      </c>
      <c r="FN40" s="61">
        <v>1778402</v>
      </c>
      <c r="FO40" s="61">
        <v>1236912</v>
      </c>
      <c r="FP40" s="61">
        <v>1735353</v>
      </c>
      <c r="FQ40" s="61">
        <v>2062413</v>
      </c>
      <c r="FR40" s="61">
        <v>1572075</v>
      </c>
      <c r="FS40" s="61">
        <v>2695850</v>
      </c>
      <c r="FT40" s="61">
        <v>1871600</v>
      </c>
      <c r="FU40" s="61">
        <v>1463076</v>
      </c>
      <c r="FV40" s="61"/>
      <c r="FW40" s="61"/>
      <c r="FX40" s="61"/>
      <c r="FY40" s="61">
        <v>2814804</v>
      </c>
      <c r="FZ40" s="61">
        <v>2597457</v>
      </c>
      <c r="GA40" s="61">
        <v>1758644</v>
      </c>
      <c r="GB40" s="61">
        <v>2067117.0000000002</v>
      </c>
      <c r="GC40" s="61">
        <v>1636252</v>
      </c>
      <c r="GD40" s="61">
        <v>3019106</v>
      </c>
      <c r="GE40" s="61">
        <v>3195809</v>
      </c>
      <c r="GF40" s="61">
        <v>2289693</v>
      </c>
      <c r="GG40" s="61">
        <v>2189167</v>
      </c>
      <c r="GH40" s="61">
        <v>3423666</v>
      </c>
      <c r="GI40" s="61">
        <v>1133880</v>
      </c>
      <c r="GJ40" s="61">
        <v>2374559</v>
      </c>
      <c r="GK40" s="61"/>
    </row>
    <row r="41" spans="2:207">
      <c r="B41" t="s">
        <v>803</v>
      </c>
      <c r="C41" t="s">
        <v>796</v>
      </c>
      <c r="D41" s="3" t="s">
        <v>289</v>
      </c>
      <c r="E41" s="61"/>
      <c r="F41" s="61"/>
      <c r="G41" s="61"/>
      <c r="H41" s="61"/>
      <c r="I41" s="61"/>
      <c r="J41" s="61">
        <v>3549606</v>
      </c>
      <c r="K41" s="61">
        <v>2108369</v>
      </c>
      <c r="L41" s="61">
        <v>2035885</v>
      </c>
      <c r="M41" s="61">
        <v>2587395</v>
      </c>
      <c r="N41" s="61">
        <v>3194007</v>
      </c>
      <c r="O41" s="61">
        <v>2668971</v>
      </c>
      <c r="P41" s="61">
        <v>2663057</v>
      </c>
      <c r="Q41" s="61">
        <v>2145660</v>
      </c>
      <c r="R41" s="61">
        <v>2260610</v>
      </c>
      <c r="S41" s="61">
        <v>3333840</v>
      </c>
      <c r="T41" s="61">
        <v>3623096</v>
      </c>
      <c r="U41" s="61"/>
      <c r="V41" s="61"/>
      <c r="W41" s="61"/>
      <c r="X41" s="61"/>
      <c r="Y41" s="61"/>
      <c r="Z41" s="61">
        <v>1824917</v>
      </c>
      <c r="AA41" s="61">
        <v>3033748</v>
      </c>
      <c r="AB41" s="61">
        <v>3122632</v>
      </c>
      <c r="AC41" s="61">
        <v>2028490</v>
      </c>
      <c r="AD41" s="61">
        <v>3629823</v>
      </c>
      <c r="AE41" s="61">
        <v>2739408</v>
      </c>
      <c r="AF41" s="61">
        <v>3253080</v>
      </c>
      <c r="AG41" s="61">
        <v>2026671</v>
      </c>
      <c r="AH41" s="61">
        <v>2845282</v>
      </c>
      <c r="AI41" s="61">
        <v>3355000</v>
      </c>
      <c r="AJ41" s="61">
        <v>2430564</v>
      </c>
      <c r="AK41" s="61"/>
      <c r="AL41" s="61"/>
      <c r="AM41" s="61"/>
      <c r="AN41" s="61"/>
      <c r="AO41" s="61"/>
      <c r="AP41" s="61">
        <v>3971688</v>
      </c>
      <c r="AQ41" s="61">
        <v>3507078</v>
      </c>
      <c r="AR41" s="61">
        <v>3392429</v>
      </c>
      <c r="AS41" s="61">
        <v>1971352</v>
      </c>
      <c r="AT41" s="61">
        <v>2516345</v>
      </c>
      <c r="AU41" s="61">
        <v>2291429</v>
      </c>
      <c r="AV41" s="61">
        <v>2831113</v>
      </c>
      <c r="AW41" s="61">
        <v>2296233</v>
      </c>
      <c r="AX41" s="61">
        <v>2799153</v>
      </c>
      <c r="AY41" s="61">
        <v>2580490</v>
      </c>
      <c r="AZ41" s="61">
        <v>3391621</v>
      </c>
      <c r="BA41" s="61"/>
      <c r="BB41" s="61"/>
      <c r="BC41" s="61"/>
      <c r="BD41" s="61"/>
      <c r="BE41" s="61"/>
      <c r="BF41" s="61">
        <v>3274391</v>
      </c>
      <c r="BG41" s="61">
        <v>2585067</v>
      </c>
      <c r="BH41" s="61">
        <v>1447819</v>
      </c>
      <c r="BI41" s="61">
        <v>2093634</v>
      </c>
      <c r="BJ41" s="61">
        <v>3257702</v>
      </c>
      <c r="BK41" s="61">
        <v>2048831.0000000002</v>
      </c>
      <c r="BL41" s="61">
        <v>2204140</v>
      </c>
      <c r="BM41" s="61">
        <v>2395524</v>
      </c>
      <c r="BN41" s="61">
        <v>3060999</v>
      </c>
      <c r="BO41" s="61">
        <v>2746290</v>
      </c>
      <c r="BP41" s="61">
        <v>2486204</v>
      </c>
      <c r="BQ41" s="61"/>
      <c r="BR41" s="61"/>
      <c r="BS41" s="61"/>
      <c r="BT41" s="61"/>
      <c r="BU41" s="61"/>
      <c r="BV41" s="61">
        <v>1865797</v>
      </c>
      <c r="BW41" s="61">
        <v>3007163</v>
      </c>
      <c r="BX41" s="61">
        <v>2736060</v>
      </c>
      <c r="BY41" s="61">
        <v>2067786</v>
      </c>
      <c r="BZ41" s="61">
        <v>2401574</v>
      </c>
      <c r="CA41" s="61">
        <v>2521664</v>
      </c>
      <c r="CB41" s="61">
        <v>3324721</v>
      </c>
      <c r="CC41" s="61">
        <v>3052022</v>
      </c>
      <c r="CD41" s="61">
        <v>3691582</v>
      </c>
      <c r="CE41" s="61">
        <v>2094500</v>
      </c>
      <c r="CF41" s="61">
        <v>1935274</v>
      </c>
      <c r="CG41" s="61"/>
      <c r="CH41" s="61"/>
      <c r="CI41" s="61"/>
      <c r="CJ41" s="61"/>
      <c r="CK41" s="61"/>
      <c r="CL41" s="61">
        <v>1491712</v>
      </c>
      <c r="CM41" s="61">
        <v>1931220</v>
      </c>
      <c r="CN41" s="61">
        <v>2531309</v>
      </c>
      <c r="CO41" s="61">
        <v>1720917</v>
      </c>
      <c r="CP41" s="61">
        <v>2065503.0000000002</v>
      </c>
      <c r="CQ41" s="61">
        <v>2780852</v>
      </c>
      <c r="CR41" s="61">
        <v>1651094</v>
      </c>
      <c r="CS41" s="61">
        <v>1569053</v>
      </c>
      <c r="CT41" s="61">
        <v>1412619</v>
      </c>
      <c r="CU41" s="61">
        <v>1235350</v>
      </c>
      <c r="CV41" s="61">
        <v>1627568</v>
      </c>
      <c r="CW41" s="61"/>
      <c r="CX41" s="61"/>
      <c r="CY41" s="61"/>
      <c r="CZ41" s="61"/>
      <c r="DA41" s="61">
        <v>1171160</v>
      </c>
      <c r="DB41" s="61">
        <v>1517130</v>
      </c>
      <c r="DC41" s="61">
        <v>1877171</v>
      </c>
      <c r="DD41" s="61">
        <v>1840410</v>
      </c>
      <c r="DE41" s="61">
        <v>1823381</v>
      </c>
      <c r="DF41" s="61">
        <v>1480375</v>
      </c>
      <c r="DG41" s="61">
        <v>1259864</v>
      </c>
      <c r="DH41" s="61">
        <v>2497900</v>
      </c>
      <c r="DI41" s="61">
        <v>1676956</v>
      </c>
      <c r="DJ41" s="61">
        <v>1470610</v>
      </c>
      <c r="DK41" s="61">
        <v>2267398.83</v>
      </c>
      <c r="DL41" s="61">
        <v>1209088</v>
      </c>
      <c r="DM41" s="61"/>
      <c r="DN41" s="61"/>
      <c r="DO41" s="61"/>
      <c r="DP41" s="61"/>
      <c r="DQ41" s="61">
        <v>2075096</v>
      </c>
      <c r="DR41" s="61">
        <v>1320517</v>
      </c>
      <c r="DS41" s="61">
        <v>1212148</v>
      </c>
      <c r="DT41" s="61">
        <v>2010979</v>
      </c>
      <c r="DU41" s="61">
        <v>1809192</v>
      </c>
      <c r="DV41" s="61">
        <v>1553123</v>
      </c>
      <c r="DW41" s="61">
        <v>1871030</v>
      </c>
      <c r="DX41" s="61">
        <v>1321342</v>
      </c>
      <c r="DY41" s="61">
        <v>2035961</v>
      </c>
      <c r="DZ41" s="61">
        <v>1584790</v>
      </c>
      <c r="EA41" s="61">
        <v>1726713</v>
      </c>
      <c r="EB41" s="61">
        <v>1412872</v>
      </c>
      <c r="EC41" s="61"/>
      <c r="ED41" s="61"/>
      <c r="EE41" s="61"/>
      <c r="EF41" s="61"/>
      <c r="EG41" s="61">
        <v>3044925</v>
      </c>
      <c r="EH41" s="61">
        <v>1971165</v>
      </c>
      <c r="EI41" s="61">
        <v>1578098</v>
      </c>
      <c r="EJ41" s="61">
        <v>1882247</v>
      </c>
      <c r="EK41" s="61">
        <v>1415677</v>
      </c>
      <c r="EL41" s="61">
        <v>2914083</v>
      </c>
      <c r="EM41" s="61">
        <v>1799475</v>
      </c>
      <c r="EN41" s="61">
        <v>1897794</v>
      </c>
      <c r="EO41" s="61">
        <v>2263942.3000000003</v>
      </c>
      <c r="EP41" s="61">
        <v>1813770</v>
      </c>
      <c r="EQ41" s="61">
        <v>1585612.83</v>
      </c>
      <c r="ER41" s="61"/>
      <c r="ES41" s="61"/>
      <c r="ET41" s="61"/>
      <c r="EU41" s="61"/>
      <c r="EV41" s="61">
        <v>2627069</v>
      </c>
      <c r="EW41" s="61">
        <v>2040580</v>
      </c>
      <c r="EX41" s="61">
        <v>3421210</v>
      </c>
      <c r="EY41" s="61">
        <v>3789331</v>
      </c>
      <c r="EZ41" s="61">
        <v>2602565</v>
      </c>
      <c r="FA41" s="61">
        <v>2871704</v>
      </c>
      <c r="FB41" s="61">
        <v>3218949</v>
      </c>
      <c r="FC41" s="61">
        <v>1629490</v>
      </c>
      <c r="FD41" s="61">
        <v>2233076</v>
      </c>
      <c r="FE41" s="61">
        <v>1979460</v>
      </c>
      <c r="FF41" s="61">
        <v>2824509</v>
      </c>
      <c r="FG41" s="61"/>
      <c r="FH41" s="168"/>
      <c r="FI41" s="168"/>
      <c r="FJ41" s="61"/>
      <c r="FK41" s="61">
        <v>4502356</v>
      </c>
      <c r="FL41" s="61">
        <v>3001768</v>
      </c>
      <c r="FM41" s="61">
        <v>2874836</v>
      </c>
      <c r="FN41" s="61">
        <v>2369421</v>
      </c>
      <c r="FO41" s="61">
        <v>2389491</v>
      </c>
      <c r="FP41" s="61">
        <v>3070698</v>
      </c>
      <c r="FQ41" s="61">
        <v>2657827</v>
      </c>
      <c r="FR41" s="61">
        <v>2580273</v>
      </c>
      <c r="FS41" s="61">
        <v>2641111</v>
      </c>
      <c r="FT41" s="61">
        <v>2463170</v>
      </c>
      <c r="FU41" s="61">
        <v>3574611</v>
      </c>
      <c r="FV41" s="61"/>
      <c r="FW41" s="61"/>
      <c r="FX41" s="61"/>
      <c r="FY41" s="61"/>
      <c r="FZ41" s="61">
        <v>2996534</v>
      </c>
      <c r="GA41" s="61">
        <v>3160463</v>
      </c>
      <c r="GB41" s="61">
        <v>2489754</v>
      </c>
      <c r="GC41" s="61">
        <v>3194425</v>
      </c>
      <c r="GD41" s="61">
        <v>3830134</v>
      </c>
      <c r="GE41" s="61">
        <v>4054935</v>
      </c>
      <c r="GF41" s="61">
        <v>3361022</v>
      </c>
      <c r="GG41" s="61">
        <v>3014831</v>
      </c>
      <c r="GH41" s="61">
        <v>2528702.8333330001</v>
      </c>
      <c r="GI41" s="61">
        <v>2042320</v>
      </c>
      <c r="GJ41" s="61">
        <v>3757519</v>
      </c>
      <c r="GK41" s="61"/>
      <c r="GL41" s="61">
        <f>AVERAGE(J41:T41)</f>
        <v>2742772.3636363638</v>
      </c>
      <c r="GM41" s="61">
        <f>AVERAGE(Z41:AJ41)</f>
        <v>2753601.3636363638</v>
      </c>
      <c r="GN41" s="61">
        <f>AVERAGE(AP41:AZ41)</f>
        <v>2868084.6363636362</v>
      </c>
      <c r="GO41" s="61">
        <f>AVERAGE(BF41:BP41)</f>
        <v>2509145.5454545454</v>
      </c>
      <c r="GP41" s="61">
        <f>AVERAGE(BV41:CF41)</f>
        <v>2608922.0909090908</v>
      </c>
      <c r="GQ41" s="61">
        <f>AVERAGE(CL41:CV41)</f>
        <v>1819745.1818181819</v>
      </c>
      <c r="GR41" s="61">
        <f>AVERAGE(DA41:DL41)</f>
        <v>1674286.9858333331</v>
      </c>
      <c r="GS41" s="61">
        <f>AVERAGE(DQ41:EB41)</f>
        <v>1661146.9166666667</v>
      </c>
      <c r="GT41" s="61">
        <f>AVERAGE(EG41:EQ41)</f>
        <v>2015162.6481818184</v>
      </c>
      <c r="GU41" s="61">
        <f>AVERAGE(EV41:FF41)</f>
        <v>2657994.8181818184</v>
      </c>
      <c r="GV41" s="61">
        <f>AVERAGE(FK41:FU41)</f>
        <v>2920505.6363636362</v>
      </c>
      <c r="GW41" s="61">
        <f>AVERAGE(FZ41:GJ41)</f>
        <v>3130058.1666666362</v>
      </c>
      <c r="GX41" t="s">
        <v>846</v>
      </c>
      <c r="GY41" s="3" t="s">
        <v>289</v>
      </c>
    </row>
    <row r="42" spans="2:207">
      <c r="B42" t="s">
        <v>2614</v>
      </c>
      <c r="E42" s="61"/>
      <c r="F42" s="61"/>
      <c r="G42" s="61"/>
      <c r="H42" s="61"/>
      <c r="I42" s="61"/>
      <c r="J42" s="61">
        <v>3549606</v>
      </c>
      <c r="K42" s="61">
        <v>2108369</v>
      </c>
      <c r="L42" s="61">
        <v>2035885</v>
      </c>
      <c r="M42" s="61">
        <v>2587395</v>
      </c>
      <c r="N42" s="61">
        <v>3194007</v>
      </c>
      <c r="O42" s="61">
        <v>2668971</v>
      </c>
      <c r="P42" s="61">
        <v>2663057</v>
      </c>
      <c r="Q42" s="61">
        <v>2145660</v>
      </c>
      <c r="R42" s="61">
        <v>2260610</v>
      </c>
      <c r="S42" s="61">
        <v>3333840</v>
      </c>
      <c r="T42" s="61">
        <v>3623096</v>
      </c>
      <c r="U42" s="61"/>
      <c r="V42" s="61"/>
      <c r="W42" s="61"/>
      <c r="X42" s="61"/>
      <c r="Y42" s="61"/>
      <c r="Z42" s="61">
        <v>1824917</v>
      </c>
      <c r="AA42" s="61">
        <v>3033748</v>
      </c>
      <c r="AB42" s="61">
        <v>3122632</v>
      </c>
      <c r="AC42" s="61">
        <v>2028490</v>
      </c>
      <c r="AD42" s="61">
        <v>3629823</v>
      </c>
      <c r="AE42" s="61">
        <v>2739408</v>
      </c>
      <c r="AF42" s="61">
        <v>3253080</v>
      </c>
      <c r="AG42" s="61">
        <v>2026671</v>
      </c>
      <c r="AH42" s="61">
        <v>2845282</v>
      </c>
      <c r="AI42" s="61">
        <v>3355000</v>
      </c>
      <c r="AJ42" s="61">
        <v>2430564</v>
      </c>
      <c r="AK42" s="61"/>
      <c r="AL42" s="61"/>
      <c r="AM42" s="61"/>
      <c r="AN42" s="61"/>
      <c r="AO42" s="61"/>
      <c r="AP42" s="61">
        <v>3971688</v>
      </c>
      <c r="AQ42" s="61">
        <v>3507078</v>
      </c>
      <c r="AR42" s="61">
        <v>3392429</v>
      </c>
      <c r="AS42" s="61">
        <v>1971352</v>
      </c>
      <c r="AT42" s="61">
        <v>2516345</v>
      </c>
      <c r="AU42" s="61">
        <v>2291429</v>
      </c>
      <c r="AV42" s="61">
        <v>2831113</v>
      </c>
      <c r="AW42" s="61">
        <v>2296233</v>
      </c>
      <c r="AX42" s="61">
        <v>2799153</v>
      </c>
      <c r="AY42" s="61">
        <v>2580490</v>
      </c>
      <c r="AZ42" s="61">
        <v>3391621</v>
      </c>
      <c r="BA42" s="61"/>
      <c r="BB42" s="61"/>
      <c r="BC42" s="61"/>
      <c r="BD42" s="61"/>
      <c r="BE42" s="61"/>
      <c r="BF42" s="61">
        <v>3274391</v>
      </c>
      <c r="BG42" s="61">
        <v>2585067</v>
      </c>
      <c r="BH42" s="61">
        <v>1447819</v>
      </c>
      <c r="BI42" s="61">
        <v>2093634</v>
      </c>
      <c r="BJ42" s="61">
        <v>3257702</v>
      </c>
      <c r="BK42" s="61">
        <v>2048831.0000000002</v>
      </c>
      <c r="BL42" s="61">
        <v>2204140</v>
      </c>
      <c r="BM42" s="61">
        <v>2395524</v>
      </c>
      <c r="BN42" s="61">
        <v>3060999</v>
      </c>
      <c r="BO42" s="61">
        <v>2746290</v>
      </c>
      <c r="BP42" s="61">
        <v>2486204</v>
      </c>
      <c r="BQ42" s="61"/>
      <c r="BR42" s="61"/>
      <c r="BS42" s="61"/>
      <c r="BT42" s="61"/>
      <c r="BU42" s="61"/>
      <c r="BV42" s="61">
        <v>1865797</v>
      </c>
      <c r="BW42" s="61">
        <v>3007163</v>
      </c>
      <c r="BX42" s="61">
        <v>2736060</v>
      </c>
      <c r="BY42" s="61">
        <v>2067786</v>
      </c>
      <c r="BZ42" s="61">
        <v>2401574</v>
      </c>
      <c r="CA42" s="61">
        <v>2521664</v>
      </c>
      <c r="CB42" s="61">
        <v>3324721</v>
      </c>
      <c r="CC42" s="61">
        <v>3052022</v>
      </c>
      <c r="CD42" s="61">
        <v>3691582</v>
      </c>
      <c r="CE42" s="61">
        <v>2094500</v>
      </c>
      <c r="CF42" s="61">
        <v>1935274</v>
      </c>
      <c r="CG42" s="61"/>
      <c r="CH42" s="61"/>
      <c r="CI42" s="61"/>
      <c r="CJ42" s="61"/>
      <c r="CK42" s="61"/>
      <c r="CL42" s="61">
        <v>1491712</v>
      </c>
      <c r="CM42" s="61">
        <v>1931220</v>
      </c>
      <c r="CN42" s="61">
        <v>2531309</v>
      </c>
      <c r="CO42" s="61">
        <v>1720917</v>
      </c>
      <c r="CP42" s="61">
        <v>2065503.0000000002</v>
      </c>
      <c r="CQ42" s="61">
        <v>2780852</v>
      </c>
      <c r="CR42" s="61">
        <v>1651094</v>
      </c>
      <c r="CS42" s="61">
        <v>1569053</v>
      </c>
      <c r="CT42" s="61">
        <v>1412619</v>
      </c>
      <c r="CU42" s="61">
        <v>1235350</v>
      </c>
      <c r="CV42" s="61">
        <v>1627568</v>
      </c>
      <c r="CW42" s="61"/>
      <c r="CX42" s="61"/>
      <c r="CY42" s="61"/>
      <c r="CZ42" s="61"/>
      <c r="DA42" s="61">
        <v>1171160</v>
      </c>
      <c r="DB42" s="61">
        <v>1517130</v>
      </c>
      <c r="DC42" s="61">
        <v>1877171</v>
      </c>
      <c r="DD42" s="61">
        <v>1840410</v>
      </c>
      <c r="DE42" s="61">
        <v>1823381</v>
      </c>
      <c r="DF42" s="61">
        <v>1480375</v>
      </c>
      <c r="DG42" s="61">
        <v>1259864</v>
      </c>
      <c r="DH42" s="61">
        <v>2497900</v>
      </c>
      <c r="DI42" s="61">
        <v>1676956</v>
      </c>
      <c r="DJ42" s="61">
        <v>1470610</v>
      </c>
      <c r="DK42" s="61">
        <v>2267398.83</v>
      </c>
      <c r="DL42" s="61">
        <v>1209088</v>
      </c>
      <c r="DM42" s="61"/>
      <c r="DN42" s="61"/>
      <c r="DO42" s="61"/>
      <c r="DP42" s="61"/>
      <c r="DQ42" s="61">
        <v>2075096</v>
      </c>
      <c r="DR42" s="61">
        <v>1320517</v>
      </c>
      <c r="DS42" s="61">
        <v>1212148</v>
      </c>
      <c r="DT42" s="61">
        <v>2010979</v>
      </c>
      <c r="DU42" s="61">
        <v>1809192</v>
      </c>
      <c r="DV42" s="61">
        <v>1553123</v>
      </c>
      <c r="DW42" s="61">
        <v>1871030</v>
      </c>
      <c r="DX42" s="61">
        <v>1321342</v>
      </c>
      <c r="DY42" s="61">
        <v>2035961</v>
      </c>
      <c r="DZ42" s="61">
        <v>1584790</v>
      </c>
      <c r="EA42" s="61">
        <v>1726713</v>
      </c>
      <c r="EB42" s="61">
        <v>1412872</v>
      </c>
      <c r="EC42" s="61"/>
      <c r="ED42" s="61"/>
      <c r="EE42" s="61"/>
      <c r="EF42" s="61"/>
      <c r="EG42" s="61">
        <v>3044925</v>
      </c>
      <c r="EH42" s="61">
        <v>1971165</v>
      </c>
      <c r="EI42" s="61">
        <v>1578098</v>
      </c>
      <c r="EJ42" s="61">
        <v>1882247</v>
      </c>
      <c r="EK42" s="61">
        <v>1415677</v>
      </c>
      <c r="EL42" s="61">
        <v>2914083</v>
      </c>
      <c r="EM42" s="61">
        <v>1799475</v>
      </c>
      <c r="EN42" s="61">
        <v>1897794</v>
      </c>
      <c r="EO42" s="61">
        <v>2263942.3000000003</v>
      </c>
      <c r="EP42" s="61">
        <v>1813770</v>
      </c>
      <c r="EQ42" s="61">
        <v>1585612.83</v>
      </c>
      <c r="ER42" s="61"/>
      <c r="ES42" s="61"/>
      <c r="ET42" s="61"/>
      <c r="EU42" s="61"/>
      <c r="EV42" s="61">
        <v>2627069</v>
      </c>
      <c r="EW42" s="61">
        <v>2040580</v>
      </c>
      <c r="EX42" s="61">
        <v>3421210</v>
      </c>
      <c r="EY42" s="61">
        <v>3789331</v>
      </c>
      <c r="EZ42" s="61">
        <v>2602565</v>
      </c>
      <c r="FA42" s="61">
        <v>2871704</v>
      </c>
      <c r="FB42" s="61">
        <v>3218949</v>
      </c>
      <c r="FC42" s="61">
        <v>1629490</v>
      </c>
      <c r="FD42" s="61">
        <v>2233076</v>
      </c>
      <c r="FE42" s="61">
        <v>1979460</v>
      </c>
      <c r="FF42" s="61">
        <v>2824509</v>
      </c>
      <c r="FG42" s="61"/>
      <c r="FH42" s="168"/>
      <c r="FI42" s="168"/>
      <c r="FJ42" s="61"/>
      <c r="FK42" s="61">
        <v>4502356</v>
      </c>
      <c r="FL42" s="61">
        <v>3001768</v>
      </c>
      <c r="FM42" s="61">
        <v>2874836</v>
      </c>
      <c r="FN42" s="61">
        <v>2369421</v>
      </c>
      <c r="FO42" s="61">
        <v>2389491</v>
      </c>
      <c r="FP42" s="61">
        <v>3070698</v>
      </c>
      <c r="FQ42" s="61">
        <v>2657827</v>
      </c>
      <c r="FR42" s="61">
        <v>2580273</v>
      </c>
      <c r="FS42" s="61">
        <v>2641111</v>
      </c>
      <c r="FT42" s="61">
        <v>2463170</v>
      </c>
      <c r="FU42" s="61">
        <v>3574611</v>
      </c>
      <c r="FV42" s="61"/>
      <c r="FW42" s="61"/>
      <c r="FX42" s="61"/>
      <c r="FY42" s="61"/>
      <c r="FZ42" s="61">
        <v>2996534</v>
      </c>
      <c r="GA42" s="61">
        <v>3160463</v>
      </c>
      <c r="GB42" s="61">
        <v>2489754</v>
      </c>
      <c r="GC42" s="61">
        <v>3194425</v>
      </c>
      <c r="GD42" s="61">
        <v>3830134</v>
      </c>
      <c r="GE42" s="61">
        <v>4054935</v>
      </c>
      <c r="GF42" s="61">
        <v>3361022</v>
      </c>
      <c r="GG42" s="61">
        <v>3014831</v>
      </c>
      <c r="GH42" s="61">
        <v>2528702.8333330001</v>
      </c>
      <c r="GI42" s="61">
        <v>2042320</v>
      </c>
      <c r="GJ42" s="61">
        <v>3757519</v>
      </c>
      <c r="GK42" s="61"/>
    </row>
    <row r="43" spans="2:207">
      <c r="B43" t="s">
        <v>790</v>
      </c>
      <c r="C43" t="s">
        <v>794</v>
      </c>
      <c r="D43" s="60" t="s">
        <v>279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1306567</v>
      </c>
      <c r="L43" s="61">
        <v>895633</v>
      </c>
      <c r="M43" s="61">
        <v>1338137</v>
      </c>
      <c r="N43" s="61">
        <v>893754</v>
      </c>
      <c r="O43" s="61">
        <v>1091560</v>
      </c>
      <c r="P43" s="61">
        <v>1609913</v>
      </c>
      <c r="Q43" s="61">
        <v>1436000</v>
      </c>
      <c r="R43" s="61">
        <v>1503000</v>
      </c>
      <c r="S43" s="61">
        <v>739550</v>
      </c>
      <c r="T43" s="61">
        <v>1717585</v>
      </c>
      <c r="U43" s="61">
        <v>0</v>
      </c>
      <c r="V43" s="61">
        <v>0</v>
      </c>
      <c r="W43" s="61">
        <v>0</v>
      </c>
      <c r="X43" s="61">
        <v>0</v>
      </c>
      <c r="Y43" s="61">
        <v>0</v>
      </c>
      <c r="Z43" s="61">
        <v>0</v>
      </c>
      <c r="AA43" s="61">
        <v>600523</v>
      </c>
      <c r="AB43" s="61">
        <v>997787</v>
      </c>
      <c r="AC43" s="61">
        <v>1127032</v>
      </c>
      <c r="AD43" s="61">
        <v>429099</v>
      </c>
      <c r="AE43" s="61">
        <v>943690</v>
      </c>
      <c r="AF43" s="61">
        <v>1837737</v>
      </c>
      <c r="AG43" s="61">
        <v>1002000</v>
      </c>
      <c r="AH43" s="61">
        <v>1258599</v>
      </c>
      <c r="AI43" s="61">
        <v>1072110</v>
      </c>
      <c r="AJ43" s="61">
        <v>930144</v>
      </c>
      <c r="AK43" s="61">
        <v>0</v>
      </c>
      <c r="AL43" s="61">
        <v>0</v>
      </c>
      <c r="AM43" s="61">
        <v>0</v>
      </c>
      <c r="AN43" s="61">
        <v>0</v>
      </c>
      <c r="AO43" s="61">
        <v>0</v>
      </c>
      <c r="AP43" s="61">
        <v>1070606</v>
      </c>
      <c r="AQ43" s="61">
        <v>817636</v>
      </c>
      <c r="AR43" s="61">
        <v>1333299</v>
      </c>
      <c r="AS43" s="61">
        <v>579506</v>
      </c>
      <c r="AT43" s="61">
        <v>485635</v>
      </c>
      <c r="AU43" s="61">
        <v>959926</v>
      </c>
      <c r="AV43" s="61">
        <v>707518</v>
      </c>
      <c r="AW43" s="61">
        <v>1059000</v>
      </c>
      <c r="AX43" s="61">
        <v>1275143</v>
      </c>
      <c r="AY43" s="61">
        <v>1089370</v>
      </c>
      <c r="AZ43" s="61">
        <v>1131250</v>
      </c>
      <c r="BA43" s="61">
        <v>0</v>
      </c>
      <c r="BB43" s="61">
        <v>0</v>
      </c>
      <c r="BC43" s="61">
        <v>0</v>
      </c>
      <c r="BD43" s="61">
        <v>0</v>
      </c>
      <c r="BE43" s="61">
        <v>0</v>
      </c>
      <c r="BF43" s="61">
        <v>604947</v>
      </c>
      <c r="BG43" s="61">
        <v>510111</v>
      </c>
      <c r="BH43" s="61">
        <v>725072</v>
      </c>
      <c r="BI43" s="61">
        <v>391388</v>
      </c>
      <c r="BJ43" s="61">
        <v>1313919</v>
      </c>
      <c r="BK43" s="61">
        <v>1253652</v>
      </c>
      <c r="BL43" s="61">
        <v>699138</v>
      </c>
      <c r="BM43" s="61">
        <v>485000</v>
      </c>
      <c r="BN43" s="61">
        <v>670524</v>
      </c>
      <c r="BO43" s="61">
        <v>359230</v>
      </c>
      <c r="BP43" s="61">
        <v>868367</v>
      </c>
      <c r="BQ43" s="61">
        <v>0</v>
      </c>
      <c r="BR43" s="61">
        <v>0</v>
      </c>
      <c r="BS43" s="61">
        <v>0</v>
      </c>
      <c r="BT43" s="61">
        <v>0</v>
      </c>
      <c r="BU43" s="61">
        <v>0</v>
      </c>
      <c r="BV43" s="61">
        <v>274400</v>
      </c>
      <c r="BW43" s="61">
        <v>714214</v>
      </c>
      <c r="BX43" s="61">
        <v>479214</v>
      </c>
      <c r="BY43" s="61">
        <v>482288</v>
      </c>
      <c r="BZ43" s="61">
        <v>554469</v>
      </c>
      <c r="CA43" s="61">
        <v>798225</v>
      </c>
      <c r="CB43" s="61">
        <v>617014</v>
      </c>
      <c r="CC43" s="61">
        <v>725511</v>
      </c>
      <c r="CD43" s="61">
        <v>438042</v>
      </c>
      <c r="CE43" s="61">
        <v>533171</v>
      </c>
      <c r="CF43" s="61">
        <v>313672</v>
      </c>
      <c r="CG43" s="61">
        <v>0</v>
      </c>
      <c r="CH43" s="61">
        <v>0</v>
      </c>
      <c r="CI43" s="61">
        <v>0</v>
      </c>
      <c r="CJ43" s="61">
        <v>0</v>
      </c>
      <c r="CK43" s="61">
        <v>0</v>
      </c>
      <c r="CL43" s="61">
        <v>368530</v>
      </c>
      <c r="CM43" s="61">
        <v>254965</v>
      </c>
      <c r="CN43" s="61">
        <v>390140</v>
      </c>
      <c r="CO43" s="61">
        <v>725850</v>
      </c>
      <c r="CP43" s="61">
        <v>976115</v>
      </c>
      <c r="CQ43" s="61">
        <v>635582</v>
      </c>
      <c r="CR43" s="61">
        <v>419217</v>
      </c>
      <c r="CS43" s="61">
        <v>527000</v>
      </c>
      <c r="CT43" s="61">
        <v>341291</v>
      </c>
      <c r="CU43" s="61">
        <v>467530</v>
      </c>
      <c r="CV43" s="61">
        <v>280577</v>
      </c>
      <c r="CW43" s="61">
        <v>0</v>
      </c>
      <c r="CX43" s="61">
        <v>0</v>
      </c>
      <c r="CY43" s="61">
        <v>0</v>
      </c>
      <c r="CZ43" s="61">
        <v>0</v>
      </c>
      <c r="DA43" s="61">
        <v>0</v>
      </c>
      <c r="DB43" s="61">
        <v>677341</v>
      </c>
      <c r="DC43" s="61">
        <v>762379</v>
      </c>
      <c r="DD43" s="61">
        <v>438482</v>
      </c>
      <c r="DE43" s="61">
        <v>446300</v>
      </c>
      <c r="DF43" s="61">
        <v>534054</v>
      </c>
      <c r="DG43" s="61">
        <v>453974</v>
      </c>
      <c r="DH43" s="61">
        <v>314250</v>
      </c>
      <c r="DI43" s="61">
        <v>546000</v>
      </c>
      <c r="DJ43" s="61">
        <v>303810</v>
      </c>
      <c r="DK43" s="61">
        <v>421222.17</v>
      </c>
      <c r="DL43" s="61">
        <v>286975</v>
      </c>
      <c r="DM43" s="61">
        <v>0</v>
      </c>
      <c r="DN43" s="61">
        <v>0</v>
      </c>
      <c r="DO43" s="61">
        <v>0</v>
      </c>
      <c r="DP43" s="61">
        <v>0</v>
      </c>
      <c r="DQ43" s="61">
        <v>0</v>
      </c>
      <c r="DR43" s="61">
        <v>770903</v>
      </c>
      <c r="DS43" s="61">
        <v>436353</v>
      </c>
      <c r="DT43" s="61">
        <v>548965</v>
      </c>
      <c r="DU43" s="61">
        <v>323631</v>
      </c>
      <c r="DV43" s="61">
        <v>827931</v>
      </c>
      <c r="DW43" s="61">
        <v>354152</v>
      </c>
      <c r="DX43" s="61">
        <v>477300</v>
      </c>
      <c r="DY43" s="61">
        <v>496050</v>
      </c>
      <c r="DZ43" s="61">
        <v>442850</v>
      </c>
      <c r="EA43" s="61">
        <v>391624</v>
      </c>
      <c r="EB43" s="61">
        <v>258418</v>
      </c>
      <c r="EC43" s="61">
        <v>0</v>
      </c>
      <c r="ED43" s="61">
        <v>0</v>
      </c>
      <c r="EE43" s="61">
        <v>0</v>
      </c>
      <c r="EF43" s="61">
        <v>0</v>
      </c>
      <c r="EG43" s="61">
        <v>0</v>
      </c>
      <c r="EH43" s="61">
        <v>639215</v>
      </c>
      <c r="EI43" s="61">
        <v>654427</v>
      </c>
      <c r="EJ43" s="61">
        <v>356963</v>
      </c>
      <c r="EK43" s="61">
        <v>793500</v>
      </c>
      <c r="EL43" s="61">
        <v>272148</v>
      </c>
      <c r="EM43" s="61">
        <v>391623</v>
      </c>
      <c r="EN43" s="61">
        <v>170669</v>
      </c>
      <c r="EO43" s="61">
        <v>467665</v>
      </c>
      <c r="EP43" s="61">
        <v>425320</v>
      </c>
      <c r="EQ43" s="61">
        <v>650505.67000000004</v>
      </c>
      <c r="ER43" s="61">
        <v>0</v>
      </c>
      <c r="ES43" s="61">
        <v>0</v>
      </c>
      <c r="ET43" s="61">
        <v>0</v>
      </c>
      <c r="EU43" s="61">
        <v>0</v>
      </c>
      <c r="EV43" s="61">
        <v>0</v>
      </c>
      <c r="EW43" s="61">
        <v>801038</v>
      </c>
      <c r="EX43" s="61">
        <v>479864</v>
      </c>
      <c r="EY43" s="61">
        <v>792187</v>
      </c>
      <c r="EZ43" s="61">
        <v>618189</v>
      </c>
      <c r="FA43" s="61">
        <v>753500</v>
      </c>
      <c r="FB43" s="61">
        <v>1126290</v>
      </c>
      <c r="FC43" s="61">
        <v>815770</v>
      </c>
      <c r="FD43" s="61">
        <v>561135</v>
      </c>
      <c r="FE43" s="61">
        <v>339770</v>
      </c>
      <c r="FF43" s="61">
        <v>610906</v>
      </c>
      <c r="FG43" s="61">
        <v>0</v>
      </c>
      <c r="FH43" s="168">
        <v>0</v>
      </c>
      <c r="FI43" s="168">
        <v>0</v>
      </c>
      <c r="FJ43" s="61">
        <v>0</v>
      </c>
      <c r="FK43" s="61">
        <v>0</v>
      </c>
      <c r="FL43" s="61">
        <v>986971</v>
      </c>
      <c r="FM43" s="61">
        <v>2213629</v>
      </c>
      <c r="FN43" s="61">
        <v>716431</v>
      </c>
      <c r="FO43" s="61">
        <v>769159</v>
      </c>
      <c r="FP43" s="61">
        <v>881389</v>
      </c>
      <c r="FQ43" s="61">
        <v>962180</v>
      </c>
      <c r="FR43" s="61">
        <v>720170</v>
      </c>
      <c r="FS43" s="61">
        <v>1392322</v>
      </c>
      <c r="FT43" s="61">
        <v>851260</v>
      </c>
      <c r="FU43" s="61">
        <v>646990</v>
      </c>
      <c r="FV43" s="61">
        <v>0</v>
      </c>
      <c r="FW43" s="61">
        <v>0</v>
      </c>
      <c r="FX43" s="61">
        <v>0</v>
      </c>
      <c r="FY43" s="61">
        <v>0</v>
      </c>
      <c r="FZ43" s="61">
        <v>0</v>
      </c>
      <c r="GA43" s="61">
        <v>784316</v>
      </c>
      <c r="GB43" s="61">
        <v>947489</v>
      </c>
      <c r="GC43" s="61">
        <v>738822</v>
      </c>
      <c r="GD43" s="61">
        <v>1249835</v>
      </c>
      <c r="GE43" s="61">
        <v>1777121</v>
      </c>
      <c r="GF43" s="61">
        <v>1339960</v>
      </c>
      <c r="GG43" s="61">
        <v>980003</v>
      </c>
      <c r="GH43" s="61">
        <v>1992997</v>
      </c>
      <c r="GI43" s="61">
        <v>490510</v>
      </c>
      <c r="GJ43" s="61">
        <v>1235251</v>
      </c>
      <c r="GK43" s="61"/>
      <c r="GL43" s="61">
        <f>AVERAGE(K43:T43)</f>
        <v>1253169.8999999999</v>
      </c>
      <c r="GM43" s="61">
        <f>AVERAGE(AA43:AJ43)</f>
        <v>1019872.1</v>
      </c>
      <c r="GN43" s="61">
        <f>AVERAGE(AP43:AZ43)</f>
        <v>955353.54545454541</v>
      </c>
      <c r="GO43" s="61">
        <f>AVERAGE(BF43:BP43)</f>
        <v>716486.18181818177</v>
      </c>
      <c r="GP43" s="61">
        <f>AVERAGE(BV43:CF43)</f>
        <v>539110.90909090906</v>
      </c>
      <c r="GQ43" s="61">
        <f>AVERAGE(CL43:CV43)</f>
        <v>489708.81818181818</v>
      </c>
      <c r="GR43" s="61">
        <f>AVERAGE(DB43:DL43)</f>
        <v>471344.28818181815</v>
      </c>
      <c r="GS43" s="61">
        <f>AVERAGE(DR43:EB43)</f>
        <v>484379.72727272729</v>
      </c>
      <c r="GT43" s="61">
        <f>AVERAGE(EH43:EQ43)</f>
        <v>482203.56699999998</v>
      </c>
      <c r="GU43" s="61">
        <f>AVERAGE(EW43:FF43)</f>
        <v>689864.9</v>
      </c>
      <c r="GV43" s="61">
        <f>AVERAGE(FL43:FU43)</f>
        <v>1014050.1</v>
      </c>
      <c r="GW43" s="61">
        <f>AVERAGE(GA43:GJ43)</f>
        <v>1153630.3999999999</v>
      </c>
      <c r="GX43" t="s">
        <v>846</v>
      </c>
      <c r="GY43" s="60" t="s">
        <v>279</v>
      </c>
    </row>
    <row r="44" spans="2:207">
      <c r="C44" t="s">
        <v>786</v>
      </c>
      <c r="D44" s="3" t="s">
        <v>283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762682</v>
      </c>
      <c r="L44" s="61">
        <v>1126428</v>
      </c>
      <c r="M44" s="61">
        <v>1010837</v>
      </c>
      <c r="N44" s="61">
        <v>676461</v>
      </c>
      <c r="O44" s="61">
        <v>678123</v>
      </c>
      <c r="P44" s="61">
        <v>1355872</v>
      </c>
      <c r="Q44" s="61">
        <v>809728</v>
      </c>
      <c r="R44" s="61">
        <v>1018806</v>
      </c>
      <c r="S44" s="61">
        <v>796970</v>
      </c>
      <c r="T44" s="61">
        <v>1118641</v>
      </c>
      <c r="U44" s="61">
        <v>0</v>
      </c>
      <c r="V44" s="61">
        <v>0</v>
      </c>
      <c r="W44" s="61">
        <v>0</v>
      </c>
      <c r="X44" s="61">
        <v>0</v>
      </c>
      <c r="Y44" s="61">
        <v>0</v>
      </c>
      <c r="Z44" s="61">
        <v>0</v>
      </c>
      <c r="AA44" s="61">
        <v>873203</v>
      </c>
      <c r="AB44" s="61">
        <v>1053990</v>
      </c>
      <c r="AC44" s="61">
        <v>812517</v>
      </c>
      <c r="AD44" s="61">
        <v>811913</v>
      </c>
      <c r="AE44" s="61">
        <v>1135706</v>
      </c>
      <c r="AF44" s="61">
        <v>1136238</v>
      </c>
      <c r="AG44" s="61">
        <v>898927</v>
      </c>
      <c r="AH44" s="61">
        <v>889738</v>
      </c>
      <c r="AI44" s="61">
        <v>1192890</v>
      </c>
      <c r="AJ44" s="61">
        <v>507893</v>
      </c>
      <c r="AK44" s="61">
        <v>0</v>
      </c>
      <c r="AL44" s="61">
        <v>0</v>
      </c>
      <c r="AM44" s="61">
        <v>0</v>
      </c>
      <c r="AN44" s="61">
        <v>0</v>
      </c>
      <c r="AO44" s="61">
        <v>0</v>
      </c>
      <c r="AP44" s="61">
        <v>0</v>
      </c>
      <c r="AQ44" s="61">
        <v>705350</v>
      </c>
      <c r="AR44" s="61">
        <v>1276207</v>
      </c>
      <c r="AS44" s="61">
        <v>1355899</v>
      </c>
      <c r="AT44" s="61">
        <v>941855</v>
      </c>
      <c r="AU44" s="61">
        <v>978824</v>
      </c>
      <c r="AV44" s="61">
        <v>1333587</v>
      </c>
      <c r="AW44" s="61">
        <v>1137435</v>
      </c>
      <c r="AX44" s="61">
        <v>1035438.0000000001</v>
      </c>
      <c r="AY44" s="61">
        <v>904130</v>
      </c>
      <c r="AZ44" s="61">
        <v>1192257</v>
      </c>
      <c r="BA44" s="61">
        <v>0</v>
      </c>
      <c r="BB44" s="61">
        <v>0</v>
      </c>
      <c r="BC44" s="61">
        <v>0</v>
      </c>
      <c r="BD44" s="61">
        <v>0</v>
      </c>
      <c r="BE44" s="61">
        <v>0</v>
      </c>
      <c r="BF44" s="61">
        <v>0</v>
      </c>
      <c r="BG44" s="61">
        <v>1086235</v>
      </c>
      <c r="BH44" s="61">
        <v>699186</v>
      </c>
      <c r="BI44" s="61">
        <v>1200767</v>
      </c>
      <c r="BJ44" s="61">
        <v>1052740</v>
      </c>
      <c r="BK44" s="61">
        <v>866651</v>
      </c>
      <c r="BL44" s="61">
        <v>712334</v>
      </c>
      <c r="BM44" s="61">
        <v>1072164</v>
      </c>
      <c r="BN44" s="61">
        <v>1046368.9999999999</v>
      </c>
      <c r="BO44" s="61">
        <v>737060</v>
      </c>
      <c r="BP44" s="61">
        <v>1272051</v>
      </c>
      <c r="BQ44" s="61">
        <v>0</v>
      </c>
      <c r="BR44" s="61">
        <v>0</v>
      </c>
      <c r="BS44" s="61">
        <v>0</v>
      </c>
      <c r="BT44" s="61">
        <v>0</v>
      </c>
      <c r="BU44" s="61">
        <v>0</v>
      </c>
      <c r="BV44" s="61">
        <v>0</v>
      </c>
      <c r="BW44" s="61">
        <v>922847</v>
      </c>
      <c r="BX44" s="61">
        <v>861768</v>
      </c>
      <c r="BY44" s="61">
        <v>956630</v>
      </c>
      <c r="BZ44" s="61">
        <v>925506</v>
      </c>
      <c r="CA44" s="61">
        <v>756469</v>
      </c>
      <c r="CB44" s="61">
        <v>1006794</v>
      </c>
      <c r="CC44" s="61">
        <v>1042439.0000000001</v>
      </c>
      <c r="CD44" s="61">
        <v>1476156</v>
      </c>
      <c r="CE44" s="61">
        <v>994809</v>
      </c>
      <c r="CF44" s="61">
        <v>697181</v>
      </c>
      <c r="CG44" s="61">
        <v>0</v>
      </c>
      <c r="CH44" s="61">
        <v>0</v>
      </c>
      <c r="CI44" s="61">
        <v>0</v>
      </c>
      <c r="CJ44" s="61">
        <v>0</v>
      </c>
      <c r="CK44" s="61">
        <v>0</v>
      </c>
      <c r="CL44" s="61">
        <v>0</v>
      </c>
      <c r="CM44" s="61">
        <v>317038</v>
      </c>
      <c r="CN44" s="61">
        <v>532196</v>
      </c>
      <c r="CO44" s="61">
        <v>438977</v>
      </c>
      <c r="CP44" s="61">
        <v>680202</v>
      </c>
      <c r="CQ44" s="61">
        <v>737228</v>
      </c>
      <c r="CR44" s="61">
        <v>755166</v>
      </c>
      <c r="CS44" s="61">
        <v>564558</v>
      </c>
      <c r="CT44" s="61">
        <v>521345</v>
      </c>
      <c r="CU44" s="61">
        <v>593800</v>
      </c>
      <c r="CV44" s="61">
        <v>443945</v>
      </c>
      <c r="CW44" s="61">
        <v>0</v>
      </c>
      <c r="CX44" s="61">
        <v>0</v>
      </c>
      <c r="CY44" s="61">
        <v>0</v>
      </c>
      <c r="CZ44" s="61">
        <v>0</v>
      </c>
      <c r="DA44" s="61">
        <v>0</v>
      </c>
      <c r="DB44" s="61">
        <v>0</v>
      </c>
      <c r="DC44" s="61">
        <v>596233</v>
      </c>
      <c r="DD44" s="61">
        <v>529606</v>
      </c>
      <c r="DE44" s="61">
        <v>497897</v>
      </c>
      <c r="DF44" s="61">
        <v>435263</v>
      </c>
      <c r="DG44" s="61">
        <v>441028</v>
      </c>
      <c r="DH44" s="61">
        <v>827814</v>
      </c>
      <c r="DI44" s="61">
        <v>694737</v>
      </c>
      <c r="DJ44" s="61">
        <v>516370</v>
      </c>
      <c r="DK44" s="61">
        <v>857953.83</v>
      </c>
      <c r="DL44" s="61">
        <v>267468</v>
      </c>
      <c r="DM44" s="61">
        <v>0</v>
      </c>
      <c r="DN44" s="61">
        <v>0</v>
      </c>
      <c r="DO44" s="61">
        <v>0</v>
      </c>
      <c r="DP44" s="61">
        <v>0</v>
      </c>
      <c r="DQ44" s="61">
        <v>0</v>
      </c>
      <c r="DR44" s="61">
        <v>0</v>
      </c>
      <c r="DS44" s="61">
        <v>471959</v>
      </c>
      <c r="DT44" s="61">
        <v>464233</v>
      </c>
      <c r="DU44" s="61">
        <v>597225</v>
      </c>
      <c r="DV44" s="61">
        <v>607312</v>
      </c>
      <c r="DW44" s="61">
        <v>521254</v>
      </c>
      <c r="DX44" s="61">
        <v>335004</v>
      </c>
      <c r="DY44" s="61">
        <v>780019</v>
      </c>
      <c r="DZ44" s="61">
        <v>720520</v>
      </c>
      <c r="EA44" s="61">
        <v>697071</v>
      </c>
      <c r="EB44" s="61">
        <v>262949</v>
      </c>
      <c r="EC44" s="61">
        <v>0</v>
      </c>
      <c r="ED44" s="61">
        <v>0</v>
      </c>
      <c r="EE44" s="61">
        <v>0</v>
      </c>
      <c r="EF44" s="61">
        <v>0</v>
      </c>
      <c r="EG44" s="61">
        <v>0</v>
      </c>
      <c r="EH44" s="61">
        <v>0</v>
      </c>
      <c r="EI44" s="61">
        <v>458515</v>
      </c>
      <c r="EJ44" s="61">
        <v>584910</v>
      </c>
      <c r="EK44" s="61">
        <v>715013</v>
      </c>
      <c r="EL44" s="61">
        <v>824363</v>
      </c>
      <c r="EM44" s="61">
        <v>895304</v>
      </c>
      <c r="EN44" s="61">
        <v>663169</v>
      </c>
      <c r="EO44" s="61">
        <v>492634</v>
      </c>
      <c r="EP44" s="61">
        <v>723600</v>
      </c>
      <c r="EQ44" s="61">
        <v>480740.67</v>
      </c>
      <c r="ER44" s="61">
        <v>0</v>
      </c>
      <c r="ES44" s="61">
        <v>0</v>
      </c>
      <c r="ET44" s="61">
        <v>0</v>
      </c>
      <c r="EU44" s="61">
        <v>0</v>
      </c>
      <c r="EV44" s="61">
        <v>0</v>
      </c>
      <c r="EW44" s="61">
        <v>0</v>
      </c>
      <c r="EX44" s="61">
        <v>903633</v>
      </c>
      <c r="EY44" s="61">
        <v>1453442</v>
      </c>
      <c r="EZ44" s="61">
        <v>952133</v>
      </c>
      <c r="FA44" s="61">
        <v>1105941</v>
      </c>
      <c r="FB44" s="61">
        <v>1132644</v>
      </c>
      <c r="FC44" s="61">
        <v>1093482</v>
      </c>
      <c r="FD44" s="61">
        <v>1035534.0000000001</v>
      </c>
      <c r="FE44" s="61">
        <v>699370</v>
      </c>
      <c r="FF44" s="61">
        <v>899570</v>
      </c>
      <c r="FG44" s="61">
        <v>0</v>
      </c>
      <c r="FH44" s="168">
        <v>0</v>
      </c>
      <c r="FI44" s="168">
        <v>0</v>
      </c>
      <c r="FJ44" s="61">
        <v>0</v>
      </c>
      <c r="FK44" s="61">
        <v>0</v>
      </c>
      <c r="FL44" s="61">
        <v>0</v>
      </c>
      <c r="FM44" s="61">
        <v>1361931</v>
      </c>
      <c r="FN44" s="61">
        <v>698520</v>
      </c>
      <c r="FO44" s="61">
        <v>1297542</v>
      </c>
      <c r="FP44" s="61">
        <v>1229140</v>
      </c>
      <c r="FQ44" s="61">
        <v>989169</v>
      </c>
      <c r="FR44" s="61">
        <v>1189128</v>
      </c>
      <c r="FS44" s="61">
        <v>717301</v>
      </c>
      <c r="FT44" s="61">
        <v>908770</v>
      </c>
      <c r="FU44" s="61">
        <v>1021480</v>
      </c>
      <c r="FV44" s="61">
        <v>0</v>
      </c>
      <c r="FW44" s="61">
        <v>0</v>
      </c>
      <c r="FX44" s="61">
        <v>0</v>
      </c>
      <c r="FY44" s="61">
        <v>0</v>
      </c>
      <c r="FZ44" s="61">
        <v>0</v>
      </c>
      <c r="GA44" s="61">
        <v>970918</v>
      </c>
      <c r="GB44" s="61">
        <v>973195</v>
      </c>
      <c r="GC44" s="61">
        <v>1500705</v>
      </c>
      <c r="GD44" s="61">
        <v>1101670</v>
      </c>
      <c r="GE44" s="61">
        <v>1131893</v>
      </c>
      <c r="GF44" s="61">
        <v>1097668</v>
      </c>
      <c r="GG44" s="61">
        <v>781055</v>
      </c>
      <c r="GH44" s="61">
        <v>1592301.6666999999</v>
      </c>
      <c r="GI44" s="61">
        <v>835950</v>
      </c>
      <c r="GJ44" s="61">
        <v>847924</v>
      </c>
      <c r="GK44" s="61"/>
      <c r="GL44" s="61">
        <f>AVERAGE(K44:T44)</f>
        <v>935454.8</v>
      </c>
      <c r="GM44" s="61">
        <f>AVERAGE(AA44:AJ44)</f>
        <v>931301.5</v>
      </c>
      <c r="GN44" s="61">
        <f>AVERAGE(AQ44:AZ44)</f>
        <v>1086098.2</v>
      </c>
      <c r="GO44" s="61">
        <f>AVERAGE(BG44:BP44)</f>
        <v>974555.7</v>
      </c>
      <c r="GP44" s="61">
        <f>AVERAGE(BW44:CF44)</f>
        <v>964059.9</v>
      </c>
      <c r="GQ44" s="61">
        <f>AVERAGE(CM44:CV44)</f>
        <v>558445.5</v>
      </c>
      <c r="GR44" s="61">
        <f>AVERAGE(DC44:DL44)</f>
        <v>566436.98300000001</v>
      </c>
      <c r="GS44" s="61">
        <f>AVERAGE(DS44:EB44)</f>
        <v>545754.6</v>
      </c>
      <c r="GT44" s="61">
        <f>AVERAGE(EI44:EQ44)</f>
        <v>648694.29666666663</v>
      </c>
      <c r="GU44" s="61">
        <f>AVERAGE(EX44:FF44)</f>
        <v>1030638.7777777778</v>
      </c>
      <c r="GV44" s="61">
        <f>AVERAGE(FM44:FU44)</f>
        <v>1045886.7777777778</v>
      </c>
      <c r="GW44" s="61">
        <f>AVERAGE(GA44:GJ44)</f>
        <v>1083327.96667</v>
      </c>
      <c r="GX44" t="s">
        <v>846</v>
      </c>
      <c r="GY44" s="3" t="s">
        <v>283</v>
      </c>
    </row>
    <row r="45" spans="2:207">
      <c r="D45" s="60" t="s">
        <v>303</v>
      </c>
      <c r="E45" s="61">
        <v>0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1">
        <v>420215</v>
      </c>
      <c r="L45" s="61">
        <v>1180127</v>
      </c>
      <c r="M45" s="61">
        <v>2094050</v>
      </c>
      <c r="N45" s="61">
        <v>1064219</v>
      </c>
      <c r="O45" s="61">
        <v>1334640</v>
      </c>
      <c r="P45" s="61">
        <v>2140358</v>
      </c>
      <c r="Q45" s="61">
        <v>1947000</v>
      </c>
      <c r="R45" s="61">
        <v>2138000</v>
      </c>
      <c r="S45" s="61">
        <v>1021570</v>
      </c>
      <c r="T45" s="61">
        <v>2373001</v>
      </c>
      <c r="U45" s="61">
        <v>0</v>
      </c>
      <c r="V45" s="61">
        <v>0</v>
      </c>
      <c r="W45" s="61">
        <v>0</v>
      </c>
      <c r="X45" s="61">
        <v>0</v>
      </c>
      <c r="Y45" s="61">
        <v>0</v>
      </c>
      <c r="Z45" s="61">
        <v>0</v>
      </c>
      <c r="AA45" s="61">
        <v>173201</v>
      </c>
      <c r="AB45" s="61">
        <v>1507603</v>
      </c>
      <c r="AC45" s="61">
        <v>1623952</v>
      </c>
      <c r="AD45" s="61">
        <v>758680</v>
      </c>
      <c r="AE45" s="61">
        <v>1346533</v>
      </c>
      <c r="AF45" s="61">
        <v>2554869</v>
      </c>
      <c r="AG45" s="61">
        <v>1609000</v>
      </c>
      <c r="AH45" s="61">
        <v>1879647</v>
      </c>
      <c r="AI45" s="61">
        <v>1573030</v>
      </c>
      <c r="AJ45" s="61">
        <v>1560911</v>
      </c>
      <c r="AK45" s="61">
        <v>0</v>
      </c>
      <c r="AL45" s="61">
        <v>0</v>
      </c>
      <c r="AM45" s="61">
        <v>0</v>
      </c>
      <c r="AN45" s="61">
        <v>0</v>
      </c>
      <c r="AO45" s="61">
        <v>0</v>
      </c>
      <c r="AP45" s="61">
        <v>0</v>
      </c>
      <c r="AQ45" s="61">
        <v>982565</v>
      </c>
      <c r="AR45" s="61">
        <v>2006048</v>
      </c>
      <c r="AS45" s="61">
        <v>992194</v>
      </c>
      <c r="AT45" s="61">
        <v>788798</v>
      </c>
      <c r="AU45" s="61">
        <v>1223468</v>
      </c>
      <c r="AV45" s="61">
        <v>1047742.9999999999</v>
      </c>
      <c r="AW45" s="61">
        <v>1599000</v>
      </c>
      <c r="AX45" s="61">
        <v>1984820</v>
      </c>
      <c r="AY45" s="61">
        <v>1636980</v>
      </c>
      <c r="AZ45" s="61">
        <v>1682136</v>
      </c>
      <c r="BA45" s="61">
        <v>0</v>
      </c>
      <c r="BB45" s="61">
        <v>0</v>
      </c>
      <c r="BC45" s="61">
        <v>0</v>
      </c>
      <c r="BD45" s="61">
        <v>0</v>
      </c>
      <c r="BE45" s="61">
        <v>0</v>
      </c>
      <c r="BF45" s="61">
        <v>0</v>
      </c>
      <c r="BG45" s="61">
        <v>783998</v>
      </c>
      <c r="BH45" s="61">
        <v>1270713</v>
      </c>
      <c r="BI45" s="61">
        <v>613263</v>
      </c>
      <c r="BJ45" s="61">
        <v>1898616</v>
      </c>
      <c r="BK45" s="61">
        <v>1855024</v>
      </c>
      <c r="BL45" s="61">
        <v>1052352</v>
      </c>
      <c r="BM45" s="61">
        <v>866000</v>
      </c>
      <c r="BN45" s="61">
        <v>1066314</v>
      </c>
      <c r="BO45" s="61">
        <v>695830</v>
      </c>
      <c r="BP45" s="61">
        <v>1200899</v>
      </c>
      <c r="BQ45" s="61">
        <v>0</v>
      </c>
      <c r="BR45" s="61">
        <v>0</v>
      </c>
      <c r="BS45" s="61">
        <v>0</v>
      </c>
      <c r="BT45" s="61">
        <v>0</v>
      </c>
      <c r="BU45" s="61">
        <v>0</v>
      </c>
      <c r="BV45" s="61">
        <v>0</v>
      </c>
      <c r="BW45" s="61">
        <v>1048988</v>
      </c>
      <c r="BX45" s="61">
        <v>931910</v>
      </c>
      <c r="BY45" s="61">
        <v>706403</v>
      </c>
      <c r="BZ45" s="61">
        <v>944022</v>
      </c>
      <c r="CA45" s="61">
        <v>1269671</v>
      </c>
      <c r="CB45" s="61">
        <v>979630</v>
      </c>
      <c r="CC45" s="61">
        <v>1142506</v>
      </c>
      <c r="CD45" s="61">
        <v>671100</v>
      </c>
      <c r="CE45" s="61">
        <v>556352</v>
      </c>
      <c r="CF45" s="61">
        <v>656660</v>
      </c>
      <c r="CG45" s="61">
        <v>0</v>
      </c>
      <c r="CH45" s="61">
        <v>0</v>
      </c>
      <c r="CI45" s="61">
        <v>0</v>
      </c>
      <c r="CJ45" s="61">
        <v>0</v>
      </c>
      <c r="CK45" s="61">
        <v>0</v>
      </c>
      <c r="CL45" s="61">
        <v>0</v>
      </c>
      <c r="CM45" s="61">
        <v>490915</v>
      </c>
      <c r="CN45" s="61">
        <v>836679</v>
      </c>
      <c r="CO45" s="61">
        <v>1131072</v>
      </c>
      <c r="CP45" s="61">
        <v>1434785</v>
      </c>
      <c r="CQ45" s="61">
        <v>1087666</v>
      </c>
      <c r="CR45" s="61">
        <v>710450</v>
      </c>
      <c r="CS45" s="61">
        <v>917000</v>
      </c>
      <c r="CT45" s="61">
        <v>588827</v>
      </c>
      <c r="CU45" s="61">
        <v>808330</v>
      </c>
      <c r="CV45" s="61">
        <v>634038</v>
      </c>
      <c r="CW45" s="61">
        <v>0</v>
      </c>
      <c r="CX45" s="61">
        <v>0</v>
      </c>
      <c r="CY45" s="61">
        <v>0</v>
      </c>
      <c r="CZ45" s="61">
        <v>0</v>
      </c>
      <c r="DA45" s="61">
        <v>0</v>
      </c>
      <c r="DB45" s="61">
        <v>0</v>
      </c>
      <c r="DC45" s="61">
        <v>1206080</v>
      </c>
      <c r="DD45" s="61">
        <v>732180</v>
      </c>
      <c r="DE45" s="61">
        <v>697672</v>
      </c>
      <c r="DF45" s="61">
        <v>855285</v>
      </c>
      <c r="DG45" s="61">
        <v>935556</v>
      </c>
      <c r="DH45" s="61">
        <v>635421</v>
      </c>
      <c r="DI45" s="61">
        <v>851000</v>
      </c>
      <c r="DJ45" s="61">
        <v>555480</v>
      </c>
      <c r="DK45" s="61">
        <v>874555.67</v>
      </c>
      <c r="DL45" s="61">
        <v>564302</v>
      </c>
      <c r="DM45" s="61">
        <v>0</v>
      </c>
      <c r="DN45" s="61">
        <v>0</v>
      </c>
      <c r="DO45" s="61">
        <v>0</v>
      </c>
      <c r="DP45" s="61">
        <v>0</v>
      </c>
      <c r="DQ45" s="61">
        <v>0</v>
      </c>
      <c r="DR45" s="61">
        <v>0</v>
      </c>
      <c r="DS45" s="61">
        <v>642400</v>
      </c>
      <c r="DT45" s="61">
        <v>869872</v>
      </c>
      <c r="DU45" s="61">
        <v>421921</v>
      </c>
      <c r="DV45" s="61">
        <v>1137834</v>
      </c>
      <c r="DW45" s="61">
        <v>637630</v>
      </c>
      <c r="DX45" s="61">
        <v>770996</v>
      </c>
      <c r="DY45" s="61">
        <v>801323</v>
      </c>
      <c r="DZ45" s="61">
        <v>719940</v>
      </c>
      <c r="EA45" s="61">
        <v>576872</v>
      </c>
      <c r="EB45" s="61">
        <v>464870</v>
      </c>
      <c r="EC45" s="61">
        <v>0</v>
      </c>
      <c r="ED45" s="61">
        <v>0</v>
      </c>
      <c r="EE45" s="61">
        <v>0</v>
      </c>
      <c r="EF45" s="61">
        <v>0</v>
      </c>
      <c r="EG45" s="61">
        <v>0</v>
      </c>
      <c r="EH45" s="61">
        <v>0</v>
      </c>
      <c r="EI45" s="61">
        <v>1182729</v>
      </c>
      <c r="EJ45" s="61">
        <v>556680</v>
      </c>
      <c r="EK45" s="61">
        <v>1015031</v>
      </c>
      <c r="EL45" s="61">
        <v>636106</v>
      </c>
      <c r="EM45" s="61">
        <v>633233</v>
      </c>
      <c r="EN45" s="61">
        <v>346332</v>
      </c>
      <c r="EO45" s="61">
        <v>926032</v>
      </c>
      <c r="EP45" s="61">
        <v>634420</v>
      </c>
      <c r="EQ45" s="61">
        <v>1043832.33</v>
      </c>
      <c r="ER45" s="61">
        <v>0</v>
      </c>
      <c r="ES45" s="61">
        <v>0</v>
      </c>
      <c r="ET45" s="61">
        <v>0</v>
      </c>
      <c r="EU45" s="61">
        <v>0</v>
      </c>
      <c r="EV45" s="61">
        <v>0</v>
      </c>
      <c r="EW45" s="61">
        <v>0</v>
      </c>
      <c r="EX45" s="61">
        <v>705271</v>
      </c>
      <c r="EY45" s="61">
        <v>1316967</v>
      </c>
      <c r="EZ45" s="61">
        <v>816848</v>
      </c>
      <c r="FA45" s="61">
        <v>1220606</v>
      </c>
      <c r="FB45" s="61">
        <v>1665631</v>
      </c>
      <c r="FC45" s="61">
        <v>1191948</v>
      </c>
      <c r="FD45" s="61">
        <v>1035661</v>
      </c>
      <c r="FE45" s="61">
        <v>680950</v>
      </c>
      <c r="FF45" s="61">
        <v>918940</v>
      </c>
      <c r="FG45" s="61">
        <v>0</v>
      </c>
      <c r="FH45" s="168">
        <v>0</v>
      </c>
      <c r="FI45" s="168">
        <v>0</v>
      </c>
      <c r="FJ45" s="61">
        <v>0</v>
      </c>
      <c r="FK45" s="61">
        <v>0</v>
      </c>
      <c r="FL45" s="61">
        <v>0</v>
      </c>
      <c r="FM45" s="61">
        <v>2965460</v>
      </c>
      <c r="FN45" s="61">
        <v>1150850</v>
      </c>
      <c r="FO45" s="61">
        <v>988228</v>
      </c>
      <c r="FP45" s="61">
        <v>1296992</v>
      </c>
      <c r="FQ45" s="61">
        <v>1486601</v>
      </c>
      <c r="FR45" s="61">
        <v>1128892</v>
      </c>
      <c r="FS45" s="61">
        <v>2118836</v>
      </c>
      <c r="FT45" s="61">
        <v>1384380</v>
      </c>
      <c r="FU45" s="61">
        <v>1173882</v>
      </c>
      <c r="FV45" s="61">
        <v>0</v>
      </c>
      <c r="FW45" s="61">
        <v>0</v>
      </c>
      <c r="FX45" s="61">
        <v>0</v>
      </c>
      <c r="FY45" s="61">
        <v>0</v>
      </c>
      <c r="FZ45" s="61">
        <v>0</v>
      </c>
      <c r="GA45" s="61">
        <v>0</v>
      </c>
      <c r="GB45" s="61">
        <v>1439808</v>
      </c>
      <c r="GC45" s="61">
        <v>1112390</v>
      </c>
      <c r="GD45" s="61">
        <v>1935679</v>
      </c>
      <c r="GE45" s="61">
        <v>2473750</v>
      </c>
      <c r="GF45" s="61">
        <v>1721580</v>
      </c>
      <c r="GG45" s="61">
        <v>1590558</v>
      </c>
      <c r="GH45" s="61">
        <v>2599520</v>
      </c>
      <c r="GI45" s="61">
        <v>702760</v>
      </c>
      <c r="GJ45" s="61">
        <v>1905750</v>
      </c>
      <c r="GK45" s="61"/>
      <c r="GL45" s="61">
        <f>AVERAGE(K45:T45)</f>
        <v>1571318</v>
      </c>
      <c r="GM45" s="61">
        <f>AVERAGE(AA45:AJ45)</f>
        <v>1458742.6</v>
      </c>
      <c r="GN45" s="61">
        <f>AVERAGE(AQ45:AZ45)</f>
        <v>1394375.2</v>
      </c>
      <c r="GO45" s="61">
        <f>AVERAGE(BG45:BP45)</f>
        <v>1130300.8999999999</v>
      </c>
      <c r="GP45" s="61">
        <f>AVERAGE(BW45:CF45)</f>
        <v>890724.2</v>
      </c>
      <c r="GQ45" s="61">
        <f>AVERAGE(CM45:CV45)</f>
        <v>863976.2</v>
      </c>
      <c r="GR45" s="61">
        <f>AVERAGE(DC45:DL45)</f>
        <v>790753.16700000002</v>
      </c>
      <c r="GS45" s="61">
        <f>AVERAGE(DS45:EB45)</f>
        <v>704365.8</v>
      </c>
      <c r="GT45" s="61">
        <f>AVERAGE(EI45:EQ45)</f>
        <v>774932.81444444449</v>
      </c>
      <c r="GU45" s="61">
        <f>AVERAGE(EX45:FF45)</f>
        <v>1061424.6666666667</v>
      </c>
      <c r="GV45" s="61">
        <f>AVERAGE(FM45:FU45)</f>
        <v>1521569</v>
      </c>
      <c r="GW45" s="61">
        <f>AVERAGE(GB45:GJ45)</f>
        <v>1720199.4444444445</v>
      </c>
      <c r="GX45" t="s">
        <v>846</v>
      </c>
      <c r="GY45" s="60" t="s">
        <v>303</v>
      </c>
    </row>
    <row r="46" spans="2:207">
      <c r="D46" s="60" t="s">
        <v>280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/>
      <c r="L46" s="61">
        <v>1011910</v>
      </c>
      <c r="M46" s="61">
        <v>1890615</v>
      </c>
      <c r="N46" s="61">
        <v>2638829</v>
      </c>
      <c r="O46" s="61">
        <v>1387253</v>
      </c>
      <c r="P46" s="61">
        <v>2508292</v>
      </c>
      <c r="Q46" s="61">
        <v>2382000</v>
      </c>
      <c r="R46" s="61">
        <v>2765000</v>
      </c>
      <c r="S46" s="61">
        <v>1930800</v>
      </c>
      <c r="T46" s="61">
        <v>3175181</v>
      </c>
      <c r="U46" s="61">
        <v>0</v>
      </c>
      <c r="V46" s="61">
        <v>0</v>
      </c>
      <c r="W46" s="61">
        <v>0</v>
      </c>
      <c r="X46" s="61">
        <v>0</v>
      </c>
      <c r="Y46" s="61">
        <v>0</v>
      </c>
      <c r="Z46" s="61">
        <v>0</v>
      </c>
      <c r="AA46" s="61"/>
      <c r="AB46" s="61">
        <v>2188674</v>
      </c>
      <c r="AC46" s="61">
        <v>951373</v>
      </c>
      <c r="AD46" s="61">
        <v>1542779</v>
      </c>
      <c r="AE46" s="61">
        <v>1677066</v>
      </c>
      <c r="AF46" s="61">
        <v>3063401</v>
      </c>
      <c r="AG46" s="61">
        <v>1905000</v>
      </c>
      <c r="AH46" s="61">
        <v>2876387</v>
      </c>
      <c r="AI46" s="61">
        <v>1978940</v>
      </c>
      <c r="AJ46" s="61">
        <v>1966476</v>
      </c>
      <c r="AK46" s="61">
        <v>0</v>
      </c>
      <c r="AL46" s="61">
        <v>0</v>
      </c>
      <c r="AM46" s="61">
        <v>0</v>
      </c>
      <c r="AN46" s="61">
        <v>0</v>
      </c>
      <c r="AO46" s="61">
        <v>0</v>
      </c>
      <c r="AP46" s="61">
        <v>0</v>
      </c>
      <c r="AQ46" s="61">
        <v>332750.83</v>
      </c>
      <c r="AR46" s="61">
        <v>2653201</v>
      </c>
      <c r="AS46" s="61">
        <v>2172445</v>
      </c>
      <c r="AT46" s="61">
        <v>1280190</v>
      </c>
      <c r="AU46" s="61">
        <v>1521442</v>
      </c>
      <c r="AV46" s="61">
        <v>1470364</v>
      </c>
      <c r="AW46" s="61">
        <v>1857000</v>
      </c>
      <c r="AX46" s="61">
        <v>2361523</v>
      </c>
      <c r="AY46" s="61">
        <v>2331580</v>
      </c>
      <c r="AZ46" s="61">
        <v>2011353</v>
      </c>
      <c r="BA46" s="61">
        <v>0</v>
      </c>
      <c r="BB46" s="61">
        <v>0</v>
      </c>
      <c r="BC46" s="61">
        <v>0</v>
      </c>
      <c r="BD46" s="61">
        <v>0</v>
      </c>
      <c r="BE46" s="61">
        <v>0</v>
      </c>
      <c r="BF46" s="61">
        <v>0</v>
      </c>
      <c r="BG46" s="61">
        <v>650637.5</v>
      </c>
      <c r="BH46" s="61">
        <v>1510961</v>
      </c>
      <c r="BI46" s="61">
        <v>1087736</v>
      </c>
      <c r="BJ46" s="61">
        <v>1926908</v>
      </c>
      <c r="BK46" s="61">
        <v>1766991</v>
      </c>
      <c r="BL46" s="61">
        <v>1120792</v>
      </c>
      <c r="BM46" s="61">
        <v>1445000</v>
      </c>
      <c r="BN46" s="61">
        <v>1366943</v>
      </c>
      <c r="BO46" s="61">
        <v>941780</v>
      </c>
      <c r="BP46" s="61">
        <v>1765529</v>
      </c>
      <c r="BQ46" s="61">
        <v>0</v>
      </c>
      <c r="BR46" s="61">
        <v>0</v>
      </c>
      <c r="BS46" s="61">
        <v>0</v>
      </c>
      <c r="BT46" s="61">
        <v>0</v>
      </c>
      <c r="BU46" s="61">
        <v>0</v>
      </c>
      <c r="BV46" s="61">
        <v>0</v>
      </c>
      <c r="BW46" s="61">
        <v>1134692</v>
      </c>
      <c r="BX46" s="61">
        <v>1182741</v>
      </c>
      <c r="BY46" s="61">
        <v>1151015</v>
      </c>
      <c r="BZ46" s="61">
        <v>1448943</v>
      </c>
      <c r="CA46" s="61">
        <v>1049578</v>
      </c>
      <c r="CB46" s="61">
        <v>1754890</v>
      </c>
      <c r="CC46" s="61">
        <v>1357353</v>
      </c>
      <c r="CD46" s="61">
        <v>1324000</v>
      </c>
      <c r="CE46" s="61">
        <v>1123208</v>
      </c>
      <c r="CF46" s="61">
        <v>1112819</v>
      </c>
      <c r="CG46" s="61">
        <v>0</v>
      </c>
      <c r="CH46" s="61">
        <v>0</v>
      </c>
      <c r="CI46" s="61">
        <v>0</v>
      </c>
      <c r="CJ46" s="61">
        <v>0</v>
      </c>
      <c r="CK46" s="61">
        <v>0</v>
      </c>
      <c r="CL46" s="61">
        <v>0</v>
      </c>
      <c r="CM46" s="61">
        <v>1246805</v>
      </c>
      <c r="CN46" s="61">
        <v>1073786</v>
      </c>
      <c r="CO46" s="61">
        <v>1305403</v>
      </c>
      <c r="CP46" s="61">
        <v>1184055</v>
      </c>
      <c r="CQ46" s="61">
        <v>1270176</v>
      </c>
      <c r="CR46" s="61">
        <v>1079941</v>
      </c>
      <c r="CS46" s="61">
        <v>1072000</v>
      </c>
      <c r="CT46" s="61">
        <v>785742</v>
      </c>
      <c r="CU46" s="61">
        <v>1177160</v>
      </c>
      <c r="CV46" s="61">
        <v>775122</v>
      </c>
      <c r="CW46" s="61">
        <v>0</v>
      </c>
      <c r="CX46" s="61">
        <v>0</v>
      </c>
      <c r="CY46" s="61">
        <v>0</v>
      </c>
      <c r="CZ46" s="61">
        <v>0</v>
      </c>
      <c r="DA46" s="61">
        <v>0</v>
      </c>
      <c r="DB46" s="61">
        <v>0</v>
      </c>
      <c r="DC46" s="61">
        <v>1409204</v>
      </c>
      <c r="DD46" s="61">
        <v>817276</v>
      </c>
      <c r="DE46" s="61">
        <v>1164021</v>
      </c>
      <c r="DF46" s="61">
        <v>1477284</v>
      </c>
      <c r="DG46" s="61">
        <v>1106539</v>
      </c>
      <c r="DH46" s="61">
        <v>1098794</v>
      </c>
      <c r="DI46" s="61">
        <v>1510000</v>
      </c>
      <c r="DJ46" s="61">
        <v>715390</v>
      </c>
      <c r="DK46" s="61">
        <v>974584</v>
      </c>
      <c r="DL46" s="61">
        <v>757212</v>
      </c>
      <c r="DM46" s="61">
        <v>0</v>
      </c>
      <c r="DN46" s="61">
        <v>0</v>
      </c>
      <c r="DO46" s="61">
        <v>0</v>
      </c>
      <c r="DP46" s="61">
        <v>0</v>
      </c>
      <c r="DQ46" s="61">
        <v>0</v>
      </c>
      <c r="DR46" s="61">
        <v>0</v>
      </c>
      <c r="DS46" s="61">
        <v>821463</v>
      </c>
      <c r="DT46" s="61">
        <v>1378725</v>
      </c>
      <c r="DU46" s="61">
        <v>1091396</v>
      </c>
      <c r="DV46" s="61">
        <v>1198424</v>
      </c>
      <c r="DW46" s="61">
        <v>718904</v>
      </c>
      <c r="DX46" s="61">
        <v>1025875</v>
      </c>
      <c r="DY46" s="61">
        <v>1131056</v>
      </c>
      <c r="DZ46" s="61">
        <v>757090</v>
      </c>
      <c r="EA46" s="61">
        <v>805176</v>
      </c>
      <c r="EB46" s="61">
        <v>862812</v>
      </c>
      <c r="EC46" s="61">
        <v>0</v>
      </c>
      <c r="ED46" s="61">
        <v>0</v>
      </c>
      <c r="EE46" s="61">
        <v>0</v>
      </c>
      <c r="EF46" s="61">
        <v>0</v>
      </c>
      <c r="EG46" s="61">
        <v>0</v>
      </c>
      <c r="EH46" s="61">
        <v>0</v>
      </c>
      <c r="EI46" s="61">
        <v>1165169</v>
      </c>
      <c r="EJ46" s="61">
        <v>1064358</v>
      </c>
      <c r="EK46" s="61">
        <v>1260623</v>
      </c>
      <c r="EL46" s="61">
        <v>1341333</v>
      </c>
      <c r="EM46" s="61">
        <v>1235033</v>
      </c>
      <c r="EN46" s="61">
        <v>871621</v>
      </c>
      <c r="EO46" s="61">
        <v>2054768</v>
      </c>
      <c r="EP46" s="61">
        <v>779360</v>
      </c>
      <c r="EQ46" s="61">
        <v>1223594</v>
      </c>
      <c r="ER46" s="61">
        <v>0</v>
      </c>
      <c r="ES46" s="61">
        <v>0</v>
      </c>
      <c r="ET46" s="61">
        <v>0</v>
      </c>
      <c r="EU46" s="61">
        <v>0</v>
      </c>
      <c r="EV46" s="61">
        <v>0</v>
      </c>
      <c r="EW46" s="61">
        <v>0</v>
      </c>
      <c r="EX46" s="61">
        <v>1528024</v>
      </c>
      <c r="EY46" s="61">
        <v>2134257</v>
      </c>
      <c r="EZ46" s="61">
        <v>1764462</v>
      </c>
      <c r="FA46" s="61">
        <v>2176206</v>
      </c>
      <c r="FB46" s="61">
        <v>1941275</v>
      </c>
      <c r="FC46" s="61">
        <v>1308710</v>
      </c>
      <c r="FD46" s="61">
        <v>1263631</v>
      </c>
      <c r="FE46" s="61">
        <v>1529880</v>
      </c>
      <c r="FF46" s="61">
        <v>1522200</v>
      </c>
      <c r="FG46" s="61">
        <v>0</v>
      </c>
      <c r="FH46" s="168">
        <v>0</v>
      </c>
      <c r="FI46" s="168">
        <v>0</v>
      </c>
      <c r="FJ46" s="61">
        <v>0</v>
      </c>
      <c r="FK46" s="61">
        <v>0</v>
      </c>
      <c r="FL46" s="61">
        <v>0</v>
      </c>
      <c r="FM46" s="61">
        <v>2988240</v>
      </c>
      <c r="FN46" s="61">
        <v>1673228</v>
      </c>
      <c r="FO46" s="61">
        <v>1541631</v>
      </c>
      <c r="FP46" s="61">
        <v>1452709</v>
      </c>
      <c r="FQ46" s="61">
        <v>1999719</v>
      </c>
      <c r="FR46" s="61">
        <v>1615344</v>
      </c>
      <c r="FS46" s="61">
        <v>2346561</v>
      </c>
      <c r="FT46" s="61">
        <v>2324660</v>
      </c>
      <c r="FU46" s="61">
        <v>1717420</v>
      </c>
      <c r="FV46" s="61">
        <v>0</v>
      </c>
      <c r="FW46" s="61">
        <v>0</v>
      </c>
      <c r="FX46" s="61">
        <v>0</v>
      </c>
      <c r="FY46" s="61">
        <v>0</v>
      </c>
      <c r="FZ46" s="61">
        <v>0</v>
      </c>
      <c r="GA46" s="61">
        <v>0</v>
      </c>
      <c r="GB46" s="61">
        <v>2334272</v>
      </c>
      <c r="GC46" s="61">
        <v>1138557</v>
      </c>
      <c r="GD46" s="61">
        <v>3482770</v>
      </c>
      <c r="GE46" s="61">
        <v>3086099</v>
      </c>
      <c r="GF46" s="61">
        <v>2656827</v>
      </c>
      <c r="GG46" s="61">
        <v>1973432</v>
      </c>
      <c r="GH46" s="61">
        <v>2087447.9999999998</v>
      </c>
      <c r="GI46" s="61">
        <v>1259440</v>
      </c>
      <c r="GJ46" s="61">
        <v>2567303</v>
      </c>
      <c r="GK46" s="61"/>
      <c r="GL46" s="61">
        <f>AVERAGE(L46:T46)</f>
        <v>2187764.4444444445</v>
      </c>
      <c r="GM46" s="61">
        <f>AVERAGE(AB46:AJ46)</f>
        <v>2016677.3333333333</v>
      </c>
      <c r="GN46" s="61">
        <f>AVERAGE(AQ46:AZ46)</f>
        <v>1799184.8829999999</v>
      </c>
      <c r="GO46" s="61">
        <f>AVERAGE(BG46:BP46)</f>
        <v>1358327.75</v>
      </c>
      <c r="GP46" s="61">
        <f>AVERAGE(BW46:CF46)</f>
        <v>1263923.8999999999</v>
      </c>
      <c r="GQ46" s="61">
        <f>AVERAGE(CM46:CV46)</f>
        <v>1097019</v>
      </c>
      <c r="GR46" s="61">
        <f>AVERAGE(DC46:DL46)</f>
        <v>1103030.3999999999</v>
      </c>
      <c r="GS46" s="61">
        <f>AVERAGE(DS46:EB46)</f>
        <v>979092.1</v>
      </c>
      <c r="GT46" s="61">
        <f>AVERAGE(EI46:EQ46)</f>
        <v>1221762.111111111</v>
      </c>
      <c r="GU46" s="61">
        <f>AVERAGE(EX46:FF46)</f>
        <v>1685405</v>
      </c>
      <c r="GV46" s="61">
        <f>AVERAGE(FM46:FU46)</f>
        <v>1962168</v>
      </c>
      <c r="GW46" s="61">
        <f>AVERAGE(GB46:GJ46)</f>
        <v>2287349.777777778</v>
      </c>
      <c r="GX46" t="s">
        <v>846</v>
      </c>
      <c r="GY46" s="60" t="s">
        <v>280</v>
      </c>
    </row>
    <row r="47" spans="2:207">
      <c r="B47" t="s">
        <v>2615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2489464</v>
      </c>
      <c r="L47" s="61">
        <v>4214098</v>
      </c>
      <c r="M47" s="61">
        <v>6333639</v>
      </c>
      <c r="N47" s="61">
        <v>5273263</v>
      </c>
      <c r="O47" s="61">
        <v>4491576</v>
      </c>
      <c r="P47" s="61">
        <v>7614435</v>
      </c>
      <c r="Q47" s="61">
        <v>6574728</v>
      </c>
      <c r="R47" s="61">
        <v>7424806</v>
      </c>
      <c r="S47" s="61">
        <v>4488890</v>
      </c>
      <c r="T47" s="61">
        <v>8384408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61">
        <v>0</v>
      </c>
      <c r="AA47" s="61">
        <v>1646927</v>
      </c>
      <c r="AB47" s="61">
        <v>5748054</v>
      </c>
      <c r="AC47" s="61">
        <v>4514874</v>
      </c>
      <c r="AD47" s="61">
        <v>3542471</v>
      </c>
      <c r="AE47" s="61">
        <v>5102995</v>
      </c>
      <c r="AF47" s="61">
        <v>8592245</v>
      </c>
      <c r="AG47" s="61">
        <v>5414927</v>
      </c>
      <c r="AH47" s="61">
        <v>6904371</v>
      </c>
      <c r="AI47" s="61">
        <v>5816970</v>
      </c>
      <c r="AJ47" s="61">
        <v>4965424</v>
      </c>
      <c r="AK47" s="61">
        <v>0</v>
      </c>
      <c r="AL47" s="61">
        <v>0</v>
      </c>
      <c r="AM47" s="61">
        <v>0</v>
      </c>
      <c r="AN47" s="61">
        <v>0</v>
      </c>
      <c r="AO47" s="61">
        <v>0</v>
      </c>
      <c r="AP47" s="61">
        <v>1070606</v>
      </c>
      <c r="AQ47" s="61">
        <v>2838301.83</v>
      </c>
      <c r="AR47" s="61">
        <v>7268755</v>
      </c>
      <c r="AS47" s="61">
        <v>5100044</v>
      </c>
      <c r="AT47" s="61">
        <v>3496478</v>
      </c>
      <c r="AU47" s="61">
        <v>4683660</v>
      </c>
      <c r="AV47" s="61">
        <v>4559212</v>
      </c>
      <c r="AW47" s="61">
        <v>5652435</v>
      </c>
      <c r="AX47" s="61">
        <v>6656924</v>
      </c>
      <c r="AY47" s="61">
        <v>5962060</v>
      </c>
      <c r="AZ47" s="61">
        <v>6016996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604947</v>
      </c>
      <c r="BG47" s="61">
        <v>3030981.5</v>
      </c>
      <c r="BH47" s="61">
        <v>4205932</v>
      </c>
      <c r="BI47" s="61">
        <v>3293154</v>
      </c>
      <c r="BJ47" s="61">
        <v>6192183</v>
      </c>
      <c r="BK47" s="61">
        <v>5742318</v>
      </c>
      <c r="BL47" s="61">
        <v>3584616</v>
      </c>
      <c r="BM47" s="61">
        <v>3868164</v>
      </c>
      <c r="BN47" s="61">
        <v>4150150</v>
      </c>
      <c r="BO47" s="61">
        <v>2733900</v>
      </c>
      <c r="BP47" s="61">
        <v>5106846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61">
        <v>274400</v>
      </c>
      <c r="BW47" s="61">
        <v>3820741</v>
      </c>
      <c r="BX47" s="61">
        <v>3455633</v>
      </c>
      <c r="BY47" s="61">
        <v>3296336</v>
      </c>
      <c r="BZ47" s="61">
        <v>3872940</v>
      </c>
      <c r="CA47" s="61">
        <v>3873943</v>
      </c>
      <c r="CB47" s="61">
        <v>4358328</v>
      </c>
      <c r="CC47" s="61">
        <v>4267809</v>
      </c>
      <c r="CD47" s="61">
        <v>3909298</v>
      </c>
      <c r="CE47" s="61">
        <v>3207540</v>
      </c>
      <c r="CF47" s="61">
        <v>2780332</v>
      </c>
      <c r="CG47" s="61">
        <v>0</v>
      </c>
      <c r="CH47" s="61">
        <v>0</v>
      </c>
      <c r="CI47" s="61">
        <v>0</v>
      </c>
      <c r="CJ47" s="61">
        <v>0</v>
      </c>
      <c r="CK47" s="61">
        <v>0</v>
      </c>
      <c r="CL47" s="61">
        <v>368530</v>
      </c>
      <c r="CM47" s="61">
        <v>2309723</v>
      </c>
      <c r="CN47" s="61">
        <v>2832801</v>
      </c>
      <c r="CO47" s="61">
        <v>3601302</v>
      </c>
      <c r="CP47" s="61">
        <v>4275157</v>
      </c>
      <c r="CQ47" s="61">
        <v>3730652</v>
      </c>
      <c r="CR47" s="61">
        <v>2964774</v>
      </c>
      <c r="CS47" s="61">
        <v>3080558</v>
      </c>
      <c r="CT47" s="61">
        <v>2237205</v>
      </c>
      <c r="CU47" s="61">
        <v>3046820</v>
      </c>
      <c r="CV47" s="61">
        <v>2133682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677341</v>
      </c>
      <c r="DC47" s="61">
        <v>3973896</v>
      </c>
      <c r="DD47" s="61">
        <v>2517544</v>
      </c>
      <c r="DE47" s="61">
        <v>2805890</v>
      </c>
      <c r="DF47" s="61">
        <v>3301886</v>
      </c>
      <c r="DG47" s="61">
        <v>2937097</v>
      </c>
      <c r="DH47" s="61">
        <v>2876279</v>
      </c>
      <c r="DI47" s="61">
        <v>3601737</v>
      </c>
      <c r="DJ47" s="61">
        <v>2091050</v>
      </c>
      <c r="DK47" s="61">
        <v>3128315.67</v>
      </c>
      <c r="DL47" s="61">
        <v>1875957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61">
        <v>770903</v>
      </c>
      <c r="DS47" s="61">
        <v>2372175</v>
      </c>
      <c r="DT47" s="61">
        <v>3261795</v>
      </c>
      <c r="DU47" s="61">
        <v>2434173</v>
      </c>
      <c r="DV47" s="61">
        <v>3771501</v>
      </c>
      <c r="DW47" s="61">
        <v>2231940</v>
      </c>
      <c r="DX47" s="61">
        <v>2609175</v>
      </c>
      <c r="DY47" s="61">
        <v>3208448</v>
      </c>
      <c r="DZ47" s="61">
        <v>2640400</v>
      </c>
      <c r="EA47" s="61">
        <v>2470743</v>
      </c>
      <c r="EB47" s="61">
        <v>1849049</v>
      </c>
      <c r="EC47" s="61">
        <v>0</v>
      </c>
      <c r="ED47" s="61">
        <v>0</v>
      </c>
      <c r="EE47" s="61">
        <v>0</v>
      </c>
      <c r="EF47" s="61">
        <v>0</v>
      </c>
      <c r="EG47" s="61">
        <v>0</v>
      </c>
      <c r="EH47" s="61">
        <v>639215</v>
      </c>
      <c r="EI47" s="61">
        <v>3460840</v>
      </c>
      <c r="EJ47" s="61">
        <v>2562911</v>
      </c>
      <c r="EK47" s="61">
        <v>3784167</v>
      </c>
      <c r="EL47" s="61">
        <v>3073950</v>
      </c>
      <c r="EM47" s="61">
        <v>3155193</v>
      </c>
      <c r="EN47" s="61">
        <v>2051791</v>
      </c>
      <c r="EO47" s="61">
        <v>3941099</v>
      </c>
      <c r="EP47" s="61">
        <v>2562700</v>
      </c>
      <c r="EQ47" s="61">
        <v>3398672.67</v>
      </c>
      <c r="ER47" s="61">
        <v>0</v>
      </c>
      <c r="ES47" s="61">
        <v>0</v>
      </c>
      <c r="ET47" s="61">
        <v>0</v>
      </c>
      <c r="EU47" s="61">
        <v>0</v>
      </c>
      <c r="EV47" s="61">
        <v>0</v>
      </c>
      <c r="EW47" s="61">
        <v>801038</v>
      </c>
      <c r="EX47" s="61">
        <v>3616792</v>
      </c>
      <c r="EY47" s="61">
        <v>5696853</v>
      </c>
      <c r="EZ47" s="61">
        <v>4151632</v>
      </c>
      <c r="FA47" s="61">
        <v>5256253</v>
      </c>
      <c r="FB47" s="61">
        <v>5865840</v>
      </c>
      <c r="FC47" s="61">
        <v>4409910</v>
      </c>
      <c r="FD47" s="61">
        <v>3895961</v>
      </c>
      <c r="FE47" s="61">
        <v>3249970</v>
      </c>
      <c r="FF47" s="61">
        <v>3951616</v>
      </c>
      <c r="FG47" s="61">
        <v>0</v>
      </c>
      <c r="FH47" s="168">
        <v>0</v>
      </c>
      <c r="FI47" s="168">
        <v>0</v>
      </c>
      <c r="FJ47" s="61">
        <v>0</v>
      </c>
      <c r="FK47" s="61">
        <v>0</v>
      </c>
      <c r="FL47" s="61">
        <v>986971</v>
      </c>
      <c r="FM47" s="61">
        <v>9529260</v>
      </c>
      <c r="FN47" s="61">
        <v>4239029</v>
      </c>
      <c r="FO47" s="61">
        <v>4596560</v>
      </c>
      <c r="FP47" s="61">
        <v>4860230</v>
      </c>
      <c r="FQ47" s="61">
        <v>5437669</v>
      </c>
      <c r="FR47" s="61">
        <v>4653534</v>
      </c>
      <c r="FS47" s="61">
        <v>6575020</v>
      </c>
      <c r="FT47" s="61">
        <v>5469070</v>
      </c>
      <c r="FU47" s="61">
        <v>4559772</v>
      </c>
      <c r="FV47" s="61">
        <v>0</v>
      </c>
      <c r="FW47" s="61">
        <v>0</v>
      </c>
      <c r="FX47" s="61">
        <v>0</v>
      </c>
      <c r="FY47" s="61">
        <v>0</v>
      </c>
      <c r="FZ47" s="61">
        <v>0</v>
      </c>
      <c r="GA47" s="61">
        <v>1755234</v>
      </c>
      <c r="GB47" s="61">
        <v>5694764</v>
      </c>
      <c r="GC47" s="61">
        <v>4490474</v>
      </c>
      <c r="GD47" s="61">
        <v>7769954</v>
      </c>
      <c r="GE47" s="61">
        <v>8468863</v>
      </c>
      <c r="GF47" s="61">
        <v>6816035</v>
      </c>
      <c r="GG47" s="61">
        <v>5325048</v>
      </c>
      <c r="GH47" s="61">
        <v>8272266.6666999999</v>
      </c>
      <c r="GI47" s="61">
        <v>3288660</v>
      </c>
      <c r="GJ47" s="61">
        <v>6556228</v>
      </c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</row>
    <row r="48" spans="2:207">
      <c r="B48" t="s">
        <v>805</v>
      </c>
      <c r="C48" t="s">
        <v>796</v>
      </c>
      <c r="D48" s="3" t="s">
        <v>533</v>
      </c>
      <c r="E48" s="61"/>
      <c r="F48" s="61"/>
      <c r="G48" s="61"/>
      <c r="H48" s="61"/>
      <c r="I48" s="61"/>
      <c r="J48" s="61"/>
      <c r="K48" s="61"/>
      <c r="L48" s="61">
        <v>1363096</v>
      </c>
      <c r="M48" s="61">
        <v>2818887</v>
      </c>
      <c r="N48" s="61">
        <v>2533712</v>
      </c>
      <c r="O48" s="61">
        <v>2166729</v>
      </c>
      <c r="P48" s="61">
        <v>3414696</v>
      </c>
      <c r="Q48" s="61">
        <v>2876996</v>
      </c>
      <c r="R48" s="61">
        <v>3318626.3333333335</v>
      </c>
      <c r="S48" s="61">
        <v>1556666</v>
      </c>
      <c r="T48" s="61">
        <v>3278420.333333334</v>
      </c>
      <c r="U48" s="61"/>
      <c r="V48" s="61"/>
      <c r="W48" s="61"/>
      <c r="X48" s="61"/>
      <c r="Y48" s="61"/>
      <c r="Z48" s="61"/>
      <c r="AA48" s="61"/>
      <c r="AB48" s="61">
        <v>1767514</v>
      </c>
      <c r="AC48" s="61">
        <v>2137341</v>
      </c>
      <c r="AD48" s="61">
        <v>2099524</v>
      </c>
      <c r="AE48" s="61">
        <v>2163972</v>
      </c>
      <c r="AF48" s="61">
        <v>3674080</v>
      </c>
      <c r="AG48" s="61">
        <v>2142059</v>
      </c>
      <c r="AH48" s="61">
        <v>2939856.8333333335</v>
      </c>
      <c r="AI48" s="61">
        <v>2420835.3333333335</v>
      </c>
      <c r="AJ48" s="61">
        <v>2035101</v>
      </c>
      <c r="AK48" s="61"/>
      <c r="AL48" s="61"/>
      <c r="AM48" s="61"/>
      <c r="AN48" s="61"/>
      <c r="AO48" s="61"/>
      <c r="AP48" s="61"/>
      <c r="AQ48" s="61"/>
      <c r="AR48" s="61">
        <v>2180122</v>
      </c>
      <c r="AS48" s="61">
        <v>2274551</v>
      </c>
      <c r="AT48" s="61">
        <v>1289445</v>
      </c>
      <c r="AU48" s="61">
        <v>2130133</v>
      </c>
      <c r="AV48" s="61">
        <v>1789520</v>
      </c>
      <c r="AW48" s="61">
        <v>2455923</v>
      </c>
      <c r="AX48" s="61">
        <v>2325778.5</v>
      </c>
      <c r="AY48" s="61">
        <v>2879812.1666666665</v>
      </c>
      <c r="AZ48" s="61">
        <v>1916274.8333333333</v>
      </c>
      <c r="BA48" s="61"/>
      <c r="BB48" s="61"/>
      <c r="BC48" s="61"/>
      <c r="BD48" s="61"/>
      <c r="BE48" s="61"/>
      <c r="BF48" s="61"/>
      <c r="BG48" s="61"/>
      <c r="BH48" s="61">
        <v>1688487</v>
      </c>
      <c r="BI48" s="61">
        <v>1562836</v>
      </c>
      <c r="BJ48" s="61">
        <v>2484508</v>
      </c>
      <c r="BK48" s="61">
        <v>2467289</v>
      </c>
      <c r="BL48" s="61">
        <v>1258792</v>
      </c>
      <c r="BM48" s="61">
        <v>1861191</v>
      </c>
      <c r="BN48" s="61">
        <v>1857396.3333333333</v>
      </c>
      <c r="BO48" s="61">
        <v>1043930.0000000001</v>
      </c>
      <c r="BP48" s="61">
        <v>1342863</v>
      </c>
      <c r="BQ48" s="61"/>
      <c r="BR48" s="61"/>
      <c r="BS48" s="61"/>
      <c r="BT48" s="61"/>
      <c r="BU48" s="61"/>
      <c r="BV48" s="61"/>
      <c r="BW48" s="61"/>
      <c r="BX48" s="61">
        <v>1565665</v>
      </c>
      <c r="BY48" s="61">
        <v>1881641</v>
      </c>
      <c r="BZ48" s="61">
        <v>1471871</v>
      </c>
      <c r="CA48" s="61">
        <v>1936875</v>
      </c>
      <c r="CB48" s="61">
        <v>1950920</v>
      </c>
      <c r="CC48" s="61">
        <v>2128825</v>
      </c>
      <c r="CD48" s="61">
        <v>1539023.6669999999</v>
      </c>
      <c r="CE48" s="61">
        <v>1345047.6666666665</v>
      </c>
      <c r="CF48" s="61">
        <v>1163880</v>
      </c>
      <c r="CG48" s="61"/>
      <c r="CH48" s="61"/>
      <c r="CI48" s="61"/>
      <c r="CJ48" s="61"/>
      <c r="CK48" s="61"/>
      <c r="CL48" s="61"/>
      <c r="CM48" s="61"/>
      <c r="CN48" s="61">
        <v>996372</v>
      </c>
      <c r="CO48" s="61">
        <v>1961270</v>
      </c>
      <c r="CP48" s="61">
        <v>1856276</v>
      </c>
      <c r="CQ48" s="61">
        <v>2144452</v>
      </c>
      <c r="CR48" s="61">
        <v>912736</v>
      </c>
      <c r="CS48" s="61">
        <v>1833303</v>
      </c>
      <c r="CT48" s="61">
        <v>1571047</v>
      </c>
      <c r="CU48" s="61">
        <v>1928725.333333333</v>
      </c>
      <c r="CV48" s="61">
        <v>1443812</v>
      </c>
      <c r="CW48" s="61"/>
      <c r="CX48" s="61"/>
      <c r="CY48" s="61"/>
      <c r="CZ48" s="61"/>
      <c r="DA48" s="61"/>
      <c r="DB48" s="61"/>
      <c r="DC48" s="61">
        <v>2109</v>
      </c>
      <c r="DD48" s="61">
        <v>1037016</v>
      </c>
      <c r="DE48" s="61">
        <v>1393198</v>
      </c>
      <c r="DF48" s="61">
        <v>1748361</v>
      </c>
      <c r="DG48" s="61">
        <v>1566395</v>
      </c>
      <c r="DH48" s="61">
        <v>1139360</v>
      </c>
      <c r="DI48" s="61">
        <v>2216382</v>
      </c>
      <c r="DJ48" s="61">
        <v>1594147.3333333333</v>
      </c>
      <c r="DK48" s="61">
        <v>1668470.166666667</v>
      </c>
      <c r="DL48" s="61">
        <v>831086</v>
      </c>
      <c r="DM48" s="61"/>
      <c r="DN48" s="61"/>
      <c r="DO48" s="61"/>
      <c r="DP48" s="61"/>
      <c r="DQ48" s="61"/>
      <c r="DR48" s="61"/>
      <c r="DS48" s="61">
        <v>6721</v>
      </c>
      <c r="DT48" s="61">
        <v>1578818</v>
      </c>
      <c r="DU48" s="61">
        <v>1602759</v>
      </c>
      <c r="DV48" s="61">
        <v>1516352</v>
      </c>
      <c r="DW48" s="61">
        <v>1135765</v>
      </c>
      <c r="DX48" s="61">
        <v>1672240</v>
      </c>
      <c r="DY48" s="61">
        <v>1164281.6666666667</v>
      </c>
      <c r="DZ48" s="61">
        <v>1654660</v>
      </c>
      <c r="EA48" s="61">
        <v>1189592</v>
      </c>
      <c r="EB48" s="61">
        <v>1329357.5</v>
      </c>
      <c r="EC48" s="61"/>
      <c r="ED48" s="61"/>
      <c r="EE48" s="61"/>
      <c r="EF48" s="61"/>
      <c r="EG48" s="61"/>
      <c r="EH48" s="61"/>
      <c r="EI48" s="61">
        <v>432129</v>
      </c>
      <c r="EJ48" s="61">
        <v>1255354</v>
      </c>
      <c r="EK48" s="61">
        <v>2031063</v>
      </c>
      <c r="EL48" s="61">
        <v>949553</v>
      </c>
      <c r="EM48" s="61">
        <v>1180032</v>
      </c>
      <c r="EN48" s="61">
        <v>764728</v>
      </c>
      <c r="EO48" s="61">
        <v>1538281</v>
      </c>
      <c r="EP48" s="61">
        <v>1249565.1666666667</v>
      </c>
      <c r="EQ48" s="61">
        <v>1230722.6666666665</v>
      </c>
      <c r="ER48" s="61"/>
      <c r="ES48" s="61"/>
      <c r="ET48" s="61"/>
      <c r="EU48" s="61"/>
      <c r="EV48" s="61"/>
      <c r="EW48" s="61"/>
      <c r="EX48" s="61">
        <v>1520375</v>
      </c>
      <c r="EY48" s="61">
        <v>1882077</v>
      </c>
      <c r="EZ48" s="61">
        <v>2220167</v>
      </c>
      <c r="FA48" s="61">
        <v>2148222</v>
      </c>
      <c r="FB48" s="61">
        <v>2529039</v>
      </c>
      <c r="FC48" s="61">
        <v>2230600</v>
      </c>
      <c r="FD48" s="61">
        <v>1115401</v>
      </c>
      <c r="FE48" s="61">
        <v>1208353.1666666667</v>
      </c>
      <c r="FF48" s="61">
        <v>2401153.1666666665</v>
      </c>
      <c r="FG48" s="61"/>
      <c r="FH48" s="168"/>
      <c r="FI48" s="168"/>
      <c r="FJ48" s="61"/>
      <c r="FK48" s="61"/>
      <c r="FL48" s="61"/>
      <c r="FM48" s="61">
        <v>2968166</v>
      </c>
      <c r="FN48" s="61">
        <v>1647827</v>
      </c>
      <c r="FO48" s="61">
        <v>1680900</v>
      </c>
      <c r="FP48" s="61">
        <v>2147558</v>
      </c>
      <c r="FQ48" s="61">
        <v>2125853</v>
      </c>
      <c r="FR48" s="61">
        <v>1794872</v>
      </c>
      <c r="FS48" s="61">
        <v>3292192.8330000001</v>
      </c>
      <c r="FT48" s="61">
        <v>2327686.5</v>
      </c>
      <c r="FU48" s="61">
        <v>1642828.5000000002</v>
      </c>
      <c r="FV48" s="61"/>
      <c r="FW48" s="61"/>
      <c r="FX48" s="61"/>
      <c r="FY48" s="61"/>
      <c r="FZ48" s="61"/>
      <c r="GA48" s="61"/>
      <c r="GB48" s="61">
        <v>2290138</v>
      </c>
      <c r="GC48" s="61">
        <v>1671897</v>
      </c>
      <c r="GD48" s="61">
        <v>3526058</v>
      </c>
      <c r="GE48" s="61">
        <v>3201562</v>
      </c>
      <c r="GF48" s="61">
        <v>2971353</v>
      </c>
      <c r="GG48" s="61">
        <v>2750952</v>
      </c>
      <c r="GH48" s="61">
        <v>4063581.1666666665</v>
      </c>
      <c r="GI48" s="61">
        <v>1618839</v>
      </c>
      <c r="GJ48" s="61">
        <v>2756191</v>
      </c>
      <c r="GK48" s="61"/>
      <c r="GL48" s="61">
        <f t="shared" ref="GL48:GL54" si="12">AVERAGE(L48:T48)</f>
        <v>2591980.9629629627</v>
      </c>
      <c r="GM48" s="61">
        <f t="shared" ref="GM48:GM54" si="13">AVERAGE(AB48:AJ48)</f>
        <v>2375587.0185185182</v>
      </c>
      <c r="GN48" s="61">
        <f t="shared" ref="GN48:GN54" si="14">AVERAGE(AR48:AZ48)</f>
        <v>2137951.0555555555</v>
      </c>
      <c r="GO48" s="61">
        <f t="shared" ref="GO48:GO54" si="15">AVERAGE(BH48:BP48)</f>
        <v>1729699.1481481483</v>
      </c>
      <c r="GP48" s="61">
        <f t="shared" ref="GP48:GP54" si="16">AVERAGE(BX48:CF48)</f>
        <v>1664860.9259629629</v>
      </c>
      <c r="GQ48" s="61">
        <f>AVERAGE(CN48:CV48)</f>
        <v>1627554.8148148146</v>
      </c>
      <c r="GR48" s="61">
        <f>AVERAGE(DC48:DL48)</f>
        <v>1319652.45</v>
      </c>
      <c r="GS48" s="61">
        <f>AVERAGE(DS48:EB48)</f>
        <v>1285054.6166666667</v>
      </c>
      <c r="GT48" s="61">
        <f>AVERAGE(EI48:EQ48)</f>
        <v>1181269.7592592591</v>
      </c>
      <c r="GU48" s="61">
        <f t="shared" ref="GU48:GU53" si="17">AVERAGE(EX48:FF48)</f>
        <v>1917265.2592592591</v>
      </c>
      <c r="GV48" s="61">
        <f t="shared" ref="GV48:GV53" si="18">AVERAGE(FM48:FU48)</f>
        <v>2180875.9814444445</v>
      </c>
      <c r="GW48" s="61">
        <f t="shared" ref="GW48:GW54" si="19">AVERAGE(GB48:GJ48)</f>
        <v>2761174.5740740742</v>
      </c>
      <c r="GX48" t="s">
        <v>846</v>
      </c>
      <c r="GY48" s="3" t="s">
        <v>533</v>
      </c>
    </row>
    <row r="49" spans="2:207">
      <c r="C49" t="s">
        <v>801</v>
      </c>
      <c r="D49" s="3" t="s">
        <v>534</v>
      </c>
      <c r="E49" s="61"/>
      <c r="F49" s="61"/>
      <c r="G49" s="61"/>
      <c r="H49" s="61"/>
      <c r="I49" s="61"/>
      <c r="J49" s="61"/>
      <c r="K49" s="61"/>
      <c r="L49" s="61">
        <v>1420914</v>
      </c>
      <c r="M49" s="61">
        <v>2865778</v>
      </c>
      <c r="N49" s="61">
        <v>2629504</v>
      </c>
      <c r="O49" s="61">
        <v>2323544</v>
      </c>
      <c r="P49" s="61">
        <v>3414696</v>
      </c>
      <c r="Q49" s="61">
        <v>2631782</v>
      </c>
      <c r="R49" s="61">
        <v>3566082.5</v>
      </c>
      <c r="S49" s="61">
        <v>1570835</v>
      </c>
      <c r="T49" s="61">
        <v>3449434.5</v>
      </c>
      <c r="U49" s="61"/>
      <c r="V49" s="61"/>
      <c r="W49" s="61"/>
      <c r="X49" s="61"/>
      <c r="Y49" s="61"/>
      <c r="Z49" s="61"/>
      <c r="AA49" s="61"/>
      <c r="AB49" s="61">
        <v>1898240</v>
      </c>
      <c r="AC49" s="61">
        <v>2265306</v>
      </c>
      <c r="AD49" s="61">
        <v>2023960</v>
      </c>
      <c r="AE49" s="61">
        <v>3392664</v>
      </c>
      <c r="AF49" s="61">
        <v>3674080</v>
      </c>
      <c r="AG49" s="61">
        <v>2183032</v>
      </c>
      <c r="AH49" s="61">
        <v>3000953.1666666665</v>
      </c>
      <c r="AI49" s="61">
        <v>2521568.166666667</v>
      </c>
      <c r="AJ49" s="61">
        <v>2600022.6666666665</v>
      </c>
      <c r="AK49" s="61"/>
      <c r="AL49" s="61"/>
      <c r="AM49" s="61"/>
      <c r="AN49" s="61"/>
      <c r="AO49" s="61"/>
      <c r="AP49" s="61"/>
      <c r="AQ49" s="61"/>
      <c r="AR49" s="61">
        <v>2242870</v>
      </c>
      <c r="AS49" s="61">
        <v>2293178</v>
      </c>
      <c r="AT49" s="61">
        <v>1310404</v>
      </c>
      <c r="AU49" s="61">
        <v>2062381</v>
      </c>
      <c r="AV49" s="61">
        <v>1789520</v>
      </c>
      <c r="AW49" s="61">
        <v>2525478</v>
      </c>
      <c r="AX49" s="61">
        <v>2470244.8330000001</v>
      </c>
      <c r="AY49" s="61">
        <v>2976163.6666666665</v>
      </c>
      <c r="AZ49" s="61">
        <v>2662648.833333333</v>
      </c>
      <c r="BA49" s="61"/>
      <c r="BB49" s="61"/>
      <c r="BC49" s="61"/>
      <c r="BD49" s="61"/>
      <c r="BE49" s="61"/>
      <c r="BF49" s="61"/>
      <c r="BG49" s="61"/>
      <c r="BH49" s="61">
        <v>1708631</v>
      </c>
      <c r="BI49" s="61">
        <v>1549550</v>
      </c>
      <c r="BJ49" s="61">
        <v>1819968</v>
      </c>
      <c r="BK49" s="61">
        <v>2418634</v>
      </c>
      <c r="BL49" s="61">
        <v>1258792</v>
      </c>
      <c r="BM49" s="61">
        <v>1853140</v>
      </c>
      <c r="BN49" s="61">
        <v>1865874</v>
      </c>
      <c r="BO49" s="61">
        <v>998148</v>
      </c>
      <c r="BP49" s="61">
        <v>1929386</v>
      </c>
      <c r="BQ49" s="61"/>
      <c r="BR49" s="61"/>
      <c r="BS49" s="61"/>
      <c r="BT49" s="61"/>
      <c r="BU49" s="61"/>
      <c r="BV49" s="61"/>
      <c r="BW49" s="61"/>
      <c r="BX49" s="61">
        <v>1527256</v>
      </c>
      <c r="BY49" s="61">
        <v>1976804</v>
      </c>
      <c r="BZ49" s="61">
        <v>1061392</v>
      </c>
      <c r="CA49" s="61">
        <v>1910706</v>
      </c>
      <c r="CB49" s="61">
        <v>1950920</v>
      </c>
      <c r="CC49" s="61">
        <v>2205512</v>
      </c>
      <c r="CD49" s="61">
        <v>1558242.8330000001</v>
      </c>
      <c r="CE49" s="61">
        <v>1356700.3333333335</v>
      </c>
      <c r="CF49" s="61">
        <v>1171401</v>
      </c>
      <c r="CG49" s="61"/>
      <c r="CH49" s="61"/>
      <c r="CI49" s="61"/>
      <c r="CJ49" s="61"/>
      <c r="CK49" s="61"/>
      <c r="CL49" s="61"/>
      <c r="CM49" s="61"/>
      <c r="CN49" s="61">
        <v>1002109</v>
      </c>
      <c r="CO49" s="61">
        <v>1980996</v>
      </c>
      <c r="CP49" s="61">
        <v>1410752</v>
      </c>
      <c r="CQ49" s="61">
        <v>1940993</v>
      </c>
      <c r="CR49" s="61">
        <v>912736</v>
      </c>
      <c r="CS49" s="61">
        <v>1845779</v>
      </c>
      <c r="CT49" s="61">
        <v>1561776</v>
      </c>
      <c r="CU49" s="61">
        <v>1954684</v>
      </c>
      <c r="CV49" s="61">
        <v>1511411</v>
      </c>
      <c r="CW49" s="61"/>
      <c r="CX49" s="61"/>
      <c r="CY49" s="61"/>
      <c r="CZ49" s="61"/>
      <c r="DA49" s="61"/>
      <c r="DB49" s="61"/>
      <c r="DC49" s="61"/>
      <c r="DD49" s="61">
        <v>1053384</v>
      </c>
      <c r="DE49" s="61">
        <v>1424392</v>
      </c>
      <c r="DF49" s="61">
        <v>1562844</v>
      </c>
      <c r="DG49" s="61">
        <v>1156098</v>
      </c>
      <c r="DH49" s="61">
        <v>1139360</v>
      </c>
      <c r="DI49" s="61">
        <v>2064605</v>
      </c>
      <c r="DJ49" s="61">
        <v>1428052</v>
      </c>
      <c r="DK49" s="61">
        <v>1718084</v>
      </c>
      <c r="DL49" s="61">
        <v>828545.99999999988</v>
      </c>
      <c r="DM49" s="61"/>
      <c r="DN49" s="61"/>
      <c r="DO49" s="61"/>
      <c r="DP49" s="61"/>
      <c r="DQ49" s="61"/>
      <c r="DR49" s="61"/>
      <c r="DS49" s="61"/>
      <c r="DT49" s="61">
        <v>1601652</v>
      </c>
      <c r="DU49" s="61">
        <v>1677828</v>
      </c>
      <c r="DV49" s="61">
        <v>1437576</v>
      </c>
      <c r="DW49" s="61">
        <v>848695</v>
      </c>
      <c r="DX49" s="61">
        <v>1672240</v>
      </c>
      <c r="DY49" s="61">
        <v>1207038.3333333333</v>
      </c>
      <c r="DZ49" s="61">
        <v>1840046</v>
      </c>
      <c r="EA49" s="61">
        <v>1159758</v>
      </c>
      <c r="EB49" s="61">
        <v>1414251</v>
      </c>
      <c r="EC49" s="61"/>
      <c r="ED49" s="61"/>
      <c r="EE49" s="61"/>
      <c r="EF49" s="61"/>
      <c r="EG49" s="61"/>
      <c r="EH49" s="61"/>
      <c r="EI49" s="61">
        <v>107864</v>
      </c>
      <c r="EJ49" s="61">
        <v>1272756</v>
      </c>
      <c r="EK49" s="61">
        <v>1987896</v>
      </c>
      <c r="EL49" s="61">
        <v>1487628</v>
      </c>
      <c r="EM49" s="61">
        <v>1213018</v>
      </c>
      <c r="EN49" s="61">
        <v>764728</v>
      </c>
      <c r="EO49" s="61">
        <v>1542949</v>
      </c>
      <c r="EP49" s="61">
        <v>1350777.3333333333</v>
      </c>
      <c r="EQ49" s="61">
        <v>1416413</v>
      </c>
      <c r="ER49" s="61"/>
      <c r="ES49" s="61"/>
      <c r="ET49" s="61"/>
      <c r="EU49" s="61"/>
      <c r="EV49" s="61"/>
      <c r="EW49" s="61"/>
      <c r="EX49" s="61">
        <v>1612558</v>
      </c>
      <c r="EY49" s="61">
        <v>1954068</v>
      </c>
      <c r="EZ49" s="61">
        <v>2375664</v>
      </c>
      <c r="FA49" s="61">
        <v>2290712</v>
      </c>
      <c r="FB49" s="61">
        <v>2679033</v>
      </c>
      <c r="FC49" s="61">
        <v>2230600</v>
      </c>
      <c r="FD49" s="61">
        <v>1215779</v>
      </c>
      <c r="FE49" s="61">
        <v>1197807.5</v>
      </c>
      <c r="FF49" s="61">
        <v>2488760.8333333335</v>
      </c>
      <c r="FG49" s="61"/>
      <c r="FH49" s="168"/>
      <c r="FI49" s="168"/>
      <c r="FJ49" s="61"/>
      <c r="FK49" s="61"/>
      <c r="FL49" s="61"/>
      <c r="FM49" s="61">
        <v>2985126</v>
      </c>
      <c r="FN49" s="61">
        <v>1617592</v>
      </c>
      <c r="FO49" s="61">
        <v>1714416</v>
      </c>
      <c r="FP49" s="61">
        <v>2323544</v>
      </c>
      <c r="FQ49" s="61">
        <v>2115697</v>
      </c>
      <c r="FR49" s="61">
        <v>1794872</v>
      </c>
      <c r="FS49" s="61">
        <v>3455183.6669999999</v>
      </c>
      <c r="FT49" s="61">
        <v>2397556.5</v>
      </c>
      <c r="FU49" s="61">
        <v>1715705.1666666665</v>
      </c>
      <c r="FV49" s="61"/>
      <c r="FW49" s="61"/>
      <c r="FX49" s="61"/>
      <c r="FY49" s="61"/>
      <c r="FZ49" s="61"/>
      <c r="GA49" s="61"/>
      <c r="GB49" s="61">
        <v>2376735</v>
      </c>
      <c r="GC49" s="61">
        <v>1650578</v>
      </c>
      <c r="GD49" s="61">
        <v>3734468</v>
      </c>
      <c r="GE49" s="61">
        <v>3392664</v>
      </c>
      <c r="GF49" s="61">
        <v>3175934</v>
      </c>
      <c r="GG49" s="61">
        <v>2750952</v>
      </c>
      <c r="GH49" s="61">
        <v>4370626.666666667</v>
      </c>
      <c r="GI49" s="61">
        <v>1556339</v>
      </c>
      <c r="GJ49" s="61">
        <v>2894685</v>
      </c>
      <c r="GK49" s="61"/>
      <c r="GL49" s="61">
        <f t="shared" si="12"/>
        <v>2652507.777777778</v>
      </c>
      <c r="GM49" s="61">
        <f t="shared" si="13"/>
        <v>2617758.444444445</v>
      </c>
      <c r="GN49" s="61">
        <f t="shared" si="14"/>
        <v>2259209.814777778</v>
      </c>
      <c r="GO49" s="61">
        <f t="shared" si="15"/>
        <v>1711347</v>
      </c>
      <c r="GP49" s="61">
        <f t="shared" si="16"/>
        <v>1635437.1295925928</v>
      </c>
      <c r="GQ49" s="61">
        <f>AVERAGE(CN49:CV49)</f>
        <v>1569026.2222222222</v>
      </c>
      <c r="GR49" s="61">
        <f>AVERAGE(DD49:DL49)</f>
        <v>1375040.5555555555</v>
      </c>
      <c r="GS49" s="61">
        <f>AVERAGE(DT49:EB49)</f>
        <v>1428787.1481481483</v>
      </c>
      <c r="GT49" s="61">
        <f>AVERAGE(EI49:EQ49)</f>
        <v>1238225.4814814816</v>
      </c>
      <c r="GU49" s="61">
        <f t="shared" si="17"/>
        <v>2004998.0370370368</v>
      </c>
      <c r="GV49" s="61">
        <f t="shared" si="18"/>
        <v>2235521.3704074076</v>
      </c>
      <c r="GW49" s="61">
        <f t="shared" si="19"/>
        <v>2878109.0740740742</v>
      </c>
      <c r="GX49" t="s">
        <v>846</v>
      </c>
      <c r="GY49" s="3" t="s">
        <v>534</v>
      </c>
    </row>
    <row r="50" spans="2:207">
      <c r="C50" t="s">
        <v>806</v>
      </c>
      <c r="D50" s="60" t="s">
        <v>343</v>
      </c>
      <c r="E50" s="61"/>
      <c r="F50" s="61"/>
      <c r="G50" s="61"/>
      <c r="H50" s="61"/>
      <c r="I50" s="61"/>
      <c r="J50" s="61"/>
      <c r="K50" s="61"/>
      <c r="L50" s="61">
        <v>1962167</v>
      </c>
      <c r="M50" s="61">
        <v>2460945</v>
      </c>
      <c r="N50" s="61">
        <v>2213004</v>
      </c>
      <c r="O50" s="61">
        <v>1863273</v>
      </c>
      <c r="P50" s="61">
        <v>2639699</v>
      </c>
      <c r="Q50" s="61">
        <v>2329668</v>
      </c>
      <c r="R50" s="61">
        <v>2770000</v>
      </c>
      <c r="S50" s="61">
        <v>1665231</v>
      </c>
      <c r="T50" s="61">
        <v>2384808.4999999995</v>
      </c>
      <c r="U50" s="61"/>
      <c r="V50" s="61"/>
      <c r="W50" s="61"/>
      <c r="X50" s="61"/>
      <c r="Y50" s="61"/>
      <c r="Z50" s="61"/>
      <c r="AA50" s="61"/>
      <c r="AB50" s="61">
        <v>2892810</v>
      </c>
      <c r="AC50" s="61">
        <v>1731218</v>
      </c>
      <c r="AD50" s="61">
        <v>1299853</v>
      </c>
      <c r="AE50" s="61">
        <v>2308810</v>
      </c>
      <c r="AF50" s="61">
        <v>3657985</v>
      </c>
      <c r="AG50" s="61">
        <v>2341387</v>
      </c>
      <c r="AH50" s="61">
        <v>2491501</v>
      </c>
      <c r="AI50" s="61">
        <v>2346283.666666667</v>
      </c>
      <c r="AJ50" s="61">
        <v>1938263.5000000002</v>
      </c>
      <c r="AK50" s="61"/>
      <c r="AL50" s="61"/>
      <c r="AM50" s="61"/>
      <c r="AN50" s="61"/>
      <c r="AO50" s="61"/>
      <c r="AP50" s="61"/>
      <c r="AQ50" s="61"/>
      <c r="AR50" s="61">
        <v>2974893</v>
      </c>
      <c r="AS50" s="61">
        <v>2110248</v>
      </c>
      <c r="AT50" s="61">
        <v>1936006</v>
      </c>
      <c r="AU50" s="61">
        <v>2176989</v>
      </c>
      <c r="AV50" s="61">
        <v>1629184</v>
      </c>
      <c r="AW50" s="61">
        <v>2110773</v>
      </c>
      <c r="AX50" s="61">
        <v>2609857</v>
      </c>
      <c r="AY50" s="61">
        <v>2023072.1666666665</v>
      </c>
      <c r="AZ50" s="61">
        <v>2148413</v>
      </c>
      <c r="BA50" s="61"/>
      <c r="BB50" s="61"/>
      <c r="BC50" s="61"/>
      <c r="BD50" s="61"/>
      <c r="BE50" s="61"/>
      <c r="BF50" s="61"/>
      <c r="BG50" s="61"/>
      <c r="BH50" s="61">
        <v>2171119</v>
      </c>
      <c r="BI50" s="61">
        <v>1176434</v>
      </c>
      <c r="BJ50" s="61">
        <v>2733054</v>
      </c>
      <c r="BK50" s="61">
        <v>2303432</v>
      </c>
      <c r="BL50" s="61">
        <v>1367937</v>
      </c>
      <c r="BM50" s="61">
        <v>1471665</v>
      </c>
      <c r="BN50" s="61">
        <v>1624033.9999999995</v>
      </c>
      <c r="BO50" s="61">
        <v>1343457.6666666667</v>
      </c>
      <c r="BP50" s="61">
        <v>1251121.9999999998</v>
      </c>
      <c r="BQ50" s="61"/>
      <c r="BR50" s="61"/>
      <c r="BS50" s="61"/>
      <c r="BT50" s="61"/>
      <c r="BU50" s="61"/>
      <c r="BV50" s="61"/>
      <c r="BW50" s="61"/>
      <c r="BX50" s="61">
        <v>1712271</v>
      </c>
      <c r="BY50" s="61">
        <v>955519</v>
      </c>
      <c r="BZ50" s="61">
        <v>1678101</v>
      </c>
      <c r="CA50" s="61">
        <v>1566107</v>
      </c>
      <c r="CB50" s="61">
        <v>1658875</v>
      </c>
      <c r="CC50" s="61">
        <v>1221759</v>
      </c>
      <c r="CD50" s="61">
        <v>1300766.9999999998</v>
      </c>
      <c r="CE50" s="61">
        <v>1301822.6666666667</v>
      </c>
      <c r="CF50" s="61">
        <v>1234020</v>
      </c>
      <c r="CG50" s="61"/>
      <c r="CH50" s="61"/>
      <c r="CI50" s="61"/>
      <c r="CJ50" s="61"/>
      <c r="CK50" s="61"/>
      <c r="CL50" s="61"/>
      <c r="CM50" s="61">
        <v>1189000</v>
      </c>
      <c r="CN50" s="61">
        <v>1210191</v>
      </c>
      <c r="CO50" s="61">
        <v>1645821</v>
      </c>
      <c r="CP50" s="61">
        <v>866687</v>
      </c>
      <c r="CQ50" s="61">
        <v>1356518</v>
      </c>
      <c r="CR50" s="61">
        <v>1100579</v>
      </c>
      <c r="CS50" s="61">
        <v>1159744</v>
      </c>
      <c r="CT50" s="61">
        <v>810104.49999999988</v>
      </c>
      <c r="CU50" s="61">
        <v>928644.1669999999</v>
      </c>
      <c r="CV50" s="61">
        <v>996842</v>
      </c>
      <c r="CW50" s="61"/>
      <c r="CX50" s="61"/>
      <c r="CY50" s="61"/>
      <c r="CZ50" s="61"/>
      <c r="DA50" s="61"/>
      <c r="DB50" s="61"/>
      <c r="DC50" s="61">
        <v>1612319</v>
      </c>
      <c r="DD50" s="61">
        <v>988188</v>
      </c>
      <c r="DE50" s="61">
        <v>1518625</v>
      </c>
      <c r="DF50" s="61">
        <v>1171951</v>
      </c>
      <c r="DG50" s="61">
        <v>1503271</v>
      </c>
      <c r="DH50" s="61">
        <v>1093976</v>
      </c>
      <c r="DI50" s="61">
        <v>1272329</v>
      </c>
      <c r="DJ50" s="61">
        <v>862598.99999999988</v>
      </c>
      <c r="DK50" s="61">
        <v>1295394.6666666665</v>
      </c>
      <c r="DL50" s="61">
        <v>823050.83333333349</v>
      </c>
      <c r="DM50" s="61"/>
      <c r="DN50" s="61"/>
      <c r="DO50" s="61"/>
      <c r="DP50" s="61"/>
      <c r="DQ50" s="61"/>
      <c r="DR50" s="61"/>
      <c r="DS50" s="61">
        <v>573900</v>
      </c>
      <c r="DT50" s="61">
        <v>1157770</v>
      </c>
      <c r="DU50" s="61">
        <v>941365</v>
      </c>
      <c r="DV50" s="61">
        <v>1680726</v>
      </c>
      <c r="DW50" s="61">
        <v>1020162</v>
      </c>
      <c r="DX50" s="61">
        <v>1126570</v>
      </c>
      <c r="DY50" s="61">
        <v>1002739</v>
      </c>
      <c r="DZ50" s="61">
        <v>1136351</v>
      </c>
      <c r="EA50" s="61">
        <v>1083278</v>
      </c>
      <c r="EB50" s="61">
        <v>668462.33333333326</v>
      </c>
      <c r="EC50" s="61"/>
      <c r="ED50" s="61"/>
      <c r="EE50" s="61"/>
      <c r="EF50" s="61"/>
      <c r="EG50" s="61"/>
      <c r="EH50" s="61"/>
      <c r="EI50" s="61">
        <v>1549022</v>
      </c>
      <c r="EJ50" s="61">
        <v>1103478</v>
      </c>
      <c r="EK50" s="61">
        <v>1436102</v>
      </c>
      <c r="EL50" s="61">
        <v>1340306</v>
      </c>
      <c r="EM50" s="61">
        <v>1300693</v>
      </c>
      <c r="EN50" s="61">
        <v>879380</v>
      </c>
      <c r="EO50" s="61">
        <v>1569632</v>
      </c>
      <c r="EP50" s="61">
        <v>827160.99999999988</v>
      </c>
      <c r="EQ50" s="61">
        <v>1176967.8333333335</v>
      </c>
      <c r="ER50" s="61"/>
      <c r="ES50" s="61"/>
      <c r="ET50" s="61"/>
      <c r="EU50" s="61"/>
      <c r="EV50" s="61"/>
      <c r="EW50" s="61"/>
      <c r="EX50" s="61">
        <v>1261752</v>
      </c>
      <c r="EY50" s="61">
        <v>2002021</v>
      </c>
      <c r="EZ50" s="61">
        <v>1604184</v>
      </c>
      <c r="FA50" s="61">
        <v>1701404</v>
      </c>
      <c r="FB50" s="61">
        <v>2038715</v>
      </c>
      <c r="FC50" s="61">
        <v>1373008</v>
      </c>
      <c r="FD50" s="61">
        <v>1475402</v>
      </c>
      <c r="FE50" s="61">
        <v>1396681.9999999998</v>
      </c>
      <c r="FF50" s="61">
        <v>1210926.1666666667</v>
      </c>
      <c r="FG50" s="61"/>
      <c r="FH50" s="168"/>
      <c r="FI50" s="168"/>
      <c r="FJ50" s="61"/>
      <c r="FK50" s="61"/>
      <c r="FL50" s="61"/>
      <c r="FM50" s="61">
        <v>3690369</v>
      </c>
      <c r="FN50" s="61">
        <v>2118379</v>
      </c>
      <c r="FO50" s="61">
        <v>1662833</v>
      </c>
      <c r="FP50" s="61">
        <v>1916064</v>
      </c>
      <c r="FQ50" s="61">
        <v>2683465</v>
      </c>
      <c r="FR50" s="61">
        <v>1920511</v>
      </c>
      <c r="FS50" s="61">
        <v>2103690</v>
      </c>
      <c r="FT50" s="61">
        <v>2086199.9999999998</v>
      </c>
      <c r="FU50" s="61">
        <v>1598767</v>
      </c>
      <c r="FV50" s="61"/>
      <c r="FW50" s="61"/>
      <c r="FX50" s="61"/>
      <c r="FY50" s="61"/>
      <c r="FZ50" s="61"/>
      <c r="GA50" s="61"/>
      <c r="GB50" s="61">
        <v>3078066</v>
      </c>
      <c r="GC50" s="61">
        <v>2201434</v>
      </c>
      <c r="GD50" s="61">
        <v>2928831</v>
      </c>
      <c r="GE50" s="61">
        <v>3717486</v>
      </c>
      <c r="GF50" s="61">
        <v>2416160</v>
      </c>
      <c r="GG50" s="61">
        <v>1955066</v>
      </c>
      <c r="GH50" s="61">
        <v>2448416</v>
      </c>
      <c r="GI50" s="61">
        <v>1283537.1666666665</v>
      </c>
      <c r="GJ50" s="61">
        <v>2282047</v>
      </c>
      <c r="GK50" s="61"/>
      <c r="GL50" s="61">
        <f t="shared" si="12"/>
        <v>2254310.611111111</v>
      </c>
      <c r="GM50" s="61">
        <f t="shared" si="13"/>
        <v>2334234.5740740742</v>
      </c>
      <c r="GN50" s="61">
        <f t="shared" si="14"/>
        <v>2191048.3518518521</v>
      </c>
      <c r="GO50" s="61">
        <f t="shared" si="15"/>
        <v>1715806.0740740739</v>
      </c>
      <c r="GP50" s="61">
        <f t="shared" si="16"/>
        <v>1403249.0740740739</v>
      </c>
      <c r="GQ50" s="61">
        <f>AVERAGE(CM50:CV50)</f>
        <v>1126413.0666999999</v>
      </c>
      <c r="GR50" s="61">
        <f>AVERAGE(DC50:DL50)</f>
        <v>1214170.3500000001</v>
      </c>
      <c r="GS50" s="61">
        <f>AVERAGE(DS50:EB50)</f>
        <v>1039132.3333333334</v>
      </c>
      <c r="GT50" s="61">
        <f>AVERAGE(EI50:EQ50)</f>
        <v>1242526.8703703703</v>
      </c>
      <c r="GU50" s="61">
        <f t="shared" si="17"/>
        <v>1562677.1296296297</v>
      </c>
      <c r="GV50" s="61">
        <f t="shared" si="18"/>
        <v>2197808.6666666665</v>
      </c>
      <c r="GW50" s="61">
        <f t="shared" si="19"/>
        <v>2479004.7962962966</v>
      </c>
      <c r="GX50" t="s">
        <v>846</v>
      </c>
      <c r="GY50" s="60" t="s">
        <v>343</v>
      </c>
    </row>
    <row r="51" spans="2:207">
      <c r="D51" s="3" t="s">
        <v>535</v>
      </c>
      <c r="E51" s="61"/>
      <c r="F51" s="61"/>
      <c r="G51" s="61"/>
      <c r="H51" s="61"/>
      <c r="I51" s="61"/>
      <c r="J51" s="61"/>
      <c r="K51" s="61"/>
      <c r="L51" s="61">
        <v>206081</v>
      </c>
      <c r="M51" s="61">
        <v>1414854</v>
      </c>
      <c r="N51" s="61">
        <v>1294136</v>
      </c>
      <c r="O51" s="61">
        <v>1092753</v>
      </c>
      <c r="P51" s="61">
        <v>1945169.7142857139</v>
      </c>
      <c r="Q51" s="61">
        <v>1427149</v>
      </c>
      <c r="R51" s="61">
        <v>1722905</v>
      </c>
      <c r="S51" s="61">
        <v>800513</v>
      </c>
      <c r="T51" s="61">
        <v>1647419.5</v>
      </c>
      <c r="U51" s="61"/>
      <c r="V51" s="61"/>
      <c r="W51" s="61"/>
      <c r="X51" s="61"/>
      <c r="Y51" s="61"/>
      <c r="Z51" s="61"/>
      <c r="AA51" s="61"/>
      <c r="AB51" s="61">
        <v>322492</v>
      </c>
      <c r="AC51" s="61">
        <v>1094880</v>
      </c>
      <c r="AD51" s="61">
        <v>1005218</v>
      </c>
      <c r="AE51" s="61">
        <v>1115309</v>
      </c>
      <c r="AF51" s="61">
        <v>1945105.7142857139</v>
      </c>
      <c r="AG51" s="61">
        <v>1082536</v>
      </c>
      <c r="AH51" s="61">
        <v>1492795</v>
      </c>
      <c r="AI51" s="61">
        <v>1221969.8333333333</v>
      </c>
      <c r="AJ51" s="61">
        <v>1346771.4999999998</v>
      </c>
      <c r="AK51" s="61"/>
      <c r="AL51" s="61"/>
      <c r="AM51" s="61"/>
      <c r="AN51" s="61"/>
      <c r="AO51" s="61"/>
      <c r="AP51" s="61"/>
      <c r="AQ51" s="61"/>
      <c r="AR51" s="61">
        <v>1213765</v>
      </c>
      <c r="AS51" s="61">
        <v>1153323</v>
      </c>
      <c r="AT51" s="61">
        <v>626370</v>
      </c>
      <c r="AU51" s="61">
        <v>1089306</v>
      </c>
      <c r="AV51" s="61">
        <v>1044022.2857142856</v>
      </c>
      <c r="AW51" s="61">
        <v>1244004</v>
      </c>
      <c r="AX51" s="61">
        <v>1243138.5</v>
      </c>
      <c r="AY51" s="61">
        <v>1458360.5</v>
      </c>
      <c r="AZ51" s="61">
        <v>1337919.3333333335</v>
      </c>
      <c r="BA51" s="61"/>
      <c r="BB51" s="61"/>
      <c r="BC51" s="61"/>
      <c r="BD51" s="61"/>
      <c r="BE51" s="61"/>
      <c r="BF51" s="61"/>
      <c r="BG51" s="61"/>
      <c r="BH51" s="61">
        <v>862189</v>
      </c>
      <c r="BI51" s="61">
        <v>802849</v>
      </c>
      <c r="BJ51" s="61">
        <v>914412</v>
      </c>
      <c r="BK51" s="61">
        <v>1076092</v>
      </c>
      <c r="BL51" s="61">
        <v>666465.42857142852</v>
      </c>
      <c r="BM51" s="61">
        <v>956555</v>
      </c>
      <c r="BN51" s="61">
        <v>934312</v>
      </c>
      <c r="BO51" s="61">
        <v>515838.83333333314</v>
      </c>
      <c r="BP51" s="61">
        <v>941835</v>
      </c>
      <c r="BQ51" s="61"/>
      <c r="BR51" s="61"/>
      <c r="BS51" s="61"/>
      <c r="BT51" s="61"/>
      <c r="BU51" s="61"/>
      <c r="BV51" s="61"/>
      <c r="BW51" s="61"/>
      <c r="BX51" s="61">
        <v>800677</v>
      </c>
      <c r="BY51" s="61">
        <v>933893</v>
      </c>
      <c r="BZ51" s="61">
        <v>481070</v>
      </c>
      <c r="CA51" s="61">
        <v>968789</v>
      </c>
      <c r="CB51" s="61">
        <v>1002365.1428571426</v>
      </c>
      <c r="CC51" s="61">
        <v>994518</v>
      </c>
      <c r="CD51" s="61">
        <v>807252.33330000006</v>
      </c>
      <c r="CE51" s="61">
        <v>671317.16666666663</v>
      </c>
      <c r="CF51" s="61">
        <v>690585</v>
      </c>
      <c r="CG51" s="61"/>
      <c r="CH51" s="61"/>
      <c r="CI51" s="61"/>
      <c r="CJ51" s="61"/>
      <c r="CK51" s="61"/>
      <c r="CL51" s="61"/>
      <c r="CM51" s="61"/>
      <c r="CN51" s="61">
        <v>531647</v>
      </c>
      <c r="CO51" s="61">
        <v>982193</v>
      </c>
      <c r="CP51" s="61">
        <v>648708</v>
      </c>
      <c r="CQ51" s="61">
        <v>1093851</v>
      </c>
      <c r="CR51" s="61">
        <v>455759.14285714278</v>
      </c>
      <c r="CS51" s="61">
        <v>897468</v>
      </c>
      <c r="CT51" s="61">
        <v>761538</v>
      </c>
      <c r="CU51" s="61">
        <v>918109.83333333337</v>
      </c>
      <c r="CV51" s="61">
        <v>822459</v>
      </c>
      <c r="CW51" s="61"/>
      <c r="CX51" s="61"/>
      <c r="CY51" s="61"/>
      <c r="CZ51" s="61"/>
      <c r="DA51" s="61"/>
      <c r="DB51" s="61"/>
      <c r="DC51" s="61"/>
      <c r="DD51" s="61">
        <v>480427</v>
      </c>
      <c r="DE51" s="61">
        <v>655449</v>
      </c>
      <c r="DF51" s="61">
        <v>788470</v>
      </c>
      <c r="DG51" s="61">
        <v>793298</v>
      </c>
      <c r="DH51" s="61">
        <v>571522.85714285704</v>
      </c>
      <c r="DI51" s="61">
        <v>1067487</v>
      </c>
      <c r="DJ51" s="61">
        <v>708822.66666666663</v>
      </c>
      <c r="DK51" s="61">
        <v>808030.16666666651</v>
      </c>
      <c r="DL51" s="61">
        <v>471964.00000000006</v>
      </c>
      <c r="DM51" s="61"/>
      <c r="DN51" s="61"/>
      <c r="DO51" s="61"/>
      <c r="DP51" s="61"/>
      <c r="DQ51" s="61"/>
      <c r="DR51" s="61"/>
      <c r="DS51" s="61"/>
      <c r="DT51" s="61">
        <v>733131</v>
      </c>
      <c r="DU51" s="61">
        <v>785826</v>
      </c>
      <c r="DV51" s="61">
        <v>713014</v>
      </c>
      <c r="DW51" s="61">
        <v>540609</v>
      </c>
      <c r="DX51" s="61">
        <v>870903.14285714272</v>
      </c>
      <c r="DY51" s="61">
        <v>602183</v>
      </c>
      <c r="DZ51" s="61">
        <v>806919</v>
      </c>
      <c r="EA51" s="61">
        <v>577229</v>
      </c>
      <c r="EB51" s="61">
        <v>677697.16666666674</v>
      </c>
      <c r="EC51" s="61"/>
      <c r="ED51" s="61"/>
      <c r="EE51" s="61"/>
      <c r="EF51" s="61"/>
      <c r="EG51" s="61"/>
      <c r="EH51" s="61"/>
      <c r="EI51" s="61">
        <v>29488</v>
      </c>
      <c r="EJ51" s="61">
        <v>573617</v>
      </c>
      <c r="EK51" s="61">
        <v>994992</v>
      </c>
      <c r="EL51" s="61">
        <v>449018</v>
      </c>
      <c r="EM51" s="61">
        <v>577176</v>
      </c>
      <c r="EN51" s="61">
        <v>345722.57142857136</v>
      </c>
      <c r="EO51" s="61">
        <v>778995</v>
      </c>
      <c r="EP51" s="61">
        <v>637329.33333333337</v>
      </c>
      <c r="EQ51" s="61">
        <v>632227.5</v>
      </c>
      <c r="ER51" s="61"/>
      <c r="ES51" s="61"/>
      <c r="ET51" s="61"/>
      <c r="EU51" s="61"/>
      <c r="EV51" s="61"/>
      <c r="EW51" s="61"/>
      <c r="EX51" s="61">
        <v>355493</v>
      </c>
      <c r="EY51" s="61">
        <v>962950</v>
      </c>
      <c r="EZ51" s="61">
        <v>1117984</v>
      </c>
      <c r="FA51" s="61">
        <v>1080560</v>
      </c>
      <c r="FB51" s="61">
        <v>1267892</v>
      </c>
      <c r="FC51" s="61">
        <v>1193433.9999999998</v>
      </c>
      <c r="FD51" s="61">
        <v>617648</v>
      </c>
      <c r="FE51" s="61">
        <v>592154.66666666663</v>
      </c>
      <c r="FF51" s="61">
        <v>1145010.3333333335</v>
      </c>
      <c r="FG51" s="61"/>
      <c r="FH51" s="168"/>
      <c r="FI51" s="168"/>
      <c r="FJ51" s="61"/>
      <c r="FK51" s="61"/>
      <c r="FL51" s="61"/>
      <c r="FM51" s="61">
        <v>743926</v>
      </c>
      <c r="FN51" s="61">
        <v>822234</v>
      </c>
      <c r="FO51" s="61">
        <v>923852</v>
      </c>
      <c r="FP51" s="61">
        <v>1140230</v>
      </c>
      <c r="FQ51" s="61">
        <v>1077701</v>
      </c>
      <c r="FR51" s="61">
        <v>1040243.1428571427</v>
      </c>
      <c r="FS51" s="61">
        <v>1503183.5</v>
      </c>
      <c r="FT51" s="61">
        <v>1183826.8333333333</v>
      </c>
      <c r="FU51" s="61">
        <v>850482</v>
      </c>
      <c r="FV51" s="61"/>
      <c r="FW51" s="61"/>
      <c r="FX51" s="61"/>
      <c r="FY51" s="61"/>
      <c r="FZ51" s="61"/>
      <c r="GA51" s="61"/>
      <c r="GB51" s="61">
        <v>564549</v>
      </c>
      <c r="GC51" s="61">
        <v>854890</v>
      </c>
      <c r="GD51" s="61">
        <v>1733798</v>
      </c>
      <c r="GE51" s="61">
        <v>1608552</v>
      </c>
      <c r="GF51" s="61">
        <v>1500293</v>
      </c>
      <c r="GG51" s="61">
        <v>1422237.4285714284</v>
      </c>
      <c r="GH51" s="61">
        <v>2036413.1666666667</v>
      </c>
      <c r="GI51" s="61">
        <v>860857</v>
      </c>
      <c r="GJ51" s="61">
        <v>1388231</v>
      </c>
      <c r="GK51" s="61"/>
      <c r="GL51" s="61">
        <f t="shared" si="12"/>
        <v>1283442.2460317458</v>
      </c>
      <c r="GM51" s="61">
        <f t="shared" si="13"/>
        <v>1180786.3386243386</v>
      </c>
      <c r="GN51" s="61">
        <f t="shared" si="14"/>
        <v>1156689.8465608465</v>
      </c>
      <c r="GO51" s="61">
        <f t="shared" si="15"/>
        <v>852283.14021164016</v>
      </c>
      <c r="GP51" s="61">
        <f t="shared" si="16"/>
        <v>816718.51586931222</v>
      </c>
      <c r="GQ51" s="61">
        <f>AVERAGE(CN51:CV51)</f>
        <v>790192.55291005282</v>
      </c>
      <c r="GR51" s="61">
        <f>AVERAGE(DD51:DL51)</f>
        <v>705052.29894179897</v>
      </c>
      <c r="GS51" s="61">
        <f>AVERAGE(DT51:EB51)</f>
        <v>700834.58994709002</v>
      </c>
      <c r="GT51" s="61">
        <f>AVERAGE(EI51:EQ51)</f>
        <v>557618.37830687826</v>
      </c>
      <c r="GU51" s="61">
        <f t="shared" si="17"/>
        <v>925902.88888888888</v>
      </c>
      <c r="GV51" s="61">
        <f t="shared" si="18"/>
        <v>1031742.0529100528</v>
      </c>
      <c r="GW51" s="61">
        <f t="shared" si="19"/>
        <v>1329980.0661375662</v>
      </c>
      <c r="GX51" t="s">
        <v>846</v>
      </c>
      <c r="GY51" s="3" t="s">
        <v>535</v>
      </c>
    </row>
    <row r="52" spans="2:207">
      <c r="C52" t="s">
        <v>797</v>
      </c>
      <c r="D52" s="60" t="s">
        <v>345</v>
      </c>
      <c r="E52" s="61"/>
      <c r="F52" s="61"/>
      <c r="G52" s="61"/>
      <c r="H52" s="61"/>
      <c r="I52" s="61"/>
      <c r="J52" s="61"/>
      <c r="K52" s="61">
        <v>0</v>
      </c>
      <c r="L52" s="61">
        <v>911997</v>
      </c>
      <c r="M52" s="61">
        <v>1431403</v>
      </c>
      <c r="N52" s="61">
        <v>1649953</v>
      </c>
      <c r="O52" s="61">
        <v>1045066</v>
      </c>
      <c r="P52" s="61">
        <v>2077237.9999999998</v>
      </c>
      <c r="Q52" s="61">
        <v>1826756</v>
      </c>
      <c r="R52" s="61">
        <v>2098000</v>
      </c>
      <c r="S52" s="61">
        <v>1129831</v>
      </c>
      <c r="T52" s="61">
        <v>2083408.3333333333</v>
      </c>
      <c r="U52" s="61"/>
      <c r="V52" s="61"/>
      <c r="W52" s="61"/>
      <c r="X52" s="61"/>
      <c r="Y52" s="61"/>
      <c r="Z52" s="61"/>
      <c r="AA52" s="61">
        <v>0</v>
      </c>
      <c r="AB52" s="61">
        <v>1459118</v>
      </c>
      <c r="AC52" s="61">
        <v>922555</v>
      </c>
      <c r="AD52" s="61">
        <v>1093277</v>
      </c>
      <c r="AE52" s="61">
        <v>1325604</v>
      </c>
      <c r="AF52" s="61">
        <v>2153084</v>
      </c>
      <c r="AG52" s="61">
        <v>1250995</v>
      </c>
      <c r="AH52" s="61">
        <v>2058487.9999999993</v>
      </c>
      <c r="AI52" s="61">
        <v>1427587.6666666667</v>
      </c>
      <c r="AJ52" s="61">
        <v>1231348.166666667</v>
      </c>
      <c r="AK52" s="61"/>
      <c r="AL52" s="61"/>
      <c r="AM52" s="61"/>
      <c r="AN52" s="61"/>
      <c r="AO52" s="61"/>
      <c r="AP52" s="61"/>
      <c r="AQ52" s="61">
        <v>0</v>
      </c>
      <c r="AR52" s="61">
        <v>1840282</v>
      </c>
      <c r="AS52" s="61">
        <v>1422372</v>
      </c>
      <c r="AT52" s="61">
        <v>968234</v>
      </c>
      <c r="AU52" s="61">
        <v>1068996</v>
      </c>
      <c r="AV52" s="61">
        <v>943342</v>
      </c>
      <c r="AW52" s="61">
        <v>1215547</v>
      </c>
      <c r="AX52" s="61">
        <v>1524074.9999999998</v>
      </c>
      <c r="AY52" s="61">
        <v>1593440.6666666667</v>
      </c>
      <c r="AZ52" s="61">
        <v>1645972.1666666667</v>
      </c>
      <c r="BA52" s="61"/>
      <c r="BB52" s="61"/>
      <c r="BC52" s="61"/>
      <c r="BD52" s="61"/>
      <c r="BE52" s="61"/>
      <c r="BF52" s="61"/>
      <c r="BG52" s="61">
        <v>0</v>
      </c>
      <c r="BH52" s="61">
        <v>1032883</v>
      </c>
      <c r="BI52" s="61">
        <v>790815</v>
      </c>
      <c r="BJ52" s="61">
        <v>1576527</v>
      </c>
      <c r="BK52" s="61">
        <v>1217263</v>
      </c>
      <c r="BL52" s="61">
        <v>755008</v>
      </c>
      <c r="BM52" s="61">
        <v>1089107</v>
      </c>
      <c r="BN52" s="61">
        <v>1030945.0000000001</v>
      </c>
      <c r="BO52" s="61">
        <v>682592.66666666674</v>
      </c>
      <c r="BP52" s="61">
        <v>1354628</v>
      </c>
      <c r="BQ52" s="61"/>
      <c r="BR52" s="61"/>
      <c r="BS52" s="61"/>
      <c r="BT52" s="61"/>
      <c r="BU52" s="61"/>
      <c r="BV52" s="61"/>
      <c r="BW52" s="61">
        <v>0</v>
      </c>
      <c r="BX52" s="61">
        <v>898013</v>
      </c>
      <c r="BY52" s="61">
        <v>817195</v>
      </c>
      <c r="BZ52" s="61">
        <v>1025692</v>
      </c>
      <c r="CA52" s="61">
        <v>772832</v>
      </c>
      <c r="CB52" s="61">
        <v>1367441</v>
      </c>
      <c r="CC52" s="61">
        <v>1045569</v>
      </c>
      <c r="CD52" s="61">
        <v>1027759.9999999998</v>
      </c>
      <c r="CE52" s="61">
        <v>932687.16666666663</v>
      </c>
      <c r="CF52" s="61">
        <v>700024</v>
      </c>
      <c r="CG52" s="61"/>
      <c r="CH52" s="61"/>
      <c r="CI52" s="61"/>
      <c r="CJ52" s="61"/>
      <c r="CK52" s="61"/>
      <c r="CL52" s="61"/>
      <c r="CM52" s="61">
        <v>0</v>
      </c>
      <c r="CN52" s="61">
        <v>748058</v>
      </c>
      <c r="CO52" s="61">
        <v>907165</v>
      </c>
      <c r="CP52" s="61">
        <v>992442</v>
      </c>
      <c r="CQ52" s="61">
        <v>967693</v>
      </c>
      <c r="CR52" s="61">
        <v>864016</v>
      </c>
      <c r="CS52" s="61">
        <v>803874</v>
      </c>
      <c r="CT52" s="61">
        <v>559286.33333333326</v>
      </c>
      <c r="CU52" s="61">
        <v>785040.5</v>
      </c>
      <c r="CV52" s="61">
        <v>643686</v>
      </c>
      <c r="CW52" s="61"/>
      <c r="CX52" s="61"/>
      <c r="CY52" s="61"/>
      <c r="CZ52" s="61"/>
      <c r="DA52" s="61"/>
      <c r="DB52" s="61"/>
      <c r="DC52" s="61">
        <v>0</v>
      </c>
      <c r="DD52" s="61">
        <v>484924</v>
      </c>
      <c r="DE52" s="61">
        <v>884426</v>
      </c>
      <c r="DF52" s="61">
        <v>1043843.0000000001</v>
      </c>
      <c r="DG52" s="61">
        <v>762818</v>
      </c>
      <c r="DH52" s="61">
        <v>717993</v>
      </c>
      <c r="DI52" s="61">
        <v>794381</v>
      </c>
      <c r="DJ52" s="61">
        <v>467058.00000000012</v>
      </c>
      <c r="DK52" s="61">
        <v>945165</v>
      </c>
      <c r="DL52" s="61">
        <v>523261.33333333326</v>
      </c>
      <c r="DM52" s="61"/>
      <c r="DN52" s="61"/>
      <c r="DO52" s="61"/>
      <c r="DP52" s="61"/>
      <c r="DQ52" s="61"/>
      <c r="DR52" s="61"/>
      <c r="DS52" s="61">
        <v>0</v>
      </c>
      <c r="DT52" s="61">
        <v>607114</v>
      </c>
      <c r="DU52" s="61">
        <v>820105</v>
      </c>
      <c r="DV52" s="61">
        <v>847644</v>
      </c>
      <c r="DW52" s="61">
        <v>525883</v>
      </c>
      <c r="DX52" s="61">
        <v>833607</v>
      </c>
      <c r="DY52" s="61">
        <v>993660</v>
      </c>
      <c r="DZ52" s="61">
        <v>569410.99999999988</v>
      </c>
      <c r="EA52" s="61">
        <v>708579</v>
      </c>
      <c r="EB52" s="61">
        <v>629857.66666666674</v>
      </c>
      <c r="EC52" s="61"/>
      <c r="ED52" s="61"/>
      <c r="EE52" s="61"/>
      <c r="EF52" s="61"/>
      <c r="EG52" s="61"/>
      <c r="EH52" s="61"/>
      <c r="EI52" s="61">
        <v>0</v>
      </c>
      <c r="EJ52" s="61">
        <v>720439</v>
      </c>
      <c r="EK52" s="61">
        <v>1038244.9999999999</v>
      </c>
      <c r="EL52" s="61">
        <v>967858</v>
      </c>
      <c r="EM52" s="61">
        <v>950300</v>
      </c>
      <c r="EN52" s="61">
        <v>651353</v>
      </c>
      <c r="EO52" s="61">
        <v>1282919</v>
      </c>
      <c r="EP52" s="61">
        <v>691163.00000000012</v>
      </c>
      <c r="EQ52" s="61">
        <v>1000356.5</v>
      </c>
      <c r="ER52" s="61"/>
      <c r="ES52" s="61"/>
      <c r="ET52" s="61"/>
      <c r="EU52" s="61"/>
      <c r="EV52" s="61"/>
      <c r="EW52" s="61"/>
      <c r="EX52" s="61">
        <v>678138</v>
      </c>
      <c r="EY52" s="61">
        <v>1550212</v>
      </c>
      <c r="EZ52" s="61">
        <v>1157562</v>
      </c>
      <c r="FA52" s="61">
        <v>1538088</v>
      </c>
      <c r="FB52" s="61">
        <v>1653778</v>
      </c>
      <c r="FC52" s="61">
        <v>1131703</v>
      </c>
      <c r="FD52" s="61">
        <v>985940</v>
      </c>
      <c r="FE52" s="61">
        <v>948827</v>
      </c>
      <c r="FF52" s="61">
        <v>1203682</v>
      </c>
      <c r="FG52" s="61"/>
      <c r="FH52" s="168"/>
      <c r="FI52" s="168"/>
      <c r="FJ52" s="61"/>
      <c r="FK52" s="61"/>
      <c r="FL52" s="61"/>
      <c r="FM52" s="61">
        <v>2223809</v>
      </c>
      <c r="FN52" s="61">
        <v>1291152</v>
      </c>
      <c r="FO52" s="61">
        <v>1260744</v>
      </c>
      <c r="FP52" s="61">
        <v>1371583</v>
      </c>
      <c r="FQ52" s="61">
        <v>1671846</v>
      </c>
      <c r="FR52" s="61">
        <v>1428551</v>
      </c>
      <c r="FS52" s="61">
        <v>1938569</v>
      </c>
      <c r="FT52" s="61">
        <v>1529561.0000000002</v>
      </c>
      <c r="FU52" s="61">
        <v>1357742</v>
      </c>
      <c r="FV52" s="61"/>
      <c r="FW52" s="61"/>
      <c r="FX52" s="61"/>
      <c r="FY52" s="61"/>
      <c r="FZ52" s="61"/>
      <c r="GA52" s="61"/>
      <c r="GB52" s="61">
        <v>1760356</v>
      </c>
      <c r="GC52" s="61">
        <v>1069385</v>
      </c>
      <c r="GD52" s="61">
        <v>2349255</v>
      </c>
      <c r="GE52" s="61">
        <v>2279482</v>
      </c>
      <c r="GF52" s="61">
        <v>2013334</v>
      </c>
      <c r="GG52" s="61">
        <v>1502717</v>
      </c>
      <c r="GH52" s="61">
        <v>2056130</v>
      </c>
      <c r="GI52" s="61">
        <v>1048266.6666666666</v>
      </c>
      <c r="GJ52" s="61">
        <v>1864960</v>
      </c>
      <c r="GK52" s="61"/>
      <c r="GL52" s="61">
        <f t="shared" si="12"/>
        <v>1583739.1481481483</v>
      </c>
      <c r="GM52" s="61">
        <f t="shared" si="13"/>
        <v>1435784.0925925924</v>
      </c>
      <c r="GN52" s="61">
        <f t="shared" si="14"/>
        <v>1358028.9814814813</v>
      </c>
      <c r="GO52" s="61">
        <f t="shared" si="15"/>
        <v>1058863.1851851854</v>
      </c>
      <c r="GP52" s="61">
        <f t="shared" si="16"/>
        <v>954134.79629629641</v>
      </c>
      <c r="GQ52" s="61">
        <f>AVERAGE(CN52:CV52)</f>
        <v>807917.87037037034</v>
      </c>
      <c r="GR52" s="61">
        <f>AVERAGE(DD52:DL52)</f>
        <v>735985.48148148146</v>
      </c>
      <c r="GS52" s="61">
        <f>AVERAGE(DT52:EB52)</f>
        <v>726206.74074074079</v>
      </c>
      <c r="GT52" s="61">
        <f>AVERAGE(EJ52:EQ52)</f>
        <v>912829.1875</v>
      </c>
      <c r="GU52" s="61">
        <f t="shared" si="17"/>
        <v>1205325.5555555555</v>
      </c>
      <c r="GV52" s="61">
        <f t="shared" si="18"/>
        <v>1563728.5555555555</v>
      </c>
      <c r="GW52" s="61">
        <f t="shared" si="19"/>
        <v>1771542.8518518517</v>
      </c>
      <c r="GX52" t="s">
        <v>846</v>
      </c>
      <c r="GY52" s="60" t="s">
        <v>345</v>
      </c>
    </row>
    <row r="53" spans="2:207">
      <c r="D53" s="60" t="s">
        <v>346</v>
      </c>
      <c r="E53" s="61"/>
      <c r="F53" s="61"/>
      <c r="G53" s="61"/>
      <c r="H53" s="61"/>
      <c r="I53" s="61"/>
      <c r="J53" s="61"/>
      <c r="K53" s="61">
        <v>0</v>
      </c>
      <c r="L53" s="61">
        <v>1721051</v>
      </c>
      <c r="M53" s="61">
        <v>2741603</v>
      </c>
      <c r="N53" s="61">
        <v>3387921</v>
      </c>
      <c r="O53" s="61">
        <v>1826039</v>
      </c>
      <c r="P53" s="61">
        <v>3919047</v>
      </c>
      <c r="Q53" s="61">
        <v>3476046</v>
      </c>
      <c r="R53" s="61">
        <v>4120000</v>
      </c>
      <c r="S53" s="61">
        <v>2350583</v>
      </c>
      <c r="T53" s="61">
        <v>3986048.666666666</v>
      </c>
      <c r="U53" s="61"/>
      <c r="V53" s="61"/>
      <c r="W53" s="61"/>
      <c r="X53" s="61"/>
      <c r="Y53" s="61"/>
      <c r="Z53" s="61"/>
      <c r="AA53" s="61">
        <v>0</v>
      </c>
      <c r="AB53" s="61">
        <v>3163104</v>
      </c>
      <c r="AC53" s="61">
        <v>1760506</v>
      </c>
      <c r="AD53" s="61">
        <v>2059279</v>
      </c>
      <c r="AE53" s="61">
        <v>2428807</v>
      </c>
      <c r="AF53" s="61">
        <v>4361416</v>
      </c>
      <c r="AG53" s="61">
        <v>2692324</v>
      </c>
      <c r="AH53" s="61">
        <v>3922232</v>
      </c>
      <c r="AI53" s="61">
        <v>2948876.1666666665</v>
      </c>
      <c r="AJ53" s="61">
        <v>2326408.833333334</v>
      </c>
      <c r="AK53" s="61"/>
      <c r="AL53" s="61"/>
      <c r="AM53" s="61"/>
      <c r="AN53" s="61"/>
      <c r="AO53" s="61"/>
      <c r="AP53" s="61"/>
      <c r="AQ53" s="61">
        <v>0</v>
      </c>
      <c r="AR53" s="61">
        <v>3500890</v>
      </c>
      <c r="AS53" s="61">
        <v>2832728</v>
      </c>
      <c r="AT53" s="61">
        <v>1970512</v>
      </c>
      <c r="AU53" s="61">
        <v>2101754</v>
      </c>
      <c r="AV53" s="61">
        <v>1884197</v>
      </c>
      <c r="AW53" s="61">
        <v>2604433</v>
      </c>
      <c r="AX53" s="61">
        <v>3005506.9999999995</v>
      </c>
      <c r="AY53" s="61">
        <v>3113729.333333333</v>
      </c>
      <c r="AZ53" s="61">
        <v>3179203</v>
      </c>
      <c r="BA53" s="61"/>
      <c r="BB53" s="61"/>
      <c r="BC53" s="61"/>
      <c r="BD53" s="61"/>
      <c r="BE53" s="61"/>
      <c r="BF53" s="61"/>
      <c r="BG53" s="61">
        <v>0</v>
      </c>
      <c r="BH53" s="61">
        <v>2201458</v>
      </c>
      <c r="BI53" s="61">
        <v>1728105</v>
      </c>
      <c r="BJ53" s="61">
        <v>2944256</v>
      </c>
      <c r="BK53" s="61">
        <v>2290766</v>
      </c>
      <c r="BL53" s="61">
        <v>1646200</v>
      </c>
      <c r="BM53" s="61">
        <v>2179296</v>
      </c>
      <c r="BN53" s="61">
        <v>2001895.9999999998</v>
      </c>
      <c r="BO53" s="61">
        <v>1471637.8333333337</v>
      </c>
      <c r="BP53" s="61">
        <v>2581054</v>
      </c>
      <c r="BQ53" s="61"/>
      <c r="BR53" s="61"/>
      <c r="BS53" s="61"/>
      <c r="BT53" s="61"/>
      <c r="BU53" s="61"/>
      <c r="BV53" s="61"/>
      <c r="BW53" s="61">
        <v>0</v>
      </c>
      <c r="BX53" s="61">
        <v>1729311</v>
      </c>
      <c r="BY53" s="61">
        <v>1609240</v>
      </c>
      <c r="BZ53" s="61">
        <v>2061293.0000000002</v>
      </c>
      <c r="CA53" s="61">
        <v>1733551</v>
      </c>
      <c r="CB53" s="61">
        <v>2739344</v>
      </c>
      <c r="CC53" s="61">
        <v>2036227</v>
      </c>
      <c r="CD53" s="61">
        <v>2106449.0000000005</v>
      </c>
      <c r="CE53" s="61">
        <v>1831044</v>
      </c>
      <c r="CF53" s="61">
        <v>1576480.9999999998</v>
      </c>
      <c r="CG53" s="61"/>
      <c r="CH53" s="61"/>
      <c r="CI53" s="61"/>
      <c r="CJ53" s="61"/>
      <c r="CK53" s="61"/>
      <c r="CL53" s="61"/>
      <c r="CM53" s="61">
        <v>0</v>
      </c>
      <c r="CN53" s="61">
        <v>1562622</v>
      </c>
      <c r="CO53" s="61">
        <v>1794856</v>
      </c>
      <c r="CP53" s="61">
        <v>1652595</v>
      </c>
      <c r="CQ53" s="61">
        <v>1795407</v>
      </c>
      <c r="CR53" s="61">
        <v>1822456</v>
      </c>
      <c r="CS53" s="61">
        <v>1582110</v>
      </c>
      <c r="CT53" s="61">
        <v>1185090.3329999996</v>
      </c>
      <c r="CU53" s="61">
        <v>1389571.8333333333</v>
      </c>
      <c r="CV53" s="61">
        <v>1285467</v>
      </c>
      <c r="CW53" s="61"/>
      <c r="CX53" s="61"/>
      <c r="CY53" s="61"/>
      <c r="CZ53" s="61"/>
      <c r="DA53" s="61"/>
      <c r="DB53" s="61"/>
      <c r="DC53" s="61">
        <v>0</v>
      </c>
      <c r="DD53" s="61">
        <v>1115292</v>
      </c>
      <c r="DE53" s="61">
        <v>1768921</v>
      </c>
      <c r="DF53" s="61">
        <v>1697473</v>
      </c>
      <c r="DG53" s="61">
        <v>1321980</v>
      </c>
      <c r="DH53" s="61">
        <v>1502317</v>
      </c>
      <c r="DI53" s="61">
        <v>1724198</v>
      </c>
      <c r="DJ53" s="61">
        <v>951491.00000000023</v>
      </c>
      <c r="DK53" s="61">
        <v>1717273.1666666665</v>
      </c>
      <c r="DL53" s="61">
        <v>1059118.1666666667</v>
      </c>
      <c r="DM53" s="61"/>
      <c r="DN53" s="61"/>
      <c r="DO53" s="61"/>
      <c r="DP53" s="61"/>
      <c r="DQ53" s="61"/>
      <c r="DR53" s="61"/>
      <c r="DS53" s="61">
        <v>0</v>
      </c>
      <c r="DT53" s="61">
        <v>1877244</v>
      </c>
      <c r="DU53" s="61">
        <v>1340128</v>
      </c>
      <c r="DV53" s="61">
        <v>1750526</v>
      </c>
      <c r="DW53" s="61">
        <v>969214</v>
      </c>
      <c r="DX53" s="61">
        <v>1557369</v>
      </c>
      <c r="DY53" s="61">
        <v>1922465</v>
      </c>
      <c r="DZ53" s="61">
        <v>1163583.0000000002</v>
      </c>
      <c r="EA53" s="61">
        <v>1280682</v>
      </c>
      <c r="EB53" s="61">
        <v>1341582.1666666665</v>
      </c>
      <c r="EC53" s="61"/>
      <c r="ED53" s="61"/>
      <c r="EE53" s="61"/>
      <c r="EF53" s="61"/>
      <c r="EG53" s="61"/>
      <c r="EH53" s="61"/>
      <c r="EI53" s="61">
        <v>0</v>
      </c>
      <c r="EJ53" s="61">
        <v>1522217</v>
      </c>
      <c r="EK53" s="61">
        <v>1666232</v>
      </c>
      <c r="EL53" s="61">
        <v>1990918</v>
      </c>
      <c r="EM53" s="61">
        <v>1790501</v>
      </c>
      <c r="EN53" s="61">
        <v>1338149</v>
      </c>
      <c r="EO53" s="61">
        <v>2610012</v>
      </c>
      <c r="EP53" s="61">
        <v>1378576.9999999998</v>
      </c>
      <c r="EQ53" s="61">
        <v>1873966</v>
      </c>
      <c r="ER53" s="61"/>
      <c r="ES53" s="61"/>
      <c r="ET53" s="61"/>
      <c r="EU53" s="61"/>
      <c r="EV53" s="61"/>
      <c r="EW53" s="61"/>
      <c r="EX53" s="61">
        <v>2026683</v>
      </c>
      <c r="EY53" s="61">
        <v>3144660</v>
      </c>
      <c r="EZ53" s="61">
        <v>2105155</v>
      </c>
      <c r="FA53" s="61">
        <v>2985932</v>
      </c>
      <c r="FB53" s="61">
        <v>3118162</v>
      </c>
      <c r="FC53" s="61">
        <v>2108293</v>
      </c>
      <c r="FD53" s="61">
        <v>1956824</v>
      </c>
      <c r="FE53" s="61">
        <v>1930352</v>
      </c>
      <c r="FF53" s="61">
        <v>2315584.6666666665</v>
      </c>
      <c r="FG53" s="61"/>
      <c r="FH53" s="168"/>
      <c r="FI53" s="168"/>
      <c r="FJ53" s="61"/>
      <c r="FK53" s="61"/>
      <c r="FL53" s="61"/>
      <c r="FM53" s="61">
        <v>4288464</v>
      </c>
      <c r="FN53" s="61">
        <v>2479383</v>
      </c>
      <c r="FO53" s="61">
        <v>2551267</v>
      </c>
      <c r="FP53" s="61">
        <v>2563238</v>
      </c>
      <c r="FQ53" s="61">
        <v>3254202</v>
      </c>
      <c r="FR53" s="61">
        <v>2606889</v>
      </c>
      <c r="FS53" s="61">
        <v>3690247</v>
      </c>
      <c r="FT53" s="61">
        <v>2799745</v>
      </c>
      <c r="FU53" s="61">
        <v>2728935.9999999995</v>
      </c>
      <c r="FV53" s="61"/>
      <c r="FW53" s="61"/>
      <c r="FX53" s="61"/>
      <c r="FY53" s="61"/>
      <c r="FZ53" s="61"/>
      <c r="GA53" s="61"/>
      <c r="GB53" s="61">
        <v>3421805</v>
      </c>
      <c r="GC53" s="61">
        <v>1939708</v>
      </c>
      <c r="GD53" s="61">
        <v>4658896</v>
      </c>
      <c r="GE53" s="61">
        <v>3916536</v>
      </c>
      <c r="GF53" s="61">
        <v>3704682</v>
      </c>
      <c r="GG53" s="61">
        <v>2892868</v>
      </c>
      <c r="GH53" s="61">
        <v>3724479</v>
      </c>
      <c r="GI53" s="61">
        <v>2143290.1666666665</v>
      </c>
      <c r="GJ53" s="61">
        <v>3646570</v>
      </c>
      <c r="GK53" s="61"/>
      <c r="GL53" s="61">
        <f t="shared" si="12"/>
        <v>3058704.2962962962</v>
      </c>
      <c r="GM53" s="61">
        <f t="shared" si="13"/>
        <v>2851439.222222222</v>
      </c>
      <c r="GN53" s="61">
        <f t="shared" si="14"/>
        <v>2688105.9259259258</v>
      </c>
      <c r="GO53" s="61">
        <f t="shared" si="15"/>
        <v>2116074.3148148153</v>
      </c>
      <c r="GP53" s="61">
        <f t="shared" si="16"/>
        <v>1935882.2222222222</v>
      </c>
      <c r="GQ53" s="61">
        <f>AVERAGE(CN53:CV53)</f>
        <v>1563352.7962592593</v>
      </c>
      <c r="GR53" s="61">
        <f>AVERAGE(DD53:DL53)</f>
        <v>1428673.7037037036</v>
      </c>
      <c r="GS53" s="61">
        <f>AVERAGE(DT53:EB53)</f>
        <v>1466977.0185185184</v>
      </c>
      <c r="GT53" s="61">
        <f>AVERAGE(EJ53:EQ53)</f>
        <v>1771321.5</v>
      </c>
      <c r="GU53" s="61">
        <f t="shared" si="17"/>
        <v>2410182.8518518521</v>
      </c>
      <c r="GV53" s="61">
        <f t="shared" si="18"/>
        <v>2995819</v>
      </c>
      <c r="GW53" s="61">
        <f t="shared" si="19"/>
        <v>3338759.3518518521</v>
      </c>
      <c r="GX53" t="s">
        <v>846</v>
      </c>
      <c r="GY53" s="60" t="s">
        <v>346</v>
      </c>
    </row>
    <row r="54" spans="2:207">
      <c r="C54" t="s">
        <v>786</v>
      </c>
      <c r="D54" s="60" t="s">
        <v>344</v>
      </c>
      <c r="E54" s="61">
        <v>0</v>
      </c>
      <c r="F54" s="61">
        <v>0</v>
      </c>
      <c r="G54" s="61">
        <v>0</v>
      </c>
      <c r="H54" s="61">
        <v>0</v>
      </c>
      <c r="I54" s="61">
        <v>0</v>
      </c>
      <c r="J54" s="61">
        <v>0</v>
      </c>
      <c r="K54" s="61">
        <v>0</v>
      </c>
      <c r="L54" s="61">
        <v>1871369</v>
      </c>
      <c r="M54" s="61">
        <v>2937746</v>
      </c>
      <c r="N54" s="61">
        <v>3254717</v>
      </c>
      <c r="O54" s="61">
        <v>2118628</v>
      </c>
      <c r="P54" s="61">
        <v>4103259</v>
      </c>
      <c r="Q54" s="61">
        <v>3764579</v>
      </c>
      <c r="R54" s="61">
        <v>4322000</v>
      </c>
      <c r="S54" s="61">
        <v>2335010</v>
      </c>
      <c r="T54" s="61">
        <v>4084221.0000000005</v>
      </c>
      <c r="U54" s="61">
        <v>0</v>
      </c>
      <c r="V54" s="61">
        <v>0</v>
      </c>
      <c r="W54" s="61">
        <v>0</v>
      </c>
      <c r="X54" s="61">
        <v>0</v>
      </c>
      <c r="Y54" s="61">
        <v>0</v>
      </c>
      <c r="Z54" s="61">
        <v>0</v>
      </c>
      <c r="AA54" s="61">
        <v>0</v>
      </c>
      <c r="AB54" s="61">
        <v>3331051</v>
      </c>
      <c r="AC54" s="61">
        <v>1862331</v>
      </c>
      <c r="AD54" s="61">
        <v>2082190.9999999998</v>
      </c>
      <c r="AE54" s="61">
        <v>2656197</v>
      </c>
      <c r="AF54" s="61">
        <v>4544158</v>
      </c>
      <c r="AG54" s="61">
        <v>2691189</v>
      </c>
      <c r="AH54" s="61">
        <v>4177199.0000000005</v>
      </c>
      <c r="AI54" s="61">
        <v>2594255.8333333335</v>
      </c>
      <c r="AJ54" s="61">
        <v>2533146.666666666</v>
      </c>
      <c r="AK54" s="61">
        <v>0</v>
      </c>
      <c r="AL54" s="61">
        <v>0</v>
      </c>
      <c r="AM54" s="61">
        <v>0</v>
      </c>
      <c r="AN54" s="61">
        <v>0</v>
      </c>
      <c r="AO54" s="61">
        <v>0</v>
      </c>
      <c r="AP54" s="61">
        <v>0</v>
      </c>
      <c r="AQ54" s="61">
        <v>0</v>
      </c>
      <c r="AR54" s="61">
        <v>3754482</v>
      </c>
      <c r="AS54" s="61">
        <v>2842155</v>
      </c>
      <c r="AT54" s="61">
        <v>1691922</v>
      </c>
      <c r="AU54" s="61">
        <v>2183796</v>
      </c>
      <c r="AV54" s="61">
        <v>1855185</v>
      </c>
      <c r="AW54" s="61">
        <v>2485436</v>
      </c>
      <c r="AX54" s="61">
        <v>3028118.0000000005</v>
      </c>
      <c r="AY54" s="61">
        <v>3195614.833333333</v>
      </c>
      <c r="AZ54" s="61">
        <v>3442312.3333333335</v>
      </c>
      <c r="BA54" s="61">
        <v>0</v>
      </c>
      <c r="BB54" s="61">
        <v>0</v>
      </c>
      <c r="BC54" s="61">
        <v>0</v>
      </c>
      <c r="BD54" s="61">
        <v>0</v>
      </c>
      <c r="BE54" s="61">
        <v>0</v>
      </c>
      <c r="BF54" s="61">
        <v>0</v>
      </c>
      <c r="BG54" s="61">
        <v>0</v>
      </c>
      <c r="BH54" s="61">
        <v>2105813</v>
      </c>
      <c r="BI54" s="61">
        <v>1503131</v>
      </c>
      <c r="BJ54" s="61">
        <v>3205467</v>
      </c>
      <c r="BK54" s="61">
        <v>2404876</v>
      </c>
      <c r="BL54" s="61">
        <v>1614876</v>
      </c>
      <c r="BM54" s="61">
        <v>2073668.0000000002</v>
      </c>
      <c r="BN54" s="61">
        <v>1943855.9999999998</v>
      </c>
      <c r="BO54" s="61">
        <v>1267749.3333333337</v>
      </c>
      <c r="BP54" s="61">
        <v>2747543</v>
      </c>
      <c r="BQ54" s="61">
        <v>0</v>
      </c>
      <c r="BR54" s="61">
        <v>0</v>
      </c>
      <c r="BS54" s="61">
        <v>0</v>
      </c>
      <c r="BT54" s="61">
        <v>0</v>
      </c>
      <c r="BU54" s="61">
        <v>0</v>
      </c>
      <c r="BV54" s="61">
        <v>0</v>
      </c>
      <c r="BW54" s="61">
        <v>0</v>
      </c>
      <c r="BX54" s="61">
        <v>1729341</v>
      </c>
      <c r="BY54" s="61">
        <v>1604042</v>
      </c>
      <c r="BZ54" s="61">
        <v>2091833</v>
      </c>
      <c r="CA54" s="61">
        <v>1655143</v>
      </c>
      <c r="CB54" s="61">
        <v>2550904</v>
      </c>
      <c r="CC54" s="61">
        <v>1966148</v>
      </c>
      <c r="CD54" s="61">
        <v>2077990.0000000007</v>
      </c>
      <c r="CE54" s="61">
        <v>1788063</v>
      </c>
      <c r="CF54" s="61">
        <v>1193239</v>
      </c>
      <c r="CG54" s="61">
        <v>0</v>
      </c>
      <c r="CH54" s="61">
        <v>0</v>
      </c>
      <c r="CI54" s="61">
        <v>0</v>
      </c>
      <c r="CJ54" s="61">
        <v>0</v>
      </c>
      <c r="CK54" s="61">
        <v>0</v>
      </c>
      <c r="CL54" s="61">
        <v>0</v>
      </c>
      <c r="CM54" s="61">
        <v>0</v>
      </c>
      <c r="CN54" s="61">
        <v>1444668</v>
      </c>
      <c r="CO54" s="61">
        <v>1812506</v>
      </c>
      <c r="CP54" s="61">
        <v>1913369</v>
      </c>
      <c r="CQ54" s="61">
        <v>1898689</v>
      </c>
      <c r="CR54" s="61">
        <v>1608285</v>
      </c>
      <c r="CS54" s="61">
        <v>1563505</v>
      </c>
      <c r="CT54" s="61">
        <v>1129779.5</v>
      </c>
      <c r="CU54" s="61">
        <v>1690977.1666666667</v>
      </c>
      <c r="CV54" s="61">
        <v>1230386</v>
      </c>
      <c r="CW54" s="61">
        <v>0</v>
      </c>
      <c r="CX54" s="61">
        <v>0</v>
      </c>
      <c r="CY54" s="61">
        <v>0</v>
      </c>
      <c r="CZ54" s="61">
        <v>0</v>
      </c>
      <c r="DA54" s="61">
        <v>0</v>
      </c>
      <c r="DB54" s="61">
        <v>0</v>
      </c>
      <c r="DC54" s="61">
        <v>0</v>
      </c>
      <c r="DD54" s="61">
        <v>1040050.9999999999</v>
      </c>
      <c r="DE54" s="61">
        <v>1769761</v>
      </c>
      <c r="DF54" s="61">
        <v>2025175</v>
      </c>
      <c r="DG54" s="61">
        <v>1486482</v>
      </c>
      <c r="DH54" s="61">
        <v>1361475</v>
      </c>
      <c r="DI54" s="61">
        <v>1778647</v>
      </c>
      <c r="DJ54" s="61">
        <v>901445.99999999988</v>
      </c>
      <c r="DK54" s="61">
        <v>1852129.5</v>
      </c>
      <c r="DL54" s="61">
        <v>999827</v>
      </c>
      <c r="DM54" s="61">
        <v>0</v>
      </c>
      <c r="DN54" s="61">
        <v>0</v>
      </c>
      <c r="DO54" s="61">
        <v>0</v>
      </c>
      <c r="DP54" s="61">
        <v>0</v>
      </c>
      <c r="DQ54" s="61">
        <v>0</v>
      </c>
      <c r="DR54" s="61">
        <v>0</v>
      </c>
      <c r="DS54" s="61">
        <v>0</v>
      </c>
      <c r="DT54" s="61">
        <v>1829375</v>
      </c>
      <c r="DU54" s="61">
        <v>1672927</v>
      </c>
      <c r="DV54" s="61">
        <v>1794035</v>
      </c>
      <c r="DW54" s="61">
        <v>1049180</v>
      </c>
      <c r="DX54" s="61">
        <v>1659333</v>
      </c>
      <c r="DY54" s="61">
        <v>1997497</v>
      </c>
      <c r="DZ54" s="61">
        <v>1048476.0000000001</v>
      </c>
      <c r="EA54" s="61">
        <v>1399257</v>
      </c>
      <c r="EB54" s="61">
        <v>1242692.6666666665</v>
      </c>
      <c r="EC54" s="61">
        <v>0</v>
      </c>
      <c r="ED54" s="61">
        <v>0</v>
      </c>
      <c r="EE54" s="61">
        <v>0</v>
      </c>
      <c r="EF54" s="61">
        <v>0</v>
      </c>
      <c r="EG54" s="61">
        <v>0</v>
      </c>
      <c r="EH54" s="61">
        <v>0</v>
      </c>
      <c r="EI54" s="61">
        <v>0</v>
      </c>
      <c r="EJ54" s="61">
        <v>1594883</v>
      </c>
      <c r="EK54" s="61">
        <v>1985320</v>
      </c>
      <c r="EL54" s="61">
        <v>1789000</v>
      </c>
      <c r="EM54" s="61">
        <v>1888133</v>
      </c>
      <c r="EN54" s="61">
        <v>1249336</v>
      </c>
      <c r="EO54" s="61">
        <v>2491803</v>
      </c>
      <c r="EP54" s="61">
        <v>1164051</v>
      </c>
      <c r="EQ54" s="61">
        <v>1953930.8333333333</v>
      </c>
      <c r="ER54" s="61">
        <v>0</v>
      </c>
      <c r="ES54" s="61">
        <v>0</v>
      </c>
      <c r="ET54" s="61">
        <v>0</v>
      </c>
      <c r="EU54" s="61">
        <v>0</v>
      </c>
      <c r="EV54" s="61">
        <v>0</v>
      </c>
      <c r="EW54" s="61">
        <v>0</v>
      </c>
      <c r="EX54" s="61">
        <v>0</v>
      </c>
      <c r="EY54" s="61">
        <v>3262809</v>
      </c>
      <c r="EZ54" s="61">
        <v>2375728</v>
      </c>
      <c r="FA54" s="61">
        <v>3087705</v>
      </c>
      <c r="FB54" s="61">
        <v>3266090</v>
      </c>
      <c r="FC54" s="61">
        <v>2407070</v>
      </c>
      <c r="FD54" s="61">
        <v>1835562</v>
      </c>
      <c r="FE54" s="61">
        <v>1895242</v>
      </c>
      <c r="FF54" s="61">
        <v>2377703.333333333</v>
      </c>
      <c r="FG54" s="61">
        <v>0</v>
      </c>
      <c r="FH54" s="168">
        <v>0</v>
      </c>
      <c r="FI54" s="168">
        <v>0</v>
      </c>
      <c r="FJ54" s="61">
        <v>0</v>
      </c>
      <c r="FK54" s="61">
        <v>0</v>
      </c>
      <c r="FL54" s="61">
        <v>0</v>
      </c>
      <c r="FM54" s="61">
        <v>0</v>
      </c>
      <c r="FN54" s="61">
        <v>2529927</v>
      </c>
      <c r="FO54" s="61">
        <v>2904398</v>
      </c>
      <c r="FP54" s="61">
        <v>2784421</v>
      </c>
      <c r="FQ54" s="61">
        <v>3406909</v>
      </c>
      <c r="FR54" s="61">
        <v>2918391</v>
      </c>
      <c r="FS54" s="61">
        <v>3762972</v>
      </c>
      <c r="FT54" s="61">
        <v>3007153.0000000005</v>
      </c>
      <c r="FU54" s="61">
        <v>2757260</v>
      </c>
      <c r="FV54" s="61">
        <v>0</v>
      </c>
      <c r="FW54" s="61">
        <v>0</v>
      </c>
      <c r="FX54" s="61">
        <v>0</v>
      </c>
      <c r="FY54" s="61">
        <v>0</v>
      </c>
      <c r="FZ54" s="61">
        <v>0</v>
      </c>
      <c r="GA54" s="61">
        <v>0</v>
      </c>
      <c r="GB54" s="61">
        <v>3524197</v>
      </c>
      <c r="GC54" s="61">
        <v>2092061.0000000002</v>
      </c>
      <c r="GD54" s="61">
        <v>4737639</v>
      </c>
      <c r="GE54" s="61">
        <v>5030161</v>
      </c>
      <c r="GF54" s="61">
        <v>4173902</v>
      </c>
      <c r="GG54" s="61">
        <v>3003131</v>
      </c>
      <c r="GH54" s="61">
        <v>4329323</v>
      </c>
      <c r="GI54" s="61">
        <v>2096641.9999999998</v>
      </c>
      <c r="GJ54" s="61">
        <v>3795388.9999999995</v>
      </c>
      <c r="GK54" s="61"/>
      <c r="GL54" s="61">
        <f t="shared" si="12"/>
        <v>3199058.777777778</v>
      </c>
      <c r="GM54" s="61">
        <f t="shared" si="13"/>
        <v>2941302.0555555555</v>
      </c>
      <c r="GN54" s="61">
        <f t="shared" si="14"/>
        <v>2719891.2407407407</v>
      </c>
      <c r="GO54" s="61">
        <f t="shared" si="15"/>
        <v>2096331.0370370373</v>
      </c>
      <c r="GP54" s="61">
        <f t="shared" si="16"/>
        <v>1850744.7777777778</v>
      </c>
      <c r="GQ54" s="61">
        <f>AVERAGE(CN54:CV54)</f>
        <v>1588018.2962962962</v>
      </c>
      <c r="GR54" s="61">
        <f>AVERAGE(DD54:DL54)</f>
        <v>1468332.611111111</v>
      </c>
      <c r="GS54" s="61">
        <f>AVERAGE(DT54:EB54)</f>
        <v>1521419.1851851852</v>
      </c>
      <c r="GT54" s="61">
        <f>AVERAGE(EJ54:EQ54)</f>
        <v>1764557.1041666667</v>
      </c>
      <c r="GU54" s="61">
        <f>AVERAGE(EY54:FF54)</f>
        <v>2563488.6666666665</v>
      </c>
      <c r="GV54" s="61">
        <f>AVERAGE(FN54:FU54)</f>
        <v>3008928.875</v>
      </c>
      <c r="GW54" s="61">
        <f t="shared" si="19"/>
        <v>3642493.888888889</v>
      </c>
      <c r="GX54" t="s">
        <v>846</v>
      </c>
      <c r="GY54" s="60" t="s">
        <v>344</v>
      </c>
    </row>
    <row r="55" spans="2:207">
      <c r="B55" t="s">
        <v>2616</v>
      </c>
      <c r="E55" s="61">
        <v>0</v>
      </c>
      <c r="F55" s="61">
        <v>0</v>
      </c>
      <c r="G55" s="61">
        <v>0</v>
      </c>
      <c r="H55" s="61">
        <v>0</v>
      </c>
      <c r="I55" s="61">
        <v>0</v>
      </c>
      <c r="J55" s="61">
        <v>0</v>
      </c>
      <c r="K55" s="61">
        <v>0</v>
      </c>
      <c r="L55" s="61">
        <v>9456675</v>
      </c>
      <c r="M55" s="61">
        <v>16671216</v>
      </c>
      <c r="N55" s="61">
        <v>16962947</v>
      </c>
      <c r="O55" s="61">
        <v>12436032</v>
      </c>
      <c r="P55" s="61">
        <v>21513804.714285716</v>
      </c>
      <c r="Q55" s="61">
        <v>18332976</v>
      </c>
      <c r="R55" s="61">
        <v>21917613.833333336</v>
      </c>
      <c r="S55" s="61">
        <v>11408669</v>
      </c>
      <c r="T55" s="61">
        <v>20913760.833333336</v>
      </c>
      <c r="U55" s="61">
        <v>0</v>
      </c>
      <c r="V55" s="61">
        <v>0</v>
      </c>
      <c r="W55" s="61">
        <v>0</v>
      </c>
      <c r="X55" s="61">
        <v>0</v>
      </c>
      <c r="Y55" s="61">
        <v>0</v>
      </c>
      <c r="Z55" s="61">
        <v>0</v>
      </c>
      <c r="AA55" s="61">
        <v>0</v>
      </c>
      <c r="AB55" s="61">
        <v>14834329</v>
      </c>
      <c r="AC55" s="61">
        <v>11774137</v>
      </c>
      <c r="AD55" s="61">
        <v>11663302</v>
      </c>
      <c r="AE55" s="61">
        <v>15391363</v>
      </c>
      <c r="AF55" s="61">
        <v>24009908.714285716</v>
      </c>
      <c r="AG55" s="61">
        <v>14383522</v>
      </c>
      <c r="AH55" s="61">
        <v>20083025</v>
      </c>
      <c r="AI55" s="61">
        <v>15481376.666666666</v>
      </c>
      <c r="AJ55" s="61">
        <v>14011062.333333332</v>
      </c>
      <c r="AK55" s="61">
        <v>0</v>
      </c>
      <c r="AL55" s="61">
        <v>0</v>
      </c>
      <c r="AM55" s="61">
        <v>0</v>
      </c>
      <c r="AN55" s="61">
        <v>0</v>
      </c>
      <c r="AO55" s="61">
        <v>0</v>
      </c>
      <c r="AP55" s="61">
        <v>0</v>
      </c>
      <c r="AQ55" s="61">
        <v>0</v>
      </c>
      <c r="AR55" s="61">
        <v>17707304</v>
      </c>
      <c r="AS55" s="61">
        <v>14928555</v>
      </c>
      <c r="AT55" s="61">
        <v>9792893</v>
      </c>
      <c r="AU55" s="61">
        <v>12813355</v>
      </c>
      <c r="AV55" s="61">
        <v>10934970.285714285</v>
      </c>
      <c r="AW55" s="61">
        <v>14641594</v>
      </c>
      <c r="AX55" s="61">
        <v>16206718.833000001</v>
      </c>
      <c r="AY55" s="61">
        <v>17240193.333333332</v>
      </c>
      <c r="AZ55" s="61">
        <v>16332743.5</v>
      </c>
      <c r="BA55" s="61">
        <v>0</v>
      </c>
      <c r="BB55" s="61">
        <v>0</v>
      </c>
      <c r="BC55" s="61">
        <v>0</v>
      </c>
      <c r="BD55" s="61">
        <v>0</v>
      </c>
      <c r="BE55" s="61">
        <v>0</v>
      </c>
      <c r="BF55" s="61">
        <v>0</v>
      </c>
      <c r="BG55" s="61">
        <v>0</v>
      </c>
      <c r="BH55" s="61">
        <v>11770580</v>
      </c>
      <c r="BI55" s="61">
        <v>9113720</v>
      </c>
      <c r="BJ55" s="61">
        <v>15678192</v>
      </c>
      <c r="BK55" s="61">
        <v>14178352</v>
      </c>
      <c r="BL55" s="61">
        <v>8568070.4285714291</v>
      </c>
      <c r="BM55" s="61">
        <v>11484622</v>
      </c>
      <c r="BN55" s="61">
        <v>11258313.333333332</v>
      </c>
      <c r="BO55" s="61">
        <v>7323354.3333333349</v>
      </c>
      <c r="BP55" s="61">
        <v>12148431</v>
      </c>
      <c r="BQ55" s="61">
        <v>0</v>
      </c>
      <c r="BR55" s="61">
        <v>0</v>
      </c>
      <c r="BS55" s="61">
        <v>0</v>
      </c>
      <c r="BT55" s="61">
        <v>0</v>
      </c>
      <c r="BU55" s="61">
        <v>0</v>
      </c>
      <c r="BV55" s="61">
        <v>0</v>
      </c>
      <c r="BW55" s="61">
        <v>0</v>
      </c>
      <c r="BX55" s="61">
        <v>9962534</v>
      </c>
      <c r="BY55" s="61">
        <v>9778334</v>
      </c>
      <c r="BZ55" s="61">
        <v>9871252</v>
      </c>
      <c r="CA55" s="61">
        <v>10544003</v>
      </c>
      <c r="CB55" s="61">
        <v>13220769.142857142</v>
      </c>
      <c r="CC55" s="61">
        <v>11598558</v>
      </c>
      <c r="CD55" s="61">
        <v>10417484.8333</v>
      </c>
      <c r="CE55" s="61">
        <v>9226682</v>
      </c>
      <c r="CF55" s="61">
        <v>7729630</v>
      </c>
      <c r="CG55" s="61">
        <v>0</v>
      </c>
      <c r="CH55" s="61">
        <v>0</v>
      </c>
      <c r="CI55" s="61">
        <v>0</v>
      </c>
      <c r="CJ55" s="61">
        <v>0</v>
      </c>
      <c r="CK55" s="61">
        <v>0</v>
      </c>
      <c r="CL55" s="61">
        <v>0</v>
      </c>
      <c r="CM55" s="61">
        <v>1189000</v>
      </c>
      <c r="CN55" s="61">
        <v>7495667</v>
      </c>
      <c r="CO55" s="61">
        <v>11084807</v>
      </c>
      <c r="CP55" s="61">
        <v>9340829</v>
      </c>
      <c r="CQ55" s="61">
        <v>11197603</v>
      </c>
      <c r="CR55" s="61">
        <v>7676567.1428571427</v>
      </c>
      <c r="CS55" s="61">
        <v>9685783</v>
      </c>
      <c r="CT55" s="61">
        <v>7578621.6663333327</v>
      </c>
      <c r="CU55" s="61">
        <v>9595752.8336666655</v>
      </c>
      <c r="CV55" s="61">
        <v>7934063</v>
      </c>
      <c r="CW55" s="61">
        <v>0</v>
      </c>
      <c r="CX55" s="61">
        <v>0</v>
      </c>
      <c r="CY55" s="61">
        <v>0</v>
      </c>
      <c r="CZ55" s="61">
        <v>0</v>
      </c>
      <c r="DA55" s="61">
        <v>0</v>
      </c>
      <c r="DB55" s="61">
        <v>0</v>
      </c>
      <c r="DC55" s="61">
        <v>1614428</v>
      </c>
      <c r="DD55" s="61">
        <v>6199282</v>
      </c>
      <c r="DE55" s="61">
        <v>9414772</v>
      </c>
      <c r="DF55" s="61">
        <v>10038117</v>
      </c>
      <c r="DG55" s="61">
        <v>8590342</v>
      </c>
      <c r="DH55" s="61">
        <v>7526003.8571428573</v>
      </c>
      <c r="DI55" s="61">
        <v>10918029</v>
      </c>
      <c r="DJ55" s="61">
        <v>6913616</v>
      </c>
      <c r="DK55" s="61">
        <v>10004546.666666666</v>
      </c>
      <c r="DL55" s="61">
        <v>5536853.333333334</v>
      </c>
      <c r="DM55" s="61">
        <v>0</v>
      </c>
      <c r="DN55" s="61">
        <v>0</v>
      </c>
      <c r="DO55" s="61">
        <v>0</v>
      </c>
      <c r="DP55" s="61">
        <v>0</v>
      </c>
      <c r="DQ55" s="61">
        <v>0</v>
      </c>
      <c r="DR55" s="61">
        <v>0</v>
      </c>
      <c r="DS55" s="61">
        <v>580621</v>
      </c>
      <c r="DT55" s="61">
        <v>9385104</v>
      </c>
      <c r="DU55" s="61">
        <v>8840938</v>
      </c>
      <c r="DV55" s="61">
        <v>9739873</v>
      </c>
      <c r="DW55" s="61">
        <v>6089508</v>
      </c>
      <c r="DX55" s="61">
        <v>9392262.1428571418</v>
      </c>
      <c r="DY55" s="61">
        <v>8889864</v>
      </c>
      <c r="DZ55" s="61">
        <v>8219446</v>
      </c>
      <c r="EA55" s="61">
        <v>7398375</v>
      </c>
      <c r="EB55" s="61">
        <v>7303900.5</v>
      </c>
      <c r="EC55" s="61">
        <v>0</v>
      </c>
      <c r="ED55" s="61">
        <v>0</v>
      </c>
      <c r="EE55" s="61">
        <v>0</v>
      </c>
      <c r="EF55" s="61">
        <v>0</v>
      </c>
      <c r="EG55" s="61">
        <v>0</v>
      </c>
      <c r="EH55" s="61">
        <v>0</v>
      </c>
      <c r="EI55" s="61">
        <v>2118503</v>
      </c>
      <c r="EJ55" s="61">
        <v>8042744</v>
      </c>
      <c r="EK55" s="61">
        <v>11139850</v>
      </c>
      <c r="EL55" s="61">
        <v>8974281</v>
      </c>
      <c r="EM55" s="61">
        <v>8899853</v>
      </c>
      <c r="EN55" s="61">
        <v>5993396.5714285709</v>
      </c>
      <c r="EO55" s="61">
        <v>11814591</v>
      </c>
      <c r="EP55" s="61">
        <v>7298623.833333334</v>
      </c>
      <c r="EQ55" s="61">
        <v>9284584.333333334</v>
      </c>
      <c r="ER55" s="61">
        <v>0</v>
      </c>
      <c r="ES55" s="61">
        <v>0</v>
      </c>
      <c r="ET55" s="61">
        <v>0</v>
      </c>
      <c r="EU55" s="61">
        <v>0</v>
      </c>
      <c r="EV55" s="61">
        <v>0</v>
      </c>
      <c r="EW55" s="61">
        <v>0</v>
      </c>
      <c r="EX55" s="61">
        <v>7454999</v>
      </c>
      <c r="EY55" s="61">
        <v>14758797</v>
      </c>
      <c r="EZ55" s="61">
        <v>12956444</v>
      </c>
      <c r="FA55" s="61">
        <v>14832623</v>
      </c>
      <c r="FB55" s="61">
        <v>16552709</v>
      </c>
      <c r="FC55" s="61">
        <v>12674708</v>
      </c>
      <c r="FD55" s="61">
        <v>9202556</v>
      </c>
      <c r="FE55" s="61">
        <v>9169418.333333334</v>
      </c>
      <c r="FF55" s="61">
        <v>13142820.5</v>
      </c>
      <c r="FG55" s="61">
        <v>0</v>
      </c>
      <c r="FH55" s="168">
        <v>0</v>
      </c>
      <c r="FI55" s="168">
        <v>0</v>
      </c>
      <c r="FJ55" s="61">
        <v>0</v>
      </c>
      <c r="FK55" s="61">
        <v>0</v>
      </c>
      <c r="FL55" s="61">
        <v>0</v>
      </c>
      <c r="FM55" s="61">
        <v>16899860</v>
      </c>
      <c r="FN55" s="61">
        <v>12506494</v>
      </c>
      <c r="FO55" s="61">
        <v>12698410</v>
      </c>
      <c r="FP55" s="61">
        <v>14246638</v>
      </c>
      <c r="FQ55" s="61">
        <v>16335673</v>
      </c>
      <c r="FR55" s="61">
        <v>13504329.142857142</v>
      </c>
      <c r="FS55" s="61">
        <v>19746038</v>
      </c>
      <c r="FT55" s="61">
        <v>15331728.833333334</v>
      </c>
      <c r="FU55" s="61">
        <v>12651720.666666666</v>
      </c>
      <c r="FV55" s="61">
        <v>0</v>
      </c>
      <c r="FW55" s="61">
        <v>0</v>
      </c>
      <c r="FX55" s="61">
        <v>0</v>
      </c>
      <c r="FY55" s="61">
        <v>0</v>
      </c>
      <c r="FZ55" s="61">
        <v>0</v>
      </c>
      <c r="GA55" s="61">
        <v>0</v>
      </c>
      <c r="GB55" s="61">
        <v>17015846</v>
      </c>
      <c r="GC55" s="61">
        <v>11479953</v>
      </c>
      <c r="GD55" s="61">
        <v>23668945</v>
      </c>
      <c r="GE55" s="61">
        <v>23146443</v>
      </c>
      <c r="GF55" s="61">
        <v>19955658</v>
      </c>
      <c r="GG55" s="61">
        <v>16277923.428571429</v>
      </c>
      <c r="GH55" s="61">
        <v>23028969</v>
      </c>
      <c r="GI55" s="61">
        <v>10607771</v>
      </c>
      <c r="GJ55" s="61">
        <v>18628073</v>
      </c>
      <c r="GK55" s="61"/>
    </row>
    <row r="56" spans="2:207">
      <c r="B56" t="s">
        <v>793</v>
      </c>
      <c r="C56" t="s">
        <v>794</v>
      </c>
      <c r="D56" s="3" t="s">
        <v>295</v>
      </c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1044772.9999999999</v>
      </c>
      <c r="N56" s="61">
        <v>1461405</v>
      </c>
      <c r="O56" s="61">
        <v>1239561</v>
      </c>
      <c r="P56" s="61">
        <v>1121272</v>
      </c>
      <c r="Q56" s="61">
        <v>1202193</v>
      </c>
      <c r="R56" s="61">
        <v>817781</v>
      </c>
      <c r="S56" s="61">
        <v>1315610</v>
      </c>
      <c r="T56" s="61">
        <v>1422724</v>
      </c>
      <c r="U56" s="61">
        <v>0</v>
      </c>
      <c r="V56" s="61">
        <v>0</v>
      </c>
      <c r="W56" s="61">
        <v>0</v>
      </c>
      <c r="X56" s="61">
        <v>0</v>
      </c>
      <c r="Y56" s="61">
        <v>0</v>
      </c>
      <c r="Z56" s="61">
        <v>0</v>
      </c>
      <c r="AA56" s="61">
        <v>0</v>
      </c>
      <c r="AB56" s="61">
        <v>928754</v>
      </c>
      <c r="AC56" s="61">
        <v>927018</v>
      </c>
      <c r="AD56" s="61">
        <v>1642715</v>
      </c>
      <c r="AE56" s="61">
        <v>1117735</v>
      </c>
      <c r="AF56" s="61">
        <v>1109904</v>
      </c>
      <c r="AG56" s="61">
        <v>1073578</v>
      </c>
      <c r="AH56" s="61">
        <v>1089465</v>
      </c>
      <c r="AI56" s="61">
        <v>1286000</v>
      </c>
      <c r="AJ56" s="61">
        <v>638627</v>
      </c>
      <c r="AK56" s="61">
        <v>0</v>
      </c>
      <c r="AL56" s="61">
        <v>0</v>
      </c>
      <c r="AM56" s="61">
        <v>0</v>
      </c>
      <c r="AN56" s="61">
        <v>0</v>
      </c>
      <c r="AO56" s="61">
        <v>0</v>
      </c>
      <c r="AP56" s="61">
        <v>0</v>
      </c>
      <c r="AQ56" s="61">
        <v>0</v>
      </c>
      <c r="AR56" s="61">
        <v>1264505</v>
      </c>
      <c r="AS56" s="61">
        <v>927483</v>
      </c>
      <c r="AT56" s="61">
        <v>960541</v>
      </c>
      <c r="AU56" s="61">
        <v>976236</v>
      </c>
      <c r="AV56" s="61">
        <v>1169211</v>
      </c>
      <c r="AW56" s="61">
        <v>1377270</v>
      </c>
      <c r="AX56" s="61">
        <v>1165922</v>
      </c>
      <c r="AY56" s="61">
        <v>1114060</v>
      </c>
      <c r="AZ56" s="61">
        <v>1176326</v>
      </c>
      <c r="BA56" s="61">
        <v>0</v>
      </c>
      <c r="BB56" s="61">
        <v>0</v>
      </c>
      <c r="BC56" s="61">
        <v>0</v>
      </c>
      <c r="BD56" s="61">
        <v>0</v>
      </c>
      <c r="BE56" s="61">
        <v>0</v>
      </c>
      <c r="BF56" s="61">
        <v>0</v>
      </c>
      <c r="BG56" s="61">
        <v>0</v>
      </c>
      <c r="BH56" s="61">
        <v>750643</v>
      </c>
      <c r="BI56" s="61">
        <v>959011</v>
      </c>
      <c r="BJ56" s="61">
        <v>1277407</v>
      </c>
      <c r="BK56" s="61">
        <v>724883</v>
      </c>
      <c r="BL56" s="61">
        <v>987952</v>
      </c>
      <c r="BM56" s="61">
        <v>1028593.0000000001</v>
      </c>
      <c r="BN56" s="61">
        <v>1235079</v>
      </c>
      <c r="BO56" s="61">
        <v>1230710</v>
      </c>
      <c r="BP56" s="61">
        <v>900628</v>
      </c>
      <c r="BQ56" s="61">
        <v>0</v>
      </c>
      <c r="BR56" s="61">
        <v>0</v>
      </c>
      <c r="BS56" s="61">
        <v>0</v>
      </c>
      <c r="BT56" s="61">
        <v>0</v>
      </c>
      <c r="BU56" s="61">
        <v>0</v>
      </c>
      <c r="BV56" s="61">
        <v>0</v>
      </c>
      <c r="BW56" s="61">
        <v>0</v>
      </c>
      <c r="BX56" s="61">
        <v>1096648</v>
      </c>
      <c r="BY56" s="61">
        <v>676224</v>
      </c>
      <c r="BZ56" s="61">
        <v>960510</v>
      </c>
      <c r="CA56" s="61">
        <v>1021447</v>
      </c>
      <c r="CB56" s="61">
        <v>1441317</v>
      </c>
      <c r="CC56" s="61">
        <v>1178905</v>
      </c>
      <c r="CD56" s="61">
        <v>1384731</v>
      </c>
      <c r="CE56" s="61">
        <v>815716</v>
      </c>
      <c r="CF56" s="61">
        <v>646109</v>
      </c>
      <c r="CG56" s="61">
        <v>0</v>
      </c>
      <c r="CH56" s="61">
        <v>0</v>
      </c>
      <c r="CI56" s="61">
        <v>0</v>
      </c>
      <c r="CJ56" s="61">
        <v>0</v>
      </c>
      <c r="CK56" s="61">
        <v>0</v>
      </c>
      <c r="CL56" s="61">
        <v>0</v>
      </c>
      <c r="CM56" s="61">
        <v>0</v>
      </c>
      <c r="CN56" s="61">
        <v>1026007.0000000001</v>
      </c>
      <c r="CO56" s="61">
        <v>701775</v>
      </c>
      <c r="CP56" s="61">
        <v>778771</v>
      </c>
      <c r="CQ56" s="61">
        <v>1229520</v>
      </c>
      <c r="CR56" s="61">
        <v>795043</v>
      </c>
      <c r="CS56" s="61">
        <v>708535</v>
      </c>
      <c r="CT56" s="61">
        <v>573266</v>
      </c>
      <c r="CU56" s="61">
        <v>359390</v>
      </c>
      <c r="CV56" s="61">
        <v>527637</v>
      </c>
      <c r="CW56" s="61">
        <v>0</v>
      </c>
      <c r="CX56" s="61">
        <v>0</v>
      </c>
      <c r="CY56" s="61">
        <v>0</v>
      </c>
      <c r="CZ56" s="61">
        <v>0</v>
      </c>
      <c r="DA56" s="61">
        <v>0</v>
      </c>
      <c r="DB56" s="61">
        <v>0</v>
      </c>
      <c r="DC56" s="61">
        <v>0</v>
      </c>
      <c r="DD56" s="61">
        <v>857887</v>
      </c>
      <c r="DE56" s="61">
        <v>866188</v>
      </c>
      <c r="DF56" s="61">
        <v>688407</v>
      </c>
      <c r="DG56" s="61">
        <v>606882</v>
      </c>
      <c r="DH56" s="61">
        <v>1058799</v>
      </c>
      <c r="DI56" s="61">
        <v>828692</v>
      </c>
      <c r="DJ56" s="61">
        <v>828130</v>
      </c>
      <c r="DK56" s="61">
        <v>970639.67</v>
      </c>
      <c r="DL56" s="61">
        <v>486816</v>
      </c>
      <c r="DM56" s="61">
        <v>0</v>
      </c>
      <c r="DN56" s="61">
        <v>0</v>
      </c>
      <c r="DO56" s="61">
        <v>0</v>
      </c>
      <c r="DP56" s="61">
        <v>0</v>
      </c>
      <c r="DQ56" s="61">
        <v>0</v>
      </c>
      <c r="DR56" s="61">
        <v>0</v>
      </c>
      <c r="DS56" s="61">
        <v>0</v>
      </c>
      <c r="DT56" s="61">
        <v>858167</v>
      </c>
      <c r="DU56" s="61">
        <v>742259</v>
      </c>
      <c r="DV56" s="61">
        <v>669972</v>
      </c>
      <c r="DW56" s="61">
        <v>855297</v>
      </c>
      <c r="DX56" s="61">
        <v>555456</v>
      </c>
      <c r="DY56" s="61">
        <v>812235</v>
      </c>
      <c r="DZ56" s="61">
        <v>815230</v>
      </c>
      <c r="EA56" s="61">
        <v>773900</v>
      </c>
      <c r="EB56" s="61">
        <v>642784</v>
      </c>
      <c r="EC56" s="61">
        <v>0</v>
      </c>
      <c r="ED56" s="61">
        <v>0</v>
      </c>
      <c r="EE56" s="61">
        <v>0</v>
      </c>
      <c r="EF56" s="61">
        <v>0</v>
      </c>
      <c r="EG56" s="61">
        <v>0</v>
      </c>
      <c r="EH56" s="61">
        <v>0</v>
      </c>
      <c r="EI56" s="61">
        <v>0</v>
      </c>
      <c r="EJ56" s="61">
        <v>781080</v>
      </c>
      <c r="EK56" s="61">
        <v>704642</v>
      </c>
      <c r="EL56" s="61">
        <v>1141240</v>
      </c>
      <c r="EM56" s="61">
        <v>901741</v>
      </c>
      <c r="EN56" s="61">
        <v>828931</v>
      </c>
      <c r="EO56" s="61">
        <v>918627</v>
      </c>
      <c r="EP56" s="61">
        <v>60820</v>
      </c>
      <c r="EQ56" s="61">
        <v>643317.82999999996</v>
      </c>
      <c r="ER56" s="61">
        <v>0</v>
      </c>
      <c r="ES56" s="61">
        <v>0</v>
      </c>
      <c r="ET56" s="61">
        <v>0</v>
      </c>
      <c r="EU56" s="61">
        <v>0</v>
      </c>
      <c r="EV56" s="61">
        <v>0</v>
      </c>
      <c r="EW56" s="61">
        <v>0</v>
      </c>
      <c r="EX56" s="61">
        <v>0</v>
      </c>
      <c r="EY56" s="61">
        <v>1517629</v>
      </c>
      <c r="EZ56" s="61">
        <v>1187914</v>
      </c>
      <c r="FA56" s="61">
        <v>1120765</v>
      </c>
      <c r="FB56" s="61">
        <v>1135384</v>
      </c>
      <c r="FC56" s="61">
        <v>866014</v>
      </c>
      <c r="FD56" s="61">
        <v>920575</v>
      </c>
      <c r="FE56" s="61">
        <v>719940</v>
      </c>
      <c r="FF56" s="61">
        <v>1155744</v>
      </c>
      <c r="FG56" s="61">
        <v>0</v>
      </c>
      <c r="FH56" s="168">
        <v>0</v>
      </c>
      <c r="FI56" s="168">
        <v>0</v>
      </c>
      <c r="FJ56" s="61">
        <v>0</v>
      </c>
      <c r="FK56" s="61">
        <v>0</v>
      </c>
      <c r="FL56" s="61">
        <v>0</v>
      </c>
      <c r="FM56" s="61">
        <v>0</v>
      </c>
      <c r="FN56" s="61">
        <v>929977</v>
      </c>
      <c r="FO56" s="61">
        <v>1114456</v>
      </c>
      <c r="FP56" s="61">
        <v>971156</v>
      </c>
      <c r="FQ56" s="61">
        <v>1066526</v>
      </c>
      <c r="FR56" s="61">
        <v>1104374</v>
      </c>
      <c r="FS56" s="61">
        <v>1263328</v>
      </c>
      <c r="FT56" s="61">
        <v>1011370</v>
      </c>
      <c r="FU56" s="61">
        <v>1379107</v>
      </c>
      <c r="FV56" s="61">
        <v>0</v>
      </c>
      <c r="FW56" s="61">
        <v>0</v>
      </c>
      <c r="FX56" s="61">
        <v>0</v>
      </c>
      <c r="FY56" s="61">
        <v>0</v>
      </c>
      <c r="FZ56" s="61">
        <v>0</v>
      </c>
      <c r="GA56" s="61">
        <v>0</v>
      </c>
      <c r="GB56" s="61">
        <v>0</v>
      </c>
      <c r="GC56" s="61">
        <v>1441595</v>
      </c>
      <c r="GD56" s="61">
        <v>1248780</v>
      </c>
      <c r="GE56" s="61">
        <v>1375057</v>
      </c>
      <c r="GF56" s="61">
        <v>1328537</v>
      </c>
      <c r="GG56" s="61">
        <v>1334153</v>
      </c>
      <c r="GH56" s="61">
        <v>943001</v>
      </c>
      <c r="GI56" s="61">
        <v>1145540</v>
      </c>
      <c r="GJ56" s="61">
        <v>1381077</v>
      </c>
      <c r="GK56" s="61"/>
      <c r="GL56" s="61">
        <f>AVERAGE(M56:T56)</f>
        <v>1203164.875</v>
      </c>
      <c r="GM56" s="61">
        <f>AVERAGE(AB56:AJ56)</f>
        <v>1090421.7777777778</v>
      </c>
      <c r="GN56" s="61">
        <f>AVERAGE(AR56:AZ56)</f>
        <v>1125728.2222222222</v>
      </c>
      <c r="GO56" s="61">
        <f>AVERAGE(BH56:BP56)</f>
        <v>1010545.1111111111</v>
      </c>
      <c r="GP56" s="61">
        <f>AVERAGE(BX56:CF56)</f>
        <v>1024623</v>
      </c>
      <c r="GQ56" s="61">
        <f>AVERAGE(CN56:CV56)</f>
        <v>744438.22222222225</v>
      </c>
      <c r="GR56" s="61">
        <f>AVERAGE(DD56:DL56)</f>
        <v>799160.07444444438</v>
      </c>
      <c r="GS56" s="61">
        <f>AVERAGE(DT56:EB56)</f>
        <v>747255.5555555555</v>
      </c>
      <c r="GT56" s="61">
        <f>AVERAGE(EJ56:EQ56)</f>
        <v>747549.85375000001</v>
      </c>
      <c r="GU56" s="61">
        <f>AVERAGE(EY56:FF56)</f>
        <v>1077995.625</v>
      </c>
      <c r="GV56" s="61">
        <f>AVERAGE(FN56:FU56)</f>
        <v>1105036.75</v>
      </c>
      <c r="GW56" s="61">
        <f>AVERAGE(GC56:GJ56)</f>
        <v>1274717.5</v>
      </c>
      <c r="GX56" t="s">
        <v>846</v>
      </c>
      <c r="GY56" s="3" t="s">
        <v>295</v>
      </c>
    </row>
    <row r="57" spans="2:207">
      <c r="D57" s="60" t="s">
        <v>325</v>
      </c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/>
      <c r="L57" s="61"/>
      <c r="M57" s="61"/>
      <c r="N57" s="61"/>
      <c r="O57" s="61">
        <v>0</v>
      </c>
      <c r="P57" s="61">
        <v>2361652</v>
      </c>
      <c r="Q57" s="61">
        <v>2141083</v>
      </c>
      <c r="R57" s="61">
        <v>2452000</v>
      </c>
      <c r="S57" s="61">
        <v>1376060</v>
      </c>
      <c r="T57" s="61">
        <v>2472938.166666667</v>
      </c>
      <c r="U57" s="61">
        <v>0</v>
      </c>
      <c r="V57" s="61">
        <v>0</v>
      </c>
      <c r="W57" s="61">
        <v>0</v>
      </c>
      <c r="X57" s="61">
        <v>0</v>
      </c>
      <c r="Y57" s="61">
        <v>0</v>
      </c>
      <c r="Z57" s="61">
        <v>0</v>
      </c>
      <c r="AA57" s="61"/>
      <c r="AB57" s="61"/>
      <c r="AC57" s="61"/>
      <c r="AD57" s="61"/>
      <c r="AE57" s="61">
        <v>0</v>
      </c>
      <c r="AF57" s="61">
        <v>3214863</v>
      </c>
      <c r="AG57" s="61">
        <v>2061809.0000000002</v>
      </c>
      <c r="AH57" s="61">
        <v>2335202.9999999995</v>
      </c>
      <c r="AI57" s="61">
        <v>1746067.3333333335</v>
      </c>
      <c r="AJ57" s="61">
        <v>1982337.9999999998</v>
      </c>
      <c r="AK57" s="61">
        <v>0</v>
      </c>
      <c r="AL57" s="61">
        <v>0</v>
      </c>
      <c r="AM57" s="61">
        <v>0</v>
      </c>
      <c r="AN57" s="61">
        <v>0</v>
      </c>
      <c r="AO57" s="61">
        <v>0</v>
      </c>
      <c r="AP57" s="61">
        <v>0</v>
      </c>
      <c r="AQ57" s="61"/>
      <c r="AR57" s="61"/>
      <c r="AS57" s="61"/>
      <c r="AT57" s="61"/>
      <c r="AU57" s="61">
        <v>0</v>
      </c>
      <c r="AV57" s="61">
        <v>1348639</v>
      </c>
      <c r="AW57" s="61">
        <v>1873743</v>
      </c>
      <c r="AX57" s="61">
        <v>2274867</v>
      </c>
      <c r="AY57" s="61">
        <v>1789119.4999999998</v>
      </c>
      <c r="AZ57" s="61">
        <v>2163375.8333333335</v>
      </c>
      <c r="BA57" s="61">
        <v>0</v>
      </c>
      <c r="BB57" s="61">
        <v>0</v>
      </c>
      <c r="BC57" s="61">
        <v>0</v>
      </c>
      <c r="BD57" s="61">
        <v>0</v>
      </c>
      <c r="BE57" s="61">
        <v>0</v>
      </c>
      <c r="BF57" s="61">
        <v>0</v>
      </c>
      <c r="BG57" s="61"/>
      <c r="BH57" s="61"/>
      <c r="BI57" s="61"/>
      <c r="BJ57" s="61"/>
      <c r="BK57" s="61">
        <v>2018455</v>
      </c>
      <c r="BL57" s="61">
        <v>1281140</v>
      </c>
      <c r="BM57" s="61">
        <v>1446603</v>
      </c>
      <c r="BN57" s="61">
        <v>1367501.0000000002</v>
      </c>
      <c r="BO57" s="61">
        <v>1047769.6666666669</v>
      </c>
      <c r="BP57" s="61">
        <v>1138426.9999999998</v>
      </c>
      <c r="BQ57" s="61">
        <v>0</v>
      </c>
      <c r="BR57" s="61">
        <v>0</v>
      </c>
      <c r="BS57" s="61">
        <v>0</v>
      </c>
      <c r="BT57" s="61">
        <v>0</v>
      </c>
      <c r="BU57" s="61">
        <v>0</v>
      </c>
      <c r="BV57" s="61">
        <v>0</v>
      </c>
      <c r="BW57" s="61"/>
      <c r="BX57" s="61"/>
      <c r="BY57" s="61"/>
      <c r="BZ57" s="61"/>
      <c r="CA57" s="61">
        <v>1400335</v>
      </c>
      <c r="CB57" s="61">
        <v>1686268</v>
      </c>
      <c r="CC57" s="61">
        <v>1402072</v>
      </c>
      <c r="CD57" s="61">
        <v>990176.99999999988</v>
      </c>
      <c r="CE57" s="61">
        <v>1159160</v>
      </c>
      <c r="CF57" s="61">
        <v>1093450.9999999998</v>
      </c>
      <c r="CG57" s="61">
        <v>0</v>
      </c>
      <c r="CH57" s="61">
        <v>0</v>
      </c>
      <c r="CI57" s="61">
        <v>0</v>
      </c>
      <c r="CJ57" s="61">
        <v>0</v>
      </c>
      <c r="CK57" s="61">
        <v>0</v>
      </c>
      <c r="CL57" s="61">
        <v>0</v>
      </c>
      <c r="CM57" s="61"/>
      <c r="CN57" s="61"/>
      <c r="CO57" s="61"/>
      <c r="CP57" s="61"/>
      <c r="CQ57" s="61">
        <v>1265304</v>
      </c>
      <c r="CR57" s="61">
        <v>938047</v>
      </c>
      <c r="CS57" s="61">
        <v>1119716</v>
      </c>
      <c r="CT57" s="61">
        <v>870253.66670000006</v>
      </c>
      <c r="CU57" s="61">
        <v>979637.5</v>
      </c>
      <c r="CV57" s="61">
        <v>967061.00000000012</v>
      </c>
      <c r="CW57" s="61">
        <v>0</v>
      </c>
      <c r="CX57" s="61">
        <v>0</v>
      </c>
      <c r="CY57" s="61">
        <v>0</v>
      </c>
      <c r="CZ57" s="61">
        <v>0</v>
      </c>
      <c r="DA57" s="61">
        <v>0</v>
      </c>
      <c r="DB57" s="61">
        <v>0</v>
      </c>
      <c r="DC57" s="61"/>
      <c r="DD57" s="61"/>
      <c r="DE57" s="61"/>
      <c r="DF57" s="61"/>
      <c r="DG57" s="61">
        <v>1390015</v>
      </c>
      <c r="DH57" s="61">
        <v>962363</v>
      </c>
      <c r="DI57" s="61">
        <v>1265495</v>
      </c>
      <c r="DJ57" s="61">
        <v>817677</v>
      </c>
      <c r="DK57" s="61">
        <v>1251039</v>
      </c>
      <c r="DL57" s="61">
        <v>702804.83333333326</v>
      </c>
      <c r="DM57" s="61">
        <v>0</v>
      </c>
      <c r="DN57" s="61">
        <v>0</v>
      </c>
      <c r="DO57" s="61">
        <v>0</v>
      </c>
      <c r="DP57" s="61">
        <v>0</v>
      </c>
      <c r="DQ57" s="61">
        <v>0</v>
      </c>
      <c r="DR57" s="61">
        <v>0</v>
      </c>
      <c r="DS57" s="61"/>
      <c r="DT57" s="61"/>
      <c r="DU57" s="61"/>
      <c r="DV57" s="61"/>
      <c r="DW57" s="61">
        <v>925352</v>
      </c>
      <c r="DX57" s="61">
        <v>1012615</v>
      </c>
      <c r="DY57" s="61">
        <v>909430</v>
      </c>
      <c r="DZ57" s="61">
        <v>1068687</v>
      </c>
      <c r="EA57" s="61">
        <v>935731.00000000012</v>
      </c>
      <c r="EB57" s="61">
        <v>465887.16666666669</v>
      </c>
      <c r="EC57" s="61">
        <v>0</v>
      </c>
      <c r="ED57" s="61">
        <v>0</v>
      </c>
      <c r="EE57" s="61">
        <v>0</v>
      </c>
      <c r="EF57" s="61">
        <v>0</v>
      </c>
      <c r="EG57" s="61">
        <v>0</v>
      </c>
      <c r="EH57" s="61">
        <v>0</v>
      </c>
      <c r="EI57" s="61"/>
      <c r="EJ57" s="61"/>
      <c r="EK57" s="61"/>
      <c r="EL57" s="61"/>
      <c r="EM57" s="61">
        <v>1105123</v>
      </c>
      <c r="EN57" s="61">
        <v>862587</v>
      </c>
      <c r="EO57" s="61">
        <v>1409705</v>
      </c>
      <c r="EP57" s="61">
        <v>704312.99999999988</v>
      </c>
      <c r="EQ57" s="61">
        <v>1095167.1666666665</v>
      </c>
      <c r="ER57" s="61">
        <v>0</v>
      </c>
      <c r="ES57" s="61">
        <v>0</v>
      </c>
      <c r="ET57" s="61">
        <v>0</v>
      </c>
      <c r="EU57" s="61">
        <v>0</v>
      </c>
      <c r="EV57" s="61">
        <v>0</v>
      </c>
      <c r="EW57" s="61">
        <v>0</v>
      </c>
      <c r="EX57" s="61"/>
      <c r="EY57" s="61"/>
      <c r="EZ57" s="61"/>
      <c r="FA57" s="61"/>
      <c r="FB57" s="61">
        <v>1764557</v>
      </c>
      <c r="FC57" s="61">
        <v>1271198</v>
      </c>
      <c r="FD57" s="61">
        <v>1181558</v>
      </c>
      <c r="FE57" s="61">
        <v>1234734</v>
      </c>
      <c r="FF57" s="61">
        <v>1108726.8333333333</v>
      </c>
      <c r="FG57" s="61">
        <v>0</v>
      </c>
      <c r="FH57" s="168">
        <v>0</v>
      </c>
      <c r="FI57" s="168">
        <v>0</v>
      </c>
      <c r="FJ57" s="61">
        <v>0</v>
      </c>
      <c r="FK57" s="61">
        <v>0</v>
      </c>
      <c r="FL57" s="61">
        <v>0</v>
      </c>
      <c r="FM57" s="61"/>
      <c r="FN57" s="61"/>
      <c r="FO57" s="61"/>
      <c r="FP57" s="61"/>
      <c r="FQ57" s="61">
        <v>2306816</v>
      </c>
      <c r="FR57" s="61">
        <v>1665409</v>
      </c>
      <c r="FS57" s="61">
        <v>1934320</v>
      </c>
      <c r="FT57" s="61">
        <v>1889330.0000000005</v>
      </c>
      <c r="FU57" s="61">
        <v>1382938.5000000002</v>
      </c>
      <c r="FV57" s="61">
        <v>0</v>
      </c>
      <c r="FW57" s="61">
        <v>0</v>
      </c>
      <c r="FX57" s="61">
        <v>0</v>
      </c>
      <c r="FY57" s="61">
        <v>0</v>
      </c>
      <c r="FZ57" s="61">
        <v>0</v>
      </c>
      <c r="GA57" s="61">
        <v>0</v>
      </c>
      <c r="GB57" s="61"/>
      <c r="GC57" s="61"/>
      <c r="GD57" s="61"/>
      <c r="GE57" s="61"/>
      <c r="GF57" s="61">
        <v>2228585</v>
      </c>
      <c r="GG57" s="61">
        <v>1821372</v>
      </c>
      <c r="GH57" s="61">
        <v>2234116</v>
      </c>
      <c r="GI57" s="61">
        <v>1120179</v>
      </c>
      <c r="GJ57" s="61">
        <v>1970419</v>
      </c>
      <c r="GK57" s="61"/>
      <c r="GL57" s="61">
        <f>AVERAGE(P57:T57)</f>
        <v>2160746.6333333338</v>
      </c>
      <c r="GM57" s="61">
        <f>AVERAGE(AF57:AJ57)</f>
        <v>2268056.0666666669</v>
      </c>
      <c r="GN57" s="61">
        <f>AVERAGE(AV57:AZ57)</f>
        <v>1889948.8666666667</v>
      </c>
      <c r="GO57" s="61">
        <f>AVERAGE(BK57:BP57)</f>
        <v>1383315.9444444445</v>
      </c>
      <c r="GP57" s="61">
        <f>AVERAGE(CA57:CF57)</f>
        <v>1288577.1666666667</v>
      </c>
      <c r="GQ57" s="61">
        <f>AVERAGE(CQ57:CV57)</f>
        <v>1023336.5277833333</v>
      </c>
      <c r="GR57" s="61">
        <f>AVERAGE(DG57:DL57)</f>
        <v>1064898.9722222222</v>
      </c>
      <c r="GS57" s="61">
        <f>AVERAGE(DW57:EB57)</f>
        <v>886283.6944444445</v>
      </c>
      <c r="GT57" s="61">
        <f>AVERAGE(EM57:EQ57)</f>
        <v>1035379.0333333332</v>
      </c>
      <c r="GU57" s="61">
        <f>AVERAGE(FB57:FF57)</f>
        <v>1312154.7666666666</v>
      </c>
      <c r="GV57" s="61">
        <f>AVERAGE(FQ57:FU57)</f>
        <v>1835762.7</v>
      </c>
      <c r="GW57" s="61">
        <f>AVERAGE(GF57:GJ57)</f>
        <v>1874934.2</v>
      </c>
      <c r="GX57" t="s">
        <v>846</v>
      </c>
      <c r="GY57" s="60" t="s">
        <v>325</v>
      </c>
    </row>
    <row r="58" spans="2:207">
      <c r="D58" s="3" t="s">
        <v>536</v>
      </c>
      <c r="E58" s="61"/>
      <c r="F58" s="61"/>
      <c r="G58" s="61"/>
      <c r="H58" s="61"/>
      <c r="I58" s="61"/>
      <c r="J58" s="61"/>
      <c r="K58" s="61"/>
      <c r="L58" s="61">
        <v>2842</v>
      </c>
      <c r="M58" s="61">
        <v>3422890</v>
      </c>
      <c r="N58" s="61">
        <v>3589512</v>
      </c>
      <c r="O58" s="61">
        <v>2721403</v>
      </c>
      <c r="P58" s="61">
        <v>4862924.2857142854</v>
      </c>
      <c r="Q58" s="61">
        <v>3858704</v>
      </c>
      <c r="R58" s="61">
        <v>4602343.5</v>
      </c>
      <c r="S58" s="61">
        <v>2041842</v>
      </c>
      <c r="T58" s="61">
        <v>4014718.1666666665</v>
      </c>
      <c r="U58" s="61"/>
      <c r="V58" s="61"/>
      <c r="W58" s="61"/>
      <c r="X58" s="61"/>
      <c r="Y58" s="61"/>
      <c r="Z58" s="61"/>
      <c r="AA58" s="61"/>
      <c r="AB58" s="61">
        <v>1593508</v>
      </c>
      <c r="AC58" s="61">
        <v>2800102</v>
      </c>
      <c r="AD58" s="61">
        <v>2314264</v>
      </c>
      <c r="AE58" s="61">
        <v>2508298</v>
      </c>
      <c r="AF58" s="61">
        <v>4862764.2857142845</v>
      </c>
      <c r="AG58" s="61">
        <v>2599900</v>
      </c>
      <c r="AH58" s="61">
        <v>3287850</v>
      </c>
      <c r="AI58" s="61">
        <v>3107908.5</v>
      </c>
      <c r="AJ58" s="61">
        <v>2992792.6666666665</v>
      </c>
      <c r="AK58" s="61"/>
      <c r="AL58" s="61"/>
      <c r="AM58" s="61"/>
      <c r="AN58" s="61"/>
      <c r="AO58" s="61"/>
      <c r="AP58" s="61"/>
      <c r="AQ58" s="61"/>
      <c r="AR58" s="61">
        <v>3335746</v>
      </c>
      <c r="AS58" s="61">
        <v>2221304</v>
      </c>
      <c r="AT58" s="61">
        <v>1375632</v>
      </c>
      <c r="AU58" s="61">
        <v>2308447</v>
      </c>
      <c r="AV58" s="61">
        <v>2610055.7142857141</v>
      </c>
      <c r="AW58" s="61">
        <v>2853702</v>
      </c>
      <c r="AX58" s="61">
        <v>2788988</v>
      </c>
      <c r="AY58" s="61">
        <v>3450450</v>
      </c>
      <c r="AZ58" s="61">
        <v>3195295.6666666665</v>
      </c>
      <c r="BA58" s="61"/>
      <c r="BB58" s="61"/>
      <c r="BC58" s="61"/>
      <c r="BD58" s="61"/>
      <c r="BE58" s="61"/>
      <c r="BF58" s="61"/>
      <c r="BG58" s="61"/>
      <c r="BH58" s="61">
        <v>2269396</v>
      </c>
      <c r="BI58" s="61">
        <v>1774954</v>
      </c>
      <c r="BJ58" s="61">
        <v>3042764</v>
      </c>
      <c r="BK58" s="61">
        <v>2885918</v>
      </c>
      <c r="BL58" s="61">
        <v>1666163.5714285714</v>
      </c>
      <c r="BM58" s="61">
        <v>1868696</v>
      </c>
      <c r="BN58" s="61">
        <v>2275750.8333333335</v>
      </c>
      <c r="BO58" s="61">
        <v>1421869.8333333335</v>
      </c>
      <c r="BP58" s="61">
        <v>2322041</v>
      </c>
      <c r="BQ58" s="61"/>
      <c r="BR58" s="61"/>
      <c r="BS58" s="61"/>
      <c r="BT58" s="61"/>
      <c r="BU58" s="61"/>
      <c r="BV58" s="61"/>
      <c r="BW58" s="61"/>
      <c r="BX58" s="61">
        <v>1947638</v>
      </c>
      <c r="BY58" s="61">
        <v>2381148</v>
      </c>
      <c r="BZ58" s="61">
        <v>1923836</v>
      </c>
      <c r="CA58" s="61">
        <v>2409665</v>
      </c>
      <c r="CB58" s="61">
        <v>2505912.8571428568</v>
      </c>
      <c r="CC58" s="61">
        <v>2628886</v>
      </c>
      <c r="CD58" s="61">
        <v>1780892</v>
      </c>
      <c r="CE58" s="61">
        <v>1509661.8333333333</v>
      </c>
      <c r="CF58" s="61">
        <v>1688678.9999999998</v>
      </c>
      <c r="CG58" s="61"/>
      <c r="CH58" s="61"/>
      <c r="CI58" s="61"/>
      <c r="CJ58" s="61"/>
      <c r="CK58" s="61"/>
      <c r="CL58" s="61"/>
      <c r="CM58" s="61"/>
      <c r="CN58" s="61">
        <v>1420494</v>
      </c>
      <c r="CO58" s="61">
        <v>2184460</v>
      </c>
      <c r="CP58" s="61">
        <v>2218304</v>
      </c>
      <c r="CQ58" s="61">
        <v>2481507</v>
      </c>
      <c r="CR58" s="61">
        <v>1139397.857142857</v>
      </c>
      <c r="CS58" s="61">
        <v>2131752</v>
      </c>
      <c r="CT58" s="61">
        <v>1920105</v>
      </c>
      <c r="CU58" s="61">
        <v>2358939.5</v>
      </c>
      <c r="CV58" s="61">
        <v>1813019</v>
      </c>
      <c r="CW58" s="61"/>
      <c r="CX58" s="61"/>
      <c r="CY58" s="61"/>
      <c r="CZ58" s="61"/>
      <c r="DA58" s="61"/>
      <c r="DB58" s="61"/>
      <c r="DC58" s="61">
        <v>0</v>
      </c>
      <c r="DD58" s="61">
        <v>1469790</v>
      </c>
      <c r="DE58" s="61">
        <v>1784528</v>
      </c>
      <c r="DF58" s="61">
        <v>2156776</v>
      </c>
      <c r="DG58" s="61">
        <v>1551354</v>
      </c>
      <c r="DH58" s="61">
        <v>1428807.1428571427</v>
      </c>
      <c r="DI58" s="61">
        <v>2587680</v>
      </c>
      <c r="DJ58" s="61">
        <v>1943461.1666666667</v>
      </c>
      <c r="DK58" s="61">
        <v>2129851.4999999995</v>
      </c>
      <c r="DL58" s="61">
        <v>1008029.1666666667</v>
      </c>
      <c r="DM58" s="61"/>
      <c r="DN58" s="61"/>
      <c r="DO58" s="61"/>
      <c r="DP58" s="61"/>
      <c r="DQ58" s="61"/>
      <c r="DR58" s="61"/>
      <c r="DS58" s="61">
        <v>0</v>
      </c>
      <c r="DT58" s="61">
        <v>2166204</v>
      </c>
      <c r="DU58" s="61">
        <v>1934920</v>
      </c>
      <c r="DV58" s="61">
        <v>2072288</v>
      </c>
      <c r="DW58" s="61">
        <v>1391464</v>
      </c>
      <c r="DX58" s="61">
        <v>2177257.8571428573</v>
      </c>
      <c r="DY58" s="61">
        <v>1434402</v>
      </c>
      <c r="DZ58" s="61">
        <v>2173044</v>
      </c>
      <c r="EA58" s="61">
        <v>1482252.0000000002</v>
      </c>
      <c r="EB58" s="61">
        <v>1651481.1666666665</v>
      </c>
      <c r="EC58" s="61"/>
      <c r="ED58" s="61"/>
      <c r="EE58" s="61"/>
      <c r="EF58" s="61"/>
      <c r="EG58" s="61"/>
      <c r="EH58" s="61"/>
      <c r="EI58" s="61">
        <v>0</v>
      </c>
      <c r="EJ58" s="61">
        <v>1711403</v>
      </c>
      <c r="EK58" s="61">
        <v>2291496</v>
      </c>
      <c r="EL58" s="61">
        <v>1787416</v>
      </c>
      <c r="EM58" s="61">
        <v>1474542</v>
      </c>
      <c r="EN58" s="61">
        <v>864306.42857142841</v>
      </c>
      <c r="EO58" s="61">
        <v>1975962</v>
      </c>
      <c r="EP58" s="61">
        <v>1623569.6666666667</v>
      </c>
      <c r="EQ58" s="61">
        <v>1571747.8333333333</v>
      </c>
      <c r="ER58" s="61"/>
      <c r="ES58" s="61"/>
      <c r="ET58" s="61"/>
      <c r="EU58" s="61"/>
      <c r="EV58" s="61"/>
      <c r="EW58" s="61"/>
      <c r="EX58" s="61">
        <v>0</v>
      </c>
      <c r="EY58" s="61">
        <v>2521730</v>
      </c>
      <c r="EZ58" s="61">
        <v>2881400</v>
      </c>
      <c r="FA58" s="61">
        <v>2581912</v>
      </c>
      <c r="FB58" s="61">
        <v>3375081</v>
      </c>
      <c r="FC58" s="61">
        <v>2983585</v>
      </c>
      <c r="FD58" s="61">
        <v>1464558</v>
      </c>
      <c r="FE58" s="61">
        <v>1192945.1666666667</v>
      </c>
      <c r="FF58" s="61">
        <v>3101468.333333333</v>
      </c>
      <c r="FG58" s="61"/>
      <c r="FH58" s="168"/>
      <c r="FI58" s="168"/>
      <c r="FJ58" s="61"/>
      <c r="FK58" s="61"/>
      <c r="FL58" s="61"/>
      <c r="FM58" s="61">
        <v>0</v>
      </c>
      <c r="FN58" s="61">
        <v>2685896</v>
      </c>
      <c r="FO58" s="61">
        <v>2317192</v>
      </c>
      <c r="FP58" s="61">
        <v>3084776</v>
      </c>
      <c r="FQ58" s="61">
        <v>2759432</v>
      </c>
      <c r="FR58" s="61">
        <v>2600607.8571428573</v>
      </c>
      <c r="FS58" s="61">
        <v>4091390</v>
      </c>
      <c r="FT58" s="61">
        <v>2604845.5</v>
      </c>
      <c r="FU58" s="61">
        <v>2446214.0000000005</v>
      </c>
      <c r="FV58" s="61"/>
      <c r="FW58" s="61"/>
      <c r="FX58" s="61"/>
      <c r="FY58" s="61"/>
      <c r="FZ58" s="61"/>
      <c r="GA58" s="61"/>
      <c r="GB58" s="61">
        <v>0</v>
      </c>
      <c r="GC58" s="61">
        <v>2089534</v>
      </c>
      <c r="GD58" s="61">
        <v>4639768</v>
      </c>
      <c r="GE58" s="61">
        <v>4310704</v>
      </c>
      <c r="GF58" s="61">
        <v>4151270</v>
      </c>
      <c r="GG58" s="61">
        <v>3555593.5714285714</v>
      </c>
      <c r="GH58" s="61">
        <v>5425706.833333333</v>
      </c>
      <c r="GI58" s="61">
        <v>2466003</v>
      </c>
      <c r="GJ58" s="61">
        <v>3850245</v>
      </c>
      <c r="GK58" s="61"/>
      <c r="GL58" s="61">
        <f t="shared" ref="GL58:GL63" si="20">AVERAGE(M58:T58)</f>
        <v>3639292.1190476189</v>
      </c>
      <c r="GM58" s="61">
        <f>AVERAGE(AB58:AJ58)</f>
        <v>2896376.3835978834</v>
      </c>
      <c r="GN58" s="61">
        <f>AVERAGE(AR58:AZ58)</f>
        <v>2682180.0423280429</v>
      </c>
      <c r="GO58" s="61">
        <f>AVERAGE(BH58:BP58)</f>
        <v>2169728.1375661376</v>
      </c>
      <c r="GP58" s="61">
        <f>AVERAGE(BX58:CF58)</f>
        <v>2086257.6322751322</v>
      </c>
      <c r="GQ58" s="61">
        <f>AVERAGE(CN58:CV58)</f>
        <v>1963108.7063492064</v>
      </c>
      <c r="GR58" s="61">
        <f>AVERAGE(DD58:DL58)</f>
        <v>1784475.2195767192</v>
      </c>
      <c r="GS58" s="61">
        <f>AVERAGE(DT58:EB58)</f>
        <v>1831479.2248677248</v>
      </c>
      <c r="GT58" s="61">
        <f>AVERAGE(EJ58:EQ58)</f>
        <v>1662555.3660714286</v>
      </c>
      <c r="GU58" s="61">
        <f>AVERAGE(EY58:FF58)</f>
        <v>2512834.9375</v>
      </c>
      <c r="GV58" s="61">
        <f>AVERAGE(FN58:FU58)</f>
        <v>2823794.1696428573</v>
      </c>
      <c r="GW58" s="61">
        <f>AVERAGE(GC58:GJ58)</f>
        <v>3811103.0505952379</v>
      </c>
      <c r="GX58" t="s">
        <v>846</v>
      </c>
      <c r="GY58" s="3" t="s">
        <v>536</v>
      </c>
    </row>
    <row r="59" spans="2:207">
      <c r="C59" t="s">
        <v>791</v>
      </c>
      <c r="D59" s="60" t="s">
        <v>304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1453697</v>
      </c>
      <c r="N59" s="61">
        <v>1775049</v>
      </c>
      <c r="O59" s="61">
        <v>1185369</v>
      </c>
      <c r="P59" s="61">
        <v>1817647</v>
      </c>
      <c r="Q59" s="61">
        <v>1129000</v>
      </c>
      <c r="R59" s="61">
        <v>1510000</v>
      </c>
      <c r="S59" s="61">
        <v>1463840</v>
      </c>
      <c r="T59" s="61">
        <v>2599956</v>
      </c>
      <c r="U59" s="61">
        <v>0</v>
      </c>
      <c r="V59" s="61">
        <v>0</v>
      </c>
      <c r="W59" s="61">
        <v>0</v>
      </c>
      <c r="X59" s="61">
        <v>0</v>
      </c>
      <c r="Y59" s="61">
        <v>0</v>
      </c>
      <c r="Z59" s="61">
        <v>0</v>
      </c>
      <c r="AA59" s="61">
        <v>0</v>
      </c>
      <c r="AB59" s="61">
        <v>0</v>
      </c>
      <c r="AC59" s="61">
        <v>858293</v>
      </c>
      <c r="AD59" s="61">
        <v>1241001</v>
      </c>
      <c r="AE59" s="61">
        <v>1584878</v>
      </c>
      <c r="AF59" s="61">
        <v>1905969</v>
      </c>
      <c r="AG59" s="61">
        <v>1404000</v>
      </c>
      <c r="AH59" s="61">
        <v>1940829</v>
      </c>
      <c r="AI59" s="61">
        <v>1777490</v>
      </c>
      <c r="AJ59" s="61">
        <v>1034805</v>
      </c>
      <c r="AK59" s="61">
        <v>0</v>
      </c>
      <c r="AL59" s="61">
        <v>0</v>
      </c>
      <c r="AM59" s="61">
        <v>0</v>
      </c>
      <c r="AN59" s="61">
        <v>0</v>
      </c>
      <c r="AO59" s="61">
        <v>0</v>
      </c>
      <c r="AP59" s="61">
        <v>0</v>
      </c>
      <c r="AQ59" s="61">
        <v>0</v>
      </c>
      <c r="AR59" s="61">
        <v>0</v>
      </c>
      <c r="AS59" s="61">
        <v>1985251</v>
      </c>
      <c r="AT59" s="61">
        <v>1513416</v>
      </c>
      <c r="AU59" s="61">
        <v>1894049</v>
      </c>
      <c r="AV59" s="61">
        <v>1775999</v>
      </c>
      <c r="AW59" s="61">
        <v>1833000</v>
      </c>
      <c r="AX59" s="61">
        <v>1648237</v>
      </c>
      <c r="AY59" s="61">
        <v>1448600</v>
      </c>
      <c r="AZ59" s="61">
        <v>2183672</v>
      </c>
      <c r="BA59" s="61">
        <v>0</v>
      </c>
      <c r="BB59" s="61">
        <v>0</v>
      </c>
      <c r="BC59" s="61">
        <v>0</v>
      </c>
      <c r="BD59" s="61">
        <v>0</v>
      </c>
      <c r="BE59" s="61">
        <v>0</v>
      </c>
      <c r="BF59" s="61">
        <v>0</v>
      </c>
      <c r="BG59" s="61">
        <v>0</v>
      </c>
      <c r="BH59" s="61">
        <v>0</v>
      </c>
      <c r="BI59" s="61">
        <v>1491446</v>
      </c>
      <c r="BJ59" s="61">
        <v>2142847</v>
      </c>
      <c r="BK59" s="61">
        <v>1428453</v>
      </c>
      <c r="BL59" s="61">
        <v>1374695</v>
      </c>
      <c r="BM59" s="61">
        <v>1572000</v>
      </c>
      <c r="BN59" s="61">
        <v>2040370</v>
      </c>
      <c r="BO59" s="61">
        <v>1120260</v>
      </c>
      <c r="BP59" s="61">
        <v>2076256</v>
      </c>
      <c r="BQ59" s="61">
        <v>0</v>
      </c>
      <c r="BR59" s="61">
        <v>0</v>
      </c>
      <c r="BS59" s="61">
        <v>0</v>
      </c>
      <c r="BT59" s="61">
        <v>0</v>
      </c>
      <c r="BU59" s="61">
        <v>0</v>
      </c>
      <c r="BV59" s="61">
        <v>0</v>
      </c>
      <c r="BW59" s="61">
        <v>0</v>
      </c>
      <c r="BX59" s="61">
        <v>0</v>
      </c>
      <c r="BY59" s="61">
        <v>1235926</v>
      </c>
      <c r="BZ59" s="61">
        <v>1198704</v>
      </c>
      <c r="CA59" s="61">
        <v>1423129</v>
      </c>
      <c r="CB59" s="61">
        <v>1792549</v>
      </c>
      <c r="CC59" s="61">
        <v>1351817</v>
      </c>
      <c r="CD59" s="61">
        <v>2532027</v>
      </c>
      <c r="CE59" s="61">
        <v>1476064</v>
      </c>
      <c r="CF59" s="61">
        <v>1091143</v>
      </c>
      <c r="CG59" s="61">
        <v>0</v>
      </c>
      <c r="CH59" s="61">
        <v>0</v>
      </c>
      <c r="CI59" s="61">
        <v>0</v>
      </c>
      <c r="CJ59" s="61">
        <v>0</v>
      </c>
      <c r="CK59" s="61">
        <v>0</v>
      </c>
      <c r="CL59" s="61">
        <v>0</v>
      </c>
      <c r="CM59" s="61">
        <v>0</v>
      </c>
      <c r="CN59" s="61">
        <v>0</v>
      </c>
      <c r="CO59" s="61">
        <v>779886</v>
      </c>
      <c r="CP59" s="61">
        <v>982212</v>
      </c>
      <c r="CQ59" s="61">
        <v>1517436</v>
      </c>
      <c r="CR59" s="61">
        <v>989622</v>
      </c>
      <c r="CS59" s="61">
        <v>839000</v>
      </c>
      <c r="CT59" s="61">
        <v>880365</v>
      </c>
      <c r="CU59" s="61">
        <v>824660</v>
      </c>
      <c r="CV59" s="61">
        <v>678574</v>
      </c>
      <c r="CW59" s="61">
        <v>0</v>
      </c>
      <c r="CX59" s="61">
        <v>0</v>
      </c>
      <c r="CY59" s="61">
        <v>0</v>
      </c>
      <c r="CZ59" s="61">
        <v>0</v>
      </c>
      <c r="DA59" s="61">
        <v>0</v>
      </c>
      <c r="DB59" s="61">
        <v>0</v>
      </c>
      <c r="DC59" s="61">
        <v>0</v>
      </c>
      <c r="DD59" s="61">
        <v>0</v>
      </c>
      <c r="DE59" s="61">
        <v>947360</v>
      </c>
      <c r="DF59" s="61">
        <v>719660</v>
      </c>
      <c r="DG59" s="61">
        <v>631883</v>
      </c>
      <c r="DH59" s="61">
        <v>1367157</v>
      </c>
      <c r="DI59" s="61">
        <v>1154000</v>
      </c>
      <c r="DJ59" s="61">
        <v>664080</v>
      </c>
      <c r="DK59" s="61">
        <v>1161911.5</v>
      </c>
      <c r="DL59" s="61">
        <v>402680</v>
      </c>
      <c r="DM59" s="61">
        <v>0</v>
      </c>
      <c r="DN59" s="61">
        <v>0</v>
      </c>
      <c r="DO59" s="61">
        <v>0</v>
      </c>
      <c r="DP59" s="61">
        <v>0</v>
      </c>
      <c r="DQ59" s="61">
        <v>0</v>
      </c>
      <c r="DR59" s="61">
        <v>0</v>
      </c>
      <c r="DS59" s="61">
        <v>0</v>
      </c>
      <c r="DT59" s="61">
        <v>0</v>
      </c>
      <c r="DU59" s="61">
        <v>1009194</v>
      </c>
      <c r="DV59" s="61">
        <v>824824</v>
      </c>
      <c r="DW59" s="61">
        <v>842718</v>
      </c>
      <c r="DX59" s="61">
        <v>500985</v>
      </c>
      <c r="DY59" s="61">
        <v>926279</v>
      </c>
      <c r="DZ59" s="61">
        <v>799800</v>
      </c>
      <c r="EA59" s="61">
        <v>628625</v>
      </c>
      <c r="EB59" s="61">
        <v>595864</v>
      </c>
      <c r="EC59" s="61">
        <v>0</v>
      </c>
      <c r="ED59" s="61">
        <v>0</v>
      </c>
      <c r="EE59" s="61">
        <v>0</v>
      </c>
      <c r="EF59" s="61">
        <v>0</v>
      </c>
      <c r="EG59" s="61">
        <v>0</v>
      </c>
      <c r="EH59" s="61">
        <v>0</v>
      </c>
      <c r="EI59" s="61">
        <v>0</v>
      </c>
      <c r="EJ59" s="61">
        <v>0</v>
      </c>
      <c r="EK59" s="61">
        <v>899872</v>
      </c>
      <c r="EL59" s="61">
        <v>1051228</v>
      </c>
      <c r="EM59" s="61">
        <v>1098516</v>
      </c>
      <c r="EN59" s="61">
        <v>942249</v>
      </c>
      <c r="EO59" s="61">
        <v>901624</v>
      </c>
      <c r="EP59" s="61">
        <v>967960</v>
      </c>
      <c r="EQ59" s="61">
        <v>594822.32999999996</v>
      </c>
      <c r="ER59" s="61">
        <v>0</v>
      </c>
      <c r="ES59" s="61">
        <v>0</v>
      </c>
      <c r="ET59" s="61">
        <v>0</v>
      </c>
      <c r="EU59" s="61">
        <v>0</v>
      </c>
      <c r="EV59" s="61">
        <v>0</v>
      </c>
      <c r="EW59" s="61">
        <v>0</v>
      </c>
      <c r="EX59" s="61">
        <v>0</v>
      </c>
      <c r="EY59" s="61">
        <v>0</v>
      </c>
      <c r="EZ59" s="61">
        <v>1798932</v>
      </c>
      <c r="FA59" s="61">
        <v>1986047</v>
      </c>
      <c r="FB59" s="61">
        <v>1871602</v>
      </c>
      <c r="FC59" s="61">
        <v>1147106</v>
      </c>
      <c r="FD59" s="61">
        <v>1239873</v>
      </c>
      <c r="FE59" s="61">
        <v>1139790</v>
      </c>
      <c r="FF59" s="61">
        <v>1352736</v>
      </c>
      <c r="FG59" s="61">
        <v>0</v>
      </c>
      <c r="FH59" s="168">
        <v>0</v>
      </c>
      <c r="FI59" s="168">
        <v>0</v>
      </c>
      <c r="FJ59" s="61">
        <v>0</v>
      </c>
      <c r="FK59" s="61">
        <v>0</v>
      </c>
      <c r="FL59" s="61">
        <v>0</v>
      </c>
      <c r="FM59" s="61">
        <v>0</v>
      </c>
      <c r="FN59" s="61">
        <v>0</v>
      </c>
      <c r="FO59" s="61">
        <v>2189627</v>
      </c>
      <c r="FP59" s="61">
        <v>1669409</v>
      </c>
      <c r="FQ59" s="61">
        <v>1958792</v>
      </c>
      <c r="FR59" s="61">
        <v>2117290</v>
      </c>
      <c r="FS59" s="61">
        <v>1478071</v>
      </c>
      <c r="FT59" s="61">
        <v>1718100</v>
      </c>
      <c r="FU59" s="61">
        <v>1571652</v>
      </c>
      <c r="FV59" s="61">
        <v>0</v>
      </c>
      <c r="FW59" s="61">
        <v>0</v>
      </c>
      <c r="FX59" s="61">
        <v>0</v>
      </c>
      <c r="FY59" s="61">
        <v>0</v>
      </c>
      <c r="FZ59" s="61">
        <v>0</v>
      </c>
      <c r="GA59" s="61">
        <v>0</v>
      </c>
      <c r="GB59" s="61">
        <v>0</v>
      </c>
      <c r="GC59" s="61">
        <v>0</v>
      </c>
      <c r="GD59" s="61">
        <v>2259430</v>
      </c>
      <c r="GE59" s="61">
        <v>2096393</v>
      </c>
      <c r="GF59" s="61">
        <v>1770133</v>
      </c>
      <c r="GG59" s="61">
        <v>1415695</v>
      </c>
      <c r="GH59" s="61">
        <v>1609721</v>
      </c>
      <c r="GI59" s="61">
        <v>1345660</v>
      </c>
      <c r="GJ59" s="61">
        <v>1555158</v>
      </c>
      <c r="GK59" s="61"/>
      <c r="GL59" s="61">
        <f t="shared" si="20"/>
        <v>1616819.75</v>
      </c>
      <c r="GM59" s="61">
        <f>AVERAGE(AC59:AJ59)</f>
        <v>1468408.125</v>
      </c>
      <c r="GN59" s="61">
        <f>AVERAGE(AS59:AZ59)</f>
        <v>1785278</v>
      </c>
      <c r="GO59" s="61">
        <f>AVERAGE(BI59:BP59)</f>
        <v>1655790.875</v>
      </c>
      <c r="GP59" s="61">
        <f>AVERAGE(BY59:CF59)</f>
        <v>1512669.875</v>
      </c>
      <c r="GQ59" s="61">
        <f>AVERAGE(CO59:CV59)</f>
        <v>936469.375</v>
      </c>
      <c r="GR59" s="61">
        <f>AVERAGE(DE59:DL59)</f>
        <v>881091.4375</v>
      </c>
      <c r="GS59" s="61">
        <f>AVERAGE(DU59:EB59)</f>
        <v>766036.125</v>
      </c>
      <c r="GT59" s="61">
        <f>AVERAGE(EK59:EQ59)</f>
        <v>922324.47571428574</v>
      </c>
      <c r="GU59" s="61">
        <f>AVERAGE(EZ59:FF59)</f>
        <v>1505155.142857143</v>
      </c>
      <c r="GV59" s="61">
        <f>AVERAGE(FO59:FU59)</f>
        <v>1814705.857142857</v>
      </c>
      <c r="GW59" s="61">
        <f>AVERAGE(GD59:GJ59)</f>
        <v>1721741.4285714286</v>
      </c>
      <c r="GX59" t="s">
        <v>846</v>
      </c>
      <c r="GY59" s="60" t="s">
        <v>304</v>
      </c>
    </row>
    <row r="60" spans="2:207">
      <c r="C60" t="s">
        <v>801</v>
      </c>
      <c r="D60" s="60" t="s">
        <v>350</v>
      </c>
      <c r="E60" s="61">
        <v>0</v>
      </c>
      <c r="F60" s="61">
        <v>0</v>
      </c>
      <c r="G60" s="61">
        <v>0</v>
      </c>
      <c r="H60" s="61">
        <v>0</v>
      </c>
      <c r="I60" s="61">
        <v>0</v>
      </c>
      <c r="J60" s="61">
        <v>0</v>
      </c>
      <c r="K60" s="61">
        <v>0</v>
      </c>
      <c r="L60" s="61">
        <v>0</v>
      </c>
      <c r="M60" s="61">
        <v>2117570</v>
      </c>
      <c r="N60" s="61">
        <v>2493151</v>
      </c>
      <c r="O60" s="61">
        <v>1564164</v>
      </c>
      <c r="P60" s="61">
        <v>2869067</v>
      </c>
      <c r="Q60" s="61">
        <v>2443996</v>
      </c>
      <c r="R60" s="61">
        <v>2989000</v>
      </c>
      <c r="S60" s="61">
        <v>1824636</v>
      </c>
      <c r="T60" s="61">
        <v>3108770.666666667</v>
      </c>
      <c r="U60" s="61">
        <v>0</v>
      </c>
      <c r="V60" s="61">
        <v>0</v>
      </c>
      <c r="W60" s="61">
        <v>0</v>
      </c>
      <c r="X60" s="61">
        <v>0</v>
      </c>
      <c r="Y60" s="61">
        <v>0</v>
      </c>
      <c r="Z60" s="61">
        <v>0</v>
      </c>
      <c r="AA60" s="61">
        <v>0</v>
      </c>
      <c r="AB60" s="61">
        <v>0</v>
      </c>
      <c r="AC60" s="61">
        <v>955438</v>
      </c>
      <c r="AD60" s="61">
        <v>1987002</v>
      </c>
      <c r="AE60" s="61">
        <v>1850592</v>
      </c>
      <c r="AF60" s="61">
        <v>3177961</v>
      </c>
      <c r="AG60" s="61">
        <v>2179162</v>
      </c>
      <c r="AH60" s="61">
        <v>3118138</v>
      </c>
      <c r="AI60" s="61">
        <v>1975748.6666666667</v>
      </c>
      <c r="AJ60" s="61">
        <v>1810017.5</v>
      </c>
      <c r="AK60" s="61">
        <v>0</v>
      </c>
      <c r="AL60" s="61">
        <v>0</v>
      </c>
      <c r="AM60" s="61">
        <v>0</v>
      </c>
      <c r="AN60" s="61">
        <v>0</v>
      </c>
      <c r="AO60" s="61">
        <v>0</v>
      </c>
      <c r="AP60" s="61">
        <v>0</v>
      </c>
      <c r="AQ60" s="61">
        <v>0</v>
      </c>
      <c r="AR60" s="61">
        <v>0</v>
      </c>
      <c r="AS60" s="61">
        <v>2030217</v>
      </c>
      <c r="AT60" s="61">
        <v>1383099</v>
      </c>
      <c r="AU60" s="61">
        <v>1405930</v>
      </c>
      <c r="AV60" s="61">
        <v>1332719</v>
      </c>
      <c r="AW60" s="61">
        <v>1949618</v>
      </c>
      <c r="AX60" s="61">
        <v>2402896.0000000005</v>
      </c>
      <c r="AY60" s="61">
        <v>2166461.166666667</v>
      </c>
      <c r="AZ60" s="61">
        <v>1984942.4999999998</v>
      </c>
      <c r="BA60" s="61">
        <v>0</v>
      </c>
      <c r="BB60" s="61">
        <v>0</v>
      </c>
      <c r="BC60" s="61">
        <v>0</v>
      </c>
      <c r="BD60" s="61">
        <v>0</v>
      </c>
      <c r="BE60" s="61">
        <v>0</v>
      </c>
      <c r="BF60" s="61">
        <v>0</v>
      </c>
      <c r="BG60" s="61">
        <v>0</v>
      </c>
      <c r="BH60" s="61">
        <v>0</v>
      </c>
      <c r="BI60" s="61">
        <v>1144279</v>
      </c>
      <c r="BJ60" s="61">
        <v>2357746</v>
      </c>
      <c r="BK60" s="61">
        <v>1715319</v>
      </c>
      <c r="BL60" s="61">
        <v>1156386</v>
      </c>
      <c r="BM60" s="61">
        <v>1628212</v>
      </c>
      <c r="BN60" s="61">
        <v>1314913.9999999998</v>
      </c>
      <c r="BO60" s="61">
        <v>976215.16666666674</v>
      </c>
      <c r="BP60" s="61">
        <v>1962921</v>
      </c>
      <c r="BQ60" s="61">
        <v>0</v>
      </c>
      <c r="BR60" s="61">
        <v>0</v>
      </c>
      <c r="BS60" s="61">
        <v>0</v>
      </c>
      <c r="BT60" s="61">
        <v>0</v>
      </c>
      <c r="BU60" s="61">
        <v>0</v>
      </c>
      <c r="BV60" s="61">
        <v>0</v>
      </c>
      <c r="BW60" s="61">
        <v>0</v>
      </c>
      <c r="BX60" s="61">
        <v>0</v>
      </c>
      <c r="BY60" s="61">
        <v>1176016</v>
      </c>
      <c r="BZ60" s="61">
        <v>1625806</v>
      </c>
      <c r="CA60" s="61">
        <v>1238411</v>
      </c>
      <c r="CB60" s="61">
        <v>2118420</v>
      </c>
      <c r="CC60" s="61">
        <v>1619979</v>
      </c>
      <c r="CD60" s="61">
        <v>1371081.9999999998</v>
      </c>
      <c r="CE60" s="61">
        <v>1284880.8333333335</v>
      </c>
      <c r="CF60" s="61">
        <v>1208146</v>
      </c>
      <c r="CG60" s="61">
        <v>0</v>
      </c>
      <c r="CH60" s="61">
        <v>0</v>
      </c>
      <c r="CI60" s="61">
        <v>0</v>
      </c>
      <c r="CJ60" s="61">
        <v>0</v>
      </c>
      <c r="CK60" s="61">
        <v>0</v>
      </c>
      <c r="CL60" s="61">
        <v>0</v>
      </c>
      <c r="CM60" s="61">
        <v>0</v>
      </c>
      <c r="CN60" s="61">
        <v>0</v>
      </c>
      <c r="CO60" s="61">
        <v>1350469</v>
      </c>
      <c r="CP60" s="61">
        <v>1293796</v>
      </c>
      <c r="CQ60" s="61">
        <v>1279280</v>
      </c>
      <c r="CR60" s="61">
        <v>1454062</v>
      </c>
      <c r="CS60" s="61">
        <v>1162619</v>
      </c>
      <c r="CT60" s="61">
        <v>774762.83300000022</v>
      </c>
      <c r="CU60" s="61">
        <v>1237469.833333333</v>
      </c>
      <c r="CV60" s="61">
        <v>954926.99999999988</v>
      </c>
      <c r="CW60" s="61">
        <v>0</v>
      </c>
      <c r="CX60" s="61">
        <v>0</v>
      </c>
      <c r="CY60" s="61">
        <v>0</v>
      </c>
      <c r="CZ60" s="61">
        <v>0</v>
      </c>
      <c r="DA60" s="61">
        <v>0</v>
      </c>
      <c r="DB60" s="61">
        <v>0</v>
      </c>
      <c r="DC60" s="61">
        <v>0</v>
      </c>
      <c r="DD60" s="61">
        <v>28300</v>
      </c>
      <c r="DE60" s="61">
        <v>1166590</v>
      </c>
      <c r="DF60" s="61">
        <v>1457264</v>
      </c>
      <c r="DG60" s="61">
        <v>1284521</v>
      </c>
      <c r="DH60" s="61">
        <v>1128515</v>
      </c>
      <c r="DI60" s="61">
        <v>1537090</v>
      </c>
      <c r="DJ60" s="61">
        <v>643102.99999999988</v>
      </c>
      <c r="DK60" s="61">
        <v>1202664</v>
      </c>
      <c r="DL60" s="61">
        <v>682990.33333333337</v>
      </c>
      <c r="DM60" s="61">
        <v>0</v>
      </c>
      <c r="DN60" s="61">
        <v>0</v>
      </c>
      <c r="DO60" s="61">
        <v>0</v>
      </c>
      <c r="DP60" s="61">
        <v>0</v>
      </c>
      <c r="DQ60" s="61">
        <v>0</v>
      </c>
      <c r="DR60" s="61">
        <v>0</v>
      </c>
      <c r="DS60" s="61">
        <v>0</v>
      </c>
      <c r="DT60" s="61">
        <v>1013852.0000000001</v>
      </c>
      <c r="DU60" s="61">
        <v>1099120</v>
      </c>
      <c r="DV60" s="61">
        <v>1405817</v>
      </c>
      <c r="DW60" s="61">
        <v>687726</v>
      </c>
      <c r="DX60" s="61">
        <v>991745</v>
      </c>
      <c r="DY60" s="61">
        <v>1326731</v>
      </c>
      <c r="DZ60" s="61">
        <v>799872.99999999988</v>
      </c>
      <c r="EA60" s="61">
        <v>923229</v>
      </c>
      <c r="EB60" s="61">
        <v>986978.49999999988</v>
      </c>
      <c r="EC60" s="61">
        <v>0</v>
      </c>
      <c r="ED60" s="61">
        <v>0</v>
      </c>
      <c r="EE60" s="61">
        <v>0</v>
      </c>
      <c r="EF60" s="61">
        <v>0</v>
      </c>
      <c r="EG60" s="61">
        <v>0</v>
      </c>
      <c r="EH60" s="61">
        <v>0</v>
      </c>
      <c r="EI60" s="61">
        <v>0</v>
      </c>
      <c r="EJ60" s="61">
        <v>1139342</v>
      </c>
      <c r="EK60" s="61">
        <v>1167497</v>
      </c>
      <c r="EL60" s="61">
        <v>1566894</v>
      </c>
      <c r="EM60" s="61">
        <v>1166922</v>
      </c>
      <c r="EN60" s="61">
        <v>978793</v>
      </c>
      <c r="EO60" s="61">
        <v>2061664.0000000002</v>
      </c>
      <c r="EP60" s="61">
        <v>844561.00000000012</v>
      </c>
      <c r="EQ60" s="61">
        <v>1259644.6666666665</v>
      </c>
      <c r="ER60" s="61">
        <v>0</v>
      </c>
      <c r="ES60" s="61">
        <v>0</v>
      </c>
      <c r="ET60" s="61">
        <v>0</v>
      </c>
      <c r="EU60" s="61">
        <v>0</v>
      </c>
      <c r="EV60" s="61">
        <v>0</v>
      </c>
      <c r="EW60" s="61">
        <v>0</v>
      </c>
      <c r="EX60" s="61">
        <v>0</v>
      </c>
      <c r="EY60" s="61">
        <v>2338822</v>
      </c>
      <c r="EZ60" s="61">
        <v>1745140</v>
      </c>
      <c r="FA60" s="61">
        <v>2373406</v>
      </c>
      <c r="FB60" s="61">
        <v>2391238</v>
      </c>
      <c r="FC60" s="61">
        <v>1361367</v>
      </c>
      <c r="FD60" s="61">
        <v>1230227</v>
      </c>
      <c r="FE60" s="61">
        <v>1638788.9999999998</v>
      </c>
      <c r="FF60" s="61">
        <v>1692045.5000000002</v>
      </c>
      <c r="FG60" s="61">
        <v>0</v>
      </c>
      <c r="FH60" s="168">
        <v>0</v>
      </c>
      <c r="FI60" s="168">
        <v>0</v>
      </c>
      <c r="FJ60" s="61">
        <v>0</v>
      </c>
      <c r="FK60" s="61">
        <v>0</v>
      </c>
      <c r="FL60" s="61">
        <v>0</v>
      </c>
      <c r="FM60" s="61">
        <v>0</v>
      </c>
      <c r="FN60" s="61">
        <v>1784373</v>
      </c>
      <c r="FO60" s="61">
        <v>1474783</v>
      </c>
      <c r="FP60" s="61">
        <v>1888678</v>
      </c>
      <c r="FQ60" s="61">
        <v>2496622</v>
      </c>
      <c r="FR60" s="61">
        <v>1908672</v>
      </c>
      <c r="FS60" s="61">
        <v>2306509</v>
      </c>
      <c r="FT60" s="61">
        <v>2232620</v>
      </c>
      <c r="FU60" s="61">
        <v>2119905.333333333</v>
      </c>
      <c r="FV60" s="61">
        <v>0</v>
      </c>
      <c r="FW60" s="61">
        <v>0</v>
      </c>
      <c r="FX60" s="61">
        <v>0</v>
      </c>
      <c r="FY60" s="61">
        <v>0</v>
      </c>
      <c r="FZ60" s="61">
        <v>0</v>
      </c>
      <c r="GA60" s="61">
        <v>0</v>
      </c>
      <c r="GB60" s="61">
        <v>0</v>
      </c>
      <c r="GC60" s="61">
        <v>1726229</v>
      </c>
      <c r="GD60" s="61">
        <v>3488902</v>
      </c>
      <c r="GE60" s="61">
        <v>3549151</v>
      </c>
      <c r="GF60" s="61">
        <v>3092523</v>
      </c>
      <c r="GG60" s="61">
        <v>2057724.0000000002</v>
      </c>
      <c r="GH60" s="61">
        <v>2654244</v>
      </c>
      <c r="GI60" s="61">
        <v>1339627.6666666663</v>
      </c>
      <c r="GJ60" s="61">
        <v>2798691</v>
      </c>
      <c r="GK60" s="61"/>
      <c r="GL60" s="61">
        <f t="shared" si="20"/>
        <v>2426294.3333333335</v>
      </c>
      <c r="GM60" s="61">
        <f>AVERAGE(AC60:AJ60)</f>
        <v>2131757.395833333</v>
      </c>
      <c r="GN60" s="61">
        <f>AVERAGE(AS60:AZ60)</f>
        <v>1831985.3333333335</v>
      </c>
      <c r="GO60" s="61">
        <f>AVERAGE(BI60:BP60)</f>
        <v>1531999.0208333333</v>
      </c>
      <c r="GP60" s="61">
        <f>AVERAGE(BY60:CF60)</f>
        <v>1455342.6041666667</v>
      </c>
      <c r="GQ60" s="61">
        <f>AVERAGE(CO60:CV60)</f>
        <v>1188423.2082916666</v>
      </c>
      <c r="GR60" s="61">
        <f>AVERAGE(DE60:DL60)</f>
        <v>1137842.1666666667</v>
      </c>
      <c r="GS60" s="61">
        <f>AVERAGE(DT60:EB60)</f>
        <v>1026119.0555555555</v>
      </c>
      <c r="GT60" s="61">
        <f>AVERAGE(EJ60:EQ60)</f>
        <v>1273164.7083333333</v>
      </c>
      <c r="GU60" s="61">
        <f>AVERAGE(EY60:FF60)</f>
        <v>1846379.3125</v>
      </c>
      <c r="GV60" s="61">
        <f>AVERAGE(FN60:FU60)</f>
        <v>2026520.2916666665</v>
      </c>
      <c r="GW60" s="61">
        <f>AVERAGE(GC60:GJ60)</f>
        <v>2588386.4583333335</v>
      </c>
      <c r="GX60" t="s">
        <v>846</v>
      </c>
      <c r="GY60" s="60" t="s">
        <v>350</v>
      </c>
    </row>
    <row r="61" spans="2:207">
      <c r="D61" s="60" t="s">
        <v>352</v>
      </c>
      <c r="E61" s="61"/>
      <c r="F61" s="61"/>
      <c r="G61" s="61"/>
      <c r="H61" s="61"/>
      <c r="I61" s="61"/>
      <c r="J61" s="61"/>
      <c r="K61" s="61"/>
      <c r="L61" s="61">
        <v>0</v>
      </c>
      <c r="M61" s="61">
        <v>2277764</v>
      </c>
      <c r="N61" s="61">
        <v>2475140</v>
      </c>
      <c r="O61" s="61">
        <v>1538784</v>
      </c>
      <c r="P61" s="61">
        <v>2739264</v>
      </c>
      <c r="Q61" s="61">
        <v>2456873</v>
      </c>
      <c r="R61" s="61">
        <v>2945000</v>
      </c>
      <c r="S61" s="61">
        <v>1901747</v>
      </c>
      <c r="T61" s="61">
        <v>3212345.8333333335</v>
      </c>
      <c r="U61" s="61"/>
      <c r="V61" s="61"/>
      <c r="W61" s="61"/>
      <c r="X61" s="61"/>
      <c r="Y61" s="61"/>
      <c r="Z61" s="61"/>
      <c r="AA61" s="61"/>
      <c r="AB61" s="61">
        <v>0</v>
      </c>
      <c r="AC61" s="61">
        <v>926957</v>
      </c>
      <c r="AD61" s="61">
        <v>2225281</v>
      </c>
      <c r="AE61" s="61">
        <v>1922625</v>
      </c>
      <c r="AF61" s="61">
        <v>3146663</v>
      </c>
      <c r="AG61" s="61">
        <v>2144583</v>
      </c>
      <c r="AH61" s="61">
        <v>3164565.0000000005</v>
      </c>
      <c r="AI61" s="61">
        <v>2010427.1666666667</v>
      </c>
      <c r="AJ61" s="61">
        <v>1609607.1666666667</v>
      </c>
      <c r="AK61" s="61"/>
      <c r="AL61" s="61"/>
      <c r="AM61" s="61"/>
      <c r="AN61" s="61"/>
      <c r="AO61" s="61"/>
      <c r="AP61" s="61"/>
      <c r="AQ61" s="61"/>
      <c r="AR61" s="61">
        <v>0</v>
      </c>
      <c r="AS61" s="61">
        <v>2224591</v>
      </c>
      <c r="AT61" s="61">
        <v>1585990</v>
      </c>
      <c r="AU61" s="61">
        <v>1574596</v>
      </c>
      <c r="AV61" s="61">
        <v>1367299</v>
      </c>
      <c r="AW61" s="61">
        <v>1999592</v>
      </c>
      <c r="AX61" s="61">
        <v>2504746.9999999995</v>
      </c>
      <c r="AY61" s="61">
        <v>2313421.1666666665</v>
      </c>
      <c r="AZ61" s="61">
        <v>1933897.6666666667</v>
      </c>
      <c r="BA61" s="61"/>
      <c r="BB61" s="61"/>
      <c r="BC61" s="61"/>
      <c r="BD61" s="61"/>
      <c r="BE61" s="61"/>
      <c r="BF61" s="61"/>
      <c r="BG61" s="61"/>
      <c r="BH61" s="61">
        <v>0</v>
      </c>
      <c r="BI61" s="61">
        <v>1267207</v>
      </c>
      <c r="BJ61" s="61">
        <v>2480895</v>
      </c>
      <c r="BK61" s="61">
        <v>1803156</v>
      </c>
      <c r="BL61" s="61">
        <v>1195807</v>
      </c>
      <c r="BM61" s="61">
        <v>1663025</v>
      </c>
      <c r="BN61" s="61">
        <v>1338045</v>
      </c>
      <c r="BO61" s="61">
        <v>1139023.1666666665</v>
      </c>
      <c r="BP61" s="61">
        <v>2011738</v>
      </c>
      <c r="BQ61" s="61"/>
      <c r="BR61" s="61"/>
      <c r="BS61" s="61"/>
      <c r="BT61" s="61"/>
      <c r="BU61" s="61"/>
      <c r="BV61" s="61"/>
      <c r="BW61" s="61"/>
      <c r="BX61" s="61">
        <v>0</v>
      </c>
      <c r="BY61" s="61">
        <v>1206844</v>
      </c>
      <c r="BZ61" s="61">
        <v>1650264</v>
      </c>
      <c r="CA61" s="61">
        <v>1080000</v>
      </c>
      <c r="CB61" s="61">
        <v>2132986</v>
      </c>
      <c r="CC61" s="61">
        <v>1513342</v>
      </c>
      <c r="CD61" s="61">
        <v>1376740</v>
      </c>
      <c r="CE61" s="61">
        <v>1318455.5</v>
      </c>
      <c r="CF61" s="61">
        <v>1165920</v>
      </c>
      <c r="CG61" s="61"/>
      <c r="CH61" s="61"/>
      <c r="CI61" s="61"/>
      <c r="CJ61" s="61"/>
      <c r="CK61" s="61"/>
      <c r="CL61" s="61"/>
      <c r="CM61" s="61"/>
      <c r="CN61" s="61">
        <v>0</v>
      </c>
      <c r="CO61" s="61">
        <v>1466756</v>
      </c>
      <c r="CP61" s="61">
        <v>1335528</v>
      </c>
      <c r="CQ61" s="61">
        <v>1317125</v>
      </c>
      <c r="CR61" s="61">
        <v>1493957</v>
      </c>
      <c r="CS61" s="61">
        <v>1209670</v>
      </c>
      <c r="CT61" s="61">
        <v>718952.16699999967</v>
      </c>
      <c r="CU61" s="61">
        <v>1270830</v>
      </c>
      <c r="CV61" s="61">
        <v>1014108</v>
      </c>
      <c r="CW61" s="61"/>
      <c r="CX61" s="61"/>
      <c r="CY61" s="61"/>
      <c r="CZ61" s="61"/>
      <c r="DA61" s="61"/>
      <c r="DB61" s="61"/>
      <c r="DC61" s="61"/>
      <c r="DD61" s="61">
        <v>25365</v>
      </c>
      <c r="DE61" s="61">
        <v>1184364</v>
      </c>
      <c r="DF61" s="61">
        <v>1559854</v>
      </c>
      <c r="DG61" s="61">
        <v>1426079</v>
      </c>
      <c r="DH61" s="61">
        <v>1110226</v>
      </c>
      <c r="DI61" s="61">
        <v>1464728</v>
      </c>
      <c r="DJ61" s="61">
        <v>652359.00000000012</v>
      </c>
      <c r="DK61" s="61">
        <v>1241487</v>
      </c>
      <c r="DL61" s="61">
        <v>751601</v>
      </c>
      <c r="DM61" s="61"/>
      <c r="DN61" s="61"/>
      <c r="DO61" s="61"/>
      <c r="DP61" s="61"/>
      <c r="DQ61" s="61"/>
      <c r="DR61" s="61"/>
      <c r="DS61" s="61"/>
      <c r="DT61" s="61">
        <v>1019917</v>
      </c>
      <c r="DU61" s="61">
        <v>1252543</v>
      </c>
      <c r="DV61" s="61">
        <v>1416117</v>
      </c>
      <c r="DW61" s="61">
        <v>751176</v>
      </c>
      <c r="DX61" s="61">
        <v>1062769</v>
      </c>
      <c r="DY61" s="61">
        <v>1321016</v>
      </c>
      <c r="DZ61" s="61">
        <v>880441.99999999988</v>
      </c>
      <c r="EA61" s="61">
        <v>970405</v>
      </c>
      <c r="EB61" s="61">
        <v>1062757.3333333335</v>
      </c>
      <c r="EC61" s="61"/>
      <c r="ED61" s="61"/>
      <c r="EE61" s="61"/>
      <c r="EF61" s="61"/>
      <c r="EG61" s="61"/>
      <c r="EH61" s="61"/>
      <c r="EI61" s="61"/>
      <c r="EJ61" s="61">
        <v>1156965</v>
      </c>
      <c r="EK61" s="61">
        <v>1286418</v>
      </c>
      <c r="EL61" s="61">
        <v>1637916</v>
      </c>
      <c r="EM61" s="61">
        <v>1201829</v>
      </c>
      <c r="EN61" s="61">
        <v>1074386</v>
      </c>
      <c r="EO61" s="61">
        <v>2014591</v>
      </c>
      <c r="EP61" s="61">
        <v>748138.00000000012</v>
      </c>
      <c r="EQ61" s="61">
        <v>1274260.6666666665</v>
      </c>
      <c r="ER61" s="61"/>
      <c r="ES61" s="61"/>
      <c r="ET61" s="61"/>
      <c r="EU61" s="61"/>
      <c r="EV61" s="61"/>
      <c r="EW61" s="61"/>
      <c r="EX61" s="61"/>
      <c r="EY61" s="61">
        <v>2383974</v>
      </c>
      <c r="EZ61" s="61">
        <v>1690174</v>
      </c>
      <c r="FA61" s="61">
        <v>2370479</v>
      </c>
      <c r="FB61" s="61">
        <v>2356414</v>
      </c>
      <c r="FC61" s="61">
        <v>1408364</v>
      </c>
      <c r="FD61" s="61">
        <v>1313452</v>
      </c>
      <c r="FE61" s="61">
        <v>1611205.0000000002</v>
      </c>
      <c r="FF61" s="61">
        <v>1735340.5</v>
      </c>
      <c r="FG61" s="61"/>
      <c r="FH61" s="168"/>
      <c r="FI61" s="168"/>
      <c r="FJ61" s="61"/>
      <c r="FK61" s="61"/>
      <c r="FL61" s="61"/>
      <c r="FM61" s="61"/>
      <c r="FN61" s="61">
        <v>1806034</v>
      </c>
      <c r="FO61" s="61">
        <v>1502577</v>
      </c>
      <c r="FP61" s="61">
        <v>1895337</v>
      </c>
      <c r="FQ61" s="61">
        <v>2527004</v>
      </c>
      <c r="FR61" s="61">
        <v>1858506</v>
      </c>
      <c r="FS61" s="61">
        <v>2244016</v>
      </c>
      <c r="FT61" s="61">
        <v>2237857</v>
      </c>
      <c r="FU61" s="61">
        <v>2047698.8333333333</v>
      </c>
      <c r="FV61" s="61"/>
      <c r="FW61" s="61"/>
      <c r="FX61" s="61"/>
      <c r="FY61" s="61"/>
      <c r="FZ61" s="61"/>
      <c r="GA61" s="61"/>
      <c r="GB61" s="61"/>
      <c r="GC61" s="61">
        <v>1509373</v>
      </c>
      <c r="GD61" s="61">
        <v>3301420</v>
      </c>
      <c r="GE61" s="61">
        <v>3439620</v>
      </c>
      <c r="GF61" s="61">
        <v>2934892</v>
      </c>
      <c r="GG61" s="61">
        <v>1990089</v>
      </c>
      <c r="GH61" s="61">
        <v>2557569</v>
      </c>
      <c r="GI61" s="61">
        <v>1396304</v>
      </c>
      <c r="GJ61" s="61">
        <v>2789141</v>
      </c>
      <c r="GK61" s="61"/>
      <c r="GL61" s="61">
        <f t="shared" si="20"/>
        <v>2443364.7291666665</v>
      </c>
      <c r="GM61" s="61">
        <f>AVERAGE(AC61:AJ61)</f>
        <v>2143838.5416666665</v>
      </c>
      <c r="GN61" s="61">
        <f>AVERAGE(AS61:AZ61)</f>
        <v>1938016.7291666665</v>
      </c>
      <c r="GO61" s="61">
        <f>AVERAGE(BI61:BP61)</f>
        <v>1612362.0208333333</v>
      </c>
      <c r="GP61" s="61">
        <f>AVERAGE(BY61:CF61)</f>
        <v>1430568.9375</v>
      </c>
      <c r="GQ61" s="61">
        <f>AVERAGE(CO61:CV61)</f>
        <v>1228365.7708749999</v>
      </c>
      <c r="GR61" s="61">
        <f>AVERAGE(DE61:DL61)</f>
        <v>1173837.25</v>
      </c>
      <c r="GS61" s="61">
        <f>AVERAGE(DT61:EB61)</f>
        <v>1081904.7037037038</v>
      </c>
      <c r="GT61" s="61">
        <f>AVERAGE(EJ61:EQ61)</f>
        <v>1299312.9583333333</v>
      </c>
      <c r="GU61" s="61">
        <f>AVERAGE(EY61:FF61)</f>
        <v>1858675.3125</v>
      </c>
      <c r="GV61" s="61">
        <f>AVERAGE(FN61:FU61)</f>
        <v>2014878.7291666667</v>
      </c>
      <c r="GW61" s="61">
        <f>AVERAGE(GC61:GJ61)</f>
        <v>2489801</v>
      </c>
      <c r="GX61" t="s">
        <v>846</v>
      </c>
      <c r="GY61" s="60" t="s">
        <v>352</v>
      </c>
    </row>
    <row r="62" spans="2:207">
      <c r="D62" s="3" t="s">
        <v>347</v>
      </c>
      <c r="E62" s="61"/>
      <c r="F62" s="61"/>
      <c r="G62" s="61"/>
      <c r="H62" s="61"/>
      <c r="I62" s="61"/>
      <c r="J62" s="61"/>
      <c r="K62" s="61"/>
      <c r="L62" s="61"/>
      <c r="M62" s="61">
        <v>6826641</v>
      </c>
      <c r="N62" s="61">
        <v>7757729</v>
      </c>
      <c r="O62" s="61">
        <v>5454082</v>
      </c>
      <c r="P62" s="61">
        <v>9735906</v>
      </c>
      <c r="Q62" s="61">
        <v>3343421</v>
      </c>
      <c r="R62" s="61">
        <v>3902409.1666666665</v>
      </c>
      <c r="S62" s="61">
        <v>1590789</v>
      </c>
      <c r="T62" s="61">
        <v>3853779.8333333335</v>
      </c>
      <c r="U62" s="61"/>
      <c r="V62" s="61"/>
      <c r="W62" s="61"/>
      <c r="X62" s="61"/>
      <c r="Y62" s="61"/>
      <c r="Z62" s="61"/>
      <c r="AA62" s="61"/>
      <c r="AB62" s="61"/>
      <c r="AC62" s="61">
        <v>5764908</v>
      </c>
      <c r="AD62" s="61">
        <v>4578614</v>
      </c>
      <c r="AE62" s="61">
        <v>5349208</v>
      </c>
      <c r="AF62" s="61">
        <v>10204239</v>
      </c>
      <c r="AG62" s="61">
        <v>2377177</v>
      </c>
      <c r="AH62" s="61">
        <v>3548520.166666666</v>
      </c>
      <c r="AI62" s="61">
        <v>2665431.833333333</v>
      </c>
      <c r="AJ62" s="61">
        <v>2603455.8333333335</v>
      </c>
      <c r="AK62" s="61"/>
      <c r="AL62" s="61"/>
      <c r="AM62" s="61"/>
      <c r="AN62" s="61"/>
      <c r="AO62" s="61"/>
      <c r="AP62" s="61"/>
      <c r="AQ62" s="61"/>
      <c r="AR62" s="61"/>
      <c r="AS62" s="61">
        <v>5610133</v>
      </c>
      <c r="AT62" s="61">
        <v>3487474</v>
      </c>
      <c r="AU62" s="61">
        <v>5631499</v>
      </c>
      <c r="AV62" s="61">
        <v>5003435</v>
      </c>
      <c r="AW62" s="61">
        <v>2717295</v>
      </c>
      <c r="AX62" s="61">
        <v>2619913.5000000005</v>
      </c>
      <c r="AY62" s="61">
        <v>2905297.333333334</v>
      </c>
      <c r="AZ62" s="61">
        <v>2621344</v>
      </c>
      <c r="BA62" s="61"/>
      <c r="BB62" s="61"/>
      <c r="BC62" s="61"/>
      <c r="BD62" s="61"/>
      <c r="BE62" s="61"/>
      <c r="BF62" s="61"/>
      <c r="BG62" s="61"/>
      <c r="BH62" s="61"/>
      <c r="BI62" s="61">
        <v>2872972</v>
      </c>
      <c r="BJ62" s="61">
        <v>6627680</v>
      </c>
      <c r="BK62" s="61">
        <v>5918581</v>
      </c>
      <c r="BL62" s="61">
        <v>3235871</v>
      </c>
      <c r="BM62" s="61">
        <v>1559725</v>
      </c>
      <c r="BN62" s="61">
        <v>1784469.4999999998</v>
      </c>
      <c r="BO62" s="61">
        <v>982601.16666666674</v>
      </c>
      <c r="BP62" s="61">
        <v>1721605</v>
      </c>
      <c r="BQ62" s="61"/>
      <c r="BR62" s="61"/>
      <c r="BS62" s="61"/>
      <c r="BT62" s="61"/>
      <c r="BU62" s="61"/>
      <c r="BV62" s="61"/>
      <c r="BW62" s="61"/>
      <c r="BX62" s="61"/>
      <c r="BY62" s="61">
        <v>3984047</v>
      </c>
      <c r="BZ62" s="61">
        <v>4084100</v>
      </c>
      <c r="CA62" s="61">
        <v>4286991</v>
      </c>
      <c r="CB62" s="61">
        <v>5024617</v>
      </c>
      <c r="CC62" s="61">
        <v>1846167</v>
      </c>
      <c r="CD62" s="61">
        <v>1310368.3333333333</v>
      </c>
      <c r="CE62" s="61">
        <v>1262395.5</v>
      </c>
      <c r="CF62" s="61">
        <v>1228086</v>
      </c>
      <c r="CG62" s="61"/>
      <c r="CH62" s="61"/>
      <c r="CI62" s="61"/>
      <c r="CJ62" s="61"/>
      <c r="CK62" s="61"/>
      <c r="CL62" s="61"/>
      <c r="CM62" s="61"/>
      <c r="CN62" s="61">
        <v>887872</v>
      </c>
      <c r="CO62" s="61">
        <v>4080730</v>
      </c>
      <c r="CP62" s="61">
        <v>4464006</v>
      </c>
      <c r="CQ62" s="61">
        <v>4522680</v>
      </c>
      <c r="CR62" s="61">
        <v>2498948</v>
      </c>
      <c r="CS62" s="61">
        <v>1620454</v>
      </c>
      <c r="CT62" s="61">
        <v>1164917.6666666667</v>
      </c>
      <c r="CU62" s="61">
        <v>1385310.8333333333</v>
      </c>
      <c r="CV62" s="61">
        <v>971210</v>
      </c>
      <c r="CW62" s="61"/>
      <c r="CX62" s="61"/>
      <c r="CY62" s="61"/>
      <c r="CZ62" s="61"/>
      <c r="DA62" s="61"/>
      <c r="DB62" s="61"/>
      <c r="DC62" s="61"/>
      <c r="DD62" s="61">
        <v>1331337</v>
      </c>
      <c r="DE62" s="61">
        <v>3434877</v>
      </c>
      <c r="DF62" s="61">
        <v>3732561</v>
      </c>
      <c r="DG62" s="61">
        <v>3222703</v>
      </c>
      <c r="DH62" s="61">
        <v>2980954</v>
      </c>
      <c r="DI62" s="61">
        <v>1625665</v>
      </c>
      <c r="DJ62" s="61">
        <v>1035923.9999999998</v>
      </c>
      <c r="DK62" s="61">
        <v>1512535.3333333333</v>
      </c>
      <c r="DL62" s="61">
        <v>754761.33333333337</v>
      </c>
      <c r="DM62" s="61"/>
      <c r="DN62" s="61"/>
      <c r="DO62" s="61"/>
      <c r="DP62" s="61"/>
      <c r="DQ62" s="61"/>
      <c r="DR62" s="61"/>
      <c r="DS62" s="61"/>
      <c r="DT62" s="61">
        <v>2380060</v>
      </c>
      <c r="DU62" s="61">
        <v>2888081</v>
      </c>
      <c r="DV62" s="61">
        <v>3686130</v>
      </c>
      <c r="DW62" s="61">
        <v>2759363</v>
      </c>
      <c r="DX62" s="61">
        <v>3794776</v>
      </c>
      <c r="DY62" s="61">
        <v>1245853.5</v>
      </c>
      <c r="DZ62" s="61">
        <v>1325141</v>
      </c>
      <c r="EA62" s="61">
        <v>1034380.9999999999</v>
      </c>
      <c r="EB62" s="61">
        <v>1177563.9999999998</v>
      </c>
      <c r="EC62" s="61"/>
      <c r="ED62" s="61"/>
      <c r="EE62" s="61"/>
      <c r="EF62" s="61"/>
      <c r="EG62" s="61"/>
      <c r="EH62" s="61"/>
      <c r="EI62" s="61"/>
      <c r="EJ62" s="61">
        <v>2407651</v>
      </c>
      <c r="EK62" s="61">
        <v>4178220.0000000005</v>
      </c>
      <c r="EL62" s="61">
        <v>3138635</v>
      </c>
      <c r="EM62" s="61">
        <v>2994669</v>
      </c>
      <c r="EN62" s="61">
        <v>1850982</v>
      </c>
      <c r="EO62" s="61">
        <v>1827276</v>
      </c>
      <c r="EP62" s="61">
        <v>1073706.9999999998</v>
      </c>
      <c r="EQ62" s="61">
        <v>1737799.6666666667</v>
      </c>
      <c r="ER62" s="61"/>
      <c r="ES62" s="61"/>
      <c r="ET62" s="61"/>
      <c r="EU62" s="61"/>
      <c r="EV62" s="61"/>
      <c r="EW62" s="61"/>
      <c r="EX62" s="61"/>
      <c r="EY62" s="61">
        <v>5485591</v>
      </c>
      <c r="EZ62" s="61">
        <v>5175616</v>
      </c>
      <c r="FA62" s="61">
        <v>5956500</v>
      </c>
      <c r="FB62" s="61">
        <v>6628092</v>
      </c>
      <c r="FC62" s="61">
        <v>5377612</v>
      </c>
      <c r="FD62" s="61">
        <v>1213040</v>
      </c>
      <c r="FE62" s="61">
        <v>1150438.666666667</v>
      </c>
      <c r="FF62" s="61">
        <v>2319091.5</v>
      </c>
      <c r="FG62" s="61"/>
      <c r="FH62" s="168"/>
      <c r="FI62" s="168"/>
      <c r="FJ62" s="61"/>
      <c r="FK62" s="61"/>
      <c r="FL62" s="61"/>
      <c r="FM62" s="61"/>
      <c r="FN62" s="61">
        <v>5273829</v>
      </c>
      <c r="FO62" s="61">
        <v>4233438</v>
      </c>
      <c r="FP62" s="61">
        <v>5875331</v>
      </c>
      <c r="FQ62" s="61">
        <v>6083605</v>
      </c>
      <c r="FR62" s="61">
        <v>5266763</v>
      </c>
      <c r="FS62" s="61">
        <v>3455188.8330000001</v>
      </c>
      <c r="FT62" s="61">
        <v>2406400.833333333</v>
      </c>
      <c r="FU62" s="61">
        <v>1978201.8333333337</v>
      </c>
      <c r="FV62" s="61"/>
      <c r="FW62" s="61"/>
      <c r="FX62" s="61"/>
      <c r="FY62" s="61"/>
      <c r="FZ62" s="61"/>
      <c r="GA62" s="61"/>
      <c r="GB62" s="61"/>
      <c r="GC62" s="61">
        <v>3848812</v>
      </c>
      <c r="GD62" s="61">
        <v>9698284</v>
      </c>
      <c r="GE62" s="61">
        <v>9384131</v>
      </c>
      <c r="GF62" s="61">
        <v>8485116</v>
      </c>
      <c r="GG62" s="61">
        <v>7531133</v>
      </c>
      <c r="GH62" s="61">
        <v>4107067.1666666665</v>
      </c>
      <c r="GI62" s="61">
        <v>1706824.333333334</v>
      </c>
      <c r="GJ62" s="61">
        <v>3152428</v>
      </c>
      <c r="GK62" s="61"/>
      <c r="GL62" s="61">
        <f t="shared" si="20"/>
        <v>5308094.625</v>
      </c>
      <c r="GM62" s="61">
        <f>AVERAGE(AC62:AJ62)</f>
        <v>4636444.229166667</v>
      </c>
      <c r="GN62" s="61">
        <f>AVERAGE(AS62:AZ62)</f>
        <v>3824548.854166667</v>
      </c>
      <c r="GO62" s="61">
        <f>AVERAGE(BI62:BP62)</f>
        <v>3087938.0833333335</v>
      </c>
      <c r="GP62" s="61">
        <f>AVERAGE(BY62:CF62)</f>
        <v>2878346.4791666665</v>
      </c>
      <c r="GQ62" s="61">
        <f>AVERAGE(CN62:CV62)</f>
        <v>2399569.8333333335</v>
      </c>
      <c r="GR62" s="61">
        <f>AVERAGE(DD62:DL62)</f>
        <v>2181257.5185185182</v>
      </c>
      <c r="GS62" s="61">
        <f>AVERAGE(DT62:EB62)</f>
        <v>2254594.388888889</v>
      </c>
      <c r="GT62" s="61">
        <f>AVERAGE(EJ62:EQ62)</f>
        <v>2401117.4583333335</v>
      </c>
      <c r="GU62" s="61">
        <f>AVERAGE(EY62:FF62)</f>
        <v>4163247.6458333335</v>
      </c>
      <c r="GV62" s="61">
        <f>AVERAGE(FN62:FU62)</f>
        <v>4321594.6874583336</v>
      </c>
      <c r="GW62" s="61">
        <f>AVERAGE(GC62:GJ62)</f>
        <v>5989224.4375</v>
      </c>
      <c r="GX62" t="s">
        <v>846</v>
      </c>
      <c r="GY62" s="3" t="s">
        <v>347</v>
      </c>
    </row>
    <row r="63" spans="2:207">
      <c r="D63" s="3" t="s">
        <v>348</v>
      </c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>
        <v>1664197</v>
      </c>
      <c r="R63" s="61">
        <v>1966640.8333333335</v>
      </c>
      <c r="S63" s="61">
        <v>860102</v>
      </c>
      <c r="T63" s="61">
        <v>1943813.5000000002</v>
      </c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>
        <v>1281785</v>
      </c>
      <c r="AH63" s="61">
        <v>1801483.3333333333</v>
      </c>
      <c r="AI63" s="61">
        <v>1423564</v>
      </c>
      <c r="AJ63" s="61">
        <v>1462047.6666666665</v>
      </c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>
        <v>1402434</v>
      </c>
      <c r="AX63" s="61">
        <v>1259349.1666666667</v>
      </c>
      <c r="AY63" s="61">
        <v>1545162.6666666667</v>
      </c>
      <c r="AZ63" s="61">
        <v>1411360.333333333</v>
      </c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>
        <v>902901</v>
      </c>
      <c r="BN63" s="61">
        <v>949200.00000000023</v>
      </c>
      <c r="BO63" s="61">
        <v>457171.33333333308</v>
      </c>
      <c r="BP63" s="61">
        <v>953572.00000000012</v>
      </c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>
        <v>969386</v>
      </c>
      <c r="CD63" s="61">
        <v>783903.99999999988</v>
      </c>
      <c r="CE63" s="61">
        <v>747375.5</v>
      </c>
      <c r="CF63" s="61">
        <v>721512</v>
      </c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>
        <v>926861</v>
      </c>
      <c r="CT63" s="61">
        <v>633430.16666666651</v>
      </c>
      <c r="CU63" s="61">
        <v>789774.33333333337</v>
      </c>
      <c r="CV63" s="61">
        <v>456379</v>
      </c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1">
        <v>874344</v>
      </c>
      <c r="DJ63" s="61">
        <v>564653.99999999988</v>
      </c>
      <c r="DK63" s="61">
        <v>799521.5</v>
      </c>
      <c r="DL63" s="61">
        <v>447203.66666666669</v>
      </c>
      <c r="DM63" s="61"/>
      <c r="DN63" s="61"/>
      <c r="DO63" s="61"/>
      <c r="DP63" s="61"/>
      <c r="DQ63" s="61"/>
      <c r="DR63" s="61"/>
      <c r="DS63" s="61"/>
      <c r="DT63" s="61"/>
      <c r="DU63" s="61"/>
      <c r="DV63" s="61"/>
      <c r="DW63" s="61"/>
      <c r="DX63" s="61"/>
      <c r="DY63" s="61">
        <v>671052</v>
      </c>
      <c r="DZ63" s="61">
        <v>725591.5</v>
      </c>
      <c r="EA63" s="61">
        <v>565002</v>
      </c>
      <c r="EB63" s="61">
        <v>577036.66666666663</v>
      </c>
      <c r="EC63" s="61"/>
      <c r="ED63" s="61"/>
      <c r="EE63" s="61"/>
      <c r="EF63" s="61"/>
      <c r="EG63" s="61"/>
      <c r="EH63" s="61"/>
      <c r="EI63" s="61"/>
      <c r="EJ63" s="61"/>
      <c r="EK63" s="61"/>
      <c r="EL63" s="61"/>
      <c r="EM63" s="61"/>
      <c r="EN63" s="61"/>
      <c r="EO63" s="61">
        <v>975701</v>
      </c>
      <c r="EP63" s="61">
        <v>605680.99999999988</v>
      </c>
      <c r="EQ63" s="61">
        <v>846526</v>
      </c>
      <c r="ER63" s="61"/>
      <c r="ES63" s="61"/>
      <c r="ET63" s="61"/>
      <c r="EU63" s="61"/>
      <c r="EV63" s="61"/>
      <c r="EW63" s="61"/>
      <c r="EX63" s="61"/>
      <c r="EY63" s="61"/>
      <c r="EZ63" s="61"/>
      <c r="FA63" s="61"/>
      <c r="FB63" s="61"/>
      <c r="FC63" s="61"/>
      <c r="FD63" s="61">
        <v>706453</v>
      </c>
      <c r="FE63" s="61">
        <v>672066.66666666663</v>
      </c>
      <c r="FF63" s="61">
        <v>1206630</v>
      </c>
      <c r="FG63" s="61"/>
      <c r="FH63" s="168"/>
      <c r="FI63" s="168"/>
      <c r="FJ63" s="61"/>
      <c r="FK63" s="61"/>
      <c r="FL63" s="61"/>
      <c r="FM63" s="61"/>
      <c r="FN63" s="61"/>
      <c r="FO63" s="61"/>
      <c r="FP63" s="61"/>
      <c r="FQ63" s="61"/>
      <c r="FR63" s="61"/>
      <c r="FS63" s="61">
        <v>1788786.5</v>
      </c>
      <c r="FT63" s="61">
        <v>1344815.8333333333</v>
      </c>
      <c r="FU63" s="61">
        <v>999814.5</v>
      </c>
      <c r="FV63" s="61"/>
      <c r="FW63" s="61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1">
        <v>2046701.8333333333</v>
      </c>
      <c r="GI63" s="61">
        <v>995400.50000000047</v>
      </c>
      <c r="GJ63" s="61">
        <v>1606934</v>
      </c>
      <c r="GK63" s="61"/>
      <c r="GL63" s="61">
        <f t="shared" si="20"/>
        <v>1608688.3333333335</v>
      </c>
      <c r="GM63" s="61">
        <f>AVERAGE(AC63:AJ63)</f>
        <v>1492220</v>
      </c>
      <c r="GN63" s="61">
        <f>AVERAGE(AS63:AZ63)</f>
        <v>1404576.5416666667</v>
      </c>
      <c r="GO63" s="61">
        <f>AVERAGE(BI63:BP63)</f>
        <v>815711.08333333337</v>
      </c>
      <c r="GP63" s="61">
        <f>AVERAGE(BY63:CF63)</f>
        <v>805544.375</v>
      </c>
      <c r="GQ63" s="61">
        <f>AVERAGE(CN63:CV63)</f>
        <v>701611.125</v>
      </c>
      <c r="GR63" s="61">
        <f>AVERAGE(DD63:DL63)</f>
        <v>671430.79166666663</v>
      </c>
      <c r="GS63" s="61">
        <f>AVERAGE(DT63:EB63)</f>
        <v>634670.54166666663</v>
      </c>
      <c r="GT63" s="61">
        <f>AVERAGE(EJ63:EQ63)</f>
        <v>809302.66666666663</v>
      </c>
      <c r="GU63" s="61">
        <f>AVERAGE(EY63:FF63)</f>
        <v>861716.5555555555</v>
      </c>
      <c r="GV63" s="61">
        <f>AVERAGE(FN63:FU63)</f>
        <v>1377805.611111111</v>
      </c>
      <c r="GW63" s="61">
        <f>AVERAGE(GC63:GJ63)</f>
        <v>1549678.777777778</v>
      </c>
      <c r="GX63" t="s">
        <v>846</v>
      </c>
      <c r="GY63" s="3" t="s">
        <v>348</v>
      </c>
    </row>
    <row r="64" spans="2:207">
      <c r="C64" t="s">
        <v>797</v>
      </c>
      <c r="D64" t="s">
        <v>296</v>
      </c>
      <c r="E64" s="61">
        <v>0</v>
      </c>
      <c r="F64" s="61">
        <v>0</v>
      </c>
      <c r="G64" s="61">
        <v>0</v>
      </c>
      <c r="H64" s="61">
        <v>0</v>
      </c>
      <c r="I64" s="61">
        <v>0</v>
      </c>
      <c r="J64" s="61">
        <v>0</v>
      </c>
      <c r="K64" s="61">
        <v>0</v>
      </c>
      <c r="L64" s="61">
        <v>0</v>
      </c>
      <c r="M64" s="61">
        <v>2055284.9999999998</v>
      </c>
      <c r="N64" s="61">
        <v>2616652</v>
      </c>
      <c r="O64" s="61">
        <v>2148021</v>
      </c>
      <c r="P64" s="61">
        <v>3235362</v>
      </c>
      <c r="Q64" s="61">
        <v>3012201</v>
      </c>
      <c r="R64" s="61">
        <v>3467131</v>
      </c>
      <c r="S64" s="61">
        <v>1549580</v>
      </c>
      <c r="T64" s="61">
        <v>2881677</v>
      </c>
      <c r="U64" s="61">
        <v>0</v>
      </c>
      <c r="V64" s="61">
        <v>0</v>
      </c>
      <c r="W64" s="61">
        <v>0</v>
      </c>
      <c r="X64" s="61">
        <v>0</v>
      </c>
      <c r="Y64" s="61">
        <v>0</v>
      </c>
      <c r="Z64" s="61">
        <v>0</v>
      </c>
      <c r="AA64" s="61">
        <v>0</v>
      </c>
      <c r="AB64" s="61">
        <v>0</v>
      </c>
      <c r="AC64" s="61">
        <v>1844767</v>
      </c>
      <c r="AD64" s="61">
        <v>1755856</v>
      </c>
      <c r="AE64" s="61">
        <v>2023381</v>
      </c>
      <c r="AF64" s="61">
        <v>3380000</v>
      </c>
      <c r="AG64" s="61">
        <v>2130223</v>
      </c>
      <c r="AH64" s="61">
        <v>2872835</v>
      </c>
      <c r="AI64" s="61">
        <v>2241750</v>
      </c>
      <c r="AJ64" s="61">
        <v>2007824</v>
      </c>
      <c r="AK64" s="61">
        <v>0</v>
      </c>
      <c r="AL64" s="61">
        <v>0</v>
      </c>
      <c r="AM64" s="61">
        <v>0</v>
      </c>
      <c r="AN64" s="61">
        <v>0</v>
      </c>
      <c r="AO64" s="61">
        <v>0</v>
      </c>
      <c r="AP64" s="61">
        <v>0</v>
      </c>
      <c r="AQ64" s="61">
        <v>0</v>
      </c>
      <c r="AR64" s="61">
        <v>0</v>
      </c>
      <c r="AS64" s="61">
        <v>1533034</v>
      </c>
      <c r="AT64" s="61">
        <v>1190016</v>
      </c>
      <c r="AU64" s="61">
        <v>1882868</v>
      </c>
      <c r="AV64" s="61">
        <v>1416199</v>
      </c>
      <c r="AW64" s="61">
        <v>2374810</v>
      </c>
      <c r="AX64" s="61">
        <v>2166033</v>
      </c>
      <c r="AY64" s="61">
        <v>2380860</v>
      </c>
      <c r="AZ64" s="61">
        <v>2037420</v>
      </c>
      <c r="BA64" s="61">
        <v>0</v>
      </c>
      <c r="BB64" s="61">
        <v>0</v>
      </c>
      <c r="BC64" s="61">
        <v>0</v>
      </c>
      <c r="BD64" s="61">
        <v>0</v>
      </c>
      <c r="BE64" s="61">
        <v>0</v>
      </c>
      <c r="BF64" s="61">
        <v>0</v>
      </c>
      <c r="BG64" s="61">
        <v>0</v>
      </c>
      <c r="BH64" s="61">
        <v>0</v>
      </c>
      <c r="BI64" s="61">
        <v>989175</v>
      </c>
      <c r="BJ64" s="61">
        <v>2112777</v>
      </c>
      <c r="BK64" s="61">
        <v>1859020</v>
      </c>
      <c r="BL64" s="61">
        <v>1274063</v>
      </c>
      <c r="BM64" s="61">
        <v>1365347</v>
      </c>
      <c r="BN64" s="61">
        <v>1519793</v>
      </c>
      <c r="BO64" s="61">
        <v>862400</v>
      </c>
      <c r="BP64" s="61">
        <v>1488548</v>
      </c>
      <c r="BQ64" s="61">
        <v>0</v>
      </c>
      <c r="BR64" s="61">
        <v>0</v>
      </c>
      <c r="BS64" s="61">
        <v>0</v>
      </c>
      <c r="BT64" s="61">
        <v>0</v>
      </c>
      <c r="BU64" s="61">
        <v>0</v>
      </c>
      <c r="BV64" s="61">
        <v>0</v>
      </c>
      <c r="BW64" s="61">
        <v>0</v>
      </c>
      <c r="BX64" s="61">
        <v>0</v>
      </c>
      <c r="BY64" s="61">
        <v>1577276</v>
      </c>
      <c r="BZ64" s="61">
        <v>1306972</v>
      </c>
      <c r="CA64" s="61">
        <v>1736418</v>
      </c>
      <c r="CB64" s="61">
        <v>1736313</v>
      </c>
      <c r="CC64" s="61">
        <v>1808257</v>
      </c>
      <c r="CD64" s="61">
        <v>1338422</v>
      </c>
      <c r="CE64" s="61">
        <v>974946</v>
      </c>
      <c r="CF64" s="61">
        <v>793097</v>
      </c>
      <c r="CG64" s="61">
        <v>0</v>
      </c>
      <c r="CH64" s="61">
        <v>0</v>
      </c>
      <c r="CI64" s="61">
        <v>0</v>
      </c>
      <c r="CJ64" s="61">
        <v>0</v>
      </c>
      <c r="CK64" s="61">
        <v>0</v>
      </c>
      <c r="CL64" s="61">
        <v>0</v>
      </c>
      <c r="CM64" s="61">
        <v>0</v>
      </c>
      <c r="CN64" s="61">
        <v>0</v>
      </c>
      <c r="CO64" s="61">
        <v>1533343</v>
      </c>
      <c r="CP64" s="61">
        <v>1646001</v>
      </c>
      <c r="CQ64" s="61">
        <v>1466525</v>
      </c>
      <c r="CR64" s="61">
        <v>758466</v>
      </c>
      <c r="CS64" s="61">
        <v>1542871</v>
      </c>
      <c r="CT64" s="61">
        <v>1114875</v>
      </c>
      <c r="CU64" s="61">
        <v>1399100</v>
      </c>
      <c r="CV64" s="61">
        <v>705284</v>
      </c>
      <c r="CW64" s="61">
        <v>0</v>
      </c>
      <c r="CX64" s="61">
        <v>0</v>
      </c>
      <c r="CY64" s="61">
        <v>0</v>
      </c>
      <c r="CZ64" s="61">
        <v>0</v>
      </c>
      <c r="DA64" s="61">
        <v>0</v>
      </c>
      <c r="DB64" s="61">
        <v>0</v>
      </c>
      <c r="DC64" s="61">
        <v>0</v>
      </c>
      <c r="DD64" s="61">
        <v>0</v>
      </c>
      <c r="DE64" s="61">
        <v>1214880</v>
      </c>
      <c r="DF64" s="61">
        <v>1443245</v>
      </c>
      <c r="DG64" s="61">
        <v>990251</v>
      </c>
      <c r="DH64" s="61">
        <v>1030861.0000000001</v>
      </c>
      <c r="DI64" s="61">
        <v>1734831</v>
      </c>
      <c r="DJ64" s="61">
        <v>1120980</v>
      </c>
      <c r="DK64" s="61">
        <v>1260576</v>
      </c>
      <c r="DL64" s="61">
        <v>578524</v>
      </c>
      <c r="DM64" s="61">
        <v>0</v>
      </c>
      <c r="DN64" s="61">
        <v>0</v>
      </c>
      <c r="DO64" s="61">
        <v>0</v>
      </c>
      <c r="DP64" s="61">
        <v>0</v>
      </c>
      <c r="DQ64" s="61">
        <v>0</v>
      </c>
      <c r="DR64" s="61">
        <v>0</v>
      </c>
      <c r="DS64" s="61">
        <v>0</v>
      </c>
      <c r="DT64" s="61">
        <v>57780</v>
      </c>
      <c r="DU64" s="61">
        <v>1250024</v>
      </c>
      <c r="DV64" s="61">
        <v>1399518</v>
      </c>
      <c r="DW64" s="61">
        <v>973460</v>
      </c>
      <c r="DX64" s="61">
        <v>1377671</v>
      </c>
      <c r="DY64" s="61">
        <v>1002116</v>
      </c>
      <c r="DZ64" s="61">
        <v>1303730</v>
      </c>
      <c r="EA64" s="61">
        <v>900113</v>
      </c>
      <c r="EB64" s="61">
        <v>982569</v>
      </c>
      <c r="EC64" s="61">
        <v>0</v>
      </c>
      <c r="ED64" s="61">
        <v>0</v>
      </c>
      <c r="EE64" s="61">
        <v>0</v>
      </c>
      <c r="EF64" s="61">
        <v>0</v>
      </c>
      <c r="EG64" s="61">
        <v>0</v>
      </c>
      <c r="EH64" s="61">
        <v>0</v>
      </c>
      <c r="EI64" s="61">
        <v>0</v>
      </c>
      <c r="EJ64" s="61">
        <v>775950</v>
      </c>
      <c r="EK64" s="61">
        <v>1664485</v>
      </c>
      <c r="EL64" s="61">
        <v>1262093</v>
      </c>
      <c r="EM64" s="61">
        <v>1182802</v>
      </c>
      <c r="EN64" s="61">
        <v>634081</v>
      </c>
      <c r="EO64" s="61">
        <v>1484713</v>
      </c>
      <c r="EP64" s="61">
        <v>1046800</v>
      </c>
      <c r="EQ64" s="61">
        <v>1242848.17</v>
      </c>
      <c r="ER64" s="61">
        <v>0</v>
      </c>
      <c r="ES64" s="61">
        <v>0</v>
      </c>
      <c r="ET64" s="61">
        <v>0</v>
      </c>
      <c r="EU64" s="61">
        <v>0</v>
      </c>
      <c r="EV64" s="61">
        <v>0</v>
      </c>
      <c r="EW64" s="61">
        <v>0</v>
      </c>
      <c r="EX64" s="61">
        <v>0</v>
      </c>
      <c r="EY64" s="61">
        <v>1806893</v>
      </c>
      <c r="EZ64" s="61">
        <v>2400220</v>
      </c>
      <c r="FA64" s="61">
        <v>1888269</v>
      </c>
      <c r="FB64" s="61">
        <v>2562779</v>
      </c>
      <c r="FC64" s="61">
        <v>1879317</v>
      </c>
      <c r="FD64" s="61">
        <v>1245831</v>
      </c>
      <c r="FE64" s="61">
        <v>1179320</v>
      </c>
      <c r="FF64" s="61">
        <v>1951758</v>
      </c>
      <c r="FG64" s="61">
        <v>0</v>
      </c>
      <c r="FH64" s="168">
        <v>0</v>
      </c>
      <c r="FI64" s="168">
        <v>0</v>
      </c>
      <c r="FJ64" s="61">
        <v>0</v>
      </c>
      <c r="FK64" s="61">
        <v>0</v>
      </c>
      <c r="FL64" s="61">
        <v>0</v>
      </c>
      <c r="FM64" s="61">
        <v>0</v>
      </c>
      <c r="FN64" s="61">
        <v>1849124</v>
      </c>
      <c r="FO64" s="61">
        <v>1748876</v>
      </c>
      <c r="FP64" s="61">
        <v>2003760</v>
      </c>
      <c r="FQ64" s="61">
        <v>2139163</v>
      </c>
      <c r="FR64" s="61">
        <v>1809384</v>
      </c>
      <c r="FS64" s="61">
        <v>3236916</v>
      </c>
      <c r="FT64" s="61">
        <v>1929980</v>
      </c>
      <c r="FU64" s="61">
        <v>1690846</v>
      </c>
      <c r="FV64" s="61">
        <v>0</v>
      </c>
      <c r="FW64" s="61">
        <v>0</v>
      </c>
      <c r="FX64" s="61">
        <v>0</v>
      </c>
      <c r="FY64" s="61">
        <v>0</v>
      </c>
      <c r="FZ64" s="61">
        <v>0</v>
      </c>
      <c r="GA64" s="61">
        <v>0</v>
      </c>
      <c r="GB64" s="61">
        <v>0</v>
      </c>
      <c r="GC64" s="61">
        <v>1643830</v>
      </c>
      <c r="GD64" s="61">
        <v>3908795</v>
      </c>
      <c r="GE64" s="61">
        <v>3354416</v>
      </c>
      <c r="GF64" s="61">
        <v>2859702</v>
      </c>
      <c r="GG64" s="61">
        <v>2937191</v>
      </c>
      <c r="GH64" s="61">
        <v>3092074.3330000001</v>
      </c>
      <c r="GI64" s="61">
        <v>1360700</v>
      </c>
      <c r="GJ64" s="61">
        <v>2710914</v>
      </c>
      <c r="GK64" s="61"/>
    </row>
    <row r="65" spans="2:207">
      <c r="D65" s="3" t="s">
        <v>297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1">
        <v>0</v>
      </c>
      <c r="L65" s="61">
        <v>0</v>
      </c>
      <c r="M65" s="61">
        <v>2450502</v>
      </c>
      <c r="N65" s="61">
        <v>2660555</v>
      </c>
      <c r="O65" s="61">
        <v>1980988</v>
      </c>
      <c r="P65" s="61">
        <v>3367060</v>
      </c>
      <c r="Q65" s="61">
        <v>3067447</v>
      </c>
      <c r="R65" s="61">
        <v>3470542</v>
      </c>
      <c r="S65" s="61">
        <v>1891170</v>
      </c>
      <c r="T65" s="61">
        <v>3665225</v>
      </c>
      <c r="U65" s="61">
        <v>0</v>
      </c>
      <c r="V65" s="61">
        <v>0</v>
      </c>
      <c r="W65" s="61">
        <v>0</v>
      </c>
      <c r="X65" s="61">
        <v>0</v>
      </c>
      <c r="Y65" s="61">
        <v>0</v>
      </c>
      <c r="Z65" s="61">
        <v>0</v>
      </c>
      <c r="AA65" s="61">
        <v>0</v>
      </c>
      <c r="AB65" s="61">
        <v>0</v>
      </c>
      <c r="AC65" s="61">
        <v>1694658</v>
      </c>
      <c r="AD65" s="61">
        <v>1673429</v>
      </c>
      <c r="AE65" s="61">
        <v>2480564</v>
      </c>
      <c r="AF65" s="61">
        <v>4007545</v>
      </c>
      <c r="AG65" s="61">
        <v>2642420</v>
      </c>
      <c r="AH65" s="61">
        <v>3674391</v>
      </c>
      <c r="AI65" s="61">
        <v>2607370</v>
      </c>
      <c r="AJ65" s="61">
        <v>2197344</v>
      </c>
      <c r="AK65" s="61">
        <v>0</v>
      </c>
      <c r="AL65" s="61">
        <v>0</v>
      </c>
      <c r="AM65" s="61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2552926</v>
      </c>
      <c r="AT65" s="61">
        <v>1768019</v>
      </c>
      <c r="AU65" s="61">
        <v>1913913</v>
      </c>
      <c r="AV65" s="61">
        <v>1763402</v>
      </c>
      <c r="AW65" s="61">
        <v>2472169</v>
      </c>
      <c r="AX65" s="61">
        <v>2921424</v>
      </c>
      <c r="AY65" s="61">
        <v>2653010</v>
      </c>
      <c r="AZ65" s="61">
        <v>2575265</v>
      </c>
      <c r="BA65" s="61">
        <v>0</v>
      </c>
      <c r="BB65" s="61">
        <v>0</v>
      </c>
      <c r="BC65" s="61">
        <v>0</v>
      </c>
      <c r="BD65" s="61">
        <v>0</v>
      </c>
      <c r="BE65" s="61">
        <v>0</v>
      </c>
      <c r="BF65" s="61">
        <v>0</v>
      </c>
      <c r="BG65" s="61">
        <v>0</v>
      </c>
      <c r="BH65" s="61">
        <v>0</v>
      </c>
      <c r="BI65" s="61">
        <v>1238599</v>
      </c>
      <c r="BJ65" s="61">
        <v>2865283</v>
      </c>
      <c r="BK65" s="61">
        <v>2269862</v>
      </c>
      <c r="BL65" s="61">
        <v>1358004</v>
      </c>
      <c r="BM65" s="61">
        <v>1977565</v>
      </c>
      <c r="BN65" s="61">
        <v>1891627</v>
      </c>
      <c r="BO65" s="61">
        <v>1227770</v>
      </c>
      <c r="BP65" s="61">
        <v>1522009</v>
      </c>
      <c r="BQ65" s="61">
        <v>0</v>
      </c>
      <c r="BR65" s="61">
        <v>0</v>
      </c>
      <c r="BS65" s="61">
        <v>0</v>
      </c>
      <c r="BT65" s="61">
        <v>0</v>
      </c>
      <c r="BU65" s="61">
        <v>0</v>
      </c>
      <c r="BV65" s="61">
        <v>0</v>
      </c>
      <c r="BW65" s="61">
        <v>0</v>
      </c>
      <c r="BX65" s="61">
        <v>0</v>
      </c>
      <c r="BY65" s="61">
        <v>1407553</v>
      </c>
      <c r="BZ65" s="61">
        <v>1736921</v>
      </c>
      <c r="CA65" s="61">
        <v>1809511</v>
      </c>
      <c r="CB65" s="61">
        <v>2368150</v>
      </c>
      <c r="CC65" s="61">
        <v>1899947</v>
      </c>
      <c r="CD65" s="61">
        <v>1578846</v>
      </c>
      <c r="CE65" s="61">
        <v>1381137</v>
      </c>
      <c r="CF65" s="61">
        <v>1149168</v>
      </c>
      <c r="CG65" s="61">
        <v>0</v>
      </c>
      <c r="CH65" s="61">
        <v>0</v>
      </c>
      <c r="CI65" s="61">
        <v>0</v>
      </c>
      <c r="CJ65" s="61">
        <v>0</v>
      </c>
      <c r="CK65" s="61">
        <v>0</v>
      </c>
      <c r="CL65" s="61">
        <v>0</v>
      </c>
      <c r="CM65" s="61">
        <v>0</v>
      </c>
      <c r="CN65" s="61">
        <v>0</v>
      </c>
      <c r="CO65" s="61">
        <v>1583020</v>
      </c>
      <c r="CP65" s="61">
        <v>1874917</v>
      </c>
      <c r="CQ65" s="61">
        <v>1762964</v>
      </c>
      <c r="CR65" s="61">
        <v>1333310</v>
      </c>
      <c r="CS65" s="61">
        <v>1647830</v>
      </c>
      <c r="CT65" s="61">
        <v>1072150</v>
      </c>
      <c r="CU65" s="61">
        <v>1227910</v>
      </c>
      <c r="CV65" s="61">
        <v>928632</v>
      </c>
      <c r="CW65" s="61">
        <v>0</v>
      </c>
      <c r="CX65" s="61">
        <v>0</v>
      </c>
      <c r="CY65" s="61">
        <v>0</v>
      </c>
      <c r="CZ65" s="61">
        <v>0</v>
      </c>
      <c r="DA65" s="61">
        <v>0</v>
      </c>
      <c r="DB65" s="61">
        <v>0</v>
      </c>
      <c r="DC65" s="61">
        <v>0</v>
      </c>
      <c r="DD65" s="61">
        <v>0</v>
      </c>
      <c r="DE65" s="61">
        <v>1841255</v>
      </c>
      <c r="DF65" s="61">
        <v>1591821</v>
      </c>
      <c r="DG65" s="61">
        <v>1535907</v>
      </c>
      <c r="DH65" s="61">
        <v>1310388</v>
      </c>
      <c r="DI65" s="61">
        <v>1731840</v>
      </c>
      <c r="DJ65" s="61">
        <v>1231930</v>
      </c>
      <c r="DK65" s="61">
        <v>1576450.5</v>
      </c>
      <c r="DL65" s="61">
        <v>900492</v>
      </c>
      <c r="DM65" s="61">
        <v>0</v>
      </c>
      <c r="DN65" s="61">
        <v>0</v>
      </c>
      <c r="DO65" s="61">
        <v>0</v>
      </c>
      <c r="DP65" s="61">
        <v>0</v>
      </c>
      <c r="DQ65" s="61">
        <v>0</v>
      </c>
      <c r="DR65" s="61">
        <v>0</v>
      </c>
      <c r="DS65" s="61">
        <v>0</v>
      </c>
      <c r="DT65" s="61">
        <v>490550</v>
      </c>
      <c r="DU65" s="61">
        <v>1546706</v>
      </c>
      <c r="DV65" s="61">
        <v>1774032</v>
      </c>
      <c r="DW65" s="61">
        <v>1061950</v>
      </c>
      <c r="DX65" s="61">
        <v>1400964</v>
      </c>
      <c r="DY65" s="61">
        <v>1429696</v>
      </c>
      <c r="DZ65" s="61">
        <v>1304670</v>
      </c>
      <c r="EA65" s="61">
        <v>1248493</v>
      </c>
      <c r="EB65" s="61">
        <v>1121282</v>
      </c>
      <c r="EC65" s="61">
        <v>0</v>
      </c>
      <c r="ED65" s="61">
        <v>0</v>
      </c>
      <c r="EE65" s="61">
        <v>0</v>
      </c>
      <c r="EF65" s="61">
        <v>0</v>
      </c>
      <c r="EG65" s="61">
        <v>0</v>
      </c>
      <c r="EH65" s="61">
        <v>0</v>
      </c>
      <c r="EI65" s="61">
        <v>0</v>
      </c>
      <c r="EJ65" s="61">
        <v>886235</v>
      </c>
      <c r="EK65" s="61">
        <v>1716354</v>
      </c>
      <c r="EL65" s="61">
        <v>1727177</v>
      </c>
      <c r="EM65" s="61">
        <v>1541377</v>
      </c>
      <c r="EN65" s="61">
        <v>949659</v>
      </c>
      <c r="EO65" s="61">
        <v>2360111</v>
      </c>
      <c r="EP65" s="61">
        <v>952700</v>
      </c>
      <c r="EQ65" s="61">
        <v>1660068.17</v>
      </c>
      <c r="ER65" s="61">
        <v>0</v>
      </c>
      <c r="ES65" s="61">
        <v>0</v>
      </c>
      <c r="ET65" s="61">
        <v>0</v>
      </c>
      <c r="EU65" s="61">
        <v>0</v>
      </c>
      <c r="EV65" s="61">
        <v>0</v>
      </c>
      <c r="EW65" s="61">
        <v>0</v>
      </c>
      <c r="EX65" s="61">
        <v>0</v>
      </c>
      <c r="EY65" s="61">
        <v>1650447</v>
      </c>
      <c r="EZ65" s="61">
        <v>1714383</v>
      </c>
      <c r="FA65" s="61">
        <v>2319108</v>
      </c>
      <c r="FB65" s="61">
        <v>2292778</v>
      </c>
      <c r="FC65" s="61">
        <v>1597327</v>
      </c>
      <c r="FD65" s="61">
        <v>1415597</v>
      </c>
      <c r="FE65" s="61">
        <v>1662830</v>
      </c>
      <c r="FF65" s="61">
        <v>1795349</v>
      </c>
      <c r="FG65" s="61">
        <v>0</v>
      </c>
      <c r="FH65" s="168">
        <v>0</v>
      </c>
      <c r="FI65" s="168">
        <v>0</v>
      </c>
      <c r="FJ65" s="61">
        <v>0</v>
      </c>
      <c r="FK65" s="61">
        <v>0</v>
      </c>
      <c r="FL65" s="61">
        <v>0</v>
      </c>
      <c r="FM65" s="61">
        <v>0</v>
      </c>
      <c r="FN65" s="61">
        <v>1817542</v>
      </c>
      <c r="FO65" s="61">
        <v>1334358</v>
      </c>
      <c r="FP65" s="61">
        <v>2153362</v>
      </c>
      <c r="FQ65" s="61">
        <v>3019620</v>
      </c>
      <c r="FR65" s="61">
        <v>1779440</v>
      </c>
      <c r="FS65" s="61">
        <v>3077268</v>
      </c>
      <c r="FT65" s="61">
        <v>2627140</v>
      </c>
      <c r="FU65" s="61">
        <v>2220201</v>
      </c>
      <c r="FV65" s="61">
        <v>0</v>
      </c>
      <c r="FW65" s="61">
        <v>0</v>
      </c>
      <c r="FX65" s="61">
        <v>0</v>
      </c>
      <c r="FY65" s="61">
        <v>0</v>
      </c>
      <c r="FZ65" s="61">
        <v>0</v>
      </c>
      <c r="GA65" s="61">
        <v>0</v>
      </c>
      <c r="GB65" s="61">
        <v>0</v>
      </c>
      <c r="GC65" s="61">
        <v>2414458</v>
      </c>
      <c r="GD65" s="61">
        <v>3917976</v>
      </c>
      <c r="GE65" s="61">
        <v>4225327</v>
      </c>
      <c r="GF65" s="61">
        <v>2837785</v>
      </c>
      <c r="GG65" s="61">
        <v>2641866</v>
      </c>
      <c r="GH65" s="61">
        <v>2769622.1669999999</v>
      </c>
      <c r="GI65" s="61">
        <v>1185000</v>
      </c>
      <c r="GJ65" s="61">
        <v>3284849</v>
      </c>
      <c r="GK65" s="61"/>
      <c r="GL65" s="61">
        <f>AVERAGE(M65:T65)</f>
        <v>2819186.125</v>
      </c>
      <c r="GM65" s="61">
        <f>AVERAGE(AC65:AJ65)</f>
        <v>2622215.125</v>
      </c>
      <c r="GN65" s="61">
        <f>AVERAGE(AS65:AZ65)</f>
        <v>2327516</v>
      </c>
      <c r="GO65" s="61">
        <f>AVERAGE(BI65:BP65)</f>
        <v>1793839.875</v>
      </c>
      <c r="GP65" s="61">
        <f>AVERAGE(BY65:CF65)</f>
        <v>1666404.125</v>
      </c>
      <c r="GQ65" s="61">
        <f>AVERAGE(CO65:CV65)</f>
        <v>1428841.625</v>
      </c>
      <c r="GR65" s="61">
        <f>AVERAGE(DE65:DL65)</f>
        <v>1465010.4375</v>
      </c>
      <c r="GS65" s="61">
        <f>AVERAGE(DT65:EB65)</f>
        <v>1264260.3333333333</v>
      </c>
      <c r="GT65" s="61">
        <f>AVERAGE(EJ65:EQ65)</f>
        <v>1474210.14625</v>
      </c>
      <c r="GU65" s="61">
        <f>AVERAGE(EY65:FF65)</f>
        <v>1805977.375</v>
      </c>
      <c r="GV65" s="61">
        <f>AVERAGE(FN65:FU65)</f>
        <v>2253616.375</v>
      </c>
      <c r="GW65" s="61">
        <f>AVERAGE(GC65:GJ65)</f>
        <v>2909610.3958749999</v>
      </c>
      <c r="GX65" t="s">
        <v>846</v>
      </c>
      <c r="GY65" s="3" t="s">
        <v>297</v>
      </c>
    </row>
    <row r="66" spans="2:207">
      <c r="D66" s="3" t="s">
        <v>349</v>
      </c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>
        <v>3268835</v>
      </c>
      <c r="R66" s="61">
        <v>3898359.1666666665</v>
      </c>
      <c r="S66" s="61">
        <v>1771103</v>
      </c>
      <c r="T66" s="61">
        <v>3525298.1666666665</v>
      </c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>
        <v>2535523</v>
      </c>
      <c r="AH66" s="61">
        <v>3525823.4999999995</v>
      </c>
      <c r="AI66" s="61">
        <v>2886822.166666667</v>
      </c>
      <c r="AJ66" s="61">
        <v>3048825.0000000005</v>
      </c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>
        <v>2912953</v>
      </c>
      <c r="AX66" s="61">
        <v>2611863.5</v>
      </c>
      <c r="AY66" s="61">
        <v>3017431.8333333335</v>
      </c>
      <c r="AZ66" s="61">
        <v>2939897.166666666</v>
      </c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>
        <v>1935846</v>
      </c>
      <c r="BN66" s="61">
        <v>1895354.8333333333</v>
      </c>
      <c r="BO66" s="61">
        <v>1082033.1666666663</v>
      </c>
      <c r="BP66" s="61">
        <v>2012610.0000000005</v>
      </c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>
        <v>1925753</v>
      </c>
      <c r="CD66" s="61">
        <v>1554481.3333333333</v>
      </c>
      <c r="CE66" s="61">
        <v>1577585.1666666667</v>
      </c>
      <c r="CF66" s="61">
        <v>1316938</v>
      </c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>
        <v>1826230</v>
      </c>
      <c r="CT66" s="61">
        <v>1150347.1669999999</v>
      </c>
      <c r="CU66" s="61">
        <v>1563860.333333333</v>
      </c>
      <c r="CV66" s="61">
        <v>1287675</v>
      </c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  <c r="DH66" s="61"/>
      <c r="DI66" s="61">
        <v>1653466</v>
      </c>
      <c r="DJ66" s="61">
        <v>1135505</v>
      </c>
      <c r="DK66" s="61">
        <v>1631150.5000000002</v>
      </c>
      <c r="DL66" s="61">
        <v>953416.33333333349</v>
      </c>
      <c r="DM66" s="61"/>
      <c r="DN66" s="61"/>
      <c r="DO66" s="61"/>
      <c r="DP66" s="61"/>
      <c r="DQ66" s="61"/>
      <c r="DR66" s="61"/>
      <c r="DS66" s="61"/>
      <c r="DT66" s="61"/>
      <c r="DU66" s="61"/>
      <c r="DV66" s="61"/>
      <c r="DW66" s="61"/>
      <c r="DX66" s="61"/>
      <c r="DY66" s="61">
        <v>1407064.8333333333</v>
      </c>
      <c r="DZ66" s="61">
        <v>1440909.9999999998</v>
      </c>
      <c r="EA66" s="61">
        <v>960456.99999999988</v>
      </c>
      <c r="EB66" s="61">
        <v>1245396.8333333333</v>
      </c>
      <c r="EC66" s="61"/>
      <c r="ED66" s="61"/>
      <c r="EE66" s="61"/>
      <c r="EF66" s="61"/>
      <c r="EG66" s="61"/>
      <c r="EH66" s="61"/>
      <c r="EI66" s="61"/>
      <c r="EJ66" s="61"/>
      <c r="EK66" s="61"/>
      <c r="EL66" s="61"/>
      <c r="EM66" s="61"/>
      <c r="EN66" s="61"/>
      <c r="EO66" s="61">
        <v>2037590</v>
      </c>
      <c r="EP66" s="61">
        <v>1156883.9999999995</v>
      </c>
      <c r="EQ66" s="61">
        <v>1607572.1666666667</v>
      </c>
      <c r="ER66" s="61"/>
      <c r="ES66" s="61"/>
      <c r="ET66" s="61"/>
      <c r="EU66" s="61"/>
      <c r="EV66" s="61"/>
      <c r="EW66" s="61"/>
      <c r="EX66" s="61"/>
      <c r="EY66" s="61"/>
      <c r="EZ66" s="61"/>
      <c r="FA66" s="61"/>
      <c r="FB66" s="61"/>
      <c r="FC66" s="61"/>
      <c r="FD66" s="61">
        <v>1497103</v>
      </c>
      <c r="FE66" s="61">
        <v>1485186.3333333333</v>
      </c>
      <c r="FF66" s="61">
        <v>2255751.3330000001</v>
      </c>
      <c r="FG66" s="61"/>
      <c r="FH66" s="168"/>
      <c r="FI66" s="168"/>
      <c r="FJ66" s="61"/>
      <c r="FK66" s="61"/>
      <c r="FL66" s="61"/>
      <c r="FM66" s="61"/>
      <c r="FN66" s="61"/>
      <c r="FO66" s="61"/>
      <c r="FP66" s="61"/>
      <c r="FQ66" s="61"/>
      <c r="FR66" s="61"/>
      <c r="FS66" s="61">
        <v>3412117.6669999999</v>
      </c>
      <c r="FT66" s="61">
        <v>2734473.666666667</v>
      </c>
      <c r="FU66" s="61">
        <v>1510145.5</v>
      </c>
      <c r="FV66" s="61"/>
      <c r="FW66" s="61"/>
      <c r="FX66" s="61"/>
      <c r="FY66" s="61"/>
      <c r="FZ66" s="61"/>
      <c r="GA66" s="61"/>
      <c r="GB66" s="61"/>
      <c r="GC66" s="61"/>
      <c r="GD66" s="61"/>
      <c r="GE66" s="61"/>
      <c r="GF66" s="61"/>
      <c r="GG66" s="61"/>
      <c r="GH66" s="61">
        <v>3796491.1666666665</v>
      </c>
      <c r="GI66" s="61">
        <v>1994421.0000000002</v>
      </c>
      <c r="GJ66" s="61">
        <v>2944363.0000000005</v>
      </c>
      <c r="GK66" s="61"/>
      <c r="GL66" s="61">
        <f>AVERAGE(Q66:T66)</f>
        <v>3115898.833333333</v>
      </c>
      <c r="GM66" s="61">
        <f>AVERAGE(AG66:AJ66)</f>
        <v>2999248.416666667</v>
      </c>
      <c r="GN66" s="61">
        <f>AVERAGE(AW66:AZ66)</f>
        <v>2870536.375</v>
      </c>
      <c r="GO66" s="61">
        <f>AVERAGE(BM66:BP66)</f>
        <v>1731461</v>
      </c>
      <c r="GP66" s="61">
        <f>AVERAGE(CC66:CF66)</f>
        <v>1593689.375</v>
      </c>
      <c r="GQ66" s="61">
        <f>AVERAGE(CS66:CV66)</f>
        <v>1457028.1250833333</v>
      </c>
      <c r="GR66" s="61">
        <f>AVERAGE(DI66:DL66)</f>
        <v>1343384.4583333335</v>
      </c>
      <c r="GS66" s="61">
        <f>AVERAGE(DY66:EB66)</f>
        <v>1263457.1666666665</v>
      </c>
      <c r="GT66" s="61">
        <f>AVERAGE(EO66:EQ66)</f>
        <v>1600682.0555555553</v>
      </c>
      <c r="GU66" s="61">
        <f>AVERAGE(FD66:FF66)</f>
        <v>1746013.5554444443</v>
      </c>
      <c r="GV66" s="61">
        <f>AVERAGE(FS66:FU66)</f>
        <v>2552245.6112222224</v>
      </c>
      <c r="GW66" s="61">
        <f>AVERAGE(GH66:GJ66)</f>
        <v>2911758.3888888895</v>
      </c>
      <c r="GX66" t="s">
        <v>846</v>
      </c>
      <c r="GY66" s="3" t="s">
        <v>349</v>
      </c>
    </row>
    <row r="67" spans="2:207">
      <c r="B67" t="s">
        <v>2617</v>
      </c>
      <c r="E67" s="61">
        <v>0</v>
      </c>
      <c r="F67" s="61">
        <v>0</v>
      </c>
      <c r="G67" s="61">
        <v>0</v>
      </c>
      <c r="H67" s="61">
        <v>0</v>
      </c>
      <c r="I67" s="61">
        <v>0</v>
      </c>
      <c r="J67" s="61">
        <v>0</v>
      </c>
      <c r="K67" s="61">
        <v>0</v>
      </c>
      <c r="L67" s="61">
        <v>2842</v>
      </c>
      <c r="M67" s="61">
        <v>21649122</v>
      </c>
      <c r="N67" s="61">
        <v>24829193</v>
      </c>
      <c r="O67" s="61">
        <v>17832372</v>
      </c>
      <c r="P67" s="61">
        <v>32110154.285714284</v>
      </c>
      <c r="Q67" s="61">
        <v>27587950</v>
      </c>
      <c r="R67" s="61">
        <v>32021206.666666668</v>
      </c>
      <c r="S67" s="61">
        <v>17586479</v>
      </c>
      <c r="T67" s="61">
        <v>32701246.333333332</v>
      </c>
      <c r="U67" s="61">
        <v>0</v>
      </c>
      <c r="V67" s="61">
        <v>0</v>
      </c>
      <c r="W67" s="61">
        <v>0</v>
      </c>
      <c r="X67" s="61">
        <v>0</v>
      </c>
      <c r="Y67" s="61">
        <v>0</v>
      </c>
      <c r="Z67" s="61">
        <v>0</v>
      </c>
      <c r="AA67" s="61">
        <v>0</v>
      </c>
      <c r="AB67" s="61">
        <v>2522262</v>
      </c>
      <c r="AC67" s="61">
        <v>15772141</v>
      </c>
      <c r="AD67" s="61">
        <v>17418162</v>
      </c>
      <c r="AE67" s="61">
        <v>18837281</v>
      </c>
      <c r="AF67" s="61">
        <v>35009908.285714284</v>
      </c>
      <c r="AG67" s="61">
        <v>22430160</v>
      </c>
      <c r="AH67" s="61">
        <v>30359102.999999996</v>
      </c>
      <c r="AI67" s="61">
        <v>23728579.666666668</v>
      </c>
      <c r="AJ67" s="61">
        <v>21387683.833333332</v>
      </c>
      <c r="AK67" s="61">
        <v>0</v>
      </c>
      <c r="AL67" s="61">
        <v>0</v>
      </c>
      <c r="AM67" s="61">
        <v>0</v>
      </c>
      <c r="AN67" s="61">
        <v>0</v>
      </c>
      <c r="AO67" s="61">
        <v>0</v>
      </c>
      <c r="AP67" s="61">
        <v>0</v>
      </c>
      <c r="AQ67" s="61">
        <v>0</v>
      </c>
      <c r="AR67" s="61">
        <v>4600251</v>
      </c>
      <c r="AS67" s="61">
        <v>19084939</v>
      </c>
      <c r="AT67" s="61">
        <v>13264187</v>
      </c>
      <c r="AU67" s="61">
        <v>17587538</v>
      </c>
      <c r="AV67" s="61">
        <v>17786958.714285716</v>
      </c>
      <c r="AW67" s="61">
        <v>23766586</v>
      </c>
      <c r="AX67" s="61">
        <v>24364240.166666664</v>
      </c>
      <c r="AY67" s="61">
        <v>24783873.666666668</v>
      </c>
      <c r="AZ67" s="61">
        <v>24222796.166666664</v>
      </c>
      <c r="BA67" s="61">
        <v>0</v>
      </c>
      <c r="BB67" s="61">
        <v>0</v>
      </c>
      <c r="BC67" s="61">
        <v>0</v>
      </c>
      <c r="BD67" s="61">
        <v>0</v>
      </c>
      <c r="BE67" s="61">
        <v>0</v>
      </c>
      <c r="BF67" s="61">
        <v>0</v>
      </c>
      <c r="BG67" s="61">
        <v>0</v>
      </c>
      <c r="BH67" s="61">
        <v>3020039</v>
      </c>
      <c r="BI67" s="61">
        <v>11737643</v>
      </c>
      <c r="BJ67" s="61">
        <v>22907399</v>
      </c>
      <c r="BK67" s="61">
        <v>20623647</v>
      </c>
      <c r="BL67" s="61">
        <v>13530081.571428571</v>
      </c>
      <c r="BM67" s="61">
        <v>16948513</v>
      </c>
      <c r="BN67" s="61">
        <v>17612104.166666668</v>
      </c>
      <c r="BO67" s="61">
        <v>11547823.5</v>
      </c>
      <c r="BP67" s="61">
        <v>18110355</v>
      </c>
      <c r="BQ67" s="61">
        <v>0</v>
      </c>
      <c r="BR67" s="61">
        <v>0</v>
      </c>
      <c r="BS67" s="61">
        <v>0</v>
      </c>
      <c r="BT67" s="61">
        <v>0</v>
      </c>
      <c r="BU67" s="61">
        <v>0</v>
      </c>
      <c r="BV67" s="61">
        <v>0</v>
      </c>
      <c r="BW67" s="61">
        <v>0</v>
      </c>
      <c r="BX67" s="61">
        <v>3044286</v>
      </c>
      <c r="BY67" s="61">
        <v>13645034</v>
      </c>
      <c r="BZ67" s="61">
        <v>14487113</v>
      </c>
      <c r="CA67" s="61">
        <v>16405907</v>
      </c>
      <c r="CB67" s="61">
        <v>20806532.857142858</v>
      </c>
      <c r="CC67" s="61">
        <v>18144511</v>
      </c>
      <c r="CD67" s="61">
        <v>16001670.666666668</v>
      </c>
      <c r="CE67" s="61">
        <v>13507377.333333332</v>
      </c>
      <c r="CF67" s="61">
        <v>12102249</v>
      </c>
      <c r="CG67" s="61">
        <v>0</v>
      </c>
      <c r="CH67" s="61">
        <v>0</v>
      </c>
      <c r="CI67" s="61">
        <v>0</v>
      </c>
      <c r="CJ67" s="61">
        <v>0</v>
      </c>
      <c r="CK67" s="61">
        <v>0</v>
      </c>
      <c r="CL67" s="61">
        <v>0</v>
      </c>
      <c r="CM67" s="61">
        <v>0</v>
      </c>
      <c r="CN67" s="61">
        <v>3334373</v>
      </c>
      <c r="CO67" s="61">
        <v>13680439</v>
      </c>
      <c r="CP67" s="61">
        <v>14593535</v>
      </c>
      <c r="CQ67" s="61">
        <v>16842341</v>
      </c>
      <c r="CR67" s="61">
        <v>11400852.857142858</v>
      </c>
      <c r="CS67" s="61">
        <v>14735538</v>
      </c>
      <c r="CT67" s="61">
        <v>10873424.667033333</v>
      </c>
      <c r="CU67" s="61">
        <v>13396882.333333332</v>
      </c>
      <c r="CV67" s="61">
        <v>10304506</v>
      </c>
      <c r="CW67" s="61">
        <v>0</v>
      </c>
      <c r="CX67" s="61">
        <v>0</v>
      </c>
      <c r="CY67" s="61">
        <v>0</v>
      </c>
      <c r="CZ67" s="61">
        <v>0</v>
      </c>
      <c r="DA67" s="61">
        <v>0</v>
      </c>
      <c r="DB67" s="61">
        <v>0</v>
      </c>
      <c r="DC67" s="61">
        <v>0</v>
      </c>
      <c r="DD67" s="61">
        <v>3712679</v>
      </c>
      <c r="DE67" s="61">
        <v>12440042</v>
      </c>
      <c r="DF67" s="61">
        <v>13349588</v>
      </c>
      <c r="DG67" s="61">
        <v>12639595</v>
      </c>
      <c r="DH67" s="61">
        <v>12378070.142857142</v>
      </c>
      <c r="DI67" s="61">
        <v>16457831</v>
      </c>
      <c r="DJ67" s="61">
        <v>10637803.166666668</v>
      </c>
      <c r="DK67" s="61">
        <v>14737826.503333334</v>
      </c>
      <c r="DL67" s="61">
        <v>7669318.6666666679</v>
      </c>
      <c r="DM67" s="61">
        <v>0</v>
      </c>
      <c r="DN67" s="61">
        <v>0</v>
      </c>
      <c r="DO67" s="61">
        <v>0</v>
      </c>
      <c r="DP67" s="61">
        <v>0</v>
      </c>
      <c r="DQ67" s="61">
        <v>0</v>
      </c>
      <c r="DR67" s="61">
        <v>0</v>
      </c>
      <c r="DS67" s="61">
        <v>0</v>
      </c>
      <c r="DT67" s="61">
        <v>7986530</v>
      </c>
      <c r="DU67" s="61">
        <v>11722847</v>
      </c>
      <c r="DV67" s="61">
        <v>13248698</v>
      </c>
      <c r="DW67" s="61">
        <v>10248506</v>
      </c>
      <c r="DX67" s="61">
        <v>12874238.857142858</v>
      </c>
      <c r="DY67" s="61">
        <v>12485875.333333334</v>
      </c>
      <c r="DZ67" s="61">
        <v>12637118.5</v>
      </c>
      <c r="EA67" s="61">
        <v>10422588</v>
      </c>
      <c r="EB67" s="61">
        <v>10509600.666666666</v>
      </c>
      <c r="EC67" s="61">
        <v>0</v>
      </c>
      <c r="ED67" s="61">
        <v>0</v>
      </c>
      <c r="EE67" s="61">
        <v>0</v>
      </c>
      <c r="EF67" s="61">
        <v>0</v>
      </c>
      <c r="EG67" s="61">
        <v>0</v>
      </c>
      <c r="EH67" s="61">
        <v>0</v>
      </c>
      <c r="EI67" s="61">
        <v>0</v>
      </c>
      <c r="EJ67" s="61">
        <v>8858626</v>
      </c>
      <c r="EK67" s="61">
        <v>13908984</v>
      </c>
      <c r="EL67" s="61">
        <v>13312599</v>
      </c>
      <c r="EM67" s="61">
        <v>12667521</v>
      </c>
      <c r="EN67" s="61">
        <v>8985974.4285714291</v>
      </c>
      <c r="EO67" s="61">
        <v>17967564</v>
      </c>
      <c r="EP67" s="61">
        <v>9785133.6666666679</v>
      </c>
      <c r="EQ67" s="61">
        <v>13533774.666666666</v>
      </c>
      <c r="ER67" s="61">
        <v>0</v>
      </c>
      <c r="ES67" s="61">
        <v>0</v>
      </c>
      <c r="ET67" s="61">
        <v>0</v>
      </c>
      <c r="EU67" s="61">
        <v>0</v>
      </c>
      <c r="EV67" s="61">
        <v>0</v>
      </c>
      <c r="EW67" s="61">
        <v>0</v>
      </c>
      <c r="EX67" s="61">
        <v>0</v>
      </c>
      <c r="EY67" s="61">
        <v>17705086</v>
      </c>
      <c r="EZ67" s="61">
        <v>18593779</v>
      </c>
      <c r="FA67" s="61">
        <v>20596486</v>
      </c>
      <c r="FB67" s="61">
        <v>24377925</v>
      </c>
      <c r="FC67" s="61">
        <v>17891890</v>
      </c>
      <c r="FD67" s="61">
        <v>13428267</v>
      </c>
      <c r="FE67" s="61">
        <v>13687244.833333334</v>
      </c>
      <c r="FF67" s="61">
        <v>19674640.999666665</v>
      </c>
      <c r="FG67" s="61">
        <v>0</v>
      </c>
      <c r="FH67" s="168">
        <v>0</v>
      </c>
      <c r="FI67" s="168">
        <v>0</v>
      </c>
      <c r="FJ67" s="61">
        <v>0</v>
      </c>
      <c r="FK67" s="61">
        <v>0</v>
      </c>
      <c r="FL67" s="61">
        <v>0</v>
      </c>
      <c r="FM67" s="61">
        <v>0</v>
      </c>
      <c r="FN67" s="61">
        <v>16146775</v>
      </c>
      <c r="FO67" s="61">
        <v>15915307</v>
      </c>
      <c r="FP67" s="61">
        <v>19541809</v>
      </c>
      <c r="FQ67" s="61">
        <v>24357580</v>
      </c>
      <c r="FR67" s="61">
        <v>20110445.857142858</v>
      </c>
      <c r="FS67" s="61">
        <v>28287911</v>
      </c>
      <c r="FT67" s="61">
        <v>22736932.833333332</v>
      </c>
      <c r="FU67" s="61">
        <v>19346724.5</v>
      </c>
      <c r="FV67" s="61">
        <v>0</v>
      </c>
      <c r="FW67" s="61">
        <v>0</v>
      </c>
      <c r="FX67" s="61">
        <v>0</v>
      </c>
      <c r="FY67" s="61">
        <v>0</v>
      </c>
      <c r="FZ67" s="61">
        <v>0</v>
      </c>
      <c r="GA67" s="61">
        <v>0</v>
      </c>
      <c r="GB67" s="61">
        <v>0</v>
      </c>
      <c r="GC67" s="61">
        <v>14673831</v>
      </c>
      <c r="GD67" s="61">
        <v>32463355</v>
      </c>
      <c r="GE67" s="61">
        <v>31734799</v>
      </c>
      <c r="GF67" s="61">
        <v>29688543</v>
      </c>
      <c r="GG67" s="61">
        <v>25284816.571428571</v>
      </c>
      <c r="GH67" s="61">
        <v>31236314.5</v>
      </c>
      <c r="GI67" s="61">
        <v>16055659.5</v>
      </c>
      <c r="GJ67" s="61">
        <v>28044219</v>
      </c>
      <c r="GK67" s="61"/>
    </row>
    <row r="68" spans="2:207">
      <c r="B68" t="s">
        <v>795</v>
      </c>
      <c r="C68" t="s">
        <v>796</v>
      </c>
      <c r="D68" s="60" t="s">
        <v>305</v>
      </c>
      <c r="E68" s="61">
        <v>0</v>
      </c>
      <c r="F68" s="61">
        <v>0</v>
      </c>
      <c r="G68" s="61">
        <v>0</v>
      </c>
      <c r="H68" s="61">
        <v>0</v>
      </c>
      <c r="I68" s="61">
        <v>0</v>
      </c>
      <c r="J68" s="61">
        <v>0</v>
      </c>
      <c r="K68" s="61">
        <v>0</v>
      </c>
      <c r="L68" s="61">
        <v>0</v>
      </c>
      <c r="M68" s="61"/>
      <c r="N68" s="61">
        <v>2845919</v>
      </c>
      <c r="O68" s="61">
        <v>1500361</v>
      </c>
      <c r="P68" s="61">
        <v>3036225</v>
      </c>
      <c r="Q68" s="61">
        <v>2933000</v>
      </c>
      <c r="R68" s="61">
        <v>3330000</v>
      </c>
      <c r="S68" s="61">
        <v>2054870</v>
      </c>
      <c r="T68" s="61">
        <v>3548276</v>
      </c>
      <c r="U68" s="61">
        <v>0</v>
      </c>
      <c r="V68" s="61">
        <v>0</v>
      </c>
      <c r="W68" s="61">
        <v>0</v>
      </c>
      <c r="X68" s="61">
        <v>0</v>
      </c>
      <c r="Y68" s="61">
        <v>0</v>
      </c>
      <c r="Z68" s="61">
        <v>0</v>
      </c>
      <c r="AA68" s="61">
        <v>0</v>
      </c>
      <c r="AB68" s="61">
        <v>0</v>
      </c>
      <c r="AC68" s="61"/>
      <c r="AD68" s="61">
        <v>1775665</v>
      </c>
      <c r="AE68" s="61">
        <v>1980050</v>
      </c>
      <c r="AF68" s="61">
        <v>3586968</v>
      </c>
      <c r="AG68" s="61">
        <v>2404000</v>
      </c>
      <c r="AH68" s="61">
        <v>3570676</v>
      </c>
      <c r="AI68" s="61">
        <v>2472710</v>
      </c>
      <c r="AJ68" s="61">
        <v>2179349</v>
      </c>
      <c r="AK68" s="61">
        <v>0</v>
      </c>
      <c r="AL68" s="61">
        <v>0</v>
      </c>
      <c r="AM68" s="61">
        <v>0</v>
      </c>
      <c r="AN68" s="61">
        <v>0</v>
      </c>
      <c r="AO68" s="61">
        <v>0</v>
      </c>
      <c r="AP68" s="61">
        <v>0</v>
      </c>
      <c r="AQ68" s="61">
        <v>0</v>
      </c>
      <c r="AR68" s="61">
        <v>0</v>
      </c>
      <c r="AS68" s="61"/>
      <c r="AT68" s="61">
        <v>1554729</v>
      </c>
      <c r="AU68" s="61">
        <v>1944448</v>
      </c>
      <c r="AV68" s="61">
        <v>1576819</v>
      </c>
      <c r="AW68" s="61">
        <v>2107000</v>
      </c>
      <c r="AX68" s="61">
        <v>2721913</v>
      </c>
      <c r="AY68" s="61">
        <v>2598170</v>
      </c>
      <c r="AZ68" s="61">
        <v>2419058</v>
      </c>
      <c r="BA68" s="61">
        <v>0</v>
      </c>
      <c r="BB68" s="61">
        <v>0</v>
      </c>
      <c r="BC68" s="61">
        <v>0</v>
      </c>
      <c r="BD68" s="61">
        <v>0</v>
      </c>
      <c r="BE68" s="61">
        <v>0</v>
      </c>
      <c r="BF68" s="61">
        <v>0</v>
      </c>
      <c r="BG68" s="61">
        <v>0</v>
      </c>
      <c r="BH68" s="61">
        <v>0</v>
      </c>
      <c r="BI68" s="61"/>
      <c r="BJ68" s="61">
        <v>2605798</v>
      </c>
      <c r="BK68" s="61">
        <v>2275436</v>
      </c>
      <c r="BL68" s="61">
        <v>1089159</v>
      </c>
      <c r="BM68" s="61">
        <v>1745000</v>
      </c>
      <c r="BN68" s="61">
        <v>1691609</v>
      </c>
      <c r="BO68" s="61">
        <v>990240</v>
      </c>
      <c r="BP68" s="61">
        <v>1855341</v>
      </c>
      <c r="BQ68" s="61">
        <v>0</v>
      </c>
      <c r="BR68" s="61">
        <v>0</v>
      </c>
      <c r="BS68" s="61">
        <v>0</v>
      </c>
      <c r="BT68" s="61">
        <v>0</v>
      </c>
      <c r="BU68" s="61">
        <v>0</v>
      </c>
      <c r="BV68" s="61">
        <v>0</v>
      </c>
      <c r="BW68" s="61">
        <v>0</v>
      </c>
      <c r="BX68" s="61">
        <v>0</v>
      </c>
      <c r="BY68" s="61"/>
      <c r="BZ68" s="61">
        <v>1574090</v>
      </c>
      <c r="CA68" s="61">
        <v>1440463</v>
      </c>
      <c r="CB68" s="61">
        <v>2232299</v>
      </c>
      <c r="CC68" s="61">
        <v>1652314</v>
      </c>
      <c r="CD68" s="61">
        <v>1557025</v>
      </c>
      <c r="CE68" s="61">
        <v>1277831</v>
      </c>
      <c r="CF68" s="61">
        <v>1068319</v>
      </c>
      <c r="CG68" s="61">
        <v>0</v>
      </c>
      <c r="CH68" s="61">
        <v>0</v>
      </c>
      <c r="CI68" s="61">
        <v>0</v>
      </c>
      <c r="CJ68" s="61">
        <v>0</v>
      </c>
      <c r="CK68" s="61">
        <v>0</v>
      </c>
      <c r="CL68" s="61">
        <v>0</v>
      </c>
      <c r="CM68" s="61">
        <v>0</v>
      </c>
      <c r="CN68" s="61">
        <v>0</v>
      </c>
      <c r="CO68" s="61"/>
      <c r="CP68" s="61">
        <v>1635596</v>
      </c>
      <c r="CQ68" s="61">
        <v>1577571</v>
      </c>
      <c r="CR68" s="61">
        <v>1350712</v>
      </c>
      <c r="CS68" s="61">
        <v>1437000</v>
      </c>
      <c r="CT68" s="61">
        <v>970670</v>
      </c>
      <c r="CU68" s="61">
        <v>1315450</v>
      </c>
      <c r="CV68" s="61">
        <v>942005</v>
      </c>
      <c r="CW68" s="61">
        <v>0</v>
      </c>
      <c r="CX68" s="61">
        <v>0</v>
      </c>
      <c r="CY68" s="61">
        <v>0</v>
      </c>
      <c r="CZ68" s="61">
        <v>0</v>
      </c>
      <c r="DA68" s="61">
        <v>0</v>
      </c>
      <c r="DB68" s="61">
        <v>0</v>
      </c>
      <c r="DC68" s="61">
        <v>0</v>
      </c>
      <c r="DD68" s="61">
        <v>0</v>
      </c>
      <c r="DE68" s="61">
        <v>1037493</v>
      </c>
      <c r="DF68" s="61">
        <v>1504189</v>
      </c>
      <c r="DG68" s="61">
        <v>1556154</v>
      </c>
      <c r="DH68" s="61">
        <v>1167445</v>
      </c>
      <c r="DI68" s="61">
        <v>1642000</v>
      </c>
      <c r="DJ68" s="61">
        <v>871880</v>
      </c>
      <c r="DK68" s="61">
        <v>1538176</v>
      </c>
      <c r="DL68" s="61">
        <v>833665</v>
      </c>
      <c r="DM68" s="61">
        <v>0</v>
      </c>
      <c r="DN68" s="61">
        <v>0</v>
      </c>
      <c r="DO68" s="61">
        <v>0</v>
      </c>
      <c r="DP68" s="61">
        <v>0</v>
      </c>
      <c r="DQ68" s="61">
        <v>0</v>
      </c>
      <c r="DR68" s="61">
        <v>0</v>
      </c>
      <c r="DS68" s="61">
        <v>0</v>
      </c>
      <c r="DT68" s="61">
        <v>0</v>
      </c>
      <c r="DU68" s="61">
        <v>1239464</v>
      </c>
      <c r="DV68" s="61">
        <v>1613587</v>
      </c>
      <c r="DW68" s="61">
        <v>897654</v>
      </c>
      <c r="DX68" s="61">
        <v>1256873</v>
      </c>
      <c r="DY68" s="61">
        <v>1338728</v>
      </c>
      <c r="DZ68" s="61">
        <v>938960</v>
      </c>
      <c r="EA68" s="61">
        <v>1040225</v>
      </c>
      <c r="EB68" s="61">
        <v>1039298</v>
      </c>
      <c r="EC68" s="61">
        <v>0</v>
      </c>
      <c r="ED68" s="61">
        <v>0</v>
      </c>
      <c r="EE68" s="61">
        <v>0</v>
      </c>
      <c r="EF68" s="61">
        <v>0</v>
      </c>
      <c r="EG68" s="61">
        <v>0</v>
      </c>
      <c r="EH68" s="61">
        <v>0</v>
      </c>
      <c r="EI68" s="61">
        <v>0</v>
      </c>
      <c r="EJ68" s="61">
        <v>0</v>
      </c>
      <c r="EK68" s="61">
        <v>1297860</v>
      </c>
      <c r="EL68" s="61">
        <v>1051593</v>
      </c>
      <c r="EM68" s="61">
        <v>1450609</v>
      </c>
      <c r="EN68" s="61">
        <v>972386</v>
      </c>
      <c r="EO68" s="61">
        <v>2263679</v>
      </c>
      <c r="EP68" s="61">
        <v>822630</v>
      </c>
      <c r="EQ68" s="61">
        <v>1539031.67</v>
      </c>
      <c r="ER68" s="61">
        <v>0</v>
      </c>
      <c r="ES68" s="61">
        <v>0</v>
      </c>
      <c r="ET68" s="61">
        <v>0</v>
      </c>
      <c r="EU68" s="61">
        <v>0</v>
      </c>
      <c r="EV68" s="61">
        <v>0</v>
      </c>
      <c r="EW68" s="61">
        <v>0</v>
      </c>
      <c r="EX68" s="61">
        <v>0</v>
      </c>
      <c r="EY68" s="61">
        <v>0</v>
      </c>
      <c r="EZ68" s="61">
        <v>1658150</v>
      </c>
      <c r="FA68" s="61">
        <v>2376934</v>
      </c>
      <c r="FB68" s="61">
        <v>2184758</v>
      </c>
      <c r="FC68" s="61">
        <v>1371612</v>
      </c>
      <c r="FD68" s="61">
        <v>1346909</v>
      </c>
      <c r="FE68" s="61">
        <v>1573180</v>
      </c>
      <c r="FF68" s="61">
        <v>1751672</v>
      </c>
      <c r="FG68" s="61">
        <v>0</v>
      </c>
      <c r="FH68" s="168">
        <v>0</v>
      </c>
      <c r="FI68" s="168">
        <v>0</v>
      </c>
      <c r="FJ68" s="61">
        <v>0</v>
      </c>
      <c r="FK68" s="61">
        <v>0</v>
      </c>
      <c r="FL68" s="61">
        <v>0</v>
      </c>
      <c r="FM68" s="61">
        <v>0</v>
      </c>
      <c r="FN68" s="61">
        <v>0</v>
      </c>
      <c r="FO68" s="61">
        <v>950257</v>
      </c>
      <c r="FP68" s="61">
        <v>1784894</v>
      </c>
      <c r="FQ68" s="61">
        <v>2649903</v>
      </c>
      <c r="FR68" s="61">
        <v>1624416</v>
      </c>
      <c r="FS68" s="61">
        <v>3039280</v>
      </c>
      <c r="FT68" s="61">
        <v>2356540</v>
      </c>
      <c r="FU68" s="61">
        <v>2112017</v>
      </c>
      <c r="FV68" s="61">
        <v>0</v>
      </c>
      <c r="FW68" s="61">
        <v>0</v>
      </c>
      <c r="FX68" s="61">
        <v>0</v>
      </c>
      <c r="FY68" s="61">
        <v>0</v>
      </c>
      <c r="FZ68" s="61">
        <v>0</v>
      </c>
      <c r="GA68" s="61">
        <v>0</v>
      </c>
      <c r="GB68" s="61">
        <v>0</v>
      </c>
      <c r="GC68" s="61">
        <v>0</v>
      </c>
      <c r="GD68" s="61">
        <v>3808007</v>
      </c>
      <c r="GE68" s="61">
        <v>4023181</v>
      </c>
      <c r="GF68" s="61">
        <v>2699030</v>
      </c>
      <c r="GG68" s="61">
        <v>2585357</v>
      </c>
      <c r="GH68" s="61">
        <v>2370823</v>
      </c>
      <c r="GI68" s="61">
        <v>1149470</v>
      </c>
      <c r="GJ68" s="61">
        <v>3175369</v>
      </c>
      <c r="GK68" s="61"/>
      <c r="GL68" s="61">
        <f t="shared" ref="GL68:GL73" si="21">AVERAGE(N68:T68)</f>
        <v>2749807.2857142859</v>
      </c>
      <c r="GM68" s="61">
        <f t="shared" ref="GM68:GM73" si="22">AVERAGE(AD68:AJ68)</f>
        <v>2567059.7142857141</v>
      </c>
      <c r="GN68" s="61">
        <f t="shared" ref="GN68:GN73" si="23">AVERAGE(AT68:AZ68)</f>
        <v>2131733.8571428573</v>
      </c>
      <c r="GO68" s="61">
        <f t="shared" ref="GO68:GO73" si="24">AVERAGE(BJ68:BP68)</f>
        <v>1750369</v>
      </c>
      <c r="GP68" s="61">
        <f t="shared" ref="GP68:GP73" si="25">AVERAGE(BZ68:CF68)</f>
        <v>1543191.5714285714</v>
      </c>
      <c r="GQ68" s="61">
        <f t="shared" ref="GQ68:GQ73" si="26">AVERAGE(CP68:CV68)</f>
        <v>1318429.142857143</v>
      </c>
      <c r="GR68" s="61">
        <f>AVERAGE(DE68:DL68)</f>
        <v>1268875.25</v>
      </c>
      <c r="GS68" s="61">
        <f>AVERAGE(DU68:EB68)</f>
        <v>1170598.625</v>
      </c>
      <c r="GT68" s="61">
        <f t="shared" ref="GT68:GT73" si="27">AVERAGE(EK68:EQ68)</f>
        <v>1342541.2385714285</v>
      </c>
      <c r="GU68" s="61">
        <f t="shared" ref="GU68:GU73" si="28">AVERAGE(EZ68:FF68)</f>
        <v>1751887.857142857</v>
      </c>
      <c r="GV68" s="61">
        <f t="shared" ref="GV68:GV73" si="29">AVERAGE(FO68:FU68)</f>
        <v>2073901</v>
      </c>
      <c r="GW68" s="61">
        <f t="shared" ref="GW68:GW73" si="30">AVERAGE(GD68:GJ68)</f>
        <v>2830176.7142857141</v>
      </c>
      <c r="GX68" t="s">
        <v>846</v>
      </c>
      <c r="GY68" s="60" t="s">
        <v>305</v>
      </c>
    </row>
    <row r="69" spans="2:207">
      <c r="D69" s="60" t="s">
        <v>355</v>
      </c>
      <c r="E69" s="61">
        <v>0</v>
      </c>
      <c r="F69" s="61">
        <v>0</v>
      </c>
      <c r="G69" s="61">
        <v>0</v>
      </c>
      <c r="H69" s="61">
        <v>0</v>
      </c>
      <c r="I69" s="61">
        <v>0</v>
      </c>
      <c r="J69" s="61">
        <v>0</v>
      </c>
      <c r="K69" s="61">
        <v>0</v>
      </c>
      <c r="L69" s="61">
        <v>0</v>
      </c>
      <c r="M69" s="61"/>
      <c r="N69" s="61">
        <v>2903950</v>
      </c>
      <c r="O69" s="61">
        <v>2250566</v>
      </c>
      <c r="P69" s="61">
        <v>3374564</v>
      </c>
      <c r="Q69" s="61">
        <v>3111560</v>
      </c>
      <c r="R69" s="61">
        <v>4073034</v>
      </c>
      <c r="S69" s="61">
        <v>2295196.8333333335</v>
      </c>
      <c r="T69" s="61">
        <v>4243351</v>
      </c>
      <c r="U69" s="61">
        <v>0</v>
      </c>
      <c r="V69" s="61">
        <v>0</v>
      </c>
      <c r="W69" s="61">
        <v>0</v>
      </c>
      <c r="X69" s="61">
        <v>0</v>
      </c>
      <c r="Y69" s="61">
        <v>0</v>
      </c>
      <c r="Z69" s="61">
        <v>0</v>
      </c>
      <c r="AA69" s="61">
        <v>0</v>
      </c>
      <c r="AB69" s="61">
        <v>0</v>
      </c>
      <c r="AC69" s="61"/>
      <c r="AD69" s="61">
        <v>1888600</v>
      </c>
      <c r="AE69" s="61">
        <v>2635595</v>
      </c>
      <c r="AF69" s="61">
        <v>4555362</v>
      </c>
      <c r="AG69" s="61">
        <v>2784065</v>
      </c>
      <c r="AH69" s="61">
        <v>3862983</v>
      </c>
      <c r="AI69" s="61">
        <v>3152466</v>
      </c>
      <c r="AJ69" s="61">
        <v>3215143.1666666674</v>
      </c>
      <c r="AK69" s="61">
        <v>0</v>
      </c>
      <c r="AL69" s="61">
        <v>0</v>
      </c>
      <c r="AM69" s="61">
        <v>0</v>
      </c>
      <c r="AN69" s="61">
        <v>0</v>
      </c>
      <c r="AO69" s="61">
        <v>0</v>
      </c>
      <c r="AP69" s="61">
        <v>0</v>
      </c>
      <c r="AQ69" s="61">
        <v>0</v>
      </c>
      <c r="AR69" s="61">
        <v>0</v>
      </c>
      <c r="AS69" s="61"/>
      <c r="AT69" s="61">
        <v>2379440</v>
      </c>
      <c r="AU69" s="61">
        <v>2364046</v>
      </c>
      <c r="AV69" s="61">
        <v>2038712</v>
      </c>
      <c r="AW69" s="61">
        <v>2561528</v>
      </c>
      <c r="AX69" s="61">
        <v>3446666</v>
      </c>
      <c r="AY69" s="61">
        <v>2858258</v>
      </c>
      <c r="AZ69" s="61">
        <v>3793521.166666667</v>
      </c>
      <c r="BA69" s="61">
        <v>0</v>
      </c>
      <c r="BB69" s="61">
        <v>0</v>
      </c>
      <c r="BC69" s="61">
        <v>0</v>
      </c>
      <c r="BD69" s="61">
        <v>0</v>
      </c>
      <c r="BE69" s="61">
        <v>0</v>
      </c>
      <c r="BF69" s="61">
        <v>0</v>
      </c>
      <c r="BG69" s="61">
        <v>0</v>
      </c>
      <c r="BH69" s="61">
        <v>0</v>
      </c>
      <c r="BI69" s="61"/>
      <c r="BJ69" s="61">
        <v>3577718</v>
      </c>
      <c r="BK69" s="61">
        <v>2189165</v>
      </c>
      <c r="BL69" s="61">
        <v>1819614</v>
      </c>
      <c r="BM69" s="61">
        <v>2010181</v>
      </c>
      <c r="BN69" s="61">
        <v>1778931</v>
      </c>
      <c r="BO69" s="61">
        <v>2037303.6666666667</v>
      </c>
      <c r="BP69" s="61">
        <v>1847366</v>
      </c>
      <c r="BQ69" s="61">
        <v>0</v>
      </c>
      <c r="BR69" s="61">
        <v>0</v>
      </c>
      <c r="BS69" s="61">
        <v>0</v>
      </c>
      <c r="BT69" s="61">
        <v>0</v>
      </c>
      <c r="BU69" s="61">
        <v>0</v>
      </c>
      <c r="BV69" s="61">
        <v>0</v>
      </c>
      <c r="BW69" s="61">
        <v>0</v>
      </c>
      <c r="BX69" s="61">
        <v>0</v>
      </c>
      <c r="BY69" s="61"/>
      <c r="BZ69" s="61">
        <v>2314201</v>
      </c>
      <c r="CA69" s="61">
        <v>1752865</v>
      </c>
      <c r="CB69" s="61">
        <v>2386951</v>
      </c>
      <c r="CC69" s="61">
        <v>1959775</v>
      </c>
      <c r="CD69" s="61">
        <v>1589496.3333333333</v>
      </c>
      <c r="CE69" s="61">
        <v>2038314</v>
      </c>
      <c r="CF69" s="61">
        <v>1293834</v>
      </c>
      <c r="CG69" s="61">
        <v>0</v>
      </c>
      <c r="CH69" s="61">
        <v>0</v>
      </c>
      <c r="CI69" s="61">
        <v>0</v>
      </c>
      <c r="CJ69" s="61">
        <v>0</v>
      </c>
      <c r="CK69" s="61">
        <v>0</v>
      </c>
      <c r="CL69" s="61">
        <v>0</v>
      </c>
      <c r="CM69" s="61">
        <v>0</v>
      </c>
      <c r="CN69" s="61">
        <v>0</v>
      </c>
      <c r="CO69" s="61">
        <v>4142</v>
      </c>
      <c r="CP69" s="61">
        <v>2322602</v>
      </c>
      <c r="CQ69" s="61">
        <v>1440989</v>
      </c>
      <c r="CR69" s="61">
        <v>1484488</v>
      </c>
      <c r="CS69" s="61">
        <v>1352842</v>
      </c>
      <c r="CT69" s="61">
        <v>1221355</v>
      </c>
      <c r="CU69" s="61">
        <v>1727070.6666666667</v>
      </c>
      <c r="CV69" s="61">
        <v>1552270</v>
      </c>
      <c r="CW69" s="61">
        <v>0</v>
      </c>
      <c r="CX69" s="61">
        <v>0</v>
      </c>
      <c r="CY69" s="61">
        <v>0</v>
      </c>
      <c r="CZ69" s="61">
        <v>0</v>
      </c>
      <c r="DA69" s="61">
        <v>0</v>
      </c>
      <c r="DB69" s="61">
        <v>0</v>
      </c>
      <c r="DC69" s="61">
        <v>0</v>
      </c>
      <c r="DD69" s="61">
        <v>0</v>
      </c>
      <c r="DE69" s="61">
        <v>174740</v>
      </c>
      <c r="DF69" s="61">
        <v>1582814</v>
      </c>
      <c r="DG69" s="61">
        <v>1637714</v>
      </c>
      <c r="DH69" s="61">
        <v>1248914</v>
      </c>
      <c r="DI69" s="61">
        <v>1414304</v>
      </c>
      <c r="DJ69" s="61">
        <v>1078367</v>
      </c>
      <c r="DK69" s="61">
        <v>1824441</v>
      </c>
      <c r="DL69" s="61">
        <v>963011</v>
      </c>
      <c r="DM69" s="61">
        <v>0</v>
      </c>
      <c r="DN69" s="61">
        <v>0</v>
      </c>
      <c r="DO69" s="61">
        <v>0</v>
      </c>
      <c r="DP69" s="61">
        <v>0</v>
      </c>
      <c r="DQ69" s="61">
        <v>0</v>
      </c>
      <c r="DR69" s="61">
        <v>0</v>
      </c>
      <c r="DS69" s="61">
        <v>0</v>
      </c>
      <c r="DT69" s="61">
        <v>0</v>
      </c>
      <c r="DU69" s="61">
        <v>1481695</v>
      </c>
      <c r="DV69" s="61">
        <v>1848765</v>
      </c>
      <c r="DW69" s="61">
        <v>1078767</v>
      </c>
      <c r="DX69" s="61">
        <v>1368820</v>
      </c>
      <c r="DY69" s="61">
        <v>1325903</v>
      </c>
      <c r="DZ69" s="61">
        <v>1106650</v>
      </c>
      <c r="EA69" s="61">
        <v>1454780.8333333333</v>
      </c>
      <c r="EB69" s="61">
        <v>1080862.666666667</v>
      </c>
      <c r="EC69" s="61">
        <v>0</v>
      </c>
      <c r="ED69" s="61">
        <v>0</v>
      </c>
      <c r="EE69" s="61">
        <v>0</v>
      </c>
      <c r="EF69" s="61">
        <v>0</v>
      </c>
      <c r="EG69" s="61">
        <v>0</v>
      </c>
      <c r="EH69" s="61">
        <v>0</v>
      </c>
      <c r="EI69" s="61">
        <v>0</v>
      </c>
      <c r="EJ69" s="61">
        <v>0</v>
      </c>
      <c r="EK69" s="61">
        <v>1831810</v>
      </c>
      <c r="EL69" s="61">
        <v>1679623</v>
      </c>
      <c r="EM69" s="61">
        <v>1405860</v>
      </c>
      <c r="EN69" s="61">
        <v>1075378</v>
      </c>
      <c r="EO69" s="61">
        <v>2011074</v>
      </c>
      <c r="EP69" s="61">
        <v>835257</v>
      </c>
      <c r="EQ69" s="61">
        <v>1718244.8333333333</v>
      </c>
      <c r="ER69" s="61">
        <v>0</v>
      </c>
      <c r="ES69" s="61">
        <v>0</v>
      </c>
      <c r="ET69" s="61">
        <v>0</v>
      </c>
      <c r="EU69" s="61">
        <v>0</v>
      </c>
      <c r="EV69" s="61">
        <v>0</v>
      </c>
      <c r="EW69" s="61">
        <v>0</v>
      </c>
      <c r="EX69" s="61">
        <v>0</v>
      </c>
      <c r="EY69" s="61">
        <v>0</v>
      </c>
      <c r="EZ69" s="61">
        <v>1977790</v>
      </c>
      <c r="FA69" s="61">
        <v>1908103</v>
      </c>
      <c r="FB69" s="61">
        <v>2047907</v>
      </c>
      <c r="FC69" s="61">
        <v>1526199</v>
      </c>
      <c r="FD69" s="61">
        <v>1910989</v>
      </c>
      <c r="FE69" s="61">
        <v>1771134</v>
      </c>
      <c r="FF69" s="61">
        <v>1851047.1666666667</v>
      </c>
      <c r="FG69" s="61">
        <v>0</v>
      </c>
      <c r="FH69" s="168">
        <v>0</v>
      </c>
      <c r="FI69" s="168">
        <v>0</v>
      </c>
      <c r="FJ69" s="61">
        <v>0</v>
      </c>
      <c r="FK69" s="61">
        <v>0</v>
      </c>
      <c r="FL69" s="61">
        <v>0</v>
      </c>
      <c r="FM69" s="61">
        <v>0</v>
      </c>
      <c r="FN69" s="61">
        <v>0</v>
      </c>
      <c r="FO69" s="61">
        <v>1755435</v>
      </c>
      <c r="FP69" s="61">
        <v>2393741</v>
      </c>
      <c r="FQ69" s="61">
        <v>3186511</v>
      </c>
      <c r="FR69" s="61">
        <v>1854554</v>
      </c>
      <c r="FS69" s="61">
        <v>3126859</v>
      </c>
      <c r="FT69" s="61">
        <v>2890204.8333333335</v>
      </c>
      <c r="FU69" s="61">
        <v>2372375</v>
      </c>
      <c r="FV69" s="61">
        <v>0</v>
      </c>
      <c r="FW69" s="61">
        <v>0</v>
      </c>
      <c r="FX69" s="61">
        <v>0</v>
      </c>
      <c r="FY69" s="61">
        <v>0</v>
      </c>
      <c r="FZ69" s="61">
        <v>0</v>
      </c>
      <c r="GA69" s="61">
        <v>0</v>
      </c>
      <c r="GB69" s="61">
        <v>0</v>
      </c>
      <c r="GC69" s="61">
        <v>0</v>
      </c>
      <c r="GD69" s="61">
        <v>3934355</v>
      </c>
      <c r="GE69" s="61">
        <v>4585484</v>
      </c>
      <c r="GF69" s="61">
        <v>3289860</v>
      </c>
      <c r="GG69" s="61">
        <v>2398675</v>
      </c>
      <c r="GH69" s="61">
        <v>3693492</v>
      </c>
      <c r="GI69" s="61">
        <v>1807562</v>
      </c>
      <c r="GJ69" s="61">
        <v>3549260</v>
      </c>
      <c r="GK69" s="61"/>
      <c r="GL69" s="61">
        <f t="shared" si="21"/>
        <v>3178888.833333333</v>
      </c>
      <c r="GM69" s="61">
        <f t="shared" si="22"/>
        <v>3156316.3095238097</v>
      </c>
      <c r="GN69" s="61">
        <f t="shared" si="23"/>
        <v>2777453.0238095238</v>
      </c>
      <c r="GO69" s="61">
        <f t="shared" si="24"/>
        <v>2180039.8095238092</v>
      </c>
      <c r="GP69" s="61">
        <f t="shared" si="25"/>
        <v>1905062.3333333335</v>
      </c>
      <c r="GQ69" s="61">
        <f t="shared" si="26"/>
        <v>1585945.2380952381</v>
      </c>
      <c r="GR69" s="61">
        <f>AVERAGE(DE69:DL69)</f>
        <v>1240538.125</v>
      </c>
      <c r="GS69" s="61">
        <f>AVERAGE(DU69:EB69)</f>
        <v>1343280.4375</v>
      </c>
      <c r="GT69" s="61">
        <f t="shared" si="27"/>
        <v>1508178.1190476192</v>
      </c>
      <c r="GU69" s="61">
        <f t="shared" si="28"/>
        <v>1856167.0238095238</v>
      </c>
      <c r="GV69" s="61">
        <f t="shared" si="29"/>
        <v>2511382.8333333335</v>
      </c>
      <c r="GW69" s="61">
        <f t="shared" si="30"/>
        <v>3322669.7142857141</v>
      </c>
      <c r="GX69" t="s">
        <v>846</v>
      </c>
      <c r="GY69" s="60" t="s">
        <v>355</v>
      </c>
    </row>
    <row r="70" spans="2:207">
      <c r="D70" s="60" t="s">
        <v>357</v>
      </c>
      <c r="E70" s="61"/>
      <c r="F70" s="61"/>
      <c r="G70" s="61"/>
      <c r="H70" s="61"/>
      <c r="I70" s="61"/>
      <c r="J70" s="61"/>
      <c r="K70" s="61"/>
      <c r="L70" s="61"/>
      <c r="M70" s="61"/>
      <c r="N70" s="61">
        <v>2736518</v>
      </c>
      <c r="O70" s="61">
        <v>2196711</v>
      </c>
      <c r="P70" s="61">
        <v>3072574</v>
      </c>
      <c r="Q70" s="61">
        <v>3079223</v>
      </c>
      <c r="R70" s="61">
        <v>3324791</v>
      </c>
      <c r="S70" s="61">
        <v>2157057.1666666665</v>
      </c>
      <c r="T70" s="61">
        <v>4041451.6666666665</v>
      </c>
      <c r="U70" s="61"/>
      <c r="V70" s="61"/>
      <c r="W70" s="61"/>
      <c r="X70" s="61"/>
      <c r="Y70" s="61"/>
      <c r="Z70" s="61"/>
      <c r="AA70" s="61"/>
      <c r="AB70" s="61"/>
      <c r="AC70" s="61"/>
      <c r="AD70" s="61">
        <v>1674594</v>
      </c>
      <c r="AE70" s="61">
        <v>2451469</v>
      </c>
      <c r="AF70" s="61">
        <v>4305742</v>
      </c>
      <c r="AG70" s="61">
        <v>2434295</v>
      </c>
      <c r="AH70" s="61">
        <v>3219169</v>
      </c>
      <c r="AI70" s="61">
        <v>2900907.1669999999</v>
      </c>
      <c r="AJ70" s="61">
        <v>2994614</v>
      </c>
      <c r="AK70" s="61"/>
      <c r="AL70" s="61"/>
      <c r="AM70" s="61"/>
      <c r="AN70" s="61"/>
      <c r="AO70" s="61"/>
      <c r="AP70" s="61"/>
      <c r="AQ70" s="61"/>
      <c r="AR70" s="61"/>
      <c r="AS70" s="61"/>
      <c r="AT70" s="61">
        <v>2315729</v>
      </c>
      <c r="AU70" s="61">
        <v>2266069</v>
      </c>
      <c r="AV70" s="61">
        <v>1789955</v>
      </c>
      <c r="AW70" s="61">
        <v>2459206</v>
      </c>
      <c r="AX70" s="61">
        <v>2853053</v>
      </c>
      <c r="AY70" s="61">
        <v>2611484.3333333335</v>
      </c>
      <c r="AZ70" s="61">
        <v>3679668</v>
      </c>
      <c r="BA70" s="61"/>
      <c r="BB70" s="61"/>
      <c r="BC70" s="61"/>
      <c r="BD70" s="61"/>
      <c r="BE70" s="61"/>
      <c r="BF70" s="61"/>
      <c r="BG70" s="61"/>
      <c r="BH70" s="61"/>
      <c r="BI70" s="61"/>
      <c r="BJ70" s="61">
        <v>3452727</v>
      </c>
      <c r="BK70" s="61">
        <v>2017347</v>
      </c>
      <c r="BL70" s="61">
        <v>1614180</v>
      </c>
      <c r="BM70" s="61">
        <v>1733724</v>
      </c>
      <c r="BN70" s="61">
        <v>1603893</v>
      </c>
      <c r="BO70" s="61">
        <v>1840744</v>
      </c>
      <c r="BP70" s="61">
        <v>1720007</v>
      </c>
      <c r="BQ70" s="61"/>
      <c r="BR70" s="61"/>
      <c r="BS70" s="61"/>
      <c r="BT70" s="61"/>
      <c r="BU70" s="61"/>
      <c r="BV70" s="61"/>
      <c r="BW70" s="61"/>
      <c r="BX70" s="61"/>
      <c r="BY70" s="61"/>
      <c r="BZ70" s="61">
        <v>2130209</v>
      </c>
      <c r="CA70" s="61">
        <v>1719972</v>
      </c>
      <c r="CB70" s="61">
        <v>2160668</v>
      </c>
      <c r="CC70" s="61">
        <v>1907099</v>
      </c>
      <c r="CD70" s="61">
        <v>1374309.5</v>
      </c>
      <c r="CE70" s="61">
        <v>1991757.6666666667</v>
      </c>
      <c r="CF70" s="61">
        <v>1151163</v>
      </c>
      <c r="CG70" s="61"/>
      <c r="CH70" s="61"/>
      <c r="CI70" s="61"/>
      <c r="CJ70" s="61"/>
      <c r="CK70" s="61"/>
      <c r="CL70" s="61"/>
      <c r="CM70" s="61"/>
      <c r="CN70" s="61"/>
      <c r="CO70" s="61">
        <v>1010</v>
      </c>
      <c r="CP70" s="61">
        <v>2218682</v>
      </c>
      <c r="CQ70" s="61">
        <v>1343888</v>
      </c>
      <c r="CR70" s="61">
        <v>1373376</v>
      </c>
      <c r="CS70" s="61">
        <v>1103303</v>
      </c>
      <c r="CT70" s="61">
        <v>1105703</v>
      </c>
      <c r="CU70" s="61">
        <v>1584066</v>
      </c>
      <c r="CV70" s="61">
        <v>1517620</v>
      </c>
      <c r="CW70" s="61"/>
      <c r="CX70" s="61"/>
      <c r="CY70" s="61"/>
      <c r="CZ70" s="61"/>
      <c r="DA70" s="61"/>
      <c r="DB70" s="61"/>
      <c r="DC70" s="61"/>
      <c r="DD70" s="61"/>
      <c r="DE70" s="61">
        <v>165035</v>
      </c>
      <c r="DF70" s="61">
        <v>1467639</v>
      </c>
      <c r="DG70" s="61">
        <v>1420178</v>
      </c>
      <c r="DH70" s="61">
        <v>1115010</v>
      </c>
      <c r="DI70" s="61">
        <v>1541130</v>
      </c>
      <c r="DJ70" s="61">
        <v>984936</v>
      </c>
      <c r="DK70" s="61">
        <v>1711716</v>
      </c>
      <c r="DL70" s="61">
        <v>798352</v>
      </c>
      <c r="DM70" s="61"/>
      <c r="DN70" s="61"/>
      <c r="DO70" s="61"/>
      <c r="DP70" s="61"/>
      <c r="DQ70" s="61"/>
      <c r="DR70" s="61"/>
      <c r="DS70" s="61"/>
      <c r="DT70" s="61"/>
      <c r="DU70" s="61">
        <v>1365921</v>
      </c>
      <c r="DV70" s="61">
        <v>1798848</v>
      </c>
      <c r="DW70" s="61">
        <v>983722</v>
      </c>
      <c r="DX70" s="61">
        <v>1323255</v>
      </c>
      <c r="DY70" s="61">
        <v>1138060</v>
      </c>
      <c r="DZ70" s="61">
        <v>906824</v>
      </c>
      <c r="EA70" s="61">
        <v>1239233.8333333333</v>
      </c>
      <c r="EB70" s="61">
        <v>944406.66666666663</v>
      </c>
      <c r="EC70" s="61"/>
      <c r="ED70" s="61"/>
      <c r="EE70" s="61"/>
      <c r="EF70" s="61"/>
      <c r="EG70" s="61"/>
      <c r="EH70" s="61"/>
      <c r="EI70" s="61"/>
      <c r="EJ70" s="61"/>
      <c r="EK70" s="61">
        <v>1735792</v>
      </c>
      <c r="EL70" s="61">
        <v>1621053</v>
      </c>
      <c r="EM70" s="61">
        <v>1380482</v>
      </c>
      <c r="EN70" s="61">
        <v>949212</v>
      </c>
      <c r="EO70" s="61">
        <v>1785016</v>
      </c>
      <c r="EP70" s="61">
        <v>761646</v>
      </c>
      <c r="EQ70" s="61">
        <v>1605674</v>
      </c>
      <c r="ER70" s="61"/>
      <c r="ES70" s="61"/>
      <c r="ET70" s="61"/>
      <c r="EU70" s="61"/>
      <c r="EV70" s="61"/>
      <c r="EW70" s="61"/>
      <c r="EX70" s="61"/>
      <c r="EY70" s="61"/>
      <c r="EZ70" s="61">
        <v>1902003</v>
      </c>
      <c r="FA70" s="61">
        <v>1915728</v>
      </c>
      <c r="FB70" s="61">
        <v>2034113</v>
      </c>
      <c r="FC70" s="61">
        <v>1370908</v>
      </c>
      <c r="FD70" s="61">
        <v>1733178</v>
      </c>
      <c r="FE70" s="61">
        <v>1823487</v>
      </c>
      <c r="FF70" s="61">
        <v>1694966</v>
      </c>
      <c r="FG70" s="61"/>
      <c r="FH70" s="168"/>
      <c r="FI70" s="168"/>
      <c r="FJ70" s="61"/>
      <c r="FK70" s="61"/>
      <c r="FL70" s="61"/>
      <c r="FM70" s="61"/>
      <c r="FN70" s="61"/>
      <c r="FO70" s="61">
        <v>1741383</v>
      </c>
      <c r="FP70" s="61">
        <v>2407865</v>
      </c>
      <c r="FQ70" s="61">
        <v>3115467</v>
      </c>
      <c r="FR70" s="61">
        <v>1664249</v>
      </c>
      <c r="FS70" s="61">
        <v>2497367</v>
      </c>
      <c r="FT70" s="61">
        <v>2763251.6666666665</v>
      </c>
      <c r="FU70" s="61">
        <v>2083105</v>
      </c>
      <c r="FV70" s="61"/>
      <c r="FW70" s="61"/>
      <c r="FX70" s="61"/>
      <c r="FY70" s="61"/>
      <c r="FZ70" s="61"/>
      <c r="GA70" s="61"/>
      <c r="GB70" s="61"/>
      <c r="GC70" s="61"/>
      <c r="GD70" s="61">
        <v>3818197</v>
      </c>
      <c r="GE70" s="61">
        <v>4443716</v>
      </c>
      <c r="GF70" s="61">
        <v>2817401</v>
      </c>
      <c r="GG70" s="61">
        <v>2221535</v>
      </c>
      <c r="GH70" s="61">
        <v>2288828</v>
      </c>
      <c r="GI70" s="61">
        <v>1741720</v>
      </c>
      <c r="GJ70" s="61">
        <v>3210558.6666666665</v>
      </c>
      <c r="GK70" s="61"/>
      <c r="GL70" s="61">
        <f t="shared" si="21"/>
        <v>2944046.5476190476</v>
      </c>
      <c r="GM70" s="61">
        <f t="shared" si="22"/>
        <v>2854398.5952857141</v>
      </c>
      <c r="GN70" s="61">
        <f t="shared" si="23"/>
        <v>2567880.6190476194</v>
      </c>
      <c r="GO70" s="61">
        <f t="shared" si="24"/>
        <v>1997517.4285714286</v>
      </c>
      <c r="GP70" s="61">
        <f t="shared" si="25"/>
        <v>1776454.0238095238</v>
      </c>
      <c r="GQ70" s="61">
        <f t="shared" si="26"/>
        <v>1463805.4285714286</v>
      </c>
      <c r="GR70" s="61">
        <f>AVERAGE(DE70:DL70)</f>
        <v>1150499.5</v>
      </c>
      <c r="GS70" s="61">
        <f>AVERAGE(DU70:EB70)</f>
        <v>1212533.8125</v>
      </c>
      <c r="GT70" s="61">
        <f t="shared" si="27"/>
        <v>1405553.5714285714</v>
      </c>
      <c r="GU70" s="61">
        <f t="shared" si="28"/>
        <v>1782054.7142857143</v>
      </c>
      <c r="GV70" s="61">
        <f t="shared" si="29"/>
        <v>2324669.6666666665</v>
      </c>
      <c r="GW70" s="61">
        <f t="shared" si="30"/>
        <v>2934565.0952380956</v>
      </c>
      <c r="GX70" t="s">
        <v>846</v>
      </c>
      <c r="GY70" s="60" t="s">
        <v>357</v>
      </c>
    </row>
    <row r="71" spans="2:207">
      <c r="D71" s="60" t="s">
        <v>356</v>
      </c>
      <c r="E71" s="61"/>
      <c r="F71" s="61"/>
      <c r="G71" s="61"/>
      <c r="H71" s="61"/>
      <c r="I71" s="61"/>
      <c r="J71" s="61"/>
      <c r="K71" s="61"/>
      <c r="L71" s="61"/>
      <c r="M71" s="61"/>
      <c r="N71" s="61">
        <v>2687100</v>
      </c>
      <c r="O71" s="61">
        <v>2336399</v>
      </c>
      <c r="P71" s="61">
        <v>3188878</v>
      </c>
      <c r="Q71" s="61">
        <v>3125101</v>
      </c>
      <c r="R71" s="61">
        <v>3787388</v>
      </c>
      <c r="S71" s="61">
        <v>2106197.3333333335</v>
      </c>
      <c r="T71" s="61">
        <v>4237411</v>
      </c>
      <c r="U71" s="61"/>
      <c r="V71" s="61"/>
      <c r="W71" s="61"/>
      <c r="X71" s="61"/>
      <c r="Y71" s="61"/>
      <c r="Z71" s="61"/>
      <c r="AA71" s="61"/>
      <c r="AB71" s="61"/>
      <c r="AC71" s="61"/>
      <c r="AD71" s="61">
        <v>1531281</v>
      </c>
      <c r="AE71" s="61">
        <v>2411808</v>
      </c>
      <c r="AF71" s="61">
        <v>4627617</v>
      </c>
      <c r="AG71" s="61">
        <v>2684182</v>
      </c>
      <c r="AH71" s="61">
        <v>3449550</v>
      </c>
      <c r="AI71" s="61">
        <v>2961192.3330000001</v>
      </c>
      <c r="AJ71" s="61">
        <v>2076893.833333333</v>
      </c>
      <c r="AK71" s="61"/>
      <c r="AL71" s="61"/>
      <c r="AM71" s="61"/>
      <c r="AN71" s="61"/>
      <c r="AO71" s="61"/>
      <c r="AP71" s="61"/>
      <c r="AQ71" s="61"/>
      <c r="AR71" s="61"/>
      <c r="AS71" s="61"/>
      <c r="AT71" s="61">
        <v>2140982</v>
      </c>
      <c r="AU71" s="61">
        <v>2422180</v>
      </c>
      <c r="AV71" s="61">
        <v>1964115</v>
      </c>
      <c r="AW71" s="61">
        <v>2424284</v>
      </c>
      <c r="AX71" s="61">
        <v>3000382</v>
      </c>
      <c r="AY71" s="61">
        <v>2618841.6666666665</v>
      </c>
      <c r="AZ71" s="61">
        <v>3788580.5000000005</v>
      </c>
      <c r="BA71" s="61"/>
      <c r="BB71" s="61"/>
      <c r="BC71" s="61"/>
      <c r="BD71" s="61"/>
      <c r="BE71" s="61"/>
      <c r="BF71" s="61"/>
      <c r="BG71" s="61"/>
      <c r="BH71" s="61"/>
      <c r="BI71" s="61"/>
      <c r="BJ71" s="61">
        <v>3414600</v>
      </c>
      <c r="BK71" s="61">
        <v>2140963</v>
      </c>
      <c r="BL71" s="61">
        <v>1765800</v>
      </c>
      <c r="BM71" s="61">
        <v>2052659</v>
      </c>
      <c r="BN71" s="61">
        <v>1758349</v>
      </c>
      <c r="BO71" s="61">
        <v>1786109.1666666667</v>
      </c>
      <c r="BP71" s="61">
        <v>1364110.9999999998</v>
      </c>
      <c r="BQ71" s="61"/>
      <c r="BR71" s="61"/>
      <c r="BS71" s="61"/>
      <c r="BT71" s="61"/>
      <c r="BU71" s="61"/>
      <c r="BV71" s="61"/>
      <c r="BW71" s="61"/>
      <c r="BX71" s="61"/>
      <c r="BY71" s="61"/>
      <c r="BZ71" s="61">
        <v>1381736</v>
      </c>
      <c r="CA71" s="61">
        <v>1688356</v>
      </c>
      <c r="CB71" s="61">
        <v>2298998</v>
      </c>
      <c r="CC71" s="61">
        <v>1949050</v>
      </c>
      <c r="CD71" s="61">
        <v>1614464.3333333333</v>
      </c>
      <c r="CE71" s="61">
        <v>1918601.1666666667</v>
      </c>
      <c r="CF71" s="61">
        <v>1081382</v>
      </c>
      <c r="CG71" s="61"/>
      <c r="CH71" s="61"/>
      <c r="CI71" s="61"/>
      <c r="CJ71" s="61"/>
      <c r="CK71" s="61"/>
      <c r="CL71" s="61"/>
      <c r="CM71" s="61"/>
      <c r="CN71" s="61"/>
      <c r="CO71" s="61">
        <v>1735</v>
      </c>
      <c r="CP71" s="61">
        <v>1805883</v>
      </c>
      <c r="CQ71" s="61">
        <v>1277841</v>
      </c>
      <c r="CR71" s="61">
        <v>1375599</v>
      </c>
      <c r="CS71" s="61">
        <v>1206644</v>
      </c>
      <c r="CT71" s="61">
        <v>1170829</v>
      </c>
      <c r="CU71" s="61">
        <v>1551332.3333333333</v>
      </c>
      <c r="CV71" s="61">
        <v>1417877</v>
      </c>
      <c r="CW71" s="61"/>
      <c r="CX71" s="61"/>
      <c r="CY71" s="61"/>
      <c r="CZ71" s="61"/>
      <c r="DA71" s="61"/>
      <c r="DB71" s="61"/>
      <c r="DC71" s="61"/>
      <c r="DD71" s="61"/>
      <c r="DE71" s="61">
        <v>179258</v>
      </c>
      <c r="DF71" s="61">
        <v>1418703</v>
      </c>
      <c r="DG71" s="61">
        <v>1436856</v>
      </c>
      <c r="DH71" s="61">
        <v>1137459</v>
      </c>
      <c r="DI71" s="61">
        <v>1558740</v>
      </c>
      <c r="DJ71" s="61">
        <v>1028306</v>
      </c>
      <c r="DK71" s="61">
        <v>1682949</v>
      </c>
      <c r="DL71" s="61">
        <v>741653.83333333326</v>
      </c>
      <c r="DM71" s="61"/>
      <c r="DN71" s="61"/>
      <c r="DO71" s="61"/>
      <c r="DP71" s="61"/>
      <c r="DQ71" s="61"/>
      <c r="DR71" s="61"/>
      <c r="DS71" s="61"/>
      <c r="DT71" s="61"/>
      <c r="DU71" s="61">
        <v>1373715</v>
      </c>
      <c r="DV71" s="61">
        <v>1778470</v>
      </c>
      <c r="DW71" s="61">
        <v>981797</v>
      </c>
      <c r="DX71" s="61">
        <v>1333149</v>
      </c>
      <c r="DY71" s="61">
        <v>1207704</v>
      </c>
      <c r="DZ71" s="61">
        <v>1032797</v>
      </c>
      <c r="EA71" s="61">
        <v>1253219.1666666667</v>
      </c>
      <c r="EB71" s="61">
        <v>882458</v>
      </c>
      <c r="EC71" s="61"/>
      <c r="ED71" s="61"/>
      <c r="EE71" s="61"/>
      <c r="EF71" s="61"/>
      <c r="EG71" s="61"/>
      <c r="EH71" s="61"/>
      <c r="EI71" s="61"/>
      <c r="EJ71" s="61"/>
      <c r="EK71" s="61">
        <v>1689788</v>
      </c>
      <c r="EL71" s="61">
        <v>1579499</v>
      </c>
      <c r="EM71" s="61">
        <v>1369935</v>
      </c>
      <c r="EN71" s="61">
        <v>1019957</v>
      </c>
      <c r="EO71" s="61">
        <v>2003642</v>
      </c>
      <c r="EP71" s="61">
        <v>805909</v>
      </c>
      <c r="EQ71" s="61">
        <v>1583571.6666666667</v>
      </c>
      <c r="ER71" s="61"/>
      <c r="ES71" s="61"/>
      <c r="ET71" s="61"/>
      <c r="EU71" s="61"/>
      <c r="EV71" s="61"/>
      <c r="EW71" s="61"/>
      <c r="EX71" s="61"/>
      <c r="EY71" s="61"/>
      <c r="EZ71" s="61">
        <v>1902640</v>
      </c>
      <c r="FA71" s="61">
        <v>1904680</v>
      </c>
      <c r="FB71" s="61">
        <v>2225076</v>
      </c>
      <c r="FC71" s="61">
        <v>1547968</v>
      </c>
      <c r="FD71" s="61">
        <v>1976620</v>
      </c>
      <c r="FE71" s="61">
        <v>1607056</v>
      </c>
      <c r="FF71" s="61">
        <v>1722607.6666666667</v>
      </c>
      <c r="FG71" s="61"/>
      <c r="FH71" s="168"/>
      <c r="FI71" s="168"/>
      <c r="FJ71" s="61"/>
      <c r="FK71" s="61"/>
      <c r="FL71" s="61"/>
      <c r="FM71" s="61"/>
      <c r="FN71" s="61"/>
      <c r="FO71" s="61">
        <v>1838508</v>
      </c>
      <c r="FP71" s="61">
        <v>2513205</v>
      </c>
      <c r="FQ71" s="61">
        <v>3093692</v>
      </c>
      <c r="FR71" s="61">
        <v>1941144</v>
      </c>
      <c r="FS71" s="61">
        <v>2882798</v>
      </c>
      <c r="FT71" s="61">
        <v>2779668.3333333335</v>
      </c>
      <c r="FU71" s="61">
        <v>2117603</v>
      </c>
      <c r="FV71" s="61"/>
      <c r="FW71" s="61"/>
      <c r="FX71" s="61"/>
      <c r="FY71" s="61"/>
      <c r="FZ71" s="61"/>
      <c r="GA71" s="61"/>
      <c r="GB71" s="61"/>
      <c r="GC71" s="61"/>
      <c r="GD71" s="61">
        <v>3807681</v>
      </c>
      <c r="GE71" s="61">
        <v>4579759</v>
      </c>
      <c r="GF71" s="61">
        <v>3151281</v>
      </c>
      <c r="GG71" s="61">
        <v>2289898</v>
      </c>
      <c r="GH71" s="61">
        <v>3469405</v>
      </c>
      <c r="GI71" s="61">
        <v>1837132</v>
      </c>
      <c r="GJ71" s="61">
        <v>3410078</v>
      </c>
      <c r="GK71" s="61"/>
      <c r="GL71" s="61">
        <f t="shared" si="21"/>
        <v>3066924.9047619044</v>
      </c>
      <c r="GM71" s="61">
        <f t="shared" si="22"/>
        <v>2820360.5951904762</v>
      </c>
      <c r="GN71" s="61">
        <f t="shared" si="23"/>
        <v>2622766.4523809524</v>
      </c>
      <c r="GO71" s="61">
        <f t="shared" si="24"/>
        <v>2040370.1666666665</v>
      </c>
      <c r="GP71" s="61">
        <f t="shared" si="25"/>
        <v>1704655.357142857</v>
      </c>
      <c r="GQ71" s="61">
        <f t="shared" si="26"/>
        <v>1400857.9047619046</v>
      </c>
      <c r="GR71" s="61">
        <f>AVERAGE(DE71:DL71)</f>
        <v>1147990.6041666667</v>
      </c>
      <c r="GS71" s="61">
        <f>AVERAGE(DU71:EB71)</f>
        <v>1230413.6458333333</v>
      </c>
      <c r="GT71" s="61">
        <f t="shared" si="27"/>
        <v>1436043.0952380951</v>
      </c>
      <c r="GU71" s="61">
        <f t="shared" si="28"/>
        <v>1840949.6666666665</v>
      </c>
      <c r="GV71" s="61">
        <f t="shared" si="29"/>
        <v>2452374.047619048</v>
      </c>
      <c r="GW71" s="61">
        <f t="shared" si="30"/>
        <v>3220747.7142857141</v>
      </c>
      <c r="GX71" t="s">
        <v>846</v>
      </c>
      <c r="GY71" s="60" t="s">
        <v>356</v>
      </c>
    </row>
    <row r="72" spans="2:207">
      <c r="C72" t="s">
        <v>801</v>
      </c>
      <c r="D72" s="60" t="s">
        <v>353</v>
      </c>
      <c r="E72" s="61">
        <v>0</v>
      </c>
      <c r="F72" s="61">
        <v>0</v>
      </c>
      <c r="G72" s="61">
        <v>0</v>
      </c>
      <c r="H72" s="61">
        <v>0</v>
      </c>
      <c r="I72" s="61">
        <v>0</v>
      </c>
      <c r="J72" s="61">
        <v>0</v>
      </c>
      <c r="K72" s="61">
        <v>0</v>
      </c>
      <c r="L72" s="61">
        <v>0</v>
      </c>
      <c r="M72" s="61">
        <v>0</v>
      </c>
      <c r="N72" s="61">
        <v>3450026</v>
      </c>
      <c r="O72" s="61">
        <v>2413100</v>
      </c>
      <c r="P72" s="61">
        <v>2392975</v>
      </c>
      <c r="Q72" s="61">
        <v>1622272</v>
      </c>
      <c r="R72" s="61">
        <v>2250000</v>
      </c>
      <c r="S72" s="61">
        <v>1573088.3333333333</v>
      </c>
      <c r="T72" s="61">
        <v>3626173.333333333</v>
      </c>
      <c r="U72" s="61">
        <v>0</v>
      </c>
      <c r="V72" s="61">
        <v>0</v>
      </c>
      <c r="W72" s="61">
        <v>0</v>
      </c>
      <c r="X72" s="61">
        <v>0</v>
      </c>
      <c r="Y72" s="61">
        <v>0</v>
      </c>
      <c r="Z72" s="61">
        <v>0</v>
      </c>
      <c r="AA72" s="61">
        <v>0</v>
      </c>
      <c r="AB72" s="61">
        <v>0</v>
      </c>
      <c r="AC72" s="61">
        <v>0</v>
      </c>
      <c r="AD72" s="61">
        <v>2975778</v>
      </c>
      <c r="AE72" s="61">
        <v>2673236</v>
      </c>
      <c r="AF72" s="61">
        <v>2896458</v>
      </c>
      <c r="AG72" s="61">
        <v>1394163</v>
      </c>
      <c r="AH72" s="61">
        <v>2310678</v>
      </c>
      <c r="AI72" s="61">
        <v>2888101.3333333335</v>
      </c>
      <c r="AJ72" s="61">
        <v>1557069.6666666667</v>
      </c>
      <c r="AK72" s="61">
        <v>0</v>
      </c>
      <c r="AL72" s="61">
        <v>0</v>
      </c>
      <c r="AM72" s="61">
        <v>0</v>
      </c>
      <c r="AN72" s="61">
        <v>0</v>
      </c>
      <c r="AO72" s="61">
        <v>0</v>
      </c>
      <c r="AP72" s="61">
        <v>0</v>
      </c>
      <c r="AQ72" s="61">
        <v>0</v>
      </c>
      <c r="AR72" s="61">
        <v>0</v>
      </c>
      <c r="AS72" s="61">
        <v>0</v>
      </c>
      <c r="AT72" s="61">
        <v>2844164</v>
      </c>
      <c r="AU72" s="61">
        <v>2614479</v>
      </c>
      <c r="AV72" s="61">
        <v>3157263</v>
      </c>
      <c r="AW72" s="61">
        <v>2271702</v>
      </c>
      <c r="AX72" s="61">
        <v>2671047.0000000005</v>
      </c>
      <c r="AY72" s="61">
        <v>2131241.5</v>
      </c>
      <c r="AZ72" s="61">
        <v>3125595.666666667</v>
      </c>
      <c r="BA72" s="61">
        <v>0</v>
      </c>
      <c r="BB72" s="61">
        <v>0</v>
      </c>
      <c r="BC72" s="61">
        <v>0</v>
      </c>
      <c r="BD72" s="61">
        <v>0</v>
      </c>
      <c r="BE72" s="61">
        <v>0</v>
      </c>
      <c r="BF72" s="61">
        <v>0</v>
      </c>
      <c r="BG72" s="61">
        <v>0</v>
      </c>
      <c r="BH72" s="61">
        <v>0</v>
      </c>
      <c r="BI72" s="61">
        <v>0</v>
      </c>
      <c r="BJ72" s="61">
        <v>3201589</v>
      </c>
      <c r="BK72" s="61">
        <v>1831183</v>
      </c>
      <c r="BL72" s="61">
        <v>2589188</v>
      </c>
      <c r="BM72" s="61">
        <v>2037058</v>
      </c>
      <c r="BN72" s="61">
        <v>3481545</v>
      </c>
      <c r="BO72" s="61">
        <v>2887211.6666666665</v>
      </c>
      <c r="BP72" s="61">
        <v>2763882</v>
      </c>
      <c r="BQ72" s="61">
        <v>0</v>
      </c>
      <c r="BR72" s="61">
        <v>0</v>
      </c>
      <c r="BS72" s="61">
        <v>0</v>
      </c>
      <c r="BT72" s="61">
        <v>0</v>
      </c>
      <c r="BU72" s="61">
        <v>0</v>
      </c>
      <c r="BV72" s="61">
        <v>0</v>
      </c>
      <c r="BW72" s="61">
        <v>0</v>
      </c>
      <c r="BX72" s="61">
        <v>0</v>
      </c>
      <c r="BY72" s="61">
        <v>0</v>
      </c>
      <c r="BZ72" s="61">
        <v>2522359</v>
      </c>
      <c r="CA72" s="61">
        <v>2824000</v>
      </c>
      <c r="CB72" s="61">
        <v>3886000</v>
      </c>
      <c r="CC72" s="61">
        <v>2894369</v>
      </c>
      <c r="CD72" s="61">
        <v>3799038.0000000005</v>
      </c>
      <c r="CE72" s="61">
        <v>2310322</v>
      </c>
      <c r="CF72" s="61">
        <v>2114269</v>
      </c>
      <c r="CG72" s="61">
        <v>0</v>
      </c>
      <c r="CH72" s="61">
        <v>0</v>
      </c>
      <c r="CI72" s="61">
        <v>0</v>
      </c>
      <c r="CJ72" s="61">
        <v>0</v>
      </c>
      <c r="CK72" s="61">
        <v>0</v>
      </c>
      <c r="CL72" s="61">
        <v>0</v>
      </c>
      <c r="CM72" s="61">
        <v>0</v>
      </c>
      <c r="CN72" s="61">
        <v>0</v>
      </c>
      <c r="CO72" s="61">
        <v>0</v>
      </c>
      <c r="CP72" s="61">
        <v>2161009</v>
      </c>
      <c r="CQ72" s="61">
        <v>3444934</v>
      </c>
      <c r="CR72" s="61">
        <v>2039951</v>
      </c>
      <c r="CS72" s="61">
        <v>1837629</v>
      </c>
      <c r="CT72" s="61">
        <v>1541820.5000000002</v>
      </c>
      <c r="CU72" s="61">
        <v>1366835.5</v>
      </c>
      <c r="CV72" s="61">
        <v>1788382</v>
      </c>
      <c r="CW72" s="61">
        <v>0</v>
      </c>
      <c r="CX72" s="61">
        <v>0</v>
      </c>
      <c r="CY72" s="61">
        <v>0</v>
      </c>
      <c r="CZ72" s="61">
        <v>0</v>
      </c>
      <c r="DA72" s="61">
        <v>0</v>
      </c>
      <c r="DB72" s="61">
        <v>0</v>
      </c>
      <c r="DC72" s="61">
        <v>0</v>
      </c>
      <c r="DD72" s="61">
        <v>0</v>
      </c>
      <c r="DE72" s="61">
        <v>0</v>
      </c>
      <c r="DF72" s="61">
        <v>1636645</v>
      </c>
      <c r="DG72" s="61">
        <v>1428803</v>
      </c>
      <c r="DH72" s="61">
        <v>2736605</v>
      </c>
      <c r="DI72" s="61">
        <v>2048947.9999999998</v>
      </c>
      <c r="DJ72" s="61">
        <v>1797108</v>
      </c>
      <c r="DK72" s="61">
        <v>2537860</v>
      </c>
      <c r="DL72" s="61">
        <v>1033421.6666666666</v>
      </c>
      <c r="DM72" s="61">
        <v>0</v>
      </c>
      <c r="DN72" s="61">
        <v>0</v>
      </c>
      <c r="DO72" s="61">
        <v>0</v>
      </c>
      <c r="DP72" s="61">
        <v>0</v>
      </c>
      <c r="DQ72" s="61">
        <v>0</v>
      </c>
      <c r="DR72" s="61">
        <v>0</v>
      </c>
      <c r="DS72" s="61">
        <v>0</v>
      </c>
      <c r="DT72" s="61">
        <v>0</v>
      </c>
      <c r="DU72" s="61">
        <v>1011324</v>
      </c>
      <c r="DV72" s="61">
        <v>1487781</v>
      </c>
      <c r="DW72" s="61">
        <v>1806043</v>
      </c>
      <c r="DX72" s="61">
        <v>1384248</v>
      </c>
      <c r="DY72" s="61">
        <v>1913081</v>
      </c>
      <c r="DZ72" s="61">
        <v>1625936</v>
      </c>
      <c r="EA72" s="61">
        <v>1818517.3333333333</v>
      </c>
      <c r="EB72" s="61">
        <v>1451209.8333333333</v>
      </c>
      <c r="EC72" s="61">
        <v>0</v>
      </c>
      <c r="ED72" s="61">
        <v>0</v>
      </c>
      <c r="EE72" s="61">
        <v>0</v>
      </c>
      <c r="EF72" s="61">
        <v>0</v>
      </c>
      <c r="EG72" s="61">
        <v>0</v>
      </c>
      <c r="EH72" s="61">
        <v>0</v>
      </c>
      <c r="EI72" s="61">
        <v>0</v>
      </c>
      <c r="EJ72" s="61">
        <v>0</v>
      </c>
      <c r="EK72" s="61">
        <v>1587851</v>
      </c>
      <c r="EL72" s="61">
        <v>2895964</v>
      </c>
      <c r="EM72" s="61">
        <v>2261027</v>
      </c>
      <c r="EN72" s="61">
        <v>2030215</v>
      </c>
      <c r="EO72" s="61">
        <v>2213509</v>
      </c>
      <c r="EP72" s="61">
        <v>1706324.0000000002</v>
      </c>
      <c r="EQ72" s="61">
        <v>1668020.6666666667</v>
      </c>
      <c r="ER72" s="61">
        <v>0</v>
      </c>
      <c r="ES72" s="61">
        <v>0</v>
      </c>
      <c r="ET72" s="61">
        <v>0</v>
      </c>
      <c r="EU72" s="61">
        <v>0</v>
      </c>
      <c r="EV72" s="61">
        <v>0</v>
      </c>
      <c r="EW72" s="61">
        <v>0</v>
      </c>
      <c r="EX72" s="61">
        <v>0</v>
      </c>
      <c r="EY72" s="61">
        <v>0</v>
      </c>
      <c r="EZ72" s="61">
        <v>2917003</v>
      </c>
      <c r="FA72" s="61">
        <v>2885067</v>
      </c>
      <c r="FB72" s="61">
        <v>3435743</v>
      </c>
      <c r="FC72" s="61">
        <v>2339630</v>
      </c>
      <c r="FD72" s="61">
        <v>2499364</v>
      </c>
      <c r="FE72" s="61">
        <v>2591863</v>
      </c>
      <c r="FF72" s="61">
        <v>2980185.3333333335</v>
      </c>
      <c r="FG72" s="61">
        <v>0</v>
      </c>
      <c r="FH72" s="168">
        <v>0</v>
      </c>
      <c r="FI72" s="168">
        <v>0</v>
      </c>
      <c r="FJ72" s="61">
        <v>0</v>
      </c>
      <c r="FK72" s="61">
        <v>0</v>
      </c>
      <c r="FL72" s="61">
        <v>0</v>
      </c>
      <c r="FM72" s="61">
        <v>0</v>
      </c>
      <c r="FN72" s="61">
        <v>0</v>
      </c>
      <c r="FO72" s="61">
        <v>2519817</v>
      </c>
      <c r="FP72" s="61">
        <v>2457608</v>
      </c>
      <c r="FQ72" s="61">
        <v>2090208.9999999998</v>
      </c>
      <c r="FR72" s="61">
        <v>2273208</v>
      </c>
      <c r="FS72" s="61">
        <v>2261523</v>
      </c>
      <c r="FT72" s="61">
        <v>1776821.9999999998</v>
      </c>
      <c r="FU72" s="61">
        <v>2968459</v>
      </c>
      <c r="FV72" s="61">
        <v>0</v>
      </c>
      <c r="FW72" s="61">
        <v>0</v>
      </c>
      <c r="FX72" s="61">
        <v>0</v>
      </c>
      <c r="FY72" s="61">
        <v>0</v>
      </c>
      <c r="FZ72" s="61">
        <v>0</v>
      </c>
      <c r="GA72" s="61">
        <v>0</v>
      </c>
      <c r="GB72" s="61">
        <v>0</v>
      </c>
      <c r="GC72" s="61">
        <v>0</v>
      </c>
      <c r="GD72" s="61">
        <v>3958025</v>
      </c>
      <c r="GE72" s="61">
        <v>3483304</v>
      </c>
      <c r="GF72" s="61">
        <v>2665970</v>
      </c>
      <c r="GG72" s="61">
        <v>1828519</v>
      </c>
      <c r="GH72" s="61">
        <v>2383806</v>
      </c>
      <c r="GI72" s="61">
        <v>2169994.333333333</v>
      </c>
      <c r="GJ72" s="61">
        <v>2590103.3333333335</v>
      </c>
      <c r="GK72" s="61"/>
      <c r="GL72" s="61">
        <f t="shared" si="21"/>
        <v>2475376.3809523811</v>
      </c>
      <c r="GM72" s="61">
        <f t="shared" si="22"/>
        <v>2385069.1428571427</v>
      </c>
      <c r="GN72" s="61">
        <f t="shared" si="23"/>
        <v>2687927.4523809524</v>
      </c>
      <c r="GO72" s="61">
        <f t="shared" si="24"/>
        <v>2684522.3809523806</v>
      </c>
      <c r="GP72" s="61">
        <f t="shared" si="25"/>
        <v>2907193.8571428573</v>
      </c>
      <c r="GQ72" s="61">
        <f t="shared" si="26"/>
        <v>2025794.4285714286</v>
      </c>
      <c r="GR72" s="61">
        <f>AVERAGE(DE72:DL72)</f>
        <v>1652423.8333333333</v>
      </c>
      <c r="GS72" s="61">
        <f>AVERAGE(DU72:EB72)</f>
        <v>1562267.5208333335</v>
      </c>
      <c r="GT72" s="61">
        <f t="shared" si="27"/>
        <v>2051844.3809523808</v>
      </c>
      <c r="GU72" s="61">
        <f t="shared" si="28"/>
        <v>2806979.333333333</v>
      </c>
      <c r="GV72" s="61">
        <f t="shared" si="29"/>
        <v>2335378</v>
      </c>
      <c r="GW72" s="61">
        <f t="shared" si="30"/>
        <v>2725674.5238095233</v>
      </c>
      <c r="GX72" t="s">
        <v>846</v>
      </c>
      <c r="GY72" s="60" t="s">
        <v>353</v>
      </c>
    </row>
    <row r="73" spans="2:207">
      <c r="D73" s="60" t="s">
        <v>354</v>
      </c>
      <c r="E73" s="61"/>
      <c r="F73" s="61"/>
      <c r="G73" s="61"/>
      <c r="H73" s="61"/>
      <c r="I73" s="61"/>
      <c r="J73" s="61"/>
      <c r="K73" s="61"/>
      <c r="L73" s="61"/>
      <c r="M73" s="61"/>
      <c r="N73" s="61">
        <v>1798184</v>
      </c>
      <c r="O73" s="61">
        <v>1246114</v>
      </c>
      <c r="P73" s="61">
        <v>1126889</v>
      </c>
      <c r="Q73" s="61">
        <v>1112717</v>
      </c>
      <c r="R73" s="61">
        <v>1084000</v>
      </c>
      <c r="S73" s="61">
        <v>737718</v>
      </c>
      <c r="T73" s="61">
        <v>1859873.1666666665</v>
      </c>
      <c r="U73" s="61"/>
      <c r="V73" s="61"/>
      <c r="W73" s="61"/>
      <c r="X73" s="61"/>
      <c r="Y73" s="61"/>
      <c r="Z73" s="61"/>
      <c r="AA73" s="61"/>
      <c r="AB73" s="61"/>
      <c r="AC73" s="61"/>
      <c r="AD73" s="61">
        <v>1601475</v>
      </c>
      <c r="AE73" s="61">
        <v>1448508</v>
      </c>
      <c r="AF73" s="61">
        <v>1348000</v>
      </c>
      <c r="AG73" s="61">
        <v>850789</v>
      </c>
      <c r="AH73" s="61">
        <v>1058732</v>
      </c>
      <c r="AI73" s="61">
        <v>1309583.8333333333</v>
      </c>
      <c r="AJ73" s="61">
        <v>756524.00000000012</v>
      </c>
      <c r="AK73" s="61"/>
      <c r="AL73" s="61"/>
      <c r="AM73" s="61"/>
      <c r="AN73" s="61"/>
      <c r="AO73" s="61"/>
      <c r="AP73" s="61"/>
      <c r="AQ73" s="61"/>
      <c r="AR73" s="61"/>
      <c r="AS73" s="61"/>
      <c r="AT73" s="61">
        <v>1416524</v>
      </c>
      <c r="AU73" s="61">
        <v>1319025</v>
      </c>
      <c r="AV73" s="61">
        <v>1563648.0000000002</v>
      </c>
      <c r="AW73" s="61">
        <v>1503740</v>
      </c>
      <c r="AX73" s="61">
        <v>1378348</v>
      </c>
      <c r="AY73" s="61">
        <v>1094985.8333333333</v>
      </c>
      <c r="AZ73" s="61">
        <v>1560002.8333333335</v>
      </c>
      <c r="BA73" s="61"/>
      <c r="BB73" s="61"/>
      <c r="BC73" s="61"/>
      <c r="BD73" s="61"/>
      <c r="BE73" s="61"/>
      <c r="BF73" s="61"/>
      <c r="BG73" s="61"/>
      <c r="BH73" s="61"/>
      <c r="BI73" s="61"/>
      <c r="BJ73" s="61">
        <v>1639080</v>
      </c>
      <c r="BK73" s="61">
        <v>917111</v>
      </c>
      <c r="BL73" s="61">
        <v>1286909</v>
      </c>
      <c r="BM73" s="61">
        <v>1351006</v>
      </c>
      <c r="BN73" s="61">
        <v>1688817</v>
      </c>
      <c r="BO73" s="61">
        <v>1530916.8333333333</v>
      </c>
      <c r="BP73" s="61">
        <v>1386422</v>
      </c>
      <c r="BQ73" s="61"/>
      <c r="BR73" s="61"/>
      <c r="BS73" s="61"/>
      <c r="BT73" s="61"/>
      <c r="BU73" s="61"/>
      <c r="BV73" s="61"/>
      <c r="BW73" s="61"/>
      <c r="BX73" s="61"/>
      <c r="BY73" s="61"/>
      <c r="BZ73" s="61">
        <v>1313627</v>
      </c>
      <c r="CA73" s="61">
        <v>1493972</v>
      </c>
      <c r="CB73" s="61">
        <v>1982073</v>
      </c>
      <c r="CC73" s="61">
        <v>1713027</v>
      </c>
      <c r="CD73" s="61">
        <v>1804284.9999999995</v>
      </c>
      <c r="CE73" s="61">
        <v>1182278.1666666667</v>
      </c>
      <c r="CF73" s="61">
        <v>1113058</v>
      </c>
      <c r="CG73" s="61"/>
      <c r="CH73" s="61"/>
      <c r="CI73" s="61"/>
      <c r="CJ73" s="61"/>
      <c r="CK73" s="61"/>
      <c r="CL73" s="61"/>
      <c r="CM73" s="61"/>
      <c r="CN73" s="61"/>
      <c r="CO73" s="61"/>
      <c r="CP73" s="61">
        <v>1041839</v>
      </c>
      <c r="CQ73" s="61">
        <v>1732695</v>
      </c>
      <c r="CR73" s="61">
        <v>906341</v>
      </c>
      <c r="CS73" s="61">
        <v>944273</v>
      </c>
      <c r="CT73" s="61">
        <v>814275.50000000023</v>
      </c>
      <c r="CU73" s="61">
        <v>649589.66666666663</v>
      </c>
      <c r="CV73" s="61">
        <v>1006288</v>
      </c>
      <c r="CW73" s="61"/>
      <c r="CX73" s="61"/>
      <c r="CY73" s="61"/>
      <c r="CZ73" s="61"/>
      <c r="DA73" s="61"/>
      <c r="DB73" s="61"/>
      <c r="DC73" s="61"/>
      <c r="DD73" s="61"/>
      <c r="DE73" s="61"/>
      <c r="DF73" s="61">
        <v>800862</v>
      </c>
      <c r="DG73" s="61">
        <v>668020</v>
      </c>
      <c r="DH73" s="61">
        <v>1497974</v>
      </c>
      <c r="DI73" s="61">
        <v>974700</v>
      </c>
      <c r="DJ73" s="61">
        <v>962780.99999999988</v>
      </c>
      <c r="DK73" s="61">
        <v>1175669</v>
      </c>
      <c r="DL73" s="61">
        <v>573673.16666666663</v>
      </c>
      <c r="DM73" s="61"/>
      <c r="DN73" s="61"/>
      <c r="DO73" s="61"/>
      <c r="DP73" s="61"/>
      <c r="DQ73" s="61"/>
      <c r="DR73" s="61"/>
      <c r="DS73" s="61"/>
      <c r="DT73" s="61"/>
      <c r="DU73" s="61">
        <v>11053</v>
      </c>
      <c r="DV73" s="61">
        <v>714298</v>
      </c>
      <c r="DW73" s="61">
        <v>1010179</v>
      </c>
      <c r="DX73" s="61">
        <v>667096</v>
      </c>
      <c r="DY73" s="61">
        <v>888916</v>
      </c>
      <c r="DZ73" s="61">
        <v>892617.99999999988</v>
      </c>
      <c r="EA73" s="61">
        <v>888215.83333333337</v>
      </c>
      <c r="EB73" s="61">
        <v>672940.83333333349</v>
      </c>
      <c r="EC73" s="61"/>
      <c r="ED73" s="61"/>
      <c r="EE73" s="61"/>
      <c r="EF73" s="61"/>
      <c r="EG73" s="61"/>
      <c r="EH73" s="61"/>
      <c r="EI73" s="61"/>
      <c r="EJ73" s="61"/>
      <c r="EK73" s="61">
        <v>720692</v>
      </c>
      <c r="EL73" s="61">
        <v>1430537</v>
      </c>
      <c r="EM73" s="61">
        <v>1141334</v>
      </c>
      <c r="EN73" s="61">
        <v>1035733.9999999999</v>
      </c>
      <c r="EO73" s="61">
        <v>1055523</v>
      </c>
      <c r="EP73" s="61">
        <v>850624.00000000012</v>
      </c>
      <c r="EQ73" s="61">
        <v>856791.83333333337</v>
      </c>
      <c r="ER73" s="61"/>
      <c r="ES73" s="61"/>
      <c r="ET73" s="61"/>
      <c r="EU73" s="61"/>
      <c r="EV73" s="61"/>
      <c r="EW73" s="61"/>
      <c r="EX73" s="61"/>
      <c r="EY73" s="61"/>
      <c r="EZ73" s="61">
        <v>1381076</v>
      </c>
      <c r="FA73" s="61">
        <v>1443132</v>
      </c>
      <c r="FB73" s="61">
        <v>1643334</v>
      </c>
      <c r="FC73" s="61">
        <v>1108325</v>
      </c>
      <c r="FD73" s="61">
        <v>1061525</v>
      </c>
      <c r="FE73" s="61">
        <v>1259187.0000000002</v>
      </c>
      <c r="FF73" s="61">
        <v>1508799.6666666667</v>
      </c>
      <c r="FG73" s="61"/>
      <c r="FH73" s="168"/>
      <c r="FI73" s="168"/>
      <c r="FJ73" s="61"/>
      <c r="FK73" s="61"/>
      <c r="FL73" s="61"/>
      <c r="FM73" s="61"/>
      <c r="FN73" s="61"/>
      <c r="FO73" s="61">
        <v>1165141</v>
      </c>
      <c r="FP73" s="61">
        <v>1182632</v>
      </c>
      <c r="FQ73" s="61">
        <v>1083085</v>
      </c>
      <c r="FR73" s="61">
        <v>1192760</v>
      </c>
      <c r="FS73" s="61">
        <v>1334514</v>
      </c>
      <c r="FT73" s="61">
        <v>903010</v>
      </c>
      <c r="FU73" s="61">
        <v>1428154</v>
      </c>
      <c r="FV73" s="61"/>
      <c r="FW73" s="61"/>
      <c r="FX73" s="61"/>
      <c r="FY73" s="61"/>
      <c r="FZ73" s="61"/>
      <c r="GA73" s="61"/>
      <c r="GB73" s="61"/>
      <c r="GC73" s="61"/>
      <c r="GD73" s="61">
        <v>1989335</v>
      </c>
      <c r="GE73" s="61">
        <v>1803352</v>
      </c>
      <c r="GF73" s="61">
        <v>1305288</v>
      </c>
      <c r="GG73" s="61">
        <v>1268873</v>
      </c>
      <c r="GH73" s="61">
        <v>1089264</v>
      </c>
      <c r="GI73" s="61">
        <v>1032124.8333333333</v>
      </c>
      <c r="GJ73" s="61">
        <v>1288713.1666666667</v>
      </c>
      <c r="GK73" s="61"/>
      <c r="GL73" s="61">
        <f t="shared" si="21"/>
        <v>1280785.0238095238</v>
      </c>
      <c r="GM73" s="61">
        <f t="shared" si="22"/>
        <v>1196230.2619047619</v>
      </c>
      <c r="GN73" s="61">
        <f t="shared" si="23"/>
        <v>1405181.9523809522</v>
      </c>
      <c r="GO73" s="61">
        <f t="shared" si="24"/>
        <v>1400037.4047619049</v>
      </c>
      <c r="GP73" s="61">
        <f t="shared" si="25"/>
        <v>1514617.1666666665</v>
      </c>
      <c r="GQ73" s="61">
        <f t="shared" si="26"/>
        <v>1013614.4523809524</v>
      </c>
      <c r="GR73" s="61">
        <f>AVERAGE(DF73:DL73)</f>
        <v>950525.59523809527</v>
      </c>
      <c r="GS73" s="61">
        <f>AVERAGE(DV73:EB73)</f>
        <v>819180.52380952367</v>
      </c>
      <c r="GT73" s="61">
        <f t="shared" si="27"/>
        <v>1013033.6904761904</v>
      </c>
      <c r="GU73" s="61">
        <f t="shared" si="28"/>
        <v>1343625.5238095238</v>
      </c>
      <c r="GV73" s="61">
        <f t="shared" si="29"/>
        <v>1184185.142857143</v>
      </c>
      <c r="GW73" s="61">
        <f t="shared" si="30"/>
        <v>1396707.142857143</v>
      </c>
      <c r="GX73" t="s">
        <v>846</v>
      </c>
      <c r="GY73" s="60" t="s">
        <v>354</v>
      </c>
    </row>
    <row r="74" spans="2:207">
      <c r="B74" t="s">
        <v>2607</v>
      </c>
      <c r="E74" s="61">
        <v>0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1">
        <v>0</v>
      </c>
      <c r="L74" s="61">
        <v>0</v>
      </c>
      <c r="M74" s="61">
        <v>0</v>
      </c>
      <c r="N74" s="61">
        <v>16421697</v>
      </c>
      <c r="O74" s="61">
        <v>11943251</v>
      </c>
      <c r="P74" s="61">
        <v>16192105</v>
      </c>
      <c r="Q74" s="61">
        <v>14983873</v>
      </c>
      <c r="R74" s="61">
        <v>17849213</v>
      </c>
      <c r="S74" s="61">
        <v>10924127.666666668</v>
      </c>
      <c r="T74" s="61">
        <v>21556536.166666668</v>
      </c>
      <c r="U74" s="61">
        <v>0</v>
      </c>
      <c r="V74" s="61">
        <v>0</v>
      </c>
      <c r="W74" s="61">
        <v>0</v>
      </c>
      <c r="X74" s="61">
        <v>0</v>
      </c>
      <c r="Y74" s="61">
        <v>0</v>
      </c>
      <c r="Z74" s="61">
        <v>0</v>
      </c>
      <c r="AA74" s="61">
        <v>0</v>
      </c>
      <c r="AB74" s="61">
        <v>0</v>
      </c>
      <c r="AC74" s="61">
        <v>0</v>
      </c>
      <c r="AD74" s="61">
        <v>11447393</v>
      </c>
      <c r="AE74" s="61">
        <v>13600666</v>
      </c>
      <c r="AF74" s="61">
        <v>21320147</v>
      </c>
      <c r="AG74" s="61">
        <v>12551494</v>
      </c>
      <c r="AH74" s="61">
        <v>17471788</v>
      </c>
      <c r="AI74" s="61">
        <v>15684960.666666668</v>
      </c>
      <c r="AJ74" s="61">
        <v>12779593.666666666</v>
      </c>
      <c r="AK74" s="61">
        <v>0</v>
      </c>
      <c r="AL74" s="61">
        <v>0</v>
      </c>
      <c r="AM74" s="61">
        <v>0</v>
      </c>
      <c r="AN74" s="61">
        <v>0</v>
      </c>
      <c r="AO74" s="61">
        <v>0</v>
      </c>
      <c r="AP74" s="61">
        <v>0</v>
      </c>
      <c r="AQ74" s="61">
        <v>0</v>
      </c>
      <c r="AR74" s="61">
        <v>0</v>
      </c>
      <c r="AS74" s="61">
        <v>0</v>
      </c>
      <c r="AT74" s="61">
        <v>12651568</v>
      </c>
      <c r="AU74" s="61">
        <v>12930247</v>
      </c>
      <c r="AV74" s="61">
        <v>12090512</v>
      </c>
      <c r="AW74" s="61">
        <v>13327460</v>
      </c>
      <c r="AX74" s="61">
        <v>16071409</v>
      </c>
      <c r="AY74" s="61">
        <v>13912981.333333334</v>
      </c>
      <c r="AZ74" s="61">
        <v>18366426.166666668</v>
      </c>
      <c r="BA74" s="61">
        <v>0</v>
      </c>
      <c r="BB74" s="61">
        <v>0</v>
      </c>
      <c r="BC74" s="61">
        <v>0</v>
      </c>
      <c r="BD74" s="61">
        <v>0</v>
      </c>
      <c r="BE74" s="61">
        <v>0</v>
      </c>
      <c r="BF74" s="61">
        <v>0</v>
      </c>
      <c r="BG74" s="61">
        <v>0</v>
      </c>
      <c r="BH74" s="61">
        <v>0</v>
      </c>
      <c r="BI74" s="61">
        <v>0</v>
      </c>
      <c r="BJ74" s="61">
        <v>17891512</v>
      </c>
      <c r="BK74" s="61">
        <v>11371205</v>
      </c>
      <c r="BL74" s="61">
        <v>10164850</v>
      </c>
      <c r="BM74" s="61">
        <v>10929628</v>
      </c>
      <c r="BN74" s="61">
        <v>12003144</v>
      </c>
      <c r="BO74" s="61">
        <v>11072525.333333334</v>
      </c>
      <c r="BP74" s="61">
        <v>10937129</v>
      </c>
      <c r="BQ74" s="61">
        <v>0</v>
      </c>
      <c r="BR74" s="61">
        <v>0</v>
      </c>
      <c r="BS74" s="61">
        <v>0</v>
      </c>
      <c r="BT74" s="61">
        <v>0</v>
      </c>
      <c r="BU74" s="61">
        <v>0</v>
      </c>
      <c r="BV74" s="61">
        <v>0</v>
      </c>
      <c r="BW74" s="61">
        <v>0</v>
      </c>
      <c r="BX74" s="61">
        <v>0</v>
      </c>
      <c r="BY74" s="61">
        <v>0</v>
      </c>
      <c r="BZ74" s="61">
        <v>11236222</v>
      </c>
      <c r="CA74" s="61">
        <v>10919628</v>
      </c>
      <c r="CB74" s="61">
        <v>14946989</v>
      </c>
      <c r="CC74" s="61">
        <v>12075634</v>
      </c>
      <c r="CD74" s="61">
        <v>11738618.166666666</v>
      </c>
      <c r="CE74" s="61">
        <v>10719104</v>
      </c>
      <c r="CF74" s="61">
        <v>7822025</v>
      </c>
      <c r="CG74" s="61">
        <v>0</v>
      </c>
      <c r="CH74" s="61">
        <v>0</v>
      </c>
      <c r="CI74" s="61">
        <v>0</v>
      </c>
      <c r="CJ74" s="61">
        <v>0</v>
      </c>
      <c r="CK74" s="61">
        <v>0</v>
      </c>
      <c r="CL74" s="61">
        <v>0</v>
      </c>
      <c r="CM74" s="61">
        <v>0</v>
      </c>
      <c r="CN74" s="61">
        <v>0</v>
      </c>
      <c r="CO74" s="61">
        <v>6887</v>
      </c>
      <c r="CP74" s="61">
        <v>11185611</v>
      </c>
      <c r="CQ74" s="61">
        <v>10817918</v>
      </c>
      <c r="CR74" s="61">
        <v>8530467</v>
      </c>
      <c r="CS74" s="61">
        <v>7881691</v>
      </c>
      <c r="CT74" s="61">
        <v>6824653</v>
      </c>
      <c r="CU74" s="61">
        <v>8194344.166666667</v>
      </c>
      <c r="CV74" s="61">
        <v>8224442</v>
      </c>
      <c r="CW74" s="61">
        <v>0</v>
      </c>
      <c r="CX74" s="61">
        <v>0</v>
      </c>
      <c r="CY74" s="61">
        <v>0</v>
      </c>
      <c r="CZ74" s="61">
        <v>0</v>
      </c>
      <c r="DA74" s="61">
        <v>0</v>
      </c>
      <c r="DB74" s="61">
        <v>0</v>
      </c>
      <c r="DC74" s="61">
        <v>0</v>
      </c>
      <c r="DD74" s="61">
        <v>0</v>
      </c>
      <c r="DE74" s="61">
        <v>1556526</v>
      </c>
      <c r="DF74" s="61">
        <v>8410852</v>
      </c>
      <c r="DG74" s="61">
        <v>8147725</v>
      </c>
      <c r="DH74" s="61">
        <v>8903407</v>
      </c>
      <c r="DI74" s="61">
        <v>9179822</v>
      </c>
      <c r="DJ74" s="61">
        <v>6723378</v>
      </c>
      <c r="DK74" s="61">
        <v>10470811</v>
      </c>
      <c r="DL74" s="61">
        <v>4943776.666666667</v>
      </c>
      <c r="DM74" s="61">
        <v>0</v>
      </c>
      <c r="DN74" s="61">
        <v>0</v>
      </c>
      <c r="DO74" s="61">
        <v>0</v>
      </c>
      <c r="DP74" s="61">
        <v>0</v>
      </c>
      <c r="DQ74" s="61">
        <v>0</v>
      </c>
      <c r="DR74" s="61">
        <v>0</v>
      </c>
      <c r="DS74" s="61">
        <v>0</v>
      </c>
      <c r="DT74" s="61">
        <v>0</v>
      </c>
      <c r="DU74" s="61">
        <v>6483172</v>
      </c>
      <c r="DV74" s="61">
        <v>9241749</v>
      </c>
      <c r="DW74" s="61">
        <v>6758162</v>
      </c>
      <c r="DX74" s="61">
        <v>7333441</v>
      </c>
      <c r="DY74" s="61">
        <v>7812392</v>
      </c>
      <c r="DZ74" s="61">
        <v>6503785</v>
      </c>
      <c r="EA74" s="61">
        <v>7694191.9999999991</v>
      </c>
      <c r="EB74" s="61">
        <v>6071176</v>
      </c>
      <c r="EC74" s="61">
        <v>0</v>
      </c>
      <c r="ED74" s="61">
        <v>0</v>
      </c>
      <c r="EE74" s="61">
        <v>0</v>
      </c>
      <c r="EF74" s="61">
        <v>0</v>
      </c>
      <c r="EG74" s="61">
        <v>0</v>
      </c>
      <c r="EH74" s="61">
        <v>0</v>
      </c>
      <c r="EI74" s="61">
        <v>0</v>
      </c>
      <c r="EJ74" s="61">
        <v>0</v>
      </c>
      <c r="EK74" s="61">
        <v>8863793</v>
      </c>
      <c r="EL74" s="61">
        <v>10258269</v>
      </c>
      <c r="EM74" s="61">
        <v>9009247</v>
      </c>
      <c r="EN74" s="61">
        <v>7082882</v>
      </c>
      <c r="EO74" s="61">
        <v>11332443</v>
      </c>
      <c r="EP74" s="61">
        <v>5782390</v>
      </c>
      <c r="EQ74" s="61">
        <v>8971334.6699999999</v>
      </c>
      <c r="ER74" s="61">
        <v>0</v>
      </c>
      <c r="ES74" s="61">
        <v>0</v>
      </c>
      <c r="ET74" s="61">
        <v>0</v>
      </c>
      <c r="EU74" s="61">
        <v>0</v>
      </c>
      <c r="EV74" s="61">
        <v>0</v>
      </c>
      <c r="EW74" s="61">
        <v>0</v>
      </c>
      <c r="EX74" s="61">
        <v>0</v>
      </c>
      <c r="EY74" s="61">
        <v>0</v>
      </c>
      <c r="EZ74" s="61">
        <v>11738662</v>
      </c>
      <c r="FA74" s="61">
        <v>12433644</v>
      </c>
      <c r="FB74" s="61">
        <v>13570931</v>
      </c>
      <c r="FC74" s="61">
        <v>9264642</v>
      </c>
      <c r="FD74" s="61">
        <v>10528585</v>
      </c>
      <c r="FE74" s="61">
        <v>10625907</v>
      </c>
      <c r="FF74" s="61">
        <v>11509277.833333334</v>
      </c>
      <c r="FG74" s="61">
        <v>0</v>
      </c>
      <c r="FH74" s="168">
        <v>0</v>
      </c>
      <c r="FI74" s="168">
        <v>0</v>
      </c>
      <c r="FJ74" s="61">
        <v>0</v>
      </c>
      <c r="FK74" s="61">
        <v>0</v>
      </c>
      <c r="FL74" s="61">
        <v>0</v>
      </c>
      <c r="FM74" s="61">
        <v>0</v>
      </c>
      <c r="FN74" s="61">
        <v>0</v>
      </c>
      <c r="FO74" s="61">
        <v>9970541</v>
      </c>
      <c r="FP74" s="61">
        <v>12739945</v>
      </c>
      <c r="FQ74" s="61">
        <v>15218867</v>
      </c>
      <c r="FR74" s="61">
        <v>10550331</v>
      </c>
      <c r="FS74" s="61">
        <v>15142341</v>
      </c>
      <c r="FT74" s="61">
        <v>13469496.833333334</v>
      </c>
      <c r="FU74" s="61">
        <v>13081713</v>
      </c>
      <c r="FV74" s="61">
        <v>0</v>
      </c>
      <c r="FW74" s="61">
        <v>0</v>
      </c>
      <c r="FX74" s="61">
        <v>0</v>
      </c>
      <c r="FY74" s="61">
        <v>0</v>
      </c>
      <c r="FZ74" s="61">
        <v>0</v>
      </c>
      <c r="GA74" s="61">
        <v>0</v>
      </c>
      <c r="GB74" s="61">
        <v>0</v>
      </c>
      <c r="GC74" s="61">
        <v>0</v>
      </c>
      <c r="GD74" s="61">
        <v>21315600</v>
      </c>
      <c r="GE74" s="61">
        <v>22918796</v>
      </c>
      <c r="GF74" s="61">
        <v>15928830</v>
      </c>
      <c r="GG74" s="61">
        <v>12592857</v>
      </c>
      <c r="GH74" s="61">
        <v>15295618</v>
      </c>
      <c r="GI74" s="61">
        <v>9738003.166666666</v>
      </c>
      <c r="GJ74" s="61">
        <v>17224082.166666668</v>
      </c>
      <c r="GK74" s="61"/>
    </row>
    <row r="75" spans="2:207">
      <c r="B75" t="s">
        <v>802</v>
      </c>
      <c r="C75" t="s">
        <v>791</v>
      </c>
      <c r="D75" s="60" t="s">
        <v>351</v>
      </c>
      <c r="E75" s="61"/>
      <c r="F75" s="61"/>
      <c r="G75" s="61"/>
      <c r="H75" s="61"/>
      <c r="I75" s="61"/>
      <c r="J75" s="61"/>
      <c r="K75" s="61"/>
      <c r="L75" s="61"/>
      <c r="M75" s="61">
        <v>0</v>
      </c>
      <c r="N75" s="61"/>
      <c r="O75" s="61">
        <v>0</v>
      </c>
      <c r="P75" s="61">
        <v>915451</v>
      </c>
      <c r="Q75" s="61">
        <v>771650</v>
      </c>
      <c r="R75" s="61">
        <v>926000</v>
      </c>
      <c r="S75" s="61">
        <v>610099</v>
      </c>
      <c r="T75" s="61">
        <v>1047089.6666666667</v>
      </c>
      <c r="U75" s="61"/>
      <c r="V75" s="61"/>
      <c r="W75" s="61"/>
      <c r="X75" s="61"/>
      <c r="Y75" s="61"/>
      <c r="Z75" s="61"/>
      <c r="AA75" s="61"/>
      <c r="AB75" s="61"/>
      <c r="AC75" s="61">
        <v>0</v>
      </c>
      <c r="AD75" s="61"/>
      <c r="AE75" s="61">
        <v>0</v>
      </c>
      <c r="AF75" s="61">
        <v>1030386</v>
      </c>
      <c r="AG75" s="61">
        <v>704582</v>
      </c>
      <c r="AH75" s="61">
        <v>977038</v>
      </c>
      <c r="AI75" s="61">
        <v>606149.16666666663</v>
      </c>
      <c r="AJ75" s="61">
        <v>661684.66666666651</v>
      </c>
      <c r="AK75" s="61"/>
      <c r="AL75" s="61"/>
      <c r="AM75" s="61"/>
      <c r="AN75" s="61"/>
      <c r="AO75" s="61"/>
      <c r="AP75" s="61"/>
      <c r="AQ75" s="61"/>
      <c r="AR75" s="61"/>
      <c r="AS75" s="61">
        <v>0</v>
      </c>
      <c r="AT75" s="61"/>
      <c r="AU75" s="61">
        <v>0</v>
      </c>
      <c r="AV75" s="61">
        <v>429884</v>
      </c>
      <c r="AW75" s="61">
        <v>642417</v>
      </c>
      <c r="AX75" s="61">
        <v>805800.99999999988</v>
      </c>
      <c r="AY75" s="61">
        <v>724752.16666666651</v>
      </c>
      <c r="AZ75" s="61">
        <v>672982.83333333337</v>
      </c>
      <c r="BA75" s="61"/>
      <c r="BB75" s="61"/>
      <c r="BC75" s="61"/>
      <c r="BD75" s="61"/>
      <c r="BE75" s="61"/>
      <c r="BF75" s="61"/>
      <c r="BG75" s="61"/>
      <c r="BH75" s="61"/>
      <c r="BI75" s="61">
        <v>0</v>
      </c>
      <c r="BJ75" s="61"/>
      <c r="BK75" s="61">
        <v>72975</v>
      </c>
      <c r="BL75" s="61">
        <v>358354</v>
      </c>
      <c r="BM75" s="61">
        <v>543965</v>
      </c>
      <c r="BN75" s="61">
        <v>385844.00000000006</v>
      </c>
      <c r="BO75" s="61">
        <v>357810.33333333349</v>
      </c>
      <c r="BP75" s="61">
        <v>555412</v>
      </c>
      <c r="BQ75" s="61"/>
      <c r="BR75" s="61"/>
      <c r="BS75" s="61"/>
      <c r="BT75" s="61"/>
      <c r="BU75" s="61"/>
      <c r="BV75" s="61"/>
      <c r="BW75" s="61"/>
      <c r="BX75" s="61"/>
      <c r="BY75" s="61">
        <v>0</v>
      </c>
      <c r="BZ75" s="61"/>
      <c r="CA75" s="61">
        <v>193000</v>
      </c>
      <c r="CB75" s="61">
        <v>661690</v>
      </c>
      <c r="CC75" s="61">
        <v>451950</v>
      </c>
      <c r="CD75" s="61">
        <v>409950</v>
      </c>
      <c r="CE75" s="61">
        <v>387988.16666666669</v>
      </c>
      <c r="CF75" s="61">
        <v>398095</v>
      </c>
      <c r="CG75" s="61"/>
      <c r="CH75" s="61"/>
      <c r="CI75" s="61"/>
      <c r="CJ75" s="61"/>
      <c r="CK75" s="61"/>
      <c r="CL75" s="61"/>
      <c r="CM75" s="61"/>
      <c r="CN75" s="61"/>
      <c r="CO75" s="61">
        <v>0</v>
      </c>
      <c r="CP75" s="61"/>
      <c r="CQ75" s="61">
        <v>261807.00000000003</v>
      </c>
      <c r="CR75" s="61">
        <v>437887</v>
      </c>
      <c r="CS75" s="61">
        <v>351767</v>
      </c>
      <c r="CT75" s="61">
        <v>214754.66669999997</v>
      </c>
      <c r="CU75" s="61">
        <v>379576</v>
      </c>
      <c r="CV75" s="61">
        <v>327665</v>
      </c>
      <c r="CW75" s="61"/>
      <c r="CX75" s="61"/>
      <c r="CY75" s="61"/>
      <c r="CZ75" s="61"/>
      <c r="DA75" s="61"/>
      <c r="DB75" s="61"/>
      <c r="DC75" s="61"/>
      <c r="DD75" s="61"/>
      <c r="DE75" s="61">
        <v>0</v>
      </c>
      <c r="DF75" s="61"/>
      <c r="DG75" s="61">
        <v>402092</v>
      </c>
      <c r="DH75" s="61">
        <v>347729</v>
      </c>
      <c r="DI75" s="61">
        <v>455320</v>
      </c>
      <c r="DJ75" s="61">
        <v>179503</v>
      </c>
      <c r="DK75" s="61">
        <v>348566</v>
      </c>
      <c r="DL75" s="61">
        <v>212921.83333333328</v>
      </c>
      <c r="DM75" s="61"/>
      <c r="DN75" s="61"/>
      <c r="DO75" s="61"/>
      <c r="DP75" s="61"/>
      <c r="DQ75" s="61"/>
      <c r="DR75" s="61"/>
      <c r="DS75" s="61"/>
      <c r="DT75" s="61"/>
      <c r="DU75" s="61">
        <v>0</v>
      </c>
      <c r="DV75" s="61"/>
      <c r="DW75" s="61">
        <v>283068</v>
      </c>
      <c r="DX75" s="61">
        <v>274407</v>
      </c>
      <c r="DY75" s="61">
        <v>412107</v>
      </c>
      <c r="DZ75" s="61">
        <v>247390</v>
      </c>
      <c r="EA75" s="61">
        <v>261991</v>
      </c>
      <c r="EB75" s="61">
        <v>325703</v>
      </c>
      <c r="EC75" s="61"/>
      <c r="ED75" s="61"/>
      <c r="EE75" s="61"/>
      <c r="EF75" s="61"/>
      <c r="EG75" s="61"/>
      <c r="EH75" s="61"/>
      <c r="EI75" s="61"/>
      <c r="EJ75" s="61"/>
      <c r="EK75" s="61">
        <v>0</v>
      </c>
      <c r="EL75" s="61"/>
      <c r="EM75" s="61">
        <v>289851</v>
      </c>
      <c r="EN75" s="61">
        <v>333603</v>
      </c>
      <c r="EO75" s="61">
        <v>670673</v>
      </c>
      <c r="EP75" s="61">
        <v>250192</v>
      </c>
      <c r="EQ75" s="61">
        <v>393462.16666666663</v>
      </c>
      <c r="ER75" s="61"/>
      <c r="ES75" s="61"/>
      <c r="ET75" s="61"/>
      <c r="EU75" s="61"/>
      <c r="EV75" s="61"/>
      <c r="EW75" s="61"/>
      <c r="EX75" s="61"/>
      <c r="EY75" s="61"/>
      <c r="EZ75" s="61">
        <v>0</v>
      </c>
      <c r="FA75" s="61"/>
      <c r="FB75" s="61">
        <v>822705</v>
      </c>
      <c r="FC75" s="61">
        <v>429176</v>
      </c>
      <c r="FD75" s="61">
        <v>386043</v>
      </c>
      <c r="FE75" s="61">
        <v>540401.00000000012</v>
      </c>
      <c r="FF75" s="61">
        <v>504227.83333333331</v>
      </c>
      <c r="FG75" s="61"/>
      <c r="FH75" s="168"/>
      <c r="FI75" s="168"/>
      <c r="FJ75" s="61"/>
      <c r="FK75" s="61"/>
      <c r="FL75" s="61"/>
      <c r="FM75" s="61"/>
      <c r="FN75" s="61"/>
      <c r="FO75" s="61">
        <v>0</v>
      </c>
      <c r="FP75" s="61"/>
      <c r="FQ75" s="61">
        <v>681771</v>
      </c>
      <c r="FR75" s="61">
        <v>577185</v>
      </c>
      <c r="FS75" s="61">
        <v>624965</v>
      </c>
      <c r="FT75" s="61">
        <v>681602</v>
      </c>
      <c r="FU75" s="61">
        <v>661497.66666666663</v>
      </c>
      <c r="FV75" s="61"/>
      <c r="FW75" s="61"/>
      <c r="FX75" s="61"/>
      <c r="FY75" s="61"/>
      <c r="FZ75" s="61"/>
      <c r="GA75" s="61"/>
      <c r="GB75" s="61"/>
      <c r="GC75" s="61"/>
      <c r="GD75" s="61">
        <v>0</v>
      </c>
      <c r="GE75" s="61"/>
      <c r="GF75" s="61">
        <v>964053</v>
      </c>
      <c r="GG75" s="61">
        <v>640240</v>
      </c>
      <c r="GH75" s="61">
        <v>833973</v>
      </c>
      <c r="GI75" s="61">
        <v>406220.16666666663</v>
      </c>
      <c r="GJ75" s="61">
        <v>908681</v>
      </c>
      <c r="GL75" s="61">
        <f>AVERAGE(P75:T75)</f>
        <v>854057.93333333335</v>
      </c>
      <c r="GM75" s="61">
        <f>AVERAGE(AF75:AJ75)</f>
        <v>795967.96666666656</v>
      </c>
      <c r="GN75" s="61">
        <f>AVERAGE(AV75:AZ75)</f>
        <v>655167.4</v>
      </c>
      <c r="GO75" s="61">
        <f>AVERAGE(BL75:BP75)</f>
        <v>440277.06666666671</v>
      </c>
      <c r="GP75" s="61">
        <f>AVERAGE(CB75:CF75)</f>
        <v>461934.63333333342</v>
      </c>
      <c r="GQ75" s="61">
        <f>AVERAGE(CQ75:CV75)</f>
        <v>328909.44445000001</v>
      </c>
      <c r="GR75" s="61">
        <f>AVERAGE(DG75:DL75)</f>
        <v>324355.30555555556</v>
      </c>
      <c r="GS75" s="61">
        <f>AVERAGE(DW75:EB75)</f>
        <v>300777.66666666669</v>
      </c>
      <c r="GT75" s="61">
        <f>AVERAGE(EM75:EQ75)</f>
        <v>387556.23333333328</v>
      </c>
      <c r="GU75" s="61">
        <f>AVERAGE(FB75:FF75)</f>
        <v>536510.56666666665</v>
      </c>
      <c r="GV75" s="61">
        <f>AVERAGE(FQ75:FU75)</f>
        <v>645404.1333333333</v>
      </c>
      <c r="GW75" s="61">
        <f>AVERAGE(GF75:GJ75)</f>
        <v>750633.43333333335</v>
      </c>
      <c r="GX75" t="s">
        <v>846</v>
      </c>
      <c r="GY75" s="60" t="s">
        <v>351</v>
      </c>
    </row>
    <row r="76" spans="2:207">
      <c r="C76" t="s">
        <v>806</v>
      </c>
      <c r="D76" t="s">
        <v>213</v>
      </c>
      <c r="E76" s="61">
        <v>0</v>
      </c>
      <c r="F76" s="61">
        <v>0</v>
      </c>
      <c r="G76" s="61">
        <v>0</v>
      </c>
      <c r="H76" s="61">
        <v>0</v>
      </c>
      <c r="I76" s="61">
        <v>0</v>
      </c>
      <c r="J76" s="61">
        <v>0</v>
      </c>
      <c r="K76" s="61">
        <v>0</v>
      </c>
      <c r="L76" s="61">
        <v>0</v>
      </c>
      <c r="M76" s="61">
        <v>0</v>
      </c>
      <c r="N76" s="61">
        <v>0</v>
      </c>
      <c r="O76" s="61">
        <v>0</v>
      </c>
      <c r="P76" s="61">
        <v>2606078</v>
      </c>
      <c r="Q76" s="61">
        <v>2469416</v>
      </c>
      <c r="R76" s="61">
        <v>2874063</v>
      </c>
      <c r="S76" s="61">
        <v>1423880</v>
      </c>
      <c r="T76" s="61">
        <v>2862541</v>
      </c>
      <c r="U76" s="61">
        <v>0</v>
      </c>
      <c r="V76" s="61">
        <v>0</v>
      </c>
      <c r="W76" s="61">
        <v>0</v>
      </c>
      <c r="X76" s="61">
        <v>0</v>
      </c>
      <c r="Y76" s="61">
        <v>0</v>
      </c>
      <c r="Z76" s="61">
        <v>0</v>
      </c>
      <c r="AA76" s="61">
        <v>0</v>
      </c>
      <c r="AB76" s="61">
        <v>0</v>
      </c>
      <c r="AC76" s="61">
        <v>0</v>
      </c>
      <c r="AD76" s="61">
        <v>0</v>
      </c>
      <c r="AE76" s="61">
        <v>0</v>
      </c>
      <c r="AF76" s="61">
        <v>2925461</v>
      </c>
      <c r="AG76" s="61">
        <v>1650502</v>
      </c>
      <c r="AH76" s="61">
        <v>2484465</v>
      </c>
      <c r="AI76" s="61">
        <v>2023220</v>
      </c>
      <c r="AJ76" s="61">
        <v>1973806</v>
      </c>
      <c r="AK76" s="61">
        <v>0</v>
      </c>
      <c r="AL76" s="61">
        <v>0</v>
      </c>
      <c r="AM76" s="61">
        <v>0</v>
      </c>
      <c r="AN76" s="61">
        <v>0</v>
      </c>
      <c r="AO76" s="61">
        <v>0</v>
      </c>
      <c r="AP76" s="61">
        <v>0</v>
      </c>
      <c r="AQ76" s="61">
        <v>0</v>
      </c>
      <c r="AR76" s="61">
        <v>0</v>
      </c>
      <c r="AS76" s="61">
        <v>0</v>
      </c>
      <c r="AT76" s="61">
        <v>0</v>
      </c>
      <c r="AU76" s="61">
        <v>0</v>
      </c>
      <c r="AV76" s="61">
        <v>1342684</v>
      </c>
      <c r="AW76" s="61">
        <v>2050454.0000000002</v>
      </c>
      <c r="AX76" s="61">
        <v>2003458</v>
      </c>
      <c r="AY76" s="61">
        <v>2365580</v>
      </c>
      <c r="AZ76" s="61">
        <v>1995188</v>
      </c>
      <c r="BA76" s="61">
        <v>0</v>
      </c>
      <c r="BB76" s="61">
        <v>0</v>
      </c>
      <c r="BC76" s="61">
        <v>0</v>
      </c>
      <c r="BD76" s="61">
        <v>0</v>
      </c>
      <c r="BE76" s="61">
        <v>0</v>
      </c>
      <c r="BF76" s="61">
        <v>0</v>
      </c>
      <c r="BG76" s="61">
        <v>0</v>
      </c>
      <c r="BH76" s="61">
        <v>0</v>
      </c>
      <c r="BI76" s="61">
        <v>0</v>
      </c>
      <c r="BJ76" s="61">
        <v>0</v>
      </c>
      <c r="BK76" s="61">
        <v>0</v>
      </c>
      <c r="BL76" s="61">
        <v>939679</v>
      </c>
      <c r="BM76" s="61">
        <v>1424012</v>
      </c>
      <c r="BN76" s="61">
        <v>1418800</v>
      </c>
      <c r="BO76" s="61">
        <v>793480</v>
      </c>
      <c r="BP76" s="61">
        <v>1480910</v>
      </c>
      <c r="BQ76" s="61">
        <v>0</v>
      </c>
      <c r="BR76" s="61">
        <v>0</v>
      </c>
      <c r="BS76" s="61">
        <v>0</v>
      </c>
      <c r="BT76" s="61">
        <v>0</v>
      </c>
      <c r="BU76" s="61">
        <v>0</v>
      </c>
      <c r="BV76" s="61">
        <v>0</v>
      </c>
      <c r="BW76" s="61">
        <v>0</v>
      </c>
      <c r="BX76" s="61">
        <v>0</v>
      </c>
      <c r="BY76" s="61">
        <v>0</v>
      </c>
      <c r="BZ76" s="61">
        <v>0</v>
      </c>
      <c r="CA76" s="61">
        <v>0</v>
      </c>
      <c r="CB76" s="61">
        <v>1592778</v>
      </c>
      <c r="CC76" s="61">
        <v>1669730</v>
      </c>
      <c r="CD76" s="61">
        <v>1111185</v>
      </c>
      <c r="CE76" s="61">
        <v>1070943</v>
      </c>
      <c r="CF76" s="61">
        <v>845196</v>
      </c>
      <c r="CG76" s="61">
        <v>0</v>
      </c>
      <c r="CH76" s="61">
        <v>0</v>
      </c>
      <c r="CI76" s="61">
        <v>0</v>
      </c>
      <c r="CJ76" s="61">
        <v>0</v>
      </c>
      <c r="CK76" s="61">
        <v>0</v>
      </c>
      <c r="CL76" s="61">
        <v>0</v>
      </c>
      <c r="CM76" s="61">
        <v>0</v>
      </c>
      <c r="CN76" s="61">
        <v>0</v>
      </c>
      <c r="CO76" s="61">
        <v>0</v>
      </c>
      <c r="CP76" s="61">
        <v>0</v>
      </c>
      <c r="CQ76" s="61">
        <v>0</v>
      </c>
      <c r="CR76" s="61">
        <v>734654</v>
      </c>
      <c r="CS76" s="61">
        <v>1395465</v>
      </c>
      <c r="CT76" s="61">
        <v>971410</v>
      </c>
      <c r="CU76" s="61">
        <v>1496300</v>
      </c>
      <c r="CV76" s="61">
        <v>984064</v>
      </c>
      <c r="CW76" s="61">
        <v>0</v>
      </c>
      <c r="CX76" s="61">
        <v>0</v>
      </c>
      <c r="CY76" s="61">
        <v>0</v>
      </c>
      <c r="CZ76" s="61">
        <v>0</v>
      </c>
      <c r="DA76" s="61">
        <v>0</v>
      </c>
      <c r="DB76" s="61">
        <v>0</v>
      </c>
      <c r="DC76" s="61">
        <v>0</v>
      </c>
      <c r="DD76" s="61">
        <v>0</v>
      </c>
      <c r="DE76" s="61">
        <v>0</v>
      </c>
      <c r="DF76" s="61">
        <v>0</v>
      </c>
      <c r="DG76" s="61">
        <v>0</v>
      </c>
      <c r="DH76" s="61">
        <v>815633</v>
      </c>
      <c r="DI76" s="61">
        <v>1721025</v>
      </c>
      <c r="DJ76" s="61">
        <v>1151250</v>
      </c>
      <c r="DK76" s="61">
        <v>1029891.33</v>
      </c>
      <c r="DL76" s="61">
        <v>640000</v>
      </c>
      <c r="DM76" s="61">
        <v>0</v>
      </c>
      <c r="DN76" s="61">
        <v>0</v>
      </c>
      <c r="DO76" s="61">
        <v>0</v>
      </c>
      <c r="DP76" s="61">
        <v>0</v>
      </c>
      <c r="DQ76" s="61">
        <v>0</v>
      </c>
      <c r="DR76" s="61">
        <v>0</v>
      </c>
      <c r="DS76" s="61">
        <v>0</v>
      </c>
      <c r="DT76" s="61">
        <v>0</v>
      </c>
      <c r="DU76" s="61">
        <v>0</v>
      </c>
      <c r="DV76" s="61">
        <v>0</v>
      </c>
      <c r="DW76" s="61">
        <v>0</v>
      </c>
      <c r="DX76" s="61">
        <v>1386006</v>
      </c>
      <c r="DY76" s="61">
        <v>928771</v>
      </c>
      <c r="DZ76" s="61">
        <v>1425120</v>
      </c>
      <c r="EA76" s="61">
        <v>1317521</v>
      </c>
      <c r="EB76" s="61">
        <v>1034864</v>
      </c>
      <c r="EC76" s="61">
        <v>0</v>
      </c>
      <c r="ED76" s="61">
        <v>0</v>
      </c>
      <c r="EE76" s="61">
        <v>0</v>
      </c>
      <c r="EF76" s="61">
        <v>0</v>
      </c>
      <c r="EG76" s="61">
        <v>0</v>
      </c>
      <c r="EH76" s="61">
        <v>0</v>
      </c>
      <c r="EI76" s="61">
        <v>0</v>
      </c>
      <c r="EJ76" s="61">
        <v>0</v>
      </c>
      <c r="EK76" s="61">
        <v>0</v>
      </c>
      <c r="EL76" s="61">
        <v>0</v>
      </c>
      <c r="EM76" s="61">
        <v>722749</v>
      </c>
      <c r="EN76" s="61">
        <v>694325</v>
      </c>
      <c r="EO76" s="61">
        <v>1358022</v>
      </c>
      <c r="EP76" s="61">
        <v>944140</v>
      </c>
      <c r="EQ76" s="61">
        <v>1265362.83</v>
      </c>
      <c r="ER76" s="61">
        <v>0</v>
      </c>
      <c r="ES76" s="61">
        <v>0</v>
      </c>
      <c r="ET76" s="61">
        <v>0</v>
      </c>
      <c r="EU76" s="61">
        <v>0</v>
      </c>
      <c r="EV76" s="61">
        <v>0</v>
      </c>
      <c r="EW76" s="61">
        <v>0</v>
      </c>
      <c r="EX76" s="61">
        <v>0</v>
      </c>
      <c r="EY76" s="61">
        <v>0</v>
      </c>
      <c r="EZ76" s="61">
        <v>0</v>
      </c>
      <c r="FA76" s="61">
        <v>0</v>
      </c>
      <c r="FB76" s="61">
        <v>2144765</v>
      </c>
      <c r="FC76" s="61">
        <v>1580001</v>
      </c>
      <c r="FD76" s="61">
        <v>1034175</v>
      </c>
      <c r="FE76" s="61">
        <v>1080080</v>
      </c>
      <c r="FF76" s="61">
        <v>1903648</v>
      </c>
      <c r="FG76" s="61">
        <v>0</v>
      </c>
      <c r="FH76" s="168">
        <v>0</v>
      </c>
      <c r="FI76" s="168">
        <v>0</v>
      </c>
      <c r="FJ76" s="61">
        <v>0</v>
      </c>
      <c r="FK76" s="61">
        <v>0</v>
      </c>
      <c r="FL76" s="61">
        <v>0</v>
      </c>
      <c r="FM76" s="61">
        <v>0</v>
      </c>
      <c r="FN76" s="61">
        <v>0</v>
      </c>
      <c r="FO76" s="61">
        <v>0</v>
      </c>
      <c r="FP76" s="61">
        <v>0</v>
      </c>
      <c r="FQ76" s="61">
        <v>1662073</v>
      </c>
      <c r="FR76" s="61">
        <v>1424716</v>
      </c>
      <c r="FS76" s="61">
        <v>2909834</v>
      </c>
      <c r="FT76" s="61">
        <v>1806970</v>
      </c>
      <c r="FU76" s="61">
        <v>1442224</v>
      </c>
      <c r="FV76" s="61">
        <v>0</v>
      </c>
      <c r="FW76" s="61">
        <v>0</v>
      </c>
      <c r="FX76" s="61">
        <v>0</v>
      </c>
      <c r="FY76" s="61">
        <v>0</v>
      </c>
      <c r="FZ76" s="61">
        <v>0</v>
      </c>
      <c r="GA76" s="61">
        <v>0</v>
      </c>
      <c r="GB76" s="61">
        <v>0</v>
      </c>
      <c r="GC76" s="61">
        <v>0</v>
      </c>
      <c r="GD76" s="61">
        <v>0</v>
      </c>
      <c r="GE76" s="61">
        <v>0</v>
      </c>
      <c r="GF76" s="61">
        <v>2482455</v>
      </c>
      <c r="GG76" s="61">
        <v>2487291</v>
      </c>
      <c r="GH76" s="61">
        <v>3020841.6670000004</v>
      </c>
      <c r="GI76" s="61">
        <v>1198160</v>
      </c>
      <c r="GJ76" s="61">
        <v>2339124</v>
      </c>
    </row>
    <row r="77" spans="2:207">
      <c r="C77" t="s">
        <v>786</v>
      </c>
      <c r="D77" t="s">
        <v>299</v>
      </c>
      <c r="E77" s="61">
        <v>0</v>
      </c>
      <c r="F77" s="61">
        <v>0</v>
      </c>
      <c r="G77" s="61">
        <v>0</v>
      </c>
      <c r="H77" s="61">
        <v>0</v>
      </c>
      <c r="I77" s="61">
        <v>0</v>
      </c>
      <c r="J77" s="61">
        <v>0</v>
      </c>
      <c r="K77" s="61">
        <v>0</v>
      </c>
      <c r="L77" s="61">
        <v>0</v>
      </c>
      <c r="M77" s="61">
        <v>0</v>
      </c>
      <c r="N77" s="61">
        <v>0</v>
      </c>
      <c r="O77" s="61">
        <v>0</v>
      </c>
      <c r="P77" s="61">
        <v>5626584</v>
      </c>
      <c r="Q77" s="61">
        <v>6098799</v>
      </c>
      <c r="R77" s="61">
        <v>7150681</v>
      </c>
      <c r="S77" s="61">
        <v>4400650</v>
      </c>
      <c r="T77" s="61">
        <v>7325267</v>
      </c>
      <c r="U77" s="61">
        <v>0</v>
      </c>
      <c r="V77" s="61">
        <v>0</v>
      </c>
      <c r="W77" s="61">
        <v>0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61">
        <v>0</v>
      </c>
      <c r="AE77" s="61">
        <v>0</v>
      </c>
      <c r="AF77" s="61">
        <v>8261966</v>
      </c>
      <c r="AG77" s="61">
        <v>5611828</v>
      </c>
      <c r="AH77" s="61">
        <v>7312389</v>
      </c>
      <c r="AI77" s="61">
        <v>5552100</v>
      </c>
      <c r="AJ77" s="61">
        <v>4700419</v>
      </c>
      <c r="AK77" s="61">
        <v>0</v>
      </c>
      <c r="AL77" s="61">
        <v>0</v>
      </c>
      <c r="AM77" s="61">
        <v>0</v>
      </c>
      <c r="AN77" s="61">
        <v>0</v>
      </c>
      <c r="AO77" s="61">
        <v>0</v>
      </c>
      <c r="AP77" s="61">
        <v>0</v>
      </c>
      <c r="AQ77" s="61">
        <v>0</v>
      </c>
      <c r="AR77" s="61">
        <v>0</v>
      </c>
      <c r="AS77" s="61">
        <v>0</v>
      </c>
      <c r="AT77" s="61">
        <v>0</v>
      </c>
      <c r="AU77" s="61">
        <v>0</v>
      </c>
      <c r="AV77" s="61">
        <v>3606619</v>
      </c>
      <c r="AW77" s="61">
        <v>5051090</v>
      </c>
      <c r="AX77" s="61">
        <v>6226401</v>
      </c>
      <c r="AY77" s="61">
        <v>4645940</v>
      </c>
      <c r="AZ77" s="61">
        <v>5831044</v>
      </c>
      <c r="BA77" s="61">
        <v>0</v>
      </c>
      <c r="BB77" s="61">
        <v>0</v>
      </c>
      <c r="BC77" s="61">
        <v>0</v>
      </c>
      <c r="BD77" s="61">
        <v>0</v>
      </c>
      <c r="BE77" s="61">
        <v>0</v>
      </c>
      <c r="BF77" s="61">
        <v>0</v>
      </c>
      <c r="BG77" s="61">
        <v>0</v>
      </c>
      <c r="BH77" s="61">
        <v>0</v>
      </c>
      <c r="BI77" s="61">
        <v>0</v>
      </c>
      <c r="BJ77" s="61">
        <v>0</v>
      </c>
      <c r="BK77" s="61">
        <v>0</v>
      </c>
      <c r="BL77" s="61">
        <v>3383761</v>
      </c>
      <c r="BM77" s="61">
        <v>4479251</v>
      </c>
      <c r="BN77" s="61">
        <v>2993961</v>
      </c>
      <c r="BO77" s="61">
        <v>3166250</v>
      </c>
      <c r="BP77" s="61">
        <v>3253961</v>
      </c>
      <c r="BQ77" s="61">
        <v>0</v>
      </c>
      <c r="BR77" s="61">
        <v>0</v>
      </c>
      <c r="BS77" s="61">
        <v>0</v>
      </c>
      <c r="BT77" s="61">
        <v>0</v>
      </c>
      <c r="BU77" s="61">
        <v>0</v>
      </c>
      <c r="BV77" s="61">
        <v>0</v>
      </c>
      <c r="BW77" s="61">
        <v>0</v>
      </c>
      <c r="BX77" s="61">
        <v>0</v>
      </c>
      <c r="BY77" s="61">
        <v>0</v>
      </c>
      <c r="BZ77" s="61">
        <v>0</v>
      </c>
      <c r="CA77" s="61">
        <v>0</v>
      </c>
      <c r="CB77" s="61">
        <v>4678770</v>
      </c>
      <c r="CC77" s="61">
        <v>4273132</v>
      </c>
      <c r="CD77" s="61">
        <v>3503387</v>
      </c>
      <c r="CE77" s="61">
        <v>3269003</v>
      </c>
      <c r="CF77" s="61">
        <v>2049026</v>
      </c>
      <c r="CG77" s="61">
        <v>0</v>
      </c>
      <c r="CH77" s="61">
        <v>0</v>
      </c>
      <c r="CI77" s="61">
        <v>0</v>
      </c>
      <c r="CJ77" s="61">
        <v>0</v>
      </c>
      <c r="CK77" s="61">
        <v>0</v>
      </c>
      <c r="CL77" s="61">
        <v>0</v>
      </c>
      <c r="CM77" s="61">
        <v>0</v>
      </c>
      <c r="CN77" s="61">
        <v>0</v>
      </c>
      <c r="CO77" s="61">
        <v>0</v>
      </c>
      <c r="CP77" s="61">
        <v>0</v>
      </c>
      <c r="CQ77" s="61">
        <v>0</v>
      </c>
      <c r="CR77" s="61">
        <v>3232236</v>
      </c>
      <c r="CS77" s="61">
        <v>2863518</v>
      </c>
      <c r="CT77" s="61">
        <v>2871344</v>
      </c>
      <c r="CU77" s="61">
        <v>3198460</v>
      </c>
      <c r="CV77" s="61">
        <v>2620337</v>
      </c>
      <c r="CW77" s="61">
        <v>0</v>
      </c>
      <c r="CX77" s="61">
        <v>0</v>
      </c>
      <c r="CY77" s="61">
        <v>0</v>
      </c>
      <c r="CZ77" s="61">
        <v>0</v>
      </c>
      <c r="DA77" s="61">
        <v>0</v>
      </c>
      <c r="DB77" s="61">
        <v>0</v>
      </c>
      <c r="DC77" s="61">
        <v>0</v>
      </c>
      <c r="DD77" s="61">
        <v>0</v>
      </c>
      <c r="DE77" s="61">
        <v>0</v>
      </c>
      <c r="DF77" s="61">
        <v>0</v>
      </c>
      <c r="DG77" s="61">
        <v>0</v>
      </c>
      <c r="DH77" s="61">
        <v>2607340</v>
      </c>
      <c r="DI77" s="61">
        <v>3220348</v>
      </c>
      <c r="DJ77" s="61">
        <v>2166660</v>
      </c>
      <c r="DK77" s="61">
        <v>3828136.33</v>
      </c>
      <c r="DL77" s="61">
        <v>1704683</v>
      </c>
      <c r="DM77" s="61">
        <v>0</v>
      </c>
      <c r="DN77" s="61">
        <v>0</v>
      </c>
      <c r="DO77" s="61">
        <v>0</v>
      </c>
      <c r="DP77" s="61">
        <v>0</v>
      </c>
      <c r="DQ77" s="61">
        <v>0</v>
      </c>
      <c r="DR77" s="61">
        <v>0</v>
      </c>
      <c r="DS77" s="61">
        <v>0</v>
      </c>
      <c r="DT77" s="61">
        <v>0</v>
      </c>
      <c r="DU77" s="61">
        <v>0</v>
      </c>
      <c r="DV77" s="61">
        <v>0</v>
      </c>
      <c r="DW77" s="61">
        <v>0</v>
      </c>
      <c r="DX77" s="61">
        <v>2884331</v>
      </c>
      <c r="DY77" s="61">
        <v>2502848</v>
      </c>
      <c r="DZ77" s="61">
        <v>2318700</v>
      </c>
      <c r="EA77" s="61">
        <v>2814989</v>
      </c>
      <c r="EB77" s="61">
        <v>2294438</v>
      </c>
      <c r="EC77" s="61">
        <v>0</v>
      </c>
      <c r="ED77" s="61">
        <v>0</v>
      </c>
      <c r="EE77" s="61">
        <v>0</v>
      </c>
      <c r="EF77" s="61">
        <v>0</v>
      </c>
      <c r="EG77" s="61">
        <v>0</v>
      </c>
      <c r="EH77" s="61">
        <v>0</v>
      </c>
      <c r="EI77" s="61">
        <v>0</v>
      </c>
      <c r="EJ77" s="61">
        <v>0</v>
      </c>
      <c r="EK77" s="61">
        <v>0</v>
      </c>
      <c r="EL77" s="61">
        <v>0</v>
      </c>
      <c r="EM77" s="61">
        <v>0</v>
      </c>
      <c r="EN77" s="61">
        <v>2210196</v>
      </c>
      <c r="EO77" s="61">
        <v>4774780</v>
      </c>
      <c r="EP77" s="61">
        <v>1566680</v>
      </c>
      <c r="EQ77" s="61">
        <v>3503534.67</v>
      </c>
      <c r="ER77" s="61">
        <v>0</v>
      </c>
      <c r="ES77" s="61">
        <v>0</v>
      </c>
      <c r="ET77" s="61">
        <v>0</v>
      </c>
      <c r="EU77" s="61">
        <v>0</v>
      </c>
      <c r="EV77" s="61">
        <v>0</v>
      </c>
      <c r="EW77" s="61">
        <v>0</v>
      </c>
      <c r="EX77" s="61">
        <v>0</v>
      </c>
      <c r="EY77" s="61">
        <v>0</v>
      </c>
      <c r="EZ77" s="61">
        <v>0</v>
      </c>
      <c r="FA77" s="61">
        <v>0</v>
      </c>
      <c r="FB77" s="61">
        <v>0</v>
      </c>
      <c r="FC77" s="61">
        <v>2756085</v>
      </c>
      <c r="FD77" s="61">
        <v>3448613</v>
      </c>
      <c r="FE77" s="61">
        <v>3030260</v>
      </c>
      <c r="FF77" s="61">
        <v>3310606</v>
      </c>
      <c r="FG77" s="61">
        <v>0</v>
      </c>
      <c r="FH77" s="168">
        <v>0</v>
      </c>
      <c r="FI77" s="168">
        <v>0</v>
      </c>
      <c r="FJ77" s="61">
        <v>0</v>
      </c>
      <c r="FK77" s="61">
        <v>0</v>
      </c>
      <c r="FL77" s="61">
        <v>0</v>
      </c>
      <c r="FM77" s="61">
        <v>0</v>
      </c>
      <c r="FN77" s="61">
        <v>0</v>
      </c>
      <c r="FO77" s="61">
        <v>0</v>
      </c>
      <c r="FP77" s="61">
        <v>0</v>
      </c>
      <c r="FQ77" s="61">
        <v>0</v>
      </c>
      <c r="FR77" s="61">
        <v>3401529</v>
      </c>
      <c r="FS77" s="61">
        <v>5940483</v>
      </c>
      <c r="FT77" s="61">
        <v>4812470</v>
      </c>
      <c r="FU77" s="61">
        <v>4118523</v>
      </c>
      <c r="FV77" s="61">
        <v>0</v>
      </c>
      <c r="FW77" s="61">
        <v>0</v>
      </c>
      <c r="FX77" s="61">
        <v>0</v>
      </c>
      <c r="FY77" s="61">
        <v>0</v>
      </c>
      <c r="FZ77" s="61">
        <v>0</v>
      </c>
      <c r="GA77" s="61">
        <v>0</v>
      </c>
      <c r="GB77" s="61">
        <v>0</v>
      </c>
      <c r="GC77" s="61">
        <v>0</v>
      </c>
      <c r="GD77" s="61">
        <v>0</v>
      </c>
      <c r="GE77" s="61">
        <v>0</v>
      </c>
      <c r="GF77" s="61">
        <v>3877097</v>
      </c>
      <c r="GG77" s="61">
        <v>4189783.0000000005</v>
      </c>
      <c r="GH77" s="61">
        <v>3831988.6660000002</v>
      </c>
      <c r="GI77" s="61">
        <v>2231730</v>
      </c>
      <c r="GJ77" s="61">
        <v>6677956</v>
      </c>
    </row>
    <row r="78" spans="2:207">
      <c r="D78" t="s">
        <v>298</v>
      </c>
      <c r="E78" s="61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1">
        <v>0</v>
      </c>
      <c r="L78" s="61">
        <v>0</v>
      </c>
      <c r="M78" s="61">
        <v>0</v>
      </c>
      <c r="N78" s="61">
        <v>0</v>
      </c>
      <c r="O78" s="61">
        <v>0</v>
      </c>
      <c r="P78" s="61">
        <v>1410892</v>
      </c>
      <c r="Q78" s="61">
        <v>1387726</v>
      </c>
      <c r="R78" s="61">
        <v>1533365</v>
      </c>
      <c r="S78" s="61">
        <v>1048640</v>
      </c>
      <c r="T78" s="61">
        <v>1827791</v>
      </c>
      <c r="U78" s="61">
        <v>0</v>
      </c>
      <c r="V78" s="61">
        <v>0</v>
      </c>
      <c r="W78" s="61">
        <v>0</v>
      </c>
      <c r="X78" s="61">
        <v>0</v>
      </c>
      <c r="Y78" s="61">
        <v>0</v>
      </c>
      <c r="Z78" s="61">
        <v>0</v>
      </c>
      <c r="AA78" s="61">
        <v>0</v>
      </c>
      <c r="AB78" s="61">
        <v>0</v>
      </c>
      <c r="AC78" s="61">
        <v>0</v>
      </c>
      <c r="AD78" s="61">
        <v>0</v>
      </c>
      <c r="AE78" s="61">
        <v>0</v>
      </c>
      <c r="AF78" s="61">
        <v>1948001</v>
      </c>
      <c r="AG78" s="61">
        <v>1122607</v>
      </c>
      <c r="AH78" s="61">
        <v>1544692</v>
      </c>
      <c r="AI78" s="61">
        <v>1255960</v>
      </c>
      <c r="AJ78" s="61">
        <v>763247</v>
      </c>
      <c r="AK78" s="61">
        <v>0</v>
      </c>
      <c r="AL78" s="61">
        <v>0</v>
      </c>
      <c r="AM78" s="61">
        <v>0</v>
      </c>
      <c r="AN78" s="61">
        <v>0</v>
      </c>
      <c r="AO78" s="61">
        <v>0</v>
      </c>
      <c r="AP78" s="61">
        <v>0</v>
      </c>
      <c r="AQ78" s="61">
        <v>0</v>
      </c>
      <c r="AR78" s="61">
        <v>0</v>
      </c>
      <c r="AS78" s="61">
        <v>0</v>
      </c>
      <c r="AT78" s="61">
        <v>0</v>
      </c>
      <c r="AU78" s="61">
        <v>0</v>
      </c>
      <c r="AV78" s="61">
        <v>880705</v>
      </c>
      <c r="AW78" s="61">
        <v>1136679</v>
      </c>
      <c r="AX78" s="61">
        <v>1265863</v>
      </c>
      <c r="AY78" s="61">
        <v>1149380</v>
      </c>
      <c r="AZ78" s="61">
        <v>948889</v>
      </c>
      <c r="BA78" s="61">
        <v>0</v>
      </c>
      <c r="BB78" s="61">
        <v>0</v>
      </c>
      <c r="BC78" s="61">
        <v>0</v>
      </c>
      <c r="BD78" s="61">
        <v>0</v>
      </c>
      <c r="BE78" s="61">
        <v>0</v>
      </c>
      <c r="BF78" s="61">
        <v>0</v>
      </c>
      <c r="BG78" s="61">
        <v>0</v>
      </c>
      <c r="BH78" s="61">
        <v>0</v>
      </c>
      <c r="BI78" s="61">
        <v>0</v>
      </c>
      <c r="BJ78" s="61">
        <v>0</v>
      </c>
      <c r="BK78" s="61">
        <v>0</v>
      </c>
      <c r="BL78" s="61">
        <v>856099</v>
      </c>
      <c r="BM78" s="61">
        <v>1152750</v>
      </c>
      <c r="BN78" s="61">
        <v>763344</v>
      </c>
      <c r="BO78" s="61">
        <v>785440</v>
      </c>
      <c r="BP78" s="61">
        <v>727916</v>
      </c>
      <c r="BQ78" s="61">
        <v>0</v>
      </c>
      <c r="BR78" s="61">
        <v>0</v>
      </c>
      <c r="BS78" s="61">
        <v>0</v>
      </c>
      <c r="BT78" s="61">
        <v>0</v>
      </c>
      <c r="BU78" s="61">
        <v>0</v>
      </c>
      <c r="BV78" s="61">
        <v>0</v>
      </c>
      <c r="BW78" s="61">
        <v>0</v>
      </c>
      <c r="BX78" s="61">
        <v>0</v>
      </c>
      <c r="BY78" s="61">
        <v>0</v>
      </c>
      <c r="BZ78" s="61">
        <v>0</v>
      </c>
      <c r="CA78" s="61">
        <v>0</v>
      </c>
      <c r="CB78" s="61">
        <v>1213134</v>
      </c>
      <c r="CC78" s="61">
        <v>992395</v>
      </c>
      <c r="CD78" s="61">
        <v>896866</v>
      </c>
      <c r="CE78" s="61">
        <v>900981</v>
      </c>
      <c r="CF78" s="61">
        <v>470765</v>
      </c>
      <c r="CG78" s="61">
        <v>0</v>
      </c>
      <c r="CH78" s="61">
        <v>0</v>
      </c>
      <c r="CI78" s="61">
        <v>0</v>
      </c>
      <c r="CJ78" s="61">
        <v>0</v>
      </c>
      <c r="CK78" s="61">
        <v>0</v>
      </c>
      <c r="CL78" s="61">
        <v>0</v>
      </c>
      <c r="CM78" s="61">
        <v>0</v>
      </c>
      <c r="CN78" s="61">
        <v>0</v>
      </c>
      <c r="CO78" s="61">
        <v>0</v>
      </c>
      <c r="CP78" s="61">
        <v>0</v>
      </c>
      <c r="CQ78" s="61">
        <v>0</v>
      </c>
      <c r="CR78" s="61">
        <v>694231</v>
      </c>
      <c r="CS78" s="61">
        <v>669299</v>
      </c>
      <c r="CT78" s="61">
        <v>709475</v>
      </c>
      <c r="CU78" s="61">
        <v>818570</v>
      </c>
      <c r="CV78" s="61">
        <v>685808</v>
      </c>
      <c r="CW78" s="61">
        <v>0</v>
      </c>
      <c r="CX78" s="61">
        <v>0</v>
      </c>
      <c r="CY78" s="61">
        <v>0</v>
      </c>
      <c r="CZ78" s="61">
        <v>0</v>
      </c>
      <c r="DA78" s="61">
        <v>0</v>
      </c>
      <c r="DB78" s="61">
        <v>0</v>
      </c>
      <c r="DC78" s="61">
        <v>0</v>
      </c>
      <c r="DD78" s="61">
        <v>0</v>
      </c>
      <c r="DE78" s="61">
        <v>0</v>
      </c>
      <c r="DF78" s="61">
        <v>0</v>
      </c>
      <c r="DG78" s="61">
        <v>0</v>
      </c>
      <c r="DH78" s="61">
        <v>637232</v>
      </c>
      <c r="DI78" s="61">
        <v>672814</v>
      </c>
      <c r="DJ78" s="61">
        <v>632810</v>
      </c>
      <c r="DK78" s="61">
        <v>901145.5</v>
      </c>
      <c r="DL78" s="61">
        <v>464138</v>
      </c>
      <c r="DM78" s="61">
        <v>0</v>
      </c>
      <c r="DN78" s="61">
        <v>0</v>
      </c>
      <c r="DO78" s="61">
        <v>0</v>
      </c>
      <c r="DP78" s="61">
        <v>0</v>
      </c>
      <c r="DQ78" s="61">
        <v>0</v>
      </c>
      <c r="DR78" s="61">
        <v>0</v>
      </c>
      <c r="DS78" s="61">
        <v>0</v>
      </c>
      <c r="DT78" s="61">
        <v>0</v>
      </c>
      <c r="DU78" s="61">
        <v>0</v>
      </c>
      <c r="DV78" s="61">
        <v>0</v>
      </c>
      <c r="DW78" s="61">
        <v>0</v>
      </c>
      <c r="DX78" s="61">
        <v>726536</v>
      </c>
      <c r="DY78" s="61">
        <v>619129</v>
      </c>
      <c r="DZ78" s="61">
        <v>616040</v>
      </c>
      <c r="EA78" s="61">
        <v>759352</v>
      </c>
      <c r="EB78" s="61">
        <v>626458</v>
      </c>
      <c r="EC78" s="61">
        <v>0</v>
      </c>
      <c r="ED78" s="61">
        <v>0</v>
      </c>
      <c r="EE78" s="61">
        <v>0</v>
      </c>
      <c r="EF78" s="61">
        <v>0</v>
      </c>
      <c r="EG78" s="61">
        <v>0</v>
      </c>
      <c r="EH78" s="61">
        <v>0</v>
      </c>
      <c r="EI78" s="61">
        <v>0</v>
      </c>
      <c r="EJ78" s="61">
        <v>0</v>
      </c>
      <c r="EK78" s="61">
        <v>0</v>
      </c>
      <c r="EL78" s="61">
        <v>0</v>
      </c>
      <c r="EM78" s="61">
        <v>0</v>
      </c>
      <c r="EN78" s="61">
        <v>580470</v>
      </c>
      <c r="EO78" s="61">
        <v>1058555</v>
      </c>
      <c r="EP78" s="61">
        <v>477560</v>
      </c>
      <c r="EQ78" s="61">
        <v>896014</v>
      </c>
      <c r="ER78" s="61">
        <v>0</v>
      </c>
      <c r="ES78" s="61">
        <v>0</v>
      </c>
      <c r="ET78" s="61">
        <v>0</v>
      </c>
      <c r="EU78" s="61">
        <v>0</v>
      </c>
      <c r="EV78" s="61">
        <v>0</v>
      </c>
      <c r="EW78" s="61">
        <v>0</v>
      </c>
      <c r="EX78" s="61">
        <v>0</v>
      </c>
      <c r="EY78" s="61">
        <v>0</v>
      </c>
      <c r="EZ78" s="61">
        <v>0</v>
      </c>
      <c r="FA78" s="61">
        <v>0</v>
      </c>
      <c r="FB78" s="61">
        <v>0</v>
      </c>
      <c r="FC78" s="61">
        <v>743494</v>
      </c>
      <c r="FD78" s="61">
        <v>920175</v>
      </c>
      <c r="FE78" s="61">
        <v>904240</v>
      </c>
      <c r="FF78" s="61">
        <v>894063</v>
      </c>
      <c r="FG78" s="61">
        <v>0</v>
      </c>
      <c r="FH78" s="168">
        <v>0</v>
      </c>
      <c r="FI78" s="168">
        <v>0</v>
      </c>
      <c r="FJ78" s="61">
        <v>0</v>
      </c>
      <c r="FK78" s="61">
        <v>0</v>
      </c>
      <c r="FL78" s="61">
        <v>0</v>
      </c>
      <c r="FM78" s="61">
        <v>0</v>
      </c>
      <c r="FN78" s="61">
        <v>0</v>
      </c>
      <c r="FO78" s="61">
        <v>0</v>
      </c>
      <c r="FP78" s="61">
        <v>0</v>
      </c>
      <c r="FQ78" s="61">
        <v>0</v>
      </c>
      <c r="FR78" s="61">
        <v>908847</v>
      </c>
      <c r="FS78" s="61">
        <v>1326418</v>
      </c>
      <c r="FT78" s="61">
        <v>1212800</v>
      </c>
      <c r="FU78" s="61">
        <v>1061335</v>
      </c>
      <c r="FV78" s="61">
        <v>0</v>
      </c>
      <c r="FW78" s="61">
        <v>0</v>
      </c>
      <c r="FX78" s="61">
        <v>0</v>
      </c>
      <c r="FY78" s="61">
        <v>0</v>
      </c>
      <c r="FZ78" s="61">
        <v>0</v>
      </c>
      <c r="GA78" s="61">
        <v>0</v>
      </c>
      <c r="GB78" s="61">
        <v>0</v>
      </c>
      <c r="GC78" s="61">
        <v>0</v>
      </c>
      <c r="GD78" s="61">
        <v>0</v>
      </c>
      <c r="GE78" s="61">
        <v>0</v>
      </c>
      <c r="GF78" s="61">
        <v>639070</v>
      </c>
      <c r="GG78" s="61">
        <v>930298</v>
      </c>
      <c r="GH78" s="61">
        <v>1055700.3330000001</v>
      </c>
      <c r="GI78" s="61">
        <v>663940</v>
      </c>
      <c r="GJ78" s="61">
        <v>1692935</v>
      </c>
    </row>
    <row r="79" spans="2:207">
      <c r="B79" t="s">
        <v>2618</v>
      </c>
      <c r="E79" s="61">
        <v>0</v>
      </c>
      <c r="F79" s="61">
        <v>0</v>
      </c>
      <c r="G79" s="61">
        <v>0</v>
      </c>
      <c r="H79" s="61">
        <v>0</v>
      </c>
      <c r="I79" s="61">
        <v>0</v>
      </c>
      <c r="J79" s="61">
        <v>0</v>
      </c>
      <c r="K79" s="61">
        <v>0</v>
      </c>
      <c r="L79" s="61">
        <v>0</v>
      </c>
      <c r="M79" s="61">
        <v>0</v>
      </c>
      <c r="N79" s="61">
        <v>0</v>
      </c>
      <c r="O79" s="61">
        <v>0</v>
      </c>
      <c r="P79" s="61">
        <v>10559005</v>
      </c>
      <c r="Q79" s="61">
        <v>10727591</v>
      </c>
      <c r="R79" s="61">
        <v>12484109</v>
      </c>
      <c r="S79" s="61">
        <v>7483269</v>
      </c>
      <c r="T79" s="61">
        <v>13062688.666666668</v>
      </c>
      <c r="U79" s="61">
        <v>0</v>
      </c>
      <c r="V79" s="61">
        <v>0</v>
      </c>
      <c r="W79" s="61">
        <v>0</v>
      </c>
      <c r="X79" s="61">
        <v>0</v>
      </c>
      <c r="Y79" s="61">
        <v>0</v>
      </c>
      <c r="Z79" s="61">
        <v>0</v>
      </c>
      <c r="AA79" s="61">
        <v>0</v>
      </c>
      <c r="AB79" s="61">
        <v>0</v>
      </c>
      <c r="AC79" s="61">
        <v>0</v>
      </c>
      <c r="AD79" s="61">
        <v>0</v>
      </c>
      <c r="AE79" s="61">
        <v>0</v>
      </c>
      <c r="AF79" s="61">
        <v>14165814</v>
      </c>
      <c r="AG79" s="61">
        <v>9089519</v>
      </c>
      <c r="AH79" s="61">
        <v>12318584</v>
      </c>
      <c r="AI79" s="61">
        <v>9437429.166666666</v>
      </c>
      <c r="AJ79" s="61">
        <v>8099156.666666666</v>
      </c>
      <c r="AK79" s="61">
        <v>0</v>
      </c>
      <c r="AL79" s="61">
        <v>0</v>
      </c>
      <c r="AM79" s="61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6259892</v>
      </c>
      <c r="AW79" s="61">
        <v>8880640</v>
      </c>
      <c r="AX79" s="61">
        <v>10301523</v>
      </c>
      <c r="AY79" s="61">
        <v>8885652.166666666</v>
      </c>
      <c r="AZ79" s="61">
        <v>9448103.833333334</v>
      </c>
      <c r="BA79" s="61">
        <v>0</v>
      </c>
      <c r="BB79" s="61">
        <v>0</v>
      </c>
      <c r="BC79" s="61">
        <v>0</v>
      </c>
      <c r="BD79" s="61">
        <v>0</v>
      </c>
      <c r="BE79" s="61">
        <v>0</v>
      </c>
      <c r="BF79" s="61">
        <v>0</v>
      </c>
      <c r="BG79" s="61">
        <v>0</v>
      </c>
      <c r="BH79" s="61">
        <v>0</v>
      </c>
      <c r="BI79" s="61">
        <v>0</v>
      </c>
      <c r="BJ79" s="61">
        <v>0</v>
      </c>
      <c r="BK79" s="61">
        <v>72975</v>
      </c>
      <c r="BL79" s="61">
        <v>5537893</v>
      </c>
      <c r="BM79" s="61">
        <v>7599978</v>
      </c>
      <c r="BN79" s="61">
        <v>5561949</v>
      </c>
      <c r="BO79" s="61">
        <v>5102980.333333334</v>
      </c>
      <c r="BP79" s="61">
        <v>6018199</v>
      </c>
      <c r="BQ79" s="61">
        <v>0</v>
      </c>
      <c r="BR79" s="61">
        <v>0</v>
      </c>
      <c r="BS79" s="61">
        <v>0</v>
      </c>
      <c r="BT79" s="61">
        <v>0</v>
      </c>
      <c r="BU79" s="61">
        <v>0</v>
      </c>
      <c r="BV79" s="61">
        <v>0</v>
      </c>
      <c r="BW79" s="61">
        <v>0</v>
      </c>
      <c r="BX79" s="61">
        <v>0</v>
      </c>
      <c r="BY79" s="61">
        <v>0</v>
      </c>
      <c r="BZ79" s="61">
        <v>0</v>
      </c>
      <c r="CA79" s="61">
        <v>193000</v>
      </c>
      <c r="CB79" s="61">
        <v>8146372</v>
      </c>
      <c r="CC79" s="61">
        <v>7387207</v>
      </c>
      <c r="CD79" s="61">
        <v>5921388</v>
      </c>
      <c r="CE79" s="61">
        <v>5628915.166666667</v>
      </c>
      <c r="CF79" s="61">
        <v>3763082</v>
      </c>
      <c r="CG79" s="61">
        <v>0</v>
      </c>
      <c r="CH79" s="61">
        <v>0</v>
      </c>
      <c r="CI79" s="61">
        <v>0</v>
      </c>
      <c r="CJ79" s="61">
        <v>0</v>
      </c>
      <c r="CK79" s="61">
        <v>0</v>
      </c>
      <c r="CL79" s="61">
        <v>0</v>
      </c>
      <c r="CM79" s="61">
        <v>0</v>
      </c>
      <c r="CN79" s="61">
        <v>0</v>
      </c>
      <c r="CO79" s="61">
        <v>0</v>
      </c>
      <c r="CP79" s="61">
        <v>0</v>
      </c>
      <c r="CQ79" s="61">
        <v>261807.00000000003</v>
      </c>
      <c r="CR79" s="61">
        <v>5099008</v>
      </c>
      <c r="CS79" s="61">
        <v>5280049</v>
      </c>
      <c r="CT79" s="61">
        <v>4766983.6666999999</v>
      </c>
      <c r="CU79" s="61">
        <v>5892906</v>
      </c>
      <c r="CV79" s="61">
        <v>4617874</v>
      </c>
      <c r="CW79" s="61">
        <v>0</v>
      </c>
      <c r="CX79" s="61">
        <v>0</v>
      </c>
      <c r="CY79" s="61">
        <v>0</v>
      </c>
      <c r="CZ79" s="61">
        <v>0</v>
      </c>
      <c r="DA79" s="61">
        <v>0</v>
      </c>
      <c r="DB79" s="61">
        <v>0</v>
      </c>
      <c r="DC79" s="61">
        <v>0</v>
      </c>
      <c r="DD79" s="61">
        <v>0</v>
      </c>
      <c r="DE79" s="61">
        <v>0</v>
      </c>
      <c r="DF79" s="61">
        <v>0</v>
      </c>
      <c r="DG79" s="61">
        <v>402092</v>
      </c>
      <c r="DH79" s="61">
        <v>4407934</v>
      </c>
      <c r="DI79" s="61">
        <v>6069507</v>
      </c>
      <c r="DJ79" s="61">
        <v>4130223</v>
      </c>
      <c r="DK79" s="61">
        <v>6107739.1600000001</v>
      </c>
      <c r="DL79" s="61">
        <v>3021742.833333333</v>
      </c>
      <c r="DM79" s="61">
        <v>0</v>
      </c>
      <c r="DN79" s="61">
        <v>0</v>
      </c>
      <c r="DO79" s="61">
        <v>0</v>
      </c>
      <c r="DP79" s="61">
        <v>0</v>
      </c>
      <c r="DQ79" s="61">
        <v>0</v>
      </c>
      <c r="DR79" s="61">
        <v>0</v>
      </c>
      <c r="DS79" s="61">
        <v>0</v>
      </c>
      <c r="DT79" s="61">
        <v>0</v>
      </c>
      <c r="DU79" s="61">
        <v>0</v>
      </c>
      <c r="DV79" s="61">
        <v>0</v>
      </c>
      <c r="DW79" s="61">
        <v>283068</v>
      </c>
      <c r="DX79" s="61">
        <v>5271280</v>
      </c>
      <c r="DY79" s="61">
        <v>4462855</v>
      </c>
      <c r="DZ79" s="61">
        <v>4607250</v>
      </c>
      <c r="EA79" s="61">
        <v>5153853</v>
      </c>
      <c r="EB79" s="61">
        <v>4281463</v>
      </c>
      <c r="EC79" s="61">
        <v>0</v>
      </c>
      <c r="ED79" s="61">
        <v>0</v>
      </c>
      <c r="EE79" s="61">
        <v>0</v>
      </c>
      <c r="EF79" s="61">
        <v>0</v>
      </c>
      <c r="EG79" s="61">
        <v>0</v>
      </c>
      <c r="EH79" s="61">
        <v>0</v>
      </c>
      <c r="EI79" s="61">
        <v>0</v>
      </c>
      <c r="EJ79" s="61">
        <v>0</v>
      </c>
      <c r="EK79" s="61">
        <v>0</v>
      </c>
      <c r="EL79" s="61">
        <v>0</v>
      </c>
      <c r="EM79" s="61">
        <v>1012600</v>
      </c>
      <c r="EN79" s="61">
        <v>3818594</v>
      </c>
      <c r="EO79" s="61">
        <v>7862030</v>
      </c>
      <c r="EP79" s="61">
        <v>3238572</v>
      </c>
      <c r="EQ79" s="61">
        <v>6058373.666666666</v>
      </c>
      <c r="ER79" s="61">
        <v>0</v>
      </c>
      <c r="ES79" s="61">
        <v>0</v>
      </c>
      <c r="ET79" s="61">
        <v>0</v>
      </c>
      <c r="EU79" s="61">
        <v>0</v>
      </c>
      <c r="EV79" s="61">
        <v>0</v>
      </c>
      <c r="EW79" s="61">
        <v>0</v>
      </c>
      <c r="EX79" s="61">
        <v>0</v>
      </c>
      <c r="EY79" s="61">
        <v>0</v>
      </c>
      <c r="EZ79" s="61">
        <v>0</v>
      </c>
      <c r="FA79" s="61">
        <v>0</v>
      </c>
      <c r="FB79" s="61">
        <v>2967470</v>
      </c>
      <c r="FC79" s="61">
        <v>5508756</v>
      </c>
      <c r="FD79" s="61">
        <v>5789006</v>
      </c>
      <c r="FE79" s="61">
        <v>5554981</v>
      </c>
      <c r="FF79" s="61">
        <v>6612544.833333334</v>
      </c>
      <c r="FG79" s="61">
        <v>0</v>
      </c>
      <c r="FH79" s="168">
        <v>0</v>
      </c>
      <c r="FI79" s="168">
        <v>0</v>
      </c>
      <c r="FJ79" s="61">
        <v>0</v>
      </c>
      <c r="FK79" s="61">
        <v>0</v>
      </c>
      <c r="FL79" s="61">
        <v>0</v>
      </c>
      <c r="FM79" s="61">
        <v>0</v>
      </c>
      <c r="FN79" s="61">
        <v>0</v>
      </c>
      <c r="FO79" s="61">
        <v>0</v>
      </c>
      <c r="FP79" s="61">
        <v>0</v>
      </c>
      <c r="FQ79" s="61">
        <v>2343844</v>
      </c>
      <c r="FR79" s="61">
        <v>6312277</v>
      </c>
      <c r="FS79" s="61">
        <v>10801700</v>
      </c>
      <c r="FT79" s="61">
        <v>8513842</v>
      </c>
      <c r="FU79" s="61">
        <v>7283579.666666666</v>
      </c>
      <c r="FV79" s="61">
        <v>0</v>
      </c>
      <c r="FW79" s="61">
        <v>0</v>
      </c>
      <c r="FX79" s="61">
        <v>0</v>
      </c>
      <c r="FY79" s="61">
        <v>0</v>
      </c>
      <c r="FZ79" s="61">
        <v>0</v>
      </c>
      <c r="GA79" s="61">
        <v>0</v>
      </c>
      <c r="GB79" s="61">
        <v>0</v>
      </c>
      <c r="GC79" s="61">
        <v>0</v>
      </c>
      <c r="GD79" s="61">
        <v>0</v>
      </c>
      <c r="GE79" s="61">
        <v>0</v>
      </c>
      <c r="GF79" s="61">
        <v>7962675</v>
      </c>
      <c r="GG79" s="61">
        <v>8247612</v>
      </c>
      <c r="GH79" s="61">
        <v>8742503.6660000011</v>
      </c>
      <c r="GI79" s="61">
        <v>4500050.166666666</v>
      </c>
      <c r="GJ79" s="61">
        <v>11618696</v>
      </c>
    </row>
    <row r="80" spans="2:207">
      <c r="B80" t="s">
        <v>800</v>
      </c>
      <c r="C80" t="s">
        <v>797</v>
      </c>
      <c r="D80" t="s">
        <v>214</v>
      </c>
      <c r="E80" s="61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1">
        <v>0</v>
      </c>
      <c r="Q80" s="61">
        <v>6523660</v>
      </c>
      <c r="R80" s="61">
        <v>8009140</v>
      </c>
      <c r="S80" s="61">
        <v>4017780</v>
      </c>
      <c r="T80" s="61">
        <v>7575917</v>
      </c>
      <c r="U80" s="61">
        <v>0</v>
      </c>
      <c r="V80" s="61">
        <v>0</v>
      </c>
      <c r="W80" s="61">
        <v>0</v>
      </c>
      <c r="X80" s="61">
        <v>0</v>
      </c>
      <c r="Y80" s="61">
        <v>0</v>
      </c>
      <c r="Z80" s="61">
        <v>0</v>
      </c>
      <c r="AA80" s="61">
        <v>0</v>
      </c>
      <c r="AB80" s="61">
        <v>0</v>
      </c>
      <c r="AC80" s="61">
        <v>0</v>
      </c>
      <c r="AD80" s="61">
        <v>0</v>
      </c>
      <c r="AE80" s="61">
        <v>0</v>
      </c>
      <c r="AF80" s="61">
        <v>0</v>
      </c>
      <c r="AG80" s="61">
        <v>4491926</v>
      </c>
      <c r="AH80" s="61">
        <v>6723360</v>
      </c>
      <c r="AI80" s="61">
        <v>5706700</v>
      </c>
      <c r="AJ80" s="61">
        <v>5616033</v>
      </c>
      <c r="AK80" s="61">
        <v>0</v>
      </c>
      <c r="AL80" s="61">
        <v>0</v>
      </c>
      <c r="AM80" s="61">
        <v>0</v>
      </c>
      <c r="AN80" s="61">
        <v>0</v>
      </c>
      <c r="AO80" s="61">
        <v>0</v>
      </c>
      <c r="AP80" s="61">
        <v>0</v>
      </c>
      <c r="AQ80" s="61">
        <v>0</v>
      </c>
      <c r="AR80" s="61">
        <v>0</v>
      </c>
      <c r="AS80" s="61">
        <v>0</v>
      </c>
      <c r="AT80" s="61">
        <v>0</v>
      </c>
      <c r="AU80" s="61">
        <v>0</v>
      </c>
      <c r="AV80" s="61">
        <v>0</v>
      </c>
      <c r="AW80" s="61">
        <v>5700197</v>
      </c>
      <c r="AX80" s="61">
        <v>5519061</v>
      </c>
      <c r="AY80" s="61">
        <v>6755750</v>
      </c>
      <c r="AZ80" s="61">
        <v>5882776</v>
      </c>
      <c r="BA80" s="61">
        <v>0</v>
      </c>
      <c r="BB80" s="61">
        <v>0</v>
      </c>
      <c r="BC80" s="61">
        <v>0</v>
      </c>
      <c r="BD80" s="61">
        <v>0</v>
      </c>
      <c r="BE80" s="61">
        <v>0</v>
      </c>
      <c r="BF80" s="61">
        <v>0</v>
      </c>
      <c r="BG80" s="61">
        <v>0</v>
      </c>
      <c r="BH80" s="61">
        <v>0</v>
      </c>
      <c r="BI80" s="61">
        <v>0</v>
      </c>
      <c r="BJ80" s="61">
        <v>0</v>
      </c>
      <c r="BK80" s="61">
        <v>0</v>
      </c>
      <c r="BL80" s="61">
        <v>0</v>
      </c>
      <c r="BM80" s="61">
        <v>3942259</v>
      </c>
      <c r="BN80" s="61">
        <v>4225393</v>
      </c>
      <c r="BO80" s="61">
        <v>2493940</v>
      </c>
      <c r="BP80" s="61">
        <v>3446082</v>
      </c>
      <c r="BQ80" s="61">
        <v>0</v>
      </c>
      <c r="BR80" s="61">
        <v>0</v>
      </c>
      <c r="BS80" s="61">
        <v>0</v>
      </c>
      <c r="BT80" s="61">
        <v>0</v>
      </c>
      <c r="BU80" s="61">
        <v>0</v>
      </c>
      <c r="BV80" s="61">
        <v>0</v>
      </c>
      <c r="BW80" s="61">
        <v>0</v>
      </c>
      <c r="BX80" s="61">
        <v>0</v>
      </c>
      <c r="BY80" s="61">
        <v>0</v>
      </c>
      <c r="BZ80" s="61">
        <v>0</v>
      </c>
      <c r="CA80" s="61">
        <v>0</v>
      </c>
      <c r="CB80" s="61">
        <v>0</v>
      </c>
      <c r="CC80" s="61">
        <v>4452495</v>
      </c>
      <c r="CD80" s="61">
        <v>3213262</v>
      </c>
      <c r="CE80" s="61">
        <v>2864775</v>
      </c>
      <c r="CF80" s="61">
        <v>2305587</v>
      </c>
      <c r="CG80" s="61">
        <v>0</v>
      </c>
      <c r="CH80" s="61">
        <v>0</v>
      </c>
      <c r="CI80" s="61">
        <v>0</v>
      </c>
      <c r="CJ80" s="61">
        <v>0</v>
      </c>
      <c r="CK80" s="61">
        <v>0</v>
      </c>
      <c r="CL80" s="61">
        <v>0</v>
      </c>
      <c r="CM80" s="61">
        <v>0</v>
      </c>
      <c r="CN80" s="61">
        <v>0</v>
      </c>
      <c r="CO80" s="61">
        <v>0</v>
      </c>
      <c r="CP80" s="61">
        <v>0</v>
      </c>
      <c r="CQ80" s="61">
        <v>0</v>
      </c>
      <c r="CR80" s="61">
        <v>0</v>
      </c>
      <c r="CS80" s="61">
        <v>3890387</v>
      </c>
      <c r="CT80" s="61">
        <v>2948513</v>
      </c>
      <c r="CU80" s="61">
        <v>4086740</v>
      </c>
      <c r="CV80" s="61">
        <v>2854746</v>
      </c>
      <c r="CW80" s="61">
        <v>0</v>
      </c>
      <c r="CX80" s="61">
        <v>0</v>
      </c>
      <c r="CY80" s="61">
        <v>0</v>
      </c>
      <c r="CZ80" s="61">
        <v>0</v>
      </c>
      <c r="DA80" s="61">
        <v>0</v>
      </c>
      <c r="DB80" s="61">
        <v>0</v>
      </c>
      <c r="DC80" s="61">
        <v>0</v>
      </c>
      <c r="DD80" s="61">
        <v>0</v>
      </c>
      <c r="DE80" s="61">
        <v>0</v>
      </c>
      <c r="DF80" s="61">
        <v>0</v>
      </c>
      <c r="DG80" s="61">
        <v>0</v>
      </c>
      <c r="DH80" s="61">
        <v>0</v>
      </c>
      <c r="DI80" s="61">
        <v>4765524</v>
      </c>
      <c r="DJ80" s="61">
        <v>3297590</v>
      </c>
      <c r="DK80" s="61">
        <v>3844386.5</v>
      </c>
      <c r="DL80" s="61">
        <v>1756973</v>
      </c>
      <c r="DM80" s="61">
        <v>0</v>
      </c>
      <c r="DN80" s="61">
        <v>0</v>
      </c>
      <c r="DO80" s="61">
        <v>0</v>
      </c>
      <c r="DP80" s="61">
        <v>0</v>
      </c>
      <c r="DQ80" s="61">
        <v>0</v>
      </c>
      <c r="DR80" s="61">
        <v>0</v>
      </c>
      <c r="DS80" s="61">
        <v>0</v>
      </c>
      <c r="DT80" s="61">
        <v>0</v>
      </c>
      <c r="DU80" s="61">
        <v>0</v>
      </c>
      <c r="DV80" s="61">
        <v>0</v>
      </c>
      <c r="DW80" s="61">
        <v>0</v>
      </c>
      <c r="DX80" s="61">
        <v>0</v>
      </c>
      <c r="DY80" s="61">
        <v>2761561</v>
      </c>
      <c r="DZ80" s="61">
        <v>3838060</v>
      </c>
      <c r="EA80" s="61">
        <v>2780148</v>
      </c>
      <c r="EB80" s="61">
        <v>2837470</v>
      </c>
      <c r="EC80" s="61">
        <v>0</v>
      </c>
      <c r="ED80" s="61">
        <v>0</v>
      </c>
      <c r="EE80" s="61">
        <v>0</v>
      </c>
      <c r="EF80" s="61">
        <v>0</v>
      </c>
      <c r="EG80" s="61">
        <v>0</v>
      </c>
      <c r="EH80" s="61">
        <v>0</v>
      </c>
      <c r="EI80" s="61">
        <v>0</v>
      </c>
      <c r="EJ80" s="61">
        <v>0</v>
      </c>
      <c r="EK80" s="61">
        <v>0</v>
      </c>
      <c r="EL80" s="61">
        <v>0</v>
      </c>
      <c r="EM80" s="61">
        <v>0</v>
      </c>
      <c r="EN80" s="61">
        <v>40942</v>
      </c>
      <c r="EO80" s="61">
        <v>4070136</v>
      </c>
      <c r="EP80" s="61">
        <v>2634870</v>
      </c>
      <c r="EQ80" s="61">
        <v>3141007.5</v>
      </c>
      <c r="ER80" s="61">
        <v>0</v>
      </c>
      <c r="ES80" s="61">
        <v>0</v>
      </c>
      <c r="ET80" s="61">
        <v>0</v>
      </c>
      <c r="EU80" s="61">
        <v>0</v>
      </c>
      <c r="EV80" s="61">
        <v>0</v>
      </c>
      <c r="EW80" s="61">
        <v>0</v>
      </c>
      <c r="EX80" s="61">
        <v>0</v>
      </c>
      <c r="EY80" s="61">
        <v>0</v>
      </c>
      <c r="EZ80" s="61">
        <v>0</v>
      </c>
      <c r="FA80" s="61">
        <v>0</v>
      </c>
      <c r="FB80" s="61">
        <v>0</v>
      </c>
      <c r="FC80" s="61">
        <v>2458258</v>
      </c>
      <c r="FD80" s="61">
        <v>3001353</v>
      </c>
      <c r="FE80" s="61">
        <v>3012980</v>
      </c>
      <c r="FF80" s="61">
        <v>5226928</v>
      </c>
      <c r="FG80" s="61">
        <v>0</v>
      </c>
      <c r="FH80" s="168">
        <v>0</v>
      </c>
      <c r="FI80" s="168">
        <v>0</v>
      </c>
      <c r="FJ80" s="61">
        <v>0</v>
      </c>
      <c r="FK80" s="61">
        <v>0</v>
      </c>
      <c r="FL80" s="61">
        <v>0</v>
      </c>
      <c r="FM80" s="61">
        <v>0</v>
      </c>
      <c r="FN80" s="61">
        <v>0</v>
      </c>
      <c r="FO80" s="61">
        <v>0</v>
      </c>
      <c r="FP80" s="61">
        <v>0</v>
      </c>
      <c r="FQ80" s="61">
        <v>0</v>
      </c>
      <c r="FR80" s="61">
        <v>4214159</v>
      </c>
      <c r="FS80" s="61">
        <v>7495557</v>
      </c>
      <c r="FT80" s="61">
        <v>4706240</v>
      </c>
      <c r="FU80" s="61">
        <v>4201787</v>
      </c>
      <c r="FV80" s="61">
        <v>0</v>
      </c>
      <c r="FW80" s="61">
        <v>0</v>
      </c>
      <c r="FX80" s="61">
        <v>0</v>
      </c>
      <c r="FY80" s="61">
        <v>0</v>
      </c>
      <c r="FZ80" s="61">
        <v>0</v>
      </c>
      <c r="GA80" s="61">
        <v>0</v>
      </c>
      <c r="GB80" s="61">
        <v>0</v>
      </c>
      <c r="GC80" s="61">
        <v>0</v>
      </c>
      <c r="GD80" s="61">
        <v>0</v>
      </c>
      <c r="GE80" s="61">
        <v>0</v>
      </c>
      <c r="GF80" s="61">
        <v>0</v>
      </c>
      <c r="GG80" s="61">
        <v>6386312</v>
      </c>
      <c r="GH80" s="61">
        <v>8361691.5000000009</v>
      </c>
      <c r="GI80" s="61">
        <v>4038300</v>
      </c>
      <c r="GJ80" s="61">
        <v>6342419</v>
      </c>
    </row>
    <row r="81" spans="2:192">
      <c r="D81" t="s">
        <v>306</v>
      </c>
      <c r="E81" s="61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1">
        <v>0</v>
      </c>
      <c r="L81" s="61">
        <v>0</v>
      </c>
      <c r="M81" s="61">
        <v>0</v>
      </c>
      <c r="N81" s="61">
        <v>0</v>
      </c>
      <c r="O81" s="61">
        <v>0</v>
      </c>
      <c r="P81" s="61">
        <v>0</v>
      </c>
      <c r="Q81" s="61">
        <v>2350000</v>
      </c>
      <c r="R81" s="61">
        <v>2677000</v>
      </c>
      <c r="S81" s="61">
        <v>1491720</v>
      </c>
      <c r="T81" s="61">
        <v>2555350</v>
      </c>
      <c r="U81" s="61">
        <v>0</v>
      </c>
      <c r="V81" s="61">
        <v>0</v>
      </c>
      <c r="W81" s="61">
        <v>0</v>
      </c>
      <c r="X81" s="61">
        <v>0</v>
      </c>
      <c r="Y81" s="61">
        <v>0</v>
      </c>
      <c r="Z81" s="61">
        <v>0</v>
      </c>
      <c r="AA81" s="61">
        <v>0</v>
      </c>
      <c r="AB81" s="61">
        <v>0</v>
      </c>
      <c r="AC81" s="61">
        <v>0</v>
      </c>
      <c r="AD81" s="61">
        <v>0</v>
      </c>
      <c r="AE81" s="61">
        <v>0</v>
      </c>
      <c r="AF81" s="61">
        <v>0</v>
      </c>
      <c r="AG81" s="61">
        <v>1868000</v>
      </c>
      <c r="AH81" s="61">
        <v>2514677</v>
      </c>
      <c r="AI81" s="61">
        <v>1960380</v>
      </c>
      <c r="AJ81" s="61">
        <v>1360091</v>
      </c>
      <c r="AK81" s="61">
        <v>0</v>
      </c>
      <c r="AL81" s="61">
        <v>0</v>
      </c>
      <c r="AM81" s="61">
        <v>0</v>
      </c>
      <c r="AN81" s="61">
        <v>0</v>
      </c>
      <c r="AO81" s="61">
        <v>0</v>
      </c>
      <c r="AP81" s="61">
        <v>0</v>
      </c>
      <c r="AQ81" s="61">
        <v>0</v>
      </c>
      <c r="AR81" s="61">
        <v>0</v>
      </c>
      <c r="AS81" s="61">
        <v>0</v>
      </c>
      <c r="AT81" s="61">
        <v>0</v>
      </c>
      <c r="AU81" s="61">
        <v>0</v>
      </c>
      <c r="AV81" s="61">
        <v>0</v>
      </c>
      <c r="AW81" s="61">
        <v>1566000</v>
      </c>
      <c r="AX81" s="61">
        <v>2156478</v>
      </c>
      <c r="AY81" s="61">
        <v>1832890</v>
      </c>
      <c r="AZ81" s="61">
        <v>2063281</v>
      </c>
      <c r="BA81" s="61">
        <v>0</v>
      </c>
      <c r="BB81" s="61">
        <v>0</v>
      </c>
      <c r="BC81" s="61">
        <v>0</v>
      </c>
      <c r="BD81" s="61">
        <v>0</v>
      </c>
      <c r="BE81" s="61">
        <v>0</v>
      </c>
      <c r="BF81" s="61">
        <v>0</v>
      </c>
      <c r="BG81" s="61">
        <v>0</v>
      </c>
      <c r="BH81" s="61">
        <v>0</v>
      </c>
      <c r="BI81" s="61">
        <v>0</v>
      </c>
      <c r="BJ81" s="61">
        <v>0</v>
      </c>
      <c r="BK81" s="61">
        <v>0</v>
      </c>
      <c r="BL81" s="61">
        <v>0</v>
      </c>
      <c r="BM81" s="61">
        <v>1400000</v>
      </c>
      <c r="BN81" s="61">
        <v>1217341</v>
      </c>
      <c r="BO81" s="61">
        <v>887780</v>
      </c>
      <c r="BP81" s="61">
        <v>1100066</v>
      </c>
      <c r="BQ81" s="61">
        <v>0</v>
      </c>
      <c r="BR81" s="61">
        <v>0</v>
      </c>
      <c r="BS81" s="61">
        <v>0</v>
      </c>
      <c r="BT81" s="61">
        <v>0</v>
      </c>
      <c r="BU81" s="61">
        <v>0</v>
      </c>
      <c r="BV81" s="61">
        <v>0</v>
      </c>
      <c r="BW81" s="61">
        <v>0</v>
      </c>
      <c r="BX81" s="61">
        <v>0</v>
      </c>
      <c r="BY81" s="61">
        <v>0</v>
      </c>
      <c r="BZ81" s="61">
        <v>0</v>
      </c>
      <c r="CA81" s="61">
        <v>0</v>
      </c>
      <c r="CB81" s="61">
        <v>0</v>
      </c>
      <c r="CC81" s="61">
        <v>1354158</v>
      </c>
      <c r="CD81" s="61">
        <v>1321557</v>
      </c>
      <c r="CE81" s="61">
        <v>1065488</v>
      </c>
      <c r="CF81" s="61">
        <v>1429039</v>
      </c>
      <c r="CG81" s="61">
        <v>0</v>
      </c>
      <c r="CH81" s="61">
        <v>0</v>
      </c>
      <c r="CI81" s="61">
        <v>0</v>
      </c>
      <c r="CJ81" s="61">
        <v>0</v>
      </c>
      <c r="CK81" s="61">
        <v>0</v>
      </c>
      <c r="CL81" s="61">
        <v>0</v>
      </c>
      <c r="CM81" s="61">
        <v>0</v>
      </c>
      <c r="CN81" s="61">
        <v>0</v>
      </c>
      <c r="CO81" s="61">
        <v>0</v>
      </c>
      <c r="CP81" s="61">
        <v>0</v>
      </c>
      <c r="CQ81" s="61">
        <v>0</v>
      </c>
      <c r="CR81" s="61">
        <v>0</v>
      </c>
      <c r="CS81" s="61">
        <v>1177000</v>
      </c>
      <c r="CT81" s="61">
        <v>766942</v>
      </c>
      <c r="CU81" s="61">
        <v>1030090</v>
      </c>
      <c r="CV81" s="61">
        <v>495774</v>
      </c>
      <c r="CW81" s="61">
        <v>0</v>
      </c>
      <c r="CX81" s="61">
        <v>0</v>
      </c>
      <c r="CY81" s="61">
        <v>0</v>
      </c>
      <c r="CZ81" s="61">
        <v>0</v>
      </c>
      <c r="DA81" s="61">
        <v>0</v>
      </c>
      <c r="DB81" s="61">
        <v>0</v>
      </c>
      <c r="DC81" s="61">
        <v>0</v>
      </c>
      <c r="DD81" s="61">
        <v>0</v>
      </c>
      <c r="DE81" s="61">
        <v>0</v>
      </c>
      <c r="DF81" s="61">
        <v>0</v>
      </c>
      <c r="DG81" s="61">
        <v>0</v>
      </c>
      <c r="DH81" s="61">
        <v>0</v>
      </c>
      <c r="DI81" s="61">
        <v>978000</v>
      </c>
      <c r="DJ81" s="61">
        <v>605580</v>
      </c>
      <c r="DK81" s="61">
        <v>1166735.83</v>
      </c>
      <c r="DL81" s="61">
        <v>661214</v>
      </c>
      <c r="DM81" s="61">
        <v>0</v>
      </c>
      <c r="DN81" s="61">
        <v>0</v>
      </c>
      <c r="DO81" s="61">
        <v>0</v>
      </c>
      <c r="DP81" s="61">
        <v>0</v>
      </c>
      <c r="DQ81" s="61">
        <v>0</v>
      </c>
      <c r="DR81" s="61">
        <v>0</v>
      </c>
      <c r="DS81" s="61">
        <v>0</v>
      </c>
      <c r="DT81" s="61">
        <v>0</v>
      </c>
      <c r="DU81" s="61">
        <v>0</v>
      </c>
      <c r="DV81" s="61">
        <v>0</v>
      </c>
      <c r="DW81" s="61">
        <v>0</v>
      </c>
      <c r="DX81" s="61">
        <v>0</v>
      </c>
      <c r="DY81" s="61">
        <v>1114777</v>
      </c>
      <c r="DZ81" s="61">
        <v>706960</v>
      </c>
      <c r="EA81" s="61">
        <v>778873</v>
      </c>
      <c r="EB81" s="61">
        <v>851597</v>
      </c>
      <c r="EC81" s="61">
        <v>0</v>
      </c>
      <c r="ED81" s="61">
        <v>0</v>
      </c>
      <c r="EE81" s="61">
        <v>0</v>
      </c>
      <c r="EF81" s="61">
        <v>0</v>
      </c>
      <c r="EG81" s="61">
        <v>0</v>
      </c>
      <c r="EH81" s="61">
        <v>0</v>
      </c>
      <c r="EI81" s="61">
        <v>0</v>
      </c>
      <c r="EJ81" s="61">
        <v>0</v>
      </c>
      <c r="EK81" s="61">
        <v>0</v>
      </c>
      <c r="EL81" s="61">
        <v>0</v>
      </c>
      <c r="EM81" s="61">
        <v>0</v>
      </c>
      <c r="EN81" s="61">
        <v>0</v>
      </c>
      <c r="EO81" s="61">
        <v>1676669</v>
      </c>
      <c r="EP81" s="61">
        <v>723670</v>
      </c>
      <c r="EQ81" s="61">
        <v>714768.17</v>
      </c>
      <c r="ER81" s="61">
        <v>0</v>
      </c>
      <c r="ES81" s="61">
        <v>0</v>
      </c>
      <c r="ET81" s="61">
        <v>0</v>
      </c>
      <c r="EU81" s="61">
        <v>0</v>
      </c>
      <c r="EV81" s="61">
        <v>0</v>
      </c>
      <c r="EW81" s="61">
        <v>0</v>
      </c>
      <c r="EX81" s="61">
        <v>0</v>
      </c>
      <c r="EY81" s="61">
        <v>0</v>
      </c>
      <c r="EZ81" s="61">
        <v>0</v>
      </c>
      <c r="FA81" s="61">
        <v>0</v>
      </c>
      <c r="FB81" s="61">
        <v>0</v>
      </c>
      <c r="FC81" s="61">
        <v>141778</v>
      </c>
      <c r="FD81" s="61">
        <v>1102683</v>
      </c>
      <c r="FE81" s="61">
        <v>1169940</v>
      </c>
      <c r="FF81" s="61">
        <v>1479638</v>
      </c>
      <c r="FG81" s="61">
        <v>0</v>
      </c>
      <c r="FH81" s="168">
        <v>0</v>
      </c>
      <c r="FI81" s="168">
        <v>0</v>
      </c>
      <c r="FJ81" s="61">
        <v>0</v>
      </c>
      <c r="FK81" s="61">
        <v>0</v>
      </c>
      <c r="FL81" s="61">
        <v>0</v>
      </c>
      <c r="FM81" s="61">
        <v>0</v>
      </c>
      <c r="FN81" s="61">
        <v>0</v>
      </c>
      <c r="FO81" s="61">
        <v>0</v>
      </c>
      <c r="FP81" s="61">
        <v>0</v>
      </c>
      <c r="FQ81" s="61">
        <v>0</v>
      </c>
      <c r="FR81" s="61">
        <v>2874434</v>
      </c>
      <c r="FS81" s="61">
        <v>2286681</v>
      </c>
      <c r="FT81" s="61">
        <v>1662560</v>
      </c>
      <c r="FU81" s="61">
        <v>1685240</v>
      </c>
      <c r="FV81" s="61">
        <v>0</v>
      </c>
      <c r="FW81" s="61">
        <v>0</v>
      </c>
      <c r="FX81" s="61">
        <v>0</v>
      </c>
      <c r="FY81" s="61">
        <v>0</v>
      </c>
      <c r="FZ81" s="61">
        <v>0</v>
      </c>
      <c r="GA81" s="61">
        <v>0</v>
      </c>
      <c r="GB81" s="61">
        <v>0</v>
      </c>
      <c r="GC81" s="61">
        <v>0</v>
      </c>
      <c r="GD81" s="61">
        <v>0</v>
      </c>
      <c r="GE81" s="61">
        <v>0</v>
      </c>
      <c r="GF81" s="61">
        <v>0</v>
      </c>
      <c r="GG81" s="61">
        <v>-138052195</v>
      </c>
      <c r="GH81" s="61">
        <v>2626367</v>
      </c>
      <c r="GI81" s="61">
        <v>1131230</v>
      </c>
      <c r="GJ81" s="61">
        <v>2386265</v>
      </c>
    </row>
    <row r="82" spans="2:192">
      <c r="B82" t="s">
        <v>2619</v>
      </c>
      <c r="E82" s="61">
        <v>0</v>
      </c>
      <c r="F82" s="61">
        <v>0</v>
      </c>
      <c r="G82" s="61">
        <v>0</v>
      </c>
      <c r="H82" s="61">
        <v>0</v>
      </c>
      <c r="I82" s="61">
        <v>0</v>
      </c>
      <c r="J82" s="61">
        <v>0</v>
      </c>
      <c r="K82" s="61">
        <v>0</v>
      </c>
      <c r="L82" s="61">
        <v>0</v>
      </c>
      <c r="M82" s="61">
        <v>0</v>
      </c>
      <c r="N82" s="61">
        <v>0</v>
      </c>
      <c r="O82" s="61">
        <v>0</v>
      </c>
      <c r="P82" s="61">
        <v>0</v>
      </c>
      <c r="Q82" s="61">
        <v>8873660</v>
      </c>
      <c r="R82" s="61">
        <v>10686140</v>
      </c>
      <c r="S82" s="61">
        <v>5509500</v>
      </c>
      <c r="T82" s="61">
        <v>10131267</v>
      </c>
      <c r="U82" s="61">
        <v>0</v>
      </c>
      <c r="V82" s="61">
        <v>0</v>
      </c>
      <c r="W82" s="61">
        <v>0</v>
      </c>
      <c r="X82" s="61">
        <v>0</v>
      </c>
      <c r="Y82" s="61">
        <v>0</v>
      </c>
      <c r="Z82" s="61">
        <v>0</v>
      </c>
      <c r="AA82" s="61">
        <v>0</v>
      </c>
      <c r="AB82" s="61">
        <v>0</v>
      </c>
      <c r="AC82" s="61">
        <v>0</v>
      </c>
      <c r="AD82" s="61">
        <v>0</v>
      </c>
      <c r="AE82" s="61">
        <v>0</v>
      </c>
      <c r="AF82" s="61">
        <v>0</v>
      </c>
      <c r="AG82" s="61">
        <v>6359926</v>
      </c>
      <c r="AH82" s="61">
        <v>9238037</v>
      </c>
      <c r="AI82" s="61">
        <v>7667080</v>
      </c>
      <c r="AJ82" s="61">
        <v>6976124</v>
      </c>
      <c r="AK82" s="61">
        <v>0</v>
      </c>
      <c r="AL82" s="61">
        <v>0</v>
      </c>
      <c r="AM82" s="61">
        <v>0</v>
      </c>
      <c r="AN82" s="61">
        <v>0</v>
      </c>
      <c r="AO82" s="61">
        <v>0</v>
      </c>
      <c r="AP82" s="61">
        <v>0</v>
      </c>
      <c r="AQ82" s="61">
        <v>0</v>
      </c>
      <c r="AR82" s="61">
        <v>0</v>
      </c>
      <c r="AS82" s="61">
        <v>0</v>
      </c>
      <c r="AT82" s="61">
        <v>0</v>
      </c>
      <c r="AU82" s="61">
        <v>0</v>
      </c>
      <c r="AV82" s="61">
        <v>0</v>
      </c>
      <c r="AW82" s="61">
        <v>7266197</v>
      </c>
      <c r="AX82" s="61">
        <v>7675539</v>
      </c>
      <c r="AY82" s="61">
        <v>8588640</v>
      </c>
      <c r="AZ82" s="61">
        <v>7946057</v>
      </c>
      <c r="BA82" s="61">
        <v>0</v>
      </c>
      <c r="BB82" s="61">
        <v>0</v>
      </c>
      <c r="BC82" s="61">
        <v>0</v>
      </c>
      <c r="BD82" s="61">
        <v>0</v>
      </c>
      <c r="BE82" s="61">
        <v>0</v>
      </c>
      <c r="BF82" s="61">
        <v>0</v>
      </c>
      <c r="BG82" s="61">
        <v>0</v>
      </c>
      <c r="BH82" s="61">
        <v>0</v>
      </c>
      <c r="BI82" s="61">
        <v>0</v>
      </c>
      <c r="BJ82" s="61">
        <v>0</v>
      </c>
      <c r="BK82" s="61">
        <v>0</v>
      </c>
      <c r="BL82" s="61">
        <v>0</v>
      </c>
      <c r="BM82" s="61">
        <v>5342259</v>
      </c>
      <c r="BN82" s="61">
        <v>5442734</v>
      </c>
      <c r="BO82" s="61">
        <v>3381720</v>
      </c>
      <c r="BP82" s="61">
        <v>4546148</v>
      </c>
      <c r="BQ82" s="61">
        <v>0</v>
      </c>
      <c r="BR82" s="61">
        <v>0</v>
      </c>
      <c r="BS82" s="61">
        <v>0</v>
      </c>
      <c r="BT82" s="61">
        <v>0</v>
      </c>
      <c r="BU82" s="61">
        <v>0</v>
      </c>
      <c r="BV82" s="61">
        <v>0</v>
      </c>
      <c r="BW82" s="61">
        <v>0</v>
      </c>
      <c r="BX82" s="61">
        <v>0</v>
      </c>
      <c r="BY82" s="61">
        <v>0</v>
      </c>
      <c r="BZ82" s="61">
        <v>0</v>
      </c>
      <c r="CA82" s="61">
        <v>0</v>
      </c>
      <c r="CB82" s="61">
        <v>0</v>
      </c>
      <c r="CC82" s="61">
        <v>5806653</v>
      </c>
      <c r="CD82" s="61">
        <v>4534819</v>
      </c>
      <c r="CE82" s="61">
        <v>3930263</v>
      </c>
      <c r="CF82" s="61">
        <v>3734626</v>
      </c>
      <c r="CG82" s="61">
        <v>0</v>
      </c>
      <c r="CH82" s="61">
        <v>0</v>
      </c>
      <c r="CI82" s="61">
        <v>0</v>
      </c>
      <c r="CJ82" s="61">
        <v>0</v>
      </c>
      <c r="CK82" s="61">
        <v>0</v>
      </c>
      <c r="CL82" s="61">
        <v>0</v>
      </c>
      <c r="CM82" s="61">
        <v>0</v>
      </c>
      <c r="CN82" s="61">
        <v>0</v>
      </c>
      <c r="CO82" s="61">
        <v>0</v>
      </c>
      <c r="CP82" s="61">
        <v>0</v>
      </c>
      <c r="CQ82" s="61">
        <v>0</v>
      </c>
      <c r="CR82" s="61">
        <v>0</v>
      </c>
      <c r="CS82" s="61">
        <v>5067387</v>
      </c>
      <c r="CT82" s="61">
        <v>3715455</v>
      </c>
      <c r="CU82" s="61">
        <v>5116830</v>
      </c>
      <c r="CV82" s="61">
        <v>3350520</v>
      </c>
      <c r="CW82" s="61">
        <v>0</v>
      </c>
      <c r="CX82" s="61">
        <v>0</v>
      </c>
      <c r="CY82" s="61">
        <v>0</v>
      </c>
      <c r="CZ82" s="61">
        <v>0</v>
      </c>
      <c r="DA82" s="61">
        <v>0</v>
      </c>
      <c r="DB82" s="61">
        <v>0</v>
      </c>
      <c r="DC82" s="61">
        <v>0</v>
      </c>
      <c r="DD82" s="61">
        <v>0</v>
      </c>
      <c r="DE82" s="61">
        <v>0</v>
      </c>
      <c r="DF82" s="61">
        <v>0</v>
      </c>
      <c r="DG82" s="61">
        <v>0</v>
      </c>
      <c r="DH82" s="61">
        <v>0</v>
      </c>
      <c r="DI82" s="61">
        <v>5743524</v>
      </c>
      <c r="DJ82" s="61">
        <v>3903170</v>
      </c>
      <c r="DK82" s="61">
        <v>5011122.33</v>
      </c>
      <c r="DL82" s="61">
        <v>2418187</v>
      </c>
      <c r="DM82" s="61">
        <v>0</v>
      </c>
      <c r="DN82" s="61">
        <v>0</v>
      </c>
      <c r="DO82" s="61">
        <v>0</v>
      </c>
      <c r="DP82" s="61">
        <v>0</v>
      </c>
      <c r="DQ82" s="61">
        <v>0</v>
      </c>
      <c r="DR82" s="61">
        <v>0</v>
      </c>
      <c r="DS82" s="61">
        <v>0</v>
      </c>
      <c r="DT82" s="61">
        <v>0</v>
      </c>
      <c r="DU82" s="61">
        <v>0</v>
      </c>
      <c r="DV82" s="61">
        <v>0</v>
      </c>
      <c r="DW82" s="61">
        <v>0</v>
      </c>
      <c r="DX82" s="61">
        <v>0</v>
      </c>
      <c r="DY82" s="61">
        <v>3876338</v>
      </c>
      <c r="DZ82" s="61">
        <v>4545020</v>
      </c>
      <c r="EA82" s="61">
        <v>3559021</v>
      </c>
      <c r="EB82" s="61">
        <v>3689067</v>
      </c>
      <c r="EC82" s="61">
        <v>0</v>
      </c>
      <c r="ED82" s="61">
        <v>0</v>
      </c>
      <c r="EE82" s="61">
        <v>0</v>
      </c>
      <c r="EF82" s="61">
        <v>0</v>
      </c>
      <c r="EG82" s="61">
        <v>0</v>
      </c>
      <c r="EH82" s="61">
        <v>0</v>
      </c>
      <c r="EI82" s="61">
        <v>0</v>
      </c>
      <c r="EJ82" s="61">
        <v>0</v>
      </c>
      <c r="EK82" s="61">
        <v>0</v>
      </c>
      <c r="EL82" s="61">
        <v>0</v>
      </c>
      <c r="EM82" s="61">
        <v>0</v>
      </c>
      <c r="EN82" s="61">
        <v>40942</v>
      </c>
      <c r="EO82" s="61">
        <v>5746805</v>
      </c>
      <c r="EP82" s="61">
        <v>3358540</v>
      </c>
      <c r="EQ82" s="61">
        <v>3855775.67</v>
      </c>
      <c r="ER82" s="61">
        <v>0</v>
      </c>
      <c r="ES82" s="61">
        <v>0</v>
      </c>
      <c r="ET82" s="61">
        <v>0</v>
      </c>
      <c r="EU82" s="61">
        <v>0</v>
      </c>
      <c r="EV82" s="61">
        <v>0</v>
      </c>
      <c r="EW82" s="61">
        <v>0</v>
      </c>
      <c r="EX82" s="61">
        <v>0</v>
      </c>
      <c r="EY82" s="61">
        <v>0</v>
      </c>
      <c r="EZ82" s="61">
        <v>0</v>
      </c>
      <c r="FA82" s="61">
        <v>0</v>
      </c>
      <c r="FB82" s="61">
        <v>0</v>
      </c>
      <c r="FC82" s="61">
        <v>2600036</v>
      </c>
      <c r="FD82" s="61">
        <v>4104036</v>
      </c>
      <c r="FE82" s="61">
        <v>4182920</v>
      </c>
      <c r="FF82" s="61">
        <v>6706566</v>
      </c>
      <c r="FG82" s="61">
        <v>0</v>
      </c>
      <c r="FH82" s="168">
        <v>0</v>
      </c>
      <c r="FI82" s="168">
        <v>0</v>
      </c>
      <c r="FJ82" s="61">
        <v>0</v>
      </c>
      <c r="FK82" s="61">
        <v>0</v>
      </c>
      <c r="FL82" s="61">
        <v>0</v>
      </c>
      <c r="FM82" s="61">
        <v>0</v>
      </c>
      <c r="FN82" s="61">
        <v>0</v>
      </c>
      <c r="FO82" s="61">
        <v>0</v>
      </c>
      <c r="FP82" s="61">
        <v>0</v>
      </c>
      <c r="FQ82" s="61">
        <v>0</v>
      </c>
      <c r="FR82" s="61">
        <v>7088593</v>
      </c>
      <c r="FS82" s="61">
        <v>9782238</v>
      </c>
      <c r="FT82" s="61">
        <v>6368800</v>
      </c>
      <c r="FU82" s="61">
        <v>5887027</v>
      </c>
      <c r="FV82" s="61">
        <v>0</v>
      </c>
      <c r="FW82" s="61">
        <v>0</v>
      </c>
      <c r="FX82" s="61">
        <v>0</v>
      </c>
      <c r="FY82" s="61">
        <v>0</v>
      </c>
      <c r="FZ82" s="61">
        <v>0</v>
      </c>
      <c r="GA82" s="61">
        <v>0</v>
      </c>
      <c r="GB82" s="61">
        <v>0</v>
      </c>
      <c r="GC82" s="61">
        <v>0</v>
      </c>
      <c r="GD82" s="61">
        <v>0</v>
      </c>
      <c r="GE82" s="61">
        <v>0</v>
      </c>
      <c r="GF82" s="61">
        <v>0</v>
      </c>
      <c r="GG82" s="61">
        <v>-131665883</v>
      </c>
      <c r="GH82" s="61">
        <v>10988058.5</v>
      </c>
      <c r="GI82" s="61">
        <v>5169530</v>
      </c>
      <c r="GJ82" s="61">
        <v>8728684</v>
      </c>
    </row>
    <row r="83" spans="2:192">
      <c r="B83" t="s">
        <v>792</v>
      </c>
      <c r="C83" t="s">
        <v>794</v>
      </c>
      <c r="D83" t="s">
        <v>301</v>
      </c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>
        <v>8088034</v>
      </c>
      <c r="S83" s="61">
        <v>3842850</v>
      </c>
      <c r="T83" s="61">
        <v>7585044</v>
      </c>
      <c r="U83" s="61">
        <v>0</v>
      </c>
      <c r="V83" s="61">
        <v>0</v>
      </c>
      <c r="W83" s="61">
        <v>0</v>
      </c>
      <c r="X83" s="61">
        <v>0</v>
      </c>
      <c r="Y83" s="61">
        <v>0</v>
      </c>
      <c r="Z83" s="61">
        <v>0</v>
      </c>
      <c r="AA83" s="61">
        <v>0</v>
      </c>
      <c r="AB83" s="61">
        <v>0</v>
      </c>
      <c r="AC83" s="61">
        <v>0</v>
      </c>
      <c r="AD83" s="61">
        <v>0</v>
      </c>
      <c r="AE83" s="61">
        <v>0</v>
      </c>
      <c r="AF83" s="61">
        <v>0</v>
      </c>
      <c r="AG83" s="61">
        <v>0</v>
      </c>
      <c r="AH83" s="61">
        <v>7375073</v>
      </c>
      <c r="AI83" s="61">
        <v>5213190</v>
      </c>
      <c r="AJ83" s="61">
        <v>5763053</v>
      </c>
      <c r="AK83" s="61">
        <v>0</v>
      </c>
      <c r="AL83" s="61">
        <v>0</v>
      </c>
      <c r="AM83" s="61">
        <v>0</v>
      </c>
      <c r="AN83" s="61">
        <v>0</v>
      </c>
      <c r="AO83" s="61">
        <v>0</v>
      </c>
      <c r="AP83" s="61">
        <v>0</v>
      </c>
      <c r="AQ83" s="61">
        <v>0</v>
      </c>
      <c r="AR83" s="61">
        <v>0</v>
      </c>
      <c r="AS83" s="61">
        <v>0</v>
      </c>
      <c r="AT83" s="61">
        <v>0</v>
      </c>
      <c r="AU83" s="61">
        <v>0</v>
      </c>
      <c r="AV83" s="61">
        <v>0</v>
      </c>
      <c r="AW83" s="61">
        <v>1780167</v>
      </c>
      <c r="AX83" s="61">
        <v>6148495</v>
      </c>
      <c r="AY83" s="61">
        <v>5953530</v>
      </c>
      <c r="AZ83" s="61">
        <v>4782702</v>
      </c>
      <c r="BA83" s="61">
        <v>0</v>
      </c>
      <c r="BB83" s="61">
        <v>0</v>
      </c>
      <c r="BC83" s="61">
        <v>0</v>
      </c>
      <c r="BD83" s="61">
        <v>0</v>
      </c>
      <c r="BE83" s="61">
        <v>0</v>
      </c>
      <c r="BF83" s="61">
        <v>0</v>
      </c>
      <c r="BG83" s="61">
        <v>0</v>
      </c>
      <c r="BH83" s="61">
        <v>0</v>
      </c>
      <c r="BI83" s="61">
        <v>0</v>
      </c>
      <c r="BJ83" s="61">
        <v>0</v>
      </c>
      <c r="BK83" s="61">
        <v>0</v>
      </c>
      <c r="BL83" s="61">
        <v>0</v>
      </c>
      <c r="BM83" s="61">
        <v>2960738</v>
      </c>
      <c r="BN83" s="61">
        <v>3876541</v>
      </c>
      <c r="BO83" s="61">
        <v>2576680</v>
      </c>
      <c r="BP83" s="61">
        <v>3544595</v>
      </c>
      <c r="BQ83" s="61">
        <v>0</v>
      </c>
      <c r="BR83" s="61">
        <v>0</v>
      </c>
      <c r="BS83" s="61">
        <v>0</v>
      </c>
      <c r="BT83" s="61">
        <v>0</v>
      </c>
      <c r="BU83" s="61">
        <v>0</v>
      </c>
      <c r="BV83" s="61">
        <v>0</v>
      </c>
      <c r="BW83" s="61">
        <v>0</v>
      </c>
      <c r="BX83" s="61">
        <v>0</v>
      </c>
      <c r="BY83" s="61">
        <v>0</v>
      </c>
      <c r="BZ83" s="61">
        <v>0</v>
      </c>
      <c r="CA83" s="61">
        <v>0</v>
      </c>
      <c r="CB83" s="61">
        <v>0</v>
      </c>
      <c r="CC83" s="61">
        <v>3740349</v>
      </c>
      <c r="CD83" s="61">
        <v>3251519</v>
      </c>
      <c r="CE83" s="61">
        <v>2769475</v>
      </c>
      <c r="CF83" s="61">
        <v>2933621</v>
      </c>
      <c r="CG83" s="61">
        <v>0</v>
      </c>
      <c r="CH83" s="61">
        <v>0</v>
      </c>
      <c r="CI83" s="61">
        <v>0</v>
      </c>
      <c r="CJ83" s="61">
        <v>0</v>
      </c>
      <c r="CK83" s="61">
        <v>0</v>
      </c>
      <c r="CL83" s="61">
        <v>0</v>
      </c>
      <c r="CM83" s="61">
        <v>0</v>
      </c>
      <c r="CN83" s="61">
        <v>0</v>
      </c>
      <c r="CO83" s="61">
        <v>0</v>
      </c>
      <c r="CP83" s="61">
        <v>0</v>
      </c>
      <c r="CQ83" s="61">
        <v>0</v>
      </c>
      <c r="CR83" s="61">
        <v>0</v>
      </c>
      <c r="CS83" s="61">
        <v>3579919</v>
      </c>
      <c r="CT83" s="61">
        <v>2372320</v>
      </c>
      <c r="CU83" s="61">
        <v>2874250</v>
      </c>
      <c r="CV83" s="61">
        <v>2640025</v>
      </c>
      <c r="CW83" s="61">
        <v>0</v>
      </c>
      <c r="CX83" s="61">
        <v>0</v>
      </c>
      <c r="CY83" s="61">
        <v>0</v>
      </c>
      <c r="CZ83" s="61">
        <v>0</v>
      </c>
      <c r="DA83" s="61">
        <v>0</v>
      </c>
      <c r="DB83" s="61">
        <v>0</v>
      </c>
      <c r="DC83" s="61">
        <v>0</v>
      </c>
      <c r="DD83" s="61">
        <v>0</v>
      </c>
      <c r="DE83" s="61">
        <v>0</v>
      </c>
      <c r="DF83" s="61">
        <v>0</v>
      </c>
      <c r="DG83" s="61">
        <v>0</v>
      </c>
      <c r="DH83" s="61">
        <v>0</v>
      </c>
      <c r="DI83" s="61">
        <v>3561765</v>
      </c>
      <c r="DJ83" s="61">
        <v>1953880</v>
      </c>
      <c r="DK83" s="61">
        <v>3389979.17</v>
      </c>
      <c r="DL83" s="61">
        <v>1918214</v>
      </c>
      <c r="DM83" s="61">
        <v>0</v>
      </c>
      <c r="DN83" s="61">
        <v>0</v>
      </c>
      <c r="DO83" s="61">
        <v>0</v>
      </c>
      <c r="DP83" s="61">
        <v>0</v>
      </c>
      <c r="DQ83" s="61">
        <v>0</v>
      </c>
      <c r="DR83" s="61">
        <v>0</v>
      </c>
      <c r="DS83" s="61">
        <v>0</v>
      </c>
      <c r="DT83" s="61">
        <v>0</v>
      </c>
      <c r="DU83" s="61">
        <v>0</v>
      </c>
      <c r="DV83" s="61">
        <v>0</v>
      </c>
      <c r="DW83" s="61">
        <v>0</v>
      </c>
      <c r="DX83" s="61">
        <v>0</v>
      </c>
      <c r="DY83" s="61">
        <v>2808362</v>
      </c>
      <c r="DZ83" s="61">
        <v>2864630</v>
      </c>
      <c r="EA83" s="61">
        <v>2186483</v>
      </c>
      <c r="EB83" s="61">
        <v>2570059</v>
      </c>
      <c r="EC83" s="61">
        <v>0</v>
      </c>
      <c r="ED83" s="61">
        <v>0</v>
      </c>
      <c r="EE83" s="61">
        <v>0</v>
      </c>
      <c r="EF83" s="61">
        <v>0</v>
      </c>
      <c r="EG83" s="61">
        <v>0</v>
      </c>
      <c r="EH83" s="61">
        <v>0</v>
      </c>
      <c r="EI83" s="61">
        <v>0</v>
      </c>
      <c r="EJ83" s="61">
        <v>0</v>
      </c>
      <c r="EK83" s="61">
        <v>0</v>
      </c>
      <c r="EL83" s="61">
        <v>0</v>
      </c>
      <c r="EM83" s="61">
        <v>0</v>
      </c>
      <c r="EN83" s="61">
        <v>0</v>
      </c>
      <c r="EO83" s="61">
        <v>4633324</v>
      </c>
      <c r="EP83" s="61">
        <v>2100060</v>
      </c>
      <c r="EQ83" s="61">
        <v>3328469.17</v>
      </c>
      <c r="ER83" s="61">
        <v>0</v>
      </c>
      <c r="ES83" s="61">
        <v>0</v>
      </c>
      <c r="ET83" s="61">
        <v>0</v>
      </c>
      <c r="EU83" s="61">
        <v>0</v>
      </c>
      <c r="EV83" s="61">
        <v>0</v>
      </c>
      <c r="EW83" s="61">
        <v>0</v>
      </c>
      <c r="EX83" s="61">
        <v>0</v>
      </c>
      <c r="EY83" s="61">
        <v>0</v>
      </c>
      <c r="EZ83" s="61">
        <v>0</v>
      </c>
      <c r="FA83" s="61">
        <v>0</v>
      </c>
      <c r="FB83" s="61">
        <v>0</v>
      </c>
      <c r="FC83" s="61">
        <v>0</v>
      </c>
      <c r="FD83" s="61">
        <v>2653003</v>
      </c>
      <c r="FE83" s="61">
        <v>2794130</v>
      </c>
      <c r="FF83" s="61">
        <v>4730781</v>
      </c>
      <c r="FG83" s="61">
        <v>0</v>
      </c>
      <c r="FH83" s="168">
        <v>0</v>
      </c>
      <c r="FI83" s="168">
        <v>0</v>
      </c>
      <c r="FJ83" s="61">
        <v>0</v>
      </c>
      <c r="FK83" s="61">
        <v>0</v>
      </c>
      <c r="FL83" s="61">
        <v>0</v>
      </c>
      <c r="FM83" s="61">
        <v>0</v>
      </c>
      <c r="FN83" s="61">
        <v>0</v>
      </c>
      <c r="FO83" s="61">
        <v>0</v>
      </c>
      <c r="FP83" s="61">
        <v>0</v>
      </c>
      <c r="FQ83" s="61">
        <v>0</v>
      </c>
      <c r="FR83" s="61">
        <v>0</v>
      </c>
      <c r="FS83" s="61">
        <v>7213932</v>
      </c>
      <c r="FT83" s="61">
        <v>5364500</v>
      </c>
      <c r="FU83" s="61">
        <v>4245101</v>
      </c>
      <c r="FV83" s="61">
        <v>0</v>
      </c>
      <c r="FW83" s="61">
        <v>0</v>
      </c>
      <c r="FX83" s="61">
        <v>0</v>
      </c>
      <c r="FY83" s="61">
        <v>0</v>
      </c>
      <c r="FZ83" s="61">
        <v>0</v>
      </c>
      <c r="GA83" s="61">
        <v>0</v>
      </c>
      <c r="GB83" s="61">
        <v>0</v>
      </c>
      <c r="GC83" s="61">
        <v>0</v>
      </c>
      <c r="GD83" s="61">
        <v>0</v>
      </c>
      <c r="GE83" s="61">
        <v>0</v>
      </c>
      <c r="GF83" s="61">
        <v>0</v>
      </c>
      <c r="GG83" s="61">
        <v>0</v>
      </c>
      <c r="GH83" s="61">
        <v>8318724.3330000006</v>
      </c>
      <c r="GI83" s="61">
        <v>3001410</v>
      </c>
      <c r="GJ83" s="61">
        <v>6413887</v>
      </c>
    </row>
    <row r="84" spans="2:192">
      <c r="C84" t="s">
        <v>799</v>
      </c>
      <c r="D84" t="s">
        <v>307</v>
      </c>
      <c r="E84" s="61">
        <v>0</v>
      </c>
      <c r="F84" s="61">
        <v>0</v>
      </c>
      <c r="G84" s="61">
        <v>0</v>
      </c>
      <c r="H84" s="61">
        <v>0</v>
      </c>
      <c r="I84" s="61">
        <v>0</v>
      </c>
      <c r="J84" s="61">
        <v>0</v>
      </c>
      <c r="K84" s="61">
        <v>0</v>
      </c>
      <c r="L84" s="61">
        <v>0</v>
      </c>
      <c r="M84" s="61">
        <v>0</v>
      </c>
      <c r="N84" s="61">
        <v>0</v>
      </c>
      <c r="O84" s="61">
        <v>0</v>
      </c>
      <c r="P84" s="61">
        <v>0</v>
      </c>
      <c r="Q84" s="61">
        <v>0</v>
      </c>
      <c r="R84" s="61">
        <v>3669000</v>
      </c>
      <c r="S84" s="61">
        <v>2066450</v>
      </c>
      <c r="T84" s="61">
        <v>3662735</v>
      </c>
      <c r="U84" s="61">
        <v>0</v>
      </c>
      <c r="V84" s="61">
        <v>0</v>
      </c>
      <c r="W84" s="61">
        <v>0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61">
        <v>0</v>
      </c>
      <c r="AE84" s="61">
        <v>0</v>
      </c>
      <c r="AF84" s="61">
        <v>0</v>
      </c>
      <c r="AG84" s="61">
        <v>0</v>
      </c>
      <c r="AH84" s="61">
        <v>3491108</v>
      </c>
      <c r="AI84" s="61">
        <v>2258740</v>
      </c>
      <c r="AJ84" s="61">
        <v>2211725</v>
      </c>
      <c r="AK84" s="61">
        <v>0</v>
      </c>
      <c r="AL84" s="61">
        <v>0</v>
      </c>
      <c r="AM84" s="61">
        <v>0</v>
      </c>
      <c r="AN84" s="61">
        <v>0</v>
      </c>
      <c r="AO84" s="61">
        <v>0</v>
      </c>
      <c r="AP84" s="61">
        <v>0</v>
      </c>
      <c r="AQ84" s="61">
        <v>0</v>
      </c>
      <c r="AR84" s="61">
        <v>0</v>
      </c>
      <c r="AS84" s="61">
        <v>0</v>
      </c>
      <c r="AT84" s="61">
        <v>0</v>
      </c>
      <c r="AU84" s="61">
        <v>0</v>
      </c>
      <c r="AV84" s="61">
        <v>0</v>
      </c>
      <c r="AW84" s="61">
        <v>0</v>
      </c>
      <c r="AX84" s="61">
        <v>2695577</v>
      </c>
      <c r="AY84" s="61">
        <v>2657000</v>
      </c>
      <c r="AZ84" s="61">
        <v>2869814</v>
      </c>
      <c r="BA84" s="61">
        <v>0</v>
      </c>
      <c r="BB84" s="61">
        <v>0</v>
      </c>
      <c r="BC84" s="61">
        <v>0</v>
      </c>
      <c r="BD84" s="61">
        <v>0</v>
      </c>
      <c r="BE84" s="61">
        <v>0</v>
      </c>
      <c r="BF84" s="61">
        <v>0</v>
      </c>
      <c r="BG84" s="61">
        <v>0</v>
      </c>
      <c r="BH84" s="61">
        <v>0</v>
      </c>
      <c r="BI84" s="61">
        <v>0</v>
      </c>
      <c r="BJ84" s="61">
        <v>0</v>
      </c>
      <c r="BK84" s="61">
        <v>0</v>
      </c>
      <c r="BL84" s="61">
        <v>0</v>
      </c>
      <c r="BM84" s="61">
        <v>1004608</v>
      </c>
      <c r="BN84" s="61">
        <v>1696988</v>
      </c>
      <c r="BO84" s="61">
        <v>1208860</v>
      </c>
      <c r="BP84" s="61">
        <v>2265434</v>
      </c>
      <c r="BQ84" s="61">
        <v>0</v>
      </c>
      <c r="BR84" s="61">
        <v>0</v>
      </c>
      <c r="BS84" s="61">
        <v>0</v>
      </c>
      <c r="BT84" s="61">
        <v>0</v>
      </c>
      <c r="BU84" s="61">
        <v>0</v>
      </c>
      <c r="BV84" s="61">
        <v>0</v>
      </c>
      <c r="BW84" s="61">
        <v>0</v>
      </c>
      <c r="BX84" s="61">
        <v>0</v>
      </c>
      <c r="BY84" s="61">
        <v>0</v>
      </c>
      <c r="BZ84" s="61">
        <v>0</v>
      </c>
      <c r="CA84" s="61">
        <v>0</v>
      </c>
      <c r="CB84" s="61">
        <v>0</v>
      </c>
      <c r="CC84" s="61">
        <v>1669162</v>
      </c>
      <c r="CD84" s="61">
        <v>1852150</v>
      </c>
      <c r="CE84" s="61">
        <v>1420014</v>
      </c>
      <c r="CF84" s="61">
        <v>1127090</v>
      </c>
      <c r="CG84" s="61">
        <v>0</v>
      </c>
      <c r="CH84" s="61">
        <v>0</v>
      </c>
      <c r="CI84" s="61">
        <v>0</v>
      </c>
      <c r="CJ84" s="61">
        <v>0</v>
      </c>
      <c r="CK84" s="61">
        <v>0</v>
      </c>
      <c r="CL84" s="61">
        <v>0</v>
      </c>
      <c r="CM84" s="61">
        <v>0</v>
      </c>
      <c r="CN84" s="61">
        <v>0</v>
      </c>
      <c r="CO84" s="61">
        <v>0</v>
      </c>
      <c r="CP84" s="61">
        <v>0</v>
      </c>
      <c r="CQ84" s="61">
        <v>0</v>
      </c>
      <c r="CR84" s="61">
        <v>0</v>
      </c>
      <c r="CS84" s="61">
        <v>1285000</v>
      </c>
      <c r="CT84" s="61">
        <v>1089886</v>
      </c>
      <c r="CU84" s="61">
        <v>1612240</v>
      </c>
      <c r="CV84" s="61">
        <v>1164128</v>
      </c>
      <c r="CW84" s="61">
        <v>0</v>
      </c>
      <c r="CX84" s="61">
        <v>0</v>
      </c>
      <c r="CY84" s="61">
        <v>0</v>
      </c>
      <c r="CZ84" s="61">
        <v>0</v>
      </c>
      <c r="DA84" s="61">
        <v>0</v>
      </c>
      <c r="DB84" s="61">
        <v>0</v>
      </c>
      <c r="DC84" s="61">
        <v>0</v>
      </c>
      <c r="DD84" s="61">
        <v>0</v>
      </c>
      <c r="DE84" s="61">
        <v>0</v>
      </c>
      <c r="DF84" s="61">
        <v>0</v>
      </c>
      <c r="DG84" s="61">
        <v>0</v>
      </c>
      <c r="DH84" s="61">
        <v>0</v>
      </c>
      <c r="DI84" s="61">
        <v>1769000</v>
      </c>
      <c r="DJ84" s="61">
        <v>982890</v>
      </c>
      <c r="DK84" s="61">
        <v>1718338.5</v>
      </c>
      <c r="DL84" s="61">
        <v>1010190</v>
      </c>
      <c r="DM84" s="61">
        <v>0</v>
      </c>
      <c r="DN84" s="61">
        <v>0</v>
      </c>
      <c r="DO84" s="61">
        <v>0</v>
      </c>
      <c r="DP84" s="61">
        <v>0</v>
      </c>
      <c r="DQ84" s="61">
        <v>0</v>
      </c>
      <c r="DR84" s="61">
        <v>0</v>
      </c>
      <c r="DS84" s="61">
        <v>0</v>
      </c>
      <c r="DT84" s="61">
        <v>0</v>
      </c>
      <c r="DU84" s="61">
        <v>0</v>
      </c>
      <c r="DV84" s="61">
        <v>0</v>
      </c>
      <c r="DW84" s="61">
        <v>0</v>
      </c>
      <c r="DX84" s="61">
        <v>0</v>
      </c>
      <c r="DY84" s="61">
        <v>1739011</v>
      </c>
      <c r="DZ84" s="61">
        <v>1029430.0000000001</v>
      </c>
      <c r="EA84" s="61">
        <v>1257094</v>
      </c>
      <c r="EB84" s="61">
        <v>1246307</v>
      </c>
      <c r="EC84" s="61">
        <v>0</v>
      </c>
      <c r="ED84" s="61">
        <v>0</v>
      </c>
      <c r="EE84" s="61">
        <v>0</v>
      </c>
      <c r="EF84" s="61">
        <v>0</v>
      </c>
      <c r="EG84" s="61">
        <v>0</v>
      </c>
      <c r="EH84" s="61">
        <v>0</v>
      </c>
      <c r="EI84" s="61">
        <v>0</v>
      </c>
      <c r="EJ84" s="61">
        <v>0</v>
      </c>
      <c r="EK84" s="61">
        <v>0</v>
      </c>
      <c r="EL84" s="61">
        <v>0</v>
      </c>
      <c r="EM84" s="61">
        <v>0</v>
      </c>
      <c r="EN84" s="61">
        <v>0</v>
      </c>
      <c r="EO84" s="61">
        <v>2107223</v>
      </c>
      <c r="EP84" s="61">
        <v>1193030</v>
      </c>
      <c r="EQ84" s="61">
        <v>1734827</v>
      </c>
      <c r="ER84" s="61">
        <v>0</v>
      </c>
      <c r="ES84" s="61">
        <v>0</v>
      </c>
      <c r="ET84" s="61">
        <v>0</v>
      </c>
      <c r="EU84" s="61">
        <v>0</v>
      </c>
      <c r="EV84" s="61">
        <v>0</v>
      </c>
      <c r="EW84" s="61">
        <v>0</v>
      </c>
      <c r="EX84" s="61">
        <v>0</v>
      </c>
      <c r="EY84" s="61">
        <v>0</v>
      </c>
      <c r="EZ84" s="61">
        <v>0</v>
      </c>
      <c r="FA84" s="61">
        <v>0</v>
      </c>
      <c r="FB84" s="61">
        <v>0</v>
      </c>
      <c r="FC84" s="61">
        <v>0</v>
      </c>
      <c r="FD84" s="61">
        <v>1593460</v>
      </c>
      <c r="FE84" s="61">
        <v>1702310</v>
      </c>
      <c r="FF84" s="61">
        <v>1885768</v>
      </c>
      <c r="FG84" s="61">
        <v>0</v>
      </c>
      <c r="FH84" s="168">
        <v>0</v>
      </c>
      <c r="FI84" s="168">
        <v>0</v>
      </c>
      <c r="FJ84" s="61">
        <v>0</v>
      </c>
      <c r="FK84" s="61">
        <v>0</v>
      </c>
      <c r="FL84" s="61">
        <v>0</v>
      </c>
      <c r="FM84" s="61">
        <v>0</v>
      </c>
      <c r="FN84" s="61">
        <v>0</v>
      </c>
      <c r="FO84" s="61">
        <v>0</v>
      </c>
      <c r="FP84" s="61">
        <v>0</v>
      </c>
      <c r="FQ84" s="61">
        <v>0</v>
      </c>
      <c r="FR84" s="61">
        <v>0</v>
      </c>
      <c r="FS84" s="61">
        <v>2887514</v>
      </c>
      <c r="FT84" s="61">
        <v>2561920</v>
      </c>
      <c r="FU84" s="61">
        <v>2365849</v>
      </c>
      <c r="FV84" s="61">
        <v>0</v>
      </c>
      <c r="FW84" s="61">
        <v>0</v>
      </c>
      <c r="FX84" s="61">
        <v>0</v>
      </c>
      <c r="FY84" s="61">
        <v>0</v>
      </c>
      <c r="FZ84" s="61">
        <v>0</v>
      </c>
      <c r="GA84" s="61">
        <v>0</v>
      </c>
      <c r="GB84" s="61">
        <v>0</v>
      </c>
      <c r="GC84" s="61">
        <v>0</v>
      </c>
      <c r="GD84" s="61">
        <v>0</v>
      </c>
      <c r="GE84" s="61">
        <v>0</v>
      </c>
      <c r="GF84" s="61">
        <v>0</v>
      </c>
      <c r="GG84" s="61">
        <v>0</v>
      </c>
      <c r="GH84" s="61">
        <v>3145323</v>
      </c>
      <c r="GI84" s="61">
        <v>1719300</v>
      </c>
      <c r="GJ84" s="61">
        <v>3237733</v>
      </c>
    </row>
    <row r="85" spans="2:192">
      <c r="C85" t="s">
        <v>786</v>
      </c>
      <c r="D85" t="s">
        <v>302</v>
      </c>
      <c r="E85" s="61">
        <v>0</v>
      </c>
      <c r="F85" s="61">
        <v>0</v>
      </c>
      <c r="G85" s="61">
        <v>0</v>
      </c>
      <c r="H85" s="61">
        <v>0</v>
      </c>
      <c r="I85" s="61">
        <v>0</v>
      </c>
      <c r="J85" s="61">
        <v>0</v>
      </c>
      <c r="K85" s="61">
        <v>0</v>
      </c>
      <c r="L85" s="61">
        <v>0</v>
      </c>
      <c r="M85" s="61">
        <v>0</v>
      </c>
      <c r="N85" s="61">
        <v>0</v>
      </c>
      <c r="O85" s="61">
        <v>0</v>
      </c>
      <c r="P85" s="61">
        <v>0</v>
      </c>
      <c r="Q85" s="61">
        <v>0</v>
      </c>
      <c r="R85" s="61">
        <v>3231504</v>
      </c>
      <c r="S85" s="61">
        <v>3323520</v>
      </c>
      <c r="T85" s="61">
        <v>3970256</v>
      </c>
      <c r="U85" s="61">
        <v>0</v>
      </c>
      <c r="V85" s="61">
        <v>0</v>
      </c>
      <c r="W85" s="61">
        <v>0</v>
      </c>
      <c r="X85" s="61">
        <v>0</v>
      </c>
      <c r="Y85" s="61">
        <v>0</v>
      </c>
      <c r="Z85" s="61">
        <v>0</v>
      </c>
      <c r="AA85" s="61">
        <v>0</v>
      </c>
      <c r="AB85" s="61">
        <v>0</v>
      </c>
      <c r="AC85" s="61">
        <v>0</v>
      </c>
      <c r="AD85" s="61">
        <v>0</v>
      </c>
      <c r="AE85" s="61">
        <v>0</v>
      </c>
      <c r="AF85" s="61">
        <v>0</v>
      </c>
      <c r="AG85" s="61">
        <v>0</v>
      </c>
      <c r="AH85" s="61">
        <v>3317247</v>
      </c>
      <c r="AI85" s="61">
        <v>3535040</v>
      </c>
      <c r="AJ85" s="61">
        <v>2281581</v>
      </c>
      <c r="AK85" s="61">
        <v>0</v>
      </c>
      <c r="AL85" s="61">
        <v>0</v>
      </c>
      <c r="AM85" s="61">
        <v>0</v>
      </c>
      <c r="AN85" s="61">
        <v>0</v>
      </c>
      <c r="AO85" s="61">
        <v>0</v>
      </c>
      <c r="AP85" s="61">
        <v>0</v>
      </c>
      <c r="AQ85" s="61">
        <v>0</v>
      </c>
      <c r="AR85" s="61">
        <v>0</v>
      </c>
      <c r="AS85" s="61">
        <v>0</v>
      </c>
      <c r="AT85" s="61">
        <v>0</v>
      </c>
      <c r="AU85" s="61">
        <v>0</v>
      </c>
      <c r="AV85" s="61">
        <v>0</v>
      </c>
      <c r="AW85" s="61">
        <v>0</v>
      </c>
      <c r="AX85" s="61">
        <v>3797730</v>
      </c>
      <c r="AY85" s="61">
        <v>2971900</v>
      </c>
      <c r="AZ85" s="61">
        <v>3584186</v>
      </c>
      <c r="BA85" s="61">
        <v>0</v>
      </c>
      <c r="BB85" s="61">
        <v>0</v>
      </c>
      <c r="BC85" s="61">
        <v>0</v>
      </c>
      <c r="BD85" s="61">
        <v>0</v>
      </c>
      <c r="BE85" s="61">
        <v>0</v>
      </c>
      <c r="BF85" s="61">
        <v>0</v>
      </c>
      <c r="BG85" s="61">
        <v>0</v>
      </c>
      <c r="BH85" s="61">
        <v>0</v>
      </c>
      <c r="BI85" s="61">
        <v>0</v>
      </c>
      <c r="BJ85" s="61">
        <v>0</v>
      </c>
      <c r="BK85" s="61">
        <v>0</v>
      </c>
      <c r="BL85" s="61">
        <v>0</v>
      </c>
      <c r="BM85" s="61">
        <v>0</v>
      </c>
      <c r="BN85" s="61">
        <v>3326837</v>
      </c>
      <c r="BO85" s="61">
        <v>2400140</v>
      </c>
      <c r="BP85" s="61">
        <v>3701111</v>
      </c>
      <c r="BQ85" s="61">
        <v>0</v>
      </c>
      <c r="BR85" s="61">
        <v>0</v>
      </c>
      <c r="BS85" s="61">
        <v>0</v>
      </c>
      <c r="BT85" s="61">
        <v>0</v>
      </c>
      <c r="BU85" s="61">
        <v>0</v>
      </c>
      <c r="BV85" s="61">
        <v>0</v>
      </c>
      <c r="BW85" s="61">
        <v>0</v>
      </c>
      <c r="BX85" s="61">
        <v>0</v>
      </c>
      <c r="BY85" s="61">
        <v>0</v>
      </c>
      <c r="BZ85" s="61">
        <v>0</v>
      </c>
      <c r="CA85" s="61">
        <v>0</v>
      </c>
      <c r="CB85" s="61">
        <v>0</v>
      </c>
      <c r="CC85" s="61">
        <v>0</v>
      </c>
      <c r="CD85" s="61">
        <v>4611356</v>
      </c>
      <c r="CE85" s="61">
        <v>3145044</v>
      </c>
      <c r="CF85" s="61">
        <v>2368434</v>
      </c>
      <c r="CG85" s="61">
        <v>0</v>
      </c>
      <c r="CH85" s="61">
        <v>0</v>
      </c>
      <c r="CI85" s="61">
        <v>0</v>
      </c>
      <c r="CJ85" s="61">
        <v>0</v>
      </c>
      <c r="CK85" s="61">
        <v>0</v>
      </c>
      <c r="CL85" s="61">
        <v>0</v>
      </c>
      <c r="CM85" s="61">
        <v>0</v>
      </c>
      <c r="CN85" s="61">
        <v>0</v>
      </c>
      <c r="CO85" s="61">
        <v>0</v>
      </c>
      <c r="CP85" s="61">
        <v>0</v>
      </c>
      <c r="CQ85" s="61">
        <v>0</v>
      </c>
      <c r="CR85" s="61">
        <v>0</v>
      </c>
      <c r="CS85" s="61">
        <v>0</v>
      </c>
      <c r="CT85" s="61">
        <v>2044341</v>
      </c>
      <c r="CU85" s="61">
        <v>1676170</v>
      </c>
      <c r="CV85" s="61">
        <v>1407823</v>
      </c>
      <c r="CW85" s="61">
        <v>0</v>
      </c>
      <c r="CX85" s="61">
        <v>0</v>
      </c>
      <c r="CY85" s="61">
        <v>0</v>
      </c>
      <c r="CZ85" s="61">
        <v>0</v>
      </c>
      <c r="DA85" s="61">
        <v>0</v>
      </c>
      <c r="DB85" s="61">
        <v>0</v>
      </c>
      <c r="DC85" s="61">
        <v>0</v>
      </c>
      <c r="DD85" s="61">
        <v>0</v>
      </c>
      <c r="DE85" s="61">
        <v>0</v>
      </c>
      <c r="DF85" s="61">
        <v>0</v>
      </c>
      <c r="DG85" s="61">
        <v>0</v>
      </c>
      <c r="DH85" s="61">
        <v>0</v>
      </c>
      <c r="DI85" s="61">
        <v>0</v>
      </c>
      <c r="DJ85" s="61">
        <v>1651140</v>
      </c>
      <c r="DK85" s="61">
        <v>2421276.33</v>
      </c>
      <c r="DL85" s="61">
        <v>960000</v>
      </c>
      <c r="DM85" s="61">
        <v>0</v>
      </c>
      <c r="DN85" s="61">
        <v>0</v>
      </c>
      <c r="DO85" s="61">
        <v>0</v>
      </c>
      <c r="DP85" s="61">
        <v>0</v>
      </c>
      <c r="DQ85" s="61">
        <v>0</v>
      </c>
      <c r="DR85" s="61">
        <v>0</v>
      </c>
      <c r="DS85" s="61">
        <v>0</v>
      </c>
      <c r="DT85" s="61">
        <v>0</v>
      </c>
      <c r="DU85" s="61">
        <v>0</v>
      </c>
      <c r="DV85" s="61">
        <v>0</v>
      </c>
      <c r="DW85" s="61">
        <v>0</v>
      </c>
      <c r="DX85" s="61">
        <v>0</v>
      </c>
      <c r="DY85" s="61">
        <v>0</v>
      </c>
      <c r="DZ85" s="61">
        <v>1904550</v>
      </c>
      <c r="EA85" s="61">
        <v>2090636</v>
      </c>
      <c r="EB85" s="61">
        <v>1431570</v>
      </c>
      <c r="EC85" s="61">
        <v>0</v>
      </c>
      <c r="ED85" s="61">
        <v>0</v>
      </c>
      <c r="EE85" s="61">
        <v>0</v>
      </c>
      <c r="EF85" s="61">
        <v>0</v>
      </c>
      <c r="EG85" s="61">
        <v>0</v>
      </c>
      <c r="EH85" s="61">
        <v>0</v>
      </c>
      <c r="EI85" s="61">
        <v>0</v>
      </c>
      <c r="EJ85" s="61">
        <v>0</v>
      </c>
      <c r="EK85" s="61">
        <v>0</v>
      </c>
      <c r="EL85" s="61">
        <v>0</v>
      </c>
      <c r="EM85" s="61">
        <v>0</v>
      </c>
      <c r="EN85" s="61">
        <v>0</v>
      </c>
      <c r="EO85" s="61">
        <v>0</v>
      </c>
      <c r="EP85" s="61">
        <v>2235340</v>
      </c>
      <c r="EQ85" s="61">
        <v>1783581.67</v>
      </c>
      <c r="ER85" s="61">
        <v>0</v>
      </c>
      <c r="ES85" s="61">
        <v>0</v>
      </c>
      <c r="ET85" s="61">
        <v>0</v>
      </c>
      <c r="EU85" s="61">
        <v>0</v>
      </c>
      <c r="EV85" s="61">
        <v>0</v>
      </c>
      <c r="EW85" s="61">
        <v>0</v>
      </c>
      <c r="EX85" s="61">
        <v>0</v>
      </c>
      <c r="EY85" s="61">
        <v>0</v>
      </c>
      <c r="EZ85" s="61">
        <v>0</v>
      </c>
      <c r="FA85" s="61">
        <v>0</v>
      </c>
      <c r="FB85" s="61">
        <v>0</v>
      </c>
      <c r="FC85" s="61">
        <v>0</v>
      </c>
      <c r="FD85" s="61">
        <v>0</v>
      </c>
      <c r="FE85" s="61">
        <v>1910650</v>
      </c>
      <c r="FF85" s="61">
        <v>2609641</v>
      </c>
      <c r="FG85" s="61">
        <v>0</v>
      </c>
      <c r="FH85" s="168">
        <v>0</v>
      </c>
      <c r="FI85" s="168">
        <v>0</v>
      </c>
      <c r="FJ85" s="61">
        <v>0</v>
      </c>
      <c r="FK85" s="61">
        <v>0</v>
      </c>
      <c r="FL85" s="61">
        <v>0</v>
      </c>
      <c r="FM85" s="61">
        <v>0</v>
      </c>
      <c r="FN85" s="61">
        <v>0</v>
      </c>
      <c r="FO85" s="61">
        <v>0</v>
      </c>
      <c r="FP85" s="61">
        <v>0</v>
      </c>
      <c r="FQ85" s="61">
        <v>0</v>
      </c>
      <c r="FR85" s="61">
        <v>0</v>
      </c>
      <c r="FS85" s="61">
        <v>0</v>
      </c>
      <c r="FT85" s="61">
        <v>2745110</v>
      </c>
      <c r="FU85" s="61">
        <v>2741751</v>
      </c>
      <c r="FV85" s="61">
        <v>0</v>
      </c>
      <c r="FW85" s="61">
        <v>0</v>
      </c>
      <c r="FX85" s="61">
        <v>0</v>
      </c>
      <c r="FY85" s="61">
        <v>0</v>
      </c>
      <c r="FZ85" s="61">
        <v>0</v>
      </c>
      <c r="GA85" s="61">
        <v>0</v>
      </c>
      <c r="GB85" s="61">
        <v>0</v>
      </c>
      <c r="GC85" s="61">
        <v>0</v>
      </c>
      <c r="GD85" s="61">
        <v>0</v>
      </c>
      <c r="GE85" s="61">
        <v>0</v>
      </c>
      <c r="GF85" s="61">
        <v>0</v>
      </c>
      <c r="GG85" s="61">
        <v>0</v>
      </c>
      <c r="GH85" s="61">
        <v>2788382</v>
      </c>
      <c r="GI85" s="61">
        <v>2183630</v>
      </c>
      <c r="GJ85" s="61">
        <v>3306713</v>
      </c>
    </row>
    <row r="86" spans="2:192">
      <c r="B86" t="s">
        <v>2620</v>
      </c>
      <c r="E86" s="61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1">
        <v>0</v>
      </c>
      <c r="L86" s="61">
        <v>0</v>
      </c>
      <c r="M86" s="61">
        <v>0</v>
      </c>
      <c r="N86" s="61">
        <v>0</v>
      </c>
      <c r="O86" s="61">
        <v>0</v>
      </c>
      <c r="P86" s="61">
        <v>0</v>
      </c>
      <c r="Q86" s="61">
        <v>0</v>
      </c>
      <c r="R86" s="61">
        <v>14988538</v>
      </c>
      <c r="S86" s="61">
        <v>9232820</v>
      </c>
      <c r="T86" s="61">
        <v>15218035</v>
      </c>
      <c r="U86" s="61">
        <v>0</v>
      </c>
      <c r="V86" s="61">
        <v>0</v>
      </c>
      <c r="W86" s="61">
        <v>0</v>
      </c>
      <c r="X86" s="61">
        <v>0</v>
      </c>
      <c r="Y86" s="61">
        <v>0</v>
      </c>
      <c r="Z86" s="61">
        <v>0</v>
      </c>
      <c r="AA86" s="61">
        <v>0</v>
      </c>
      <c r="AB86" s="61">
        <v>0</v>
      </c>
      <c r="AC86" s="61">
        <v>0</v>
      </c>
      <c r="AD86" s="61">
        <v>0</v>
      </c>
      <c r="AE86" s="61">
        <v>0</v>
      </c>
      <c r="AF86" s="61">
        <v>0</v>
      </c>
      <c r="AG86" s="61">
        <v>0</v>
      </c>
      <c r="AH86" s="61">
        <v>14183428</v>
      </c>
      <c r="AI86" s="61">
        <v>11006970</v>
      </c>
      <c r="AJ86" s="61">
        <v>10256359</v>
      </c>
      <c r="AK86" s="61">
        <v>0</v>
      </c>
      <c r="AL86" s="61">
        <v>0</v>
      </c>
      <c r="AM86" s="61">
        <v>0</v>
      </c>
      <c r="AN86" s="61">
        <v>0</v>
      </c>
      <c r="AO86" s="61">
        <v>0</v>
      </c>
      <c r="AP86" s="61">
        <v>0</v>
      </c>
      <c r="AQ86" s="61">
        <v>0</v>
      </c>
      <c r="AR86" s="61">
        <v>0</v>
      </c>
      <c r="AS86" s="61">
        <v>0</v>
      </c>
      <c r="AT86" s="61">
        <v>0</v>
      </c>
      <c r="AU86" s="61">
        <v>0</v>
      </c>
      <c r="AV86" s="61">
        <v>0</v>
      </c>
      <c r="AW86" s="61">
        <v>1780167</v>
      </c>
      <c r="AX86" s="61">
        <v>12641802</v>
      </c>
      <c r="AY86" s="61">
        <v>11582430</v>
      </c>
      <c r="AZ86" s="61">
        <v>11236702</v>
      </c>
      <c r="BA86" s="61">
        <v>0</v>
      </c>
      <c r="BB86" s="61">
        <v>0</v>
      </c>
      <c r="BC86" s="61">
        <v>0</v>
      </c>
      <c r="BD86" s="61">
        <v>0</v>
      </c>
      <c r="BE86" s="61">
        <v>0</v>
      </c>
      <c r="BF86" s="61">
        <v>0</v>
      </c>
      <c r="BG86" s="61">
        <v>0</v>
      </c>
      <c r="BH86" s="61">
        <v>0</v>
      </c>
      <c r="BI86" s="61">
        <v>0</v>
      </c>
      <c r="BJ86" s="61">
        <v>0</v>
      </c>
      <c r="BK86" s="61">
        <v>0</v>
      </c>
      <c r="BL86" s="61">
        <v>0</v>
      </c>
      <c r="BM86" s="61">
        <v>3965346</v>
      </c>
      <c r="BN86" s="61">
        <v>8900366</v>
      </c>
      <c r="BO86" s="61">
        <v>6185680</v>
      </c>
      <c r="BP86" s="61">
        <v>9511140</v>
      </c>
      <c r="BQ86" s="61">
        <v>0</v>
      </c>
      <c r="BR86" s="61">
        <v>0</v>
      </c>
      <c r="BS86" s="61">
        <v>0</v>
      </c>
      <c r="BT86" s="61">
        <v>0</v>
      </c>
      <c r="BU86" s="61">
        <v>0</v>
      </c>
      <c r="BV86" s="61">
        <v>0</v>
      </c>
      <c r="BW86" s="61">
        <v>0</v>
      </c>
      <c r="BX86" s="61">
        <v>0</v>
      </c>
      <c r="BY86" s="61">
        <v>0</v>
      </c>
      <c r="BZ86" s="61">
        <v>0</v>
      </c>
      <c r="CA86" s="61">
        <v>0</v>
      </c>
      <c r="CB86" s="61">
        <v>0</v>
      </c>
      <c r="CC86" s="61">
        <v>5409511</v>
      </c>
      <c r="CD86" s="61">
        <v>9715025</v>
      </c>
      <c r="CE86" s="61">
        <v>7334533</v>
      </c>
      <c r="CF86" s="61">
        <v>6429145</v>
      </c>
      <c r="CG86" s="61">
        <v>0</v>
      </c>
      <c r="CH86" s="61">
        <v>0</v>
      </c>
      <c r="CI86" s="61">
        <v>0</v>
      </c>
      <c r="CJ86" s="61">
        <v>0</v>
      </c>
      <c r="CK86" s="61">
        <v>0</v>
      </c>
      <c r="CL86" s="61">
        <v>0</v>
      </c>
      <c r="CM86" s="61">
        <v>0</v>
      </c>
      <c r="CN86" s="61">
        <v>0</v>
      </c>
      <c r="CO86" s="61">
        <v>0</v>
      </c>
      <c r="CP86" s="61">
        <v>0</v>
      </c>
      <c r="CQ86" s="61">
        <v>0</v>
      </c>
      <c r="CR86" s="61">
        <v>0</v>
      </c>
      <c r="CS86" s="61">
        <v>4864919</v>
      </c>
      <c r="CT86" s="61">
        <v>5506547</v>
      </c>
      <c r="CU86" s="61">
        <v>6162660</v>
      </c>
      <c r="CV86" s="61">
        <v>5211976</v>
      </c>
      <c r="CW86" s="61">
        <v>0</v>
      </c>
      <c r="CX86" s="61">
        <v>0</v>
      </c>
      <c r="CY86" s="61">
        <v>0</v>
      </c>
      <c r="CZ86" s="61">
        <v>0</v>
      </c>
      <c r="DA86" s="61">
        <v>0</v>
      </c>
      <c r="DB86" s="61">
        <v>0</v>
      </c>
      <c r="DC86" s="61">
        <v>0</v>
      </c>
      <c r="DD86" s="61">
        <v>0</v>
      </c>
      <c r="DE86" s="61">
        <v>0</v>
      </c>
      <c r="DF86" s="61">
        <v>0</v>
      </c>
      <c r="DG86" s="61">
        <v>0</v>
      </c>
      <c r="DH86" s="61">
        <v>0</v>
      </c>
      <c r="DI86" s="61">
        <v>5330765</v>
      </c>
      <c r="DJ86" s="61">
        <v>4587910</v>
      </c>
      <c r="DK86" s="61">
        <v>7529594</v>
      </c>
      <c r="DL86" s="61">
        <v>3888404</v>
      </c>
      <c r="DM86" s="61">
        <v>0</v>
      </c>
      <c r="DN86" s="61">
        <v>0</v>
      </c>
      <c r="DO86" s="61">
        <v>0</v>
      </c>
      <c r="DP86" s="61">
        <v>0</v>
      </c>
      <c r="DQ86" s="61">
        <v>0</v>
      </c>
      <c r="DR86" s="61">
        <v>0</v>
      </c>
      <c r="DS86" s="61">
        <v>0</v>
      </c>
      <c r="DT86" s="61">
        <v>0</v>
      </c>
      <c r="DU86" s="61">
        <v>0</v>
      </c>
      <c r="DV86" s="61">
        <v>0</v>
      </c>
      <c r="DW86" s="61">
        <v>0</v>
      </c>
      <c r="DX86" s="61">
        <v>0</v>
      </c>
      <c r="DY86" s="61">
        <v>4547373</v>
      </c>
      <c r="DZ86" s="61">
        <v>5798610</v>
      </c>
      <c r="EA86" s="61">
        <v>5534213</v>
      </c>
      <c r="EB86" s="61">
        <v>5247936</v>
      </c>
      <c r="EC86" s="61">
        <v>0</v>
      </c>
      <c r="ED86" s="61">
        <v>0</v>
      </c>
      <c r="EE86" s="61">
        <v>0</v>
      </c>
      <c r="EF86" s="61">
        <v>0</v>
      </c>
      <c r="EG86" s="61">
        <v>0</v>
      </c>
      <c r="EH86" s="61">
        <v>0</v>
      </c>
      <c r="EI86" s="61">
        <v>0</v>
      </c>
      <c r="EJ86" s="61">
        <v>0</v>
      </c>
      <c r="EK86" s="61">
        <v>0</v>
      </c>
      <c r="EL86" s="61">
        <v>0</v>
      </c>
      <c r="EM86" s="61">
        <v>0</v>
      </c>
      <c r="EN86" s="61">
        <v>0</v>
      </c>
      <c r="EO86" s="61">
        <v>6740547</v>
      </c>
      <c r="EP86" s="61">
        <v>5528430</v>
      </c>
      <c r="EQ86" s="61">
        <v>6846877.8399999999</v>
      </c>
      <c r="ER86" s="61">
        <v>0</v>
      </c>
      <c r="ES86" s="61">
        <v>0</v>
      </c>
      <c r="ET86" s="61">
        <v>0</v>
      </c>
      <c r="EU86" s="61">
        <v>0</v>
      </c>
      <c r="EV86" s="61">
        <v>0</v>
      </c>
      <c r="EW86" s="61">
        <v>0</v>
      </c>
      <c r="EX86" s="61">
        <v>0</v>
      </c>
      <c r="EY86" s="61">
        <v>0</v>
      </c>
      <c r="EZ86" s="61">
        <v>0</v>
      </c>
      <c r="FA86" s="61">
        <v>0</v>
      </c>
      <c r="FB86" s="61">
        <v>0</v>
      </c>
      <c r="FC86" s="61">
        <v>0</v>
      </c>
      <c r="FD86" s="61">
        <v>4246463</v>
      </c>
      <c r="FE86" s="61">
        <v>6407090</v>
      </c>
      <c r="FF86" s="61">
        <v>9226190</v>
      </c>
      <c r="FG86" s="61">
        <v>0</v>
      </c>
      <c r="FH86" s="168">
        <v>0</v>
      </c>
      <c r="FI86" s="168">
        <v>0</v>
      </c>
      <c r="FJ86" s="61">
        <v>0</v>
      </c>
      <c r="FK86" s="61">
        <v>0</v>
      </c>
      <c r="FL86" s="61">
        <v>0</v>
      </c>
      <c r="FM86" s="61">
        <v>0</v>
      </c>
      <c r="FN86" s="61">
        <v>0</v>
      </c>
      <c r="FO86" s="61">
        <v>0</v>
      </c>
      <c r="FP86" s="61">
        <v>0</v>
      </c>
      <c r="FQ86" s="61">
        <v>0</v>
      </c>
      <c r="FR86" s="61">
        <v>0</v>
      </c>
      <c r="FS86" s="61">
        <v>10101446</v>
      </c>
      <c r="FT86" s="61">
        <v>10671530</v>
      </c>
      <c r="FU86" s="61">
        <v>9352701</v>
      </c>
      <c r="FV86" s="61">
        <v>0</v>
      </c>
      <c r="FW86" s="61">
        <v>0</v>
      </c>
      <c r="FX86" s="61">
        <v>0</v>
      </c>
      <c r="FY86" s="61">
        <v>0</v>
      </c>
      <c r="FZ86" s="61">
        <v>0</v>
      </c>
      <c r="GA86" s="61">
        <v>0</v>
      </c>
      <c r="GB86" s="61">
        <v>0</v>
      </c>
      <c r="GC86" s="61">
        <v>0</v>
      </c>
      <c r="GD86" s="61">
        <v>0</v>
      </c>
      <c r="GE86" s="61">
        <v>0</v>
      </c>
      <c r="GF86" s="61">
        <v>0</v>
      </c>
      <c r="GG86" s="61">
        <v>0</v>
      </c>
      <c r="GH86" s="61">
        <v>14252429.333000001</v>
      </c>
      <c r="GI86" s="61">
        <v>6904340</v>
      </c>
      <c r="GJ86" s="61">
        <v>12958333</v>
      </c>
    </row>
    <row r="87" spans="2:192">
      <c r="B87" t="s">
        <v>807</v>
      </c>
      <c r="C87" t="s">
        <v>801</v>
      </c>
      <c r="D87" t="s">
        <v>215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1">
        <v>0</v>
      </c>
      <c r="L87" s="61">
        <v>0</v>
      </c>
      <c r="M87" s="61">
        <v>0</v>
      </c>
      <c r="N87" s="61">
        <v>0</v>
      </c>
      <c r="O87" s="61">
        <v>0</v>
      </c>
      <c r="P87" s="61">
        <v>0</v>
      </c>
      <c r="Q87" s="61">
        <v>0</v>
      </c>
      <c r="R87" s="61">
        <v>0</v>
      </c>
      <c r="S87" s="61">
        <v>2292450</v>
      </c>
      <c r="T87" s="61">
        <v>4631688</v>
      </c>
      <c r="U87" s="61">
        <v>0</v>
      </c>
      <c r="V87" s="61">
        <v>0</v>
      </c>
      <c r="W87" s="61">
        <v>0</v>
      </c>
      <c r="X87" s="61">
        <v>0</v>
      </c>
      <c r="Y87" s="61">
        <v>0</v>
      </c>
      <c r="Z87" s="61">
        <v>0</v>
      </c>
      <c r="AA87" s="61">
        <v>0</v>
      </c>
      <c r="AB87" s="61">
        <v>0</v>
      </c>
      <c r="AC87" s="61">
        <v>0</v>
      </c>
      <c r="AD87" s="61">
        <v>0</v>
      </c>
      <c r="AE87" s="61">
        <v>0</v>
      </c>
      <c r="AF87" s="61">
        <v>0</v>
      </c>
      <c r="AG87" s="61">
        <v>0</v>
      </c>
      <c r="AH87" s="61">
        <v>0</v>
      </c>
      <c r="AI87" s="61">
        <v>3226600</v>
      </c>
      <c r="AJ87" s="61">
        <v>2755389</v>
      </c>
      <c r="AK87" s="61">
        <v>0</v>
      </c>
      <c r="AL87" s="61">
        <v>0</v>
      </c>
      <c r="AM87" s="61">
        <v>0</v>
      </c>
      <c r="AN87" s="61">
        <v>0</v>
      </c>
      <c r="AO87" s="61">
        <v>0</v>
      </c>
      <c r="AP87" s="61">
        <v>0</v>
      </c>
      <c r="AQ87" s="61">
        <v>0</v>
      </c>
      <c r="AR87" s="61">
        <v>0</v>
      </c>
      <c r="AS87" s="61">
        <v>0</v>
      </c>
      <c r="AT87" s="61">
        <v>0</v>
      </c>
      <c r="AU87" s="61">
        <v>0</v>
      </c>
      <c r="AV87" s="61">
        <v>0</v>
      </c>
      <c r="AW87" s="61">
        <v>0</v>
      </c>
      <c r="AX87" s="61">
        <v>0</v>
      </c>
      <c r="AY87" s="61">
        <v>3459370</v>
      </c>
      <c r="AZ87" s="61">
        <v>3092038</v>
      </c>
      <c r="BA87" s="61">
        <v>0</v>
      </c>
      <c r="BB87" s="61">
        <v>0</v>
      </c>
      <c r="BC87" s="61">
        <v>0</v>
      </c>
      <c r="BD87" s="61">
        <v>0</v>
      </c>
      <c r="BE87" s="61">
        <v>0</v>
      </c>
      <c r="BF87" s="61">
        <v>0</v>
      </c>
      <c r="BG87" s="61">
        <v>0</v>
      </c>
      <c r="BH87" s="61">
        <v>0</v>
      </c>
      <c r="BI87" s="61">
        <v>0</v>
      </c>
      <c r="BJ87" s="61">
        <v>0</v>
      </c>
      <c r="BK87" s="61">
        <v>0</v>
      </c>
      <c r="BL87" s="61">
        <v>0</v>
      </c>
      <c r="BM87" s="61">
        <v>0</v>
      </c>
      <c r="BN87" s="61">
        <v>0</v>
      </c>
      <c r="BO87" s="61">
        <v>1297130</v>
      </c>
      <c r="BP87" s="61">
        <v>2382485</v>
      </c>
      <c r="BQ87" s="61">
        <v>0</v>
      </c>
      <c r="BR87" s="61">
        <v>0</v>
      </c>
      <c r="BS87" s="61">
        <v>0</v>
      </c>
      <c r="BT87" s="61">
        <v>0</v>
      </c>
      <c r="BU87" s="61">
        <v>0</v>
      </c>
      <c r="BV87" s="61">
        <v>0</v>
      </c>
      <c r="BW87" s="61">
        <v>0</v>
      </c>
      <c r="BX87" s="61">
        <v>0</v>
      </c>
      <c r="BY87" s="61">
        <v>0</v>
      </c>
      <c r="BZ87" s="61">
        <v>0</v>
      </c>
      <c r="CA87" s="61">
        <v>0</v>
      </c>
      <c r="CB87" s="61">
        <v>0</v>
      </c>
      <c r="CC87" s="61">
        <v>0</v>
      </c>
      <c r="CD87" s="61">
        <v>0</v>
      </c>
      <c r="CE87" s="61">
        <v>1558215</v>
      </c>
      <c r="CF87" s="61">
        <v>1252231</v>
      </c>
      <c r="CG87" s="61">
        <v>0</v>
      </c>
      <c r="CH87" s="61">
        <v>0</v>
      </c>
      <c r="CI87" s="61">
        <v>0</v>
      </c>
      <c r="CJ87" s="61">
        <v>0</v>
      </c>
      <c r="CK87" s="61">
        <v>0</v>
      </c>
      <c r="CL87" s="61">
        <v>0</v>
      </c>
      <c r="CM87" s="61">
        <v>0</v>
      </c>
      <c r="CN87" s="61">
        <v>0</v>
      </c>
      <c r="CO87" s="61">
        <v>0</v>
      </c>
      <c r="CP87" s="61">
        <v>0</v>
      </c>
      <c r="CQ87" s="61">
        <v>0</v>
      </c>
      <c r="CR87" s="61">
        <v>0</v>
      </c>
      <c r="CS87" s="61">
        <v>0</v>
      </c>
      <c r="CT87" s="61">
        <v>0</v>
      </c>
      <c r="CU87" s="61">
        <v>1971540</v>
      </c>
      <c r="CV87" s="61">
        <v>1198355</v>
      </c>
      <c r="CW87" s="61">
        <v>0</v>
      </c>
      <c r="CX87" s="61">
        <v>0</v>
      </c>
      <c r="CY87" s="61">
        <v>0</v>
      </c>
      <c r="CZ87" s="61">
        <v>0</v>
      </c>
      <c r="DA87" s="61">
        <v>0</v>
      </c>
      <c r="DB87" s="61">
        <v>0</v>
      </c>
      <c r="DC87" s="61">
        <v>0</v>
      </c>
      <c r="DD87" s="61">
        <v>0</v>
      </c>
      <c r="DE87" s="61">
        <v>0</v>
      </c>
      <c r="DF87" s="61">
        <v>0</v>
      </c>
      <c r="DG87" s="61">
        <v>0</v>
      </c>
      <c r="DH87" s="61">
        <v>0</v>
      </c>
      <c r="DI87" s="61">
        <v>0</v>
      </c>
      <c r="DJ87" s="61">
        <v>0</v>
      </c>
      <c r="DK87" s="61">
        <v>1838026.17</v>
      </c>
      <c r="DL87" s="61">
        <v>881455</v>
      </c>
      <c r="DM87" s="61">
        <v>0</v>
      </c>
      <c r="DN87" s="61">
        <v>0</v>
      </c>
      <c r="DO87" s="61">
        <v>0</v>
      </c>
      <c r="DP87" s="61">
        <v>0</v>
      </c>
      <c r="DQ87" s="61">
        <v>0</v>
      </c>
      <c r="DR87" s="61">
        <v>0</v>
      </c>
      <c r="DS87" s="61">
        <v>0</v>
      </c>
      <c r="DT87" s="61">
        <v>0</v>
      </c>
      <c r="DU87" s="61">
        <v>0</v>
      </c>
      <c r="DV87" s="61">
        <v>0</v>
      </c>
      <c r="DW87" s="61">
        <v>0</v>
      </c>
      <c r="DX87" s="61">
        <v>0</v>
      </c>
      <c r="DY87" s="61">
        <v>0</v>
      </c>
      <c r="DZ87" s="61">
        <v>1254180</v>
      </c>
      <c r="EA87" s="61">
        <v>1306012</v>
      </c>
      <c r="EB87" s="61">
        <v>1493687</v>
      </c>
      <c r="EC87" s="61">
        <v>0</v>
      </c>
      <c r="ED87" s="61">
        <v>0</v>
      </c>
      <c r="EE87" s="61">
        <v>0</v>
      </c>
      <c r="EF87" s="61">
        <v>0</v>
      </c>
      <c r="EG87" s="61">
        <v>0</v>
      </c>
      <c r="EH87" s="61">
        <v>0</v>
      </c>
      <c r="EI87" s="61">
        <v>0</v>
      </c>
      <c r="EJ87" s="61">
        <v>0</v>
      </c>
      <c r="EK87" s="61">
        <v>0</v>
      </c>
      <c r="EL87" s="61">
        <v>0</v>
      </c>
      <c r="EM87" s="61">
        <v>0</v>
      </c>
      <c r="EN87" s="61">
        <v>0</v>
      </c>
      <c r="EO87" s="61">
        <v>0</v>
      </c>
      <c r="EP87" s="61">
        <v>1421310</v>
      </c>
      <c r="EQ87" s="61">
        <v>1937081.5</v>
      </c>
      <c r="ER87" s="61">
        <v>0</v>
      </c>
      <c r="ES87" s="61">
        <v>0</v>
      </c>
      <c r="ET87" s="61">
        <v>0</v>
      </c>
      <c r="EU87" s="61">
        <v>0</v>
      </c>
      <c r="EV87" s="61">
        <v>0</v>
      </c>
      <c r="EW87" s="61">
        <v>0</v>
      </c>
      <c r="EX87" s="61">
        <v>0</v>
      </c>
      <c r="EY87" s="61">
        <v>0</v>
      </c>
      <c r="EZ87" s="61">
        <v>0</v>
      </c>
      <c r="FA87" s="61">
        <v>0</v>
      </c>
      <c r="FB87" s="61">
        <v>0</v>
      </c>
      <c r="FC87" s="61">
        <v>0</v>
      </c>
      <c r="FD87" s="61">
        <v>0</v>
      </c>
      <c r="FE87" s="61">
        <v>1762820</v>
      </c>
      <c r="FF87" s="61">
        <v>2902838</v>
      </c>
      <c r="FG87" s="61">
        <v>0</v>
      </c>
      <c r="FH87" s="168">
        <v>0</v>
      </c>
      <c r="FI87" s="168">
        <v>0</v>
      </c>
      <c r="FJ87" s="61">
        <v>0</v>
      </c>
      <c r="FK87" s="61">
        <v>0</v>
      </c>
      <c r="FL87" s="61">
        <v>0</v>
      </c>
      <c r="FM87" s="61">
        <v>0</v>
      </c>
      <c r="FN87" s="61">
        <v>0</v>
      </c>
      <c r="FO87" s="61">
        <v>0</v>
      </c>
      <c r="FP87" s="61">
        <v>0</v>
      </c>
      <c r="FQ87" s="61">
        <v>0</v>
      </c>
      <c r="FR87" s="61">
        <v>0</v>
      </c>
      <c r="FS87" s="61">
        <v>0</v>
      </c>
      <c r="FT87" s="61">
        <v>2610000</v>
      </c>
      <c r="FU87" s="61">
        <v>2420725</v>
      </c>
      <c r="FV87" s="61">
        <v>0</v>
      </c>
      <c r="FW87" s="61">
        <v>0</v>
      </c>
      <c r="FX87" s="61">
        <v>0</v>
      </c>
      <c r="FY87" s="61">
        <v>0</v>
      </c>
      <c r="FZ87" s="61">
        <v>0</v>
      </c>
      <c r="GA87" s="61">
        <v>0</v>
      </c>
      <c r="GB87" s="61">
        <v>0</v>
      </c>
      <c r="GC87" s="61">
        <v>0</v>
      </c>
      <c r="GD87" s="61">
        <v>0</v>
      </c>
      <c r="GE87" s="61">
        <v>0</v>
      </c>
      <c r="GF87" s="61">
        <v>0</v>
      </c>
      <c r="GG87" s="61">
        <v>0</v>
      </c>
      <c r="GH87" s="61">
        <v>0</v>
      </c>
      <c r="GI87" s="61">
        <v>1965170</v>
      </c>
      <c r="GJ87" s="61">
        <v>4201178</v>
      </c>
    </row>
    <row r="88" spans="2:192">
      <c r="C88" t="s">
        <v>786</v>
      </c>
      <c r="D88" t="s">
        <v>308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1">
        <v>0</v>
      </c>
      <c r="L88" s="61">
        <v>0</v>
      </c>
      <c r="M88" s="61">
        <v>0</v>
      </c>
      <c r="N88" s="61">
        <v>0</v>
      </c>
      <c r="O88" s="61">
        <v>0</v>
      </c>
      <c r="P88" s="61">
        <v>0</v>
      </c>
      <c r="Q88" s="61">
        <v>0</v>
      </c>
      <c r="R88" s="61">
        <v>0</v>
      </c>
      <c r="S88" s="61">
        <v>2262520</v>
      </c>
      <c r="T88" s="61">
        <v>5480487</v>
      </c>
      <c r="U88" s="61">
        <v>0</v>
      </c>
      <c r="V88" s="61">
        <v>0</v>
      </c>
      <c r="W88" s="61">
        <v>0</v>
      </c>
      <c r="X88" s="61">
        <v>0</v>
      </c>
      <c r="Y88" s="61">
        <v>0</v>
      </c>
      <c r="Z88" s="61">
        <v>0</v>
      </c>
      <c r="AA88" s="61">
        <v>0</v>
      </c>
      <c r="AB88" s="61">
        <v>0</v>
      </c>
      <c r="AC88" s="61">
        <v>0</v>
      </c>
      <c r="AD88" s="61">
        <v>0</v>
      </c>
      <c r="AE88" s="61">
        <v>0</v>
      </c>
      <c r="AF88" s="61">
        <v>0</v>
      </c>
      <c r="AG88" s="61">
        <v>0</v>
      </c>
      <c r="AH88" s="61">
        <v>0</v>
      </c>
      <c r="AI88" s="61">
        <v>2867200</v>
      </c>
      <c r="AJ88" s="61">
        <v>3142424</v>
      </c>
      <c r="AK88" s="61">
        <v>0</v>
      </c>
      <c r="AL88" s="61">
        <v>0</v>
      </c>
      <c r="AM88" s="61">
        <v>0</v>
      </c>
      <c r="AN88" s="61">
        <v>0</v>
      </c>
      <c r="AO88" s="61">
        <v>0</v>
      </c>
      <c r="AP88" s="61">
        <v>0</v>
      </c>
      <c r="AQ88" s="61">
        <v>0</v>
      </c>
      <c r="AR88" s="61">
        <v>0</v>
      </c>
      <c r="AS88" s="61">
        <v>0</v>
      </c>
      <c r="AT88" s="61">
        <v>0</v>
      </c>
      <c r="AU88" s="61">
        <v>0</v>
      </c>
      <c r="AV88" s="61">
        <v>0</v>
      </c>
      <c r="AW88" s="61">
        <v>0</v>
      </c>
      <c r="AX88" s="61">
        <v>0</v>
      </c>
      <c r="AY88" s="61">
        <v>2522280</v>
      </c>
      <c r="AZ88" s="61">
        <v>4678996</v>
      </c>
      <c r="BA88" s="61">
        <v>0</v>
      </c>
      <c r="BB88" s="61">
        <v>0</v>
      </c>
      <c r="BC88" s="61">
        <v>0</v>
      </c>
      <c r="BD88" s="61">
        <v>0</v>
      </c>
      <c r="BE88" s="61">
        <v>0</v>
      </c>
      <c r="BF88" s="61">
        <v>0</v>
      </c>
      <c r="BG88" s="61">
        <v>0</v>
      </c>
      <c r="BH88" s="61">
        <v>0</v>
      </c>
      <c r="BI88" s="61">
        <v>0</v>
      </c>
      <c r="BJ88" s="61">
        <v>0</v>
      </c>
      <c r="BK88" s="61">
        <v>0</v>
      </c>
      <c r="BL88" s="61">
        <v>0</v>
      </c>
      <c r="BM88" s="61">
        <v>0</v>
      </c>
      <c r="BN88" s="61">
        <v>0</v>
      </c>
      <c r="BO88" s="61">
        <v>1553520</v>
      </c>
      <c r="BP88" s="61">
        <v>2654616</v>
      </c>
      <c r="BQ88" s="61">
        <v>0</v>
      </c>
      <c r="BR88" s="61">
        <v>0</v>
      </c>
      <c r="BS88" s="61">
        <v>0</v>
      </c>
      <c r="BT88" s="61">
        <v>0</v>
      </c>
      <c r="BU88" s="61">
        <v>0</v>
      </c>
      <c r="BV88" s="61">
        <v>0</v>
      </c>
      <c r="BW88" s="61">
        <v>0</v>
      </c>
      <c r="BX88" s="61">
        <v>0</v>
      </c>
      <c r="BY88" s="61">
        <v>0</v>
      </c>
      <c r="BZ88" s="61">
        <v>0</v>
      </c>
      <c r="CA88" s="61">
        <v>0</v>
      </c>
      <c r="CB88" s="61">
        <v>0</v>
      </c>
      <c r="CC88" s="61">
        <v>0</v>
      </c>
      <c r="CD88" s="61">
        <v>0</v>
      </c>
      <c r="CE88" s="61">
        <v>1956325</v>
      </c>
      <c r="CF88" s="61">
        <v>1472117</v>
      </c>
      <c r="CG88" s="61">
        <v>0</v>
      </c>
      <c r="CH88" s="61">
        <v>0</v>
      </c>
      <c r="CI88" s="61">
        <v>0</v>
      </c>
      <c r="CJ88" s="61">
        <v>0</v>
      </c>
      <c r="CK88" s="61">
        <v>0</v>
      </c>
      <c r="CL88" s="61">
        <v>0</v>
      </c>
      <c r="CM88" s="61">
        <v>0</v>
      </c>
      <c r="CN88" s="61">
        <v>0</v>
      </c>
      <c r="CO88" s="61">
        <v>0</v>
      </c>
      <c r="CP88" s="61">
        <v>0</v>
      </c>
      <c r="CQ88" s="61">
        <v>0</v>
      </c>
      <c r="CR88" s="61">
        <v>0</v>
      </c>
      <c r="CS88" s="61">
        <v>0</v>
      </c>
      <c r="CT88" s="61">
        <v>0</v>
      </c>
      <c r="CU88" s="61">
        <v>2421170</v>
      </c>
      <c r="CV88" s="61">
        <v>1338901</v>
      </c>
      <c r="CW88" s="61">
        <v>0</v>
      </c>
      <c r="CX88" s="61">
        <v>0</v>
      </c>
      <c r="CY88" s="61">
        <v>0</v>
      </c>
      <c r="CZ88" s="61">
        <v>0</v>
      </c>
      <c r="DA88" s="61">
        <v>0</v>
      </c>
      <c r="DB88" s="61">
        <v>0</v>
      </c>
      <c r="DC88" s="61">
        <v>0</v>
      </c>
      <c r="DD88" s="61">
        <v>0</v>
      </c>
      <c r="DE88" s="61">
        <v>0</v>
      </c>
      <c r="DF88" s="61">
        <v>0</v>
      </c>
      <c r="DG88" s="61">
        <v>0</v>
      </c>
      <c r="DH88" s="61">
        <v>0</v>
      </c>
      <c r="DI88" s="61">
        <v>0</v>
      </c>
      <c r="DJ88" s="61">
        <v>0</v>
      </c>
      <c r="DK88" s="61">
        <v>2298582.83</v>
      </c>
      <c r="DL88" s="61">
        <v>1120764</v>
      </c>
      <c r="DM88" s="61">
        <v>0</v>
      </c>
      <c r="DN88" s="61">
        <v>0</v>
      </c>
      <c r="DO88" s="61">
        <v>0</v>
      </c>
      <c r="DP88" s="61">
        <v>0</v>
      </c>
      <c r="DQ88" s="61">
        <v>0</v>
      </c>
      <c r="DR88" s="61">
        <v>0</v>
      </c>
      <c r="DS88" s="61">
        <v>0</v>
      </c>
      <c r="DT88" s="61">
        <v>0</v>
      </c>
      <c r="DU88" s="61">
        <v>0</v>
      </c>
      <c r="DV88" s="61">
        <v>0</v>
      </c>
      <c r="DW88" s="61">
        <v>0</v>
      </c>
      <c r="DX88" s="61">
        <v>0</v>
      </c>
      <c r="DY88" s="61">
        <v>0</v>
      </c>
      <c r="DZ88" s="61">
        <v>0</v>
      </c>
      <c r="EA88" s="61">
        <v>1549396</v>
      </c>
      <c r="EB88" s="61">
        <v>1630342</v>
      </c>
      <c r="EC88" s="61">
        <v>0</v>
      </c>
      <c r="ED88" s="61">
        <v>0</v>
      </c>
      <c r="EE88" s="61">
        <v>0</v>
      </c>
      <c r="EF88" s="61">
        <v>0</v>
      </c>
      <c r="EG88" s="61">
        <v>0</v>
      </c>
      <c r="EH88" s="61">
        <v>0</v>
      </c>
      <c r="EI88" s="61">
        <v>0</v>
      </c>
      <c r="EJ88" s="61">
        <v>0</v>
      </c>
      <c r="EK88" s="61">
        <v>0</v>
      </c>
      <c r="EL88" s="61">
        <v>0</v>
      </c>
      <c r="EM88" s="61">
        <v>0</v>
      </c>
      <c r="EN88" s="61">
        <v>0</v>
      </c>
      <c r="EO88" s="61">
        <v>0</v>
      </c>
      <c r="EP88" s="61">
        <v>0</v>
      </c>
      <c r="EQ88" s="61">
        <v>2103264</v>
      </c>
      <c r="ER88" s="61">
        <v>0</v>
      </c>
      <c r="ES88" s="61">
        <v>0</v>
      </c>
      <c r="ET88" s="61">
        <v>0</v>
      </c>
      <c r="EU88" s="61">
        <v>0</v>
      </c>
      <c r="EV88" s="61">
        <v>0</v>
      </c>
      <c r="EW88" s="61">
        <v>0</v>
      </c>
      <c r="EX88" s="61">
        <v>0</v>
      </c>
      <c r="EY88" s="61">
        <v>0</v>
      </c>
      <c r="EZ88" s="61">
        <v>0</v>
      </c>
      <c r="FA88" s="61">
        <v>0</v>
      </c>
      <c r="FB88" s="61">
        <v>0</v>
      </c>
      <c r="FC88" s="61">
        <v>0</v>
      </c>
      <c r="FD88" s="61">
        <v>0</v>
      </c>
      <c r="FE88" s="61">
        <v>0</v>
      </c>
      <c r="FF88" s="61">
        <v>2678330</v>
      </c>
      <c r="FG88" s="61">
        <v>0</v>
      </c>
      <c r="FH88" s="168">
        <v>0</v>
      </c>
      <c r="FI88" s="168">
        <v>0</v>
      </c>
      <c r="FJ88" s="61">
        <v>0</v>
      </c>
      <c r="FK88" s="61">
        <v>0</v>
      </c>
      <c r="FL88" s="61">
        <v>0</v>
      </c>
      <c r="FM88" s="61">
        <v>0</v>
      </c>
      <c r="FN88" s="61">
        <v>0</v>
      </c>
      <c r="FO88" s="61">
        <v>0</v>
      </c>
      <c r="FP88" s="61">
        <v>0</v>
      </c>
      <c r="FQ88" s="61">
        <v>0</v>
      </c>
      <c r="FR88" s="61">
        <v>0</v>
      </c>
      <c r="FS88" s="61">
        <v>0</v>
      </c>
      <c r="FT88" s="61">
        <v>0</v>
      </c>
      <c r="FU88" s="61">
        <v>3757873</v>
      </c>
      <c r="FV88" s="61">
        <v>0</v>
      </c>
      <c r="FW88" s="61">
        <v>0</v>
      </c>
      <c r="FX88" s="61">
        <v>0</v>
      </c>
      <c r="FY88" s="61">
        <v>0</v>
      </c>
      <c r="FZ88" s="61">
        <v>0</v>
      </c>
      <c r="GA88" s="61">
        <v>0</v>
      </c>
      <c r="GB88" s="61">
        <v>0</v>
      </c>
      <c r="GC88" s="61">
        <v>0</v>
      </c>
      <c r="GD88" s="61">
        <v>0</v>
      </c>
      <c r="GE88" s="61">
        <v>0</v>
      </c>
      <c r="GF88" s="61">
        <v>0</v>
      </c>
      <c r="GG88" s="61">
        <v>0</v>
      </c>
      <c r="GH88" s="61">
        <v>0</v>
      </c>
      <c r="GI88" s="61">
        <v>447840</v>
      </c>
      <c r="GJ88" s="61">
        <v>5313884</v>
      </c>
    </row>
    <row r="89" spans="2:192">
      <c r="B89" t="s">
        <v>2621</v>
      </c>
      <c r="E89" s="61">
        <v>0</v>
      </c>
      <c r="F89" s="61">
        <v>0</v>
      </c>
      <c r="G89" s="61">
        <v>0</v>
      </c>
      <c r="H89" s="61">
        <v>0</v>
      </c>
      <c r="I89" s="61">
        <v>0</v>
      </c>
      <c r="J89" s="61">
        <v>0</v>
      </c>
      <c r="K89" s="61">
        <v>0</v>
      </c>
      <c r="L89" s="61">
        <v>0</v>
      </c>
      <c r="M89" s="61">
        <v>0</v>
      </c>
      <c r="N89" s="61">
        <v>0</v>
      </c>
      <c r="O89" s="61">
        <v>0</v>
      </c>
      <c r="P89" s="61">
        <v>0</v>
      </c>
      <c r="Q89" s="61">
        <v>0</v>
      </c>
      <c r="R89" s="61">
        <v>0</v>
      </c>
      <c r="S89" s="61">
        <v>4554970</v>
      </c>
      <c r="T89" s="61">
        <v>10112175</v>
      </c>
      <c r="U89" s="61">
        <v>0</v>
      </c>
      <c r="V89" s="61">
        <v>0</v>
      </c>
      <c r="W89" s="61">
        <v>0</v>
      </c>
      <c r="X89" s="61">
        <v>0</v>
      </c>
      <c r="Y89" s="61">
        <v>0</v>
      </c>
      <c r="Z89" s="61">
        <v>0</v>
      </c>
      <c r="AA89" s="61">
        <v>0</v>
      </c>
      <c r="AB89" s="61">
        <v>0</v>
      </c>
      <c r="AC89" s="61">
        <v>0</v>
      </c>
      <c r="AD89" s="61">
        <v>0</v>
      </c>
      <c r="AE89" s="61">
        <v>0</v>
      </c>
      <c r="AF89" s="61">
        <v>0</v>
      </c>
      <c r="AG89" s="61">
        <v>0</v>
      </c>
      <c r="AH89" s="61">
        <v>0</v>
      </c>
      <c r="AI89" s="61">
        <v>6093800</v>
      </c>
      <c r="AJ89" s="61">
        <v>5897813</v>
      </c>
      <c r="AK89" s="61">
        <v>0</v>
      </c>
      <c r="AL89" s="61">
        <v>0</v>
      </c>
      <c r="AM89" s="61">
        <v>0</v>
      </c>
      <c r="AN89" s="61">
        <v>0</v>
      </c>
      <c r="AO89" s="61">
        <v>0</v>
      </c>
      <c r="AP89" s="61">
        <v>0</v>
      </c>
      <c r="AQ89" s="61">
        <v>0</v>
      </c>
      <c r="AR89" s="61">
        <v>0</v>
      </c>
      <c r="AS89" s="61">
        <v>0</v>
      </c>
      <c r="AT89" s="61">
        <v>0</v>
      </c>
      <c r="AU89" s="61">
        <v>0</v>
      </c>
      <c r="AV89" s="61">
        <v>0</v>
      </c>
      <c r="AW89" s="61">
        <v>0</v>
      </c>
      <c r="AX89" s="61">
        <v>0</v>
      </c>
      <c r="AY89" s="61">
        <v>5981650</v>
      </c>
      <c r="AZ89" s="61">
        <v>7771034</v>
      </c>
      <c r="BA89" s="61">
        <v>0</v>
      </c>
      <c r="BB89" s="61">
        <v>0</v>
      </c>
      <c r="BC89" s="61">
        <v>0</v>
      </c>
      <c r="BD89" s="61">
        <v>0</v>
      </c>
      <c r="BE89" s="61">
        <v>0</v>
      </c>
      <c r="BF89" s="61">
        <v>0</v>
      </c>
      <c r="BG89" s="61">
        <v>0</v>
      </c>
      <c r="BH89" s="61">
        <v>0</v>
      </c>
      <c r="BI89" s="61">
        <v>0</v>
      </c>
      <c r="BJ89" s="61">
        <v>0</v>
      </c>
      <c r="BK89" s="61">
        <v>0</v>
      </c>
      <c r="BL89" s="61">
        <v>0</v>
      </c>
      <c r="BM89" s="61">
        <v>0</v>
      </c>
      <c r="BN89" s="61">
        <v>0</v>
      </c>
      <c r="BO89" s="61">
        <v>2850650</v>
      </c>
      <c r="BP89" s="61">
        <v>5037101</v>
      </c>
      <c r="BQ89" s="61">
        <v>0</v>
      </c>
      <c r="BR89" s="61">
        <v>0</v>
      </c>
      <c r="BS89" s="61">
        <v>0</v>
      </c>
      <c r="BT89" s="61">
        <v>0</v>
      </c>
      <c r="BU89" s="61">
        <v>0</v>
      </c>
      <c r="BV89" s="61">
        <v>0</v>
      </c>
      <c r="BW89" s="61">
        <v>0</v>
      </c>
      <c r="BX89" s="61">
        <v>0</v>
      </c>
      <c r="BY89" s="61">
        <v>0</v>
      </c>
      <c r="BZ89" s="61">
        <v>0</v>
      </c>
      <c r="CA89" s="61">
        <v>0</v>
      </c>
      <c r="CB89" s="61">
        <v>0</v>
      </c>
      <c r="CC89" s="61">
        <v>0</v>
      </c>
      <c r="CD89" s="61">
        <v>0</v>
      </c>
      <c r="CE89" s="61">
        <v>3514540</v>
      </c>
      <c r="CF89" s="61">
        <v>2724348</v>
      </c>
      <c r="CG89" s="61">
        <v>0</v>
      </c>
      <c r="CH89" s="61">
        <v>0</v>
      </c>
      <c r="CI89" s="61">
        <v>0</v>
      </c>
      <c r="CJ89" s="61">
        <v>0</v>
      </c>
      <c r="CK89" s="61">
        <v>0</v>
      </c>
      <c r="CL89" s="61">
        <v>0</v>
      </c>
      <c r="CM89" s="61">
        <v>0</v>
      </c>
      <c r="CN89" s="61">
        <v>0</v>
      </c>
      <c r="CO89" s="61">
        <v>0</v>
      </c>
      <c r="CP89" s="61">
        <v>0</v>
      </c>
      <c r="CQ89" s="61">
        <v>0</v>
      </c>
      <c r="CR89" s="61">
        <v>0</v>
      </c>
      <c r="CS89" s="61">
        <v>0</v>
      </c>
      <c r="CT89" s="61">
        <v>0</v>
      </c>
      <c r="CU89" s="61">
        <v>4392710</v>
      </c>
      <c r="CV89" s="61">
        <v>2537256</v>
      </c>
      <c r="CW89" s="61">
        <v>0</v>
      </c>
      <c r="CX89" s="61">
        <v>0</v>
      </c>
      <c r="CY89" s="61">
        <v>0</v>
      </c>
      <c r="CZ89" s="61">
        <v>0</v>
      </c>
      <c r="DA89" s="61">
        <v>0</v>
      </c>
      <c r="DB89" s="61">
        <v>0</v>
      </c>
      <c r="DC89" s="61">
        <v>0</v>
      </c>
      <c r="DD89" s="61">
        <v>0</v>
      </c>
      <c r="DE89" s="61">
        <v>0</v>
      </c>
      <c r="DF89" s="61">
        <v>0</v>
      </c>
      <c r="DG89" s="61">
        <v>0</v>
      </c>
      <c r="DH89" s="61">
        <v>0</v>
      </c>
      <c r="DI89" s="61">
        <v>0</v>
      </c>
      <c r="DJ89" s="61">
        <v>0</v>
      </c>
      <c r="DK89" s="61">
        <v>4136609</v>
      </c>
      <c r="DL89" s="61">
        <v>2002219</v>
      </c>
      <c r="DM89" s="61">
        <v>0</v>
      </c>
      <c r="DN89" s="61">
        <v>0</v>
      </c>
      <c r="DO89" s="61">
        <v>0</v>
      </c>
      <c r="DP89" s="61">
        <v>0</v>
      </c>
      <c r="DQ89" s="61">
        <v>0</v>
      </c>
      <c r="DR89" s="61">
        <v>0</v>
      </c>
      <c r="DS89" s="61">
        <v>0</v>
      </c>
      <c r="DT89" s="61">
        <v>0</v>
      </c>
      <c r="DU89" s="61">
        <v>0</v>
      </c>
      <c r="DV89" s="61">
        <v>0</v>
      </c>
      <c r="DW89" s="61">
        <v>0</v>
      </c>
      <c r="DX89" s="61">
        <v>0</v>
      </c>
      <c r="DY89" s="61">
        <v>0</v>
      </c>
      <c r="DZ89" s="61">
        <v>1254180</v>
      </c>
      <c r="EA89" s="61">
        <v>2855408</v>
      </c>
      <c r="EB89" s="61">
        <v>3124029</v>
      </c>
      <c r="EC89" s="61">
        <v>0</v>
      </c>
      <c r="ED89" s="61">
        <v>0</v>
      </c>
      <c r="EE89" s="61">
        <v>0</v>
      </c>
      <c r="EF89" s="61">
        <v>0</v>
      </c>
      <c r="EG89" s="61">
        <v>0</v>
      </c>
      <c r="EH89" s="61">
        <v>0</v>
      </c>
      <c r="EI89" s="61">
        <v>0</v>
      </c>
      <c r="EJ89" s="61">
        <v>0</v>
      </c>
      <c r="EK89" s="61">
        <v>0</v>
      </c>
      <c r="EL89" s="61">
        <v>0</v>
      </c>
      <c r="EM89" s="61">
        <v>0</v>
      </c>
      <c r="EN89" s="61">
        <v>0</v>
      </c>
      <c r="EO89" s="61">
        <v>0</v>
      </c>
      <c r="EP89" s="61">
        <v>1421310</v>
      </c>
      <c r="EQ89" s="61">
        <v>4040345.5</v>
      </c>
      <c r="ER89" s="61">
        <v>0</v>
      </c>
      <c r="ES89" s="61">
        <v>0</v>
      </c>
      <c r="ET89" s="61">
        <v>0</v>
      </c>
      <c r="EU89" s="61">
        <v>0</v>
      </c>
      <c r="EV89" s="61">
        <v>0</v>
      </c>
      <c r="EW89" s="61">
        <v>0</v>
      </c>
      <c r="EX89" s="61">
        <v>0</v>
      </c>
      <c r="EY89" s="61">
        <v>0</v>
      </c>
      <c r="EZ89" s="61">
        <v>0</v>
      </c>
      <c r="FA89" s="61">
        <v>0</v>
      </c>
      <c r="FB89" s="61">
        <v>0</v>
      </c>
      <c r="FC89" s="61">
        <v>0</v>
      </c>
      <c r="FD89" s="61">
        <v>0</v>
      </c>
      <c r="FE89" s="61">
        <v>1762820</v>
      </c>
      <c r="FF89" s="61">
        <v>5581168</v>
      </c>
      <c r="FG89" s="61">
        <v>0</v>
      </c>
      <c r="FH89" s="168">
        <v>0</v>
      </c>
      <c r="FI89" s="168">
        <v>0</v>
      </c>
      <c r="FJ89" s="61">
        <v>0</v>
      </c>
      <c r="FK89" s="61">
        <v>0</v>
      </c>
      <c r="FL89" s="61">
        <v>0</v>
      </c>
      <c r="FM89" s="61">
        <v>0</v>
      </c>
      <c r="FN89" s="61">
        <v>0</v>
      </c>
      <c r="FO89" s="61">
        <v>0</v>
      </c>
      <c r="FP89" s="61">
        <v>0</v>
      </c>
      <c r="FQ89" s="61">
        <v>0</v>
      </c>
      <c r="FR89" s="61">
        <v>0</v>
      </c>
      <c r="FS89" s="61">
        <v>0</v>
      </c>
      <c r="FT89" s="61">
        <v>2610000</v>
      </c>
      <c r="FU89" s="61">
        <v>6178598</v>
      </c>
      <c r="FV89" s="61">
        <v>0</v>
      </c>
      <c r="FW89" s="61">
        <v>0</v>
      </c>
      <c r="FX89" s="61">
        <v>0</v>
      </c>
      <c r="FY89" s="61">
        <v>0</v>
      </c>
      <c r="FZ89" s="61">
        <v>0</v>
      </c>
      <c r="GA89" s="61">
        <v>0</v>
      </c>
      <c r="GB89" s="61">
        <v>0</v>
      </c>
      <c r="GC89" s="61">
        <v>0</v>
      </c>
      <c r="GD89" s="61">
        <v>0</v>
      </c>
      <c r="GE89" s="61">
        <v>0</v>
      </c>
      <c r="GF89" s="61">
        <v>0</v>
      </c>
      <c r="GG89" s="61">
        <v>0</v>
      </c>
      <c r="GH89" s="61">
        <v>0</v>
      </c>
      <c r="GI89" s="61">
        <v>2413010</v>
      </c>
      <c r="GJ89" s="61">
        <v>9515062</v>
      </c>
    </row>
    <row r="90" spans="2:192">
      <c r="B90" t="s">
        <v>498</v>
      </c>
      <c r="E90" s="61">
        <v>1792924</v>
      </c>
      <c r="F90" s="61">
        <v>2927799</v>
      </c>
      <c r="G90" s="61">
        <v>6348574</v>
      </c>
      <c r="H90" s="61">
        <v>5092367</v>
      </c>
      <c r="I90" s="61">
        <v>32677037</v>
      </c>
      <c r="J90" s="61">
        <v>41948134</v>
      </c>
      <c r="K90" s="61">
        <v>28007885</v>
      </c>
      <c r="L90" s="61">
        <v>36211567</v>
      </c>
      <c r="M90" s="61">
        <v>88681211</v>
      </c>
      <c r="N90" s="61">
        <v>115655752</v>
      </c>
      <c r="O90" s="61">
        <v>87340766</v>
      </c>
      <c r="P90" s="61">
        <v>157217425</v>
      </c>
      <c r="Q90" s="61">
        <v>145044359</v>
      </c>
      <c r="R90" s="61">
        <v>190001497.66666666</v>
      </c>
      <c r="S90" s="61">
        <v>113140368.66666666</v>
      </c>
      <c r="T90" s="61">
        <v>209128235.49999997</v>
      </c>
      <c r="U90" s="61">
        <v>1561822</v>
      </c>
      <c r="V90" s="61">
        <v>1780925</v>
      </c>
      <c r="W90" s="61">
        <v>4585983</v>
      </c>
      <c r="X90" s="61">
        <v>4552330</v>
      </c>
      <c r="Y90" s="61">
        <v>34743920</v>
      </c>
      <c r="Z90" s="61">
        <v>24880247</v>
      </c>
      <c r="AA90" s="61">
        <v>27194912</v>
      </c>
      <c r="AB90" s="61">
        <v>57339615</v>
      </c>
      <c r="AC90" s="61">
        <v>66852523</v>
      </c>
      <c r="AD90" s="61">
        <v>83882585</v>
      </c>
      <c r="AE90" s="61">
        <v>96562449</v>
      </c>
      <c r="AF90" s="61">
        <v>178727133</v>
      </c>
      <c r="AG90" s="61">
        <v>113907580</v>
      </c>
      <c r="AH90" s="61">
        <v>174667175</v>
      </c>
      <c r="AI90" s="61">
        <v>158072064.16666669</v>
      </c>
      <c r="AJ90" s="61">
        <v>129243243.00000001</v>
      </c>
      <c r="AK90" s="61">
        <v>2611652</v>
      </c>
      <c r="AL90" s="61">
        <v>2380663</v>
      </c>
      <c r="AM90" s="61">
        <v>4082725</v>
      </c>
      <c r="AN90" s="61">
        <v>8253926</v>
      </c>
      <c r="AO90" s="61">
        <v>34169512</v>
      </c>
      <c r="AP90" s="61">
        <v>51561295</v>
      </c>
      <c r="AQ90" s="61">
        <v>44446227.829999998</v>
      </c>
      <c r="AR90" s="61">
        <v>77955864</v>
      </c>
      <c r="AS90" s="61">
        <v>77004593</v>
      </c>
      <c r="AT90" s="61">
        <v>76509209</v>
      </c>
      <c r="AU90" s="61">
        <v>89304621</v>
      </c>
      <c r="AV90" s="61">
        <v>100122908</v>
      </c>
      <c r="AW90" s="61">
        <v>133010725</v>
      </c>
      <c r="AX90" s="61">
        <v>151868716.16633332</v>
      </c>
      <c r="AY90" s="61">
        <v>154331532.33333334</v>
      </c>
      <c r="AZ90" s="61">
        <v>160764093.16666666</v>
      </c>
      <c r="BA90" s="61">
        <v>2064698</v>
      </c>
      <c r="BB90" s="61">
        <v>1930679</v>
      </c>
      <c r="BC90" s="61">
        <v>3641059</v>
      </c>
      <c r="BD90" s="61">
        <v>4962326</v>
      </c>
      <c r="BE90" s="61">
        <v>12887309</v>
      </c>
      <c r="BF90" s="61">
        <v>34031732</v>
      </c>
      <c r="BG90" s="61">
        <v>31976172.5</v>
      </c>
      <c r="BH90" s="61">
        <v>46124779</v>
      </c>
      <c r="BI90" s="61">
        <v>56161285</v>
      </c>
      <c r="BJ90" s="61">
        <v>117563744</v>
      </c>
      <c r="BK90" s="61">
        <v>92576593</v>
      </c>
      <c r="BL90" s="61">
        <v>77954273</v>
      </c>
      <c r="BM90" s="61">
        <v>103838575</v>
      </c>
      <c r="BN90" s="61">
        <v>112069013.83333333</v>
      </c>
      <c r="BO90" s="61">
        <v>87643779.166666642</v>
      </c>
      <c r="BP90" s="61">
        <v>115389452</v>
      </c>
      <c r="BQ90" s="61">
        <v>1086318</v>
      </c>
      <c r="BR90" s="61">
        <v>1408407</v>
      </c>
      <c r="BS90" s="61">
        <v>3527219</v>
      </c>
      <c r="BT90" s="61">
        <v>5936243</v>
      </c>
      <c r="BU90" s="61">
        <v>34444278</v>
      </c>
      <c r="BV90" s="61">
        <v>22218197</v>
      </c>
      <c r="BW90" s="61">
        <v>37748778</v>
      </c>
      <c r="BX90" s="61">
        <v>49996099</v>
      </c>
      <c r="BY90" s="61">
        <v>59499895</v>
      </c>
      <c r="BZ90" s="61">
        <v>73699912</v>
      </c>
      <c r="CA90" s="61">
        <v>82012644</v>
      </c>
      <c r="CB90" s="61">
        <v>119071344</v>
      </c>
      <c r="CC90" s="61">
        <v>118556723</v>
      </c>
      <c r="CD90" s="61">
        <v>113547341.33329998</v>
      </c>
      <c r="CE90" s="61">
        <v>92139543.666666672</v>
      </c>
      <c r="CF90" s="61">
        <v>74697862</v>
      </c>
      <c r="CG90" s="61">
        <v>1254877</v>
      </c>
      <c r="CH90" s="61">
        <v>1629215</v>
      </c>
      <c r="CI90" s="61">
        <v>2295060</v>
      </c>
      <c r="CJ90" s="61">
        <v>2636832</v>
      </c>
      <c r="CK90" s="61">
        <v>17607979</v>
      </c>
      <c r="CL90" s="61">
        <v>19223936</v>
      </c>
      <c r="CM90" s="61">
        <v>28479593</v>
      </c>
      <c r="CN90" s="61">
        <v>44154824</v>
      </c>
      <c r="CO90" s="61">
        <v>59221208</v>
      </c>
      <c r="CP90" s="61">
        <v>73538427</v>
      </c>
      <c r="CQ90" s="61">
        <v>85421172</v>
      </c>
      <c r="CR90" s="61">
        <v>67662461</v>
      </c>
      <c r="CS90" s="61">
        <v>83276354</v>
      </c>
      <c r="CT90" s="61">
        <v>70758109.000399992</v>
      </c>
      <c r="CU90" s="61">
        <v>90033370.833666697</v>
      </c>
      <c r="CV90" s="61">
        <v>77219124</v>
      </c>
      <c r="CW90" s="61">
        <v>699545</v>
      </c>
      <c r="CX90" s="61">
        <v>1536745</v>
      </c>
      <c r="CY90" s="61">
        <v>2809078</v>
      </c>
      <c r="CZ90" s="61">
        <v>2380326</v>
      </c>
      <c r="DA90" s="61">
        <v>25932889</v>
      </c>
      <c r="DB90" s="61">
        <v>18609591</v>
      </c>
      <c r="DC90" s="61">
        <v>29948317</v>
      </c>
      <c r="DD90" s="61">
        <v>36205471</v>
      </c>
      <c r="DE90" s="61">
        <v>57959746</v>
      </c>
      <c r="DF90" s="61">
        <v>63627114</v>
      </c>
      <c r="DG90" s="61">
        <v>56713493</v>
      </c>
      <c r="DH90" s="61">
        <v>70147769</v>
      </c>
      <c r="DI90" s="61">
        <v>95133280</v>
      </c>
      <c r="DJ90" s="61">
        <v>68332723.166666657</v>
      </c>
      <c r="DK90" s="61">
        <v>98561578.333333328</v>
      </c>
      <c r="DL90" s="61">
        <v>61505450.833333336</v>
      </c>
      <c r="DM90" s="61">
        <v>618165</v>
      </c>
      <c r="DN90" s="61">
        <v>1534245</v>
      </c>
      <c r="DO90" s="61">
        <v>2641534</v>
      </c>
      <c r="DP90" s="61">
        <v>4534370</v>
      </c>
      <c r="DQ90" s="61">
        <v>22090334</v>
      </c>
      <c r="DR90" s="61">
        <v>19928887</v>
      </c>
      <c r="DS90" s="61">
        <v>20075124</v>
      </c>
      <c r="DT90" s="61">
        <v>51655525</v>
      </c>
      <c r="DU90" s="61">
        <v>59025395</v>
      </c>
      <c r="DV90" s="61">
        <v>63751016</v>
      </c>
      <c r="DW90" s="61">
        <v>51755830</v>
      </c>
      <c r="DX90" s="61">
        <v>69163854</v>
      </c>
      <c r="DY90" s="61">
        <v>80264518.666666657</v>
      </c>
      <c r="DZ90" s="61">
        <v>76978312</v>
      </c>
      <c r="EA90" s="61">
        <v>73113223</v>
      </c>
      <c r="EB90" s="61">
        <v>84621249.666666642</v>
      </c>
      <c r="EC90" s="61">
        <v>1630918</v>
      </c>
      <c r="ED90" s="61">
        <v>2221285</v>
      </c>
      <c r="EE90" s="61">
        <v>1680940</v>
      </c>
      <c r="EF90" s="61">
        <v>4678443</v>
      </c>
      <c r="EG90" s="61">
        <v>27849552</v>
      </c>
      <c r="EH90" s="61">
        <v>23973222</v>
      </c>
      <c r="EI90" s="61">
        <v>25632460</v>
      </c>
      <c r="EJ90" s="61">
        <v>47099037</v>
      </c>
      <c r="EK90" s="61">
        <v>68881294</v>
      </c>
      <c r="EL90" s="61">
        <v>71278423</v>
      </c>
      <c r="EM90" s="61">
        <v>65091886</v>
      </c>
      <c r="EN90" s="61">
        <v>53559865.999999993</v>
      </c>
      <c r="EO90" s="61">
        <v>107956369.3</v>
      </c>
      <c r="EP90" s="61">
        <v>62724031.499999993</v>
      </c>
      <c r="EQ90" s="61">
        <v>89927599.019999996</v>
      </c>
      <c r="ER90" s="61">
        <v>2045130</v>
      </c>
      <c r="ES90" s="61">
        <v>2577756</v>
      </c>
      <c r="ET90" s="61">
        <v>4807921</v>
      </c>
      <c r="EU90" s="61">
        <v>6689285</v>
      </c>
      <c r="EV90" s="61">
        <v>26380887</v>
      </c>
      <c r="EW90" s="61">
        <v>27338597</v>
      </c>
      <c r="EX90" s="61">
        <v>50185175</v>
      </c>
      <c r="EY90" s="61">
        <v>86025414</v>
      </c>
      <c r="EZ90" s="61">
        <v>90808226</v>
      </c>
      <c r="FA90" s="61">
        <v>100996474</v>
      </c>
      <c r="FB90" s="61">
        <v>120545751</v>
      </c>
      <c r="FC90" s="61">
        <v>96114225</v>
      </c>
      <c r="FD90" s="61">
        <v>85655769</v>
      </c>
      <c r="FE90" s="61">
        <v>84895142.833333328</v>
      </c>
      <c r="FF90" s="61">
        <v>123766273.99933335</v>
      </c>
      <c r="FG90" s="61">
        <v>2155844</v>
      </c>
      <c r="FH90" s="168">
        <v>1394899</v>
      </c>
      <c r="FI90" s="168">
        <v>3470150</v>
      </c>
      <c r="FJ90" s="61">
        <v>7199184</v>
      </c>
      <c r="FK90" s="61">
        <v>34210061</v>
      </c>
      <c r="FL90" s="61">
        <v>33320753</v>
      </c>
      <c r="FM90" s="61">
        <v>76348875</v>
      </c>
      <c r="FN90" s="61">
        <v>73446287</v>
      </c>
      <c r="FO90" s="61">
        <v>81525743</v>
      </c>
      <c r="FP90" s="61">
        <v>96475659</v>
      </c>
      <c r="FQ90" s="61">
        <v>107644084</v>
      </c>
      <c r="FR90" s="61">
        <v>110796841.99999999</v>
      </c>
      <c r="FS90" s="61">
        <v>162647058</v>
      </c>
      <c r="FT90" s="61">
        <v>137899910.83333331</v>
      </c>
      <c r="FU90" s="61">
        <v>129432467.66666666</v>
      </c>
      <c r="FV90" s="61">
        <v>2126339</v>
      </c>
      <c r="FW90" s="61">
        <v>2184613</v>
      </c>
      <c r="FX90" s="61">
        <v>3673429</v>
      </c>
      <c r="FY90" s="61">
        <v>7539151</v>
      </c>
      <c r="FZ90" s="61">
        <v>34684296</v>
      </c>
      <c r="GA90" s="61">
        <v>27318136</v>
      </c>
      <c r="GB90" s="61">
        <v>61306064</v>
      </c>
      <c r="GC90" s="61">
        <v>67491594</v>
      </c>
      <c r="GD90" s="61">
        <v>159241746</v>
      </c>
      <c r="GE90" s="61">
        <v>154394572</v>
      </c>
      <c r="GF90" s="61">
        <v>141718589</v>
      </c>
      <c r="GG90" s="61">
        <v>-9668890</v>
      </c>
      <c r="GH90" s="61">
        <v>174973216.16536671</v>
      </c>
      <c r="GI90" s="61">
        <v>93931039.666666657</v>
      </c>
      <c r="GJ90" s="61">
        <v>179708542.16666666</v>
      </c>
    </row>
  </sheetData>
  <pageMargins left="0.7" right="0.7" top="0.75" bottom="0.75" header="0.3" footer="0.3"/>
  <customProperties>
    <customPr name="Longview.RefreshTimestamp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F4990-216A-46C9-A94F-DF3E2592CDF4}">
  <dimension ref="A1:AT986"/>
  <sheetViews>
    <sheetView topLeftCell="L1" zoomScale="85" zoomScaleNormal="85" workbookViewId="0">
      <selection activeCell="M21" sqref="M21"/>
    </sheetView>
  </sheetViews>
  <sheetFormatPr baseColWidth="10" defaultRowHeight="15"/>
  <cols>
    <col min="1" max="1" width="4.140625" bestFit="1" customWidth="1"/>
    <col min="2" max="2" width="10.42578125" customWidth="1"/>
    <col min="3" max="3" width="33.5703125" customWidth="1"/>
    <col min="4" max="14" width="10" bestFit="1" customWidth="1"/>
    <col min="15" max="15" width="12.28515625" bestFit="1" customWidth="1"/>
    <col min="16" max="21" width="11.42578125" customWidth="1"/>
    <col min="22" max="22" width="7.85546875" customWidth="1"/>
    <col min="23" max="23" width="17.7109375" bestFit="1" customWidth="1"/>
    <col min="24" max="24" width="7.42578125" style="4" bestFit="1" customWidth="1"/>
    <col min="25" max="25" width="6.140625" style="4" bestFit="1" customWidth="1"/>
    <col min="26" max="26" width="15.42578125" bestFit="1" customWidth="1"/>
    <col min="27" max="27" width="18" bestFit="1" customWidth="1"/>
    <col min="28" max="28" width="15.7109375" bestFit="1" customWidth="1"/>
    <col min="29" max="29" width="12.28515625" bestFit="1" customWidth="1"/>
    <col min="30" max="30" width="11.85546875" bestFit="1" customWidth="1"/>
    <col min="31" max="31" width="14.85546875" bestFit="1" customWidth="1"/>
    <col min="32" max="32" width="15.7109375" bestFit="1" customWidth="1"/>
    <col min="33" max="33" width="9.5703125" bestFit="1" customWidth="1"/>
  </cols>
  <sheetData>
    <row r="1" spans="1:35">
      <c r="Y1" s="3"/>
    </row>
    <row r="2" spans="1:35">
      <c r="B2">
        <f>A2+1</f>
        <v>1</v>
      </c>
      <c r="C2">
        <f t="shared" ref="C2:N2" si="0">B2+1</f>
        <v>2</v>
      </c>
      <c r="D2">
        <f t="shared" si="0"/>
        <v>3</v>
      </c>
      <c r="E2">
        <f t="shared" si="0"/>
        <v>4</v>
      </c>
      <c r="F2">
        <f t="shared" si="0"/>
        <v>5</v>
      </c>
      <c r="G2">
        <f t="shared" si="0"/>
        <v>6</v>
      </c>
      <c r="H2">
        <f t="shared" si="0"/>
        <v>7</v>
      </c>
      <c r="I2">
        <f t="shared" si="0"/>
        <v>8</v>
      </c>
      <c r="J2">
        <f t="shared" si="0"/>
        <v>9</v>
      </c>
      <c r="K2">
        <f t="shared" si="0"/>
        <v>10</v>
      </c>
      <c r="L2">
        <f t="shared" si="0"/>
        <v>11</v>
      </c>
      <c r="M2">
        <f t="shared" si="0"/>
        <v>12</v>
      </c>
      <c r="N2">
        <f t="shared" si="0"/>
        <v>13</v>
      </c>
      <c r="O2">
        <v>14</v>
      </c>
      <c r="W2" s="4" t="s">
        <v>3405</v>
      </c>
      <c r="X2" s="3" t="s">
        <v>3356</v>
      </c>
      <c r="Y2" s="150" t="str">
        <f>INDEX($B$3:$O$110,3,1)</f>
        <v>E5020</v>
      </c>
      <c r="Z2" s="4" t="s">
        <v>587</v>
      </c>
      <c r="AA2" s="114" t="s">
        <v>588</v>
      </c>
      <c r="AB2" s="4" t="s">
        <v>506</v>
      </c>
      <c r="AC2" s="4" t="s">
        <v>507</v>
      </c>
      <c r="AD2" s="4" t="s">
        <v>508</v>
      </c>
      <c r="AE2" s="4" t="s">
        <v>509</v>
      </c>
      <c r="AF2" s="4" t="s">
        <v>589</v>
      </c>
      <c r="AG2" s="743">
        <v>0</v>
      </c>
      <c r="AI2" s="158"/>
    </row>
    <row r="3" spans="1:35">
      <c r="A3">
        <v>1</v>
      </c>
      <c r="W3" s="4" t="s">
        <v>3405</v>
      </c>
      <c r="X3" s="4" t="s">
        <v>3357</v>
      </c>
      <c r="Y3" s="151" t="str">
        <f>Y2</f>
        <v>E5020</v>
      </c>
      <c r="Z3" s="4" t="s">
        <v>587</v>
      </c>
      <c r="AA3" s="114" t="s">
        <v>588</v>
      </c>
      <c r="AB3" s="4" t="s">
        <v>506</v>
      </c>
      <c r="AC3" s="4" t="s">
        <v>507</v>
      </c>
      <c r="AD3" s="4" t="s">
        <v>508</v>
      </c>
      <c r="AE3" s="4" t="s">
        <v>509</v>
      </c>
      <c r="AF3" s="4" t="s">
        <v>589</v>
      </c>
      <c r="AG3" s="743">
        <v>0</v>
      </c>
      <c r="AI3" s="158"/>
    </row>
    <row r="4" spans="1:35">
      <c r="A4">
        <f t="shared" ref="A4:A67" si="1">A3+1</f>
        <v>2</v>
      </c>
      <c r="B4" s="106" t="s">
        <v>829</v>
      </c>
      <c r="C4" s="106" t="s">
        <v>278</v>
      </c>
      <c r="D4" s="60" t="s">
        <v>3032</v>
      </c>
      <c r="E4" s="60" t="s">
        <v>3033</v>
      </c>
      <c r="F4" s="60" t="s">
        <v>3034</v>
      </c>
      <c r="G4" s="60" t="s">
        <v>3035</v>
      </c>
      <c r="H4" s="60" t="s">
        <v>3036</v>
      </c>
      <c r="I4" s="60" t="s">
        <v>3037</v>
      </c>
      <c r="J4" s="60" t="s">
        <v>3038</v>
      </c>
      <c r="K4" s="60" t="s">
        <v>3039</v>
      </c>
      <c r="L4" s="60" t="s">
        <v>3040</v>
      </c>
      <c r="M4" s="60" t="s">
        <v>3041</v>
      </c>
      <c r="N4" s="60" t="s">
        <v>3042</v>
      </c>
      <c r="O4" s="60" t="s">
        <v>3031</v>
      </c>
      <c r="W4" s="4" t="s">
        <v>3405</v>
      </c>
      <c r="X4" s="4" t="s">
        <v>3358</v>
      </c>
      <c r="Y4" s="151" t="str">
        <f t="shared" ref="Y4:Y13" si="2">Y3</f>
        <v>E5020</v>
      </c>
      <c r="Z4" s="4" t="s">
        <v>587</v>
      </c>
      <c r="AA4" s="114" t="s">
        <v>588</v>
      </c>
      <c r="AB4" s="4" t="s">
        <v>506</v>
      </c>
      <c r="AC4" s="4" t="s">
        <v>507</v>
      </c>
      <c r="AD4" s="4" t="s">
        <v>508</v>
      </c>
      <c r="AE4" s="4" t="s">
        <v>509</v>
      </c>
      <c r="AF4" s="4" t="s">
        <v>589</v>
      </c>
      <c r="AG4" s="743">
        <v>0</v>
      </c>
      <c r="AI4" s="158"/>
    </row>
    <row r="5" spans="1:35">
      <c r="A5">
        <f t="shared" si="1"/>
        <v>3</v>
      </c>
      <c r="B5" t="s">
        <v>830</v>
      </c>
      <c r="C5" t="s">
        <v>2650</v>
      </c>
      <c r="D5" t="s">
        <v>476</v>
      </c>
      <c r="E5" t="s">
        <v>476</v>
      </c>
      <c r="F5" t="s">
        <v>476</v>
      </c>
      <c r="G5" t="s">
        <v>476</v>
      </c>
      <c r="H5" t="s">
        <v>476</v>
      </c>
      <c r="I5" t="s">
        <v>476</v>
      </c>
      <c r="J5" t="s">
        <v>476</v>
      </c>
      <c r="K5" t="s">
        <v>476</v>
      </c>
      <c r="L5" t="s">
        <v>476</v>
      </c>
      <c r="M5" t="s">
        <v>476</v>
      </c>
      <c r="N5" t="s">
        <v>476</v>
      </c>
      <c r="O5" t="s">
        <v>476</v>
      </c>
      <c r="W5" s="4" t="s">
        <v>3405</v>
      </c>
      <c r="X5" s="4" t="s">
        <v>3359</v>
      </c>
      <c r="Y5" s="151" t="str">
        <f t="shared" si="2"/>
        <v>E5020</v>
      </c>
      <c r="Z5" s="4" t="s">
        <v>587</v>
      </c>
      <c r="AA5" s="114" t="s">
        <v>588</v>
      </c>
      <c r="AB5" s="4" t="s">
        <v>506</v>
      </c>
      <c r="AC5" s="4" t="s">
        <v>507</v>
      </c>
      <c r="AD5" s="4" t="s">
        <v>508</v>
      </c>
      <c r="AE5" s="4" t="s">
        <v>509</v>
      </c>
      <c r="AF5" s="4" t="s">
        <v>589</v>
      </c>
      <c r="AG5" s="743">
        <v>0</v>
      </c>
      <c r="AI5" s="158"/>
    </row>
    <row r="6" spans="1:35">
      <c r="A6">
        <f t="shared" si="1"/>
        <v>4</v>
      </c>
      <c r="B6" t="s">
        <v>406</v>
      </c>
      <c r="C6" t="s">
        <v>3271</v>
      </c>
      <c r="D6" t="s">
        <v>476</v>
      </c>
      <c r="E6" t="s">
        <v>476</v>
      </c>
      <c r="F6" t="s">
        <v>476</v>
      </c>
      <c r="G6" t="s">
        <v>476</v>
      </c>
      <c r="H6" t="s">
        <v>476</v>
      </c>
      <c r="I6" t="s">
        <v>476</v>
      </c>
      <c r="J6" t="s">
        <v>476</v>
      </c>
      <c r="K6" t="s">
        <v>476</v>
      </c>
      <c r="L6" t="s">
        <v>476</v>
      </c>
      <c r="M6" t="s">
        <v>476</v>
      </c>
      <c r="N6" t="s">
        <v>476</v>
      </c>
      <c r="O6" t="s">
        <v>476</v>
      </c>
      <c r="W6" s="4" t="s">
        <v>3405</v>
      </c>
      <c r="X6" s="4" t="s">
        <v>3360</v>
      </c>
      <c r="Y6" s="151" t="str">
        <f t="shared" si="2"/>
        <v>E5020</v>
      </c>
      <c r="Z6" s="4" t="s">
        <v>587</v>
      </c>
      <c r="AA6" s="114" t="s">
        <v>588</v>
      </c>
      <c r="AB6" s="4" t="s">
        <v>506</v>
      </c>
      <c r="AC6" s="4" t="s">
        <v>507</v>
      </c>
      <c r="AD6" s="4" t="s">
        <v>508</v>
      </c>
      <c r="AE6" s="4" t="s">
        <v>509</v>
      </c>
      <c r="AF6" s="4" t="s">
        <v>589</v>
      </c>
      <c r="AG6" s="743">
        <v>0</v>
      </c>
      <c r="AI6" s="158"/>
    </row>
    <row r="7" spans="1:35">
      <c r="A7">
        <f t="shared" si="1"/>
        <v>5</v>
      </c>
      <c r="B7" t="s">
        <v>409</v>
      </c>
      <c r="C7" t="s">
        <v>284</v>
      </c>
      <c r="D7" t="s">
        <v>476</v>
      </c>
      <c r="E7" t="s">
        <v>476</v>
      </c>
      <c r="F7" t="s">
        <v>476</v>
      </c>
      <c r="G7" t="s">
        <v>476</v>
      </c>
      <c r="H7" t="s">
        <v>476</v>
      </c>
      <c r="I7" t="s">
        <v>476</v>
      </c>
      <c r="J7" t="s">
        <v>476</v>
      </c>
      <c r="K7" t="s">
        <v>476</v>
      </c>
      <c r="L7" t="s">
        <v>476</v>
      </c>
      <c r="M7" t="s">
        <v>476</v>
      </c>
      <c r="N7" t="s">
        <v>476</v>
      </c>
      <c r="O7" t="s">
        <v>476</v>
      </c>
      <c r="W7" s="4" t="s">
        <v>3405</v>
      </c>
      <c r="X7" s="4" t="s">
        <v>3361</v>
      </c>
      <c r="Y7" s="151" t="str">
        <f t="shared" si="2"/>
        <v>E5020</v>
      </c>
      <c r="Z7" s="4" t="s">
        <v>587</v>
      </c>
      <c r="AA7" s="114" t="s">
        <v>588</v>
      </c>
      <c r="AB7" s="4" t="s">
        <v>506</v>
      </c>
      <c r="AC7" s="4" t="s">
        <v>507</v>
      </c>
      <c r="AD7" s="4" t="s">
        <v>508</v>
      </c>
      <c r="AE7" s="4" t="s">
        <v>509</v>
      </c>
      <c r="AF7" s="4" t="s">
        <v>589</v>
      </c>
      <c r="AG7" s="743">
        <v>0</v>
      </c>
      <c r="AI7" s="158"/>
    </row>
    <row r="8" spans="1:35">
      <c r="A8">
        <f t="shared" si="1"/>
        <v>6</v>
      </c>
      <c r="B8" t="s">
        <v>411</v>
      </c>
      <c r="C8" t="s">
        <v>285</v>
      </c>
      <c r="D8" t="s">
        <v>476</v>
      </c>
      <c r="E8" t="s">
        <v>476</v>
      </c>
      <c r="F8" t="s">
        <v>476</v>
      </c>
      <c r="G8" t="s">
        <v>476</v>
      </c>
      <c r="H8" t="s">
        <v>476</v>
      </c>
      <c r="I8" t="s">
        <v>476</v>
      </c>
      <c r="J8" t="s">
        <v>476</v>
      </c>
      <c r="K8" t="s">
        <v>476</v>
      </c>
      <c r="L8" t="s">
        <v>476</v>
      </c>
      <c r="M8" t="s">
        <v>476</v>
      </c>
      <c r="N8" t="s">
        <v>476</v>
      </c>
      <c r="O8" t="s">
        <v>476</v>
      </c>
      <c r="W8" s="4" t="s">
        <v>3405</v>
      </c>
      <c r="X8" s="4" t="s">
        <v>3362</v>
      </c>
      <c r="Y8" s="151" t="str">
        <f t="shared" si="2"/>
        <v>E5020</v>
      </c>
      <c r="Z8" s="4" t="s">
        <v>587</v>
      </c>
      <c r="AA8" s="114" t="s">
        <v>588</v>
      </c>
      <c r="AB8" s="4" t="s">
        <v>506</v>
      </c>
      <c r="AC8" s="4" t="s">
        <v>507</v>
      </c>
      <c r="AD8" s="4" t="s">
        <v>508</v>
      </c>
      <c r="AE8" s="4" t="s">
        <v>509</v>
      </c>
      <c r="AF8" s="4" t="s">
        <v>589</v>
      </c>
      <c r="AG8" s="743">
        <v>0</v>
      </c>
      <c r="AI8" s="158"/>
    </row>
    <row r="9" spans="1:35">
      <c r="A9">
        <f t="shared" si="1"/>
        <v>7</v>
      </c>
      <c r="B9" t="s">
        <v>316</v>
      </c>
      <c r="C9" t="s">
        <v>528</v>
      </c>
      <c r="D9" t="s">
        <v>476</v>
      </c>
      <c r="E9" t="s">
        <v>476</v>
      </c>
      <c r="F9" t="s">
        <v>476</v>
      </c>
      <c r="G9" t="s">
        <v>476</v>
      </c>
      <c r="H9" t="s">
        <v>476</v>
      </c>
      <c r="I9" t="s">
        <v>476</v>
      </c>
      <c r="J9" t="s">
        <v>476</v>
      </c>
      <c r="K9" t="s">
        <v>476</v>
      </c>
      <c r="L9" t="s">
        <v>476</v>
      </c>
      <c r="M9" t="s">
        <v>476</v>
      </c>
      <c r="N9" t="s">
        <v>476</v>
      </c>
      <c r="O9" t="s">
        <v>476</v>
      </c>
      <c r="W9" s="4" t="s">
        <v>3405</v>
      </c>
      <c r="X9" s="4" t="s">
        <v>3363</v>
      </c>
      <c r="Y9" s="151" t="str">
        <f t="shared" si="2"/>
        <v>E5020</v>
      </c>
      <c r="Z9" s="4" t="s">
        <v>587</v>
      </c>
      <c r="AA9" s="114" t="s">
        <v>588</v>
      </c>
      <c r="AB9" s="4" t="s">
        <v>506</v>
      </c>
      <c r="AC9" s="4" t="s">
        <v>507</v>
      </c>
      <c r="AD9" s="4" t="s">
        <v>508</v>
      </c>
      <c r="AE9" s="4" t="s">
        <v>509</v>
      </c>
      <c r="AF9" s="4" t="s">
        <v>589</v>
      </c>
      <c r="AG9" s="743">
        <v>0</v>
      </c>
      <c r="AI9" s="158"/>
    </row>
    <row r="10" spans="1:35">
      <c r="A10">
        <f t="shared" si="1"/>
        <v>8</v>
      </c>
      <c r="B10" t="s">
        <v>317</v>
      </c>
      <c r="C10" t="s">
        <v>529</v>
      </c>
      <c r="D10" t="s">
        <v>476</v>
      </c>
      <c r="E10" t="s">
        <v>476</v>
      </c>
      <c r="F10" t="s">
        <v>476</v>
      </c>
      <c r="G10" t="s">
        <v>476</v>
      </c>
      <c r="H10" t="s">
        <v>476</v>
      </c>
      <c r="I10" t="s">
        <v>476</v>
      </c>
      <c r="J10" t="s">
        <v>476</v>
      </c>
      <c r="K10" t="s">
        <v>476</v>
      </c>
      <c r="L10" t="s">
        <v>476</v>
      </c>
      <c r="M10" t="s">
        <v>476</v>
      </c>
      <c r="N10" t="s">
        <v>476</v>
      </c>
      <c r="O10" t="s">
        <v>476</v>
      </c>
      <c r="W10" s="4" t="s">
        <v>3405</v>
      </c>
      <c r="X10" s="4" t="s">
        <v>3364</v>
      </c>
      <c r="Y10" s="151" t="str">
        <f t="shared" si="2"/>
        <v>E5020</v>
      </c>
      <c r="Z10" s="4" t="s">
        <v>587</v>
      </c>
      <c r="AA10" s="114" t="s">
        <v>588</v>
      </c>
      <c r="AB10" s="4" t="s">
        <v>506</v>
      </c>
      <c r="AC10" s="4" t="s">
        <v>507</v>
      </c>
      <c r="AD10" s="4" t="s">
        <v>508</v>
      </c>
      <c r="AE10" s="4" t="s">
        <v>509</v>
      </c>
      <c r="AF10" s="4" t="s">
        <v>589</v>
      </c>
      <c r="AG10" s="743">
        <v>0</v>
      </c>
      <c r="AI10" s="158"/>
    </row>
    <row r="11" spans="1:35">
      <c r="A11">
        <f t="shared" si="1"/>
        <v>9</v>
      </c>
      <c r="B11" t="s">
        <v>318</v>
      </c>
      <c r="C11" t="s">
        <v>530</v>
      </c>
      <c r="D11" t="s">
        <v>476</v>
      </c>
      <c r="E11" t="s">
        <v>476</v>
      </c>
      <c r="F11" t="s">
        <v>476</v>
      </c>
      <c r="G11" t="s">
        <v>476</v>
      </c>
      <c r="H11" t="s">
        <v>476</v>
      </c>
      <c r="I11" t="s">
        <v>476</v>
      </c>
      <c r="J11" t="s">
        <v>476</v>
      </c>
      <c r="K11" t="s">
        <v>476</v>
      </c>
      <c r="L11" t="s">
        <v>476</v>
      </c>
      <c r="M11" t="s">
        <v>476</v>
      </c>
      <c r="N11" t="s">
        <v>476</v>
      </c>
      <c r="O11" t="s">
        <v>476</v>
      </c>
      <c r="W11" s="4" t="s">
        <v>3405</v>
      </c>
      <c r="X11" s="4" t="s">
        <v>3365</v>
      </c>
      <c r="Y11" s="151" t="str">
        <f t="shared" si="2"/>
        <v>E5020</v>
      </c>
      <c r="Z11" s="4" t="s">
        <v>587</v>
      </c>
      <c r="AA11" s="114" t="s">
        <v>588</v>
      </c>
      <c r="AB11" s="4" t="s">
        <v>506</v>
      </c>
      <c r="AC11" s="4" t="s">
        <v>507</v>
      </c>
      <c r="AD11" s="4" t="s">
        <v>508</v>
      </c>
      <c r="AE11" s="4" t="s">
        <v>509</v>
      </c>
      <c r="AF11" s="4" t="s">
        <v>589</v>
      </c>
      <c r="AG11" s="743">
        <v>0</v>
      </c>
      <c r="AI11" s="158"/>
    </row>
    <row r="12" spans="1:35">
      <c r="A12">
        <f t="shared" si="1"/>
        <v>10</v>
      </c>
      <c r="B12" t="s">
        <v>319</v>
      </c>
      <c r="C12" t="s">
        <v>531</v>
      </c>
      <c r="D12" t="s">
        <v>476</v>
      </c>
      <c r="E12" t="s">
        <v>476</v>
      </c>
      <c r="F12" t="s">
        <v>476</v>
      </c>
      <c r="G12" t="s">
        <v>476</v>
      </c>
      <c r="H12" t="s">
        <v>476</v>
      </c>
      <c r="I12" t="s">
        <v>476</v>
      </c>
      <c r="J12" t="s">
        <v>476</v>
      </c>
      <c r="K12" t="s">
        <v>476</v>
      </c>
      <c r="L12" t="s">
        <v>476</v>
      </c>
      <c r="M12" t="s">
        <v>476</v>
      </c>
      <c r="N12" t="s">
        <v>476</v>
      </c>
      <c r="O12" t="s">
        <v>476</v>
      </c>
      <c r="W12" s="4" t="s">
        <v>3405</v>
      </c>
      <c r="X12" s="4" t="s">
        <v>3366</v>
      </c>
      <c r="Y12" s="151" t="str">
        <f t="shared" si="2"/>
        <v>E5020</v>
      </c>
      <c r="Z12" s="4" t="s">
        <v>587</v>
      </c>
      <c r="AA12" s="114" t="s">
        <v>588</v>
      </c>
      <c r="AB12" s="4" t="s">
        <v>506</v>
      </c>
      <c r="AC12" s="4" t="s">
        <v>507</v>
      </c>
      <c r="AD12" s="4" t="s">
        <v>508</v>
      </c>
      <c r="AE12" s="4" t="s">
        <v>509</v>
      </c>
      <c r="AF12" s="4" t="s">
        <v>589</v>
      </c>
      <c r="AG12" s="743">
        <v>0</v>
      </c>
      <c r="AI12" s="158"/>
    </row>
    <row r="13" spans="1:35">
      <c r="A13">
        <f t="shared" si="1"/>
        <v>11</v>
      </c>
      <c r="B13" t="s">
        <v>320</v>
      </c>
      <c r="C13" t="s">
        <v>532</v>
      </c>
      <c r="D13" t="s">
        <v>476</v>
      </c>
      <c r="E13" t="s">
        <v>476</v>
      </c>
      <c r="F13" t="s">
        <v>476</v>
      </c>
      <c r="G13" t="s">
        <v>476</v>
      </c>
      <c r="H13" t="s">
        <v>476</v>
      </c>
      <c r="I13" t="s">
        <v>476</v>
      </c>
      <c r="J13" t="s">
        <v>476</v>
      </c>
      <c r="K13" t="s">
        <v>476</v>
      </c>
      <c r="L13" t="s">
        <v>476</v>
      </c>
      <c r="M13" t="s">
        <v>476</v>
      </c>
      <c r="N13" t="s">
        <v>476</v>
      </c>
      <c r="O13" t="s">
        <v>476</v>
      </c>
      <c r="W13" s="4" t="s">
        <v>3405</v>
      </c>
      <c r="X13" s="4" t="s">
        <v>3367</v>
      </c>
      <c r="Y13" s="151" t="str">
        <f t="shared" si="2"/>
        <v>E5020</v>
      </c>
      <c r="Z13" s="4" t="s">
        <v>587</v>
      </c>
      <c r="AA13" s="114" t="s">
        <v>588</v>
      </c>
      <c r="AB13" s="4" t="s">
        <v>506</v>
      </c>
      <c r="AC13" s="4" t="s">
        <v>507</v>
      </c>
      <c r="AD13" s="4" t="s">
        <v>508</v>
      </c>
      <c r="AE13" s="4" t="s">
        <v>509</v>
      </c>
      <c r="AF13" s="4" t="s">
        <v>589</v>
      </c>
      <c r="AG13" s="743">
        <v>0</v>
      </c>
      <c r="AI13" s="158"/>
    </row>
    <row r="14" spans="1:35">
      <c r="A14">
        <f t="shared" si="1"/>
        <v>12</v>
      </c>
      <c r="B14" t="s">
        <v>321</v>
      </c>
      <c r="C14" t="s">
        <v>841</v>
      </c>
      <c r="D14" t="s">
        <v>476</v>
      </c>
      <c r="E14" t="s">
        <v>476</v>
      </c>
      <c r="F14" t="s">
        <v>476</v>
      </c>
      <c r="G14" t="s">
        <v>476</v>
      </c>
      <c r="H14" t="s">
        <v>476</v>
      </c>
      <c r="I14" t="s">
        <v>476</v>
      </c>
      <c r="J14" t="s">
        <v>476</v>
      </c>
      <c r="K14" t="s">
        <v>476</v>
      </c>
      <c r="L14" t="s">
        <v>476</v>
      </c>
      <c r="M14" t="s">
        <v>476</v>
      </c>
      <c r="N14" t="s">
        <v>476</v>
      </c>
      <c r="O14" t="s">
        <v>476</v>
      </c>
      <c r="W14" s="4" t="s">
        <v>3405</v>
      </c>
      <c r="X14" s="3" t="s">
        <v>3356</v>
      </c>
      <c r="Y14" s="150" t="str">
        <f>INDEX($B$3:$O$110,4,1)</f>
        <v>E5030</v>
      </c>
      <c r="Z14" s="4" t="s">
        <v>587</v>
      </c>
      <c r="AA14" s="114" t="s">
        <v>588</v>
      </c>
      <c r="AB14" s="4" t="s">
        <v>506</v>
      </c>
      <c r="AC14" s="4" t="s">
        <v>507</v>
      </c>
      <c r="AD14" s="4" t="s">
        <v>508</v>
      </c>
      <c r="AE14" s="4" t="s">
        <v>509</v>
      </c>
      <c r="AF14" s="4" t="s">
        <v>589</v>
      </c>
      <c r="AG14" s="743">
        <v>0</v>
      </c>
      <c r="AI14" s="158"/>
    </row>
    <row r="15" spans="1:35">
      <c r="A15">
        <f t="shared" si="1"/>
        <v>13</v>
      </c>
      <c r="B15" t="s">
        <v>421</v>
      </c>
      <c r="C15" t="s">
        <v>288</v>
      </c>
      <c r="D15" t="s">
        <v>476</v>
      </c>
      <c r="E15" t="s">
        <v>476</v>
      </c>
      <c r="F15" t="s">
        <v>476</v>
      </c>
      <c r="G15" t="s">
        <v>476</v>
      </c>
      <c r="H15" t="s">
        <v>476</v>
      </c>
      <c r="I15" t="s">
        <v>476</v>
      </c>
      <c r="J15" t="s">
        <v>476</v>
      </c>
      <c r="K15" t="s">
        <v>476</v>
      </c>
      <c r="L15" t="s">
        <v>476</v>
      </c>
      <c r="M15" t="s">
        <v>476</v>
      </c>
      <c r="N15" t="s">
        <v>476</v>
      </c>
      <c r="O15" t="s">
        <v>476</v>
      </c>
      <c r="W15" s="4" t="s">
        <v>3405</v>
      </c>
      <c r="X15" s="4" t="s">
        <v>3357</v>
      </c>
      <c r="Y15" s="151" t="str">
        <f>Y14</f>
        <v>E5030</v>
      </c>
      <c r="Z15" s="4" t="s">
        <v>587</v>
      </c>
      <c r="AA15" s="114" t="s">
        <v>588</v>
      </c>
      <c r="AB15" s="4" t="s">
        <v>506</v>
      </c>
      <c r="AC15" s="4" t="s">
        <v>507</v>
      </c>
      <c r="AD15" s="4" t="s">
        <v>508</v>
      </c>
      <c r="AE15" s="4" t="s">
        <v>509</v>
      </c>
      <c r="AF15" s="4" t="s">
        <v>589</v>
      </c>
      <c r="AG15" s="743">
        <v>0</v>
      </c>
      <c r="AI15" s="158"/>
    </row>
    <row r="16" spans="1:35">
      <c r="A16">
        <f t="shared" si="1"/>
        <v>14</v>
      </c>
      <c r="B16" t="s">
        <v>423</v>
      </c>
      <c r="C16" t="s">
        <v>289</v>
      </c>
      <c r="D16" t="s">
        <v>476</v>
      </c>
      <c r="E16" t="s">
        <v>476</v>
      </c>
      <c r="F16" t="s">
        <v>476</v>
      </c>
      <c r="G16" t="s">
        <v>476</v>
      </c>
      <c r="H16" t="s">
        <v>476</v>
      </c>
      <c r="I16" t="s">
        <v>476</v>
      </c>
      <c r="J16" t="s">
        <v>476</v>
      </c>
      <c r="K16" t="s">
        <v>476</v>
      </c>
      <c r="L16" t="s">
        <v>476</v>
      </c>
      <c r="M16" t="s">
        <v>476</v>
      </c>
      <c r="N16" t="s">
        <v>476</v>
      </c>
      <c r="O16" t="s">
        <v>476</v>
      </c>
      <c r="W16" s="4" t="s">
        <v>3405</v>
      </c>
      <c r="X16" s="4" t="s">
        <v>3358</v>
      </c>
      <c r="Y16" s="151" t="str">
        <f t="shared" ref="Y16:Y25" si="3">Y15</f>
        <v>E5030</v>
      </c>
      <c r="Z16" s="4" t="s">
        <v>587</v>
      </c>
      <c r="AA16" s="114" t="s">
        <v>588</v>
      </c>
      <c r="AB16" s="4" t="s">
        <v>506</v>
      </c>
      <c r="AC16" s="4" t="s">
        <v>507</v>
      </c>
      <c r="AD16" s="4" t="s">
        <v>508</v>
      </c>
      <c r="AE16" s="4" t="s">
        <v>509</v>
      </c>
      <c r="AF16" s="4" t="s">
        <v>589</v>
      </c>
      <c r="AG16" s="743">
        <v>0</v>
      </c>
      <c r="AI16" s="158"/>
    </row>
    <row r="17" spans="1:35">
      <c r="A17">
        <f t="shared" si="1"/>
        <v>15</v>
      </c>
      <c r="B17" t="s">
        <v>419</v>
      </c>
      <c r="C17" t="s">
        <v>295</v>
      </c>
      <c r="D17" t="s">
        <v>476</v>
      </c>
      <c r="E17" t="s">
        <v>476</v>
      </c>
      <c r="F17" t="s">
        <v>476</v>
      </c>
      <c r="G17" t="s">
        <v>476</v>
      </c>
      <c r="H17" t="s">
        <v>476</v>
      </c>
      <c r="I17" t="s">
        <v>476</v>
      </c>
      <c r="J17" t="s">
        <v>476</v>
      </c>
      <c r="K17" t="s">
        <v>476</v>
      </c>
      <c r="L17" t="s">
        <v>476</v>
      </c>
      <c r="M17" t="s">
        <v>476</v>
      </c>
      <c r="N17" t="s">
        <v>476</v>
      </c>
      <c r="O17" t="s">
        <v>476</v>
      </c>
      <c r="W17" s="4" t="s">
        <v>3405</v>
      </c>
      <c r="X17" s="4" t="s">
        <v>3359</v>
      </c>
      <c r="Y17" s="151" t="str">
        <f t="shared" si="3"/>
        <v>E5030</v>
      </c>
      <c r="Z17" s="4" t="s">
        <v>587</v>
      </c>
      <c r="AA17" s="114" t="s">
        <v>588</v>
      </c>
      <c r="AB17" s="4" t="s">
        <v>506</v>
      </c>
      <c r="AC17" s="4" t="s">
        <v>507</v>
      </c>
      <c r="AD17" s="4" t="s">
        <v>508</v>
      </c>
      <c r="AE17" s="4" t="s">
        <v>509</v>
      </c>
      <c r="AF17" s="4" t="s">
        <v>589</v>
      </c>
      <c r="AG17" s="743">
        <v>0</v>
      </c>
      <c r="AI17" s="158"/>
    </row>
    <row r="18" spans="1:35">
      <c r="A18">
        <f t="shared" si="1"/>
        <v>16</v>
      </c>
      <c r="B18" t="s">
        <v>425</v>
      </c>
      <c r="C18" t="s">
        <v>296</v>
      </c>
      <c r="D18" t="s">
        <v>476</v>
      </c>
      <c r="E18" t="s">
        <v>476</v>
      </c>
      <c r="F18" t="s">
        <v>476</v>
      </c>
      <c r="G18" t="s">
        <v>476</v>
      </c>
      <c r="H18" t="s">
        <v>476</v>
      </c>
      <c r="I18" t="s">
        <v>476</v>
      </c>
      <c r="J18" t="s">
        <v>476</v>
      </c>
      <c r="K18" t="s">
        <v>476</v>
      </c>
      <c r="L18" t="s">
        <v>476</v>
      </c>
      <c r="M18" t="s">
        <v>476</v>
      </c>
      <c r="N18" t="s">
        <v>476</v>
      </c>
      <c r="O18" t="s">
        <v>476</v>
      </c>
      <c r="W18" s="4" t="s">
        <v>3405</v>
      </c>
      <c r="X18" s="4" t="s">
        <v>3360</v>
      </c>
      <c r="Y18" s="151" t="str">
        <f t="shared" si="3"/>
        <v>E5030</v>
      </c>
      <c r="Z18" s="4" t="s">
        <v>587</v>
      </c>
      <c r="AA18" s="114" t="s">
        <v>588</v>
      </c>
      <c r="AB18" s="4" t="s">
        <v>506</v>
      </c>
      <c r="AC18" s="4" t="s">
        <v>507</v>
      </c>
      <c r="AD18" s="4" t="s">
        <v>508</v>
      </c>
      <c r="AE18" s="4" t="s">
        <v>509</v>
      </c>
      <c r="AF18" s="4" t="s">
        <v>589</v>
      </c>
      <c r="AG18" s="743">
        <v>0</v>
      </c>
      <c r="AI18" s="158"/>
    </row>
    <row r="19" spans="1:35">
      <c r="A19">
        <f t="shared" si="1"/>
        <v>17</v>
      </c>
      <c r="B19" t="s">
        <v>427</v>
      </c>
      <c r="C19" t="s">
        <v>347</v>
      </c>
      <c r="D19" t="s">
        <v>476</v>
      </c>
      <c r="E19" t="s">
        <v>476</v>
      </c>
      <c r="F19" t="s">
        <v>476</v>
      </c>
      <c r="G19" t="s">
        <v>476</v>
      </c>
      <c r="H19" t="s">
        <v>476</v>
      </c>
      <c r="I19" t="s">
        <v>476</v>
      </c>
      <c r="J19" t="s">
        <v>476</v>
      </c>
      <c r="K19" t="s">
        <v>476</v>
      </c>
      <c r="L19" t="s">
        <v>476</v>
      </c>
      <c r="M19" t="s">
        <v>476</v>
      </c>
      <c r="N19" t="s">
        <v>476</v>
      </c>
      <c r="O19" t="s">
        <v>476</v>
      </c>
      <c r="W19" s="4" t="s">
        <v>3405</v>
      </c>
      <c r="X19" s="4" t="s">
        <v>3361</v>
      </c>
      <c r="Y19" s="151" t="str">
        <f t="shared" si="3"/>
        <v>E5030</v>
      </c>
      <c r="Z19" s="4" t="s">
        <v>587</v>
      </c>
      <c r="AA19" s="114" t="s">
        <v>588</v>
      </c>
      <c r="AB19" s="4" t="s">
        <v>506</v>
      </c>
      <c r="AC19" s="4" t="s">
        <v>507</v>
      </c>
      <c r="AD19" s="4" t="s">
        <v>508</v>
      </c>
      <c r="AE19" s="4" t="s">
        <v>509</v>
      </c>
      <c r="AF19" s="4" t="s">
        <v>589</v>
      </c>
      <c r="AG19" s="743">
        <v>0</v>
      </c>
      <c r="AI19" s="158"/>
    </row>
    <row r="20" spans="1:35">
      <c r="A20">
        <f t="shared" si="1"/>
        <v>18</v>
      </c>
      <c r="B20" t="s">
        <v>427</v>
      </c>
      <c r="C20" t="s">
        <v>348</v>
      </c>
      <c r="D20" t="s">
        <v>476</v>
      </c>
      <c r="E20" t="s">
        <v>476</v>
      </c>
      <c r="F20" t="s">
        <v>476</v>
      </c>
      <c r="G20" t="s">
        <v>476</v>
      </c>
      <c r="H20" t="s">
        <v>476</v>
      </c>
      <c r="I20" t="s">
        <v>476</v>
      </c>
      <c r="J20" t="s">
        <v>476</v>
      </c>
      <c r="K20" t="s">
        <v>476</v>
      </c>
      <c r="L20" t="s">
        <v>476</v>
      </c>
      <c r="M20" t="s">
        <v>476</v>
      </c>
      <c r="N20" t="s">
        <v>476</v>
      </c>
      <c r="O20" t="s">
        <v>476</v>
      </c>
      <c r="W20" s="4" t="s">
        <v>3405</v>
      </c>
      <c r="X20" s="4" t="s">
        <v>3362</v>
      </c>
      <c r="Y20" s="151" t="str">
        <f t="shared" si="3"/>
        <v>E5030</v>
      </c>
      <c r="Z20" s="4" t="s">
        <v>587</v>
      </c>
      <c r="AA20" s="114" t="s">
        <v>588</v>
      </c>
      <c r="AB20" s="4" t="s">
        <v>506</v>
      </c>
      <c r="AC20" s="4" t="s">
        <v>507</v>
      </c>
      <c r="AD20" s="4" t="s">
        <v>508</v>
      </c>
      <c r="AE20" s="4" t="s">
        <v>509</v>
      </c>
      <c r="AF20" s="4" t="s">
        <v>589</v>
      </c>
      <c r="AG20" s="743">
        <v>0</v>
      </c>
      <c r="AI20" s="158"/>
    </row>
    <row r="21" spans="1:35">
      <c r="A21">
        <f t="shared" si="1"/>
        <v>19</v>
      </c>
      <c r="B21" t="s">
        <v>427</v>
      </c>
      <c r="C21" t="s">
        <v>349</v>
      </c>
      <c r="D21" t="s">
        <v>476</v>
      </c>
      <c r="E21" t="s">
        <v>476</v>
      </c>
      <c r="F21" t="s">
        <v>476</v>
      </c>
      <c r="G21" t="s">
        <v>476</v>
      </c>
      <c r="H21" t="s">
        <v>476</v>
      </c>
      <c r="I21" t="s">
        <v>476</v>
      </c>
      <c r="J21" t="s">
        <v>476</v>
      </c>
      <c r="K21" t="s">
        <v>476</v>
      </c>
      <c r="L21" t="s">
        <v>476</v>
      </c>
      <c r="M21" t="s">
        <v>476</v>
      </c>
      <c r="N21" t="s">
        <v>476</v>
      </c>
      <c r="O21" t="s">
        <v>476</v>
      </c>
      <c r="W21" s="4" t="s">
        <v>3405</v>
      </c>
      <c r="X21" s="4" t="s">
        <v>3363</v>
      </c>
      <c r="Y21" s="151" t="str">
        <f t="shared" si="3"/>
        <v>E5030</v>
      </c>
      <c r="Z21" s="4" t="s">
        <v>587</v>
      </c>
      <c r="AA21" s="114" t="s">
        <v>588</v>
      </c>
      <c r="AB21" s="4" t="s">
        <v>506</v>
      </c>
      <c r="AC21" s="4" t="s">
        <v>507</v>
      </c>
      <c r="AD21" s="4" t="s">
        <v>508</v>
      </c>
      <c r="AE21" s="4" t="s">
        <v>509</v>
      </c>
      <c r="AF21" s="4" t="s">
        <v>589</v>
      </c>
      <c r="AG21" s="743">
        <v>0</v>
      </c>
      <c r="AI21" s="158"/>
    </row>
    <row r="22" spans="1:35">
      <c r="A22">
        <f t="shared" si="1"/>
        <v>20</v>
      </c>
      <c r="B22" t="s">
        <v>429</v>
      </c>
      <c r="C22" t="s">
        <v>297</v>
      </c>
      <c r="D22" t="s">
        <v>476</v>
      </c>
      <c r="E22" t="s">
        <v>476</v>
      </c>
      <c r="F22" t="s">
        <v>476</v>
      </c>
      <c r="G22" t="s">
        <v>476</v>
      </c>
      <c r="H22" t="s">
        <v>476</v>
      </c>
      <c r="I22" t="s">
        <v>476</v>
      </c>
      <c r="J22" t="s">
        <v>476</v>
      </c>
      <c r="K22" t="s">
        <v>476</v>
      </c>
      <c r="L22" t="s">
        <v>476</v>
      </c>
      <c r="M22" t="s">
        <v>476</v>
      </c>
      <c r="N22" t="s">
        <v>476</v>
      </c>
      <c r="O22" t="s">
        <v>476</v>
      </c>
      <c r="W22" s="4" t="s">
        <v>3405</v>
      </c>
      <c r="X22" s="4" t="s">
        <v>3364</v>
      </c>
      <c r="Y22" s="151" t="str">
        <f t="shared" si="3"/>
        <v>E5030</v>
      </c>
      <c r="Z22" s="4" t="s">
        <v>587</v>
      </c>
      <c r="AA22" s="114" t="s">
        <v>588</v>
      </c>
      <c r="AB22" s="4" t="s">
        <v>506</v>
      </c>
      <c r="AC22" s="4" t="s">
        <v>507</v>
      </c>
      <c r="AD22" s="4" t="s">
        <v>508</v>
      </c>
      <c r="AE22" s="4" t="s">
        <v>509</v>
      </c>
      <c r="AF22" s="4" t="s">
        <v>589</v>
      </c>
      <c r="AG22" s="743">
        <v>0</v>
      </c>
      <c r="AI22" s="158"/>
    </row>
    <row r="23" spans="1:35">
      <c r="A23">
        <f t="shared" si="1"/>
        <v>21</v>
      </c>
      <c r="B23" t="s">
        <v>250</v>
      </c>
      <c r="C23" t="s">
        <v>527</v>
      </c>
      <c r="D23" t="s">
        <v>476</v>
      </c>
      <c r="E23" t="s">
        <v>476</v>
      </c>
      <c r="F23" t="s">
        <v>476</v>
      </c>
      <c r="G23" t="s">
        <v>476</v>
      </c>
      <c r="H23" t="s">
        <v>476</v>
      </c>
      <c r="I23" t="s">
        <v>476</v>
      </c>
      <c r="J23" t="s">
        <v>476</v>
      </c>
      <c r="K23" t="s">
        <v>476</v>
      </c>
      <c r="L23" t="s">
        <v>476</v>
      </c>
      <c r="M23" t="s">
        <v>476</v>
      </c>
      <c r="N23" t="s">
        <v>476</v>
      </c>
      <c r="O23" t="s">
        <v>476</v>
      </c>
      <c r="W23" s="4" t="s">
        <v>3405</v>
      </c>
      <c r="X23" s="4" t="s">
        <v>3365</v>
      </c>
      <c r="Y23" s="151" t="str">
        <f t="shared" si="3"/>
        <v>E5030</v>
      </c>
      <c r="Z23" s="4" t="s">
        <v>587</v>
      </c>
      <c r="AA23" s="114" t="s">
        <v>588</v>
      </c>
      <c r="AB23" s="4" t="s">
        <v>506</v>
      </c>
      <c r="AC23" s="4" t="s">
        <v>507</v>
      </c>
      <c r="AD23" s="4" t="s">
        <v>508</v>
      </c>
      <c r="AE23" s="4" t="s">
        <v>509</v>
      </c>
      <c r="AF23" s="4" t="s">
        <v>589</v>
      </c>
      <c r="AG23" s="743">
        <v>0</v>
      </c>
      <c r="AI23" s="158"/>
    </row>
    <row r="24" spans="1:35">
      <c r="A24">
        <f t="shared" si="1"/>
        <v>22</v>
      </c>
      <c r="B24" t="s">
        <v>501</v>
      </c>
      <c r="C24" t="s">
        <v>834</v>
      </c>
      <c r="D24" t="s">
        <v>476</v>
      </c>
      <c r="E24" t="s">
        <v>476</v>
      </c>
      <c r="F24" t="s">
        <v>476</v>
      </c>
      <c r="G24" t="s">
        <v>476</v>
      </c>
      <c r="H24" t="s">
        <v>476</v>
      </c>
      <c r="I24" t="s">
        <v>476</v>
      </c>
      <c r="J24" t="s">
        <v>476</v>
      </c>
      <c r="K24" t="s">
        <v>476</v>
      </c>
      <c r="L24" t="s">
        <v>476</v>
      </c>
      <c r="M24" t="s">
        <v>476</v>
      </c>
      <c r="N24" t="s">
        <v>476</v>
      </c>
      <c r="O24" t="s">
        <v>476</v>
      </c>
      <c r="W24" s="4" t="s">
        <v>3405</v>
      </c>
      <c r="X24" s="4" t="s">
        <v>3366</v>
      </c>
      <c r="Y24" s="151" t="str">
        <f t="shared" si="3"/>
        <v>E5030</v>
      </c>
      <c r="Z24" s="4" t="s">
        <v>587</v>
      </c>
      <c r="AA24" s="114" t="s">
        <v>588</v>
      </c>
      <c r="AB24" s="4" t="s">
        <v>506</v>
      </c>
      <c r="AC24" s="4" t="s">
        <v>507</v>
      </c>
      <c r="AD24" s="4" t="s">
        <v>508</v>
      </c>
      <c r="AE24" s="4" t="s">
        <v>509</v>
      </c>
      <c r="AF24" s="4" t="s">
        <v>589</v>
      </c>
      <c r="AG24" s="743">
        <v>0</v>
      </c>
      <c r="AI24" s="158"/>
    </row>
    <row r="25" spans="1:35">
      <c r="A25">
        <f t="shared" si="1"/>
        <v>23</v>
      </c>
      <c r="B25" t="s">
        <v>315</v>
      </c>
      <c r="C25" t="s">
        <v>539</v>
      </c>
      <c r="D25" t="s">
        <v>476</v>
      </c>
      <c r="E25" t="s">
        <v>476</v>
      </c>
      <c r="F25" t="s">
        <v>476</v>
      </c>
      <c r="G25" t="s">
        <v>476</v>
      </c>
      <c r="H25" t="s">
        <v>476</v>
      </c>
      <c r="I25" t="s">
        <v>476</v>
      </c>
      <c r="J25" t="s">
        <v>476</v>
      </c>
      <c r="K25" t="s">
        <v>476</v>
      </c>
      <c r="L25" t="s">
        <v>476</v>
      </c>
      <c r="M25" t="s">
        <v>476</v>
      </c>
      <c r="N25" t="s">
        <v>476</v>
      </c>
      <c r="O25" t="s">
        <v>476</v>
      </c>
      <c r="W25" s="4" t="s">
        <v>3405</v>
      </c>
      <c r="X25" s="4" t="s">
        <v>3367</v>
      </c>
      <c r="Y25" s="151" t="str">
        <f t="shared" si="3"/>
        <v>E5030</v>
      </c>
      <c r="Z25" s="4" t="s">
        <v>587</v>
      </c>
      <c r="AA25" s="114" t="s">
        <v>588</v>
      </c>
      <c r="AB25" s="4" t="s">
        <v>506</v>
      </c>
      <c r="AC25" s="4" t="s">
        <v>507</v>
      </c>
      <c r="AD25" s="4" t="s">
        <v>508</v>
      </c>
      <c r="AE25" s="4" t="s">
        <v>509</v>
      </c>
      <c r="AF25" s="4" t="s">
        <v>589</v>
      </c>
      <c r="AG25" s="743">
        <v>0</v>
      </c>
      <c r="AI25" s="158"/>
    </row>
    <row r="26" spans="1:35">
      <c r="A26">
        <f t="shared" si="1"/>
        <v>24</v>
      </c>
      <c r="B26" t="s">
        <v>315</v>
      </c>
      <c r="C26" t="s">
        <v>540</v>
      </c>
      <c r="D26" t="s">
        <v>476</v>
      </c>
      <c r="E26" t="s">
        <v>476</v>
      </c>
      <c r="F26" t="s">
        <v>476</v>
      </c>
      <c r="G26" t="s">
        <v>476</v>
      </c>
      <c r="H26" t="s">
        <v>476</v>
      </c>
      <c r="I26" t="s">
        <v>476</v>
      </c>
      <c r="J26" t="s">
        <v>476</v>
      </c>
      <c r="K26" t="s">
        <v>476</v>
      </c>
      <c r="L26" t="s">
        <v>476</v>
      </c>
      <c r="M26" t="s">
        <v>476</v>
      </c>
      <c r="N26" t="s">
        <v>476</v>
      </c>
      <c r="O26" t="s">
        <v>476</v>
      </c>
      <c r="W26" s="4" t="s">
        <v>3405</v>
      </c>
      <c r="X26" s="3" t="s">
        <v>3356</v>
      </c>
      <c r="Y26" s="150" t="str">
        <f>INDEX($B$3:$O$110,5,1)</f>
        <v>E5040</v>
      </c>
      <c r="Z26" s="4" t="s">
        <v>587</v>
      </c>
      <c r="AA26" s="114" t="s">
        <v>588</v>
      </c>
      <c r="AB26" s="4" t="s">
        <v>506</v>
      </c>
      <c r="AC26" s="4" t="s">
        <v>507</v>
      </c>
      <c r="AD26" s="4" t="s">
        <v>508</v>
      </c>
      <c r="AE26" s="4" t="s">
        <v>509</v>
      </c>
      <c r="AF26" s="4" t="s">
        <v>589</v>
      </c>
      <c r="AG26" s="743">
        <v>0</v>
      </c>
      <c r="AI26" s="158"/>
    </row>
    <row r="27" spans="1:35">
      <c r="A27">
        <f t="shared" si="1"/>
        <v>25</v>
      </c>
      <c r="B27" t="s">
        <v>315</v>
      </c>
      <c r="C27" t="s">
        <v>538</v>
      </c>
      <c r="D27" t="s">
        <v>476</v>
      </c>
      <c r="E27" t="s">
        <v>476</v>
      </c>
      <c r="F27" t="s">
        <v>476</v>
      </c>
      <c r="G27" t="s">
        <v>476</v>
      </c>
      <c r="H27" t="s">
        <v>476</v>
      </c>
      <c r="I27" t="s">
        <v>476</v>
      </c>
      <c r="J27" t="s">
        <v>476</v>
      </c>
      <c r="K27" t="s">
        <v>476</v>
      </c>
      <c r="L27" t="s">
        <v>476</v>
      </c>
      <c r="M27" t="s">
        <v>476</v>
      </c>
      <c r="N27" t="s">
        <v>476</v>
      </c>
      <c r="O27" t="s">
        <v>476</v>
      </c>
      <c r="W27" s="4" t="s">
        <v>3405</v>
      </c>
      <c r="X27" s="4" t="s">
        <v>3357</v>
      </c>
      <c r="Y27" s="151" t="str">
        <f>Y26</f>
        <v>E5040</v>
      </c>
      <c r="Z27" s="4" t="s">
        <v>587</v>
      </c>
      <c r="AA27" s="114" t="s">
        <v>588</v>
      </c>
      <c r="AB27" s="4" t="s">
        <v>506</v>
      </c>
      <c r="AC27" s="4" t="s">
        <v>507</v>
      </c>
      <c r="AD27" s="4" t="s">
        <v>508</v>
      </c>
      <c r="AE27" s="4" t="s">
        <v>509</v>
      </c>
      <c r="AF27" s="4" t="s">
        <v>589</v>
      </c>
      <c r="AG27" s="743">
        <v>0</v>
      </c>
      <c r="AI27" s="158"/>
    </row>
    <row r="28" spans="1:35">
      <c r="A28">
        <f t="shared" si="1"/>
        <v>26</v>
      </c>
      <c r="B28" t="s">
        <v>314</v>
      </c>
      <c r="C28" t="s">
        <v>541</v>
      </c>
      <c r="D28" t="s">
        <v>476</v>
      </c>
      <c r="E28" t="s">
        <v>476</v>
      </c>
      <c r="F28" t="s">
        <v>476</v>
      </c>
      <c r="G28" t="s">
        <v>476</v>
      </c>
      <c r="H28" t="s">
        <v>476</v>
      </c>
      <c r="I28" t="s">
        <v>476</v>
      </c>
      <c r="J28" t="s">
        <v>476</v>
      </c>
      <c r="K28" t="s">
        <v>476</v>
      </c>
      <c r="L28" t="s">
        <v>476</v>
      </c>
      <c r="M28" t="s">
        <v>476</v>
      </c>
      <c r="N28" t="s">
        <v>476</v>
      </c>
      <c r="O28" t="s">
        <v>476</v>
      </c>
      <c r="W28" s="4" t="s">
        <v>3405</v>
      </c>
      <c r="X28" s="4" t="s">
        <v>3358</v>
      </c>
      <c r="Y28" s="151" t="str">
        <f t="shared" ref="Y28:Y37" si="4">Y27</f>
        <v>E5040</v>
      </c>
      <c r="Z28" s="4" t="s">
        <v>587</v>
      </c>
      <c r="AA28" s="114" t="s">
        <v>588</v>
      </c>
      <c r="AB28" s="4" t="s">
        <v>506</v>
      </c>
      <c r="AC28" s="4" t="s">
        <v>507</v>
      </c>
      <c r="AD28" s="4" t="s">
        <v>508</v>
      </c>
      <c r="AE28" s="4" t="s">
        <v>509</v>
      </c>
      <c r="AF28" s="4" t="s">
        <v>589</v>
      </c>
      <c r="AG28" s="743">
        <v>0</v>
      </c>
      <c r="AI28" s="158"/>
    </row>
    <row r="29" spans="1:35">
      <c r="A29">
        <f t="shared" si="1"/>
        <v>27</v>
      </c>
      <c r="B29" t="s">
        <v>437</v>
      </c>
      <c r="C29" t="s">
        <v>536</v>
      </c>
      <c r="D29" t="s">
        <v>476</v>
      </c>
      <c r="E29" t="s">
        <v>476</v>
      </c>
      <c r="F29" t="s">
        <v>476</v>
      </c>
      <c r="G29" t="s">
        <v>476</v>
      </c>
      <c r="H29" t="s">
        <v>476</v>
      </c>
      <c r="I29" t="s">
        <v>476</v>
      </c>
      <c r="J29" t="s">
        <v>476</v>
      </c>
      <c r="K29" t="s">
        <v>476</v>
      </c>
      <c r="L29" t="s">
        <v>476</v>
      </c>
      <c r="M29" t="s">
        <v>476</v>
      </c>
      <c r="N29" t="s">
        <v>476</v>
      </c>
      <c r="O29" t="s">
        <v>476</v>
      </c>
      <c r="W29" s="4" t="s">
        <v>3405</v>
      </c>
      <c r="X29" s="4" t="s">
        <v>3359</v>
      </c>
      <c r="Y29" s="151" t="str">
        <f t="shared" si="4"/>
        <v>E5040</v>
      </c>
      <c r="Z29" s="4" t="s">
        <v>587</v>
      </c>
      <c r="AA29" s="114" t="s">
        <v>588</v>
      </c>
      <c r="AB29" s="4" t="s">
        <v>506</v>
      </c>
      <c r="AC29" s="4" t="s">
        <v>507</v>
      </c>
      <c r="AD29" s="4" t="s">
        <v>508</v>
      </c>
      <c r="AE29" s="4" t="s">
        <v>509</v>
      </c>
      <c r="AF29" s="4" t="s">
        <v>589</v>
      </c>
      <c r="AG29" s="743">
        <v>0</v>
      </c>
      <c r="AI29" s="158"/>
    </row>
    <row r="30" spans="1:35">
      <c r="A30">
        <f t="shared" si="1"/>
        <v>28</v>
      </c>
      <c r="B30" t="s">
        <v>437</v>
      </c>
      <c r="C30" t="s">
        <v>533</v>
      </c>
      <c r="D30" t="s">
        <v>476</v>
      </c>
      <c r="E30" t="s">
        <v>476</v>
      </c>
      <c r="F30" t="s">
        <v>476</v>
      </c>
      <c r="G30" t="s">
        <v>476</v>
      </c>
      <c r="H30" t="s">
        <v>476</v>
      </c>
      <c r="I30" t="s">
        <v>476</v>
      </c>
      <c r="J30" t="s">
        <v>476</v>
      </c>
      <c r="K30" t="s">
        <v>476</v>
      </c>
      <c r="L30" t="s">
        <v>476</v>
      </c>
      <c r="M30" t="s">
        <v>476</v>
      </c>
      <c r="N30" t="s">
        <v>476</v>
      </c>
      <c r="O30" t="s">
        <v>476</v>
      </c>
      <c r="W30" s="4" t="s">
        <v>3405</v>
      </c>
      <c r="X30" s="4" t="s">
        <v>3360</v>
      </c>
      <c r="Y30" s="151" t="str">
        <f t="shared" si="4"/>
        <v>E5040</v>
      </c>
      <c r="Z30" s="4" t="s">
        <v>587</v>
      </c>
      <c r="AA30" s="114" t="s">
        <v>588</v>
      </c>
      <c r="AB30" s="4" t="s">
        <v>506</v>
      </c>
      <c r="AC30" s="4" t="s">
        <v>507</v>
      </c>
      <c r="AD30" s="4" t="s">
        <v>508</v>
      </c>
      <c r="AE30" s="4" t="s">
        <v>509</v>
      </c>
      <c r="AF30" s="4" t="s">
        <v>589</v>
      </c>
      <c r="AG30" s="743">
        <v>0</v>
      </c>
      <c r="AI30" s="158"/>
    </row>
    <row r="31" spans="1:35">
      <c r="A31">
        <f t="shared" si="1"/>
        <v>29</v>
      </c>
      <c r="B31" t="s">
        <v>437</v>
      </c>
      <c r="C31" t="s">
        <v>534</v>
      </c>
      <c r="D31" t="s">
        <v>476</v>
      </c>
      <c r="E31" t="s">
        <v>476</v>
      </c>
      <c r="F31" t="s">
        <v>476</v>
      </c>
      <c r="G31" t="s">
        <v>476</v>
      </c>
      <c r="H31" t="s">
        <v>476</v>
      </c>
      <c r="I31" t="s">
        <v>476</v>
      </c>
      <c r="J31" t="s">
        <v>476</v>
      </c>
      <c r="K31" t="s">
        <v>476</v>
      </c>
      <c r="L31" t="s">
        <v>476</v>
      </c>
      <c r="M31" t="s">
        <v>476</v>
      </c>
      <c r="N31" t="s">
        <v>476</v>
      </c>
      <c r="O31" t="s">
        <v>476</v>
      </c>
      <c r="W31" s="4" t="s">
        <v>3405</v>
      </c>
      <c r="X31" s="4" t="s">
        <v>3361</v>
      </c>
      <c r="Y31" s="151" t="str">
        <f t="shared" si="4"/>
        <v>E5040</v>
      </c>
      <c r="Z31" s="4" t="s">
        <v>587</v>
      </c>
      <c r="AA31" s="114" t="s">
        <v>588</v>
      </c>
      <c r="AB31" s="4" t="s">
        <v>506</v>
      </c>
      <c r="AC31" s="4" t="s">
        <v>507</v>
      </c>
      <c r="AD31" s="4" t="s">
        <v>508</v>
      </c>
      <c r="AE31" s="4" t="s">
        <v>509</v>
      </c>
      <c r="AF31" s="4" t="s">
        <v>589</v>
      </c>
      <c r="AG31" s="743">
        <v>0</v>
      </c>
      <c r="AI31" s="158"/>
    </row>
    <row r="32" spans="1:35">
      <c r="A32">
        <f t="shared" si="1"/>
        <v>30</v>
      </c>
      <c r="B32" t="s">
        <v>437</v>
      </c>
      <c r="C32" t="s">
        <v>535</v>
      </c>
      <c r="D32" t="s">
        <v>476</v>
      </c>
      <c r="E32" t="s">
        <v>476</v>
      </c>
      <c r="F32" t="s">
        <v>476</v>
      </c>
      <c r="G32" t="s">
        <v>476</v>
      </c>
      <c r="H32" t="s">
        <v>476</v>
      </c>
      <c r="I32" t="s">
        <v>476</v>
      </c>
      <c r="J32" t="s">
        <v>476</v>
      </c>
      <c r="K32" t="s">
        <v>476</v>
      </c>
      <c r="L32" t="s">
        <v>476</v>
      </c>
      <c r="M32" t="s">
        <v>476</v>
      </c>
      <c r="N32" t="s">
        <v>476</v>
      </c>
      <c r="O32" t="s">
        <v>476</v>
      </c>
      <c r="W32" s="4" t="s">
        <v>3405</v>
      </c>
      <c r="X32" s="4" t="s">
        <v>3362</v>
      </c>
      <c r="Y32" s="151" t="str">
        <f t="shared" si="4"/>
        <v>E5040</v>
      </c>
      <c r="Z32" s="4" t="s">
        <v>587</v>
      </c>
      <c r="AA32" s="114" t="s">
        <v>588</v>
      </c>
      <c r="AB32" s="4" t="s">
        <v>506</v>
      </c>
      <c r="AC32" s="4" t="s">
        <v>507</v>
      </c>
      <c r="AD32" s="4" t="s">
        <v>508</v>
      </c>
      <c r="AE32" s="4" t="s">
        <v>509</v>
      </c>
      <c r="AF32" s="4" t="s">
        <v>589</v>
      </c>
      <c r="AG32" s="743">
        <v>0</v>
      </c>
      <c r="AI32" s="158"/>
    </row>
    <row r="33" spans="1:35">
      <c r="A33">
        <f t="shared" si="1"/>
        <v>31</v>
      </c>
      <c r="B33" t="s">
        <v>260</v>
      </c>
      <c r="C33" t="s">
        <v>213</v>
      </c>
      <c r="D33" t="s">
        <v>476</v>
      </c>
      <c r="E33" t="s">
        <v>476</v>
      </c>
      <c r="F33" t="s">
        <v>476</v>
      </c>
      <c r="G33" t="s">
        <v>476</v>
      </c>
      <c r="H33" t="s">
        <v>476</v>
      </c>
      <c r="I33" t="s">
        <v>476</v>
      </c>
      <c r="J33" t="s">
        <v>476</v>
      </c>
      <c r="K33" t="s">
        <v>476</v>
      </c>
      <c r="L33" t="s">
        <v>476</v>
      </c>
      <c r="M33" t="s">
        <v>476</v>
      </c>
      <c r="N33" t="s">
        <v>476</v>
      </c>
      <c r="O33" t="s">
        <v>476</v>
      </c>
      <c r="W33" s="4" t="s">
        <v>3405</v>
      </c>
      <c r="X33" s="4" t="s">
        <v>3363</v>
      </c>
      <c r="Y33" s="151" t="str">
        <f t="shared" si="4"/>
        <v>E5040</v>
      </c>
      <c r="Z33" s="4" t="s">
        <v>587</v>
      </c>
      <c r="AA33" s="114" t="s">
        <v>588</v>
      </c>
      <c r="AB33" s="4" t="s">
        <v>506</v>
      </c>
      <c r="AC33" s="4" t="s">
        <v>507</v>
      </c>
      <c r="AD33" s="4" t="s">
        <v>508</v>
      </c>
      <c r="AE33" s="4" t="s">
        <v>509</v>
      </c>
      <c r="AF33" s="4" t="s">
        <v>589</v>
      </c>
      <c r="AG33" s="743">
        <v>0</v>
      </c>
      <c r="AI33" s="158"/>
    </row>
    <row r="34" spans="1:35">
      <c r="A34">
        <f t="shared" si="1"/>
        <v>32</v>
      </c>
      <c r="B34" t="s">
        <v>216</v>
      </c>
      <c r="C34" t="s">
        <v>542</v>
      </c>
      <c r="D34" t="s">
        <v>476</v>
      </c>
      <c r="E34" t="s">
        <v>476</v>
      </c>
      <c r="F34" t="s">
        <v>476</v>
      </c>
      <c r="G34" t="s">
        <v>476</v>
      </c>
      <c r="H34" t="s">
        <v>476</v>
      </c>
      <c r="I34" t="s">
        <v>476</v>
      </c>
      <c r="J34" t="s">
        <v>476</v>
      </c>
      <c r="K34" t="s">
        <v>476</v>
      </c>
      <c r="L34" t="s">
        <v>476</v>
      </c>
      <c r="M34" t="s">
        <v>476</v>
      </c>
      <c r="N34" t="s">
        <v>476</v>
      </c>
      <c r="O34" t="s">
        <v>476</v>
      </c>
      <c r="W34" s="4" t="s">
        <v>3405</v>
      </c>
      <c r="X34" s="4" t="s">
        <v>3364</v>
      </c>
      <c r="Y34" s="151" t="str">
        <f t="shared" si="4"/>
        <v>E5040</v>
      </c>
      <c r="Z34" s="4" t="s">
        <v>587</v>
      </c>
      <c r="AA34" s="114" t="s">
        <v>588</v>
      </c>
      <c r="AB34" s="4" t="s">
        <v>506</v>
      </c>
      <c r="AC34" s="4" t="s">
        <v>507</v>
      </c>
      <c r="AD34" s="4" t="s">
        <v>508</v>
      </c>
      <c r="AE34" s="4" t="s">
        <v>509</v>
      </c>
      <c r="AF34" s="4" t="s">
        <v>589</v>
      </c>
      <c r="AG34" s="743">
        <v>0</v>
      </c>
      <c r="AI34" s="158"/>
    </row>
    <row r="35" spans="1:35">
      <c r="A35">
        <f t="shared" si="1"/>
        <v>33</v>
      </c>
      <c r="B35" t="s">
        <v>216</v>
      </c>
      <c r="C35" t="s">
        <v>543</v>
      </c>
      <c r="D35" t="s">
        <v>476</v>
      </c>
      <c r="E35" t="s">
        <v>476</v>
      </c>
      <c r="F35" t="s">
        <v>476</v>
      </c>
      <c r="G35" t="s">
        <v>476</v>
      </c>
      <c r="H35" t="s">
        <v>476</v>
      </c>
      <c r="I35" t="s">
        <v>476</v>
      </c>
      <c r="J35" t="s">
        <v>476</v>
      </c>
      <c r="K35" t="s">
        <v>476</v>
      </c>
      <c r="L35" t="s">
        <v>476</v>
      </c>
      <c r="M35" t="s">
        <v>476</v>
      </c>
      <c r="N35" t="s">
        <v>476</v>
      </c>
      <c r="O35" t="s">
        <v>476</v>
      </c>
      <c r="W35" s="4" t="s">
        <v>3405</v>
      </c>
      <c r="X35" s="4" t="s">
        <v>3365</v>
      </c>
      <c r="Y35" s="151" t="str">
        <f t="shared" si="4"/>
        <v>E5040</v>
      </c>
      <c r="Z35" s="4" t="s">
        <v>587</v>
      </c>
      <c r="AA35" s="114" t="s">
        <v>588</v>
      </c>
      <c r="AB35" s="4" t="s">
        <v>506</v>
      </c>
      <c r="AC35" s="4" t="s">
        <v>507</v>
      </c>
      <c r="AD35" s="4" t="s">
        <v>508</v>
      </c>
      <c r="AE35" s="4" t="s">
        <v>509</v>
      </c>
      <c r="AF35" s="4" t="s">
        <v>589</v>
      </c>
      <c r="AG35" s="743">
        <v>0</v>
      </c>
      <c r="AI35" s="158"/>
    </row>
    <row r="36" spans="1:35">
      <c r="A36">
        <f t="shared" si="1"/>
        <v>34</v>
      </c>
      <c r="B36" t="s">
        <v>262</v>
      </c>
      <c r="C36" t="s">
        <v>544</v>
      </c>
      <c r="D36" t="s">
        <v>476</v>
      </c>
      <c r="E36" t="s">
        <v>476</v>
      </c>
      <c r="F36" t="s">
        <v>476</v>
      </c>
      <c r="G36" t="s">
        <v>476</v>
      </c>
      <c r="H36" t="s">
        <v>476</v>
      </c>
      <c r="I36" t="s">
        <v>476</v>
      </c>
      <c r="J36" t="s">
        <v>476</v>
      </c>
      <c r="K36" t="s">
        <v>476</v>
      </c>
      <c r="L36" t="s">
        <v>476</v>
      </c>
      <c r="M36" t="s">
        <v>476</v>
      </c>
      <c r="N36" t="s">
        <v>476</v>
      </c>
      <c r="O36" t="s">
        <v>476</v>
      </c>
      <c r="W36" s="4" t="s">
        <v>3405</v>
      </c>
      <c r="X36" s="4" t="s">
        <v>3366</v>
      </c>
      <c r="Y36" s="151" t="str">
        <f t="shared" si="4"/>
        <v>E5040</v>
      </c>
      <c r="Z36" s="4" t="s">
        <v>587</v>
      </c>
      <c r="AA36" s="114" t="s">
        <v>588</v>
      </c>
      <c r="AB36" s="4" t="s">
        <v>506</v>
      </c>
      <c r="AC36" s="4" t="s">
        <v>507</v>
      </c>
      <c r="AD36" s="4" t="s">
        <v>508</v>
      </c>
      <c r="AE36" s="4" t="s">
        <v>509</v>
      </c>
      <c r="AF36" s="4" t="s">
        <v>589</v>
      </c>
      <c r="AG36" s="743">
        <v>0</v>
      </c>
      <c r="AI36" s="158"/>
    </row>
    <row r="37" spans="1:35">
      <c r="A37">
        <f t="shared" si="1"/>
        <v>35</v>
      </c>
      <c r="B37" t="s">
        <v>262</v>
      </c>
      <c r="C37" t="s">
        <v>545</v>
      </c>
      <c r="D37" t="s">
        <v>476</v>
      </c>
      <c r="E37" t="s">
        <v>476</v>
      </c>
      <c r="F37" t="s">
        <v>476</v>
      </c>
      <c r="G37" t="s">
        <v>476</v>
      </c>
      <c r="H37" t="s">
        <v>476</v>
      </c>
      <c r="I37" t="s">
        <v>476</v>
      </c>
      <c r="J37" t="s">
        <v>476</v>
      </c>
      <c r="K37" t="s">
        <v>476</v>
      </c>
      <c r="L37" t="s">
        <v>476</v>
      </c>
      <c r="M37" t="s">
        <v>476</v>
      </c>
      <c r="N37" t="s">
        <v>476</v>
      </c>
      <c r="O37" t="s">
        <v>476</v>
      </c>
      <c r="W37" s="4" t="s">
        <v>3405</v>
      </c>
      <c r="X37" s="4" t="s">
        <v>3367</v>
      </c>
      <c r="Y37" s="151" t="str">
        <f t="shared" si="4"/>
        <v>E5040</v>
      </c>
      <c r="Z37" s="4" t="s">
        <v>587</v>
      </c>
      <c r="AA37" s="114" t="s">
        <v>588</v>
      </c>
      <c r="AB37" s="4" t="s">
        <v>506</v>
      </c>
      <c r="AC37" s="4" t="s">
        <v>507</v>
      </c>
      <c r="AD37" s="4" t="s">
        <v>508</v>
      </c>
      <c r="AE37" s="4" t="s">
        <v>509</v>
      </c>
      <c r="AF37" s="4" t="s">
        <v>589</v>
      </c>
      <c r="AG37" s="743">
        <v>0</v>
      </c>
      <c r="AI37" s="158"/>
    </row>
    <row r="38" spans="1:35">
      <c r="A38">
        <f t="shared" si="1"/>
        <v>36</v>
      </c>
      <c r="B38" t="s">
        <v>263</v>
      </c>
      <c r="C38" t="s">
        <v>546</v>
      </c>
      <c r="D38" t="s">
        <v>476</v>
      </c>
      <c r="E38" t="s">
        <v>476</v>
      </c>
      <c r="F38" t="s">
        <v>476</v>
      </c>
      <c r="G38" t="s">
        <v>476</v>
      </c>
      <c r="H38" t="s">
        <v>476</v>
      </c>
      <c r="I38" t="s">
        <v>476</v>
      </c>
      <c r="J38" t="s">
        <v>476</v>
      </c>
      <c r="K38" t="s">
        <v>476</v>
      </c>
      <c r="L38" t="s">
        <v>476</v>
      </c>
      <c r="M38" t="s">
        <v>476</v>
      </c>
      <c r="N38" t="s">
        <v>476</v>
      </c>
      <c r="O38" t="s">
        <v>476</v>
      </c>
      <c r="W38" s="4" t="s">
        <v>3405</v>
      </c>
      <c r="X38" s="3" t="s">
        <v>3356</v>
      </c>
      <c r="Y38" s="150" t="str">
        <f>INDEX($B$3:$O$110,6,1)</f>
        <v>E5050</v>
      </c>
      <c r="Z38" s="4" t="s">
        <v>587</v>
      </c>
      <c r="AA38" s="114" t="s">
        <v>588</v>
      </c>
      <c r="AB38" s="4" t="s">
        <v>506</v>
      </c>
      <c r="AC38" s="4" t="s">
        <v>507</v>
      </c>
      <c r="AD38" s="4" t="s">
        <v>508</v>
      </c>
      <c r="AE38" s="4" t="s">
        <v>509</v>
      </c>
      <c r="AF38" s="4" t="s">
        <v>589</v>
      </c>
      <c r="AG38" s="743">
        <v>0</v>
      </c>
      <c r="AI38" s="158"/>
    </row>
    <row r="39" spans="1:35">
      <c r="A39">
        <f t="shared" si="1"/>
        <v>37</v>
      </c>
      <c r="B39" t="s">
        <v>440</v>
      </c>
      <c r="C39" t="s">
        <v>547</v>
      </c>
      <c r="D39" t="s">
        <v>476</v>
      </c>
      <c r="E39" t="s">
        <v>476</v>
      </c>
      <c r="F39" t="s">
        <v>476</v>
      </c>
      <c r="G39" t="s">
        <v>476</v>
      </c>
      <c r="H39" t="s">
        <v>476</v>
      </c>
      <c r="I39" t="s">
        <v>476</v>
      </c>
      <c r="J39" t="s">
        <v>476</v>
      </c>
      <c r="K39" t="s">
        <v>476</v>
      </c>
      <c r="L39" t="s">
        <v>476</v>
      </c>
      <c r="M39" t="s">
        <v>476</v>
      </c>
      <c r="N39" t="s">
        <v>476</v>
      </c>
      <c r="O39" t="s">
        <v>476</v>
      </c>
      <c r="W39" s="4" t="s">
        <v>3405</v>
      </c>
      <c r="X39" s="4" t="s">
        <v>3357</v>
      </c>
      <c r="Y39" s="151" t="str">
        <f>Y38</f>
        <v>E5050</v>
      </c>
      <c r="Z39" s="4" t="s">
        <v>587</v>
      </c>
      <c r="AA39" s="114" t="s">
        <v>588</v>
      </c>
      <c r="AB39" s="4" t="s">
        <v>506</v>
      </c>
      <c r="AC39" s="4" t="s">
        <v>507</v>
      </c>
      <c r="AD39" s="4" t="s">
        <v>508</v>
      </c>
      <c r="AE39" s="4" t="s">
        <v>509</v>
      </c>
      <c r="AF39" s="4" t="s">
        <v>589</v>
      </c>
      <c r="AG39" s="743">
        <v>0</v>
      </c>
      <c r="AI39" s="158"/>
    </row>
    <row r="40" spans="1:35">
      <c r="A40">
        <f t="shared" si="1"/>
        <v>38</v>
      </c>
      <c r="B40" t="s">
        <v>442</v>
      </c>
      <c r="C40" t="s">
        <v>548</v>
      </c>
      <c r="D40" t="s">
        <v>476</v>
      </c>
      <c r="E40" t="s">
        <v>476</v>
      </c>
      <c r="F40" t="s">
        <v>476</v>
      </c>
      <c r="G40" t="s">
        <v>476</v>
      </c>
      <c r="H40" t="s">
        <v>476</v>
      </c>
      <c r="I40" t="s">
        <v>476</v>
      </c>
      <c r="J40" t="s">
        <v>476</v>
      </c>
      <c r="K40" t="s">
        <v>476</v>
      </c>
      <c r="L40" t="s">
        <v>476</v>
      </c>
      <c r="M40" t="s">
        <v>476</v>
      </c>
      <c r="N40" t="s">
        <v>476</v>
      </c>
      <c r="O40" t="s">
        <v>476</v>
      </c>
      <c r="W40" s="4" t="s">
        <v>3405</v>
      </c>
      <c r="X40" s="4" t="s">
        <v>3358</v>
      </c>
      <c r="Y40" s="151" t="str">
        <f t="shared" ref="Y40:Y49" si="5">Y39</f>
        <v>E5050</v>
      </c>
      <c r="Z40" s="4" t="s">
        <v>587</v>
      </c>
      <c r="AA40" s="114" t="s">
        <v>588</v>
      </c>
      <c r="AB40" s="4" t="s">
        <v>506</v>
      </c>
      <c r="AC40" s="4" t="s">
        <v>507</v>
      </c>
      <c r="AD40" s="4" t="s">
        <v>508</v>
      </c>
      <c r="AE40" s="4" t="s">
        <v>509</v>
      </c>
      <c r="AF40" s="4" t="s">
        <v>589</v>
      </c>
      <c r="AG40" s="743">
        <v>0</v>
      </c>
      <c r="AI40" s="158"/>
    </row>
    <row r="41" spans="1:35">
      <c r="A41">
        <f t="shared" si="1"/>
        <v>39</v>
      </c>
      <c r="B41" t="s">
        <v>444</v>
      </c>
      <c r="C41" t="s">
        <v>550</v>
      </c>
      <c r="D41" t="s">
        <v>476</v>
      </c>
      <c r="E41" t="s">
        <v>476</v>
      </c>
      <c r="F41" t="s">
        <v>476</v>
      </c>
      <c r="G41" t="s">
        <v>476</v>
      </c>
      <c r="H41" t="s">
        <v>476</v>
      </c>
      <c r="I41" t="s">
        <v>476</v>
      </c>
      <c r="J41" t="s">
        <v>476</v>
      </c>
      <c r="K41" t="s">
        <v>476</v>
      </c>
      <c r="L41" t="s">
        <v>476</v>
      </c>
      <c r="M41" t="s">
        <v>476</v>
      </c>
      <c r="N41" t="s">
        <v>476</v>
      </c>
      <c r="O41" t="s">
        <v>476</v>
      </c>
      <c r="W41" s="4" t="s">
        <v>3405</v>
      </c>
      <c r="X41" s="4" t="s">
        <v>3359</v>
      </c>
      <c r="Y41" s="151" t="str">
        <f t="shared" si="5"/>
        <v>E5050</v>
      </c>
      <c r="Z41" s="4" t="s">
        <v>587</v>
      </c>
      <c r="AA41" s="114" t="s">
        <v>588</v>
      </c>
      <c r="AB41" s="4" t="s">
        <v>506</v>
      </c>
      <c r="AC41" s="4" t="s">
        <v>507</v>
      </c>
      <c r="AD41" s="4" t="s">
        <v>508</v>
      </c>
      <c r="AE41" s="4" t="s">
        <v>509</v>
      </c>
      <c r="AF41" s="4" t="s">
        <v>589</v>
      </c>
      <c r="AG41" s="743">
        <v>0</v>
      </c>
      <c r="AI41" s="158"/>
    </row>
    <row r="42" spans="1:35">
      <c r="A42">
        <f t="shared" si="1"/>
        <v>40</v>
      </c>
      <c r="B42" t="s">
        <v>444</v>
      </c>
      <c r="C42" t="s">
        <v>551</v>
      </c>
      <c r="D42" t="s">
        <v>476</v>
      </c>
      <c r="E42" t="s">
        <v>476</v>
      </c>
      <c r="F42" t="s">
        <v>476</v>
      </c>
      <c r="G42" t="s">
        <v>476</v>
      </c>
      <c r="H42" t="s">
        <v>476</v>
      </c>
      <c r="I42" t="s">
        <v>476</v>
      </c>
      <c r="J42" t="s">
        <v>476</v>
      </c>
      <c r="K42" t="s">
        <v>476</v>
      </c>
      <c r="L42" t="s">
        <v>476</v>
      </c>
      <c r="M42" t="s">
        <v>476</v>
      </c>
      <c r="N42" t="s">
        <v>476</v>
      </c>
      <c r="O42" t="s">
        <v>476</v>
      </c>
      <c r="W42" s="4" t="s">
        <v>3405</v>
      </c>
      <c r="X42" s="4" t="s">
        <v>3360</v>
      </c>
      <c r="Y42" s="151" t="str">
        <f t="shared" si="5"/>
        <v>E5050</v>
      </c>
      <c r="Z42" s="4" t="s">
        <v>587</v>
      </c>
      <c r="AA42" s="114" t="s">
        <v>588</v>
      </c>
      <c r="AB42" s="4" t="s">
        <v>506</v>
      </c>
      <c r="AC42" s="4" t="s">
        <v>507</v>
      </c>
      <c r="AD42" s="4" t="s">
        <v>508</v>
      </c>
      <c r="AE42" s="4" t="s">
        <v>509</v>
      </c>
      <c r="AF42" s="4" t="s">
        <v>589</v>
      </c>
      <c r="AG42" s="743">
        <v>0</v>
      </c>
      <c r="AI42" s="158"/>
    </row>
    <row r="43" spans="1:35">
      <c r="A43">
        <f t="shared" si="1"/>
        <v>41</v>
      </c>
      <c r="B43" t="s">
        <v>444</v>
      </c>
      <c r="C43" t="s">
        <v>552</v>
      </c>
      <c r="D43" t="s">
        <v>476</v>
      </c>
      <c r="E43" t="s">
        <v>476</v>
      </c>
      <c r="F43" t="s">
        <v>476</v>
      </c>
      <c r="G43" t="s">
        <v>476</v>
      </c>
      <c r="H43" t="s">
        <v>476</v>
      </c>
      <c r="I43" t="s">
        <v>476</v>
      </c>
      <c r="J43" t="s">
        <v>476</v>
      </c>
      <c r="K43" t="s">
        <v>476</v>
      </c>
      <c r="L43" t="s">
        <v>476</v>
      </c>
      <c r="M43" t="s">
        <v>476</v>
      </c>
      <c r="N43" t="s">
        <v>476</v>
      </c>
      <c r="O43" t="s">
        <v>476</v>
      </c>
      <c r="W43" s="4" t="s">
        <v>3405</v>
      </c>
      <c r="X43" s="4" t="s">
        <v>3361</v>
      </c>
      <c r="Y43" s="151" t="str">
        <f t="shared" si="5"/>
        <v>E5050</v>
      </c>
      <c r="Z43" s="4" t="s">
        <v>587</v>
      </c>
      <c r="AA43" s="114" t="s">
        <v>588</v>
      </c>
      <c r="AB43" s="4" t="s">
        <v>506</v>
      </c>
      <c r="AC43" s="4" t="s">
        <v>507</v>
      </c>
      <c r="AD43" s="4" t="s">
        <v>508</v>
      </c>
      <c r="AE43" s="4" t="s">
        <v>509</v>
      </c>
      <c r="AF43" s="4" t="s">
        <v>589</v>
      </c>
      <c r="AG43" s="743">
        <v>0</v>
      </c>
      <c r="AI43" s="158"/>
    </row>
    <row r="44" spans="1:35">
      <c r="A44">
        <f t="shared" si="1"/>
        <v>42</v>
      </c>
      <c r="B44" t="s">
        <v>446</v>
      </c>
      <c r="C44" t="s">
        <v>304</v>
      </c>
      <c r="D44" t="s">
        <v>476</v>
      </c>
      <c r="E44" t="s">
        <v>476</v>
      </c>
      <c r="F44" t="s">
        <v>476</v>
      </c>
      <c r="G44" t="s">
        <v>476</v>
      </c>
      <c r="H44" t="s">
        <v>476</v>
      </c>
      <c r="I44" t="s">
        <v>476</v>
      </c>
      <c r="J44" t="s">
        <v>476</v>
      </c>
      <c r="K44" t="s">
        <v>476</v>
      </c>
      <c r="L44" t="s">
        <v>476</v>
      </c>
      <c r="M44" t="s">
        <v>476</v>
      </c>
      <c r="N44" t="s">
        <v>476</v>
      </c>
      <c r="O44" t="s">
        <v>476</v>
      </c>
      <c r="W44" s="4" t="s">
        <v>3405</v>
      </c>
      <c r="X44" s="4" t="s">
        <v>3362</v>
      </c>
      <c r="Y44" s="151" t="str">
        <f t="shared" si="5"/>
        <v>E5050</v>
      </c>
      <c r="Z44" s="4" t="s">
        <v>587</v>
      </c>
      <c r="AA44" s="114" t="s">
        <v>588</v>
      </c>
      <c r="AB44" s="4" t="s">
        <v>506</v>
      </c>
      <c r="AC44" s="4" t="s">
        <v>507</v>
      </c>
      <c r="AD44" s="4" t="s">
        <v>508</v>
      </c>
      <c r="AE44" s="4" t="s">
        <v>509</v>
      </c>
      <c r="AF44" s="4" t="s">
        <v>589</v>
      </c>
      <c r="AG44" s="743">
        <v>0</v>
      </c>
      <c r="AI44" s="158"/>
    </row>
    <row r="45" spans="1:35">
      <c r="A45">
        <f t="shared" si="1"/>
        <v>43</v>
      </c>
      <c r="B45" t="s">
        <v>448</v>
      </c>
      <c r="C45" t="s">
        <v>350</v>
      </c>
      <c r="D45" t="s">
        <v>476</v>
      </c>
      <c r="E45" t="s">
        <v>476</v>
      </c>
      <c r="F45" t="s">
        <v>476</v>
      </c>
      <c r="G45" t="s">
        <v>476</v>
      </c>
      <c r="H45" t="s">
        <v>476</v>
      </c>
      <c r="I45" t="s">
        <v>476</v>
      </c>
      <c r="J45" t="s">
        <v>476</v>
      </c>
      <c r="K45" t="s">
        <v>476</v>
      </c>
      <c r="L45" t="s">
        <v>476</v>
      </c>
      <c r="M45" t="s">
        <v>476</v>
      </c>
      <c r="N45" t="s">
        <v>476</v>
      </c>
      <c r="O45" t="s">
        <v>476</v>
      </c>
      <c r="W45" s="4" t="s">
        <v>3405</v>
      </c>
      <c r="X45" s="4" t="s">
        <v>3363</v>
      </c>
      <c r="Y45" s="151" t="str">
        <f t="shared" si="5"/>
        <v>E5050</v>
      </c>
      <c r="Z45" s="4" t="s">
        <v>587</v>
      </c>
      <c r="AA45" s="114" t="s">
        <v>588</v>
      </c>
      <c r="AB45" s="4" t="s">
        <v>506</v>
      </c>
      <c r="AC45" s="4" t="s">
        <v>507</v>
      </c>
      <c r="AD45" s="4" t="s">
        <v>508</v>
      </c>
      <c r="AE45" s="4" t="s">
        <v>509</v>
      </c>
      <c r="AF45" s="4" t="s">
        <v>589</v>
      </c>
      <c r="AG45" s="743">
        <v>0</v>
      </c>
      <c r="AI45" s="158"/>
    </row>
    <row r="46" spans="1:35">
      <c r="A46">
        <f t="shared" si="1"/>
        <v>44</v>
      </c>
      <c r="B46" t="s">
        <v>448</v>
      </c>
      <c r="C46" t="s">
        <v>351</v>
      </c>
      <c r="D46" t="s">
        <v>476</v>
      </c>
      <c r="E46" t="s">
        <v>476</v>
      </c>
      <c r="F46" t="s">
        <v>476</v>
      </c>
      <c r="G46" t="s">
        <v>476</v>
      </c>
      <c r="H46" t="s">
        <v>476</v>
      </c>
      <c r="I46" t="s">
        <v>476</v>
      </c>
      <c r="J46" t="s">
        <v>476</v>
      </c>
      <c r="K46" t="s">
        <v>476</v>
      </c>
      <c r="L46" t="s">
        <v>476</v>
      </c>
      <c r="M46" t="s">
        <v>476</v>
      </c>
      <c r="N46" t="s">
        <v>476</v>
      </c>
      <c r="O46" t="s">
        <v>476</v>
      </c>
      <c r="W46" s="4" t="s">
        <v>3405</v>
      </c>
      <c r="X46" s="4" t="s">
        <v>3364</v>
      </c>
      <c r="Y46" s="151" t="str">
        <f t="shared" si="5"/>
        <v>E5050</v>
      </c>
      <c r="Z46" s="4" t="s">
        <v>587</v>
      </c>
      <c r="AA46" s="114" t="s">
        <v>588</v>
      </c>
      <c r="AB46" s="4" t="s">
        <v>506</v>
      </c>
      <c r="AC46" s="4" t="s">
        <v>507</v>
      </c>
      <c r="AD46" s="4" t="s">
        <v>508</v>
      </c>
      <c r="AE46" s="4" t="s">
        <v>509</v>
      </c>
      <c r="AF46" s="4" t="s">
        <v>589</v>
      </c>
      <c r="AG46" s="743">
        <v>0</v>
      </c>
      <c r="AI46" s="158"/>
    </row>
    <row r="47" spans="1:35">
      <c r="A47">
        <f t="shared" si="1"/>
        <v>45</v>
      </c>
      <c r="B47" t="s">
        <v>448</v>
      </c>
      <c r="C47" t="s">
        <v>352</v>
      </c>
      <c r="D47" t="s">
        <v>476</v>
      </c>
      <c r="E47" t="s">
        <v>476</v>
      </c>
      <c r="F47" t="s">
        <v>476</v>
      </c>
      <c r="G47" t="s">
        <v>476</v>
      </c>
      <c r="H47" t="s">
        <v>476</v>
      </c>
      <c r="I47" t="s">
        <v>476</v>
      </c>
      <c r="J47" t="s">
        <v>476</v>
      </c>
      <c r="K47" t="s">
        <v>476</v>
      </c>
      <c r="L47" t="s">
        <v>476</v>
      </c>
      <c r="M47" t="s">
        <v>476</v>
      </c>
      <c r="N47" t="s">
        <v>476</v>
      </c>
      <c r="O47" t="s">
        <v>476</v>
      </c>
      <c r="W47" s="4" t="s">
        <v>3405</v>
      </c>
      <c r="X47" s="4" t="s">
        <v>3365</v>
      </c>
      <c r="Y47" s="151" t="str">
        <f t="shared" si="5"/>
        <v>E5050</v>
      </c>
      <c r="Z47" s="4" t="s">
        <v>587</v>
      </c>
      <c r="AA47" s="114" t="s">
        <v>588</v>
      </c>
      <c r="AB47" s="4" t="s">
        <v>506</v>
      </c>
      <c r="AC47" s="4" t="s">
        <v>507</v>
      </c>
      <c r="AD47" s="4" t="s">
        <v>508</v>
      </c>
      <c r="AE47" s="4" t="s">
        <v>509</v>
      </c>
      <c r="AF47" s="4" t="s">
        <v>589</v>
      </c>
      <c r="AG47" s="743">
        <v>0</v>
      </c>
      <c r="AI47" s="158"/>
    </row>
    <row r="48" spans="1:35">
      <c r="A48">
        <f t="shared" si="1"/>
        <v>46</v>
      </c>
      <c r="B48" t="s">
        <v>450</v>
      </c>
      <c r="C48" t="s">
        <v>280</v>
      </c>
      <c r="D48" t="s">
        <v>476</v>
      </c>
      <c r="E48" t="s">
        <v>476</v>
      </c>
      <c r="F48" t="s">
        <v>476</v>
      </c>
      <c r="G48" t="s">
        <v>476</v>
      </c>
      <c r="H48" t="s">
        <v>476</v>
      </c>
      <c r="I48" t="s">
        <v>476</v>
      </c>
      <c r="J48" t="s">
        <v>476</v>
      </c>
      <c r="K48" t="s">
        <v>476</v>
      </c>
      <c r="L48" t="s">
        <v>476</v>
      </c>
      <c r="M48" t="s">
        <v>476</v>
      </c>
      <c r="N48" t="s">
        <v>476</v>
      </c>
      <c r="O48" t="s">
        <v>476</v>
      </c>
      <c r="W48" s="4" t="s">
        <v>3405</v>
      </c>
      <c r="X48" s="4" t="s">
        <v>3366</v>
      </c>
      <c r="Y48" s="151" t="str">
        <f t="shared" si="5"/>
        <v>E5050</v>
      </c>
      <c r="Z48" s="4" t="s">
        <v>587</v>
      </c>
      <c r="AA48" s="114" t="s">
        <v>588</v>
      </c>
      <c r="AB48" s="4" t="s">
        <v>506</v>
      </c>
      <c r="AC48" s="4" t="s">
        <v>507</v>
      </c>
      <c r="AD48" s="4" t="s">
        <v>508</v>
      </c>
      <c r="AE48" s="4" t="s">
        <v>509</v>
      </c>
      <c r="AF48" s="4" t="s">
        <v>589</v>
      </c>
      <c r="AG48" s="743">
        <v>0</v>
      </c>
      <c r="AI48" s="158"/>
    </row>
    <row r="49" spans="1:35">
      <c r="A49">
        <f t="shared" si="1"/>
        <v>47</v>
      </c>
      <c r="B49" t="s">
        <v>452</v>
      </c>
      <c r="C49" t="s">
        <v>305</v>
      </c>
      <c r="D49" t="s">
        <v>476</v>
      </c>
      <c r="E49" t="s">
        <v>476</v>
      </c>
      <c r="F49" t="s">
        <v>476</v>
      </c>
      <c r="G49" t="s">
        <v>476</v>
      </c>
      <c r="H49" t="s">
        <v>476</v>
      </c>
      <c r="I49" t="s">
        <v>476</v>
      </c>
      <c r="J49" t="s">
        <v>476</v>
      </c>
      <c r="K49" t="s">
        <v>476</v>
      </c>
      <c r="L49" t="s">
        <v>476</v>
      </c>
      <c r="M49" t="s">
        <v>476</v>
      </c>
      <c r="N49" t="s">
        <v>476</v>
      </c>
      <c r="O49" t="s">
        <v>476</v>
      </c>
      <c r="W49" s="4" t="s">
        <v>3405</v>
      </c>
      <c r="X49" s="4" t="s">
        <v>3367</v>
      </c>
      <c r="Y49" s="151" t="str">
        <f t="shared" si="5"/>
        <v>E5050</v>
      </c>
      <c r="Z49" s="4" t="s">
        <v>587</v>
      </c>
      <c r="AA49" s="114" t="s">
        <v>588</v>
      </c>
      <c r="AB49" s="4" t="s">
        <v>506</v>
      </c>
      <c r="AC49" s="4" t="s">
        <v>507</v>
      </c>
      <c r="AD49" s="4" t="s">
        <v>508</v>
      </c>
      <c r="AE49" s="4" t="s">
        <v>509</v>
      </c>
      <c r="AF49" s="4" t="s">
        <v>589</v>
      </c>
      <c r="AG49" s="743">
        <v>0</v>
      </c>
      <c r="AI49" s="158"/>
    </row>
    <row r="50" spans="1:35">
      <c r="A50">
        <f t="shared" si="1"/>
        <v>48</v>
      </c>
      <c r="B50" t="s">
        <v>454</v>
      </c>
      <c r="C50" t="s">
        <v>343</v>
      </c>
      <c r="D50" t="s">
        <v>476</v>
      </c>
      <c r="E50" t="s">
        <v>476</v>
      </c>
      <c r="F50" t="s">
        <v>476</v>
      </c>
      <c r="G50" t="s">
        <v>476</v>
      </c>
      <c r="H50" t="s">
        <v>476</v>
      </c>
      <c r="I50" t="s">
        <v>476</v>
      </c>
      <c r="J50" t="s">
        <v>476</v>
      </c>
      <c r="K50" t="s">
        <v>476</v>
      </c>
      <c r="L50" t="s">
        <v>476</v>
      </c>
      <c r="M50" t="s">
        <v>476</v>
      </c>
      <c r="N50" t="s">
        <v>476</v>
      </c>
      <c r="O50" t="s">
        <v>476</v>
      </c>
      <c r="W50" s="4" t="s">
        <v>3405</v>
      </c>
      <c r="X50" s="3" t="s">
        <v>3356</v>
      </c>
      <c r="Y50" s="150" t="str">
        <f>INDEX($B$3:$O$110,7,1)</f>
        <v>E5070</v>
      </c>
      <c r="Z50" s="4" t="s">
        <v>587</v>
      </c>
      <c r="AA50" s="114" t="s">
        <v>588</v>
      </c>
      <c r="AB50" s="4" t="s">
        <v>506</v>
      </c>
      <c r="AC50" s="4" t="s">
        <v>507</v>
      </c>
      <c r="AD50" s="4" t="s">
        <v>508</v>
      </c>
      <c r="AE50" s="4" t="s">
        <v>509</v>
      </c>
      <c r="AF50" s="4" t="s">
        <v>589</v>
      </c>
      <c r="AG50" s="743">
        <v>0</v>
      </c>
      <c r="AI50" s="158"/>
    </row>
    <row r="51" spans="1:35">
      <c r="A51">
        <f t="shared" si="1"/>
        <v>49</v>
      </c>
      <c r="B51" t="s">
        <v>454</v>
      </c>
      <c r="C51" t="s">
        <v>549</v>
      </c>
      <c r="D51" t="s">
        <v>476</v>
      </c>
      <c r="E51" t="s">
        <v>476</v>
      </c>
      <c r="F51" t="s">
        <v>476</v>
      </c>
      <c r="G51" t="s">
        <v>476</v>
      </c>
      <c r="H51" t="s">
        <v>476</v>
      </c>
      <c r="I51" t="s">
        <v>476</v>
      </c>
      <c r="J51" t="s">
        <v>476</v>
      </c>
      <c r="K51" t="s">
        <v>476</v>
      </c>
      <c r="L51" t="s">
        <v>476</v>
      </c>
      <c r="M51" t="s">
        <v>476</v>
      </c>
      <c r="N51" t="s">
        <v>476</v>
      </c>
      <c r="O51" t="s">
        <v>476</v>
      </c>
      <c r="W51" s="4" t="s">
        <v>3405</v>
      </c>
      <c r="X51" s="4" t="s">
        <v>3357</v>
      </c>
      <c r="Y51" s="151" t="str">
        <f>Y50</f>
        <v>E5070</v>
      </c>
      <c r="Z51" s="4" t="s">
        <v>587</v>
      </c>
      <c r="AA51" s="114" t="s">
        <v>588</v>
      </c>
      <c r="AB51" s="4" t="s">
        <v>506</v>
      </c>
      <c r="AC51" s="4" t="s">
        <v>507</v>
      </c>
      <c r="AD51" s="4" t="s">
        <v>508</v>
      </c>
      <c r="AE51" s="4" t="s">
        <v>509</v>
      </c>
      <c r="AF51" s="4" t="s">
        <v>589</v>
      </c>
      <c r="AG51" s="743">
        <v>0</v>
      </c>
      <c r="AI51" s="158"/>
    </row>
    <row r="52" spans="1:35">
      <c r="A52">
        <f t="shared" si="1"/>
        <v>50</v>
      </c>
      <c r="B52" t="s">
        <v>456</v>
      </c>
      <c r="C52" t="s">
        <v>355</v>
      </c>
      <c r="D52" t="s">
        <v>476</v>
      </c>
      <c r="E52" t="s">
        <v>476</v>
      </c>
      <c r="F52" t="s">
        <v>476</v>
      </c>
      <c r="G52" t="s">
        <v>476</v>
      </c>
      <c r="H52" t="s">
        <v>476</v>
      </c>
      <c r="I52" t="s">
        <v>476</v>
      </c>
      <c r="J52" t="s">
        <v>476</v>
      </c>
      <c r="K52" t="s">
        <v>476</v>
      </c>
      <c r="L52" t="s">
        <v>476</v>
      </c>
      <c r="M52" t="s">
        <v>476</v>
      </c>
      <c r="N52" t="s">
        <v>476</v>
      </c>
      <c r="O52" t="s">
        <v>476</v>
      </c>
      <c r="W52" s="4" t="s">
        <v>3405</v>
      </c>
      <c r="X52" s="4" t="s">
        <v>3358</v>
      </c>
      <c r="Y52" s="151" t="str">
        <f t="shared" ref="Y52:Y61" si="6">Y51</f>
        <v>E5070</v>
      </c>
      <c r="Z52" s="4" t="s">
        <v>587</v>
      </c>
      <c r="AA52" s="114" t="s">
        <v>588</v>
      </c>
      <c r="AB52" s="4" t="s">
        <v>506</v>
      </c>
      <c r="AC52" s="4" t="s">
        <v>507</v>
      </c>
      <c r="AD52" s="4" t="s">
        <v>508</v>
      </c>
      <c r="AE52" s="4" t="s">
        <v>509</v>
      </c>
      <c r="AF52" s="4" t="s">
        <v>589</v>
      </c>
      <c r="AG52" s="743">
        <v>0</v>
      </c>
      <c r="AI52" s="158"/>
    </row>
    <row r="53" spans="1:35">
      <c r="A53">
        <f t="shared" si="1"/>
        <v>51</v>
      </c>
      <c r="B53" t="s">
        <v>456</v>
      </c>
      <c r="C53" t="s">
        <v>357</v>
      </c>
      <c r="D53" t="s">
        <v>476</v>
      </c>
      <c r="E53" t="s">
        <v>476</v>
      </c>
      <c r="F53" t="s">
        <v>476</v>
      </c>
      <c r="G53" t="s">
        <v>476</v>
      </c>
      <c r="H53" t="s">
        <v>476</v>
      </c>
      <c r="I53" t="s">
        <v>476</v>
      </c>
      <c r="J53" t="s">
        <v>476</v>
      </c>
      <c r="K53" t="s">
        <v>476</v>
      </c>
      <c r="L53" t="s">
        <v>476</v>
      </c>
      <c r="M53" t="s">
        <v>476</v>
      </c>
      <c r="N53" t="s">
        <v>476</v>
      </c>
      <c r="O53" t="s">
        <v>476</v>
      </c>
      <c r="W53" s="4" t="s">
        <v>3405</v>
      </c>
      <c r="X53" s="4" t="s">
        <v>3359</v>
      </c>
      <c r="Y53" s="151" t="str">
        <f t="shared" si="6"/>
        <v>E5070</v>
      </c>
      <c r="Z53" s="4" t="s">
        <v>587</v>
      </c>
      <c r="AA53" s="114" t="s">
        <v>588</v>
      </c>
      <c r="AB53" s="4" t="s">
        <v>506</v>
      </c>
      <c r="AC53" s="4" t="s">
        <v>507</v>
      </c>
      <c r="AD53" s="4" t="s">
        <v>508</v>
      </c>
      <c r="AE53" s="4" t="s">
        <v>509</v>
      </c>
      <c r="AF53" s="4" t="s">
        <v>589</v>
      </c>
      <c r="AG53" s="743">
        <v>0</v>
      </c>
      <c r="AI53" s="158"/>
    </row>
    <row r="54" spans="1:35">
      <c r="A54">
        <f t="shared" si="1"/>
        <v>52</v>
      </c>
      <c r="B54" t="s">
        <v>456</v>
      </c>
      <c r="C54" t="s">
        <v>356</v>
      </c>
      <c r="D54" t="s">
        <v>476</v>
      </c>
      <c r="E54" t="s">
        <v>476</v>
      </c>
      <c r="F54" t="s">
        <v>476</v>
      </c>
      <c r="G54" t="s">
        <v>476</v>
      </c>
      <c r="H54" t="s">
        <v>476</v>
      </c>
      <c r="I54" t="s">
        <v>476</v>
      </c>
      <c r="J54" t="s">
        <v>476</v>
      </c>
      <c r="K54" t="s">
        <v>476</v>
      </c>
      <c r="L54" t="s">
        <v>476</v>
      </c>
      <c r="M54" t="s">
        <v>476</v>
      </c>
      <c r="N54" t="s">
        <v>476</v>
      </c>
      <c r="O54" t="s">
        <v>476</v>
      </c>
      <c r="W54" s="4" t="s">
        <v>3405</v>
      </c>
      <c r="X54" s="4" t="s">
        <v>3360</v>
      </c>
      <c r="Y54" s="151" t="str">
        <f t="shared" si="6"/>
        <v>E5070</v>
      </c>
      <c r="Z54" s="4" t="s">
        <v>587</v>
      </c>
      <c r="AA54" s="114" t="s">
        <v>588</v>
      </c>
      <c r="AB54" s="4" t="s">
        <v>506</v>
      </c>
      <c r="AC54" s="4" t="s">
        <v>507</v>
      </c>
      <c r="AD54" s="4" t="s">
        <v>508</v>
      </c>
      <c r="AE54" s="4" t="s">
        <v>509</v>
      </c>
      <c r="AF54" s="4" t="s">
        <v>589</v>
      </c>
      <c r="AG54" s="743">
        <v>0</v>
      </c>
      <c r="AI54" s="158"/>
    </row>
    <row r="55" spans="1:35">
      <c r="A55">
        <f t="shared" si="1"/>
        <v>53</v>
      </c>
      <c r="B55" t="s">
        <v>458</v>
      </c>
      <c r="C55" t="s">
        <v>553</v>
      </c>
      <c r="D55" t="s">
        <v>476</v>
      </c>
      <c r="E55" t="s">
        <v>476</v>
      </c>
      <c r="F55" t="s">
        <v>476</v>
      </c>
      <c r="G55" t="s">
        <v>476</v>
      </c>
      <c r="H55" t="s">
        <v>476</v>
      </c>
      <c r="I55" t="s">
        <v>476</v>
      </c>
      <c r="J55" t="s">
        <v>476</v>
      </c>
      <c r="K55" t="s">
        <v>476</v>
      </c>
      <c r="L55" t="s">
        <v>476</v>
      </c>
      <c r="M55" t="s">
        <v>476</v>
      </c>
      <c r="N55" t="s">
        <v>476</v>
      </c>
      <c r="O55" t="s">
        <v>476</v>
      </c>
      <c r="W55" s="4" t="s">
        <v>3405</v>
      </c>
      <c r="X55" s="4" t="s">
        <v>3361</v>
      </c>
      <c r="Y55" s="151" t="str">
        <f t="shared" si="6"/>
        <v>E5070</v>
      </c>
      <c r="Z55" s="4" t="s">
        <v>587</v>
      </c>
      <c r="AA55" s="114" t="s">
        <v>588</v>
      </c>
      <c r="AB55" s="4" t="s">
        <v>506</v>
      </c>
      <c r="AC55" s="4" t="s">
        <v>507</v>
      </c>
      <c r="AD55" s="4" t="s">
        <v>508</v>
      </c>
      <c r="AE55" s="4" t="s">
        <v>509</v>
      </c>
      <c r="AF55" s="4" t="s">
        <v>589</v>
      </c>
      <c r="AG55" s="743">
        <v>0</v>
      </c>
      <c r="AI55" s="158"/>
    </row>
    <row r="56" spans="1:35">
      <c r="A56">
        <f t="shared" si="1"/>
        <v>54</v>
      </c>
      <c r="B56" t="s">
        <v>458</v>
      </c>
      <c r="C56" t="s">
        <v>554</v>
      </c>
      <c r="D56" t="s">
        <v>476</v>
      </c>
      <c r="E56" t="s">
        <v>476</v>
      </c>
      <c r="F56" t="s">
        <v>476</v>
      </c>
      <c r="G56" t="s">
        <v>476</v>
      </c>
      <c r="H56" t="s">
        <v>476</v>
      </c>
      <c r="I56" t="s">
        <v>476</v>
      </c>
      <c r="J56" t="s">
        <v>476</v>
      </c>
      <c r="K56" t="s">
        <v>476</v>
      </c>
      <c r="L56" t="s">
        <v>476</v>
      </c>
      <c r="M56" t="s">
        <v>476</v>
      </c>
      <c r="N56" t="s">
        <v>476</v>
      </c>
      <c r="O56" t="s">
        <v>476</v>
      </c>
      <c r="W56" s="4" t="s">
        <v>3405</v>
      </c>
      <c r="X56" s="4" t="s">
        <v>3362</v>
      </c>
      <c r="Y56" s="151" t="str">
        <f t="shared" si="6"/>
        <v>E5070</v>
      </c>
      <c r="Z56" s="4" t="s">
        <v>587</v>
      </c>
      <c r="AA56" s="114" t="s">
        <v>588</v>
      </c>
      <c r="AB56" s="4" t="s">
        <v>506</v>
      </c>
      <c r="AC56" s="4" t="s">
        <v>507</v>
      </c>
      <c r="AD56" s="4" t="s">
        <v>508</v>
      </c>
      <c r="AE56" s="4" t="s">
        <v>509</v>
      </c>
      <c r="AF56" s="4" t="s">
        <v>589</v>
      </c>
      <c r="AG56" s="743">
        <v>0</v>
      </c>
      <c r="AI56" s="158"/>
    </row>
    <row r="57" spans="1:35">
      <c r="A57">
        <f t="shared" si="1"/>
        <v>55</v>
      </c>
      <c r="B57" t="s">
        <v>460</v>
      </c>
      <c r="C57" t="s">
        <v>555</v>
      </c>
      <c r="D57" t="s">
        <v>476</v>
      </c>
      <c r="E57" t="s">
        <v>476</v>
      </c>
      <c r="F57" t="s">
        <v>476</v>
      </c>
      <c r="G57" t="s">
        <v>476</v>
      </c>
      <c r="H57" t="s">
        <v>476</v>
      </c>
      <c r="I57" t="s">
        <v>476</v>
      </c>
      <c r="J57" t="s">
        <v>476</v>
      </c>
      <c r="K57" t="s">
        <v>476</v>
      </c>
      <c r="L57" t="s">
        <v>476</v>
      </c>
      <c r="M57" t="s">
        <v>476</v>
      </c>
      <c r="N57" t="s">
        <v>476</v>
      </c>
      <c r="O57" t="s">
        <v>476</v>
      </c>
      <c r="W57" s="4" t="s">
        <v>3405</v>
      </c>
      <c r="X57" s="4" t="s">
        <v>3363</v>
      </c>
      <c r="Y57" s="151" t="str">
        <f t="shared" si="6"/>
        <v>E5070</v>
      </c>
      <c r="Z57" s="4" t="s">
        <v>587</v>
      </c>
      <c r="AA57" s="114" t="s">
        <v>588</v>
      </c>
      <c r="AB57" s="4" t="s">
        <v>506</v>
      </c>
      <c r="AC57" s="4" t="s">
        <v>507</v>
      </c>
      <c r="AD57" s="4" t="s">
        <v>508</v>
      </c>
      <c r="AE57" s="4" t="s">
        <v>509</v>
      </c>
      <c r="AF57" s="4" t="s">
        <v>589</v>
      </c>
      <c r="AG57" s="743">
        <v>0</v>
      </c>
      <c r="AI57" s="158"/>
    </row>
    <row r="58" spans="1:35">
      <c r="A58">
        <f t="shared" si="1"/>
        <v>56</v>
      </c>
      <c r="B58" t="s">
        <v>462</v>
      </c>
      <c r="C58" t="s">
        <v>307</v>
      </c>
      <c r="D58" t="s">
        <v>476</v>
      </c>
      <c r="E58" t="s">
        <v>476</v>
      </c>
      <c r="F58" t="s">
        <v>476</v>
      </c>
      <c r="G58" t="s">
        <v>476</v>
      </c>
      <c r="H58" t="s">
        <v>476</v>
      </c>
      <c r="I58" t="s">
        <v>476</v>
      </c>
      <c r="J58" t="s">
        <v>476</v>
      </c>
      <c r="K58" t="s">
        <v>476</v>
      </c>
      <c r="L58" t="s">
        <v>476</v>
      </c>
      <c r="M58" t="s">
        <v>476</v>
      </c>
      <c r="N58" t="s">
        <v>476</v>
      </c>
      <c r="O58" t="s">
        <v>476</v>
      </c>
      <c r="W58" s="4" t="s">
        <v>3405</v>
      </c>
      <c r="X58" s="4" t="s">
        <v>3364</v>
      </c>
      <c r="Y58" s="151" t="str">
        <f t="shared" si="6"/>
        <v>E5070</v>
      </c>
      <c r="Z58" s="4" t="s">
        <v>587</v>
      </c>
      <c r="AA58" s="114" t="s">
        <v>588</v>
      </c>
      <c r="AB58" s="4" t="s">
        <v>506</v>
      </c>
      <c r="AC58" s="4" t="s">
        <v>507</v>
      </c>
      <c r="AD58" s="4" t="s">
        <v>508</v>
      </c>
      <c r="AE58" s="4" t="s">
        <v>509</v>
      </c>
      <c r="AF58" s="4" t="s">
        <v>589</v>
      </c>
      <c r="AG58" s="743">
        <v>0</v>
      </c>
      <c r="AI58" s="158"/>
    </row>
    <row r="59" spans="1:35">
      <c r="A59">
        <f t="shared" si="1"/>
        <v>57</v>
      </c>
      <c r="B59" t="s">
        <v>499</v>
      </c>
      <c r="C59" t="s">
        <v>842</v>
      </c>
      <c r="D59" t="s">
        <v>476</v>
      </c>
      <c r="E59" t="s">
        <v>476</v>
      </c>
      <c r="F59" t="s">
        <v>476</v>
      </c>
      <c r="G59" t="s">
        <v>476</v>
      </c>
      <c r="H59" t="s">
        <v>476</v>
      </c>
      <c r="I59" t="s">
        <v>476</v>
      </c>
      <c r="J59" t="s">
        <v>476</v>
      </c>
      <c r="K59" t="s">
        <v>476</v>
      </c>
      <c r="L59" t="s">
        <v>476</v>
      </c>
      <c r="M59" t="s">
        <v>476</v>
      </c>
      <c r="N59" t="s">
        <v>476</v>
      </c>
      <c r="O59" t="s">
        <v>476</v>
      </c>
      <c r="W59" s="4" t="s">
        <v>3405</v>
      </c>
      <c r="X59" s="4" t="s">
        <v>3365</v>
      </c>
      <c r="Y59" s="151" t="str">
        <f t="shared" si="6"/>
        <v>E5070</v>
      </c>
      <c r="Z59" s="4" t="s">
        <v>587</v>
      </c>
      <c r="AA59" s="114" t="s">
        <v>588</v>
      </c>
      <c r="AB59" s="4" t="s">
        <v>506</v>
      </c>
      <c r="AC59" s="4" t="s">
        <v>507</v>
      </c>
      <c r="AD59" s="4" t="s">
        <v>508</v>
      </c>
      <c r="AE59" s="4" t="s">
        <v>509</v>
      </c>
      <c r="AF59" s="4" t="s">
        <v>589</v>
      </c>
      <c r="AG59" s="743">
        <v>0</v>
      </c>
      <c r="AI59" s="158"/>
    </row>
    <row r="60" spans="1:35">
      <c r="A60">
        <f t="shared" si="1"/>
        <v>58</v>
      </c>
      <c r="B60" t="s">
        <v>264</v>
      </c>
      <c r="C60" t="s">
        <v>215</v>
      </c>
      <c r="D60" t="s">
        <v>476</v>
      </c>
      <c r="E60" t="s">
        <v>476</v>
      </c>
      <c r="F60" t="s">
        <v>476</v>
      </c>
      <c r="G60" t="s">
        <v>476</v>
      </c>
      <c r="H60" t="s">
        <v>476</v>
      </c>
      <c r="I60" t="s">
        <v>476</v>
      </c>
      <c r="J60" t="s">
        <v>476</v>
      </c>
      <c r="K60" t="s">
        <v>476</v>
      </c>
      <c r="L60" t="s">
        <v>476</v>
      </c>
      <c r="M60" t="s">
        <v>476</v>
      </c>
      <c r="N60" t="s">
        <v>476</v>
      </c>
      <c r="O60" t="s">
        <v>476</v>
      </c>
      <c r="W60" s="4" t="s">
        <v>3405</v>
      </c>
      <c r="X60" s="4" t="s">
        <v>3366</v>
      </c>
      <c r="Y60" s="151" t="str">
        <f t="shared" si="6"/>
        <v>E5070</v>
      </c>
      <c r="Z60" s="4" t="s">
        <v>587</v>
      </c>
      <c r="AA60" s="114" t="s">
        <v>588</v>
      </c>
      <c r="AB60" s="4" t="s">
        <v>506</v>
      </c>
      <c r="AC60" s="4" t="s">
        <v>507</v>
      </c>
      <c r="AD60" s="4" t="s">
        <v>508</v>
      </c>
      <c r="AE60" s="4" t="s">
        <v>509</v>
      </c>
      <c r="AF60" s="4" t="s">
        <v>589</v>
      </c>
      <c r="AG60" s="743">
        <v>0</v>
      </c>
      <c r="AI60" s="158"/>
    </row>
    <row r="61" spans="1:35">
      <c r="A61">
        <f t="shared" si="1"/>
        <v>59</v>
      </c>
      <c r="B61" t="s">
        <v>277</v>
      </c>
      <c r="C61" t="s">
        <v>556</v>
      </c>
      <c r="D61" t="s">
        <v>476</v>
      </c>
      <c r="E61" t="s">
        <v>476</v>
      </c>
      <c r="F61" t="s">
        <v>476</v>
      </c>
      <c r="G61" t="s">
        <v>476</v>
      </c>
      <c r="H61" t="s">
        <v>476</v>
      </c>
      <c r="I61" t="s">
        <v>476</v>
      </c>
      <c r="J61" t="s">
        <v>476</v>
      </c>
      <c r="K61" t="s">
        <v>476</v>
      </c>
      <c r="L61" t="s">
        <v>476</v>
      </c>
      <c r="M61" t="s">
        <v>476</v>
      </c>
      <c r="N61" t="s">
        <v>476</v>
      </c>
      <c r="O61" t="s">
        <v>476</v>
      </c>
      <c r="W61" s="4" t="s">
        <v>3405</v>
      </c>
      <c r="X61" s="4" t="s">
        <v>3367</v>
      </c>
      <c r="Y61" s="151" t="str">
        <f t="shared" si="6"/>
        <v>E5070</v>
      </c>
      <c r="Z61" s="4" t="s">
        <v>587</v>
      </c>
      <c r="AA61" s="114" t="s">
        <v>588</v>
      </c>
      <c r="AB61" s="4" t="s">
        <v>506</v>
      </c>
      <c r="AC61" s="4" t="s">
        <v>507</v>
      </c>
      <c r="AD61" s="4" t="s">
        <v>508</v>
      </c>
      <c r="AE61" s="4" t="s">
        <v>509</v>
      </c>
      <c r="AF61" s="4" t="s">
        <v>589</v>
      </c>
      <c r="AG61" s="743">
        <v>0</v>
      </c>
      <c r="AI61" s="158"/>
    </row>
    <row r="62" spans="1:35">
      <c r="A62">
        <f t="shared" si="1"/>
        <v>60</v>
      </c>
      <c r="B62" t="s">
        <v>277</v>
      </c>
      <c r="C62" t="s">
        <v>557</v>
      </c>
      <c r="D62" t="s">
        <v>476</v>
      </c>
      <c r="E62" t="s">
        <v>476</v>
      </c>
      <c r="F62" t="s">
        <v>476</v>
      </c>
      <c r="G62" t="s">
        <v>476</v>
      </c>
      <c r="H62" t="s">
        <v>476</v>
      </c>
      <c r="I62" t="s">
        <v>476</v>
      </c>
      <c r="J62" t="s">
        <v>476</v>
      </c>
      <c r="K62" t="s">
        <v>476</v>
      </c>
      <c r="L62" t="s">
        <v>476</v>
      </c>
      <c r="M62" t="s">
        <v>476</v>
      </c>
      <c r="N62" t="s">
        <v>476</v>
      </c>
      <c r="O62" t="s">
        <v>476</v>
      </c>
      <c r="W62" s="4" t="s">
        <v>3405</v>
      </c>
      <c r="X62" s="3" t="s">
        <v>3356</v>
      </c>
      <c r="Y62" s="150" t="str">
        <f>INDEX($B$3:$O$110,8,1)</f>
        <v>E5080</v>
      </c>
      <c r="Z62" s="4" t="s">
        <v>587</v>
      </c>
      <c r="AA62" s="114" t="s">
        <v>588</v>
      </c>
      <c r="AB62" s="4" t="s">
        <v>506</v>
      </c>
      <c r="AC62" s="4" t="s">
        <v>507</v>
      </c>
      <c r="AD62" s="4" t="s">
        <v>508</v>
      </c>
      <c r="AE62" s="4" t="s">
        <v>509</v>
      </c>
      <c r="AF62" s="4" t="s">
        <v>589</v>
      </c>
      <c r="AG62" s="743">
        <v>0</v>
      </c>
      <c r="AI62" s="158"/>
    </row>
    <row r="63" spans="1:35">
      <c r="A63">
        <f t="shared" si="1"/>
        <v>61</v>
      </c>
      <c r="B63" t="s">
        <v>820</v>
      </c>
      <c r="C63" t="s">
        <v>819</v>
      </c>
      <c r="D63">
        <v>-4.0642300000000064</v>
      </c>
      <c r="E63">
        <v>-5.0342300000000053</v>
      </c>
      <c r="F63">
        <v>7.1857699999999936</v>
      </c>
      <c r="G63">
        <v>21.575770000000002</v>
      </c>
      <c r="H63">
        <v>30.895770000000002</v>
      </c>
      <c r="I63">
        <v>25.745769999999997</v>
      </c>
      <c r="J63">
        <v>23.685770000000002</v>
      </c>
      <c r="K63">
        <v>27.40577</v>
      </c>
      <c r="L63">
        <v>29.525769999999998</v>
      </c>
      <c r="M63">
        <v>30.325770000000002</v>
      </c>
      <c r="N63">
        <v>-5.9999999999999973</v>
      </c>
      <c r="O63">
        <v>-33.540000000000006</v>
      </c>
      <c r="W63" s="4" t="s">
        <v>3405</v>
      </c>
      <c r="X63" s="4" t="s">
        <v>3357</v>
      </c>
      <c r="Y63" s="151" t="str">
        <f>Y62</f>
        <v>E5080</v>
      </c>
      <c r="Z63" s="4" t="s">
        <v>587</v>
      </c>
      <c r="AA63" s="114" t="s">
        <v>588</v>
      </c>
      <c r="AB63" s="4" t="s">
        <v>506</v>
      </c>
      <c r="AC63" s="4" t="s">
        <v>507</v>
      </c>
      <c r="AD63" s="4" t="s">
        <v>508</v>
      </c>
      <c r="AE63" s="4" t="s">
        <v>509</v>
      </c>
      <c r="AF63" s="4" t="s">
        <v>589</v>
      </c>
      <c r="AG63" s="743">
        <v>0</v>
      </c>
      <c r="AI63" s="158"/>
    </row>
    <row r="64" spans="1:35">
      <c r="A64">
        <f t="shared" si="1"/>
        <v>62</v>
      </c>
      <c r="B64" t="s">
        <v>471</v>
      </c>
      <c r="C64" t="s">
        <v>564</v>
      </c>
      <c r="D64" t="s">
        <v>476</v>
      </c>
      <c r="E64" t="s">
        <v>476</v>
      </c>
      <c r="F64" t="s">
        <v>476</v>
      </c>
      <c r="G64" t="s">
        <v>476</v>
      </c>
      <c r="H64" t="s">
        <v>476</v>
      </c>
      <c r="I64" t="s">
        <v>476</v>
      </c>
      <c r="J64" t="s">
        <v>476</v>
      </c>
      <c r="K64" t="s">
        <v>476</v>
      </c>
      <c r="L64" t="s">
        <v>476</v>
      </c>
      <c r="M64" t="s">
        <v>476</v>
      </c>
      <c r="N64" t="s">
        <v>476</v>
      </c>
      <c r="O64" t="s">
        <v>476</v>
      </c>
      <c r="W64" s="4" t="s">
        <v>3405</v>
      </c>
      <c r="X64" s="4" t="s">
        <v>3358</v>
      </c>
      <c r="Y64" s="151" t="str">
        <f t="shared" ref="Y64:Y73" si="7">Y63</f>
        <v>E5080</v>
      </c>
      <c r="Z64" s="4" t="s">
        <v>587</v>
      </c>
      <c r="AA64" s="114" t="s">
        <v>588</v>
      </c>
      <c r="AB64" s="4" t="s">
        <v>506</v>
      </c>
      <c r="AC64" s="4" t="s">
        <v>507</v>
      </c>
      <c r="AD64" s="4" t="s">
        <v>508</v>
      </c>
      <c r="AE64" s="4" t="s">
        <v>509</v>
      </c>
      <c r="AF64" s="4" t="s">
        <v>589</v>
      </c>
      <c r="AG64" s="743">
        <v>0</v>
      </c>
      <c r="AI64" s="158"/>
    </row>
    <row r="65" spans="1:35">
      <c r="A65">
        <f t="shared" si="1"/>
        <v>63</v>
      </c>
      <c r="B65" t="s">
        <v>465</v>
      </c>
      <c r="C65" t="s">
        <v>563</v>
      </c>
      <c r="D65" t="s">
        <v>476</v>
      </c>
      <c r="E65" t="s">
        <v>476</v>
      </c>
      <c r="F65" t="s">
        <v>476</v>
      </c>
      <c r="G65" t="s">
        <v>476</v>
      </c>
      <c r="H65" t="s">
        <v>476</v>
      </c>
      <c r="I65" t="s">
        <v>476</v>
      </c>
      <c r="J65" t="s">
        <v>476</v>
      </c>
      <c r="K65" t="s">
        <v>476</v>
      </c>
      <c r="L65" t="s">
        <v>476</v>
      </c>
      <c r="M65" t="s">
        <v>476</v>
      </c>
      <c r="N65" t="s">
        <v>476</v>
      </c>
      <c r="O65" t="s">
        <v>476</v>
      </c>
      <c r="W65" s="4" t="s">
        <v>3405</v>
      </c>
      <c r="X65" s="4" t="s">
        <v>3359</v>
      </c>
      <c r="Y65" s="151" t="str">
        <f t="shared" si="7"/>
        <v>E5080</v>
      </c>
      <c r="Z65" s="4" t="s">
        <v>587</v>
      </c>
      <c r="AA65" s="114" t="s">
        <v>588</v>
      </c>
      <c r="AB65" s="4" t="s">
        <v>506</v>
      </c>
      <c r="AC65" s="4" t="s">
        <v>507</v>
      </c>
      <c r="AD65" s="4" t="s">
        <v>508</v>
      </c>
      <c r="AE65" s="4" t="s">
        <v>509</v>
      </c>
      <c r="AF65" s="4" t="s">
        <v>589</v>
      </c>
      <c r="AG65" s="743">
        <v>0</v>
      </c>
      <c r="AI65" s="158"/>
    </row>
    <row r="66" spans="1:35">
      <c r="A66">
        <f t="shared" si="1"/>
        <v>64</v>
      </c>
      <c r="B66" t="s">
        <v>467</v>
      </c>
      <c r="C66" t="s">
        <v>559</v>
      </c>
      <c r="D66" t="s">
        <v>476</v>
      </c>
      <c r="E66" t="s">
        <v>476</v>
      </c>
      <c r="F66" t="s">
        <v>476</v>
      </c>
      <c r="G66" t="s">
        <v>476</v>
      </c>
      <c r="H66" t="s">
        <v>476</v>
      </c>
      <c r="I66" t="s">
        <v>476</v>
      </c>
      <c r="J66" t="s">
        <v>476</v>
      </c>
      <c r="K66" t="s">
        <v>476</v>
      </c>
      <c r="L66" t="s">
        <v>476</v>
      </c>
      <c r="M66" t="s">
        <v>476</v>
      </c>
      <c r="N66" t="s">
        <v>476</v>
      </c>
      <c r="O66" t="s">
        <v>476</v>
      </c>
      <c r="W66" s="4" t="s">
        <v>3405</v>
      </c>
      <c r="X66" s="4" t="s">
        <v>3360</v>
      </c>
      <c r="Y66" s="151" t="str">
        <f t="shared" si="7"/>
        <v>E5080</v>
      </c>
      <c r="Z66" s="4" t="s">
        <v>587</v>
      </c>
      <c r="AA66" s="114" t="s">
        <v>588</v>
      </c>
      <c r="AB66" s="4" t="s">
        <v>506</v>
      </c>
      <c r="AC66" s="4" t="s">
        <v>507</v>
      </c>
      <c r="AD66" s="4" t="s">
        <v>508</v>
      </c>
      <c r="AE66" s="4" t="s">
        <v>509</v>
      </c>
      <c r="AF66" s="4" t="s">
        <v>589</v>
      </c>
      <c r="AG66" s="743">
        <v>0</v>
      </c>
      <c r="AI66" s="158"/>
    </row>
    <row r="67" spans="1:35">
      <c r="A67">
        <f t="shared" si="1"/>
        <v>65</v>
      </c>
      <c r="B67" t="s">
        <v>467</v>
      </c>
      <c r="C67" t="s">
        <v>560</v>
      </c>
      <c r="D67" t="s">
        <v>476</v>
      </c>
      <c r="E67" t="s">
        <v>476</v>
      </c>
      <c r="F67" t="s">
        <v>476</v>
      </c>
      <c r="G67" t="s">
        <v>476</v>
      </c>
      <c r="H67" t="s">
        <v>476</v>
      </c>
      <c r="I67" t="s">
        <v>476</v>
      </c>
      <c r="J67" t="s">
        <v>476</v>
      </c>
      <c r="K67" t="s">
        <v>476</v>
      </c>
      <c r="L67" t="s">
        <v>476</v>
      </c>
      <c r="M67" t="s">
        <v>476</v>
      </c>
      <c r="N67" t="s">
        <v>476</v>
      </c>
      <c r="O67" t="s">
        <v>476</v>
      </c>
      <c r="W67" s="4" t="s">
        <v>3405</v>
      </c>
      <c r="X67" s="4" t="s">
        <v>3361</v>
      </c>
      <c r="Y67" s="151" t="str">
        <f t="shared" si="7"/>
        <v>E5080</v>
      </c>
      <c r="Z67" s="4" t="s">
        <v>587</v>
      </c>
      <c r="AA67" s="114" t="s">
        <v>588</v>
      </c>
      <c r="AB67" s="4" t="s">
        <v>506</v>
      </c>
      <c r="AC67" s="4" t="s">
        <v>507</v>
      </c>
      <c r="AD67" s="4" t="s">
        <v>508</v>
      </c>
      <c r="AE67" s="4" t="s">
        <v>509</v>
      </c>
      <c r="AF67" s="4" t="s">
        <v>589</v>
      </c>
      <c r="AG67" s="743">
        <v>0</v>
      </c>
      <c r="AI67" s="158"/>
    </row>
    <row r="68" spans="1:35">
      <c r="A68">
        <f t="shared" ref="A68:A97" si="8">A67+1</f>
        <v>66</v>
      </c>
      <c r="B68" t="s">
        <v>470</v>
      </c>
      <c r="C68" t="s">
        <v>561</v>
      </c>
      <c r="D68" t="s">
        <v>476</v>
      </c>
      <c r="E68" t="s">
        <v>476</v>
      </c>
      <c r="F68" t="s">
        <v>476</v>
      </c>
      <c r="G68" t="s">
        <v>476</v>
      </c>
      <c r="H68" t="s">
        <v>476</v>
      </c>
      <c r="I68" t="s">
        <v>476</v>
      </c>
      <c r="J68" t="s">
        <v>476</v>
      </c>
      <c r="K68" t="s">
        <v>476</v>
      </c>
      <c r="L68" t="s">
        <v>476</v>
      </c>
      <c r="M68" t="s">
        <v>476</v>
      </c>
      <c r="N68" t="s">
        <v>476</v>
      </c>
      <c r="O68" t="s">
        <v>476</v>
      </c>
      <c r="W68" s="4" t="s">
        <v>3405</v>
      </c>
      <c r="X68" s="4" t="s">
        <v>3362</v>
      </c>
      <c r="Y68" s="151" t="str">
        <f t="shared" si="7"/>
        <v>E5080</v>
      </c>
      <c r="Z68" s="4" t="s">
        <v>587</v>
      </c>
      <c r="AA68" s="114" t="s">
        <v>588</v>
      </c>
      <c r="AB68" s="4" t="s">
        <v>506</v>
      </c>
      <c r="AC68" s="4" t="s">
        <v>507</v>
      </c>
      <c r="AD68" s="4" t="s">
        <v>508</v>
      </c>
      <c r="AE68" s="4" t="s">
        <v>509</v>
      </c>
      <c r="AF68" s="4" t="s">
        <v>589</v>
      </c>
      <c r="AG68" s="743">
        <v>0</v>
      </c>
      <c r="AI68" s="158"/>
    </row>
    <row r="69" spans="1:35">
      <c r="A69">
        <f t="shared" si="8"/>
        <v>67</v>
      </c>
      <c r="B69" t="s">
        <v>470</v>
      </c>
      <c r="C69" t="s">
        <v>562</v>
      </c>
      <c r="D69" t="s">
        <v>476</v>
      </c>
      <c r="E69" t="s">
        <v>476</v>
      </c>
      <c r="F69" t="s">
        <v>476</v>
      </c>
      <c r="G69" t="s">
        <v>476</v>
      </c>
      <c r="H69" t="s">
        <v>476</v>
      </c>
      <c r="I69" t="s">
        <v>476</v>
      </c>
      <c r="J69" t="s">
        <v>476</v>
      </c>
      <c r="K69" t="s">
        <v>476</v>
      </c>
      <c r="L69" t="s">
        <v>476</v>
      </c>
      <c r="M69" t="s">
        <v>476</v>
      </c>
      <c r="N69" t="s">
        <v>476</v>
      </c>
      <c r="O69" t="s">
        <v>476</v>
      </c>
      <c r="W69" s="4" t="s">
        <v>3405</v>
      </c>
      <c r="X69" s="4" t="s">
        <v>3363</v>
      </c>
      <c r="Y69" s="151" t="str">
        <f t="shared" si="7"/>
        <v>E5080</v>
      </c>
      <c r="Z69" s="4" t="s">
        <v>587</v>
      </c>
      <c r="AA69" s="114" t="s">
        <v>588</v>
      </c>
      <c r="AB69" s="4" t="s">
        <v>506</v>
      </c>
      <c r="AC69" s="4" t="s">
        <v>507</v>
      </c>
      <c r="AD69" s="4" t="s">
        <v>508</v>
      </c>
      <c r="AE69" s="4" t="s">
        <v>509</v>
      </c>
      <c r="AF69" s="4" t="s">
        <v>589</v>
      </c>
      <c r="AG69" s="743">
        <v>0</v>
      </c>
      <c r="AI69" s="158"/>
    </row>
    <row r="70" spans="1:35">
      <c r="A70">
        <f t="shared" si="8"/>
        <v>68</v>
      </c>
      <c r="B70" t="s">
        <v>822</v>
      </c>
      <c r="C70" t="s">
        <v>821</v>
      </c>
      <c r="D70">
        <v>3.8026399999999994</v>
      </c>
      <c r="E70">
        <v>2.8326400000000005</v>
      </c>
      <c r="F70">
        <v>15.05264</v>
      </c>
      <c r="G70">
        <v>29.442640000000008</v>
      </c>
      <c r="H70">
        <v>38.762640000000005</v>
      </c>
      <c r="I70">
        <v>33.612639999999999</v>
      </c>
      <c r="J70">
        <v>31.552640000000007</v>
      </c>
      <c r="K70">
        <v>35.272640000000003</v>
      </c>
      <c r="L70">
        <v>37.39264</v>
      </c>
      <c r="M70">
        <v>38.192640000000004</v>
      </c>
      <c r="N70">
        <v>21.277430720000002</v>
      </c>
      <c r="O70">
        <v>9.8474307199999949</v>
      </c>
      <c r="W70" s="4" t="s">
        <v>3405</v>
      </c>
      <c r="X70" s="4" t="s">
        <v>3364</v>
      </c>
      <c r="Y70" s="151" t="str">
        <f t="shared" si="7"/>
        <v>E5080</v>
      </c>
      <c r="Z70" s="4" t="s">
        <v>587</v>
      </c>
      <c r="AA70" s="114" t="s">
        <v>588</v>
      </c>
      <c r="AB70" s="4" t="s">
        <v>506</v>
      </c>
      <c r="AC70" s="4" t="s">
        <v>507</v>
      </c>
      <c r="AD70" s="4" t="s">
        <v>508</v>
      </c>
      <c r="AE70" s="4" t="s">
        <v>509</v>
      </c>
      <c r="AF70" s="4" t="s">
        <v>589</v>
      </c>
      <c r="AG70" s="743">
        <v>0</v>
      </c>
      <c r="AI70" s="158"/>
    </row>
    <row r="71" spans="1:35">
      <c r="A71">
        <f t="shared" si="8"/>
        <v>69</v>
      </c>
      <c r="B71" t="s">
        <v>817</v>
      </c>
      <c r="C71" t="s">
        <v>818</v>
      </c>
      <c r="D71">
        <v>-9.0534500000000122</v>
      </c>
      <c r="E71">
        <v>-10.023450000000011</v>
      </c>
      <c r="F71">
        <v>2.1965499999999878</v>
      </c>
      <c r="G71">
        <v>16.586549999999995</v>
      </c>
      <c r="H71">
        <v>25.906549999999996</v>
      </c>
      <c r="I71">
        <v>20.75654999999999</v>
      </c>
      <c r="J71">
        <v>18.696549999999995</v>
      </c>
      <c r="K71">
        <v>24.060050649999987</v>
      </c>
      <c r="L71">
        <v>26.180050649999984</v>
      </c>
      <c r="M71">
        <v>26.980050649999988</v>
      </c>
      <c r="N71">
        <v>8.1900506499999892</v>
      </c>
      <c r="O71">
        <v>-3.2399493500000176</v>
      </c>
      <c r="W71" s="4" t="s">
        <v>3405</v>
      </c>
      <c r="X71" s="4" t="s">
        <v>3365</v>
      </c>
      <c r="Y71" s="151" t="str">
        <f t="shared" si="7"/>
        <v>E5080</v>
      </c>
      <c r="Z71" s="4" t="s">
        <v>587</v>
      </c>
      <c r="AA71" s="114" t="s">
        <v>588</v>
      </c>
      <c r="AB71" s="4" t="s">
        <v>506</v>
      </c>
      <c r="AC71" s="4" t="s">
        <v>507</v>
      </c>
      <c r="AD71" s="4" t="s">
        <v>508</v>
      </c>
      <c r="AE71" s="4" t="s">
        <v>509</v>
      </c>
      <c r="AF71" s="4" t="s">
        <v>589</v>
      </c>
      <c r="AG71" s="743">
        <v>0</v>
      </c>
      <c r="AI71" s="158"/>
    </row>
    <row r="72" spans="1:35">
      <c r="A72">
        <f t="shared" si="8"/>
        <v>70</v>
      </c>
      <c r="B72" t="s">
        <v>473</v>
      </c>
      <c r="C72" t="s">
        <v>558</v>
      </c>
      <c r="D72" t="s">
        <v>476</v>
      </c>
      <c r="E72" t="s">
        <v>476</v>
      </c>
      <c r="F72" t="s">
        <v>476</v>
      </c>
      <c r="G72" t="s">
        <v>476</v>
      </c>
      <c r="H72" t="s">
        <v>476</v>
      </c>
      <c r="I72" t="s">
        <v>476</v>
      </c>
      <c r="J72" t="s">
        <v>476</v>
      </c>
      <c r="K72" t="s">
        <v>476</v>
      </c>
      <c r="L72" t="s">
        <v>476</v>
      </c>
      <c r="M72" t="s">
        <v>476</v>
      </c>
      <c r="N72" t="s">
        <v>476</v>
      </c>
      <c r="O72" t="s">
        <v>476</v>
      </c>
      <c r="W72" s="4" t="s">
        <v>3405</v>
      </c>
      <c r="X72" s="4" t="s">
        <v>3366</v>
      </c>
      <c r="Y72" s="151" t="str">
        <f t="shared" si="7"/>
        <v>E5080</v>
      </c>
      <c r="Z72" s="4" t="s">
        <v>587</v>
      </c>
      <c r="AA72" s="114" t="s">
        <v>588</v>
      </c>
      <c r="AB72" s="4" t="s">
        <v>506</v>
      </c>
      <c r="AC72" s="4" t="s">
        <v>507</v>
      </c>
      <c r="AD72" s="4" t="s">
        <v>508</v>
      </c>
      <c r="AE72" s="4" t="s">
        <v>509</v>
      </c>
      <c r="AF72" s="4" t="s">
        <v>589</v>
      </c>
      <c r="AG72" s="743">
        <v>0</v>
      </c>
      <c r="AI72" s="158"/>
    </row>
    <row r="73" spans="1:35">
      <c r="A73">
        <f t="shared" si="8"/>
        <v>71</v>
      </c>
      <c r="B73" t="s">
        <v>468</v>
      </c>
      <c r="C73" t="s">
        <v>565</v>
      </c>
      <c r="D73" t="s">
        <v>476</v>
      </c>
      <c r="E73" t="s">
        <v>476</v>
      </c>
      <c r="F73" t="s">
        <v>476</v>
      </c>
      <c r="G73" t="s">
        <v>476</v>
      </c>
      <c r="H73" t="s">
        <v>476</v>
      </c>
      <c r="I73" t="s">
        <v>476</v>
      </c>
      <c r="J73" t="s">
        <v>476</v>
      </c>
      <c r="K73" t="s">
        <v>476</v>
      </c>
      <c r="L73" t="s">
        <v>476</v>
      </c>
      <c r="M73" t="s">
        <v>476</v>
      </c>
      <c r="N73" t="s">
        <v>476</v>
      </c>
      <c r="O73" t="s">
        <v>476</v>
      </c>
      <c r="W73" s="4" t="s">
        <v>3405</v>
      </c>
      <c r="X73" s="4" t="s">
        <v>3367</v>
      </c>
      <c r="Y73" s="151" t="str">
        <f t="shared" si="7"/>
        <v>E5080</v>
      </c>
      <c r="Z73" s="4" t="s">
        <v>587</v>
      </c>
      <c r="AA73" s="114" t="s">
        <v>588</v>
      </c>
      <c r="AB73" s="4" t="s">
        <v>506</v>
      </c>
      <c r="AC73" s="4" t="s">
        <v>507</v>
      </c>
      <c r="AD73" s="4" t="s">
        <v>508</v>
      </c>
      <c r="AE73" s="4" t="s">
        <v>509</v>
      </c>
      <c r="AF73" s="4" t="s">
        <v>589</v>
      </c>
      <c r="AG73" s="743">
        <v>0</v>
      </c>
      <c r="AI73" s="158"/>
    </row>
    <row r="74" spans="1:35">
      <c r="A74">
        <f t="shared" si="8"/>
        <v>72</v>
      </c>
      <c r="B74" t="s">
        <v>826</v>
      </c>
      <c r="C74" t="s">
        <v>839</v>
      </c>
      <c r="D74">
        <v>5.8690999999999915</v>
      </c>
      <c r="E74">
        <v>4.8990999999999927</v>
      </c>
      <c r="F74">
        <v>17.119099999999992</v>
      </c>
      <c r="G74">
        <v>31.5091</v>
      </c>
      <c r="H74">
        <v>40.829099999999997</v>
      </c>
      <c r="I74">
        <v>35.679099999999991</v>
      </c>
      <c r="J74">
        <v>33.619099999999996</v>
      </c>
      <c r="K74">
        <v>37.339099999999995</v>
      </c>
      <c r="L74">
        <v>39.459099999999992</v>
      </c>
      <c r="M74">
        <v>40.259099999999997</v>
      </c>
      <c r="N74">
        <v>23.391419299999999</v>
      </c>
      <c r="O74">
        <v>11.961419299999992</v>
      </c>
      <c r="W74" s="4" t="s">
        <v>3405</v>
      </c>
      <c r="X74" s="3" t="s">
        <v>3356</v>
      </c>
      <c r="Y74" s="150" t="str">
        <f>INDEX($B$3:$O$110,9,1)</f>
        <v>E5090</v>
      </c>
      <c r="Z74" s="4" t="s">
        <v>587</v>
      </c>
      <c r="AA74" s="114" t="s">
        <v>588</v>
      </c>
      <c r="AB74" s="4" t="s">
        <v>506</v>
      </c>
      <c r="AC74" s="4" t="s">
        <v>507</v>
      </c>
      <c r="AD74" s="4" t="s">
        <v>508</v>
      </c>
      <c r="AE74" s="4" t="s">
        <v>509</v>
      </c>
      <c r="AF74" s="4" t="s">
        <v>589</v>
      </c>
      <c r="AG74" s="743">
        <v>0</v>
      </c>
      <c r="AI74" s="158"/>
    </row>
    <row r="75" spans="1:35">
      <c r="A75">
        <f t="shared" si="8"/>
        <v>73</v>
      </c>
      <c r="B75" t="s">
        <v>826</v>
      </c>
      <c r="C75" t="s">
        <v>840</v>
      </c>
      <c r="D75">
        <v>5.8690999999999915</v>
      </c>
      <c r="E75">
        <v>4.8990999999999927</v>
      </c>
      <c r="F75">
        <v>17.119099999999992</v>
      </c>
      <c r="G75">
        <v>31.5091</v>
      </c>
      <c r="H75">
        <v>40.829099999999997</v>
      </c>
      <c r="I75">
        <v>35.679099999999991</v>
      </c>
      <c r="J75">
        <v>33.619099999999996</v>
      </c>
      <c r="K75">
        <v>37.339099999999995</v>
      </c>
      <c r="L75">
        <v>39.459099999999992</v>
      </c>
      <c r="M75">
        <v>40.259099999999997</v>
      </c>
      <c r="N75">
        <v>23.391419299999999</v>
      </c>
      <c r="O75">
        <v>11.961419299999992</v>
      </c>
      <c r="W75" s="4" t="s">
        <v>3405</v>
      </c>
      <c r="X75" s="4" t="s">
        <v>3357</v>
      </c>
      <c r="Y75" s="151" t="str">
        <f>Y74</f>
        <v>E5090</v>
      </c>
      <c r="Z75" s="4" t="s">
        <v>587</v>
      </c>
      <c r="AA75" s="114" t="s">
        <v>588</v>
      </c>
      <c r="AB75" s="4" t="s">
        <v>506</v>
      </c>
      <c r="AC75" s="4" t="s">
        <v>507</v>
      </c>
      <c r="AD75" s="4" t="s">
        <v>508</v>
      </c>
      <c r="AE75" s="4" t="s">
        <v>509</v>
      </c>
      <c r="AF75" s="4" t="s">
        <v>589</v>
      </c>
      <c r="AG75" s="743">
        <v>0</v>
      </c>
      <c r="AI75" s="158"/>
    </row>
    <row r="76" spans="1:35">
      <c r="A76">
        <f t="shared" si="8"/>
        <v>74</v>
      </c>
      <c r="B76" t="s">
        <v>824</v>
      </c>
      <c r="C76" t="s">
        <v>837</v>
      </c>
      <c r="D76">
        <v>4.2629899999999905</v>
      </c>
      <c r="E76">
        <v>3.2929899999999916</v>
      </c>
      <c r="F76">
        <v>15.512989999999991</v>
      </c>
      <c r="G76">
        <v>29.902989999999999</v>
      </c>
      <c r="H76">
        <v>39.222989999999996</v>
      </c>
      <c r="I76">
        <v>34.07298999999999</v>
      </c>
      <c r="J76">
        <v>32.012989999999995</v>
      </c>
      <c r="K76">
        <v>35.732989999999994</v>
      </c>
      <c r="L76">
        <v>37.852989999999991</v>
      </c>
      <c r="M76">
        <v>38.652989999999996</v>
      </c>
      <c r="N76">
        <v>21.748368770000003</v>
      </c>
      <c r="O76">
        <v>10.318368769999996</v>
      </c>
      <c r="W76" s="4" t="s">
        <v>3405</v>
      </c>
      <c r="X76" s="4" t="s">
        <v>3358</v>
      </c>
      <c r="Y76" s="151" t="str">
        <f t="shared" ref="Y76:Y85" si="9">Y75</f>
        <v>E5090</v>
      </c>
      <c r="Z76" s="4" t="s">
        <v>587</v>
      </c>
      <c r="AA76" s="114" t="s">
        <v>588</v>
      </c>
      <c r="AB76" s="4" t="s">
        <v>506</v>
      </c>
      <c r="AC76" s="4" t="s">
        <v>507</v>
      </c>
      <c r="AD76" s="4" t="s">
        <v>508</v>
      </c>
      <c r="AE76" s="4" t="s">
        <v>509</v>
      </c>
      <c r="AF76" s="4" t="s">
        <v>589</v>
      </c>
      <c r="AG76" s="743">
        <v>0</v>
      </c>
      <c r="AI76" s="158"/>
    </row>
    <row r="77" spans="1:35">
      <c r="A77">
        <f t="shared" si="8"/>
        <v>75</v>
      </c>
      <c r="B77" t="s">
        <v>824</v>
      </c>
      <c r="C77" t="s">
        <v>838</v>
      </c>
      <c r="D77">
        <v>4.2629899999999905</v>
      </c>
      <c r="E77">
        <v>3.2929899999999916</v>
      </c>
      <c r="F77">
        <v>15.512989999999991</v>
      </c>
      <c r="G77">
        <v>29.902989999999999</v>
      </c>
      <c r="H77">
        <v>39.222989999999996</v>
      </c>
      <c r="I77">
        <v>34.07298999999999</v>
      </c>
      <c r="J77">
        <v>32.012989999999995</v>
      </c>
      <c r="K77">
        <v>35.732989999999994</v>
      </c>
      <c r="L77">
        <v>37.852989999999991</v>
      </c>
      <c r="M77">
        <v>38.652989999999996</v>
      </c>
      <c r="N77">
        <v>21.748368770000003</v>
      </c>
      <c r="O77">
        <v>10.318368769999996</v>
      </c>
      <c r="W77" s="4" t="s">
        <v>3405</v>
      </c>
      <c r="X77" s="4" t="s">
        <v>3359</v>
      </c>
      <c r="Y77" s="151" t="str">
        <f t="shared" si="9"/>
        <v>E5090</v>
      </c>
      <c r="Z77" s="4" t="s">
        <v>587</v>
      </c>
      <c r="AA77" s="114" t="s">
        <v>588</v>
      </c>
      <c r="AB77" s="4" t="s">
        <v>506</v>
      </c>
      <c r="AC77" s="4" t="s">
        <v>507</v>
      </c>
      <c r="AD77" s="4" t="s">
        <v>508</v>
      </c>
      <c r="AE77" s="4" t="s">
        <v>509</v>
      </c>
      <c r="AF77" s="4" t="s">
        <v>589</v>
      </c>
      <c r="AG77" s="743">
        <v>0</v>
      </c>
      <c r="AI77" s="158"/>
    </row>
    <row r="78" spans="1:35">
      <c r="A78">
        <f t="shared" si="8"/>
        <v>76</v>
      </c>
      <c r="B78" t="s">
        <v>474</v>
      </c>
      <c r="C78" t="s">
        <v>566</v>
      </c>
      <c r="D78">
        <v>5.8690999999999915</v>
      </c>
      <c r="E78">
        <v>4.8990999999999927</v>
      </c>
      <c r="F78">
        <v>17.119099999999992</v>
      </c>
      <c r="G78">
        <v>31.5091</v>
      </c>
      <c r="H78">
        <v>40.829099999999997</v>
      </c>
      <c r="I78">
        <v>35.679099999999991</v>
      </c>
      <c r="J78">
        <v>33.619099999999996</v>
      </c>
      <c r="K78">
        <v>37.339099999999995</v>
      </c>
      <c r="L78">
        <v>39.459099999999992</v>
      </c>
      <c r="M78">
        <v>40.259099999999997</v>
      </c>
      <c r="N78">
        <v>23.391419299999999</v>
      </c>
      <c r="O78">
        <v>11.961419299999992</v>
      </c>
      <c r="W78" s="4" t="s">
        <v>3405</v>
      </c>
      <c r="X78" s="4" t="s">
        <v>3360</v>
      </c>
      <c r="Y78" s="151" t="str">
        <f t="shared" si="9"/>
        <v>E5090</v>
      </c>
      <c r="Z78" s="4" t="s">
        <v>587</v>
      </c>
      <c r="AA78" s="114" t="s">
        <v>588</v>
      </c>
      <c r="AB78" s="4" t="s">
        <v>506</v>
      </c>
      <c r="AC78" s="4" t="s">
        <v>507</v>
      </c>
      <c r="AD78" s="4" t="s">
        <v>508</v>
      </c>
      <c r="AE78" s="4" t="s">
        <v>509</v>
      </c>
      <c r="AF78" s="4" t="s">
        <v>589</v>
      </c>
      <c r="AG78" s="743">
        <v>0</v>
      </c>
      <c r="AI78" s="158"/>
    </row>
    <row r="79" spans="1:35">
      <c r="A79">
        <f t="shared" si="8"/>
        <v>77</v>
      </c>
      <c r="B79" t="s">
        <v>481</v>
      </c>
      <c r="C79" t="s">
        <v>568</v>
      </c>
      <c r="D79" t="s">
        <v>476</v>
      </c>
      <c r="E79" t="s">
        <v>476</v>
      </c>
      <c r="F79" t="s">
        <v>476</v>
      </c>
      <c r="G79" t="s">
        <v>476</v>
      </c>
      <c r="H79" t="s">
        <v>476</v>
      </c>
      <c r="I79" t="s">
        <v>476</v>
      </c>
      <c r="J79" t="s">
        <v>476</v>
      </c>
      <c r="K79" t="s">
        <v>476</v>
      </c>
      <c r="L79" t="s">
        <v>476</v>
      </c>
      <c r="M79" t="s">
        <v>476</v>
      </c>
      <c r="N79" t="s">
        <v>476</v>
      </c>
      <c r="O79" t="s">
        <v>476</v>
      </c>
      <c r="W79" s="4" t="s">
        <v>3405</v>
      </c>
      <c r="X79" s="4" t="s">
        <v>3361</v>
      </c>
      <c r="Y79" s="151" t="str">
        <f t="shared" si="9"/>
        <v>E5090</v>
      </c>
      <c r="Z79" s="4" t="s">
        <v>587</v>
      </c>
      <c r="AA79" s="114" t="s">
        <v>588</v>
      </c>
      <c r="AB79" s="4" t="s">
        <v>506</v>
      </c>
      <c r="AC79" s="4" t="s">
        <v>507</v>
      </c>
      <c r="AD79" s="4" t="s">
        <v>508</v>
      </c>
      <c r="AE79" s="4" t="s">
        <v>509</v>
      </c>
      <c r="AF79" s="4" t="s">
        <v>589</v>
      </c>
      <c r="AG79" s="743">
        <v>0</v>
      </c>
      <c r="AI79" s="158"/>
    </row>
    <row r="80" spans="1:35">
      <c r="A80">
        <f t="shared" si="8"/>
        <v>78</v>
      </c>
      <c r="B80" t="s">
        <v>481</v>
      </c>
      <c r="C80" t="s">
        <v>567</v>
      </c>
      <c r="D80" t="s">
        <v>476</v>
      </c>
      <c r="E80" t="s">
        <v>476</v>
      </c>
      <c r="F80" t="s">
        <v>476</v>
      </c>
      <c r="G80" t="s">
        <v>476</v>
      </c>
      <c r="H80" t="s">
        <v>476</v>
      </c>
      <c r="I80" t="s">
        <v>476</v>
      </c>
      <c r="J80" t="s">
        <v>476</v>
      </c>
      <c r="K80" t="s">
        <v>476</v>
      </c>
      <c r="L80" t="s">
        <v>476</v>
      </c>
      <c r="M80" t="s">
        <v>476</v>
      </c>
      <c r="N80" t="s">
        <v>476</v>
      </c>
      <c r="O80" t="s">
        <v>476</v>
      </c>
      <c r="W80" s="4" t="s">
        <v>3405</v>
      </c>
      <c r="X80" s="4" t="s">
        <v>3362</v>
      </c>
      <c r="Y80" s="151" t="str">
        <f t="shared" si="9"/>
        <v>E5090</v>
      </c>
      <c r="Z80" s="4" t="s">
        <v>587</v>
      </c>
      <c r="AA80" s="114" t="s">
        <v>588</v>
      </c>
      <c r="AB80" s="4" t="s">
        <v>506</v>
      </c>
      <c r="AC80" s="4" t="s">
        <v>507</v>
      </c>
      <c r="AD80" s="4" t="s">
        <v>508</v>
      </c>
      <c r="AE80" s="4" t="s">
        <v>509</v>
      </c>
      <c r="AF80" s="4" t="s">
        <v>589</v>
      </c>
      <c r="AG80" s="743">
        <v>0</v>
      </c>
      <c r="AI80" s="158"/>
    </row>
    <row r="81" spans="1:35">
      <c r="A81">
        <f t="shared" si="8"/>
        <v>79</v>
      </c>
      <c r="B81" t="s">
        <v>1808</v>
      </c>
      <c r="C81" t="s">
        <v>3162</v>
      </c>
      <c r="D81">
        <v>-12.61</v>
      </c>
      <c r="E81">
        <v>-13.579999999999998</v>
      </c>
      <c r="F81">
        <v>-1.3599999999999994</v>
      </c>
      <c r="G81">
        <v>13.030000000000008</v>
      </c>
      <c r="H81">
        <v>22.350000000000009</v>
      </c>
      <c r="I81">
        <v>17.200000000000003</v>
      </c>
      <c r="J81">
        <v>15.140000000000008</v>
      </c>
      <c r="K81">
        <v>20.421700000000008</v>
      </c>
      <c r="L81">
        <v>22.541700000000006</v>
      </c>
      <c r="M81">
        <v>23.34170000000001</v>
      </c>
      <c r="N81">
        <v>4.551700000000011</v>
      </c>
      <c r="O81">
        <v>-6.8782999999999959</v>
      </c>
      <c r="W81" s="4" t="s">
        <v>3405</v>
      </c>
      <c r="X81" s="4" t="s">
        <v>3363</v>
      </c>
      <c r="Y81" s="151" t="str">
        <f t="shared" si="9"/>
        <v>E5090</v>
      </c>
      <c r="Z81" s="4" t="s">
        <v>587</v>
      </c>
      <c r="AA81" s="114" t="s">
        <v>588</v>
      </c>
      <c r="AB81" s="4" t="s">
        <v>506</v>
      </c>
      <c r="AC81" s="4" t="s">
        <v>507</v>
      </c>
      <c r="AD81" s="4" t="s">
        <v>508</v>
      </c>
      <c r="AE81" s="4" t="s">
        <v>509</v>
      </c>
      <c r="AF81" s="4" t="s">
        <v>589</v>
      </c>
      <c r="AG81" s="743">
        <v>0</v>
      </c>
      <c r="AI81" s="158"/>
    </row>
    <row r="82" spans="1:35">
      <c r="A82">
        <f t="shared" si="8"/>
        <v>80</v>
      </c>
      <c r="B82" t="s">
        <v>1813</v>
      </c>
      <c r="C82" t="s">
        <v>3395</v>
      </c>
      <c r="D82">
        <v>-4.0539999999999994</v>
      </c>
      <c r="E82">
        <v>-5.0239999999999982</v>
      </c>
      <c r="F82">
        <v>7.1960000000000006</v>
      </c>
      <c r="G82">
        <v>21.586000000000009</v>
      </c>
      <c r="H82">
        <v>30.906000000000009</v>
      </c>
      <c r="I82">
        <v>25.756000000000004</v>
      </c>
      <c r="J82">
        <v>23.696000000000009</v>
      </c>
      <c r="K82">
        <v>27.416000000000007</v>
      </c>
      <c r="L82">
        <v>29.536000000000005</v>
      </c>
      <c r="M82">
        <v>30.336000000000009</v>
      </c>
      <c r="N82">
        <v>11.54600000000001</v>
      </c>
      <c r="O82">
        <v>0.11600000000000232</v>
      </c>
      <c r="W82" s="4" t="s">
        <v>3405</v>
      </c>
      <c r="X82" s="4" t="s">
        <v>3364</v>
      </c>
      <c r="Y82" s="151" t="str">
        <f t="shared" si="9"/>
        <v>E5090</v>
      </c>
      <c r="Z82" s="4" t="s">
        <v>587</v>
      </c>
      <c r="AA82" s="114" t="s">
        <v>588</v>
      </c>
      <c r="AB82" s="4" t="s">
        <v>506</v>
      </c>
      <c r="AC82" s="4" t="s">
        <v>507</v>
      </c>
      <c r="AD82" s="4" t="s">
        <v>508</v>
      </c>
      <c r="AE82" s="4" t="s">
        <v>509</v>
      </c>
      <c r="AF82" s="4" t="s">
        <v>589</v>
      </c>
      <c r="AG82" s="743">
        <v>0</v>
      </c>
      <c r="AI82" s="158"/>
    </row>
    <row r="83" spans="1:35">
      <c r="A83">
        <f t="shared" si="8"/>
        <v>81</v>
      </c>
      <c r="B83" t="s">
        <v>1833</v>
      </c>
      <c r="C83" t="s">
        <v>3030</v>
      </c>
      <c r="D83">
        <v>-14.1173</v>
      </c>
      <c r="E83">
        <v>-15.087299999999999</v>
      </c>
      <c r="F83">
        <v>-2.8673000000000002</v>
      </c>
      <c r="G83">
        <v>11.522700000000007</v>
      </c>
      <c r="H83">
        <v>20.842700000000008</v>
      </c>
      <c r="I83">
        <v>15.692700000000002</v>
      </c>
      <c r="J83">
        <v>13.632700000000007</v>
      </c>
      <c r="K83">
        <v>17.352700000000006</v>
      </c>
      <c r="L83">
        <v>19.472700000000003</v>
      </c>
      <c r="M83">
        <v>20.272700000000007</v>
      </c>
      <c r="N83">
        <v>1.4827000000000083</v>
      </c>
      <c r="O83">
        <v>-8.4202678999999989</v>
      </c>
      <c r="W83" s="4" t="s">
        <v>3405</v>
      </c>
      <c r="X83" s="4" t="s">
        <v>3365</v>
      </c>
      <c r="Y83" s="151" t="str">
        <f t="shared" si="9"/>
        <v>E5090</v>
      </c>
      <c r="Z83" s="4" t="s">
        <v>587</v>
      </c>
      <c r="AA83" s="114" t="s">
        <v>588</v>
      </c>
      <c r="AB83" s="4" t="s">
        <v>506</v>
      </c>
      <c r="AC83" s="4" t="s">
        <v>507</v>
      </c>
      <c r="AD83" s="4" t="s">
        <v>508</v>
      </c>
      <c r="AE83" s="4" t="s">
        <v>509</v>
      </c>
      <c r="AF83" s="4" t="s">
        <v>589</v>
      </c>
      <c r="AG83" s="743">
        <v>0</v>
      </c>
      <c r="AI83" s="158"/>
    </row>
    <row r="84" spans="1:35">
      <c r="A84">
        <f t="shared" si="8"/>
        <v>82</v>
      </c>
      <c r="B84" t="s">
        <v>1858</v>
      </c>
      <c r="C84" t="s">
        <v>3029</v>
      </c>
      <c r="D84">
        <v>-5.9844500000000096</v>
      </c>
      <c r="E84">
        <v>-6.9544500000000085</v>
      </c>
      <c r="F84">
        <v>5.2655499999999904</v>
      </c>
      <c r="G84">
        <v>19.655549999999998</v>
      </c>
      <c r="H84">
        <v>28.975549999999998</v>
      </c>
      <c r="I84">
        <v>23.825549999999993</v>
      </c>
      <c r="J84">
        <v>21.765549999999998</v>
      </c>
      <c r="K84">
        <v>25.485549999999996</v>
      </c>
      <c r="L84">
        <v>27.605549999999994</v>
      </c>
      <c r="M84">
        <v>28.405549999999998</v>
      </c>
      <c r="N84">
        <v>9.6155499999999989</v>
      </c>
      <c r="O84">
        <v>-0.1003623500000117</v>
      </c>
      <c r="W84" s="4" t="s">
        <v>3405</v>
      </c>
      <c r="X84" s="4" t="s">
        <v>3366</v>
      </c>
      <c r="Y84" s="151" t="str">
        <f t="shared" si="9"/>
        <v>E5090</v>
      </c>
      <c r="Z84" s="4" t="s">
        <v>587</v>
      </c>
      <c r="AA84" s="114" t="s">
        <v>588</v>
      </c>
      <c r="AB84" s="4" t="s">
        <v>506</v>
      </c>
      <c r="AC84" s="4" t="s">
        <v>507</v>
      </c>
      <c r="AD84" s="4" t="s">
        <v>508</v>
      </c>
      <c r="AE84" s="4" t="s">
        <v>509</v>
      </c>
      <c r="AF84" s="4" t="s">
        <v>589</v>
      </c>
      <c r="AG84" s="743">
        <v>0</v>
      </c>
      <c r="AI84" s="158"/>
    </row>
    <row r="85" spans="1:35">
      <c r="A85">
        <f t="shared" si="8"/>
        <v>83</v>
      </c>
      <c r="B85" t="s">
        <v>2269</v>
      </c>
      <c r="C85" t="s">
        <v>3151</v>
      </c>
      <c r="D85">
        <v>-6.6999999999999957</v>
      </c>
      <c r="E85">
        <v>-11.559999999999995</v>
      </c>
      <c r="F85">
        <v>-4.740000000000002</v>
      </c>
      <c r="G85">
        <v>6.8999999999999986</v>
      </c>
      <c r="H85">
        <v>14.269999999999996</v>
      </c>
      <c r="I85">
        <v>10.399999999999999</v>
      </c>
      <c r="J85">
        <v>9.5300000000000011</v>
      </c>
      <c r="K85">
        <v>14.670000000000002</v>
      </c>
      <c r="L85">
        <v>16.850000000000001</v>
      </c>
      <c r="M85">
        <v>16.299999999999997</v>
      </c>
      <c r="N85">
        <v>6.3999999999999986</v>
      </c>
      <c r="O85">
        <v>-0.17000000000000171</v>
      </c>
      <c r="W85" s="4" t="s">
        <v>3405</v>
      </c>
      <c r="X85" s="4" t="s">
        <v>3367</v>
      </c>
      <c r="Y85" s="151" t="str">
        <f t="shared" si="9"/>
        <v>E5090</v>
      </c>
      <c r="Z85" s="4" t="s">
        <v>587</v>
      </c>
      <c r="AA85" s="114" t="s">
        <v>588</v>
      </c>
      <c r="AB85" s="4" t="s">
        <v>506</v>
      </c>
      <c r="AC85" s="4" t="s">
        <v>507</v>
      </c>
      <c r="AD85" s="4" t="s">
        <v>508</v>
      </c>
      <c r="AE85" s="4" t="s">
        <v>509</v>
      </c>
      <c r="AF85" s="4" t="s">
        <v>589</v>
      </c>
      <c r="AG85" s="743">
        <v>0</v>
      </c>
      <c r="AI85" s="158"/>
    </row>
    <row r="86" spans="1:35">
      <c r="A86">
        <f t="shared" si="8"/>
        <v>84</v>
      </c>
      <c r="B86" t="s">
        <v>378</v>
      </c>
      <c r="C86" t="s">
        <v>490</v>
      </c>
      <c r="D86" t="s">
        <v>476</v>
      </c>
      <c r="E86" t="s">
        <v>476</v>
      </c>
      <c r="F86" t="s">
        <v>476</v>
      </c>
      <c r="G86" t="s">
        <v>476</v>
      </c>
      <c r="H86" t="s">
        <v>476</v>
      </c>
      <c r="I86" t="s">
        <v>476</v>
      </c>
      <c r="J86" t="s">
        <v>476</v>
      </c>
      <c r="K86" t="s">
        <v>476</v>
      </c>
      <c r="L86" t="s">
        <v>476</v>
      </c>
      <c r="M86" t="s">
        <v>476</v>
      </c>
      <c r="N86" t="s">
        <v>476</v>
      </c>
      <c r="O86" t="s">
        <v>476</v>
      </c>
      <c r="W86" s="4" t="s">
        <v>3405</v>
      </c>
      <c r="X86" s="3" t="s">
        <v>3356</v>
      </c>
      <c r="Y86" s="150" t="str">
        <f>INDEX($B$3:$O$110,10,1)</f>
        <v>E5100</v>
      </c>
      <c r="Z86" s="4" t="s">
        <v>587</v>
      </c>
      <c r="AA86" s="114" t="s">
        <v>588</v>
      </c>
      <c r="AB86" s="4" t="s">
        <v>506</v>
      </c>
      <c r="AC86" s="4" t="s">
        <v>507</v>
      </c>
      <c r="AD86" s="4" t="s">
        <v>508</v>
      </c>
      <c r="AE86" s="4" t="s">
        <v>509</v>
      </c>
      <c r="AF86" s="4" t="s">
        <v>589</v>
      </c>
      <c r="AG86" s="743">
        <v>0</v>
      </c>
      <c r="AI86" s="158"/>
    </row>
    <row r="87" spans="1:35">
      <c r="A87">
        <f t="shared" si="8"/>
        <v>85</v>
      </c>
      <c r="B87" t="s">
        <v>373</v>
      </c>
      <c r="C87" t="s">
        <v>491</v>
      </c>
      <c r="D87" t="s">
        <v>476</v>
      </c>
      <c r="E87" t="s">
        <v>476</v>
      </c>
      <c r="F87" t="s">
        <v>476</v>
      </c>
      <c r="G87" t="s">
        <v>476</v>
      </c>
      <c r="H87" t="s">
        <v>476</v>
      </c>
      <c r="I87" t="s">
        <v>476</v>
      </c>
      <c r="J87" t="s">
        <v>476</v>
      </c>
      <c r="K87" t="s">
        <v>476</v>
      </c>
      <c r="L87" t="s">
        <v>476</v>
      </c>
      <c r="M87" t="s">
        <v>476</v>
      </c>
      <c r="N87" t="s">
        <v>476</v>
      </c>
      <c r="O87" t="s">
        <v>476</v>
      </c>
      <c r="W87" s="4" t="s">
        <v>3405</v>
      </c>
      <c r="X87" s="4" t="s">
        <v>3357</v>
      </c>
      <c r="Y87" s="151" t="str">
        <f>Y86</f>
        <v>E5100</v>
      </c>
      <c r="Z87" s="4" t="s">
        <v>587</v>
      </c>
      <c r="AA87" s="114" t="s">
        <v>588</v>
      </c>
      <c r="AB87" s="4" t="s">
        <v>506</v>
      </c>
      <c r="AC87" s="4" t="s">
        <v>507</v>
      </c>
      <c r="AD87" s="4" t="s">
        <v>508</v>
      </c>
      <c r="AE87" s="4" t="s">
        <v>509</v>
      </c>
      <c r="AF87" s="4" t="s">
        <v>589</v>
      </c>
      <c r="AG87" s="743">
        <v>0</v>
      </c>
      <c r="AI87" s="158"/>
    </row>
    <row r="88" spans="1:35">
      <c r="A88">
        <f t="shared" si="8"/>
        <v>86</v>
      </c>
      <c r="B88" t="s">
        <v>381</v>
      </c>
      <c r="C88" t="s">
        <v>496</v>
      </c>
      <c r="D88" t="s">
        <v>476</v>
      </c>
      <c r="E88" t="s">
        <v>476</v>
      </c>
      <c r="F88" t="s">
        <v>476</v>
      </c>
      <c r="G88" t="s">
        <v>476</v>
      </c>
      <c r="H88" t="s">
        <v>476</v>
      </c>
      <c r="I88" t="s">
        <v>476</v>
      </c>
      <c r="J88" t="s">
        <v>476</v>
      </c>
      <c r="K88" t="s">
        <v>476</v>
      </c>
      <c r="L88" t="s">
        <v>476</v>
      </c>
      <c r="M88" t="s">
        <v>476</v>
      </c>
      <c r="N88" t="s">
        <v>476</v>
      </c>
      <c r="O88" t="s">
        <v>476</v>
      </c>
      <c r="W88" s="4" t="s">
        <v>3405</v>
      </c>
      <c r="X88" s="4" t="s">
        <v>3358</v>
      </c>
      <c r="Y88" s="151" t="str">
        <f t="shared" ref="Y88:Y97" si="10">Y87</f>
        <v>E5100</v>
      </c>
      <c r="Z88" s="4" t="s">
        <v>587</v>
      </c>
      <c r="AA88" s="114" t="s">
        <v>588</v>
      </c>
      <c r="AB88" s="4" t="s">
        <v>506</v>
      </c>
      <c r="AC88" s="4" t="s">
        <v>507</v>
      </c>
      <c r="AD88" s="4" t="s">
        <v>508</v>
      </c>
      <c r="AE88" s="4" t="s">
        <v>509</v>
      </c>
      <c r="AF88" s="4" t="s">
        <v>589</v>
      </c>
      <c r="AG88" s="743">
        <v>0</v>
      </c>
      <c r="AI88" s="158"/>
    </row>
    <row r="89" spans="1:35">
      <c r="A89">
        <f t="shared" si="8"/>
        <v>87</v>
      </c>
      <c r="B89" t="s">
        <v>376</v>
      </c>
      <c r="C89" t="s">
        <v>485</v>
      </c>
      <c r="D89" t="s">
        <v>476</v>
      </c>
      <c r="E89" t="s">
        <v>476</v>
      </c>
      <c r="F89" t="s">
        <v>476</v>
      </c>
      <c r="G89" t="s">
        <v>476</v>
      </c>
      <c r="H89" t="s">
        <v>476</v>
      </c>
      <c r="I89" t="s">
        <v>476</v>
      </c>
      <c r="J89" t="s">
        <v>476</v>
      </c>
      <c r="K89" t="s">
        <v>476</v>
      </c>
      <c r="L89" t="s">
        <v>476</v>
      </c>
      <c r="M89" t="s">
        <v>476</v>
      </c>
      <c r="N89" t="s">
        <v>476</v>
      </c>
      <c r="O89" t="s">
        <v>476</v>
      </c>
      <c r="W89" s="4" t="s">
        <v>3405</v>
      </c>
      <c r="X89" s="4" t="s">
        <v>3359</v>
      </c>
      <c r="Y89" s="151" t="str">
        <f t="shared" si="10"/>
        <v>E5100</v>
      </c>
      <c r="Z89" s="4" t="s">
        <v>587</v>
      </c>
      <c r="AA89" s="114" t="s">
        <v>588</v>
      </c>
      <c r="AB89" s="4" t="s">
        <v>506</v>
      </c>
      <c r="AC89" s="4" t="s">
        <v>507</v>
      </c>
      <c r="AD89" s="4" t="s">
        <v>508</v>
      </c>
      <c r="AE89" s="4" t="s">
        <v>509</v>
      </c>
      <c r="AF89" s="4" t="s">
        <v>589</v>
      </c>
      <c r="AG89" s="743">
        <v>0</v>
      </c>
      <c r="AI89" s="158"/>
    </row>
    <row r="90" spans="1:35">
      <c r="A90">
        <f t="shared" si="8"/>
        <v>88</v>
      </c>
      <c r="B90" t="s">
        <v>377</v>
      </c>
      <c r="C90" t="s">
        <v>493</v>
      </c>
      <c r="D90" t="s">
        <v>476</v>
      </c>
      <c r="E90" t="s">
        <v>476</v>
      </c>
      <c r="F90" t="s">
        <v>476</v>
      </c>
      <c r="G90" t="s">
        <v>476</v>
      </c>
      <c r="H90" t="s">
        <v>476</v>
      </c>
      <c r="I90" t="s">
        <v>476</v>
      </c>
      <c r="J90" t="s">
        <v>476</v>
      </c>
      <c r="K90" t="s">
        <v>476</v>
      </c>
      <c r="L90" t="s">
        <v>476</v>
      </c>
      <c r="M90" t="s">
        <v>476</v>
      </c>
      <c r="N90" t="s">
        <v>476</v>
      </c>
      <c r="O90" t="s">
        <v>476</v>
      </c>
      <c r="W90" s="4" t="s">
        <v>3405</v>
      </c>
      <c r="X90" s="4" t="s">
        <v>3360</v>
      </c>
      <c r="Y90" s="151" t="str">
        <f t="shared" si="10"/>
        <v>E5100</v>
      </c>
      <c r="Z90" s="4" t="s">
        <v>587</v>
      </c>
      <c r="AA90" s="114" t="s">
        <v>588</v>
      </c>
      <c r="AB90" s="4" t="s">
        <v>506</v>
      </c>
      <c r="AC90" s="4" t="s">
        <v>507</v>
      </c>
      <c r="AD90" s="4" t="s">
        <v>508</v>
      </c>
      <c r="AE90" s="4" t="s">
        <v>509</v>
      </c>
      <c r="AF90" s="4" t="s">
        <v>589</v>
      </c>
      <c r="AG90" s="743">
        <v>0</v>
      </c>
      <c r="AI90" s="158"/>
    </row>
    <row r="91" spans="1:35">
      <c r="A91">
        <f t="shared" si="8"/>
        <v>89</v>
      </c>
      <c r="B91" t="s">
        <v>379</v>
      </c>
      <c r="C91" t="s">
        <v>494</v>
      </c>
      <c r="D91" t="s">
        <v>476</v>
      </c>
      <c r="E91" t="s">
        <v>476</v>
      </c>
      <c r="F91" t="s">
        <v>476</v>
      </c>
      <c r="G91" t="s">
        <v>476</v>
      </c>
      <c r="H91" t="s">
        <v>476</v>
      </c>
      <c r="I91" t="s">
        <v>476</v>
      </c>
      <c r="J91" t="s">
        <v>476</v>
      </c>
      <c r="K91" t="s">
        <v>476</v>
      </c>
      <c r="L91" t="s">
        <v>476</v>
      </c>
      <c r="M91" t="s">
        <v>476</v>
      </c>
      <c r="N91" t="s">
        <v>476</v>
      </c>
      <c r="O91" t="s">
        <v>476</v>
      </c>
      <c r="W91" s="4" t="s">
        <v>3405</v>
      </c>
      <c r="X91" s="4" t="s">
        <v>3361</v>
      </c>
      <c r="Y91" s="151" t="str">
        <f t="shared" si="10"/>
        <v>E5100</v>
      </c>
      <c r="Z91" s="4" t="s">
        <v>587</v>
      </c>
      <c r="AA91" s="114" t="s">
        <v>588</v>
      </c>
      <c r="AB91" s="4" t="s">
        <v>506</v>
      </c>
      <c r="AC91" s="4" t="s">
        <v>507</v>
      </c>
      <c r="AD91" s="4" t="s">
        <v>508</v>
      </c>
      <c r="AE91" s="4" t="s">
        <v>509</v>
      </c>
      <c r="AF91" s="4" t="s">
        <v>589</v>
      </c>
      <c r="AG91" s="743">
        <v>0</v>
      </c>
      <c r="AI91" s="158"/>
    </row>
    <row r="92" spans="1:35">
      <c r="A92">
        <f t="shared" si="8"/>
        <v>90</v>
      </c>
      <c r="B92" t="s">
        <v>375</v>
      </c>
      <c r="C92" t="s">
        <v>483</v>
      </c>
      <c r="D92" t="s">
        <v>476</v>
      </c>
      <c r="E92" t="s">
        <v>476</v>
      </c>
      <c r="F92" t="s">
        <v>476</v>
      </c>
      <c r="G92" t="s">
        <v>476</v>
      </c>
      <c r="H92" t="s">
        <v>476</v>
      </c>
      <c r="I92" t="s">
        <v>476</v>
      </c>
      <c r="J92" t="s">
        <v>476</v>
      </c>
      <c r="K92" t="s">
        <v>476</v>
      </c>
      <c r="L92" t="s">
        <v>476</v>
      </c>
      <c r="M92" t="s">
        <v>476</v>
      </c>
      <c r="N92" t="s">
        <v>476</v>
      </c>
      <c r="O92" t="s">
        <v>476</v>
      </c>
      <c r="W92" s="4" t="s">
        <v>3405</v>
      </c>
      <c r="X92" s="4" t="s">
        <v>3362</v>
      </c>
      <c r="Y92" s="151" t="str">
        <f t="shared" si="10"/>
        <v>E5100</v>
      </c>
      <c r="Z92" s="4" t="s">
        <v>587</v>
      </c>
      <c r="AA92" s="114" t="s">
        <v>588</v>
      </c>
      <c r="AB92" s="4" t="s">
        <v>506</v>
      </c>
      <c r="AC92" s="4" t="s">
        <v>507</v>
      </c>
      <c r="AD92" s="4" t="s">
        <v>508</v>
      </c>
      <c r="AE92" s="4" t="s">
        <v>509</v>
      </c>
      <c r="AF92" s="4" t="s">
        <v>589</v>
      </c>
      <c r="AG92" s="743">
        <v>0</v>
      </c>
      <c r="AI92" s="158"/>
    </row>
    <row r="93" spans="1:35">
      <c r="A93">
        <f t="shared" si="8"/>
        <v>91</v>
      </c>
      <c r="B93" t="s">
        <v>380</v>
      </c>
      <c r="C93" t="s">
        <v>484</v>
      </c>
      <c r="D93" t="s">
        <v>476</v>
      </c>
      <c r="E93" t="s">
        <v>476</v>
      </c>
      <c r="F93" t="s">
        <v>476</v>
      </c>
      <c r="G93" t="s">
        <v>476</v>
      </c>
      <c r="H93" t="s">
        <v>476</v>
      </c>
      <c r="I93" t="s">
        <v>476</v>
      </c>
      <c r="J93" t="s">
        <v>476</v>
      </c>
      <c r="K93" t="s">
        <v>476</v>
      </c>
      <c r="L93" t="s">
        <v>476</v>
      </c>
      <c r="M93" t="s">
        <v>476</v>
      </c>
      <c r="N93" t="s">
        <v>476</v>
      </c>
      <c r="O93" t="s">
        <v>476</v>
      </c>
      <c r="W93" s="4" t="s">
        <v>3405</v>
      </c>
      <c r="X93" s="4" t="s">
        <v>3363</v>
      </c>
      <c r="Y93" s="151" t="str">
        <f t="shared" si="10"/>
        <v>E5100</v>
      </c>
      <c r="Z93" s="4" t="s">
        <v>587</v>
      </c>
      <c r="AA93" s="114" t="s">
        <v>588</v>
      </c>
      <c r="AB93" s="4" t="s">
        <v>506</v>
      </c>
      <c r="AC93" s="4" t="s">
        <v>507</v>
      </c>
      <c r="AD93" s="4" t="s">
        <v>508</v>
      </c>
      <c r="AE93" s="4" t="s">
        <v>509</v>
      </c>
      <c r="AF93" s="4" t="s">
        <v>589</v>
      </c>
      <c r="AG93" s="743">
        <v>0</v>
      </c>
      <c r="AI93" s="158"/>
    </row>
    <row r="94" spans="1:35">
      <c r="A94">
        <f t="shared" si="8"/>
        <v>92</v>
      </c>
      <c r="B94" t="s">
        <v>374</v>
      </c>
      <c r="C94" t="s">
        <v>492</v>
      </c>
      <c r="D94" t="s">
        <v>476</v>
      </c>
      <c r="E94" t="s">
        <v>476</v>
      </c>
      <c r="F94" t="s">
        <v>476</v>
      </c>
      <c r="G94" t="s">
        <v>476</v>
      </c>
      <c r="H94" t="s">
        <v>476</v>
      </c>
      <c r="I94" t="s">
        <v>476</v>
      </c>
      <c r="J94" t="s">
        <v>476</v>
      </c>
      <c r="K94" t="s">
        <v>476</v>
      </c>
      <c r="L94" t="s">
        <v>476</v>
      </c>
      <c r="M94" t="s">
        <v>476</v>
      </c>
      <c r="N94" t="s">
        <v>476</v>
      </c>
      <c r="O94" t="s">
        <v>476</v>
      </c>
      <c r="W94" s="4" t="s">
        <v>3405</v>
      </c>
      <c r="X94" s="4" t="s">
        <v>3364</v>
      </c>
      <c r="Y94" s="151" t="str">
        <f t="shared" si="10"/>
        <v>E5100</v>
      </c>
      <c r="Z94" s="4" t="s">
        <v>587</v>
      </c>
      <c r="AA94" s="114" t="s">
        <v>588</v>
      </c>
      <c r="AB94" s="4" t="s">
        <v>506</v>
      </c>
      <c r="AC94" s="4" t="s">
        <v>507</v>
      </c>
      <c r="AD94" s="4" t="s">
        <v>508</v>
      </c>
      <c r="AE94" s="4" t="s">
        <v>509</v>
      </c>
      <c r="AF94" s="4" t="s">
        <v>589</v>
      </c>
      <c r="AG94" s="743">
        <v>0</v>
      </c>
      <c r="AI94" s="158"/>
    </row>
    <row r="95" spans="1:35">
      <c r="A95">
        <f t="shared" si="8"/>
        <v>93</v>
      </c>
      <c r="B95" t="s">
        <v>382</v>
      </c>
      <c r="C95" t="s">
        <v>488</v>
      </c>
      <c r="D95" t="s">
        <v>476</v>
      </c>
      <c r="E95" t="s">
        <v>476</v>
      </c>
      <c r="F95" t="s">
        <v>476</v>
      </c>
      <c r="G95" t="s">
        <v>476</v>
      </c>
      <c r="H95" t="s">
        <v>476</v>
      </c>
      <c r="I95" t="s">
        <v>476</v>
      </c>
      <c r="J95" t="s">
        <v>476</v>
      </c>
      <c r="K95" t="s">
        <v>476</v>
      </c>
      <c r="L95" t="s">
        <v>476</v>
      </c>
      <c r="M95" t="s">
        <v>476</v>
      </c>
      <c r="N95" t="s">
        <v>476</v>
      </c>
      <c r="O95" t="s">
        <v>476</v>
      </c>
      <c r="W95" s="4" t="s">
        <v>3405</v>
      </c>
      <c r="X95" s="4" t="s">
        <v>3365</v>
      </c>
      <c r="Y95" s="151" t="str">
        <f t="shared" si="10"/>
        <v>E5100</v>
      </c>
      <c r="Z95" s="4" t="s">
        <v>587</v>
      </c>
      <c r="AA95" s="114" t="s">
        <v>588</v>
      </c>
      <c r="AB95" s="4" t="s">
        <v>506</v>
      </c>
      <c r="AC95" s="4" t="s">
        <v>507</v>
      </c>
      <c r="AD95" s="4" t="s">
        <v>508</v>
      </c>
      <c r="AE95" s="4" t="s">
        <v>509</v>
      </c>
      <c r="AF95" s="4" t="s">
        <v>589</v>
      </c>
      <c r="AG95" s="743">
        <v>0</v>
      </c>
      <c r="AI95" s="158"/>
    </row>
    <row r="96" spans="1:35">
      <c r="A96">
        <f t="shared" si="8"/>
        <v>94</v>
      </c>
      <c r="B96" t="s">
        <v>383</v>
      </c>
      <c r="C96" t="s">
        <v>489</v>
      </c>
      <c r="D96" t="s">
        <v>476</v>
      </c>
      <c r="E96" t="s">
        <v>476</v>
      </c>
      <c r="F96" t="s">
        <v>476</v>
      </c>
      <c r="G96" t="s">
        <v>476</v>
      </c>
      <c r="H96" t="s">
        <v>476</v>
      </c>
      <c r="I96" t="s">
        <v>476</v>
      </c>
      <c r="J96" t="s">
        <v>476</v>
      </c>
      <c r="K96" t="s">
        <v>476</v>
      </c>
      <c r="L96" t="s">
        <v>476</v>
      </c>
      <c r="M96" t="s">
        <v>476</v>
      </c>
      <c r="N96" t="s">
        <v>476</v>
      </c>
      <c r="O96" t="s">
        <v>476</v>
      </c>
      <c r="W96" s="4" t="s">
        <v>3405</v>
      </c>
      <c r="X96" s="4" t="s">
        <v>3366</v>
      </c>
      <c r="Y96" s="151" t="str">
        <f t="shared" si="10"/>
        <v>E5100</v>
      </c>
      <c r="Z96" s="4" t="s">
        <v>587</v>
      </c>
      <c r="AA96" s="114" t="s">
        <v>588</v>
      </c>
      <c r="AB96" s="4" t="s">
        <v>506</v>
      </c>
      <c r="AC96" s="4" t="s">
        <v>507</v>
      </c>
      <c r="AD96" s="4" t="s">
        <v>508</v>
      </c>
      <c r="AE96" s="4" t="s">
        <v>509</v>
      </c>
      <c r="AF96" s="4" t="s">
        <v>589</v>
      </c>
      <c r="AG96" s="743">
        <v>0</v>
      </c>
      <c r="AI96" s="158"/>
    </row>
    <row r="97" spans="1:35">
      <c r="A97">
        <f t="shared" si="8"/>
        <v>95</v>
      </c>
      <c r="B97" t="s">
        <v>2074</v>
      </c>
      <c r="C97" t="s">
        <v>3027</v>
      </c>
      <c r="D97">
        <v>-3.9823900000000068</v>
      </c>
      <c r="E97">
        <v>-4.9523900000000056</v>
      </c>
      <c r="F97">
        <v>7.2676099999999932</v>
      </c>
      <c r="G97">
        <v>21.657610000000002</v>
      </c>
      <c r="H97">
        <v>30.977610000000002</v>
      </c>
      <c r="I97">
        <v>25.827609999999996</v>
      </c>
      <c r="J97">
        <v>23.767610000000001</v>
      </c>
      <c r="K97">
        <v>27.48761</v>
      </c>
      <c r="L97">
        <v>29.607609999999998</v>
      </c>
      <c r="M97">
        <v>30.407610000000002</v>
      </c>
      <c r="N97">
        <v>11.617610000000003</v>
      </c>
      <c r="O97">
        <v>0.18760999999999495</v>
      </c>
      <c r="W97" s="4" t="s">
        <v>3405</v>
      </c>
      <c r="X97" s="4" t="s">
        <v>3367</v>
      </c>
      <c r="Y97" s="151" t="str">
        <f t="shared" si="10"/>
        <v>E5100</v>
      </c>
      <c r="Z97" s="4" t="s">
        <v>587</v>
      </c>
      <c r="AA97" s="114" t="s">
        <v>588</v>
      </c>
      <c r="AB97" s="4" t="s">
        <v>506</v>
      </c>
      <c r="AC97" s="4" t="s">
        <v>507</v>
      </c>
      <c r="AD97" s="4" t="s">
        <v>508</v>
      </c>
      <c r="AE97" s="4" t="s">
        <v>509</v>
      </c>
      <c r="AF97" s="4" t="s">
        <v>589</v>
      </c>
      <c r="AG97" s="743">
        <v>0</v>
      </c>
      <c r="AI97" s="158"/>
    </row>
    <row r="98" spans="1:35">
      <c r="A98">
        <v>96</v>
      </c>
      <c r="B98" t="s">
        <v>2079</v>
      </c>
      <c r="C98" t="s">
        <v>3398</v>
      </c>
      <c r="D98" t="s">
        <v>476</v>
      </c>
      <c r="E98" t="s">
        <v>476</v>
      </c>
      <c r="F98" t="s">
        <v>476</v>
      </c>
      <c r="G98" t="s">
        <v>476</v>
      </c>
      <c r="H98" t="s">
        <v>476</v>
      </c>
      <c r="I98">
        <v>18.099999999999994</v>
      </c>
      <c r="J98">
        <v>16.04</v>
      </c>
      <c r="K98">
        <v>19.759999999999998</v>
      </c>
      <c r="L98">
        <v>21.879999999999995</v>
      </c>
      <c r="M98">
        <v>22.68</v>
      </c>
      <c r="N98">
        <v>3.8900000000000006</v>
      </c>
      <c r="O98">
        <v>-7.5400000000000063</v>
      </c>
      <c r="W98" s="4" t="s">
        <v>3405</v>
      </c>
      <c r="X98" s="3" t="s">
        <v>3356</v>
      </c>
      <c r="Y98" s="150" t="str">
        <f>INDEX($B$3:$O$110,11,1)</f>
        <v>E5110</v>
      </c>
      <c r="Z98" s="4" t="s">
        <v>587</v>
      </c>
      <c r="AA98" s="114" t="s">
        <v>588</v>
      </c>
      <c r="AB98" s="4" t="s">
        <v>506</v>
      </c>
      <c r="AC98" s="4" t="s">
        <v>507</v>
      </c>
      <c r="AD98" s="4" t="s">
        <v>508</v>
      </c>
      <c r="AE98" s="4" t="s">
        <v>509</v>
      </c>
      <c r="AF98" s="4" t="s">
        <v>589</v>
      </c>
      <c r="AG98" s="743">
        <v>0</v>
      </c>
      <c r="AI98" s="158"/>
    </row>
    <row r="99" spans="1:35">
      <c r="A99">
        <v>97</v>
      </c>
      <c r="B99" t="s">
        <v>2089</v>
      </c>
      <c r="C99" t="s">
        <v>3143</v>
      </c>
      <c r="D99">
        <v>-4.0539999999999994</v>
      </c>
      <c r="E99">
        <v>-5.0239999999999982</v>
      </c>
      <c r="F99">
        <v>7.1960000000000006</v>
      </c>
      <c r="G99">
        <v>21.586000000000009</v>
      </c>
      <c r="H99">
        <v>30.906000000000009</v>
      </c>
      <c r="I99">
        <v>25.756000000000004</v>
      </c>
      <c r="J99">
        <v>23.696000000000009</v>
      </c>
      <c r="K99">
        <v>27.416000000000007</v>
      </c>
      <c r="L99">
        <v>29.536000000000005</v>
      </c>
      <c r="M99">
        <v>30.336000000000009</v>
      </c>
      <c r="N99">
        <v>-11.369999999999994</v>
      </c>
      <c r="O99">
        <v>-33.540000000000006</v>
      </c>
      <c r="W99" s="4" t="s">
        <v>3405</v>
      </c>
      <c r="X99" s="4" t="s">
        <v>3357</v>
      </c>
      <c r="Y99" s="151" t="str">
        <f>Y98</f>
        <v>E5110</v>
      </c>
      <c r="Z99" s="4" t="s">
        <v>587</v>
      </c>
      <c r="AA99" s="114" t="s">
        <v>588</v>
      </c>
      <c r="AB99" s="4" t="s">
        <v>506</v>
      </c>
      <c r="AC99" s="4" t="s">
        <v>507</v>
      </c>
      <c r="AD99" s="4" t="s">
        <v>508</v>
      </c>
      <c r="AE99" s="4" t="s">
        <v>509</v>
      </c>
      <c r="AF99" s="4" t="s">
        <v>589</v>
      </c>
      <c r="AG99" s="743">
        <v>0</v>
      </c>
      <c r="AI99" s="158"/>
    </row>
    <row r="100" spans="1:35">
      <c r="A100">
        <v>98</v>
      </c>
      <c r="B100" t="s">
        <v>384</v>
      </c>
      <c r="C100" t="s">
        <v>495</v>
      </c>
      <c r="D100" t="s">
        <v>476</v>
      </c>
      <c r="E100" t="s">
        <v>476</v>
      </c>
      <c r="F100" t="s">
        <v>476</v>
      </c>
      <c r="G100" t="s">
        <v>476</v>
      </c>
      <c r="H100" t="s">
        <v>476</v>
      </c>
      <c r="I100" t="s">
        <v>476</v>
      </c>
      <c r="J100" t="s">
        <v>476</v>
      </c>
      <c r="K100" t="s">
        <v>476</v>
      </c>
      <c r="L100" t="s">
        <v>476</v>
      </c>
      <c r="M100" t="s">
        <v>476</v>
      </c>
      <c r="N100" t="s">
        <v>476</v>
      </c>
      <c r="O100" t="s">
        <v>476</v>
      </c>
      <c r="W100" s="4" t="s">
        <v>3405</v>
      </c>
      <c r="X100" s="4" t="s">
        <v>3358</v>
      </c>
      <c r="Y100" s="151" t="str">
        <f t="shared" ref="Y100:Y109" si="11">Y99</f>
        <v>E5110</v>
      </c>
      <c r="Z100" s="4" t="s">
        <v>587</v>
      </c>
      <c r="AA100" s="114" t="s">
        <v>588</v>
      </c>
      <c r="AB100" s="4" t="s">
        <v>506</v>
      </c>
      <c r="AC100" s="4" t="s">
        <v>507</v>
      </c>
      <c r="AD100" s="4" t="s">
        <v>508</v>
      </c>
      <c r="AE100" s="4" t="s">
        <v>509</v>
      </c>
      <c r="AF100" s="4" t="s">
        <v>589</v>
      </c>
      <c r="AG100" s="743">
        <v>0</v>
      </c>
      <c r="AI100" s="158"/>
    </row>
    <row r="101" spans="1:35">
      <c r="A101">
        <v>99</v>
      </c>
      <c r="B101" t="s">
        <v>387</v>
      </c>
      <c r="C101" t="s">
        <v>486</v>
      </c>
      <c r="D101" t="s">
        <v>476</v>
      </c>
      <c r="E101" t="s">
        <v>476</v>
      </c>
      <c r="F101" t="s">
        <v>476</v>
      </c>
      <c r="G101" t="s">
        <v>476</v>
      </c>
      <c r="H101" t="s">
        <v>476</v>
      </c>
      <c r="I101" t="s">
        <v>476</v>
      </c>
      <c r="J101" t="s">
        <v>476</v>
      </c>
      <c r="K101" t="s">
        <v>476</v>
      </c>
      <c r="L101" t="s">
        <v>476</v>
      </c>
      <c r="M101" t="s">
        <v>476</v>
      </c>
      <c r="N101" t="s">
        <v>476</v>
      </c>
      <c r="O101" t="s">
        <v>476</v>
      </c>
      <c r="W101" s="4" t="s">
        <v>3405</v>
      </c>
      <c r="X101" s="4" t="s">
        <v>3359</v>
      </c>
      <c r="Y101" s="151" t="str">
        <f t="shared" si="11"/>
        <v>E5110</v>
      </c>
      <c r="Z101" s="4" t="s">
        <v>587</v>
      </c>
      <c r="AA101" s="114" t="s">
        <v>588</v>
      </c>
      <c r="AB101" s="4" t="s">
        <v>506</v>
      </c>
      <c r="AC101" s="4" t="s">
        <v>507</v>
      </c>
      <c r="AD101" s="4" t="s">
        <v>508</v>
      </c>
      <c r="AE101" s="4" t="s">
        <v>509</v>
      </c>
      <c r="AF101" s="4" t="s">
        <v>589</v>
      </c>
      <c r="AG101" s="743">
        <v>0</v>
      </c>
      <c r="AI101" s="158"/>
    </row>
    <row r="102" spans="1:35">
      <c r="A102">
        <v>100</v>
      </c>
      <c r="B102" t="s">
        <v>385</v>
      </c>
      <c r="C102" t="s">
        <v>497</v>
      </c>
      <c r="D102" t="s">
        <v>476</v>
      </c>
      <c r="E102" t="s">
        <v>476</v>
      </c>
      <c r="F102" t="s">
        <v>476</v>
      </c>
      <c r="G102" t="s">
        <v>476</v>
      </c>
      <c r="H102" t="s">
        <v>476</v>
      </c>
      <c r="I102" t="s">
        <v>476</v>
      </c>
      <c r="J102" t="s">
        <v>476</v>
      </c>
      <c r="K102" t="s">
        <v>476</v>
      </c>
      <c r="L102" t="s">
        <v>476</v>
      </c>
      <c r="M102" t="s">
        <v>476</v>
      </c>
      <c r="N102" t="s">
        <v>476</v>
      </c>
      <c r="O102" t="s">
        <v>476</v>
      </c>
      <c r="W102" s="4" t="s">
        <v>3405</v>
      </c>
      <c r="X102" s="4" t="s">
        <v>3360</v>
      </c>
      <c r="Y102" s="151" t="str">
        <f t="shared" si="11"/>
        <v>E5110</v>
      </c>
      <c r="Z102" s="4" t="s">
        <v>587</v>
      </c>
      <c r="AA102" s="114" t="s">
        <v>588</v>
      </c>
      <c r="AB102" s="4" t="s">
        <v>506</v>
      </c>
      <c r="AC102" s="4" t="s">
        <v>507</v>
      </c>
      <c r="AD102" s="4" t="s">
        <v>508</v>
      </c>
      <c r="AE102" s="4" t="s">
        <v>509</v>
      </c>
      <c r="AF102" s="4" t="s">
        <v>589</v>
      </c>
      <c r="AG102" s="743">
        <v>0</v>
      </c>
      <c r="AI102" s="158"/>
    </row>
    <row r="103" spans="1:35">
      <c r="A103">
        <v>101</v>
      </c>
      <c r="B103" t="s">
        <v>816</v>
      </c>
      <c r="C103" t="s">
        <v>815</v>
      </c>
      <c r="D103">
        <v>6.0532399999999909</v>
      </c>
      <c r="E103">
        <v>5.083239999999992</v>
      </c>
      <c r="F103">
        <v>17.303239999999992</v>
      </c>
      <c r="G103">
        <v>31.693239999999999</v>
      </c>
      <c r="H103">
        <v>41.013239999999996</v>
      </c>
      <c r="I103">
        <v>35.86323999999999</v>
      </c>
      <c r="J103">
        <v>33.803239999999995</v>
      </c>
      <c r="K103">
        <v>37.523239999999994</v>
      </c>
      <c r="L103">
        <v>39.643239999999992</v>
      </c>
      <c r="M103">
        <v>40.443239999999996</v>
      </c>
      <c r="N103">
        <v>23.579794519999997</v>
      </c>
      <c r="O103">
        <v>12.14979451999999</v>
      </c>
      <c r="W103" s="4" t="s">
        <v>3405</v>
      </c>
      <c r="X103" s="4" t="s">
        <v>3361</v>
      </c>
      <c r="Y103" s="151" t="str">
        <f t="shared" si="11"/>
        <v>E5110</v>
      </c>
      <c r="Z103" s="4" t="s">
        <v>587</v>
      </c>
      <c r="AA103" s="114" t="s">
        <v>588</v>
      </c>
      <c r="AB103" s="4" t="s">
        <v>506</v>
      </c>
      <c r="AC103" s="4" t="s">
        <v>507</v>
      </c>
      <c r="AD103" s="4" t="s">
        <v>508</v>
      </c>
      <c r="AE103" s="4" t="s">
        <v>509</v>
      </c>
      <c r="AF103" s="4" t="s">
        <v>589</v>
      </c>
      <c r="AG103" s="743">
        <v>0</v>
      </c>
      <c r="AI103" s="158"/>
    </row>
    <row r="104" spans="1:35">
      <c r="A104">
        <v>102</v>
      </c>
      <c r="B104" t="s">
        <v>386</v>
      </c>
      <c r="C104" t="s">
        <v>569</v>
      </c>
      <c r="D104" t="s">
        <v>476</v>
      </c>
      <c r="E104" t="s">
        <v>476</v>
      </c>
      <c r="F104" t="s">
        <v>476</v>
      </c>
      <c r="G104" t="s">
        <v>476</v>
      </c>
      <c r="H104" t="s">
        <v>476</v>
      </c>
      <c r="I104" t="s">
        <v>476</v>
      </c>
      <c r="J104" t="s">
        <v>476</v>
      </c>
      <c r="K104" t="s">
        <v>476</v>
      </c>
      <c r="L104" t="s">
        <v>476</v>
      </c>
      <c r="M104" t="s">
        <v>476</v>
      </c>
      <c r="N104" t="s">
        <v>476</v>
      </c>
      <c r="O104" t="s">
        <v>476</v>
      </c>
      <c r="W104" s="4" t="s">
        <v>3405</v>
      </c>
      <c r="X104" s="4" t="s">
        <v>3362</v>
      </c>
      <c r="Y104" s="151" t="str">
        <f t="shared" si="11"/>
        <v>E5110</v>
      </c>
      <c r="Z104" s="4" t="s">
        <v>587</v>
      </c>
      <c r="AA104" s="114" t="s">
        <v>588</v>
      </c>
      <c r="AB104" s="4" t="s">
        <v>506</v>
      </c>
      <c r="AC104" s="4" t="s">
        <v>507</v>
      </c>
      <c r="AD104" s="4" t="s">
        <v>508</v>
      </c>
      <c r="AE104" s="4" t="s">
        <v>509</v>
      </c>
      <c r="AF104" s="4" t="s">
        <v>589</v>
      </c>
      <c r="AG104" s="743">
        <v>0</v>
      </c>
      <c r="AI104" s="158"/>
    </row>
    <row r="105" spans="1:35">
      <c r="A105">
        <v>103</v>
      </c>
      <c r="B105" t="s">
        <v>386</v>
      </c>
      <c r="C105" t="s">
        <v>570</v>
      </c>
      <c r="D105" t="s">
        <v>476</v>
      </c>
      <c r="E105" t="s">
        <v>476</v>
      </c>
      <c r="F105" t="s">
        <v>476</v>
      </c>
      <c r="G105" t="s">
        <v>476</v>
      </c>
      <c r="H105" t="s">
        <v>476</v>
      </c>
      <c r="I105" t="s">
        <v>476</v>
      </c>
      <c r="J105" t="s">
        <v>476</v>
      </c>
      <c r="K105" t="s">
        <v>476</v>
      </c>
      <c r="L105" t="s">
        <v>476</v>
      </c>
      <c r="M105" t="s">
        <v>476</v>
      </c>
      <c r="N105" t="s">
        <v>476</v>
      </c>
      <c r="O105" t="s">
        <v>476</v>
      </c>
      <c r="W105" s="4" t="s">
        <v>3405</v>
      </c>
      <c r="X105" s="4" t="s">
        <v>3363</v>
      </c>
      <c r="Y105" s="151" t="str">
        <f t="shared" si="11"/>
        <v>E5110</v>
      </c>
      <c r="Z105" s="4" t="s">
        <v>587</v>
      </c>
      <c r="AA105" s="114" t="s">
        <v>588</v>
      </c>
      <c r="AB105" s="4" t="s">
        <v>506</v>
      </c>
      <c r="AC105" s="4" t="s">
        <v>507</v>
      </c>
      <c r="AD105" s="4" t="s">
        <v>508</v>
      </c>
      <c r="AE105" s="4" t="s">
        <v>509</v>
      </c>
      <c r="AF105" s="4" t="s">
        <v>589</v>
      </c>
      <c r="AG105" s="743">
        <v>0</v>
      </c>
      <c r="AI105" s="158"/>
    </row>
    <row r="106" spans="1:35">
      <c r="A106">
        <v>104</v>
      </c>
      <c r="B106" t="s">
        <v>3241</v>
      </c>
      <c r="C106" t="s">
        <v>3272</v>
      </c>
      <c r="D106">
        <v>-7.2659999999999911</v>
      </c>
      <c r="E106">
        <v>-12.125999999999991</v>
      </c>
      <c r="F106">
        <v>-5.3059999999999974</v>
      </c>
      <c r="G106">
        <v>6.3340000000000032</v>
      </c>
      <c r="H106">
        <v>13.704000000000001</v>
      </c>
      <c r="I106">
        <v>9.8340000000000032</v>
      </c>
      <c r="J106">
        <v>8.9640000000000057</v>
      </c>
      <c r="K106">
        <v>14.104000000000006</v>
      </c>
      <c r="L106">
        <v>16.284000000000006</v>
      </c>
      <c r="M106">
        <v>15.734000000000002</v>
      </c>
      <c r="N106">
        <v>5.8340000000000032</v>
      </c>
      <c r="O106">
        <v>0.62868200000000485</v>
      </c>
      <c r="W106" s="4" t="s">
        <v>3405</v>
      </c>
      <c r="X106" s="4" t="s">
        <v>3364</v>
      </c>
      <c r="Y106" s="151" t="str">
        <f t="shared" si="11"/>
        <v>E5110</v>
      </c>
      <c r="Z106" s="4" t="s">
        <v>587</v>
      </c>
      <c r="AA106" s="114" t="s">
        <v>588</v>
      </c>
      <c r="AB106" s="4" t="s">
        <v>506</v>
      </c>
      <c r="AC106" s="4" t="s">
        <v>507</v>
      </c>
      <c r="AD106" s="4" t="s">
        <v>508</v>
      </c>
      <c r="AE106" s="4" t="s">
        <v>509</v>
      </c>
      <c r="AF106" s="4" t="s">
        <v>589</v>
      </c>
      <c r="AG106" s="743">
        <v>0</v>
      </c>
      <c r="AI106" s="158"/>
    </row>
    <row r="107" spans="1:35">
      <c r="A107">
        <v>105</v>
      </c>
      <c r="B107" t="s">
        <v>3400</v>
      </c>
      <c r="C107" t="s">
        <v>3396</v>
      </c>
      <c r="D107" t="s">
        <v>476</v>
      </c>
      <c r="E107" t="s">
        <v>476</v>
      </c>
      <c r="F107" t="s">
        <v>476</v>
      </c>
      <c r="G107" t="s">
        <v>476</v>
      </c>
      <c r="H107" t="s">
        <v>476</v>
      </c>
      <c r="I107" t="s">
        <v>476</v>
      </c>
      <c r="J107" t="s">
        <v>476</v>
      </c>
      <c r="K107">
        <v>25.76</v>
      </c>
      <c r="L107">
        <v>27.88</v>
      </c>
      <c r="M107">
        <v>28.680000000000003</v>
      </c>
      <c r="N107">
        <v>9.8900000000000041</v>
      </c>
      <c r="O107">
        <v>-1.5400000000000036</v>
      </c>
      <c r="W107" s="4" t="s">
        <v>3405</v>
      </c>
      <c r="X107" s="4" t="s">
        <v>3365</v>
      </c>
      <c r="Y107" s="151" t="str">
        <f t="shared" si="11"/>
        <v>E5110</v>
      </c>
      <c r="Z107" s="4" t="s">
        <v>587</v>
      </c>
      <c r="AA107" s="114" t="s">
        <v>588</v>
      </c>
      <c r="AB107" s="4" t="s">
        <v>506</v>
      </c>
      <c r="AC107" s="4" t="s">
        <v>507</v>
      </c>
      <c r="AD107" s="4" t="s">
        <v>508</v>
      </c>
      <c r="AE107" s="4" t="s">
        <v>509</v>
      </c>
      <c r="AF107" s="4" t="s">
        <v>589</v>
      </c>
      <c r="AG107" s="743">
        <v>0</v>
      </c>
      <c r="AI107" s="158"/>
    </row>
    <row r="108" spans="1:35">
      <c r="A108">
        <v>106</v>
      </c>
      <c r="B108" t="s">
        <v>3401</v>
      </c>
      <c r="C108" t="s">
        <v>3397</v>
      </c>
      <c r="D108" t="s">
        <v>476</v>
      </c>
      <c r="E108" t="s">
        <v>476</v>
      </c>
      <c r="F108" t="s">
        <v>476</v>
      </c>
      <c r="G108" t="s">
        <v>476</v>
      </c>
      <c r="H108" t="s">
        <v>476</v>
      </c>
      <c r="I108" t="s">
        <v>476</v>
      </c>
      <c r="J108">
        <v>22.040000000000003</v>
      </c>
      <c r="K108">
        <v>25.76</v>
      </c>
      <c r="L108">
        <v>27.88</v>
      </c>
      <c r="M108">
        <v>28.680000000000003</v>
      </c>
      <c r="N108">
        <v>9.8900000000000041</v>
      </c>
      <c r="O108">
        <v>-1.5400000000000036</v>
      </c>
      <c r="W108" s="4" t="s">
        <v>3405</v>
      </c>
      <c r="X108" s="4" t="s">
        <v>3366</v>
      </c>
      <c r="Y108" s="151" t="str">
        <f t="shared" si="11"/>
        <v>E5110</v>
      </c>
      <c r="Z108" s="4" t="s">
        <v>587</v>
      </c>
      <c r="AA108" s="114" t="s">
        <v>588</v>
      </c>
      <c r="AB108" s="4" t="s">
        <v>506</v>
      </c>
      <c r="AC108" s="4" t="s">
        <v>507</v>
      </c>
      <c r="AD108" s="4" t="s">
        <v>508</v>
      </c>
      <c r="AE108" s="4" t="s">
        <v>509</v>
      </c>
      <c r="AF108" s="4" t="s">
        <v>589</v>
      </c>
      <c r="AG108" s="743">
        <v>0</v>
      </c>
      <c r="AI108" s="158"/>
    </row>
    <row r="109" spans="1:35">
      <c r="A109">
        <v>107</v>
      </c>
      <c r="B109" t="s">
        <v>3402</v>
      </c>
      <c r="C109" t="s">
        <v>3399</v>
      </c>
      <c r="D109" t="s">
        <v>476</v>
      </c>
      <c r="E109" t="s">
        <v>476</v>
      </c>
      <c r="F109" t="s">
        <v>476</v>
      </c>
      <c r="G109" t="s">
        <v>476</v>
      </c>
      <c r="H109" t="s">
        <v>476</v>
      </c>
      <c r="I109" t="s">
        <v>476</v>
      </c>
      <c r="J109" t="s">
        <v>476</v>
      </c>
      <c r="K109" t="s">
        <v>476</v>
      </c>
      <c r="L109" t="s">
        <v>476</v>
      </c>
      <c r="M109" t="s">
        <v>476</v>
      </c>
      <c r="N109">
        <v>9.8900000000000041</v>
      </c>
      <c r="O109">
        <v>-1.5400000000000036</v>
      </c>
      <c r="W109" s="4" t="s">
        <v>3405</v>
      </c>
      <c r="X109" s="4" t="s">
        <v>3367</v>
      </c>
      <c r="Y109" s="151" t="str">
        <f t="shared" si="11"/>
        <v>E5110</v>
      </c>
      <c r="Z109" s="4" t="s">
        <v>587</v>
      </c>
      <c r="AA109" s="114" t="s">
        <v>588</v>
      </c>
      <c r="AB109" s="4" t="s">
        <v>506</v>
      </c>
      <c r="AC109" s="4" t="s">
        <v>507</v>
      </c>
      <c r="AD109" s="4" t="s">
        <v>508</v>
      </c>
      <c r="AE109" s="4" t="s">
        <v>509</v>
      </c>
      <c r="AF109" s="4" t="s">
        <v>589</v>
      </c>
      <c r="AG109" s="743">
        <v>0</v>
      </c>
      <c r="AI109" s="158"/>
    </row>
    <row r="110" spans="1:35">
      <c r="A110">
        <v>108</v>
      </c>
      <c r="B110" t="s">
        <v>476</v>
      </c>
      <c r="C110" t="s">
        <v>476</v>
      </c>
      <c r="D110" t="s">
        <v>476</v>
      </c>
      <c r="E110" t="s">
        <v>476</v>
      </c>
      <c r="F110" t="s">
        <v>476</v>
      </c>
      <c r="G110" t="s">
        <v>476</v>
      </c>
      <c r="H110" t="s">
        <v>476</v>
      </c>
      <c r="I110" t="s">
        <v>476</v>
      </c>
      <c r="J110" t="s">
        <v>476</v>
      </c>
      <c r="K110" t="s">
        <v>476</v>
      </c>
      <c r="L110" t="s">
        <v>476</v>
      </c>
      <c r="M110" t="s">
        <v>476</v>
      </c>
      <c r="N110" t="s">
        <v>476</v>
      </c>
      <c r="O110" t="s">
        <v>476</v>
      </c>
      <c r="W110" s="4" t="s">
        <v>3405</v>
      </c>
      <c r="X110" s="3" t="s">
        <v>3356</v>
      </c>
      <c r="Y110" s="150" t="str">
        <f>INDEX($B$3:$O$110,12,1)</f>
        <v>E5120</v>
      </c>
      <c r="Z110" s="4" t="s">
        <v>587</v>
      </c>
      <c r="AA110" s="114" t="s">
        <v>588</v>
      </c>
      <c r="AB110" s="4" t="s">
        <v>506</v>
      </c>
      <c r="AC110" s="4" t="s">
        <v>507</v>
      </c>
      <c r="AD110" s="4" t="s">
        <v>508</v>
      </c>
      <c r="AE110" s="4" t="s">
        <v>509</v>
      </c>
      <c r="AF110" s="4" t="s">
        <v>589</v>
      </c>
      <c r="AG110" s="743">
        <v>0</v>
      </c>
      <c r="AI110" s="158"/>
    </row>
    <row r="111" spans="1:35">
      <c r="B111" t="s">
        <v>498</v>
      </c>
      <c r="W111" s="4" t="s">
        <v>3405</v>
      </c>
      <c r="X111" s="4" t="s">
        <v>3357</v>
      </c>
      <c r="Y111" s="151" t="str">
        <f>Y110</f>
        <v>E5120</v>
      </c>
      <c r="Z111" s="4" t="s">
        <v>587</v>
      </c>
      <c r="AA111" s="114" t="s">
        <v>588</v>
      </c>
      <c r="AB111" s="4" t="s">
        <v>506</v>
      </c>
      <c r="AC111" s="4" t="s">
        <v>507</v>
      </c>
      <c r="AD111" s="4" t="s">
        <v>508</v>
      </c>
      <c r="AE111" s="4" t="s">
        <v>509</v>
      </c>
      <c r="AF111" s="4" t="s">
        <v>589</v>
      </c>
      <c r="AG111" s="743">
        <v>0</v>
      </c>
      <c r="AI111" s="158"/>
    </row>
    <row r="112" spans="1:35">
      <c r="W112" s="4" t="s">
        <v>3405</v>
      </c>
      <c r="X112" s="4" t="s">
        <v>3358</v>
      </c>
      <c r="Y112" s="151" t="str">
        <f t="shared" ref="Y112:Y121" si="12">Y111</f>
        <v>E5120</v>
      </c>
      <c r="Z112" s="4" t="s">
        <v>587</v>
      </c>
      <c r="AA112" s="114" t="s">
        <v>588</v>
      </c>
      <c r="AB112" s="4" t="s">
        <v>506</v>
      </c>
      <c r="AC112" s="4" t="s">
        <v>507</v>
      </c>
      <c r="AD112" s="4" t="s">
        <v>508</v>
      </c>
      <c r="AE112" s="4" t="s">
        <v>509</v>
      </c>
      <c r="AF112" s="4" t="s">
        <v>589</v>
      </c>
      <c r="AG112" s="743">
        <v>0</v>
      </c>
      <c r="AI112" s="158"/>
    </row>
    <row r="113" spans="23:35">
      <c r="W113" s="4" t="s">
        <v>3405</v>
      </c>
      <c r="X113" s="4" t="s">
        <v>3359</v>
      </c>
      <c r="Y113" s="151" t="str">
        <f t="shared" si="12"/>
        <v>E5120</v>
      </c>
      <c r="Z113" s="4" t="s">
        <v>587</v>
      </c>
      <c r="AA113" s="114" t="s">
        <v>588</v>
      </c>
      <c r="AB113" s="4" t="s">
        <v>506</v>
      </c>
      <c r="AC113" s="4" t="s">
        <v>507</v>
      </c>
      <c r="AD113" s="4" t="s">
        <v>508</v>
      </c>
      <c r="AE113" s="4" t="s">
        <v>509</v>
      </c>
      <c r="AF113" s="4" t="s">
        <v>589</v>
      </c>
      <c r="AG113" s="743">
        <v>0</v>
      </c>
      <c r="AI113" s="158"/>
    </row>
    <row r="114" spans="23:35">
      <c r="W114" s="4" t="s">
        <v>3405</v>
      </c>
      <c r="X114" s="4" t="s">
        <v>3360</v>
      </c>
      <c r="Y114" s="151" t="str">
        <f t="shared" si="12"/>
        <v>E5120</v>
      </c>
      <c r="Z114" s="4" t="s">
        <v>587</v>
      </c>
      <c r="AA114" s="114" t="s">
        <v>588</v>
      </c>
      <c r="AB114" s="4" t="s">
        <v>506</v>
      </c>
      <c r="AC114" s="4" t="s">
        <v>507</v>
      </c>
      <c r="AD114" s="4" t="s">
        <v>508</v>
      </c>
      <c r="AE114" s="4" t="s">
        <v>509</v>
      </c>
      <c r="AF114" s="4" t="s">
        <v>589</v>
      </c>
      <c r="AG114" s="743">
        <v>0</v>
      </c>
      <c r="AI114" s="158"/>
    </row>
    <row r="115" spans="23:35">
      <c r="W115" s="4" t="s">
        <v>3405</v>
      </c>
      <c r="X115" s="4" t="s">
        <v>3361</v>
      </c>
      <c r="Y115" s="151" t="str">
        <f t="shared" si="12"/>
        <v>E5120</v>
      </c>
      <c r="Z115" s="4" t="s">
        <v>587</v>
      </c>
      <c r="AA115" s="114" t="s">
        <v>588</v>
      </c>
      <c r="AB115" s="4" t="s">
        <v>506</v>
      </c>
      <c r="AC115" s="4" t="s">
        <v>507</v>
      </c>
      <c r="AD115" s="4" t="s">
        <v>508</v>
      </c>
      <c r="AE115" s="4" t="s">
        <v>509</v>
      </c>
      <c r="AF115" s="4" t="s">
        <v>589</v>
      </c>
      <c r="AG115" s="743">
        <v>0</v>
      </c>
      <c r="AI115" s="158"/>
    </row>
    <row r="116" spans="23:35">
      <c r="W116" s="4" t="s">
        <v>3405</v>
      </c>
      <c r="X116" s="4" t="s">
        <v>3362</v>
      </c>
      <c r="Y116" s="151" t="str">
        <f t="shared" si="12"/>
        <v>E5120</v>
      </c>
      <c r="Z116" s="4" t="s">
        <v>587</v>
      </c>
      <c r="AA116" s="114" t="s">
        <v>588</v>
      </c>
      <c r="AB116" s="4" t="s">
        <v>506</v>
      </c>
      <c r="AC116" s="4" t="s">
        <v>507</v>
      </c>
      <c r="AD116" s="4" t="s">
        <v>508</v>
      </c>
      <c r="AE116" s="4" t="s">
        <v>509</v>
      </c>
      <c r="AF116" s="4" t="s">
        <v>589</v>
      </c>
      <c r="AG116" s="743">
        <v>0</v>
      </c>
      <c r="AI116" s="158"/>
    </row>
    <row r="117" spans="23:35">
      <c r="W117" s="4" t="s">
        <v>3405</v>
      </c>
      <c r="X117" s="4" t="s">
        <v>3363</v>
      </c>
      <c r="Y117" s="151" t="str">
        <f t="shared" si="12"/>
        <v>E5120</v>
      </c>
      <c r="Z117" s="4" t="s">
        <v>587</v>
      </c>
      <c r="AA117" s="114" t="s">
        <v>588</v>
      </c>
      <c r="AB117" s="4" t="s">
        <v>506</v>
      </c>
      <c r="AC117" s="4" t="s">
        <v>507</v>
      </c>
      <c r="AD117" s="4" t="s">
        <v>508</v>
      </c>
      <c r="AE117" s="4" t="s">
        <v>509</v>
      </c>
      <c r="AF117" s="4" t="s">
        <v>589</v>
      </c>
      <c r="AG117" s="743">
        <v>0</v>
      </c>
      <c r="AI117" s="158"/>
    </row>
    <row r="118" spans="23:35">
      <c r="W118" s="4" t="s">
        <v>3405</v>
      </c>
      <c r="X118" s="4" t="s">
        <v>3364</v>
      </c>
      <c r="Y118" s="151" t="str">
        <f t="shared" si="12"/>
        <v>E5120</v>
      </c>
      <c r="Z118" s="4" t="s">
        <v>587</v>
      </c>
      <c r="AA118" s="114" t="s">
        <v>588</v>
      </c>
      <c r="AB118" s="4" t="s">
        <v>506</v>
      </c>
      <c r="AC118" s="4" t="s">
        <v>507</v>
      </c>
      <c r="AD118" s="4" t="s">
        <v>508</v>
      </c>
      <c r="AE118" s="4" t="s">
        <v>509</v>
      </c>
      <c r="AF118" s="4" t="s">
        <v>589</v>
      </c>
      <c r="AG118" s="743">
        <v>0</v>
      </c>
      <c r="AI118" s="158"/>
    </row>
    <row r="119" spans="23:35">
      <c r="W119" s="4" t="s">
        <v>3405</v>
      </c>
      <c r="X119" s="4" t="s">
        <v>3365</v>
      </c>
      <c r="Y119" s="151" t="str">
        <f t="shared" si="12"/>
        <v>E5120</v>
      </c>
      <c r="Z119" s="4" t="s">
        <v>587</v>
      </c>
      <c r="AA119" s="114" t="s">
        <v>588</v>
      </c>
      <c r="AB119" s="4" t="s">
        <v>506</v>
      </c>
      <c r="AC119" s="4" t="s">
        <v>507</v>
      </c>
      <c r="AD119" s="4" t="s">
        <v>508</v>
      </c>
      <c r="AE119" s="4" t="s">
        <v>509</v>
      </c>
      <c r="AF119" s="4" t="s">
        <v>589</v>
      </c>
      <c r="AG119" s="743">
        <v>0</v>
      </c>
      <c r="AI119" s="158"/>
    </row>
    <row r="120" spans="23:35">
      <c r="W120" s="4" t="s">
        <v>3405</v>
      </c>
      <c r="X120" s="4" t="s">
        <v>3366</v>
      </c>
      <c r="Y120" s="151" t="str">
        <f t="shared" si="12"/>
        <v>E5120</v>
      </c>
      <c r="Z120" s="4" t="s">
        <v>587</v>
      </c>
      <c r="AA120" s="114" t="s">
        <v>588</v>
      </c>
      <c r="AB120" s="4" t="s">
        <v>506</v>
      </c>
      <c r="AC120" s="4" t="s">
        <v>507</v>
      </c>
      <c r="AD120" s="4" t="s">
        <v>508</v>
      </c>
      <c r="AE120" s="4" t="s">
        <v>509</v>
      </c>
      <c r="AF120" s="4" t="s">
        <v>589</v>
      </c>
      <c r="AG120" s="743">
        <v>0</v>
      </c>
      <c r="AI120" s="158"/>
    </row>
    <row r="121" spans="23:35">
      <c r="W121" s="4" t="s">
        <v>3405</v>
      </c>
      <c r="X121" s="4" t="s">
        <v>3367</v>
      </c>
      <c r="Y121" s="151" t="str">
        <f t="shared" si="12"/>
        <v>E5120</v>
      </c>
      <c r="Z121" s="4" t="s">
        <v>587</v>
      </c>
      <c r="AA121" s="114" t="s">
        <v>588</v>
      </c>
      <c r="AB121" s="4" t="s">
        <v>506</v>
      </c>
      <c r="AC121" s="4" t="s">
        <v>507</v>
      </c>
      <c r="AD121" s="4" t="s">
        <v>508</v>
      </c>
      <c r="AE121" s="4" t="s">
        <v>509</v>
      </c>
      <c r="AF121" s="4" t="s">
        <v>589</v>
      </c>
      <c r="AG121" s="743">
        <v>0</v>
      </c>
      <c r="AI121" s="158"/>
    </row>
    <row r="122" spans="23:35">
      <c r="W122" s="4" t="s">
        <v>3405</v>
      </c>
      <c r="X122" s="3" t="s">
        <v>3356</v>
      </c>
      <c r="Y122" s="150" t="str">
        <f>INDEX($B$3:$O$110,13,1)</f>
        <v>E5130</v>
      </c>
      <c r="Z122" s="4" t="s">
        <v>587</v>
      </c>
      <c r="AA122" s="114" t="s">
        <v>588</v>
      </c>
      <c r="AB122" s="4" t="s">
        <v>506</v>
      </c>
      <c r="AC122" s="4" t="s">
        <v>507</v>
      </c>
      <c r="AD122" s="4" t="s">
        <v>508</v>
      </c>
      <c r="AE122" s="4" t="s">
        <v>509</v>
      </c>
      <c r="AF122" s="4" t="s">
        <v>589</v>
      </c>
      <c r="AG122" s="743">
        <v>0</v>
      </c>
      <c r="AI122" s="158"/>
    </row>
    <row r="123" spans="23:35">
      <c r="W123" s="4" t="s">
        <v>3405</v>
      </c>
      <c r="X123" s="4" t="s">
        <v>3357</v>
      </c>
      <c r="Y123" s="151" t="str">
        <f>Y122</f>
        <v>E5130</v>
      </c>
      <c r="Z123" s="4" t="s">
        <v>587</v>
      </c>
      <c r="AA123" s="114" t="s">
        <v>588</v>
      </c>
      <c r="AB123" s="4" t="s">
        <v>506</v>
      </c>
      <c r="AC123" s="4" t="s">
        <v>507</v>
      </c>
      <c r="AD123" s="4" t="s">
        <v>508</v>
      </c>
      <c r="AE123" s="4" t="s">
        <v>509</v>
      </c>
      <c r="AF123" s="4" t="s">
        <v>589</v>
      </c>
      <c r="AG123" s="743">
        <v>0</v>
      </c>
      <c r="AI123" s="158"/>
    </row>
    <row r="124" spans="23:35">
      <c r="W124" s="4" t="s">
        <v>3405</v>
      </c>
      <c r="X124" s="4" t="s">
        <v>3358</v>
      </c>
      <c r="Y124" s="151" t="str">
        <f t="shared" ref="Y124:Y133" si="13">Y123</f>
        <v>E5130</v>
      </c>
      <c r="Z124" s="4" t="s">
        <v>587</v>
      </c>
      <c r="AA124" s="114" t="s">
        <v>588</v>
      </c>
      <c r="AB124" s="4" t="s">
        <v>506</v>
      </c>
      <c r="AC124" s="4" t="s">
        <v>507</v>
      </c>
      <c r="AD124" s="4" t="s">
        <v>508</v>
      </c>
      <c r="AE124" s="4" t="s">
        <v>509</v>
      </c>
      <c r="AF124" s="4" t="s">
        <v>589</v>
      </c>
      <c r="AG124" s="743">
        <v>0</v>
      </c>
      <c r="AI124" s="158"/>
    </row>
    <row r="125" spans="23:35">
      <c r="W125" s="4" t="s">
        <v>3405</v>
      </c>
      <c r="X125" s="4" t="s">
        <v>3359</v>
      </c>
      <c r="Y125" s="151" t="str">
        <f t="shared" si="13"/>
        <v>E5130</v>
      </c>
      <c r="Z125" s="4" t="s">
        <v>587</v>
      </c>
      <c r="AA125" s="114" t="s">
        <v>588</v>
      </c>
      <c r="AB125" s="4" t="s">
        <v>506</v>
      </c>
      <c r="AC125" s="4" t="s">
        <v>507</v>
      </c>
      <c r="AD125" s="4" t="s">
        <v>508</v>
      </c>
      <c r="AE125" s="4" t="s">
        <v>509</v>
      </c>
      <c r="AF125" s="4" t="s">
        <v>589</v>
      </c>
      <c r="AG125" s="743">
        <v>0</v>
      </c>
      <c r="AI125" s="158"/>
    </row>
    <row r="126" spans="23:35">
      <c r="W126" s="4" t="s">
        <v>3405</v>
      </c>
      <c r="X126" s="4" t="s">
        <v>3360</v>
      </c>
      <c r="Y126" s="151" t="str">
        <f t="shared" si="13"/>
        <v>E5130</v>
      </c>
      <c r="Z126" s="4" t="s">
        <v>587</v>
      </c>
      <c r="AA126" s="114" t="s">
        <v>588</v>
      </c>
      <c r="AB126" s="4" t="s">
        <v>506</v>
      </c>
      <c r="AC126" s="4" t="s">
        <v>507</v>
      </c>
      <c r="AD126" s="4" t="s">
        <v>508</v>
      </c>
      <c r="AE126" s="4" t="s">
        <v>509</v>
      </c>
      <c r="AF126" s="4" t="s">
        <v>589</v>
      </c>
      <c r="AG126" s="743">
        <v>0</v>
      </c>
      <c r="AI126" s="158"/>
    </row>
    <row r="127" spans="23:35">
      <c r="W127" s="4" t="s">
        <v>3405</v>
      </c>
      <c r="X127" s="4" t="s">
        <v>3361</v>
      </c>
      <c r="Y127" s="151" t="str">
        <f t="shared" si="13"/>
        <v>E5130</v>
      </c>
      <c r="Z127" s="4" t="s">
        <v>587</v>
      </c>
      <c r="AA127" s="114" t="s">
        <v>588</v>
      </c>
      <c r="AB127" s="4" t="s">
        <v>506</v>
      </c>
      <c r="AC127" s="4" t="s">
        <v>507</v>
      </c>
      <c r="AD127" s="4" t="s">
        <v>508</v>
      </c>
      <c r="AE127" s="4" t="s">
        <v>509</v>
      </c>
      <c r="AF127" s="4" t="s">
        <v>589</v>
      </c>
      <c r="AG127" s="743">
        <v>0</v>
      </c>
      <c r="AI127" s="158"/>
    </row>
    <row r="128" spans="23:35">
      <c r="W128" s="4" t="s">
        <v>3405</v>
      </c>
      <c r="X128" s="4" t="s">
        <v>3362</v>
      </c>
      <c r="Y128" s="151" t="str">
        <f t="shared" si="13"/>
        <v>E5130</v>
      </c>
      <c r="Z128" s="4" t="s">
        <v>587</v>
      </c>
      <c r="AA128" s="114" t="s">
        <v>588</v>
      </c>
      <c r="AB128" s="4" t="s">
        <v>506</v>
      </c>
      <c r="AC128" s="4" t="s">
        <v>507</v>
      </c>
      <c r="AD128" s="4" t="s">
        <v>508</v>
      </c>
      <c r="AE128" s="4" t="s">
        <v>509</v>
      </c>
      <c r="AF128" s="4" t="s">
        <v>589</v>
      </c>
      <c r="AG128" s="743">
        <v>0</v>
      </c>
      <c r="AI128" s="158"/>
    </row>
    <row r="129" spans="23:35">
      <c r="W129" s="4" t="s">
        <v>3405</v>
      </c>
      <c r="X129" s="4" t="s">
        <v>3363</v>
      </c>
      <c r="Y129" s="151" t="str">
        <f t="shared" si="13"/>
        <v>E5130</v>
      </c>
      <c r="Z129" s="4" t="s">
        <v>587</v>
      </c>
      <c r="AA129" s="114" t="s">
        <v>588</v>
      </c>
      <c r="AB129" s="4" t="s">
        <v>506</v>
      </c>
      <c r="AC129" s="4" t="s">
        <v>507</v>
      </c>
      <c r="AD129" s="4" t="s">
        <v>508</v>
      </c>
      <c r="AE129" s="4" t="s">
        <v>509</v>
      </c>
      <c r="AF129" s="4" t="s">
        <v>589</v>
      </c>
      <c r="AG129" s="743">
        <v>0</v>
      </c>
      <c r="AI129" s="158"/>
    </row>
    <row r="130" spans="23:35">
      <c r="W130" s="4" t="s">
        <v>3405</v>
      </c>
      <c r="X130" s="4" t="s">
        <v>3364</v>
      </c>
      <c r="Y130" s="151" t="str">
        <f t="shared" si="13"/>
        <v>E5130</v>
      </c>
      <c r="Z130" s="4" t="s">
        <v>587</v>
      </c>
      <c r="AA130" s="114" t="s">
        <v>588</v>
      </c>
      <c r="AB130" s="4" t="s">
        <v>506</v>
      </c>
      <c r="AC130" s="4" t="s">
        <v>507</v>
      </c>
      <c r="AD130" s="4" t="s">
        <v>508</v>
      </c>
      <c r="AE130" s="4" t="s">
        <v>509</v>
      </c>
      <c r="AF130" s="4" t="s">
        <v>589</v>
      </c>
      <c r="AG130" s="743">
        <v>0</v>
      </c>
      <c r="AI130" s="158"/>
    </row>
    <row r="131" spans="23:35">
      <c r="W131" s="4" t="s">
        <v>3405</v>
      </c>
      <c r="X131" s="4" t="s">
        <v>3365</v>
      </c>
      <c r="Y131" s="151" t="str">
        <f t="shared" si="13"/>
        <v>E5130</v>
      </c>
      <c r="Z131" s="4" t="s">
        <v>587</v>
      </c>
      <c r="AA131" s="114" t="s">
        <v>588</v>
      </c>
      <c r="AB131" s="4" t="s">
        <v>506</v>
      </c>
      <c r="AC131" s="4" t="s">
        <v>507</v>
      </c>
      <c r="AD131" s="4" t="s">
        <v>508</v>
      </c>
      <c r="AE131" s="4" t="s">
        <v>509</v>
      </c>
      <c r="AF131" s="4" t="s">
        <v>589</v>
      </c>
      <c r="AG131" s="743">
        <v>0</v>
      </c>
      <c r="AI131" s="158"/>
    </row>
    <row r="132" spans="23:35">
      <c r="W132" s="4" t="s">
        <v>3405</v>
      </c>
      <c r="X132" s="4" t="s">
        <v>3366</v>
      </c>
      <c r="Y132" s="151" t="str">
        <f t="shared" si="13"/>
        <v>E5130</v>
      </c>
      <c r="Z132" s="4" t="s">
        <v>587</v>
      </c>
      <c r="AA132" s="114" t="s">
        <v>588</v>
      </c>
      <c r="AB132" s="4" t="s">
        <v>506</v>
      </c>
      <c r="AC132" s="4" t="s">
        <v>507</v>
      </c>
      <c r="AD132" s="4" t="s">
        <v>508</v>
      </c>
      <c r="AE132" s="4" t="s">
        <v>509</v>
      </c>
      <c r="AF132" s="4" t="s">
        <v>589</v>
      </c>
      <c r="AG132" s="743">
        <v>0</v>
      </c>
      <c r="AI132" s="158"/>
    </row>
    <row r="133" spans="23:35">
      <c r="W133" s="4" t="s">
        <v>3405</v>
      </c>
      <c r="X133" s="4" t="s">
        <v>3367</v>
      </c>
      <c r="Y133" s="151" t="str">
        <f t="shared" si="13"/>
        <v>E5130</v>
      </c>
      <c r="Z133" s="4" t="s">
        <v>587</v>
      </c>
      <c r="AA133" s="114" t="s">
        <v>588</v>
      </c>
      <c r="AB133" s="4" t="s">
        <v>506</v>
      </c>
      <c r="AC133" s="4" t="s">
        <v>507</v>
      </c>
      <c r="AD133" s="4" t="s">
        <v>508</v>
      </c>
      <c r="AE133" s="4" t="s">
        <v>509</v>
      </c>
      <c r="AF133" s="4" t="s">
        <v>589</v>
      </c>
      <c r="AG133" s="743">
        <v>0</v>
      </c>
      <c r="AI133" s="158"/>
    </row>
    <row r="134" spans="23:35">
      <c r="W134" s="4" t="s">
        <v>3405</v>
      </c>
      <c r="X134" s="3" t="s">
        <v>3356</v>
      </c>
      <c r="Y134" s="150" t="str">
        <f>INDEX($B$3:$O$110,14,1)</f>
        <v>E5140</v>
      </c>
      <c r="Z134" s="4" t="s">
        <v>587</v>
      </c>
      <c r="AA134" s="114" t="s">
        <v>588</v>
      </c>
      <c r="AB134" s="4" t="s">
        <v>506</v>
      </c>
      <c r="AC134" s="4" t="s">
        <v>507</v>
      </c>
      <c r="AD134" s="4" t="s">
        <v>508</v>
      </c>
      <c r="AE134" s="4" t="s">
        <v>509</v>
      </c>
      <c r="AF134" s="4" t="s">
        <v>589</v>
      </c>
      <c r="AG134" s="743">
        <v>0</v>
      </c>
      <c r="AI134" s="158"/>
    </row>
    <row r="135" spans="23:35">
      <c r="W135" s="4" t="s">
        <v>3405</v>
      </c>
      <c r="X135" s="4" t="s">
        <v>3357</v>
      </c>
      <c r="Y135" s="151" t="str">
        <f>Y134</f>
        <v>E5140</v>
      </c>
      <c r="Z135" s="4" t="s">
        <v>587</v>
      </c>
      <c r="AA135" s="114" t="s">
        <v>588</v>
      </c>
      <c r="AB135" s="4" t="s">
        <v>506</v>
      </c>
      <c r="AC135" s="4" t="s">
        <v>507</v>
      </c>
      <c r="AD135" s="4" t="s">
        <v>508</v>
      </c>
      <c r="AE135" s="4" t="s">
        <v>509</v>
      </c>
      <c r="AF135" s="4" t="s">
        <v>589</v>
      </c>
      <c r="AG135" s="743">
        <v>0</v>
      </c>
      <c r="AI135" s="158"/>
    </row>
    <row r="136" spans="23:35">
      <c r="W136" s="4" t="s">
        <v>3405</v>
      </c>
      <c r="X136" s="4" t="s">
        <v>3358</v>
      </c>
      <c r="Y136" s="151" t="str">
        <f t="shared" ref="Y136:Y145" si="14">Y135</f>
        <v>E5140</v>
      </c>
      <c r="Z136" s="4" t="s">
        <v>587</v>
      </c>
      <c r="AA136" s="114" t="s">
        <v>588</v>
      </c>
      <c r="AB136" s="4" t="s">
        <v>506</v>
      </c>
      <c r="AC136" s="4" t="s">
        <v>507</v>
      </c>
      <c r="AD136" s="4" t="s">
        <v>508</v>
      </c>
      <c r="AE136" s="4" t="s">
        <v>509</v>
      </c>
      <c r="AF136" s="4" t="s">
        <v>589</v>
      </c>
      <c r="AG136" s="743">
        <v>0</v>
      </c>
      <c r="AI136" s="158"/>
    </row>
    <row r="137" spans="23:35">
      <c r="W137" s="4" t="s">
        <v>3405</v>
      </c>
      <c r="X137" s="4" t="s">
        <v>3359</v>
      </c>
      <c r="Y137" s="151" t="str">
        <f t="shared" si="14"/>
        <v>E5140</v>
      </c>
      <c r="Z137" s="4" t="s">
        <v>587</v>
      </c>
      <c r="AA137" s="114" t="s">
        <v>588</v>
      </c>
      <c r="AB137" s="4" t="s">
        <v>506</v>
      </c>
      <c r="AC137" s="4" t="s">
        <v>507</v>
      </c>
      <c r="AD137" s="4" t="s">
        <v>508</v>
      </c>
      <c r="AE137" s="4" t="s">
        <v>509</v>
      </c>
      <c r="AF137" s="4" t="s">
        <v>589</v>
      </c>
      <c r="AG137" s="743">
        <v>0</v>
      </c>
      <c r="AI137" s="158"/>
    </row>
    <row r="138" spans="23:35">
      <c r="W138" s="4" t="s">
        <v>3405</v>
      </c>
      <c r="X138" s="4" t="s">
        <v>3360</v>
      </c>
      <c r="Y138" s="151" t="str">
        <f t="shared" si="14"/>
        <v>E5140</v>
      </c>
      <c r="Z138" s="4" t="s">
        <v>587</v>
      </c>
      <c r="AA138" s="114" t="s">
        <v>588</v>
      </c>
      <c r="AB138" s="4" t="s">
        <v>506</v>
      </c>
      <c r="AC138" s="4" t="s">
        <v>507</v>
      </c>
      <c r="AD138" s="4" t="s">
        <v>508</v>
      </c>
      <c r="AE138" s="4" t="s">
        <v>509</v>
      </c>
      <c r="AF138" s="4" t="s">
        <v>589</v>
      </c>
      <c r="AG138" s="743">
        <v>0</v>
      </c>
      <c r="AI138" s="158"/>
    </row>
    <row r="139" spans="23:35">
      <c r="W139" s="4" t="s">
        <v>3405</v>
      </c>
      <c r="X139" s="4" t="s">
        <v>3361</v>
      </c>
      <c r="Y139" s="151" t="str">
        <f t="shared" si="14"/>
        <v>E5140</v>
      </c>
      <c r="Z139" s="4" t="s">
        <v>587</v>
      </c>
      <c r="AA139" s="114" t="s">
        <v>588</v>
      </c>
      <c r="AB139" s="4" t="s">
        <v>506</v>
      </c>
      <c r="AC139" s="4" t="s">
        <v>507</v>
      </c>
      <c r="AD139" s="4" t="s">
        <v>508</v>
      </c>
      <c r="AE139" s="4" t="s">
        <v>509</v>
      </c>
      <c r="AF139" s="4" t="s">
        <v>589</v>
      </c>
      <c r="AG139" s="743">
        <v>0</v>
      </c>
      <c r="AI139" s="158"/>
    </row>
    <row r="140" spans="23:35">
      <c r="W140" s="4" t="s">
        <v>3405</v>
      </c>
      <c r="X140" s="4" t="s">
        <v>3362</v>
      </c>
      <c r="Y140" s="151" t="str">
        <f t="shared" si="14"/>
        <v>E5140</v>
      </c>
      <c r="Z140" s="4" t="s">
        <v>587</v>
      </c>
      <c r="AA140" s="114" t="s">
        <v>588</v>
      </c>
      <c r="AB140" s="4" t="s">
        <v>506</v>
      </c>
      <c r="AC140" s="4" t="s">
        <v>507</v>
      </c>
      <c r="AD140" s="4" t="s">
        <v>508</v>
      </c>
      <c r="AE140" s="4" t="s">
        <v>509</v>
      </c>
      <c r="AF140" s="4" t="s">
        <v>589</v>
      </c>
      <c r="AG140" s="743">
        <v>0</v>
      </c>
      <c r="AI140" s="158"/>
    </row>
    <row r="141" spans="23:35">
      <c r="W141" s="4" t="s">
        <v>3405</v>
      </c>
      <c r="X141" s="4" t="s">
        <v>3363</v>
      </c>
      <c r="Y141" s="151" t="str">
        <f t="shared" si="14"/>
        <v>E5140</v>
      </c>
      <c r="Z141" s="4" t="s">
        <v>587</v>
      </c>
      <c r="AA141" s="114" t="s">
        <v>588</v>
      </c>
      <c r="AB141" s="4" t="s">
        <v>506</v>
      </c>
      <c r="AC141" s="4" t="s">
        <v>507</v>
      </c>
      <c r="AD141" s="4" t="s">
        <v>508</v>
      </c>
      <c r="AE141" s="4" t="s">
        <v>509</v>
      </c>
      <c r="AF141" s="4" t="s">
        <v>589</v>
      </c>
      <c r="AG141" s="743">
        <v>0</v>
      </c>
      <c r="AI141" s="158"/>
    </row>
    <row r="142" spans="23:35">
      <c r="W142" s="4" t="s">
        <v>3405</v>
      </c>
      <c r="X142" s="4" t="s">
        <v>3364</v>
      </c>
      <c r="Y142" s="151" t="str">
        <f t="shared" si="14"/>
        <v>E5140</v>
      </c>
      <c r="Z142" s="4" t="s">
        <v>587</v>
      </c>
      <c r="AA142" s="114" t="s">
        <v>588</v>
      </c>
      <c r="AB142" s="4" t="s">
        <v>506</v>
      </c>
      <c r="AC142" s="4" t="s">
        <v>507</v>
      </c>
      <c r="AD142" s="4" t="s">
        <v>508</v>
      </c>
      <c r="AE142" s="4" t="s">
        <v>509</v>
      </c>
      <c r="AF142" s="4" t="s">
        <v>589</v>
      </c>
      <c r="AG142" s="743">
        <v>0</v>
      </c>
      <c r="AI142" s="158"/>
    </row>
    <row r="143" spans="23:35">
      <c r="W143" s="4" t="s">
        <v>3405</v>
      </c>
      <c r="X143" s="4" t="s">
        <v>3365</v>
      </c>
      <c r="Y143" s="151" t="str">
        <f t="shared" si="14"/>
        <v>E5140</v>
      </c>
      <c r="Z143" s="4" t="s">
        <v>587</v>
      </c>
      <c r="AA143" s="114" t="s">
        <v>588</v>
      </c>
      <c r="AB143" s="4" t="s">
        <v>506</v>
      </c>
      <c r="AC143" s="4" t="s">
        <v>507</v>
      </c>
      <c r="AD143" s="4" t="s">
        <v>508</v>
      </c>
      <c r="AE143" s="4" t="s">
        <v>509</v>
      </c>
      <c r="AF143" s="4" t="s">
        <v>589</v>
      </c>
      <c r="AG143" s="743">
        <v>0</v>
      </c>
      <c r="AI143" s="158"/>
    </row>
    <row r="144" spans="23:35">
      <c r="W144" s="4" t="s">
        <v>3405</v>
      </c>
      <c r="X144" s="4" t="s">
        <v>3366</v>
      </c>
      <c r="Y144" s="151" t="str">
        <f t="shared" si="14"/>
        <v>E5140</v>
      </c>
      <c r="Z144" s="4" t="s">
        <v>587</v>
      </c>
      <c r="AA144" s="114" t="s">
        <v>588</v>
      </c>
      <c r="AB144" s="4" t="s">
        <v>506</v>
      </c>
      <c r="AC144" s="4" t="s">
        <v>507</v>
      </c>
      <c r="AD144" s="4" t="s">
        <v>508</v>
      </c>
      <c r="AE144" s="4" t="s">
        <v>509</v>
      </c>
      <c r="AF144" s="4" t="s">
        <v>589</v>
      </c>
      <c r="AG144" s="743">
        <v>0</v>
      </c>
      <c r="AI144" s="158"/>
    </row>
    <row r="145" spans="23:44">
      <c r="W145" s="4" t="s">
        <v>3405</v>
      </c>
      <c r="X145" s="4" t="s">
        <v>3367</v>
      </c>
      <c r="Y145" s="151" t="str">
        <f t="shared" si="14"/>
        <v>E5140</v>
      </c>
      <c r="Z145" s="4" t="s">
        <v>587</v>
      </c>
      <c r="AA145" s="114" t="s">
        <v>588</v>
      </c>
      <c r="AB145" s="4" t="s">
        <v>506</v>
      </c>
      <c r="AC145" s="4" t="s">
        <v>507</v>
      </c>
      <c r="AD145" s="4" t="s">
        <v>508</v>
      </c>
      <c r="AE145" s="4" t="s">
        <v>509</v>
      </c>
      <c r="AF145" s="4" t="s">
        <v>589</v>
      </c>
      <c r="AG145" s="743">
        <v>0</v>
      </c>
      <c r="AI145" s="158"/>
    </row>
    <row r="146" spans="23:44">
      <c r="W146" s="4" t="s">
        <v>3405</v>
      </c>
      <c r="X146" s="3" t="s">
        <v>3356</v>
      </c>
      <c r="Y146" s="150" t="str">
        <f>INDEX($B$3:$O$110,15,1)</f>
        <v>E5150</v>
      </c>
      <c r="Z146" s="4" t="s">
        <v>587</v>
      </c>
      <c r="AA146" s="114" t="s">
        <v>588</v>
      </c>
      <c r="AB146" s="4" t="s">
        <v>506</v>
      </c>
      <c r="AC146" s="4" t="s">
        <v>507</v>
      </c>
      <c r="AD146" s="4" t="s">
        <v>508</v>
      </c>
      <c r="AE146" s="4" t="s">
        <v>509</v>
      </c>
      <c r="AF146" s="4" t="s">
        <v>589</v>
      </c>
      <c r="AG146" s="743">
        <v>0</v>
      </c>
      <c r="AI146" s="158"/>
    </row>
    <row r="147" spans="23:44">
      <c r="W147" s="4" t="s">
        <v>3405</v>
      </c>
      <c r="X147" s="4" t="s">
        <v>3357</v>
      </c>
      <c r="Y147" s="151" t="str">
        <f>Y146</f>
        <v>E5150</v>
      </c>
      <c r="Z147" s="4" t="s">
        <v>587</v>
      </c>
      <c r="AA147" s="114" t="s">
        <v>588</v>
      </c>
      <c r="AB147" s="4" t="s">
        <v>506</v>
      </c>
      <c r="AC147" s="4" t="s">
        <v>507</v>
      </c>
      <c r="AD147" s="4" t="s">
        <v>508</v>
      </c>
      <c r="AE147" s="4" t="s">
        <v>509</v>
      </c>
      <c r="AF147" s="4" t="s">
        <v>589</v>
      </c>
      <c r="AG147" s="743">
        <v>0</v>
      </c>
      <c r="AI147" s="158"/>
    </row>
    <row r="148" spans="23:44">
      <c r="W148" s="4" t="s">
        <v>3405</v>
      </c>
      <c r="X148" s="4" t="s">
        <v>3358</v>
      </c>
      <c r="Y148" s="151" t="str">
        <f t="shared" ref="Y148:Y157" si="15">Y147</f>
        <v>E5150</v>
      </c>
      <c r="Z148" s="4" t="s">
        <v>587</v>
      </c>
      <c r="AA148" s="114" t="s">
        <v>588</v>
      </c>
      <c r="AB148" s="4" t="s">
        <v>506</v>
      </c>
      <c r="AC148" s="4" t="s">
        <v>507</v>
      </c>
      <c r="AD148" s="4" t="s">
        <v>508</v>
      </c>
      <c r="AE148" s="4" t="s">
        <v>509</v>
      </c>
      <c r="AF148" s="4" t="s">
        <v>589</v>
      </c>
      <c r="AG148" s="743">
        <v>0</v>
      </c>
      <c r="AI148" s="158"/>
    </row>
    <row r="149" spans="23:44">
      <c r="W149" s="4" t="s">
        <v>3405</v>
      </c>
      <c r="X149" s="4" t="s">
        <v>3359</v>
      </c>
      <c r="Y149" s="151" t="str">
        <f t="shared" si="15"/>
        <v>E5150</v>
      </c>
      <c r="Z149" s="4" t="s">
        <v>587</v>
      </c>
      <c r="AA149" s="114" t="s">
        <v>588</v>
      </c>
      <c r="AB149" s="4" t="s">
        <v>506</v>
      </c>
      <c r="AC149" s="4" t="s">
        <v>507</v>
      </c>
      <c r="AD149" s="4" t="s">
        <v>508</v>
      </c>
      <c r="AE149" s="4" t="s">
        <v>509</v>
      </c>
      <c r="AF149" s="4" t="s">
        <v>589</v>
      </c>
      <c r="AG149" s="743">
        <v>0</v>
      </c>
      <c r="AI149" s="158"/>
    </row>
    <row r="150" spans="23:44">
      <c r="W150" s="4" t="s">
        <v>3405</v>
      </c>
      <c r="X150" s="4" t="s">
        <v>3360</v>
      </c>
      <c r="Y150" s="151" t="str">
        <f t="shared" si="15"/>
        <v>E5150</v>
      </c>
      <c r="Z150" s="4" t="s">
        <v>587</v>
      </c>
      <c r="AA150" s="114" t="s">
        <v>588</v>
      </c>
      <c r="AB150" s="4" t="s">
        <v>506</v>
      </c>
      <c r="AC150" s="4" t="s">
        <v>507</v>
      </c>
      <c r="AD150" s="4" t="s">
        <v>508</v>
      </c>
      <c r="AE150" s="4" t="s">
        <v>509</v>
      </c>
      <c r="AF150" s="4" t="s">
        <v>589</v>
      </c>
      <c r="AG150" s="743">
        <v>0</v>
      </c>
      <c r="AI150" s="158"/>
    </row>
    <row r="151" spans="23:44">
      <c r="W151" s="4" t="s">
        <v>3405</v>
      </c>
      <c r="X151" s="4" t="s">
        <v>3361</v>
      </c>
      <c r="Y151" s="151" t="str">
        <f t="shared" si="15"/>
        <v>E5150</v>
      </c>
      <c r="Z151" s="4" t="s">
        <v>587</v>
      </c>
      <c r="AA151" s="114" t="s">
        <v>588</v>
      </c>
      <c r="AB151" s="4" t="s">
        <v>506</v>
      </c>
      <c r="AC151" s="4" t="s">
        <v>507</v>
      </c>
      <c r="AD151" s="4" t="s">
        <v>508</v>
      </c>
      <c r="AE151" s="4" t="s">
        <v>509</v>
      </c>
      <c r="AF151" s="4" t="s">
        <v>589</v>
      </c>
      <c r="AG151" s="743">
        <v>0</v>
      </c>
      <c r="AI151" s="158"/>
    </row>
    <row r="152" spans="23:44">
      <c r="W152" s="4" t="s">
        <v>3405</v>
      </c>
      <c r="X152" s="4" t="s">
        <v>3362</v>
      </c>
      <c r="Y152" s="151" t="str">
        <f t="shared" si="15"/>
        <v>E5150</v>
      </c>
      <c r="Z152" s="4" t="s">
        <v>587</v>
      </c>
      <c r="AA152" s="114" t="s">
        <v>588</v>
      </c>
      <c r="AB152" s="4" t="s">
        <v>506</v>
      </c>
      <c r="AC152" s="4" t="s">
        <v>507</v>
      </c>
      <c r="AD152" s="4" t="s">
        <v>508</v>
      </c>
      <c r="AE152" s="4" t="s">
        <v>509</v>
      </c>
      <c r="AF152" s="4" t="s">
        <v>589</v>
      </c>
      <c r="AG152" s="743">
        <v>0</v>
      </c>
      <c r="AI152" s="158"/>
    </row>
    <row r="153" spans="23:44">
      <c r="W153" s="4" t="s">
        <v>3405</v>
      </c>
      <c r="X153" s="4" t="s">
        <v>3363</v>
      </c>
      <c r="Y153" s="151" t="str">
        <f t="shared" si="15"/>
        <v>E5150</v>
      </c>
      <c r="Z153" s="4" t="s">
        <v>587</v>
      </c>
      <c r="AA153" s="114" t="s">
        <v>588</v>
      </c>
      <c r="AB153" s="4" t="s">
        <v>506</v>
      </c>
      <c r="AC153" s="4" t="s">
        <v>507</v>
      </c>
      <c r="AD153" s="4" t="s">
        <v>508</v>
      </c>
      <c r="AE153" s="4" t="s">
        <v>509</v>
      </c>
      <c r="AF153" s="4" t="s">
        <v>589</v>
      </c>
      <c r="AG153" s="743">
        <v>0</v>
      </c>
      <c r="AI153" s="158"/>
    </row>
    <row r="154" spans="23:44">
      <c r="W154" s="4" t="s">
        <v>3405</v>
      </c>
      <c r="X154" s="4" t="s">
        <v>3364</v>
      </c>
      <c r="Y154" s="151" t="str">
        <f t="shared" si="15"/>
        <v>E5150</v>
      </c>
      <c r="Z154" s="4" t="s">
        <v>587</v>
      </c>
      <c r="AA154" s="114" t="s">
        <v>588</v>
      </c>
      <c r="AB154" s="4" t="s">
        <v>506</v>
      </c>
      <c r="AC154" s="4" t="s">
        <v>507</v>
      </c>
      <c r="AD154" s="4" t="s">
        <v>508</v>
      </c>
      <c r="AE154" s="4" t="s">
        <v>509</v>
      </c>
      <c r="AF154" s="4" t="s">
        <v>589</v>
      </c>
      <c r="AG154" s="743">
        <v>0</v>
      </c>
      <c r="AI154" s="158"/>
    </row>
    <row r="155" spans="23:44">
      <c r="W155" s="4" t="s">
        <v>3405</v>
      </c>
      <c r="X155" s="4" t="s">
        <v>3365</v>
      </c>
      <c r="Y155" s="151" t="str">
        <f t="shared" si="15"/>
        <v>E5150</v>
      </c>
      <c r="Z155" s="4" t="s">
        <v>587</v>
      </c>
      <c r="AA155" s="114" t="s">
        <v>588</v>
      </c>
      <c r="AB155" s="4" t="s">
        <v>506</v>
      </c>
      <c r="AC155" s="4" t="s">
        <v>507</v>
      </c>
      <c r="AD155" s="4" t="s">
        <v>508</v>
      </c>
      <c r="AE155" s="4" t="s">
        <v>509</v>
      </c>
      <c r="AF155" s="4" t="s">
        <v>589</v>
      </c>
      <c r="AG155" s="743">
        <v>0</v>
      </c>
      <c r="AI155" s="158"/>
    </row>
    <row r="156" spans="23:44">
      <c r="W156" s="4" t="s">
        <v>3405</v>
      </c>
      <c r="X156" s="4" t="s">
        <v>3366</v>
      </c>
      <c r="Y156" s="151" t="str">
        <f t="shared" si="15"/>
        <v>E5150</v>
      </c>
      <c r="Z156" s="4" t="s">
        <v>587</v>
      </c>
      <c r="AA156" s="114" t="s">
        <v>588</v>
      </c>
      <c r="AB156" s="4" t="s">
        <v>506</v>
      </c>
      <c r="AC156" s="4" t="s">
        <v>507</v>
      </c>
      <c r="AD156" s="4" t="s">
        <v>508</v>
      </c>
      <c r="AE156" s="4" t="s">
        <v>509</v>
      </c>
      <c r="AF156" s="4" t="s">
        <v>589</v>
      </c>
      <c r="AG156" s="743">
        <v>0</v>
      </c>
      <c r="AI156" s="158"/>
    </row>
    <row r="157" spans="23:44">
      <c r="W157" s="4" t="s">
        <v>3405</v>
      </c>
      <c r="X157" s="4" t="s">
        <v>3367</v>
      </c>
      <c r="Y157" s="151" t="str">
        <f t="shared" si="15"/>
        <v>E5150</v>
      </c>
      <c r="Z157" s="4" t="s">
        <v>587</v>
      </c>
      <c r="AA157" s="114" t="s">
        <v>588</v>
      </c>
      <c r="AB157" s="4" t="s">
        <v>506</v>
      </c>
      <c r="AC157" s="4" t="s">
        <v>507</v>
      </c>
      <c r="AD157" s="4" t="s">
        <v>508</v>
      </c>
      <c r="AE157" s="4" t="s">
        <v>509</v>
      </c>
      <c r="AF157" s="4" t="s">
        <v>589</v>
      </c>
      <c r="AG157" s="743">
        <v>0</v>
      </c>
      <c r="AH157" s="4"/>
      <c r="AI157" s="158"/>
      <c r="AJ157" s="4"/>
      <c r="AK157" s="4"/>
      <c r="AL157" s="4"/>
      <c r="AM157" s="4"/>
      <c r="AN157" s="4"/>
      <c r="AO157" s="4"/>
      <c r="AP157" s="4"/>
      <c r="AQ157" s="4"/>
      <c r="AR157" s="4"/>
    </row>
    <row r="158" spans="23:44">
      <c r="W158" s="4" t="s">
        <v>3405</v>
      </c>
      <c r="X158" s="3" t="s">
        <v>3356</v>
      </c>
      <c r="Y158" s="150" t="str">
        <f>INDEX($B$3:$O$110,16,1)</f>
        <v>E5160</v>
      </c>
      <c r="Z158" s="4" t="s">
        <v>587</v>
      </c>
      <c r="AA158" s="114" t="s">
        <v>588</v>
      </c>
      <c r="AB158" s="4" t="s">
        <v>506</v>
      </c>
      <c r="AC158" s="4" t="s">
        <v>507</v>
      </c>
      <c r="AD158" s="4" t="s">
        <v>508</v>
      </c>
      <c r="AE158" s="4" t="s">
        <v>509</v>
      </c>
      <c r="AF158" s="4" t="s">
        <v>589</v>
      </c>
      <c r="AG158" s="743">
        <v>0</v>
      </c>
      <c r="AH158" s="152"/>
      <c r="AI158" s="158"/>
      <c r="AJ158" s="152"/>
      <c r="AK158" s="152"/>
      <c r="AL158" s="152"/>
      <c r="AM158" s="152"/>
      <c r="AN158" s="152"/>
      <c r="AO158" s="152"/>
      <c r="AP158" s="152"/>
      <c r="AQ158" s="152"/>
      <c r="AR158" s="152"/>
    </row>
    <row r="159" spans="23:44">
      <c r="W159" s="4" t="s">
        <v>3405</v>
      </c>
      <c r="X159" s="4" t="s">
        <v>3357</v>
      </c>
      <c r="Y159" s="151" t="str">
        <f>Y158</f>
        <v>E5160</v>
      </c>
      <c r="Z159" s="4" t="s">
        <v>587</v>
      </c>
      <c r="AA159" s="114" t="s">
        <v>588</v>
      </c>
      <c r="AB159" s="4" t="s">
        <v>506</v>
      </c>
      <c r="AC159" s="4" t="s">
        <v>507</v>
      </c>
      <c r="AD159" s="4" t="s">
        <v>508</v>
      </c>
      <c r="AE159" s="4" t="s">
        <v>509</v>
      </c>
      <c r="AF159" s="4" t="s">
        <v>589</v>
      </c>
      <c r="AG159" s="743">
        <v>0</v>
      </c>
      <c r="AH159" s="152"/>
      <c r="AI159" s="158"/>
    </row>
    <row r="160" spans="23:44">
      <c r="W160" s="4" t="s">
        <v>3405</v>
      </c>
      <c r="X160" s="4" t="s">
        <v>3358</v>
      </c>
      <c r="Y160" s="151" t="str">
        <f t="shared" ref="Y160:Y169" si="16">Y159</f>
        <v>E5160</v>
      </c>
      <c r="Z160" s="4" t="s">
        <v>587</v>
      </c>
      <c r="AA160" s="114" t="s">
        <v>588</v>
      </c>
      <c r="AB160" s="4" t="s">
        <v>506</v>
      </c>
      <c r="AC160" s="4" t="s">
        <v>507</v>
      </c>
      <c r="AD160" s="4" t="s">
        <v>508</v>
      </c>
      <c r="AE160" s="4" t="s">
        <v>509</v>
      </c>
      <c r="AF160" s="4" t="s">
        <v>589</v>
      </c>
      <c r="AG160" s="743">
        <v>0</v>
      </c>
      <c r="AH160" s="152"/>
      <c r="AI160" s="158"/>
    </row>
    <row r="161" spans="23:35">
      <c r="W161" s="4" t="s">
        <v>3405</v>
      </c>
      <c r="X161" s="4" t="s">
        <v>3359</v>
      </c>
      <c r="Y161" s="151" t="str">
        <f t="shared" si="16"/>
        <v>E5160</v>
      </c>
      <c r="Z161" s="4" t="s">
        <v>587</v>
      </c>
      <c r="AA161" s="114" t="s">
        <v>588</v>
      </c>
      <c r="AB161" s="4" t="s">
        <v>506</v>
      </c>
      <c r="AC161" s="4" t="s">
        <v>507</v>
      </c>
      <c r="AD161" s="4" t="s">
        <v>508</v>
      </c>
      <c r="AE161" s="4" t="s">
        <v>509</v>
      </c>
      <c r="AF161" s="4" t="s">
        <v>589</v>
      </c>
      <c r="AG161" s="743">
        <v>0</v>
      </c>
      <c r="AH161" s="152"/>
      <c r="AI161" s="158"/>
    </row>
    <row r="162" spans="23:35">
      <c r="W162" s="4" t="s">
        <v>3405</v>
      </c>
      <c r="X162" s="4" t="s">
        <v>3360</v>
      </c>
      <c r="Y162" s="151" t="str">
        <f t="shared" si="16"/>
        <v>E5160</v>
      </c>
      <c r="Z162" s="4" t="s">
        <v>587</v>
      </c>
      <c r="AA162" s="114" t="s">
        <v>588</v>
      </c>
      <c r="AB162" s="4" t="s">
        <v>506</v>
      </c>
      <c r="AC162" s="4" t="s">
        <v>507</v>
      </c>
      <c r="AD162" s="4" t="s">
        <v>508</v>
      </c>
      <c r="AE162" s="4" t="s">
        <v>509</v>
      </c>
      <c r="AF162" s="4" t="s">
        <v>589</v>
      </c>
      <c r="AG162" s="743">
        <v>0</v>
      </c>
      <c r="AH162" s="152"/>
      <c r="AI162" s="158"/>
    </row>
    <row r="163" spans="23:35">
      <c r="W163" s="4" t="s">
        <v>3405</v>
      </c>
      <c r="X163" s="4" t="s">
        <v>3361</v>
      </c>
      <c r="Y163" s="151" t="str">
        <f t="shared" si="16"/>
        <v>E5160</v>
      </c>
      <c r="Z163" s="4" t="s">
        <v>587</v>
      </c>
      <c r="AA163" s="114" t="s">
        <v>588</v>
      </c>
      <c r="AB163" s="4" t="s">
        <v>506</v>
      </c>
      <c r="AC163" s="4" t="s">
        <v>507</v>
      </c>
      <c r="AD163" s="4" t="s">
        <v>508</v>
      </c>
      <c r="AE163" s="4" t="s">
        <v>509</v>
      </c>
      <c r="AF163" s="4" t="s">
        <v>589</v>
      </c>
      <c r="AG163" s="743">
        <v>0</v>
      </c>
      <c r="AH163" s="152"/>
      <c r="AI163" s="158"/>
    </row>
    <row r="164" spans="23:35">
      <c r="W164" s="4" t="s">
        <v>3405</v>
      </c>
      <c r="X164" s="4" t="s">
        <v>3362</v>
      </c>
      <c r="Y164" s="151" t="str">
        <f t="shared" si="16"/>
        <v>E5160</v>
      </c>
      <c r="Z164" s="4" t="s">
        <v>587</v>
      </c>
      <c r="AA164" s="114" t="s">
        <v>588</v>
      </c>
      <c r="AB164" s="4" t="s">
        <v>506</v>
      </c>
      <c r="AC164" s="4" t="s">
        <v>507</v>
      </c>
      <c r="AD164" s="4" t="s">
        <v>508</v>
      </c>
      <c r="AE164" s="4" t="s">
        <v>509</v>
      </c>
      <c r="AF164" s="4" t="s">
        <v>589</v>
      </c>
      <c r="AG164" s="743">
        <v>0</v>
      </c>
      <c r="AH164" s="152"/>
      <c r="AI164" s="158"/>
    </row>
    <row r="165" spans="23:35">
      <c r="W165" s="4" t="s">
        <v>3405</v>
      </c>
      <c r="X165" s="4" t="s">
        <v>3363</v>
      </c>
      <c r="Y165" s="151" t="str">
        <f t="shared" si="16"/>
        <v>E5160</v>
      </c>
      <c r="Z165" s="4" t="s">
        <v>587</v>
      </c>
      <c r="AA165" s="114" t="s">
        <v>588</v>
      </c>
      <c r="AB165" s="4" t="s">
        <v>506</v>
      </c>
      <c r="AC165" s="4" t="s">
        <v>507</v>
      </c>
      <c r="AD165" s="4" t="s">
        <v>508</v>
      </c>
      <c r="AE165" s="4" t="s">
        <v>509</v>
      </c>
      <c r="AF165" s="4" t="s">
        <v>589</v>
      </c>
      <c r="AG165" s="743">
        <v>0</v>
      </c>
      <c r="AH165" s="152"/>
      <c r="AI165" s="158"/>
    </row>
    <row r="166" spans="23:35">
      <c r="W166" s="4" t="s">
        <v>3405</v>
      </c>
      <c r="X166" s="4" t="s">
        <v>3364</v>
      </c>
      <c r="Y166" s="151" t="str">
        <f t="shared" si="16"/>
        <v>E5160</v>
      </c>
      <c r="Z166" s="4" t="s">
        <v>587</v>
      </c>
      <c r="AA166" s="114" t="s">
        <v>588</v>
      </c>
      <c r="AB166" s="4" t="s">
        <v>506</v>
      </c>
      <c r="AC166" s="4" t="s">
        <v>507</v>
      </c>
      <c r="AD166" s="4" t="s">
        <v>508</v>
      </c>
      <c r="AE166" s="4" t="s">
        <v>509</v>
      </c>
      <c r="AF166" s="4" t="s">
        <v>589</v>
      </c>
      <c r="AG166" s="743">
        <v>0</v>
      </c>
      <c r="AH166" s="152"/>
      <c r="AI166" s="158"/>
    </row>
    <row r="167" spans="23:35">
      <c r="W167" s="4" t="s">
        <v>3405</v>
      </c>
      <c r="X167" s="4" t="s">
        <v>3365</v>
      </c>
      <c r="Y167" s="151" t="str">
        <f t="shared" si="16"/>
        <v>E5160</v>
      </c>
      <c r="Z167" s="4" t="s">
        <v>587</v>
      </c>
      <c r="AA167" s="114" t="s">
        <v>588</v>
      </c>
      <c r="AB167" s="4" t="s">
        <v>506</v>
      </c>
      <c r="AC167" s="4" t="s">
        <v>507</v>
      </c>
      <c r="AD167" s="4" t="s">
        <v>508</v>
      </c>
      <c r="AE167" s="4" t="s">
        <v>509</v>
      </c>
      <c r="AF167" s="4" t="s">
        <v>589</v>
      </c>
      <c r="AG167" s="743">
        <v>0</v>
      </c>
      <c r="AH167" s="152"/>
      <c r="AI167" s="158"/>
    </row>
    <row r="168" spans="23:35">
      <c r="W168" s="4" t="s">
        <v>3405</v>
      </c>
      <c r="X168" s="4" t="s">
        <v>3366</v>
      </c>
      <c r="Y168" s="151" t="str">
        <f t="shared" si="16"/>
        <v>E5160</v>
      </c>
      <c r="Z168" s="4" t="s">
        <v>587</v>
      </c>
      <c r="AA168" s="114" t="s">
        <v>588</v>
      </c>
      <c r="AB168" s="4" t="s">
        <v>506</v>
      </c>
      <c r="AC168" s="4" t="s">
        <v>507</v>
      </c>
      <c r="AD168" s="4" t="s">
        <v>508</v>
      </c>
      <c r="AE168" s="4" t="s">
        <v>509</v>
      </c>
      <c r="AF168" s="4" t="s">
        <v>589</v>
      </c>
      <c r="AG168" s="743">
        <v>0</v>
      </c>
      <c r="AH168" s="152"/>
      <c r="AI168" s="158"/>
    </row>
    <row r="169" spans="23:35">
      <c r="W169" s="4" t="s">
        <v>3405</v>
      </c>
      <c r="X169" s="4" t="s">
        <v>3367</v>
      </c>
      <c r="Y169" s="151" t="str">
        <f t="shared" si="16"/>
        <v>E5160</v>
      </c>
      <c r="Z169" s="4" t="s">
        <v>587</v>
      </c>
      <c r="AA169" s="114" t="s">
        <v>588</v>
      </c>
      <c r="AB169" s="4" t="s">
        <v>506</v>
      </c>
      <c r="AC169" s="4" t="s">
        <v>507</v>
      </c>
      <c r="AD169" s="4" t="s">
        <v>508</v>
      </c>
      <c r="AE169" s="4" t="s">
        <v>509</v>
      </c>
      <c r="AF169" s="4" t="s">
        <v>589</v>
      </c>
      <c r="AG169" s="743">
        <v>0</v>
      </c>
      <c r="AH169" s="152"/>
      <c r="AI169" s="158"/>
    </row>
    <row r="170" spans="23:35">
      <c r="W170" s="4" t="s">
        <v>3405</v>
      </c>
      <c r="X170" s="3" t="s">
        <v>3356</v>
      </c>
      <c r="Y170" s="150" t="str">
        <f>INDEX($B$3:$O$110,19,1)</f>
        <v>E5170</v>
      </c>
      <c r="Z170" s="4" t="s">
        <v>587</v>
      </c>
      <c r="AA170" s="114" t="s">
        <v>588</v>
      </c>
      <c r="AB170" s="4" t="s">
        <v>506</v>
      </c>
      <c r="AC170" s="4" t="s">
        <v>507</v>
      </c>
      <c r="AD170" s="4" t="s">
        <v>508</v>
      </c>
      <c r="AE170" s="4" t="s">
        <v>509</v>
      </c>
      <c r="AF170" s="4" t="s">
        <v>589</v>
      </c>
      <c r="AG170" s="743">
        <v>0</v>
      </c>
      <c r="AI170" s="158"/>
    </row>
    <row r="171" spans="23:35">
      <c r="W171" s="4" t="s">
        <v>3405</v>
      </c>
      <c r="X171" s="4" t="s">
        <v>3357</v>
      </c>
      <c r="Y171" s="151" t="str">
        <f>Y170</f>
        <v>E5170</v>
      </c>
      <c r="Z171" s="4" t="s">
        <v>587</v>
      </c>
      <c r="AA171" s="114" t="s">
        <v>588</v>
      </c>
      <c r="AB171" s="4" t="s">
        <v>506</v>
      </c>
      <c r="AC171" s="4" t="s">
        <v>507</v>
      </c>
      <c r="AD171" s="4" t="s">
        <v>508</v>
      </c>
      <c r="AE171" s="4" t="s">
        <v>509</v>
      </c>
      <c r="AF171" s="4" t="s">
        <v>589</v>
      </c>
      <c r="AG171" s="743">
        <v>0</v>
      </c>
      <c r="AI171" s="158"/>
    </row>
    <row r="172" spans="23:35">
      <c r="W172" s="4" t="s">
        <v>3405</v>
      </c>
      <c r="X172" s="4" t="s">
        <v>3358</v>
      </c>
      <c r="Y172" s="151" t="str">
        <f t="shared" ref="Y172:Y181" si="17">Y171</f>
        <v>E5170</v>
      </c>
      <c r="Z172" s="4" t="s">
        <v>587</v>
      </c>
      <c r="AA172" s="114" t="s">
        <v>588</v>
      </c>
      <c r="AB172" s="4" t="s">
        <v>506</v>
      </c>
      <c r="AC172" s="4" t="s">
        <v>507</v>
      </c>
      <c r="AD172" s="4" t="s">
        <v>508</v>
      </c>
      <c r="AE172" s="4" t="s">
        <v>509</v>
      </c>
      <c r="AF172" s="4" t="s">
        <v>589</v>
      </c>
      <c r="AG172" s="743">
        <v>0</v>
      </c>
      <c r="AI172" s="158"/>
    </row>
    <row r="173" spans="23:35">
      <c r="W173" s="4" t="s">
        <v>3405</v>
      </c>
      <c r="X173" s="4" t="s">
        <v>3359</v>
      </c>
      <c r="Y173" s="151" t="str">
        <f t="shared" si="17"/>
        <v>E5170</v>
      </c>
      <c r="Z173" s="4" t="s">
        <v>587</v>
      </c>
      <c r="AA173" s="114" t="s">
        <v>588</v>
      </c>
      <c r="AB173" s="4" t="s">
        <v>506</v>
      </c>
      <c r="AC173" s="4" t="s">
        <v>507</v>
      </c>
      <c r="AD173" s="4" t="s">
        <v>508</v>
      </c>
      <c r="AE173" s="4" t="s">
        <v>509</v>
      </c>
      <c r="AF173" s="4" t="s">
        <v>589</v>
      </c>
      <c r="AG173" s="743">
        <v>0</v>
      </c>
      <c r="AI173" s="158"/>
    </row>
    <row r="174" spans="23:35">
      <c r="W174" s="4" t="s">
        <v>3405</v>
      </c>
      <c r="X174" s="4" t="s">
        <v>3360</v>
      </c>
      <c r="Y174" s="151" t="str">
        <f t="shared" si="17"/>
        <v>E5170</v>
      </c>
      <c r="Z174" s="4" t="s">
        <v>587</v>
      </c>
      <c r="AA174" s="114" t="s">
        <v>588</v>
      </c>
      <c r="AB174" s="4" t="s">
        <v>506</v>
      </c>
      <c r="AC174" s="4" t="s">
        <v>507</v>
      </c>
      <c r="AD174" s="4" t="s">
        <v>508</v>
      </c>
      <c r="AE174" s="4" t="s">
        <v>509</v>
      </c>
      <c r="AF174" s="4" t="s">
        <v>589</v>
      </c>
      <c r="AG174" s="743">
        <v>0</v>
      </c>
      <c r="AI174" s="158"/>
    </row>
    <row r="175" spans="23:35">
      <c r="W175" s="4" t="s">
        <v>3405</v>
      </c>
      <c r="X175" s="4" t="s">
        <v>3361</v>
      </c>
      <c r="Y175" s="151" t="str">
        <f t="shared" si="17"/>
        <v>E5170</v>
      </c>
      <c r="Z175" s="4" t="s">
        <v>587</v>
      </c>
      <c r="AA175" s="114" t="s">
        <v>588</v>
      </c>
      <c r="AB175" s="4" t="s">
        <v>506</v>
      </c>
      <c r="AC175" s="4" t="s">
        <v>507</v>
      </c>
      <c r="AD175" s="4" t="s">
        <v>508</v>
      </c>
      <c r="AE175" s="4" t="s">
        <v>509</v>
      </c>
      <c r="AF175" s="4" t="s">
        <v>589</v>
      </c>
      <c r="AG175" s="743">
        <v>0</v>
      </c>
      <c r="AI175" s="158"/>
    </row>
    <row r="176" spans="23:35">
      <c r="W176" s="4" t="s">
        <v>3405</v>
      </c>
      <c r="X176" s="4" t="s">
        <v>3362</v>
      </c>
      <c r="Y176" s="151" t="str">
        <f t="shared" si="17"/>
        <v>E5170</v>
      </c>
      <c r="Z176" s="4" t="s">
        <v>587</v>
      </c>
      <c r="AA176" s="114" t="s">
        <v>588</v>
      </c>
      <c r="AB176" s="4" t="s">
        <v>506</v>
      </c>
      <c r="AC176" s="4" t="s">
        <v>507</v>
      </c>
      <c r="AD176" s="4" t="s">
        <v>508</v>
      </c>
      <c r="AE176" s="4" t="s">
        <v>509</v>
      </c>
      <c r="AF176" s="4" t="s">
        <v>589</v>
      </c>
      <c r="AG176" s="743">
        <v>0</v>
      </c>
      <c r="AI176" s="158"/>
    </row>
    <row r="177" spans="23:35">
      <c r="W177" s="4" t="s">
        <v>3405</v>
      </c>
      <c r="X177" s="4" t="s">
        <v>3363</v>
      </c>
      <c r="Y177" s="151" t="str">
        <f t="shared" si="17"/>
        <v>E5170</v>
      </c>
      <c r="Z177" s="4" t="s">
        <v>587</v>
      </c>
      <c r="AA177" s="114" t="s">
        <v>588</v>
      </c>
      <c r="AB177" s="4" t="s">
        <v>506</v>
      </c>
      <c r="AC177" s="4" t="s">
        <v>507</v>
      </c>
      <c r="AD177" s="4" t="s">
        <v>508</v>
      </c>
      <c r="AE177" s="4" t="s">
        <v>509</v>
      </c>
      <c r="AF177" s="4" t="s">
        <v>589</v>
      </c>
      <c r="AG177" s="743">
        <v>0</v>
      </c>
      <c r="AI177" s="158"/>
    </row>
    <row r="178" spans="23:35">
      <c r="W178" s="4" t="s">
        <v>3405</v>
      </c>
      <c r="X178" s="4" t="s">
        <v>3364</v>
      </c>
      <c r="Y178" s="151" t="str">
        <f t="shared" si="17"/>
        <v>E5170</v>
      </c>
      <c r="Z178" s="4" t="s">
        <v>587</v>
      </c>
      <c r="AA178" s="114" t="s">
        <v>588</v>
      </c>
      <c r="AB178" s="4" t="s">
        <v>506</v>
      </c>
      <c r="AC178" s="4" t="s">
        <v>507</v>
      </c>
      <c r="AD178" s="4" t="s">
        <v>508</v>
      </c>
      <c r="AE178" s="4" t="s">
        <v>509</v>
      </c>
      <c r="AF178" s="4" t="s">
        <v>589</v>
      </c>
      <c r="AG178" s="743">
        <v>0</v>
      </c>
      <c r="AI178" s="158"/>
    </row>
    <row r="179" spans="23:35">
      <c r="W179" s="4" t="s">
        <v>3405</v>
      </c>
      <c r="X179" s="4" t="s">
        <v>3365</v>
      </c>
      <c r="Y179" s="151" t="str">
        <f t="shared" si="17"/>
        <v>E5170</v>
      </c>
      <c r="Z179" s="4" t="s">
        <v>587</v>
      </c>
      <c r="AA179" s="114" t="s">
        <v>588</v>
      </c>
      <c r="AB179" s="4" t="s">
        <v>506</v>
      </c>
      <c r="AC179" s="4" t="s">
        <v>507</v>
      </c>
      <c r="AD179" s="4" t="s">
        <v>508</v>
      </c>
      <c r="AE179" s="4" t="s">
        <v>509</v>
      </c>
      <c r="AF179" s="4" t="s">
        <v>589</v>
      </c>
      <c r="AG179" s="743">
        <v>0</v>
      </c>
      <c r="AI179" s="158"/>
    </row>
    <row r="180" spans="23:35">
      <c r="W180" s="4" t="s">
        <v>3405</v>
      </c>
      <c r="X180" s="4" t="s">
        <v>3366</v>
      </c>
      <c r="Y180" s="151" t="str">
        <f t="shared" si="17"/>
        <v>E5170</v>
      </c>
      <c r="Z180" s="4" t="s">
        <v>587</v>
      </c>
      <c r="AA180" s="114" t="s">
        <v>588</v>
      </c>
      <c r="AB180" s="4" t="s">
        <v>506</v>
      </c>
      <c r="AC180" s="4" t="s">
        <v>507</v>
      </c>
      <c r="AD180" s="4" t="s">
        <v>508</v>
      </c>
      <c r="AE180" s="4" t="s">
        <v>509</v>
      </c>
      <c r="AF180" s="4" t="s">
        <v>589</v>
      </c>
      <c r="AG180" s="743">
        <v>0</v>
      </c>
      <c r="AI180" s="158"/>
    </row>
    <row r="181" spans="23:35">
      <c r="W181" s="4" t="s">
        <v>3405</v>
      </c>
      <c r="X181" s="4" t="s">
        <v>3367</v>
      </c>
      <c r="Y181" s="151" t="str">
        <f t="shared" si="17"/>
        <v>E5170</v>
      </c>
      <c r="Z181" s="4" t="s">
        <v>587</v>
      </c>
      <c r="AA181" s="114" t="s">
        <v>588</v>
      </c>
      <c r="AB181" s="4" t="s">
        <v>506</v>
      </c>
      <c r="AC181" s="4" t="s">
        <v>507</v>
      </c>
      <c r="AD181" s="4" t="s">
        <v>508</v>
      </c>
      <c r="AE181" s="4" t="s">
        <v>509</v>
      </c>
      <c r="AF181" s="4" t="s">
        <v>589</v>
      </c>
      <c r="AG181" s="743">
        <v>0</v>
      </c>
      <c r="AI181" s="158"/>
    </row>
    <row r="182" spans="23:35">
      <c r="W182" s="4" t="s">
        <v>3405</v>
      </c>
      <c r="X182" s="3" t="s">
        <v>3356</v>
      </c>
      <c r="Y182" s="150" t="str">
        <f>INDEX($B$3:$O$110,20,1)</f>
        <v>E5180</v>
      </c>
      <c r="Z182" s="4" t="s">
        <v>587</v>
      </c>
      <c r="AA182" s="114" t="s">
        <v>588</v>
      </c>
      <c r="AB182" s="4" t="s">
        <v>506</v>
      </c>
      <c r="AC182" s="4" t="s">
        <v>507</v>
      </c>
      <c r="AD182" s="4" t="s">
        <v>508</v>
      </c>
      <c r="AE182" s="4" t="s">
        <v>509</v>
      </c>
      <c r="AF182" s="4" t="s">
        <v>589</v>
      </c>
      <c r="AG182" s="743">
        <v>0</v>
      </c>
      <c r="AI182" s="158"/>
    </row>
    <row r="183" spans="23:35">
      <c r="W183" s="4" t="s">
        <v>3405</v>
      </c>
      <c r="X183" s="4" t="s">
        <v>3357</v>
      </c>
      <c r="Y183" s="151" t="str">
        <f>Y182</f>
        <v>E5180</v>
      </c>
      <c r="Z183" s="4" t="s">
        <v>587</v>
      </c>
      <c r="AA183" s="114" t="s">
        <v>588</v>
      </c>
      <c r="AB183" s="4" t="s">
        <v>506</v>
      </c>
      <c r="AC183" s="4" t="s">
        <v>507</v>
      </c>
      <c r="AD183" s="4" t="s">
        <v>508</v>
      </c>
      <c r="AE183" s="4" t="s">
        <v>509</v>
      </c>
      <c r="AF183" s="4" t="s">
        <v>589</v>
      </c>
      <c r="AG183" s="743">
        <v>0</v>
      </c>
      <c r="AI183" s="158"/>
    </row>
    <row r="184" spans="23:35">
      <c r="W184" s="4" t="s">
        <v>3405</v>
      </c>
      <c r="X184" s="4" t="s">
        <v>3358</v>
      </c>
      <c r="Y184" s="151" t="str">
        <f t="shared" ref="Y184:Y193" si="18">Y183</f>
        <v>E5180</v>
      </c>
      <c r="Z184" s="4" t="s">
        <v>587</v>
      </c>
      <c r="AA184" s="114" t="s">
        <v>588</v>
      </c>
      <c r="AB184" s="4" t="s">
        <v>506</v>
      </c>
      <c r="AC184" s="4" t="s">
        <v>507</v>
      </c>
      <c r="AD184" s="4" t="s">
        <v>508</v>
      </c>
      <c r="AE184" s="4" t="s">
        <v>509</v>
      </c>
      <c r="AF184" s="4" t="s">
        <v>589</v>
      </c>
      <c r="AG184" s="743">
        <v>0</v>
      </c>
      <c r="AI184" s="158"/>
    </row>
    <row r="185" spans="23:35">
      <c r="W185" s="4" t="s">
        <v>3405</v>
      </c>
      <c r="X185" s="4" t="s">
        <v>3359</v>
      </c>
      <c r="Y185" s="151" t="str">
        <f t="shared" si="18"/>
        <v>E5180</v>
      </c>
      <c r="Z185" s="4" t="s">
        <v>587</v>
      </c>
      <c r="AA185" s="114" t="s">
        <v>588</v>
      </c>
      <c r="AB185" s="4" t="s">
        <v>506</v>
      </c>
      <c r="AC185" s="4" t="s">
        <v>507</v>
      </c>
      <c r="AD185" s="4" t="s">
        <v>508</v>
      </c>
      <c r="AE185" s="4" t="s">
        <v>509</v>
      </c>
      <c r="AF185" s="4" t="s">
        <v>589</v>
      </c>
      <c r="AG185" s="743">
        <v>0</v>
      </c>
      <c r="AI185" s="158"/>
    </row>
    <row r="186" spans="23:35">
      <c r="W186" s="4" t="s">
        <v>3405</v>
      </c>
      <c r="X186" s="4" t="s">
        <v>3360</v>
      </c>
      <c r="Y186" s="151" t="str">
        <f t="shared" si="18"/>
        <v>E5180</v>
      </c>
      <c r="Z186" s="4" t="s">
        <v>587</v>
      </c>
      <c r="AA186" s="114" t="s">
        <v>588</v>
      </c>
      <c r="AB186" s="4" t="s">
        <v>506</v>
      </c>
      <c r="AC186" s="4" t="s">
        <v>507</v>
      </c>
      <c r="AD186" s="4" t="s">
        <v>508</v>
      </c>
      <c r="AE186" s="4" t="s">
        <v>509</v>
      </c>
      <c r="AF186" s="4" t="s">
        <v>589</v>
      </c>
      <c r="AG186" s="743">
        <v>0</v>
      </c>
      <c r="AI186" s="158"/>
    </row>
    <row r="187" spans="23:35">
      <c r="W187" s="4" t="s">
        <v>3405</v>
      </c>
      <c r="X187" s="4" t="s">
        <v>3361</v>
      </c>
      <c r="Y187" s="151" t="str">
        <f t="shared" si="18"/>
        <v>E5180</v>
      </c>
      <c r="Z187" s="4" t="s">
        <v>587</v>
      </c>
      <c r="AA187" s="114" t="s">
        <v>588</v>
      </c>
      <c r="AB187" s="4" t="s">
        <v>506</v>
      </c>
      <c r="AC187" s="4" t="s">
        <v>507</v>
      </c>
      <c r="AD187" s="4" t="s">
        <v>508</v>
      </c>
      <c r="AE187" s="4" t="s">
        <v>509</v>
      </c>
      <c r="AF187" s="4" t="s">
        <v>589</v>
      </c>
      <c r="AG187" s="743">
        <v>0</v>
      </c>
      <c r="AI187" s="158"/>
    </row>
    <row r="188" spans="23:35">
      <c r="W188" s="4" t="s">
        <v>3405</v>
      </c>
      <c r="X188" s="4" t="s">
        <v>3362</v>
      </c>
      <c r="Y188" s="151" t="str">
        <f t="shared" si="18"/>
        <v>E5180</v>
      </c>
      <c r="Z188" s="4" t="s">
        <v>587</v>
      </c>
      <c r="AA188" s="114" t="s">
        <v>588</v>
      </c>
      <c r="AB188" s="4" t="s">
        <v>506</v>
      </c>
      <c r="AC188" s="4" t="s">
        <v>507</v>
      </c>
      <c r="AD188" s="4" t="s">
        <v>508</v>
      </c>
      <c r="AE188" s="4" t="s">
        <v>509</v>
      </c>
      <c r="AF188" s="4" t="s">
        <v>589</v>
      </c>
      <c r="AG188" s="743">
        <v>0</v>
      </c>
      <c r="AI188" s="158"/>
    </row>
    <row r="189" spans="23:35">
      <c r="W189" s="4" t="s">
        <v>3405</v>
      </c>
      <c r="X189" s="4" t="s">
        <v>3363</v>
      </c>
      <c r="Y189" s="151" t="str">
        <f t="shared" si="18"/>
        <v>E5180</v>
      </c>
      <c r="Z189" s="4" t="s">
        <v>587</v>
      </c>
      <c r="AA189" s="114" t="s">
        <v>588</v>
      </c>
      <c r="AB189" s="4" t="s">
        <v>506</v>
      </c>
      <c r="AC189" s="4" t="s">
        <v>507</v>
      </c>
      <c r="AD189" s="4" t="s">
        <v>508</v>
      </c>
      <c r="AE189" s="4" t="s">
        <v>509</v>
      </c>
      <c r="AF189" s="4" t="s">
        <v>589</v>
      </c>
      <c r="AG189" s="743">
        <v>0</v>
      </c>
      <c r="AI189" s="158"/>
    </row>
    <row r="190" spans="23:35">
      <c r="W190" s="4" t="s">
        <v>3405</v>
      </c>
      <c r="X190" s="4" t="s">
        <v>3364</v>
      </c>
      <c r="Y190" s="151" t="str">
        <f t="shared" si="18"/>
        <v>E5180</v>
      </c>
      <c r="Z190" s="4" t="s">
        <v>587</v>
      </c>
      <c r="AA190" s="114" t="s">
        <v>588</v>
      </c>
      <c r="AB190" s="4" t="s">
        <v>506</v>
      </c>
      <c r="AC190" s="4" t="s">
        <v>507</v>
      </c>
      <c r="AD190" s="4" t="s">
        <v>508</v>
      </c>
      <c r="AE190" s="4" t="s">
        <v>509</v>
      </c>
      <c r="AF190" s="4" t="s">
        <v>589</v>
      </c>
      <c r="AG190" s="743">
        <v>0</v>
      </c>
      <c r="AI190" s="158"/>
    </row>
    <row r="191" spans="23:35">
      <c r="W191" s="4" t="s">
        <v>3405</v>
      </c>
      <c r="X191" s="4" t="s">
        <v>3365</v>
      </c>
      <c r="Y191" s="151" t="str">
        <f t="shared" si="18"/>
        <v>E5180</v>
      </c>
      <c r="Z191" s="4" t="s">
        <v>587</v>
      </c>
      <c r="AA191" s="114" t="s">
        <v>588</v>
      </c>
      <c r="AB191" s="4" t="s">
        <v>506</v>
      </c>
      <c r="AC191" s="4" t="s">
        <v>507</v>
      </c>
      <c r="AD191" s="4" t="s">
        <v>508</v>
      </c>
      <c r="AE191" s="4" t="s">
        <v>509</v>
      </c>
      <c r="AF191" s="4" t="s">
        <v>589</v>
      </c>
      <c r="AG191" s="743">
        <v>0</v>
      </c>
      <c r="AI191" s="158"/>
    </row>
    <row r="192" spans="23:35">
      <c r="W192" s="4" t="s">
        <v>3405</v>
      </c>
      <c r="X192" s="4" t="s">
        <v>3366</v>
      </c>
      <c r="Y192" s="151" t="str">
        <f t="shared" si="18"/>
        <v>E5180</v>
      </c>
      <c r="Z192" s="4" t="s">
        <v>587</v>
      </c>
      <c r="AA192" s="114" t="s">
        <v>588</v>
      </c>
      <c r="AB192" s="4" t="s">
        <v>506</v>
      </c>
      <c r="AC192" s="4" t="s">
        <v>507</v>
      </c>
      <c r="AD192" s="4" t="s">
        <v>508</v>
      </c>
      <c r="AE192" s="4" t="s">
        <v>509</v>
      </c>
      <c r="AF192" s="4" t="s">
        <v>589</v>
      </c>
      <c r="AG192" s="743">
        <v>0</v>
      </c>
      <c r="AI192" s="158"/>
    </row>
    <row r="193" spans="23:35">
      <c r="W193" s="4" t="s">
        <v>3405</v>
      </c>
      <c r="X193" s="4" t="s">
        <v>3367</v>
      </c>
      <c r="Y193" s="151" t="str">
        <f t="shared" si="18"/>
        <v>E5180</v>
      </c>
      <c r="Z193" s="4" t="s">
        <v>587</v>
      </c>
      <c r="AA193" s="114" t="s">
        <v>588</v>
      </c>
      <c r="AB193" s="4" t="s">
        <v>506</v>
      </c>
      <c r="AC193" s="4" t="s">
        <v>507</v>
      </c>
      <c r="AD193" s="4" t="s">
        <v>508</v>
      </c>
      <c r="AE193" s="4" t="s">
        <v>509</v>
      </c>
      <c r="AF193" s="4" t="s">
        <v>589</v>
      </c>
      <c r="AG193" s="743">
        <v>0</v>
      </c>
      <c r="AI193" s="158"/>
    </row>
    <row r="194" spans="23:35">
      <c r="W194" s="4" t="s">
        <v>3405</v>
      </c>
      <c r="X194" s="3" t="s">
        <v>3356</v>
      </c>
      <c r="Y194" s="150" t="str">
        <f>INDEX($B$3:$O$110,21,1)</f>
        <v>E5210</v>
      </c>
      <c r="Z194" s="4" t="s">
        <v>587</v>
      </c>
      <c r="AA194" s="114" t="s">
        <v>588</v>
      </c>
      <c r="AB194" s="4" t="s">
        <v>506</v>
      </c>
      <c r="AC194" s="4" t="s">
        <v>507</v>
      </c>
      <c r="AD194" s="4" t="s">
        <v>508</v>
      </c>
      <c r="AE194" s="4" t="s">
        <v>509</v>
      </c>
      <c r="AF194" s="4" t="s">
        <v>589</v>
      </c>
      <c r="AG194" s="743">
        <v>0</v>
      </c>
      <c r="AI194" s="158"/>
    </row>
    <row r="195" spans="23:35">
      <c r="W195" s="4" t="s">
        <v>3405</v>
      </c>
      <c r="X195" s="4" t="s">
        <v>3357</v>
      </c>
      <c r="Y195" s="151" t="str">
        <f>Y194</f>
        <v>E5210</v>
      </c>
      <c r="Z195" s="4" t="s">
        <v>587</v>
      </c>
      <c r="AA195" s="114" t="s">
        <v>588</v>
      </c>
      <c r="AB195" s="4" t="s">
        <v>506</v>
      </c>
      <c r="AC195" s="4" t="s">
        <v>507</v>
      </c>
      <c r="AD195" s="4" t="s">
        <v>508</v>
      </c>
      <c r="AE195" s="4" t="s">
        <v>509</v>
      </c>
      <c r="AF195" s="4" t="s">
        <v>589</v>
      </c>
      <c r="AG195" s="743">
        <v>0</v>
      </c>
      <c r="AI195" s="158"/>
    </row>
    <row r="196" spans="23:35">
      <c r="W196" s="4" t="s">
        <v>3405</v>
      </c>
      <c r="X196" s="4" t="s">
        <v>3358</v>
      </c>
      <c r="Y196" s="151" t="str">
        <f t="shared" ref="Y196:Y205" si="19">Y195</f>
        <v>E5210</v>
      </c>
      <c r="Z196" s="4" t="s">
        <v>587</v>
      </c>
      <c r="AA196" s="114" t="s">
        <v>588</v>
      </c>
      <c r="AB196" s="4" t="s">
        <v>506</v>
      </c>
      <c r="AC196" s="4" t="s">
        <v>507</v>
      </c>
      <c r="AD196" s="4" t="s">
        <v>508</v>
      </c>
      <c r="AE196" s="4" t="s">
        <v>509</v>
      </c>
      <c r="AF196" s="4" t="s">
        <v>589</v>
      </c>
      <c r="AG196" s="743">
        <v>0</v>
      </c>
      <c r="AI196" s="158"/>
    </row>
    <row r="197" spans="23:35">
      <c r="W197" s="4" t="s">
        <v>3405</v>
      </c>
      <c r="X197" s="4" t="s">
        <v>3359</v>
      </c>
      <c r="Y197" s="151" t="str">
        <f t="shared" si="19"/>
        <v>E5210</v>
      </c>
      <c r="Z197" s="4" t="s">
        <v>587</v>
      </c>
      <c r="AA197" s="114" t="s">
        <v>588</v>
      </c>
      <c r="AB197" s="4" t="s">
        <v>506</v>
      </c>
      <c r="AC197" s="4" t="s">
        <v>507</v>
      </c>
      <c r="AD197" s="4" t="s">
        <v>508</v>
      </c>
      <c r="AE197" s="4" t="s">
        <v>509</v>
      </c>
      <c r="AF197" s="4" t="s">
        <v>589</v>
      </c>
      <c r="AG197" s="743">
        <v>0</v>
      </c>
      <c r="AI197" s="158"/>
    </row>
    <row r="198" spans="23:35">
      <c r="W198" s="4" t="s">
        <v>3405</v>
      </c>
      <c r="X198" s="4" t="s">
        <v>3360</v>
      </c>
      <c r="Y198" s="151" t="str">
        <f t="shared" si="19"/>
        <v>E5210</v>
      </c>
      <c r="Z198" s="4" t="s">
        <v>587</v>
      </c>
      <c r="AA198" s="114" t="s">
        <v>588</v>
      </c>
      <c r="AB198" s="4" t="s">
        <v>506</v>
      </c>
      <c r="AC198" s="4" t="s">
        <v>507</v>
      </c>
      <c r="AD198" s="4" t="s">
        <v>508</v>
      </c>
      <c r="AE198" s="4" t="s">
        <v>509</v>
      </c>
      <c r="AF198" s="4" t="s">
        <v>589</v>
      </c>
      <c r="AG198" s="743">
        <v>0</v>
      </c>
      <c r="AI198" s="158"/>
    </row>
    <row r="199" spans="23:35">
      <c r="W199" s="4" t="s">
        <v>3405</v>
      </c>
      <c r="X199" s="4" t="s">
        <v>3361</v>
      </c>
      <c r="Y199" s="151" t="str">
        <f t="shared" si="19"/>
        <v>E5210</v>
      </c>
      <c r="Z199" s="4" t="s">
        <v>587</v>
      </c>
      <c r="AA199" s="114" t="s">
        <v>588</v>
      </c>
      <c r="AB199" s="4" t="s">
        <v>506</v>
      </c>
      <c r="AC199" s="4" t="s">
        <v>507</v>
      </c>
      <c r="AD199" s="4" t="s">
        <v>508</v>
      </c>
      <c r="AE199" s="4" t="s">
        <v>509</v>
      </c>
      <c r="AF199" s="4" t="s">
        <v>589</v>
      </c>
      <c r="AG199" s="743">
        <v>0</v>
      </c>
      <c r="AI199" s="158"/>
    </row>
    <row r="200" spans="23:35">
      <c r="W200" s="4" t="s">
        <v>3405</v>
      </c>
      <c r="X200" s="4" t="s">
        <v>3362</v>
      </c>
      <c r="Y200" s="151" t="str">
        <f t="shared" si="19"/>
        <v>E5210</v>
      </c>
      <c r="Z200" s="4" t="s">
        <v>587</v>
      </c>
      <c r="AA200" s="114" t="s">
        <v>588</v>
      </c>
      <c r="AB200" s="4" t="s">
        <v>506</v>
      </c>
      <c r="AC200" s="4" t="s">
        <v>507</v>
      </c>
      <c r="AD200" s="4" t="s">
        <v>508</v>
      </c>
      <c r="AE200" s="4" t="s">
        <v>509</v>
      </c>
      <c r="AF200" s="4" t="s">
        <v>589</v>
      </c>
      <c r="AG200" s="743">
        <v>0</v>
      </c>
      <c r="AI200" s="158"/>
    </row>
    <row r="201" spans="23:35">
      <c r="W201" s="4" t="s">
        <v>3405</v>
      </c>
      <c r="X201" s="4" t="s">
        <v>3363</v>
      </c>
      <c r="Y201" s="151" t="str">
        <f t="shared" si="19"/>
        <v>E5210</v>
      </c>
      <c r="Z201" s="4" t="s">
        <v>587</v>
      </c>
      <c r="AA201" s="114" t="s">
        <v>588</v>
      </c>
      <c r="AB201" s="4" t="s">
        <v>506</v>
      </c>
      <c r="AC201" s="4" t="s">
        <v>507</v>
      </c>
      <c r="AD201" s="4" t="s">
        <v>508</v>
      </c>
      <c r="AE201" s="4" t="s">
        <v>509</v>
      </c>
      <c r="AF201" s="4" t="s">
        <v>589</v>
      </c>
      <c r="AG201" s="743">
        <v>0</v>
      </c>
      <c r="AI201" s="158"/>
    </row>
    <row r="202" spans="23:35">
      <c r="W202" s="4" t="s">
        <v>3405</v>
      </c>
      <c r="X202" s="4" t="s">
        <v>3364</v>
      </c>
      <c r="Y202" s="151" t="str">
        <f t="shared" si="19"/>
        <v>E5210</v>
      </c>
      <c r="Z202" s="4" t="s">
        <v>587</v>
      </c>
      <c r="AA202" s="114" t="s">
        <v>588</v>
      </c>
      <c r="AB202" s="4" t="s">
        <v>506</v>
      </c>
      <c r="AC202" s="4" t="s">
        <v>507</v>
      </c>
      <c r="AD202" s="4" t="s">
        <v>508</v>
      </c>
      <c r="AE202" s="4" t="s">
        <v>509</v>
      </c>
      <c r="AF202" s="4" t="s">
        <v>589</v>
      </c>
      <c r="AG202" s="743">
        <v>0</v>
      </c>
      <c r="AI202" s="158"/>
    </row>
    <row r="203" spans="23:35">
      <c r="W203" s="4" t="s">
        <v>3405</v>
      </c>
      <c r="X203" s="4" t="s">
        <v>3365</v>
      </c>
      <c r="Y203" s="151" t="str">
        <f t="shared" si="19"/>
        <v>E5210</v>
      </c>
      <c r="Z203" s="4" t="s">
        <v>587</v>
      </c>
      <c r="AA203" s="114" t="s">
        <v>588</v>
      </c>
      <c r="AB203" s="4" t="s">
        <v>506</v>
      </c>
      <c r="AC203" s="4" t="s">
        <v>507</v>
      </c>
      <c r="AD203" s="4" t="s">
        <v>508</v>
      </c>
      <c r="AE203" s="4" t="s">
        <v>509</v>
      </c>
      <c r="AF203" s="4" t="s">
        <v>589</v>
      </c>
      <c r="AG203" s="743">
        <v>0</v>
      </c>
      <c r="AI203" s="158"/>
    </row>
    <row r="204" spans="23:35">
      <c r="W204" s="4" t="s">
        <v>3405</v>
      </c>
      <c r="X204" s="4" t="s">
        <v>3366</v>
      </c>
      <c r="Y204" s="151" t="str">
        <f t="shared" si="19"/>
        <v>E5210</v>
      </c>
      <c r="Z204" s="4" t="s">
        <v>587</v>
      </c>
      <c r="AA204" s="114" t="s">
        <v>588</v>
      </c>
      <c r="AB204" s="4" t="s">
        <v>506</v>
      </c>
      <c r="AC204" s="4" t="s">
        <v>507</v>
      </c>
      <c r="AD204" s="4" t="s">
        <v>508</v>
      </c>
      <c r="AE204" s="4" t="s">
        <v>509</v>
      </c>
      <c r="AF204" s="4" t="s">
        <v>589</v>
      </c>
      <c r="AG204" s="743">
        <v>0</v>
      </c>
      <c r="AI204" s="158"/>
    </row>
    <row r="205" spans="23:35">
      <c r="W205" s="4" t="s">
        <v>3405</v>
      </c>
      <c r="X205" s="4" t="s">
        <v>3367</v>
      </c>
      <c r="Y205" s="151" t="str">
        <f t="shared" si="19"/>
        <v>E5210</v>
      </c>
      <c r="Z205" s="4" t="s">
        <v>587</v>
      </c>
      <c r="AA205" s="114" t="s">
        <v>588</v>
      </c>
      <c r="AB205" s="4" t="s">
        <v>506</v>
      </c>
      <c r="AC205" s="4" t="s">
        <v>507</v>
      </c>
      <c r="AD205" s="4" t="s">
        <v>508</v>
      </c>
      <c r="AE205" s="4" t="s">
        <v>509</v>
      </c>
      <c r="AF205" s="4" t="s">
        <v>589</v>
      </c>
      <c r="AG205" s="743">
        <v>0</v>
      </c>
      <c r="AI205" s="158"/>
    </row>
    <row r="206" spans="23:35">
      <c r="W206" s="4" t="s">
        <v>3405</v>
      </c>
      <c r="X206" s="3" t="s">
        <v>3356</v>
      </c>
      <c r="Y206" s="150" t="str">
        <f>INDEX($B$3:$O$110,22,1)</f>
        <v>E5250</v>
      </c>
      <c r="Z206" s="4" t="s">
        <v>587</v>
      </c>
      <c r="AA206" s="114" t="s">
        <v>588</v>
      </c>
      <c r="AB206" s="4" t="s">
        <v>506</v>
      </c>
      <c r="AC206" s="4" t="s">
        <v>507</v>
      </c>
      <c r="AD206" s="4" t="s">
        <v>508</v>
      </c>
      <c r="AE206" s="4" t="s">
        <v>509</v>
      </c>
      <c r="AF206" s="4" t="s">
        <v>589</v>
      </c>
      <c r="AG206" s="743">
        <v>0</v>
      </c>
      <c r="AH206" s="4"/>
      <c r="AI206" s="158"/>
    </row>
    <row r="207" spans="23:35">
      <c r="W207" s="4" t="s">
        <v>3405</v>
      </c>
      <c r="X207" s="4" t="s">
        <v>3357</v>
      </c>
      <c r="Y207" s="151" t="str">
        <f>Y206</f>
        <v>E5250</v>
      </c>
      <c r="Z207" s="4" t="s">
        <v>587</v>
      </c>
      <c r="AA207" s="114" t="s">
        <v>588</v>
      </c>
      <c r="AB207" s="4" t="s">
        <v>506</v>
      </c>
      <c r="AC207" s="4" t="s">
        <v>507</v>
      </c>
      <c r="AD207" s="4" t="s">
        <v>508</v>
      </c>
      <c r="AE207" s="4" t="s">
        <v>509</v>
      </c>
      <c r="AF207" s="4" t="s">
        <v>589</v>
      </c>
      <c r="AG207" s="743">
        <v>0</v>
      </c>
      <c r="AI207" s="158"/>
    </row>
    <row r="208" spans="23:35">
      <c r="W208" s="4" t="s">
        <v>3405</v>
      </c>
      <c r="X208" s="4" t="s">
        <v>3358</v>
      </c>
      <c r="Y208" s="151" t="str">
        <f t="shared" ref="Y208:Y217" si="20">Y207</f>
        <v>E5250</v>
      </c>
      <c r="Z208" s="4" t="s">
        <v>587</v>
      </c>
      <c r="AA208" s="114" t="s">
        <v>588</v>
      </c>
      <c r="AB208" s="4" t="s">
        <v>506</v>
      </c>
      <c r="AC208" s="4" t="s">
        <v>507</v>
      </c>
      <c r="AD208" s="4" t="s">
        <v>508</v>
      </c>
      <c r="AE208" s="4" t="s">
        <v>509</v>
      </c>
      <c r="AF208" s="4" t="s">
        <v>589</v>
      </c>
      <c r="AG208" s="743">
        <v>0</v>
      </c>
      <c r="AI208" s="158"/>
    </row>
    <row r="209" spans="23:35">
      <c r="W209" s="4" t="s">
        <v>3405</v>
      </c>
      <c r="X209" s="4" t="s">
        <v>3359</v>
      </c>
      <c r="Y209" s="151" t="str">
        <f t="shared" si="20"/>
        <v>E5250</v>
      </c>
      <c r="Z209" s="4" t="s">
        <v>587</v>
      </c>
      <c r="AA209" s="114" t="s">
        <v>588</v>
      </c>
      <c r="AB209" s="4" t="s">
        <v>506</v>
      </c>
      <c r="AC209" s="4" t="s">
        <v>507</v>
      </c>
      <c r="AD209" s="4" t="s">
        <v>508</v>
      </c>
      <c r="AE209" s="4" t="s">
        <v>509</v>
      </c>
      <c r="AF209" s="4" t="s">
        <v>589</v>
      </c>
      <c r="AG209" s="743">
        <v>0</v>
      </c>
      <c r="AI209" s="158"/>
    </row>
    <row r="210" spans="23:35">
      <c r="W210" s="4" t="s">
        <v>3405</v>
      </c>
      <c r="X210" s="4" t="s">
        <v>3360</v>
      </c>
      <c r="Y210" s="151" t="str">
        <f t="shared" si="20"/>
        <v>E5250</v>
      </c>
      <c r="Z210" s="4" t="s">
        <v>587</v>
      </c>
      <c r="AA210" s="114" t="s">
        <v>588</v>
      </c>
      <c r="AB210" s="4" t="s">
        <v>506</v>
      </c>
      <c r="AC210" s="4" t="s">
        <v>507</v>
      </c>
      <c r="AD210" s="4" t="s">
        <v>508</v>
      </c>
      <c r="AE210" s="4" t="s">
        <v>509</v>
      </c>
      <c r="AF210" s="4" t="s">
        <v>589</v>
      </c>
      <c r="AG210" s="743">
        <v>0</v>
      </c>
      <c r="AI210" s="158"/>
    </row>
    <row r="211" spans="23:35">
      <c r="W211" s="4" t="s">
        <v>3405</v>
      </c>
      <c r="X211" s="4" t="s">
        <v>3361</v>
      </c>
      <c r="Y211" s="151" t="str">
        <f t="shared" si="20"/>
        <v>E5250</v>
      </c>
      <c r="Z211" s="4" t="s">
        <v>587</v>
      </c>
      <c r="AA211" s="114" t="s">
        <v>588</v>
      </c>
      <c r="AB211" s="4" t="s">
        <v>506</v>
      </c>
      <c r="AC211" s="4" t="s">
        <v>507</v>
      </c>
      <c r="AD211" s="4" t="s">
        <v>508</v>
      </c>
      <c r="AE211" s="4" t="s">
        <v>509</v>
      </c>
      <c r="AF211" s="4" t="s">
        <v>589</v>
      </c>
      <c r="AG211" s="743">
        <v>0</v>
      </c>
      <c r="AI211" s="158"/>
    </row>
    <row r="212" spans="23:35">
      <c r="W212" s="4" t="s">
        <v>3405</v>
      </c>
      <c r="X212" s="4" t="s">
        <v>3362</v>
      </c>
      <c r="Y212" s="151" t="str">
        <f t="shared" si="20"/>
        <v>E5250</v>
      </c>
      <c r="Z212" s="4" t="s">
        <v>587</v>
      </c>
      <c r="AA212" s="114" t="s">
        <v>588</v>
      </c>
      <c r="AB212" s="4" t="s">
        <v>506</v>
      </c>
      <c r="AC212" s="4" t="s">
        <v>507</v>
      </c>
      <c r="AD212" s="4" t="s">
        <v>508</v>
      </c>
      <c r="AE212" s="4" t="s">
        <v>509</v>
      </c>
      <c r="AF212" s="4" t="s">
        <v>589</v>
      </c>
      <c r="AG212" s="743">
        <v>0</v>
      </c>
      <c r="AI212" s="158"/>
    </row>
    <row r="213" spans="23:35">
      <c r="W213" s="4" t="s">
        <v>3405</v>
      </c>
      <c r="X213" s="4" t="s">
        <v>3363</v>
      </c>
      <c r="Y213" s="151" t="str">
        <f t="shared" si="20"/>
        <v>E5250</v>
      </c>
      <c r="Z213" s="4" t="s">
        <v>587</v>
      </c>
      <c r="AA213" s="114" t="s">
        <v>588</v>
      </c>
      <c r="AB213" s="4" t="s">
        <v>506</v>
      </c>
      <c r="AC213" s="4" t="s">
        <v>507</v>
      </c>
      <c r="AD213" s="4" t="s">
        <v>508</v>
      </c>
      <c r="AE213" s="4" t="s">
        <v>509</v>
      </c>
      <c r="AF213" s="4" t="s">
        <v>589</v>
      </c>
      <c r="AG213" s="743">
        <v>0</v>
      </c>
      <c r="AI213" s="158"/>
    </row>
    <row r="214" spans="23:35">
      <c r="W214" s="4" t="s">
        <v>3405</v>
      </c>
      <c r="X214" s="4" t="s">
        <v>3364</v>
      </c>
      <c r="Y214" s="151" t="str">
        <f t="shared" si="20"/>
        <v>E5250</v>
      </c>
      <c r="Z214" s="4" t="s">
        <v>587</v>
      </c>
      <c r="AA214" s="114" t="s">
        <v>588</v>
      </c>
      <c r="AB214" s="4" t="s">
        <v>506</v>
      </c>
      <c r="AC214" s="4" t="s">
        <v>507</v>
      </c>
      <c r="AD214" s="4" t="s">
        <v>508</v>
      </c>
      <c r="AE214" s="4" t="s">
        <v>509</v>
      </c>
      <c r="AF214" s="4" t="s">
        <v>589</v>
      </c>
      <c r="AG214" s="743">
        <v>0</v>
      </c>
      <c r="AI214" s="158"/>
    </row>
    <row r="215" spans="23:35">
      <c r="W215" s="4" t="s">
        <v>3405</v>
      </c>
      <c r="X215" s="4" t="s">
        <v>3365</v>
      </c>
      <c r="Y215" s="151" t="str">
        <f t="shared" si="20"/>
        <v>E5250</v>
      </c>
      <c r="Z215" s="4" t="s">
        <v>587</v>
      </c>
      <c r="AA215" s="114" t="s">
        <v>588</v>
      </c>
      <c r="AB215" s="4" t="s">
        <v>506</v>
      </c>
      <c r="AC215" s="4" t="s">
        <v>507</v>
      </c>
      <c r="AD215" s="4" t="s">
        <v>508</v>
      </c>
      <c r="AE215" s="4" t="s">
        <v>509</v>
      </c>
      <c r="AF215" s="4" t="s">
        <v>589</v>
      </c>
      <c r="AG215" s="743">
        <v>0</v>
      </c>
      <c r="AI215" s="158"/>
    </row>
    <row r="216" spans="23:35">
      <c r="W216" s="4" t="s">
        <v>3405</v>
      </c>
      <c r="X216" s="4" t="s">
        <v>3366</v>
      </c>
      <c r="Y216" s="151" t="str">
        <f t="shared" si="20"/>
        <v>E5250</v>
      </c>
      <c r="Z216" s="4" t="s">
        <v>587</v>
      </c>
      <c r="AA216" s="114" t="s">
        <v>588</v>
      </c>
      <c r="AB216" s="4" t="s">
        <v>506</v>
      </c>
      <c r="AC216" s="4" t="s">
        <v>507</v>
      </c>
      <c r="AD216" s="4" t="s">
        <v>508</v>
      </c>
      <c r="AE216" s="4" t="s">
        <v>509</v>
      </c>
      <c r="AF216" s="4" t="s">
        <v>589</v>
      </c>
      <c r="AG216" s="743">
        <v>0</v>
      </c>
      <c r="AI216" s="158"/>
    </row>
    <row r="217" spans="23:35">
      <c r="W217" s="4" t="s">
        <v>3405</v>
      </c>
      <c r="X217" s="4" t="s">
        <v>3367</v>
      </c>
      <c r="Y217" s="151" t="str">
        <f t="shared" si="20"/>
        <v>E5250</v>
      </c>
      <c r="Z217" s="4" t="s">
        <v>587</v>
      </c>
      <c r="AA217" s="114" t="s">
        <v>588</v>
      </c>
      <c r="AB217" s="4" t="s">
        <v>506</v>
      </c>
      <c r="AC217" s="4" t="s">
        <v>507</v>
      </c>
      <c r="AD217" s="4" t="s">
        <v>508</v>
      </c>
      <c r="AE217" s="4" t="s">
        <v>509</v>
      </c>
      <c r="AF217" s="4" t="s">
        <v>589</v>
      </c>
      <c r="AG217" s="743">
        <v>0</v>
      </c>
      <c r="AI217" s="158"/>
    </row>
    <row r="218" spans="23:35">
      <c r="W218" s="4" t="s">
        <v>3405</v>
      </c>
      <c r="X218" s="3" t="s">
        <v>3356</v>
      </c>
      <c r="Y218" s="150" t="str">
        <f>INDEX($B$3:$O$110,25,1)</f>
        <v>E5270</v>
      </c>
      <c r="Z218" s="4" t="s">
        <v>587</v>
      </c>
      <c r="AA218" s="114" t="s">
        <v>588</v>
      </c>
      <c r="AB218" s="4" t="s">
        <v>506</v>
      </c>
      <c r="AC218" s="4" t="s">
        <v>507</v>
      </c>
      <c r="AD218" s="4" t="s">
        <v>508</v>
      </c>
      <c r="AE218" s="4" t="s">
        <v>509</v>
      </c>
      <c r="AF218" s="4" t="s">
        <v>589</v>
      </c>
      <c r="AG218" s="743">
        <v>0</v>
      </c>
      <c r="AI218" s="158"/>
    </row>
    <row r="219" spans="23:35">
      <c r="W219" s="4" t="s">
        <v>3405</v>
      </c>
      <c r="X219" s="4" t="s">
        <v>3357</v>
      </c>
      <c r="Y219" s="151" t="str">
        <f>Y218</f>
        <v>E5270</v>
      </c>
      <c r="Z219" s="4" t="s">
        <v>587</v>
      </c>
      <c r="AA219" s="114" t="s">
        <v>588</v>
      </c>
      <c r="AB219" s="4" t="s">
        <v>506</v>
      </c>
      <c r="AC219" s="4" t="s">
        <v>507</v>
      </c>
      <c r="AD219" s="4" t="s">
        <v>508</v>
      </c>
      <c r="AE219" s="4" t="s">
        <v>509</v>
      </c>
      <c r="AF219" s="4" t="s">
        <v>589</v>
      </c>
      <c r="AG219" s="743">
        <v>0</v>
      </c>
      <c r="AI219" s="158"/>
    </row>
    <row r="220" spans="23:35">
      <c r="W220" s="4" t="s">
        <v>3405</v>
      </c>
      <c r="X220" s="4" t="s">
        <v>3358</v>
      </c>
      <c r="Y220" s="151" t="str">
        <f t="shared" ref="Y220:Y229" si="21">Y219</f>
        <v>E5270</v>
      </c>
      <c r="Z220" s="4" t="s">
        <v>587</v>
      </c>
      <c r="AA220" s="114" t="s">
        <v>588</v>
      </c>
      <c r="AB220" s="4" t="s">
        <v>506</v>
      </c>
      <c r="AC220" s="4" t="s">
        <v>507</v>
      </c>
      <c r="AD220" s="4" t="s">
        <v>508</v>
      </c>
      <c r="AE220" s="4" t="s">
        <v>509</v>
      </c>
      <c r="AF220" s="4" t="s">
        <v>589</v>
      </c>
      <c r="AG220" s="743">
        <v>0</v>
      </c>
      <c r="AI220" s="158"/>
    </row>
    <row r="221" spans="23:35">
      <c r="W221" s="4" t="s">
        <v>3405</v>
      </c>
      <c r="X221" s="4" t="s">
        <v>3359</v>
      </c>
      <c r="Y221" s="151" t="str">
        <f t="shared" si="21"/>
        <v>E5270</v>
      </c>
      <c r="Z221" s="4" t="s">
        <v>587</v>
      </c>
      <c r="AA221" s="114" t="s">
        <v>588</v>
      </c>
      <c r="AB221" s="4" t="s">
        <v>506</v>
      </c>
      <c r="AC221" s="4" t="s">
        <v>507</v>
      </c>
      <c r="AD221" s="4" t="s">
        <v>508</v>
      </c>
      <c r="AE221" s="4" t="s">
        <v>509</v>
      </c>
      <c r="AF221" s="4" t="s">
        <v>589</v>
      </c>
      <c r="AG221" s="743">
        <v>0</v>
      </c>
      <c r="AI221" s="158"/>
    </row>
    <row r="222" spans="23:35">
      <c r="W222" s="4" t="s">
        <v>3405</v>
      </c>
      <c r="X222" s="4" t="s">
        <v>3360</v>
      </c>
      <c r="Y222" s="151" t="str">
        <f t="shared" si="21"/>
        <v>E5270</v>
      </c>
      <c r="Z222" s="4" t="s">
        <v>587</v>
      </c>
      <c r="AA222" s="114" t="s">
        <v>588</v>
      </c>
      <c r="AB222" s="4" t="s">
        <v>506</v>
      </c>
      <c r="AC222" s="4" t="s">
        <v>507</v>
      </c>
      <c r="AD222" s="4" t="s">
        <v>508</v>
      </c>
      <c r="AE222" s="4" t="s">
        <v>509</v>
      </c>
      <c r="AF222" s="4" t="s">
        <v>589</v>
      </c>
      <c r="AG222" s="743">
        <v>0</v>
      </c>
      <c r="AI222" s="158"/>
    </row>
    <row r="223" spans="23:35">
      <c r="W223" s="4" t="s">
        <v>3405</v>
      </c>
      <c r="X223" s="4" t="s">
        <v>3361</v>
      </c>
      <c r="Y223" s="151" t="str">
        <f t="shared" si="21"/>
        <v>E5270</v>
      </c>
      <c r="Z223" s="4" t="s">
        <v>587</v>
      </c>
      <c r="AA223" s="114" t="s">
        <v>588</v>
      </c>
      <c r="AB223" s="4" t="s">
        <v>506</v>
      </c>
      <c r="AC223" s="4" t="s">
        <v>507</v>
      </c>
      <c r="AD223" s="4" t="s">
        <v>508</v>
      </c>
      <c r="AE223" s="4" t="s">
        <v>509</v>
      </c>
      <c r="AF223" s="4" t="s">
        <v>589</v>
      </c>
      <c r="AG223" s="743">
        <v>0</v>
      </c>
      <c r="AI223" s="158"/>
    </row>
    <row r="224" spans="23:35">
      <c r="W224" s="4" t="s">
        <v>3405</v>
      </c>
      <c r="X224" s="4" t="s">
        <v>3362</v>
      </c>
      <c r="Y224" s="151" t="str">
        <f t="shared" si="21"/>
        <v>E5270</v>
      </c>
      <c r="Z224" s="4" t="s">
        <v>587</v>
      </c>
      <c r="AA224" s="114" t="s">
        <v>588</v>
      </c>
      <c r="AB224" s="4" t="s">
        <v>506</v>
      </c>
      <c r="AC224" s="4" t="s">
        <v>507</v>
      </c>
      <c r="AD224" s="4" t="s">
        <v>508</v>
      </c>
      <c r="AE224" s="4" t="s">
        <v>509</v>
      </c>
      <c r="AF224" s="4" t="s">
        <v>589</v>
      </c>
      <c r="AG224" s="743">
        <v>0</v>
      </c>
      <c r="AI224" s="158"/>
    </row>
    <row r="225" spans="23:38">
      <c r="W225" s="4" t="s">
        <v>3405</v>
      </c>
      <c r="X225" s="4" t="s">
        <v>3363</v>
      </c>
      <c r="Y225" s="151" t="str">
        <f t="shared" si="21"/>
        <v>E5270</v>
      </c>
      <c r="Z225" s="4" t="s">
        <v>587</v>
      </c>
      <c r="AA225" s="114" t="s">
        <v>588</v>
      </c>
      <c r="AB225" s="4" t="s">
        <v>506</v>
      </c>
      <c r="AC225" s="4" t="s">
        <v>507</v>
      </c>
      <c r="AD225" s="4" t="s">
        <v>508</v>
      </c>
      <c r="AE225" s="4" t="s">
        <v>509</v>
      </c>
      <c r="AF225" s="4" t="s">
        <v>589</v>
      </c>
      <c r="AG225" s="743">
        <v>0</v>
      </c>
      <c r="AI225" s="158"/>
    </row>
    <row r="226" spans="23:38">
      <c r="W226" s="4" t="s">
        <v>3405</v>
      </c>
      <c r="X226" s="4" t="s">
        <v>3364</v>
      </c>
      <c r="Y226" s="151" t="str">
        <f t="shared" si="21"/>
        <v>E5270</v>
      </c>
      <c r="Z226" s="4" t="s">
        <v>587</v>
      </c>
      <c r="AA226" s="114" t="s">
        <v>588</v>
      </c>
      <c r="AB226" s="4" t="s">
        <v>506</v>
      </c>
      <c r="AC226" s="4" t="s">
        <v>507</v>
      </c>
      <c r="AD226" s="4" t="s">
        <v>508</v>
      </c>
      <c r="AE226" s="4" t="s">
        <v>509</v>
      </c>
      <c r="AF226" s="4" t="s">
        <v>589</v>
      </c>
      <c r="AG226" s="743">
        <v>0</v>
      </c>
      <c r="AI226" s="158"/>
    </row>
    <row r="227" spans="23:38">
      <c r="W227" s="4" t="s">
        <v>3405</v>
      </c>
      <c r="X227" s="4" t="s">
        <v>3365</v>
      </c>
      <c r="Y227" s="151" t="str">
        <f t="shared" si="21"/>
        <v>E5270</v>
      </c>
      <c r="Z227" s="4" t="s">
        <v>587</v>
      </c>
      <c r="AA227" s="114" t="s">
        <v>588</v>
      </c>
      <c r="AB227" s="4" t="s">
        <v>506</v>
      </c>
      <c r="AC227" s="4" t="s">
        <v>507</v>
      </c>
      <c r="AD227" s="4" t="s">
        <v>508</v>
      </c>
      <c r="AE227" s="4" t="s">
        <v>509</v>
      </c>
      <c r="AF227" s="4" t="s">
        <v>589</v>
      </c>
      <c r="AG227" s="743">
        <v>0</v>
      </c>
      <c r="AI227" s="158"/>
    </row>
    <row r="228" spans="23:38">
      <c r="W228" s="4" t="s">
        <v>3405</v>
      </c>
      <c r="X228" s="4" t="s">
        <v>3366</v>
      </c>
      <c r="Y228" s="151" t="str">
        <f t="shared" si="21"/>
        <v>E5270</v>
      </c>
      <c r="Z228" s="4" t="s">
        <v>587</v>
      </c>
      <c r="AA228" s="114" t="s">
        <v>588</v>
      </c>
      <c r="AB228" s="4" t="s">
        <v>506</v>
      </c>
      <c r="AC228" s="4" t="s">
        <v>507</v>
      </c>
      <c r="AD228" s="4" t="s">
        <v>508</v>
      </c>
      <c r="AE228" s="4" t="s">
        <v>509</v>
      </c>
      <c r="AF228" s="4" t="s">
        <v>589</v>
      </c>
      <c r="AG228" s="743">
        <v>0</v>
      </c>
      <c r="AI228" s="158"/>
    </row>
    <row r="229" spans="23:38">
      <c r="W229" s="4" t="s">
        <v>3405</v>
      </c>
      <c r="X229" s="4" t="s">
        <v>3367</v>
      </c>
      <c r="Y229" s="151" t="str">
        <f t="shared" si="21"/>
        <v>E5270</v>
      </c>
      <c r="Z229" s="4" t="s">
        <v>587</v>
      </c>
      <c r="AA229" s="114" t="s">
        <v>588</v>
      </c>
      <c r="AB229" s="4" t="s">
        <v>506</v>
      </c>
      <c r="AC229" s="4" t="s">
        <v>507</v>
      </c>
      <c r="AD229" s="4" t="s">
        <v>508</v>
      </c>
      <c r="AE229" s="4" t="s">
        <v>509</v>
      </c>
      <c r="AF229" s="4" t="s">
        <v>589</v>
      </c>
      <c r="AG229" s="743">
        <v>0</v>
      </c>
      <c r="AI229" s="158"/>
    </row>
    <row r="230" spans="23:38">
      <c r="W230" s="4" t="s">
        <v>3405</v>
      </c>
      <c r="X230" s="3" t="s">
        <v>3356</v>
      </c>
      <c r="Y230" s="150" t="str">
        <f>INDEX($B$3:$O$110,26,1)</f>
        <v>E5280</v>
      </c>
      <c r="Z230" s="4" t="s">
        <v>587</v>
      </c>
      <c r="AA230" s="114" t="s">
        <v>588</v>
      </c>
      <c r="AB230" s="4" t="s">
        <v>506</v>
      </c>
      <c r="AC230" s="4" t="s">
        <v>507</v>
      </c>
      <c r="AD230" s="4" t="s">
        <v>508</v>
      </c>
      <c r="AE230" s="4" t="s">
        <v>509</v>
      </c>
      <c r="AF230" s="4" t="s">
        <v>589</v>
      </c>
      <c r="AG230" s="743">
        <v>0</v>
      </c>
      <c r="AH230" s="4"/>
      <c r="AI230" s="158"/>
      <c r="AK230" s="158"/>
      <c r="AL230" s="158"/>
    </row>
    <row r="231" spans="23:38">
      <c r="W231" s="4" t="s">
        <v>3405</v>
      </c>
      <c r="X231" s="4" t="s">
        <v>3357</v>
      </c>
      <c r="Y231" s="151" t="str">
        <f>Y230</f>
        <v>E5280</v>
      </c>
      <c r="Z231" s="4" t="s">
        <v>587</v>
      </c>
      <c r="AA231" s="114" t="s">
        <v>588</v>
      </c>
      <c r="AB231" s="4" t="s">
        <v>506</v>
      </c>
      <c r="AC231" s="4" t="s">
        <v>507</v>
      </c>
      <c r="AD231" s="4" t="s">
        <v>508</v>
      </c>
      <c r="AE231" s="4" t="s">
        <v>509</v>
      </c>
      <c r="AF231" s="4" t="s">
        <v>589</v>
      </c>
      <c r="AG231" s="743">
        <v>0</v>
      </c>
      <c r="AH231" s="4"/>
      <c r="AI231" s="158"/>
    </row>
    <row r="232" spans="23:38">
      <c r="W232" s="4" t="s">
        <v>3405</v>
      </c>
      <c r="X232" s="4" t="s">
        <v>3358</v>
      </c>
      <c r="Y232" s="151" t="str">
        <f t="shared" ref="Y232:Y241" si="22">Y231</f>
        <v>E5280</v>
      </c>
      <c r="Z232" s="4" t="s">
        <v>587</v>
      </c>
      <c r="AA232" s="114" t="s">
        <v>588</v>
      </c>
      <c r="AB232" s="4" t="s">
        <v>506</v>
      </c>
      <c r="AC232" s="4" t="s">
        <v>507</v>
      </c>
      <c r="AD232" s="4" t="s">
        <v>508</v>
      </c>
      <c r="AE232" s="4" t="s">
        <v>509</v>
      </c>
      <c r="AF232" s="4" t="s">
        <v>589</v>
      </c>
      <c r="AG232" s="743">
        <v>0</v>
      </c>
      <c r="AH232" s="4"/>
      <c r="AI232" s="158"/>
    </row>
    <row r="233" spans="23:38">
      <c r="W233" s="4" t="s">
        <v>3405</v>
      </c>
      <c r="X233" s="4" t="s">
        <v>3359</v>
      </c>
      <c r="Y233" s="151" t="str">
        <f t="shared" si="22"/>
        <v>E5280</v>
      </c>
      <c r="Z233" s="4" t="s">
        <v>587</v>
      </c>
      <c r="AA233" s="114" t="s">
        <v>588</v>
      </c>
      <c r="AB233" s="4" t="s">
        <v>506</v>
      </c>
      <c r="AC233" s="4" t="s">
        <v>507</v>
      </c>
      <c r="AD233" s="4" t="s">
        <v>508</v>
      </c>
      <c r="AE233" s="4" t="s">
        <v>509</v>
      </c>
      <c r="AF233" s="4" t="s">
        <v>589</v>
      </c>
      <c r="AG233" s="743">
        <v>0</v>
      </c>
      <c r="AH233" s="4"/>
      <c r="AI233" s="158"/>
    </row>
    <row r="234" spans="23:38">
      <c r="W234" s="4" t="s">
        <v>3405</v>
      </c>
      <c r="X234" s="4" t="s">
        <v>3360</v>
      </c>
      <c r="Y234" s="151" t="str">
        <f t="shared" si="22"/>
        <v>E5280</v>
      </c>
      <c r="Z234" s="4" t="s">
        <v>587</v>
      </c>
      <c r="AA234" s="114" t="s">
        <v>588</v>
      </c>
      <c r="AB234" s="4" t="s">
        <v>506</v>
      </c>
      <c r="AC234" s="4" t="s">
        <v>507</v>
      </c>
      <c r="AD234" s="4" t="s">
        <v>508</v>
      </c>
      <c r="AE234" s="4" t="s">
        <v>509</v>
      </c>
      <c r="AF234" s="4" t="s">
        <v>589</v>
      </c>
      <c r="AG234" s="743">
        <v>0</v>
      </c>
      <c r="AH234" s="4"/>
      <c r="AI234" s="158"/>
    </row>
    <row r="235" spans="23:38">
      <c r="W235" s="4" t="s">
        <v>3405</v>
      </c>
      <c r="X235" s="4" t="s">
        <v>3361</v>
      </c>
      <c r="Y235" s="151" t="str">
        <f t="shared" si="22"/>
        <v>E5280</v>
      </c>
      <c r="Z235" s="4" t="s">
        <v>587</v>
      </c>
      <c r="AA235" s="114" t="s">
        <v>588</v>
      </c>
      <c r="AB235" s="4" t="s">
        <v>506</v>
      </c>
      <c r="AC235" s="4" t="s">
        <v>507</v>
      </c>
      <c r="AD235" s="4" t="s">
        <v>508</v>
      </c>
      <c r="AE235" s="4" t="s">
        <v>509</v>
      </c>
      <c r="AF235" s="4" t="s">
        <v>589</v>
      </c>
      <c r="AG235" s="743">
        <v>0</v>
      </c>
      <c r="AH235" s="4"/>
      <c r="AI235" s="158"/>
    </row>
    <row r="236" spans="23:38">
      <c r="W236" s="4" t="s">
        <v>3405</v>
      </c>
      <c r="X236" s="4" t="s">
        <v>3362</v>
      </c>
      <c r="Y236" s="151" t="str">
        <f t="shared" si="22"/>
        <v>E5280</v>
      </c>
      <c r="Z236" s="4" t="s">
        <v>587</v>
      </c>
      <c r="AA236" s="114" t="s">
        <v>588</v>
      </c>
      <c r="AB236" s="4" t="s">
        <v>506</v>
      </c>
      <c r="AC236" s="4" t="s">
        <v>507</v>
      </c>
      <c r="AD236" s="4" t="s">
        <v>508</v>
      </c>
      <c r="AE236" s="4" t="s">
        <v>509</v>
      </c>
      <c r="AF236" s="4" t="s">
        <v>589</v>
      </c>
      <c r="AG236" s="743">
        <v>0</v>
      </c>
      <c r="AH236" s="4"/>
      <c r="AI236" s="158"/>
    </row>
    <row r="237" spans="23:38">
      <c r="W237" s="4" t="s">
        <v>3405</v>
      </c>
      <c r="X237" s="4" t="s">
        <v>3363</v>
      </c>
      <c r="Y237" s="151" t="str">
        <f t="shared" si="22"/>
        <v>E5280</v>
      </c>
      <c r="Z237" s="4" t="s">
        <v>587</v>
      </c>
      <c r="AA237" s="114" t="s">
        <v>588</v>
      </c>
      <c r="AB237" s="4" t="s">
        <v>506</v>
      </c>
      <c r="AC237" s="4" t="s">
        <v>507</v>
      </c>
      <c r="AD237" s="4" t="s">
        <v>508</v>
      </c>
      <c r="AE237" s="4" t="s">
        <v>509</v>
      </c>
      <c r="AF237" s="4" t="s">
        <v>589</v>
      </c>
      <c r="AG237" s="743">
        <v>0</v>
      </c>
      <c r="AH237" s="4"/>
      <c r="AI237" s="158"/>
    </row>
    <row r="238" spans="23:38">
      <c r="W238" s="4" t="s">
        <v>3405</v>
      </c>
      <c r="X238" s="4" t="s">
        <v>3364</v>
      </c>
      <c r="Y238" s="151" t="str">
        <f t="shared" si="22"/>
        <v>E5280</v>
      </c>
      <c r="Z238" s="4" t="s">
        <v>587</v>
      </c>
      <c r="AA238" s="114" t="s">
        <v>588</v>
      </c>
      <c r="AB238" s="4" t="s">
        <v>506</v>
      </c>
      <c r="AC238" s="4" t="s">
        <v>507</v>
      </c>
      <c r="AD238" s="4" t="s">
        <v>508</v>
      </c>
      <c r="AE238" s="4" t="s">
        <v>509</v>
      </c>
      <c r="AF238" s="4" t="s">
        <v>589</v>
      </c>
      <c r="AG238" s="743">
        <v>0</v>
      </c>
      <c r="AH238" s="4"/>
      <c r="AI238" s="158"/>
    </row>
    <row r="239" spans="23:38">
      <c r="W239" s="4" t="s">
        <v>3405</v>
      </c>
      <c r="X239" s="4" t="s">
        <v>3365</v>
      </c>
      <c r="Y239" s="151" t="str">
        <f t="shared" si="22"/>
        <v>E5280</v>
      </c>
      <c r="Z239" s="4" t="s">
        <v>587</v>
      </c>
      <c r="AA239" s="114" t="s">
        <v>588</v>
      </c>
      <c r="AB239" s="4" t="s">
        <v>506</v>
      </c>
      <c r="AC239" s="4" t="s">
        <v>507</v>
      </c>
      <c r="AD239" s="4" t="s">
        <v>508</v>
      </c>
      <c r="AE239" s="4" t="s">
        <v>509</v>
      </c>
      <c r="AF239" s="4" t="s">
        <v>589</v>
      </c>
      <c r="AG239" s="743">
        <v>0</v>
      </c>
      <c r="AH239" s="4"/>
      <c r="AI239" s="158"/>
    </row>
    <row r="240" spans="23:38">
      <c r="W240" s="4" t="s">
        <v>3405</v>
      </c>
      <c r="X240" s="4" t="s">
        <v>3366</v>
      </c>
      <c r="Y240" s="151" t="str">
        <f t="shared" si="22"/>
        <v>E5280</v>
      </c>
      <c r="Z240" s="4" t="s">
        <v>587</v>
      </c>
      <c r="AA240" s="114" t="s">
        <v>588</v>
      </c>
      <c r="AB240" s="4" t="s">
        <v>506</v>
      </c>
      <c r="AC240" s="4" t="s">
        <v>507</v>
      </c>
      <c r="AD240" s="4" t="s">
        <v>508</v>
      </c>
      <c r="AE240" s="4" t="s">
        <v>509</v>
      </c>
      <c r="AF240" s="4" t="s">
        <v>589</v>
      </c>
      <c r="AG240" s="743">
        <v>0</v>
      </c>
      <c r="AH240" s="4"/>
      <c r="AI240" s="158"/>
    </row>
    <row r="241" spans="23:46">
      <c r="W241" s="4" t="s">
        <v>3405</v>
      </c>
      <c r="X241" s="4" t="s">
        <v>3367</v>
      </c>
      <c r="Y241" s="151" t="str">
        <f t="shared" si="22"/>
        <v>E5280</v>
      </c>
      <c r="Z241" s="4" t="s">
        <v>587</v>
      </c>
      <c r="AA241" s="114" t="s">
        <v>588</v>
      </c>
      <c r="AB241" s="4" t="s">
        <v>506</v>
      </c>
      <c r="AC241" s="4" t="s">
        <v>507</v>
      </c>
      <c r="AD241" s="4" t="s">
        <v>508</v>
      </c>
      <c r="AE241" s="4" t="s">
        <v>509</v>
      </c>
      <c r="AF241" s="4" t="s">
        <v>589</v>
      </c>
      <c r="AG241" s="743">
        <v>0</v>
      </c>
      <c r="AH241" s="4"/>
      <c r="AI241" s="158"/>
    </row>
    <row r="242" spans="23:46">
      <c r="W242" s="4" t="s">
        <v>3405</v>
      </c>
      <c r="X242" s="3" t="s">
        <v>3356</v>
      </c>
      <c r="Y242" s="150" t="str">
        <f>INDEX($B$3:$O$110,30,1)</f>
        <v>E5290</v>
      </c>
      <c r="Z242" s="4" t="s">
        <v>587</v>
      </c>
      <c r="AA242" s="114" t="s">
        <v>588</v>
      </c>
      <c r="AB242" s="4" t="s">
        <v>506</v>
      </c>
      <c r="AC242" s="4" t="s">
        <v>507</v>
      </c>
      <c r="AD242" s="4" t="s">
        <v>508</v>
      </c>
      <c r="AE242" s="4" t="s">
        <v>509</v>
      </c>
      <c r="AF242" s="4" t="s">
        <v>589</v>
      </c>
      <c r="AG242" s="743">
        <v>0</v>
      </c>
      <c r="AI242" s="158"/>
    </row>
    <row r="243" spans="23:46">
      <c r="W243" s="4" t="s">
        <v>3405</v>
      </c>
      <c r="X243" s="4" t="s">
        <v>3357</v>
      </c>
      <c r="Y243" s="151" t="str">
        <f>Y242</f>
        <v>E5290</v>
      </c>
      <c r="Z243" s="4" t="s">
        <v>587</v>
      </c>
      <c r="AA243" s="114" t="s">
        <v>588</v>
      </c>
      <c r="AB243" s="4" t="s">
        <v>506</v>
      </c>
      <c r="AC243" s="4" t="s">
        <v>507</v>
      </c>
      <c r="AD243" s="4" t="s">
        <v>508</v>
      </c>
      <c r="AE243" s="4" t="s">
        <v>509</v>
      </c>
      <c r="AF243" s="4" t="s">
        <v>589</v>
      </c>
      <c r="AG243" s="743">
        <v>0</v>
      </c>
      <c r="AI243" s="158"/>
    </row>
    <row r="244" spans="23:46">
      <c r="W244" s="4" t="s">
        <v>3405</v>
      </c>
      <c r="X244" s="4" t="s">
        <v>3358</v>
      </c>
      <c r="Y244" s="151" t="str">
        <f t="shared" ref="Y244:Y253" si="23">Y243</f>
        <v>E5290</v>
      </c>
      <c r="Z244" s="4" t="s">
        <v>587</v>
      </c>
      <c r="AA244" s="114" t="s">
        <v>588</v>
      </c>
      <c r="AB244" s="4" t="s">
        <v>506</v>
      </c>
      <c r="AC244" s="4" t="s">
        <v>507</v>
      </c>
      <c r="AD244" s="4" t="s">
        <v>508</v>
      </c>
      <c r="AE244" s="4" t="s">
        <v>509</v>
      </c>
      <c r="AF244" s="4" t="s">
        <v>589</v>
      </c>
      <c r="AG244" s="743">
        <v>0</v>
      </c>
      <c r="AI244" s="158"/>
    </row>
    <row r="245" spans="23:46">
      <c r="W245" s="4" t="s">
        <v>3405</v>
      </c>
      <c r="X245" s="4" t="s">
        <v>3359</v>
      </c>
      <c r="Y245" s="151" t="str">
        <f t="shared" si="23"/>
        <v>E5290</v>
      </c>
      <c r="Z245" s="4" t="s">
        <v>587</v>
      </c>
      <c r="AA245" s="114" t="s">
        <v>588</v>
      </c>
      <c r="AB245" s="4" t="s">
        <v>506</v>
      </c>
      <c r="AC245" s="4" t="s">
        <v>507</v>
      </c>
      <c r="AD245" s="4" t="s">
        <v>508</v>
      </c>
      <c r="AE245" s="4" t="s">
        <v>509</v>
      </c>
      <c r="AF245" s="4" t="s">
        <v>589</v>
      </c>
      <c r="AG245" s="743">
        <v>0</v>
      </c>
      <c r="AI245" s="158"/>
    </row>
    <row r="246" spans="23:46">
      <c r="W246" s="4" t="s">
        <v>3405</v>
      </c>
      <c r="X246" s="4" t="s">
        <v>3360</v>
      </c>
      <c r="Y246" s="151" t="str">
        <f t="shared" si="23"/>
        <v>E5290</v>
      </c>
      <c r="Z246" s="4" t="s">
        <v>587</v>
      </c>
      <c r="AA246" s="114" t="s">
        <v>588</v>
      </c>
      <c r="AB246" s="4" t="s">
        <v>506</v>
      </c>
      <c r="AC246" s="4" t="s">
        <v>507</v>
      </c>
      <c r="AD246" s="4" t="s">
        <v>508</v>
      </c>
      <c r="AE246" s="4" t="s">
        <v>509</v>
      </c>
      <c r="AF246" s="4" t="s">
        <v>589</v>
      </c>
      <c r="AG246" s="743">
        <v>0</v>
      </c>
      <c r="AI246" s="158"/>
    </row>
    <row r="247" spans="23:46">
      <c r="W247" s="4" t="s">
        <v>3405</v>
      </c>
      <c r="X247" s="4" t="s">
        <v>3361</v>
      </c>
      <c r="Y247" s="151" t="str">
        <f t="shared" si="23"/>
        <v>E5290</v>
      </c>
      <c r="Z247" s="4" t="s">
        <v>587</v>
      </c>
      <c r="AA247" s="114" t="s">
        <v>588</v>
      </c>
      <c r="AB247" s="4" t="s">
        <v>506</v>
      </c>
      <c r="AC247" s="4" t="s">
        <v>507</v>
      </c>
      <c r="AD247" s="4" t="s">
        <v>508</v>
      </c>
      <c r="AE247" s="4" t="s">
        <v>509</v>
      </c>
      <c r="AF247" s="4" t="s">
        <v>589</v>
      </c>
      <c r="AG247" s="743">
        <v>0</v>
      </c>
      <c r="AI247" s="158"/>
    </row>
    <row r="248" spans="23:46">
      <c r="W248" s="4" t="s">
        <v>3405</v>
      </c>
      <c r="X248" s="4" t="s">
        <v>3362</v>
      </c>
      <c r="Y248" s="151" t="str">
        <f t="shared" si="23"/>
        <v>E5290</v>
      </c>
      <c r="Z248" s="4" t="s">
        <v>587</v>
      </c>
      <c r="AA248" s="114" t="s">
        <v>588</v>
      </c>
      <c r="AB248" s="4" t="s">
        <v>506</v>
      </c>
      <c r="AC248" s="4" t="s">
        <v>507</v>
      </c>
      <c r="AD248" s="4" t="s">
        <v>508</v>
      </c>
      <c r="AE248" s="4" t="s">
        <v>509</v>
      </c>
      <c r="AF248" s="4" t="s">
        <v>589</v>
      </c>
      <c r="AG248" s="743">
        <v>0</v>
      </c>
      <c r="AI248" s="158"/>
    </row>
    <row r="249" spans="23:46">
      <c r="W249" s="4" t="s">
        <v>3405</v>
      </c>
      <c r="X249" s="4" t="s">
        <v>3363</v>
      </c>
      <c r="Y249" s="151" t="str">
        <f t="shared" si="23"/>
        <v>E5290</v>
      </c>
      <c r="Z249" s="4" t="s">
        <v>587</v>
      </c>
      <c r="AA249" s="114" t="s">
        <v>588</v>
      </c>
      <c r="AB249" s="4" t="s">
        <v>506</v>
      </c>
      <c r="AC249" s="4" t="s">
        <v>507</v>
      </c>
      <c r="AD249" s="4" t="s">
        <v>508</v>
      </c>
      <c r="AE249" s="4" t="s">
        <v>509</v>
      </c>
      <c r="AF249" s="4" t="s">
        <v>589</v>
      </c>
      <c r="AG249" s="743">
        <v>0</v>
      </c>
      <c r="AI249" s="158"/>
    </row>
    <row r="250" spans="23:46">
      <c r="W250" s="4" t="s">
        <v>3405</v>
      </c>
      <c r="X250" s="4" t="s">
        <v>3364</v>
      </c>
      <c r="Y250" s="151" t="str">
        <f t="shared" si="23"/>
        <v>E5290</v>
      </c>
      <c r="Z250" s="4" t="s">
        <v>587</v>
      </c>
      <c r="AA250" s="114" t="s">
        <v>588</v>
      </c>
      <c r="AB250" s="4" t="s">
        <v>506</v>
      </c>
      <c r="AC250" s="4" t="s">
        <v>507</v>
      </c>
      <c r="AD250" s="4" t="s">
        <v>508</v>
      </c>
      <c r="AE250" s="4" t="s">
        <v>509</v>
      </c>
      <c r="AF250" s="4" t="s">
        <v>589</v>
      </c>
      <c r="AG250" s="743">
        <v>0</v>
      </c>
      <c r="AI250" s="158"/>
    </row>
    <row r="251" spans="23:46">
      <c r="W251" s="4" t="s">
        <v>3405</v>
      </c>
      <c r="X251" s="4" t="s">
        <v>3365</v>
      </c>
      <c r="Y251" s="151" t="str">
        <f t="shared" si="23"/>
        <v>E5290</v>
      </c>
      <c r="Z251" s="4" t="s">
        <v>587</v>
      </c>
      <c r="AA251" s="114" t="s">
        <v>588</v>
      </c>
      <c r="AB251" s="4" t="s">
        <v>506</v>
      </c>
      <c r="AC251" s="4" t="s">
        <v>507</v>
      </c>
      <c r="AD251" s="4" t="s">
        <v>508</v>
      </c>
      <c r="AE251" s="4" t="s">
        <v>509</v>
      </c>
      <c r="AF251" s="4" t="s">
        <v>589</v>
      </c>
      <c r="AG251" s="743">
        <v>0</v>
      </c>
      <c r="AI251" s="158"/>
    </row>
    <row r="252" spans="23:46">
      <c r="W252" s="4" t="s">
        <v>3405</v>
      </c>
      <c r="X252" s="4" t="s">
        <v>3366</v>
      </c>
      <c r="Y252" s="151" t="str">
        <f t="shared" si="23"/>
        <v>E5290</v>
      </c>
      <c r="Z252" s="4" t="s">
        <v>587</v>
      </c>
      <c r="AA252" s="114" t="s">
        <v>588</v>
      </c>
      <c r="AB252" s="4" t="s">
        <v>506</v>
      </c>
      <c r="AC252" s="4" t="s">
        <v>507</v>
      </c>
      <c r="AD252" s="4" t="s">
        <v>508</v>
      </c>
      <c r="AE252" s="4" t="s">
        <v>509</v>
      </c>
      <c r="AF252" s="4" t="s">
        <v>589</v>
      </c>
      <c r="AG252" s="743">
        <v>0</v>
      </c>
      <c r="AI252" s="158"/>
    </row>
    <row r="253" spans="23:46">
      <c r="W253" s="4" t="s">
        <v>3405</v>
      </c>
      <c r="X253" s="4" t="s">
        <v>3367</v>
      </c>
      <c r="Y253" s="151" t="str">
        <f t="shared" si="23"/>
        <v>E5290</v>
      </c>
      <c r="Z253" s="4" t="s">
        <v>587</v>
      </c>
      <c r="AA253" s="114" t="s">
        <v>588</v>
      </c>
      <c r="AB253" s="4" t="s">
        <v>506</v>
      </c>
      <c r="AC253" s="4" t="s">
        <v>507</v>
      </c>
      <c r="AD253" s="4" t="s">
        <v>508</v>
      </c>
      <c r="AE253" s="4" t="s">
        <v>509</v>
      </c>
      <c r="AF253" s="4" t="s">
        <v>589</v>
      </c>
      <c r="AG253" s="743">
        <v>0</v>
      </c>
      <c r="AI253" s="158"/>
    </row>
    <row r="254" spans="23:46">
      <c r="W254" s="4" t="s">
        <v>3405</v>
      </c>
      <c r="X254" s="3" t="s">
        <v>3356</v>
      </c>
      <c r="Y254" s="150" t="str">
        <f>INDEX($B$3:$O$110,31,1)</f>
        <v>E5300</v>
      </c>
      <c r="Z254" s="4" t="s">
        <v>587</v>
      </c>
      <c r="AA254" s="114" t="s">
        <v>588</v>
      </c>
      <c r="AB254" s="4" t="s">
        <v>506</v>
      </c>
      <c r="AC254" s="4" t="s">
        <v>507</v>
      </c>
      <c r="AD254" s="4" t="s">
        <v>508</v>
      </c>
      <c r="AE254" s="4" t="s">
        <v>509</v>
      </c>
      <c r="AF254" s="4" t="s">
        <v>589</v>
      </c>
      <c r="AG254" s="743">
        <v>0</v>
      </c>
      <c r="AH254" s="152"/>
      <c r="AI254" s="158"/>
      <c r="AJ254" s="152"/>
      <c r="AK254" s="152"/>
      <c r="AL254" s="152"/>
      <c r="AM254" s="152"/>
      <c r="AN254" s="152"/>
      <c r="AO254" s="152"/>
      <c r="AP254" s="152"/>
      <c r="AQ254" s="152"/>
      <c r="AR254" s="152"/>
      <c r="AS254" s="4"/>
      <c r="AT254" s="4"/>
    </row>
    <row r="255" spans="23:46">
      <c r="W255" s="4" t="s">
        <v>3405</v>
      </c>
      <c r="X255" s="4" t="s">
        <v>3357</v>
      </c>
      <c r="Y255" s="151" t="str">
        <f>Y254</f>
        <v>E5300</v>
      </c>
      <c r="Z255" s="4" t="s">
        <v>587</v>
      </c>
      <c r="AA255" s="114" t="s">
        <v>588</v>
      </c>
      <c r="AB255" s="4" t="s">
        <v>506</v>
      </c>
      <c r="AC255" s="4" t="s">
        <v>507</v>
      </c>
      <c r="AD255" s="4" t="s">
        <v>508</v>
      </c>
      <c r="AE255" s="4" t="s">
        <v>509</v>
      </c>
      <c r="AF255" s="4" t="s">
        <v>589</v>
      </c>
      <c r="AG255" s="743">
        <v>0</v>
      </c>
      <c r="AI255" s="158"/>
    </row>
    <row r="256" spans="23:46">
      <c r="W256" s="4" t="s">
        <v>3405</v>
      </c>
      <c r="X256" s="4" t="s">
        <v>3358</v>
      </c>
      <c r="Y256" s="151" t="str">
        <f t="shared" ref="Y256:Y265" si="24">Y255</f>
        <v>E5300</v>
      </c>
      <c r="Z256" s="4" t="s">
        <v>587</v>
      </c>
      <c r="AA256" s="114" t="s">
        <v>588</v>
      </c>
      <c r="AB256" s="4" t="s">
        <v>506</v>
      </c>
      <c r="AC256" s="4" t="s">
        <v>507</v>
      </c>
      <c r="AD256" s="4" t="s">
        <v>508</v>
      </c>
      <c r="AE256" s="4" t="s">
        <v>509</v>
      </c>
      <c r="AF256" s="4" t="s">
        <v>589</v>
      </c>
      <c r="AG256" s="743">
        <v>0</v>
      </c>
      <c r="AI256" s="158"/>
    </row>
    <row r="257" spans="23:35">
      <c r="W257" s="4" t="s">
        <v>3405</v>
      </c>
      <c r="X257" s="4" t="s">
        <v>3359</v>
      </c>
      <c r="Y257" s="151" t="str">
        <f t="shared" si="24"/>
        <v>E5300</v>
      </c>
      <c r="Z257" s="4" t="s">
        <v>587</v>
      </c>
      <c r="AA257" s="114" t="s">
        <v>588</v>
      </c>
      <c r="AB257" s="4" t="s">
        <v>506</v>
      </c>
      <c r="AC257" s="4" t="s">
        <v>507</v>
      </c>
      <c r="AD257" s="4" t="s">
        <v>508</v>
      </c>
      <c r="AE257" s="4" t="s">
        <v>509</v>
      </c>
      <c r="AF257" s="4" t="s">
        <v>589</v>
      </c>
      <c r="AG257" s="743">
        <v>0</v>
      </c>
      <c r="AI257" s="158"/>
    </row>
    <row r="258" spans="23:35">
      <c r="W258" s="4" t="s">
        <v>3405</v>
      </c>
      <c r="X258" s="4" t="s">
        <v>3360</v>
      </c>
      <c r="Y258" s="151" t="str">
        <f t="shared" si="24"/>
        <v>E5300</v>
      </c>
      <c r="Z258" s="4" t="s">
        <v>587</v>
      </c>
      <c r="AA258" s="114" t="s">
        <v>588</v>
      </c>
      <c r="AB258" s="4" t="s">
        <v>506</v>
      </c>
      <c r="AC258" s="4" t="s">
        <v>507</v>
      </c>
      <c r="AD258" s="4" t="s">
        <v>508</v>
      </c>
      <c r="AE258" s="4" t="s">
        <v>509</v>
      </c>
      <c r="AF258" s="4" t="s">
        <v>589</v>
      </c>
      <c r="AG258" s="743">
        <v>0</v>
      </c>
      <c r="AI258" s="158"/>
    </row>
    <row r="259" spans="23:35">
      <c r="W259" s="4" t="s">
        <v>3405</v>
      </c>
      <c r="X259" s="4" t="s">
        <v>3361</v>
      </c>
      <c r="Y259" s="151" t="str">
        <f t="shared" si="24"/>
        <v>E5300</v>
      </c>
      <c r="Z259" s="4" t="s">
        <v>587</v>
      </c>
      <c r="AA259" s="114" t="s">
        <v>588</v>
      </c>
      <c r="AB259" s="4" t="s">
        <v>506</v>
      </c>
      <c r="AC259" s="4" t="s">
        <v>507</v>
      </c>
      <c r="AD259" s="4" t="s">
        <v>508</v>
      </c>
      <c r="AE259" s="4" t="s">
        <v>509</v>
      </c>
      <c r="AF259" s="4" t="s">
        <v>589</v>
      </c>
      <c r="AG259" s="743">
        <v>0</v>
      </c>
      <c r="AI259" s="158"/>
    </row>
    <row r="260" spans="23:35">
      <c r="W260" s="4" t="s">
        <v>3405</v>
      </c>
      <c r="X260" s="4" t="s">
        <v>3362</v>
      </c>
      <c r="Y260" s="151" t="str">
        <f t="shared" si="24"/>
        <v>E5300</v>
      </c>
      <c r="Z260" s="4" t="s">
        <v>587</v>
      </c>
      <c r="AA260" s="114" t="s">
        <v>588</v>
      </c>
      <c r="AB260" s="4" t="s">
        <v>506</v>
      </c>
      <c r="AC260" s="4" t="s">
        <v>507</v>
      </c>
      <c r="AD260" s="4" t="s">
        <v>508</v>
      </c>
      <c r="AE260" s="4" t="s">
        <v>509</v>
      </c>
      <c r="AF260" s="4" t="s">
        <v>589</v>
      </c>
      <c r="AG260" s="743">
        <v>0</v>
      </c>
      <c r="AI260" s="158"/>
    </row>
    <row r="261" spans="23:35">
      <c r="W261" s="4" t="s">
        <v>3405</v>
      </c>
      <c r="X261" s="4" t="s">
        <v>3363</v>
      </c>
      <c r="Y261" s="151" t="str">
        <f t="shared" si="24"/>
        <v>E5300</v>
      </c>
      <c r="Z261" s="4" t="s">
        <v>587</v>
      </c>
      <c r="AA261" s="114" t="s">
        <v>588</v>
      </c>
      <c r="AB261" s="4" t="s">
        <v>506</v>
      </c>
      <c r="AC261" s="4" t="s">
        <v>507</v>
      </c>
      <c r="AD261" s="4" t="s">
        <v>508</v>
      </c>
      <c r="AE261" s="4" t="s">
        <v>509</v>
      </c>
      <c r="AF261" s="4" t="s">
        <v>589</v>
      </c>
      <c r="AG261" s="743">
        <v>0</v>
      </c>
      <c r="AI261" s="158"/>
    </row>
    <row r="262" spans="23:35">
      <c r="W262" s="4" t="s">
        <v>3405</v>
      </c>
      <c r="X262" s="4" t="s">
        <v>3364</v>
      </c>
      <c r="Y262" s="151" t="str">
        <f t="shared" si="24"/>
        <v>E5300</v>
      </c>
      <c r="Z262" s="4" t="s">
        <v>587</v>
      </c>
      <c r="AA262" s="114" t="s">
        <v>588</v>
      </c>
      <c r="AB262" s="4" t="s">
        <v>506</v>
      </c>
      <c r="AC262" s="4" t="s">
        <v>507</v>
      </c>
      <c r="AD262" s="4" t="s">
        <v>508</v>
      </c>
      <c r="AE262" s="4" t="s">
        <v>509</v>
      </c>
      <c r="AF262" s="4" t="s">
        <v>589</v>
      </c>
      <c r="AG262" s="743">
        <v>0</v>
      </c>
      <c r="AI262" s="158"/>
    </row>
    <row r="263" spans="23:35">
      <c r="W263" s="4" t="s">
        <v>3405</v>
      </c>
      <c r="X263" s="4" t="s">
        <v>3365</v>
      </c>
      <c r="Y263" s="151" t="str">
        <f t="shared" si="24"/>
        <v>E5300</v>
      </c>
      <c r="Z263" s="4" t="s">
        <v>587</v>
      </c>
      <c r="AA263" s="114" t="s">
        <v>588</v>
      </c>
      <c r="AB263" s="4" t="s">
        <v>506</v>
      </c>
      <c r="AC263" s="4" t="s">
        <v>507</v>
      </c>
      <c r="AD263" s="4" t="s">
        <v>508</v>
      </c>
      <c r="AE263" s="4" t="s">
        <v>509</v>
      </c>
      <c r="AF263" s="4" t="s">
        <v>589</v>
      </c>
      <c r="AG263" s="743">
        <v>0</v>
      </c>
      <c r="AI263" s="158"/>
    </row>
    <row r="264" spans="23:35">
      <c r="W264" s="4" t="s">
        <v>3405</v>
      </c>
      <c r="X264" s="4" t="s">
        <v>3366</v>
      </c>
      <c r="Y264" s="151" t="str">
        <f t="shared" si="24"/>
        <v>E5300</v>
      </c>
      <c r="Z264" s="4" t="s">
        <v>587</v>
      </c>
      <c r="AA264" s="114" t="s">
        <v>588</v>
      </c>
      <c r="AB264" s="4" t="s">
        <v>506</v>
      </c>
      <c r="AC264" s="4" t="s">
        <v>507</v>
      </c>
      <c r="AD264" s="4" t="s">
        <v>508</v>
      </c>
      <c r="AE264" s="4" t="s">
        <v>509</v>
      </c>
      <c r="AF264" s="4" t="s">
        <v>589</v>
      </c>
      <c r="AG264" s="743">
        <v>0</v>
      </c>
      <c r="AI264" s="158"/>
    </row>
    <row r="265" spans="23:35">
      <c r="W265" s="4" t="s">
        <v>3405</v>
      </c>
      <c r="X265" s="4" t="s">
        <v>3367</v>
      </c>
      <c r="Y265" s="151" t="str">
        <f t="shared" si="24"/>
        <v>E5300</v>
      </c>
      <c r="Z265" s="4" t="s">
        <v>587</v>
      </c>
      <c r="AA265" s="114" t="s">
        <v>588</v>
      </c>
      <c r="AB265" s="4" t="s">
        <v>506</v>
      </c>
      <c r="AC265" s="4" t="s">
        <v>507</v>
      </c>
      <c r="AD265" s="4" t="s">
        <v>508</v>
      </c>
      <c r="AE265" s="4" t="s">
        <v>509</v>
      </c>
      <c r="AF265" s="4" t="s">
        <v>589</v>
      </c>
      <c r="AG265" s="743">
        <v>0</v>
      </c>
      <c r="AI265" s="158"/>
    </row>
    <row r="266" spans="23:35">
      <c r="W266" s="4" t="s">
        <v>3405</v>
      </c>
      <c r="X266" s="3" t="s">
        <v>3356</v>
      </c>
      <c r="Y266" s="150" t="str">
        <f>INDEX($B$3:$O$110,33,1)</f>
        <v>E5310</v>
      </c>
      <c r="Z266" s="4" t="s">
        <v>587</v>
      </c>
      <c r="AA266" s="114" t="s">
        <v>588</v>
      </c>
      <c r="AB266" s="4" t="s">
        <v>506</v>
      </c>
      <c r="AC266" s="4" t="s">
        <v>507</v>
      </c>
      <c r="AD266" s="4" t="s">
        <v>508</v>
      </c>
      <c r="AE266" s="4" t="s">
        <v>509</v>
      </c>
      <c r="AF266" s="4" t="s">
        <v>589</v>
      </c>
      <c r="AG266" s="743">
        <v>0</v>
      </c>
      <c r="AI266" s="158"/>
    </row>
    <row r="267" spans="23:35">
      <c r="W267" s="4" t="s">
        <v>3405</v>
      </c>
      <c r="X267" s="4" t="s">
        <v>3357</v>
      </c>
      <c r="Y267" s="151" t="str">
        <f>Y266</f>
        <v>E5310</v>
      </c>
      <c r="Z267" s="4" t="s">
        <v>587</v>
      </c>
      <c r="AA267" s="114" t="s">
        <v>588</v>
      </c>
      <c r="AB267" s="4" t="s">
        <v>506</v>
      </c>
      <c r="AC267" s="4" t="s">
        <v>507</v>
      </c>
      <c r="AD267" s="4" t="s">
        <v>508</v>
      </c>
      <c r="AE267" s="4" t="s">
        <v>509</v>
      </c>
      <c r="AF267" s="4" t="s">
        <v>589</v>
      </c>
      <c r="AG267" s="743">
        <v>0</v>
      </c>
      <c r="AI267" s="158"/>
    </row>
    <row r="268" spans="23:35">
      <c r="W268" s="4" t="s">
        <v>3405</v>
      </c>
      <c r="X268" s="4" t="s">
        <v>3358</v>
      </c>
      <c r="Y268" s="151" t="str">
        <f t="shared" ref="Y268:Y277" si="25">Y267</f>
        <v>E5310</v>
      </c>
      <c r="Z268" s="4" t="s">
        <v>587</v>
      </c>
      <c r="AA268" s="114" t="s">
        <v>588</v>
      </c>
      <c r="AB268" s="4" t="s">
        <v>506</v>
      </c>
      <c r="AC268" s="4" t="s">
        <v>507</v>
      </c>
      <c r="AD268" s="4" t="s">
        <v>508</v>
      </c>
      <c r="AE268" s="4" t="s">
        <v>509</v>
      </c>
      <c r="AF268" s="4" t="s">
        <v>589</v>
      </c>
      <c r="AG268" s="743">
        <v>0</v>
      </c>
      <c r="AI268" s="158"/>
    </row>
    <row r="269" spans="23:35">
      <c r="W269" s="4" t="s">
        <v>3405</v>
      </c>
      <c r="X269" s="4" t="s">
        <v>3359</v>
      </c>
      <c r="Y269" s="151" t="str">
        <f t="shared" si="25"/>
        <v>E5310</v>
      </c>
      <c r="Z269" s="4" t="s">
        <v>587</v>
      </c>
      <c r="AA269" s="114" t="s">
        <v>588</v>
      </c>
      <c r="AB269" s="4" t="s">
        <v>506</v>
      </c>
      <c r="AC269" s="4" t="s">
        <v>507</v>
      </c>
      <c r="AD269" s="4" t="s">
        <v>508</v>
      </c>
      <c r="AE269" s="4" t="s">
        <v>509</v>
      </c>
      <c r="AF269" s="4" t="s">
        <v>589</v>
      </c>
      <c r="AG269" s="743">
        <v>0</v>
      </c>
      <c r="AI269" s="158"/>
    </row>
    <row r="270" spans="23:35">
      <c r="W270" s="4" t="s">
        <v>3405</v>
      </c>
      <c r="X270" s="4" t="s">
        <v>3360</v>
      </c>
      <c r="Y270" s="151" t="str">
        <f t="shared" si="25"/>
        <v>E5310</v>
      </c>
      <c r="Z270" s="4" t="s">
        <v>587</v>
      </c>
      <c r="AA270" s="114" t="s">
        <v>588</v>
      </c>
      <c r="AB270" s="4" t="s">
        <v>506</v>
      </c>
      <c r="AC270" s="4" t="s">
        <v>507</v>
      </c>
      <c r="AD270" s="4" t="s">
        <v>508</v>
      </c>
      <c r="AE270" s="4" t="s">
        <v>509</v>
      </c>
      <c r="AF270" s="4" t="s">
        <v>589</v>
      </c>
      <c r="AG270" s="743">
        <v>0</v>
      </c>
      <c r="AI270" s="158"/>
    </row>
    <row r="271" spans="23:35">
      <c r="W271" s="4" t="s">
        <v>3405</v>
      </c>
      <c r="X271" s="4" t="s">
        <v>3361</v>
      </c>
      <c r="Y271" s="151" t="str">
        <f t="shared" si="25"/>
        <v>E5310</v>
      </c>
      <c r="Z271" s="4" t="s">
        <v>587</v>
      </c>
      <c r="AA271" s="114" t="s">
        <v>588</v>
      </c>
      <c r="AB271" s="4" t="s">
        <v>506</v>
      </c>
      <c r="AC271" s="4" t="s">
        <v>507</v>
      </c>
      <c r="AD271" s="4" t="s">
        <v>508</v>
      </c>
      <c r="AE271" s="4" t="s">
        <v>509</v>
      </c>
      <c r="AF271" s="4" t="s">
        <v>589</v>
      </c>
      <c r="AG271" s="743">
        <v>0</v>
      </c>
      <c r="AI271" s="158"/>
    </row>
    <row r="272" spans="23:35">
      <c r="W272" s="4" t="s">
        <v>3405</v>
      </c>
      <c r="X272" s="4" t="s">
        <v>3362</v>
      </c>
      <c r="Y272" s="151" t="str">
        <f t="shared" si="25"/>
        <v>E5310</v>
      </c>
      <c r="Z272" s="4" t="s">
        <v>587</v>
      </c>
      <c r="AA272" s="114" t="s">
        <v>588</v>
      </c>
      <c r="AB272" s="4" t="s">
        <v>506</v>
      </c>
      <c r="AC272" s="4" t="s">
        <v>507</v>
      </c>
      <c r="AD272" s="4" t="s">
        <v>508</v>
      </c>
      <c r="AE272" s="4" t="s">
        <v>509</v>
      </c>
      <c r="AF272" s="4" t="s">
        <v>589</v>
      </c>
      <c r="AG272" s="743">
        <v>0</v>
      </c>
      <c r="AI272" s="158"/>
    </row>
    <row r="273" spans="23:35">
      <c r="W273" s="4" t="s">
        <v>3405</v>
      </c>
      <c r="X273" s="4" t="s">
        <v>3363</v>
      </c>
      <c r="Y273" s="151" t="str">
        <f t="shared" si="25"/>
        <v>E5310</v>
      </c>
      <c r="Z273" s="4" t="s">
        <v>587</v>
      </c>
      <c r="AA273" s="114" t="s">
        <v>588</v>
      </c>
      <c r="AB273" s="4" t="s">
        <v>506</v>
      </c>
      <c r="AC273" s="4" t="s">
        <v>507</v>
      </c>
      <c r="AD273" s="4" t="s">
        <v>508</v>
      </c>
      <c r="AE273" s="4" t="s">
        <v>509</v>
      </c>
      <c r="AF273" s="4" t="s">
        <v>589</v>
      </c>
      <c r="AG273" s="743">
        <v>0</v>
      </c>
      <c r="AI273" s="158"/>
    </row>
    <row r="274" spans="23:35">
      <c r="W274" s="4" t="s">
        <v>3405</v>
      </c>
      <c r="X274" s="4" t="s">
        <v>3364</v>
      </c>
      <c r="Y274" s="151" t="str">
        <f t="shared" si="25"/>
        <v>E5310</v>
      </c>
      <c r="Z274" s="4" t="s">
        <v>587</v>
      </c>
      <c r="AA274" s="114" t="s">
        <v>588</v>
      </c>
      <c r="AB274" s="4" t="s">
        <v>506</v>
      </c>
      <c r="AC274" s="4" t="s">
        <v>507</v>
      </c>
      <c r="AD274" s="4" t="s">
        <v>508</v>
      </c>
      <c r="AE274" s="4" t="s">
        <v>509</v>
      </c>
      <c r="AF274" s="4" t="s">
        <v>589</v>
      </c>
      <c r="AG274" s="743">
        <v>0</v>
      </c>
      <c r="AI274" s="158"/>
    </row>
    <row r="275" spans="23:35">
      <c r="W275" s="4" t="s">
        <v>3405</v>
      </c>
      <c r="X275" s="4" t="s">
        <v>3365</v>
      </c>
      <c r="Y275" s="151" t="str">
        <f t="shared" si="25"/>
        <v>E5310</v>
      </c>
      <c r="Z275" s="4" t="s">
        <v>587</v>
      </c>
      <c r="AA275" s="114" t="s">
        <v>588</v>
      </c>
      <c r="AB275" s="4" t="s">
        <v>506</v>
      </c>
      <c r="AC275" s="4" t="s">
        <v>507</v>
      </c>
      <c r="AD275" s="4" t="s">
        <v>508</v>
      </c>
      <c r="AE275" s="4" t="s">
        <v>509</v>
      </c>
      <c r="AF275" s="4" t="s">
        <v>589</v>
      </c>
      <c r="AG275" s="743">
        <v>0</v>
      </c>
      <c r="AI275" s="158"/>
    </row>
    <row r="276" spans="23:35">
      <c r="W276" s="4" t="s">
        <v>3405</v>
      </c>
      <c r="X276" s="4" t="s">
        <v>3366</v>
      </c>
      <c r="Y276" s="151" t="str">
        <f t="shared" si="25"/>
        <v>E5310</v>
      </c>
      <c r="Z276" s="4" t="s">
        <v>587</v>
      </c>
      <c r="AA276" s="114" t="s">
        <v>588</v>
      </c>
      <c r="AB276" s="4" t="s">
        <v>506</v>
      </c>
      <c r="AC276" s="4" t="s">
        <v>507</v>
      </c>
      <c r="AD276" s="4" t="s">
        <v>508</v>
      </c>
      <c r="AE276" s="4" t="s">
        <v>509</v>
      </c>
      <c r="AF276" s="4" t="s">
        <v>589</v>
      </c>
      <c r="AG276" s="743">
        <v>0</v>
      </c>
      <c r="AI276" s="158"/>
    </row>
    <row r="277" spans="23:35">
      <c r="W277" s="4" t="s">
        <v>3405</v>
      </c>
      <c r="X277" s="4" t="s">
        <v>3367</v>
      </c>
      <c r="Y277" s="151" t="str">
        <f t="shared" si="25"/>
        <v>E5310</v>
      </c>
      <c r="Z277" s="4" t="s">
        <v>587</v>
      </c>
      <c r="AA277" s="114" t="s">
        <v>588</v>
      </c>
      <c r="AB277" s="4" t="s">
        <v>506</v>
      </c>
      <c r="AC277" s="4" t="s">
        <v>507</v>
      </c>
      <c r="AD277" s="4" t="s">
        <v>508</v>
      </c>
      <c r="AE277" s="4" t="s">
        <v>509</v>
      </c>
      <c r="AF277" s="4" t="s">
        <v>589</v>
      </c>
      <c r="AG277" s="743">
        <v>0</v>
      </c>
      <c r="AI277" s="158"/>
    </row>
    <row r="278" spans="23:35">
      <c r="W278" s="4" t="s">
        <v>3405</v>
      </c>
      <c r="X278" s="3" t="s">
        <v>3356</v>
      </c>
      <c r="Y278" s="150" t="str">
        <f>INDEX($B$3:$O$110,35,1)</f>
        <v>E5320</v>
      </c>
      <c r="Z278" s="4" t="s">
        <v>587</v>
      </c>
      <c r="AA278" s="114" t="s">
        <v>588</v>
      </c>
      <c r="AB278" s="4" t="s">
        <v>506</v>
      </c>
      <c r="AC278" s="4" t="s">
        <v>507</v>
      </c>
      <c r="AD278" s="4" t="s">
        <v>508</v>
      </c>
      <c r="AE278" s="4" t="s">
        <v>509</v>
      </c>
      <c r="AF278" s="4" t="s">
        <v>589</v>
      </c>
      <c r="AG278" s="743">
        <v>0</v>
      </c>
      <c r="AI278" s="158"/>
    </row>
    <row r="279" spans="23:35">
      <c r="W279" s="4" t="s">
        <v>3405</v>
      </c>
      <c r="X279" s="4" t="s">
        <v>3357</v>
      </c>
      <c r="Y279" s="151" t="str">
        <f>Y278</f>
        <v>E5320</v>
      </c>
      <c r="Z279" s="4" t="s">
        <v>587</v>
      </c>
      <c r="AA279" s="114" t="s">
        <v>588</v>
      </c>
      <c r="AB279" s="4" t="s">
        <v>506</v>
      </c>
      <c r="AC279" s="4" t="s">
        <v>507</v>
      </c>
      <c r="AD279" s="4" t="s">
        <v>508</v>
      </c>
      <c r="AE279" s="4" t="s">
        <v>509</v>
      </c>
      <c r="AF279" s="4" t="s">
        <v>589</v>
      </c>
      <c r="AG279" s="743">
        <v>0</v>
      </c>
      <c r="AI279" s="158"/>
    </row>
    <row r="280" spans="23:35">
      <c r="W280" s="4" t="s">
        <v>3405</v>
      </c>
      <c r="X280" s="4" t="s">
        <v>3358</v>
      </c>
      <c r="Y280" s="151" t="str">
        <f t="shared" ref="Y280:Y289" si="26">Y279</f>
        <v>E5320</v>
      </c>
      <c r="Z280" s="4" t="s">
        <v>587</v>
      </c>
      <c r="AA280" s="114" t="s">
        <v>588</v>
      </c>
      <c r="AB280" s="4" t="s">
        <v>506</v>
      </c>
      <c r="AC280" s="4" t="s">
        <v>507</v>
      </c>
      <c r="AD280" s="4" t="s">
        <v>508</v>
      </c>
      <c r="AE280" s="4" t="s">
        <v>509</v>
      </c>
      <c r="AF280" s="4" t="s">
        <v>589</v>
      </c>
      <c r="AG280" s="743">
        <v>0</v>
      </c>
      <c r="AI280" s="158"/>
    </row>
    <row r="281" spans="23:35">
      <c r="W281" s="4" t="s">
        <v>3405</v>
      </c>
      <c r="X281" s="4" t="s">
        <v>3359</v>
      </c>
      <c r="Y281" s="151" t="str">
        <f t="shared" si="26"/>
        <v>E5320</v>
      </c>
      <c r="Z281" s="4" t="s">
        <v>587</v>
      </c>
      <c r="AA281" s="114" t="s">
        <v>588</v>
      </c>
      <c r="AB281" s="4" t="s">
        <v>506</v>
      </c>
      <c r="AC281" s="4" t="s">
        <v>507</v>
      </c>
      <c r="AD281" s="4" t="s">
        <v>508</v>
      </c>
      <c r="AE281" s="4" t="s">
        <v>509</v>
      </c>
      <c r="AF281" s="4" t="s">
        <v>589</v>
      </c>
      <c r="AG281" s="743">
        <v>0</v>
      </c>
      <c r="AI281" s="158"/>
    </row>
    <row r="282" spans="23:35">
      <c r="W282" s="4" t="s">
        <v>3405</v>
      </c>
      <c r="X282" s="4" t="s">
        <v>3360</v>
      </c>
      <c r="Y282" s="151" t="str">
        <f t="shared" si="26"/>
        <v>E5320</v>
      </c>
      <c r="Z282" s="4" t="s">
        <v>587</v>
      </c>
      <c r="AA282" s="114" t="s">
        <v>588</v>
      </c>
      <c r="AB282" s="4" t="s">
        <v>506</v>
      </c>
      <c r="AC282" s="4" t="s">
        <v>507</v>
      </c>
      <c r="AD282" s="4" t="s">
        <v>508</v>
      </c>
      <c r="AE282" s="4" t="s">
        <v>509</v>
      </c>
      <c r="AF282" s="4" t="s">
        <v>589</v>
      </c>
      <c r="AG282" s="743">
        <v>0</v>
      </c>
      <c r="AI282" s="158"/>
    </row>
    <row r="283" spans="23:35">
      <c r="W283" s="4" t="s">
        <v>3405</v>
      </c>
      <c r="X283" s="4" t="s">
        <v>3361</v>
      </c>
      <c r="Y283" s="151" t="str">
        <f t="shared" si="26"/>
        <v>E5320</v>
      </c>
      <c r="Z283" s="4" t="s">
        <v>587</v>
      </c>
      <c r="AA283" s="114" t="s">
        <v>588</v>
      </c>
      <c r="AB283" s="4" t="s">
        <v>506</v>
      </c>
      <c r="AC283" s="4" t="s">
        <v>507</v>
      </c>
      <c r="AD283" s="4" t="s">
        <v>508</v>
      </c>
      <c r="AE283" s="4" t="s">
        <v>509</v>
      </c>
      <c r="AF283" s="4" t="s">
        <v>589</v>
      </c>
      <c r="AG283" s="743">
        <v>0</v>
      </c>
      <c r="AI283" s="158"/>
    </row>
    <row r="284" spans="23:35">
      <c r="W284" s="4" t="s">
        <v>3405</v>
      </c>
      <c r="X284" s="4" t="s">
        <v>3362</v>
      </c>
      <c r="Y284" s="151" t="str">
        <f t="shared" si="26"/>
        <v>E5320</v>
      </c>
      <c r="Z284" s="4" t="s">
        <v>587</v>
      </c>
      <c r="AA284" s="114" t="s">
        <v>588</v>
      </c>
      <c r="AB284" s="4" t="s">
        <v>506</v>
      </c>
      <c r="AC284" s="4" t="s">
        <v>507</v>
      </c>
      <c r="AD284" s="4" t="s">
        <v>508</v>
      </c>
      <c r="AE284" s="4" t="s">
        <v>509</v>
      </c>
      <c r="AF284" s="4" t="s">
        <v>589</v>
      </c>
      <c r="AG284" s="743">
        <v>0</v>
      </c>
      <c r="AI284" s="158"/>
    </row>
    <row r="285" spans="23:35">
      <c r="W285" s="4" t="s">
        <v>3405</v>
      </c>
      <c r="X285" s="4" t="s">
        <v>3363</v>
      </c>
      <c r="Y285" s="151" t="str">
        <f t="shared" si="26"/>
        <v>E5320</v>
      </c>
      <c r="Z285" s="4" t="s">
        <v>587</v>
      </c>
      <c r="AA285" s="114" t="s">
        <v>588</v>
      </c>
      <c r="AB285" s="4" t="s">
        <v>506</v>
      </c>
      <c r="AC285" s="4" t="s">
        <v>507</v>
      </c>
      <c r="AD285" s="4" t="s">
        <v>508</v>
      </c>
      <c r="AE285" s="4" t="s">
        <v>509</v>
      </c>
      <c r="AF285" s="4" t="s">
        <v>589</v>
      </c>
      <c r="AG285" s="743">
        <v>0</v>
      </c>
      <c r="AI285" s="158"/>
    </row>
    <row r="286" spans="23:35">
      <c r="W286" s="4" t="s">
        <v>3405</v>
      </c>
      <c r="X286" s="4" t="s">
        <v>3364</v>
      </c>
      <c r="Y286" s="151" t="str">
        <f t="shared" si="26"/>
        <v>E5320</v>
      </c>
      <c r="Z286" s="4" t="s">
        <v>587</v>
      </c>
      <c r="AA286" s="114" t="s">
        <v>588</v>
      </c>
      <c r="AB286" s="4" t="s">
        <v>506</v>
      </c>
      <c r="AC286" s="4" t="s">
        <v>507</v>
      </c>
      <c r="AD286" s="4" t="s">
        <v>508</v>
      </c>
      <c r="AE286" s="4" t="s">
        <v>509</v>
      </c>
      <c r="AF286" s="4" t="s">
        <v>589</v>
      </c>
      <c r="AG286" s="743">
        <v>0</v>
      </c>
      <c r="AI286" s="158"/>
    </row>
    <row r="287" spans="23:35">
      <c r="W287" s="4" t="s">
        <v>3405</v>
      </c>
      <c r="X287" s="4" t="s">
        <v>3365</v>
      </c>
      <c r="Y287" s="151" t="str">
        <f t="shared" si="26"/>
        <v>E5320</v>
      </c>
      <c r="Z287" s="4" t="s">
        <v>587</v>
      </c>
      <c r="AA287" s="114" t="s">
        <v>588</v>
      </c>
      <c r="AB287" s="4" t="s">
        <v>506</v>
      </c>
      <c r="AC287" s="4" t="s">
        <v>507</v>
      </c>
      <c r="AD287" s="4" t="s">
        <v>508</v>
      </c>
      <c r="AE287" s="4" t="s">
        <v>509</v>
      </c>
      <c r="AF287" s="4" t="s">
        <v>589</v>
      </c>
      <c r="AG287" s="743">
        <v>0</v>
      </c>
      <c r="AI287" s="158"/>
    </row>
    <row r="288" spans="23:35">
      <c r="W288" s="4" t="s">
        <v>3405</v>
      </c>
      <c r="X288" s="4" t="s">
        <v>3366</v>
      </c>
      <c r="Y288" s="151" t="str">
        <f t="shared" si="26"/>
        <v>E5320</v>
      </c>
      <c r="Z288" s="4" t="s">
        <v>587</v>
      </c>
      <c r="AA288" s="114" t="s">
        <v>588</v>
      </c>
      <c r="AB288" s="4" t="s">
        <v>506</v>
      </c>
      <c r="AC288" s="4" t="s">
        <v>507</v>
      </c>
      <c r="AD288" s="4" t="s">
        <v>508</v>
      </c>
      <c r="AE288" s="4" t="s">
        <v>509</v>
      </c>
      <c r="AF288" s="4" t="s">
        <v>589</v>
      </c>
      <c r="AG288" s="743">
        <v>0</v>
      </c>
      <c r="AI288" s="158"/>
    </row>
    <row r="289" spans="23:35">
      <c r="W289" s="4" t="s">
        <v>3405</v>
      </c>
      <c r="X289" s="4" t="s">
        <v>3367</v>
      </c>
      <c r="Y289" s="151" t="str">
        <f t="shared" si="26"/>
        <v>E5320</v>
      </c>
      <c r="Z289" s="4" t="s">
        <v>587</v>
      </c>
      <c r="AA289" s="114" t="s">
        <v>588</v>
      </c>
      <c r="AB289" s="4" t="s">
        <v>506</v>
      </c>
      <c r="AC289" s="4" t="s">
        <v>507</v>
      </c>
      <c r="AD289" s="4" t="s">
        <v>508</v>
      </c>
      <c r="AE289" s="4" t="s">
        <v>509</v>
      </c>
      <c r="AF289" s="4" t="s">
        <v>589</v>
      </c>
      <c r="AG289" s="743">
        <v>0</v>
      </c>
      <c r="AI289" s="158"/>
    </row>
    <row r="290" spans="23:35">
      <c r="W290" s="4" t="s">
        <v>3405</v>
      </c>
      <c r="X290" s="3" t="s">
        <v>3356</v>
      </c>
      <c r="Y290" s="150" t="str">
        <f>INDEX($B$3:$O$110,36,1)</f>
        <v>E5360</v>
      </c>
      <c r="Z290" s="4" t="s">
        <v>587</v>
      </c>
      <c r="AA290" s="114" t="s">
        <v>588</v>
      </c>
      <c r="AB290" s="4" t="s">
        <v>506</v>
      </c>
      <c r="AC290" s="4" t="s">
        <v>507</v>
      </c>
      <c r="AD290" s="4" t="s">
        <v>508</v>
      </c>
      <c r="AE290" s="4" t="s">
        <v>509</v>
      </c>
      <c r="AF290" s="4" t="s">
        <v>589</v>
      </c>
      <c r="AG290" s="743">
        <v>0</v>
      </c>
      <c r="AI290" s="158"/>
    </row>
    <row r="291" spans="23:35">
      <c r="W291" s="4" t="s">
        <v>3405</v>
      </c>
      <c r="X291" s="4" t="s">
        <v>3357</v>
      </c>
      <c r="Y291" s="151" t="str">
        <f>Y290</f>
        <v>E5360</v>
      </c>
      <c r="Z291" s="4" t="s">
        <v>587</v>
      </c>
      <c r="AA291" s="114" t="s">
        <v>588</v>
      </c>
      <c r="AB291" s="4" t="s">
        <v>506</v>
      </c>
      <c r="AC291" s="4" t="s">
        <v>507</v>
      </c>
      <c r="AD291" s="4" t="s">
        <v>508</v>
      </c>
      <c r="AE291" s="4" t="s">
        <v>509</v>
      </c>
      <c r="AF291" s="4" t="s">
        <v>589</v>
      </c>
      <c r="AG291" s="743">
        <v>0</v>
      </c>
      <c r="AI291" s="158"/>
    </row>
    <row r="292" spans="23:35">
      <c r="W292" s="4" t="s">
        <v>3405</v>
      </c>
      <c r="X292" s="4" t="s">
        <v>3358</v>
      </c>
      <c r="Y292" s="151" t="str">
        <f t="shared" ref="Y292:Y301" si="27">Y291</f>
        <v>E5360</v>
      </c>
      <c r="Z292" s="4" t="s">
        <v>587</v>
      </c>
      <c r="AA292" s="114" t="s">
        <v>588</v>
      </c>
      <c r="AB292" s="4" t="s">
        <v>506</v>
      </c>
      <c r="AC292" s="4" t="s">
        <v>507</v>
      </c>
      <c r="AD292" s="4" t="s">
        <v>508</v>
      </c>
      <c r="AE292" s="4" t="s">
        <v>509</v>
      </c>
      <c r="AF292" s="4" t="s">
        <v>589</v>
      </c>
      <c r="AG292" s="743">
        <v>0</v>
      </c>
      <c r="AI292" s="158"/>
    </row>
    <row r="293" spans="23:35">
      <c r="W293" s="4" t="s">
        <v>3405</v>
      </c>
      <c r="X293" s="4" t="s">
        <v>3359</v>
      </c>
      <c r="Y293" s="151" t="str">
        <f t="shared" si="27"/>
        <v>E5360</v>
      </c>
      <c r="Z293" s="4" t="s">
        <v>587</v>
      </c>
      <c r="AA293" s="114" t="s">
        <v>588</v>
      </c>
      <c r="AB293" s="4" t="s">
        <v>506</v>
      </c>
      <c r="AC293" s="4" t="s">
        <v>507</v>
      </c>
      <c r="AD293" s="4" t="s">
        <v>508</v>
      </c>
      <c r="AE293" s="4" t="s">
        <v>509</v>
      </c>
      <c r="AF293" s="4" t="s">
        <v>589</v>
      </c>
      <c r="AG293" s="743">
        <v>0</v>
      </c>
      <c r="AI293" s="158"/>
    </row>
    <row r="294" spans="23:35">
      <c r="W294" s="4" t="s">
        <v>3405</v>
      </c>
      <c r="X294" s="4" t="s">
        <v>3360</v>
      </c>
      <c r="Y294" s="151" t="str">
        <f t="shared" si="27"/>
        <v>E5360</v>
      </c>
      <c r="Z294" s="4" t="s">
        <v>587</v>
      </c>
      <c r="AA294" s="114" t="s">
        <v>588</v>
      </c>
      <c r="AB294" s="4" t="s">
        <v>506</v>
      </c>
      <c r="AC294" s="4" t="s">
        <v>507</v>
      </c>
      <c r="AD294" s="4" t="s">
        <v>508</v>
      </c>
      <c r="AE294" s="4" t="s">
        <v>509</v>
      </c>
      <c r="AF294" s="4" t="s">
        <v>589</v>
      </c>
      <c r="AG294" s="743">
        <v>0</v>
      </c>
      <c r="AI294" s="158"/>
    </row>
    <row r="295" spans="23:35">
      <c r="W295" s="4" t="s">
        <v>3405</v>
      </c>
      <c r="X295" s="4" t="s">
        <v>3361</v>
      </c>
      <c r="Y295" s="151" t="str">
        <f t="shared" si="27"/>
        <v>E5360</v>
      </c>
      <c r="Z295" s="4" t="s">
        <v>587</v>
      </c>
      <c r="AA295" s="114" t="s">
        <v>588</v>
      </c>
      <c r="AB295" s="4" t="s">
        <v>506</v>
      </c>
      <c r="AC295" s="4" t="s">
        <v>507</v>
      </c>
      <c r="AD295" s="4" t="s">
        <v>508</v>
      </c>
      <c r="AE295" s="4" t="s">
        <v>509</v>
      </c>
      <c r="AF295" s="4" t="s">
        <v>589</v>
      </c>
      <c r="AG295" s="743">
        <v>0</v>
      </c>
      <c r="AI295" s="158"/>
    </row>
    <row r="296" spans="23:35">
      <c r="W296" s="4" t="s">
        <v>3405</v>
      </c>
      <c r="X296" s="4" t="s">
        <v>3362</v>
      </c>
      <c r="Y296" s="151" t="str">
        <f t="shared" si="27"/>
        <v>E5360</v>
      </c>
      <c r="Z296" s="4" t="s">
        <v>587</v>
      </c>
      <c r="AA296" s="114" t="s">
        <v>588</v>
      </c>
      <c r="AB296" s="4" t="s">
        <v>506</v>
      </c>
      <c r="AC296" s="4" t="s">
        <v>507</v>
      </c>
      <c r="AD296" s="4" t="s">
        <v>508</v>
      </c>
      <c r="AE296" s="4" t="s">
        <v>509</v>
      </c>
      <c r="AF296" s="4" t="s">
        <v>589</v>
      </c>
      <c r="AG296" s="743">
        <v>0</v>
      </c>
      <c r="AI296" s="158"/>
    </row>
    <row r="297" spans="23:35">
      <c r="W297" s="4" t="s">
        <v>3405</v>
      </c>
      <c r="X297" s="4" t="s">
        <v>3363</v>
      </c>
      <c r="Y297" s="151" t="str">
        <f t="shared" si="27"/>
        <v>E5360</v>
      </c>
      <c r="Z297" s="4" t="s">
        <v>587</v>
      </c>
      <c r="AA297" s="114" t="s">
        <v>588</v>
      </c>
      <c r="AB297" s="4" t="s">
        <v>506</v>
      </c>
      <c r="AC297" s="4" t="s">
        <v>507</v>
      </c>
      <c r="AD297" s="4" t="s">
        <v>508</v>
      </c>
      <c r="AE297" s="4" t="s">
        <v>509</v>
      </c>
      <c r="AF297" s="4" t="s">
        <v>589</v>
      </c>
      <c r="AG297" s="743">
        <v>0</v>
      </c>
      <c r="AI297" s="158"/>
    </row>
    <row r="298" spans="23:35">
      <c r="W298" s="4" t="s">
        <v>3405</v>
      </c>
      <c r="X298" s="4" t="s">
        <v>3364</v>
      </c>
      <c r="Y298" s="151" t="str">
        <f t="shared" si="27"/>
        <v>E5360</v>
      </c>
      <c r="Z298" s="4" t="s">
        <v>587</v>
      </c>
      <c r="AA298" s="114" t="s">
        <v>588</v>
      </c>
      <c r="AB298" s="4" t="s">
        <v>506</v>
      </c>
      <c r="AC298" s="4" t="s">
        <v>507</v>
      </c>
      <c r="AD298" s="4" t="s">
        <v>508</v>
      </c>
      <c r="AE298" s="4" t="s">
        <v>509</v>
      </c>
      <c r="AF298" s="4" t="s">
        <v>589</v>
      </c>
      <c r="AG298" s="743">
        <v>0</v>
      </c>
      <c r="AI298" s="158"/>
    </row>
    <row r="299" spans="23:35">
      <c r="W299" s="4" t="s">
        <v>3405</v>
      </c>
      <c r="X299" s="4" t="s">
        <v>3365</v>
      </c>
      <c r="Y299" s="151" t="str">
        <f t="shared" si="27"/>
        <v>E5360</v>
      </c>
      <c r="Z299" s="4" t="s">
        <v>587</v>
      </c>
      <c r="AA299" s="114" t="s">
        <v>588</v>
      </c>
      <c r="AB299" s="4" t="s">
        <v>506</v>
      </c>
      <c r="AC299" s="4" t="s">
        <v>507</v>
      </c>
      <c r="AD299" s="4" t="s">
        <v>508</v>
      </c>
      <c r="AE299" s="4" t="s">
        <v>509</v>
      </c>
      <c r="AF299" s="4" t="s">
        <v>589</v>
      </c>
      <c r="AG299" s="743">
        <v>0</v>
      </c>
      <c r="AI299" s="158"/>
    </row>
    <row r="300" spans="23:35">
      <c r="W300" s="4" t="s">
        <v>3405</v>
      </c>
      <c r="X300" s="4" t="s">
        <v>3366</v>
      </c>
      <c r="Y300" s="151" t="str">
        <f t="shared" si="27"/>
        <v>E5360</v>
      </c>
      <c r="Z300" s="4" t="s">
        <v>587</v>
      </c>
      <c r="AA300" s="114" t="s">
        <v>588</v>
      </c>
      <c r="AB300" s="4" t="s">
        <v>506</v>
      </c>
      <c r="AC300" s="4" t="s">
        <v>507</v>
      </c>
      <c r="AD300" s="4" t="s">
        <v>508</v>
      </c>
      <c r="AE300" s="4" t="s">
        <v>509</v>
      </c>
      <c r="AF300" s="4" t="s">
        <v>589</v>
      </c>
      <c r="AG300" s="743">
        <v>0</v>
      </c>
      <c r="AI300" s="158"/>
    </row>
    <row r="301" spans="23:35">
      <c r="W301" s="4" t="s">
        <v>3405</v>
      </c>
      <c r="X301" s="4" t="s">
        <v>3367</v>
      </c>
      <c r="Y301" s="151" t="str">
        <f t="shared" si="27"/>
        <v>E5360</v>
      </c>
      <c r="Z301" s="4" t="s">
        <v>587</v>
      </c>
      <c r="AA301" s="114" t="s">
        <v>588</v>
      </c>
      <c r="AB301" s="4" t="s">
        <v>506</v>
      </c>
      <c r="AC301" s="4" t="s">
        <v>507</v>
      </c>
      <c r="AD301" s="4" t="s">
        <v>508</v>
      </c>
      <c r="AE301" s="4" t="s">
        <v>509</v>
      </c>
      <c r="AF301" s="4" t="s">
        <v>589</v>
      </c>
      <c r="AG301" s="743">
        <v>0</v>
      </c>
      <c r="AI301" s="158"/>
    </row>
    <row r="302" spans="23:35">
      <c r="W302" s="4" t="s">
        <v>3405</v>
      </c>
      <c r="X302" s="3" t="s">
        <v>3356</v>
      </c>
      <c r="Y302" s="150" t="str">
        <f>INDEX($B$3:$O$110,37,1)</f>
        <v>E5391</v>
      </c>
      <c r="Z302" s="4" t="s">
        <v>587</v>
      </c>
      <c r="AA302" s="114" t="s">
        <v>588</v>
      </c>
      <c r="AB302" s="4" t="s">
        <v>506</v>
      </c>
      <c r="AC302" s="4" t="s">
        <v>507</v>
      </c>
      <c r="AD302" s="4" t="s">
        <v>508</v>
      </c>
      <c r="AE302" s="4" t="s">
        <v>509</v>
      </c>
      <c r="AF302" s="4" t="s">
        <v>589</v>
      </c>
      <c r="AG302" s="743">
        <v>0</v>
      </c>
      <c r="AI302" s="158"/>
    </row>
    <row r="303" spans="23:35">
      <c r="W303" s="4" t="s">
        <v>3405</v>
      </c>
      <c r="X303" s="4" t="s">
        <v>3357</v>
      </c>
      <c r="Y303" s="151" t="str">
        <f>Y302</f>
        <v>E5391</v>
      </c>
      <c r="Z303" s="4" t="s">
        <v>587</v>
      </c>
      <c r="AA303" s="114" t="s">
        <v>588</v>
      </c>
      <c r="AB303" s="4" t="s">
        <v>506</v>
      </c>
      <c r="AC303" s="4" t="s">
        <v>507</v>
      </c>
      <c r="AD303" s="4" t="s">
        <v>508</v>
      </c>
      <c r="AE303" s="4" t="s">
        <v>509</v>
      </c>
      <c r="AF303" s="4" t="s">
        <v>589</v>
      </c>
      <c r="AG303" s="743">
        <v>0</v>
      </c>
      <c r="AI303" s="158"/>
    </row>
    <row r="304" spans="23:35">
      <c r="W304" s="4" t="s">
        <v>3405</v>
      </c>
      <c r="X304" s="4" t="s">
        <v>3358</v>
      </c>
      <c r="Y304" s="151" t="str">
        <f t="shared" ref="Y304:Y313" si="28">Y303</f>
        <v>E5391</v>
      </c>
      <c r="Z304" s="4" t="s">
        <v>587</v>
      </c>
      <c r="AA304" s="114" t="s">
        <v>588</v>
      </c>
      <c r="AB304" s="4" t="s">
        <v>506</v>
      </c>
      <c r="AC304" s="4" t="s">
        <v>507</v>
      </c>
      <c r="AD304" s="4" t="s">
        <v>508</v>
      </c>
      <c r="AE304" s="4" t="s">
        <v>509</v>
      </c>
      <c r="AF304" s="4" t="s">
        <v>589</v>
      </c>
      <c r="AG304" s="743">
        <v>0</v>
      </c>
      <c r="AI304" s="158"/>
    </row>
    <row r="305" spans="23:44">
      <c r="W305" s="4" t="s">
        <v>3405</v>
      </c>
      <c r="X305" s="4" t="s">
        <v>3359</v>
      </c>
      <c r="Y305" s="151" t="str">
        <f t="shared" si="28"/>
        <v>E5391</v>
      </c>
      <c r="Z305" s="4" t="s">
        <v>587</v>
      </c>
      <c r="AA305" s="114" t="s">
        <v>588</v>
      </c>
      <c r="AB305" s="4" t="s">
        <v>506</v>
      </c>
      <c r="AC305" s="4" t="s">
        <v>507</v>
      </c>
      <c r="AD305" s="4" t="s">
        <v>508</v>
      </c>
      <c r="AE305" s="4" t="s">
        <v>509</v>
      </c>
      <c r="AF305" s="4" t="s">
        <v>589</v>
      </c>
      <c r="AG305" s="743">
        <v>0</v>
      </c>
      <c r="AI305" s="158"/>
    </row>
    <row r="306" spans="23:44">
      <c r="W306" s="4" t="s">
        <v>3405</v>
      </c>
      <c r="X306" s="4" t="s">
        <v>3360</v>
      </c>
      <c r="Y306" s="151" t="str">
        <f t="shared" si="28"/>
        <v>E5391</v>
      </c>
      <c r="Z306" s="4" t="s">
        <v>587</v>
      </c>
      <c r="AA306" s="114" t="s">
        <v>588</v>
      </c>
      <c r="AB306" s="4" t="s">
        <v>506</v>
      </c>
      <c r="AC306" s="4" t="s">
        <v>507</v>
      </c>
      <c r="AD306" s="4" t="s">
        <v>508</v>
      </c>
      <c r="AE306" s="4" t="s">
        <v>509</v>
      </c>
      <c r="AF306" s="4" t="s">
        <v>589</v>
      </c>
      <c r="AG306" s="743">
        <v>0</v>
      </c>
      <c r="AI306" s="158"/>
    </row>
    <row r="307" spans="23:44">
      <c r="W307" s="4" t="s">
        <v>3405</v>
      </c>
      <c r="X307" s="4" t="s">
        <v>3361</v>
      </c>
      <c r="Y307" s="151" t="str">
        <f t="shared" si="28"/>
        <v>E5391</v>
      </c>
      <c r="Z307" s="4" t="s">
        <v>587</v>
      </c>
      <c r="AA307" s="114" t="s">
        <v>588</v>
      </c>
      <c r="AB307" s="4" t="s">
        <v>506</v>
      </c>
      <c r="AC307" s="4" t="s">
        <v>507</v>
      </c>
      <c r="AD307" s="4" t="s">
        <v>508</v>
      </c>
      <c r="AE307" s="4" t="s">
        <v>509</v>
      </c>
      <c r="AF307" s="4" t="s">
        <v>589</v>
      </c>
      <c r="AG307" s="743">
        <v>0</v>
      </c>
      <c r="AI307" s="158"/>
    </row>
    <row r="308" spans="23:44">
      <c r="W308" s="4" t="s">
        <v>3405</v>
      </c>
      <c r="X308" s="4" t="s">
        <v>3362</v>
      </c>
      <c r="Y308" s="151" t="str">
        <f t="shared" si="28"/>
        <v>E5391</v>
      </c>
      <c r="Z308" s="4" t="s">
        <v>587</v>
      </c>
      <c r="AA308" s="114" t="s">
        <v>588</v>
      </c>
      <c r="AB308" s="4" t="s">
        <v>506</v>
      </c>
      <c r="AC308" s="4" t="s">
        <v>507</v>
      </c>
      <c r="AD308" s="4" t="s">
        <v>508</v>
      </c>
      <c r="AE308" s="4" t="s">
        <v>509</v>
      </c>
      <c r="AF308" s="4" t="s">
        <v>589</v>
      </c>
      <c r="AG308" s="743">
        <v>0</v>
      </c>
      <c r="AI308" s="158"/>
    </row>
    <row r="309" spans="23:44">
      <c r="W309" s="4" t="s">
        <v>3405</v>
      </c>
      <c r="X309" s="4" t="s">
        <v>3363</v>
      </c>
      <c r="Y309" s="151" t="str">
        <f t="shared" si="28"/>
        <v>E5391</v>
      </c>
      <c r="Z309" s="4" t="s">
        <v>587</v>
      </c>
      <c r="AA309" s="114" t="s">
        <v>588</v>
      </c>
      <c r="AB309" s="4" t="s">
        <v>506</v>
      </c>
      <c r="AC309" s="4" t="s">
        <v>507</v>
      </c>
      <c r="AD309" s="4" t="s">
        <v>508</v>
      </c>
      <c r="AE309" s="4" t="s">
        <v>509</v>
      </c>
      <c r="AF309" s="4" t="s">
        <v>589</v>
      </c>
      <c r="AG309" s="743">
        <v>0</v>
      </c>
      <c r="AI309" s="158"/>
    </row>
    <row r="310" spans="23:44">
      <c r="W310" s="4" t="s">
        <v>3405</v>
      </c>
      <c r="X310" s="4" t="s">
        <v>3364</v>
      </c>
      <c r="Y310" s="151" t="str">
        <f t="shared" si="28"/>
        <v>E5391</v>
      </c>
      <c r="Z310" s="4" t="s">
        <v>587</v>
      </c>
      <c r="AA310" s="114" t="s">
        <v>588</v>
      </c>
      <c r="AB310" s="4" t="s">
        <v>506</v>
      </c>
      <c r="AC310" s="4" t="s">
        <v>507</v>
      </c>
      <c r="AD310" s="4" t="s">
        <v>508</v>
      </c>
      <c r="AE310" s="4" t="s">
        <v>509</v>
      </c>
      <c r="AF310" s="4" t="s">
        <v>589</v>
      </c>
      <c r="AG310" s="743">
        <v>0</v>
      </c>
      <c r="AI310" s="158"/>
    </row>
    <row r="311" spans="23:44">
      <c r="W311" s="4" t="s">
        <v>3405</v>
      </c>
      <c r="X311" s="4" t="s">
        <v>3365</v>
      </c>
      <c r="Y311" s="151" t="str">
        <f t="shared" si="28"/>
        <v>E5391</v>
      </c>
      <c r="Z311" s="4" t="s">
        <v>587</v>
      </c>
      <c r="AA311" s="114" t="s">
        <v>588</v>
      </c>
      <c r="AB311" s="4" t="s">
        <v>506</v>
      </c>
      <c r="AC311" s="4" t="s">
        <v>507</v>
      </c>
      <c r="AD311" s="4" t="s">
        <v>508</v>
      </c>
      <c r="AE311" s="4" t="s">
        <v>509</v>
      </c>
      <c r="AF311" s="4" t="s">
        <v>589</v>
      </c>
      <c r="AG311" s="743">
        <v>0</v>
      </c>
      <c r="AI311" s="158"/>
    </row>
    <row r="312" spans="23:44">
      <c r="W312" s="4" t="s">
        <v>3405</v>
      </c>
      <c r="X312" s="4" t="s">
        <v>3366</v>
      </c>
      <c r="Y312" s="151" t="str">
        <f t="shared" si="28"/>
        <v>E5391</v>
      </c>
      <c r="Z312" s="4" t="s">
        <v>587</v>
      </c>
      <c r="AA312" s="114" t="s">
        <v>588</v>
      </c>
      <c r="AB312" s="4" t="s">
        <v>506</v>
      </c>
      <c r="AC312" s="4" t="s">
        <v>507</v>
      </c>
      <c r="AD312" s="4" t="s">
        <v>508</v>
      </c>
      <c r="AE312" s="4" t="s">
        <v>509</v>
      </c>
      <c r="AF312" s="4" t="s">
        <v>589</v>
      </c>
      <c r="AG312" s="743">
        <v>0</v>
      </c>
      <c r="AI312" s="158"/>
    </row>
    <row r="313" spans="23:44">
      <c r="W313" s="4" t="s">
        <v>3405</v>
      </c>
      <c r="X313" s="4" t="s">
        <v>3367</v>
      </c>
      <c r="Y313" s="151" t="str">
        <f t="shared" si="28"/>
        <v>E5391</v>
      </c>
      <c r="Z313" s="4" t="s">
        <v>587</v>
      </c>
      <c r="AA313" s="114" t="s">
        <v>588</v>
      </c>
      <c r="AB313" s="4" t="s">
        <v>506</v>
      </c>
      <c r="AC313" s="4" t="s">
        <v>507</v>
      </c>
      <c r="AD313" s="4" t="s">
        <v>508</v>
      </c>
      <c r="AE313" s="4" t="s">
        <v>509</v>
      </c>
      <c r="AF313" s="4" t="s">
        <v>589</v>
      </c>
      <c r="AG313" s="743">
        <v>0</v>
      </c>
      <c r="AI313" s="158"/>
    </row>
    <row r="314" spans="23:44">
      <c r="W314" s="4" t="s">
        <v>3405</v>
      </c>
      <c r="X314" s="3" t="s">
        <v>3356</v>
      </c>
      <c r="Y314" s="150" t="str">
        <f>INDEX($B$3:$O$110,38,1)</f>
        <v>E5392</v>
      </c>
      <c r="Z314" s="4" t="s">
        <v>587</v>
      </c>
      <c r="AA314" s="114" t="s">
        <v>588</v>
      </c>
      <c r="AB314" s="4" t="s">
        <v>506</v>
      </c>
      <c r="AC314" s="4" t="s">
        <v>507</v>
      </c>
      <c r="AD314" s="4" t="s">
        <v>508</v>
      </c>
      <c r="AE314" s="4" t="s">
        <v>509</v>
      </c>
      <c r="AF314" s="4" t="s">
        <v>589</v>
      </c>
      <c r="AG314" s="743">
        <v>0</v>
      </c>
      <c r="AH314" s="152"/>
      <c r="AI314" s="158"/>
      <c r="AJ314" s="152"/>
      <c r="AK314" s="152"/>
      <c r="AL314" s="152"/>
      <c r="AM314" s="152"/>
      <c r="AN314" s="152"/>
      <c r="AO314" s="152"/>
      <c r="AP314" s="152"/>
      <c r="AQ314" s="152"/>
      <c r="AR314" s="152"/>
    </row>
    <row r="315" spans="23:44">
      <c r="W315" s="4" t="s">
        <v>3405</v>
      </c>
      <c r="X315" s="4" t="s">
        <v>3357</v>
      </c>
      <c r="Y315" s="151" t="str">
        <f>Y314</f>
        <v>E5392</v>
      </c>
      <c r="Z315" s="4" t="s">
        <v>587</v>
      </c>
      <c r="AA315" s="114" t="s">
        <v>588</v>
      </c>
      <c r="AB315" s="4" t="s">
        <v>506</v>
      </c>
      <c r="AC315" s="4" t="s">
        <v>507</v>
      </c>
      <c r="AD315" s="4" t="s">
        <v>508</v>
      </c>
      <c r="AE315" s="4" t="s">
        <v>509</v>
      </c>
      <c r="AF315" s="4" t="s">
        <v>589</v>
      </c>
      <c r="AG315" s="743">
        <v>0</v>
      </c>
      <c r="AI315" s="158"/>
    </row>
    <row r="316" spans="23:44">
      <c r="W316" s="4" t="s">
        <v>3405</v>
      </c>
      <c r="X316" s="4" t="s">
        <v>3358</v>
      </c>
      <c r="Y316" s="151" t="str">
        <f t="shared" ref="Y316:Y325" si="29">Y315</f>
        <v>E5392</v>
      </c>
      <c r="Z316" s="4" t="s">
        <v>587</v>
      </c>
      <c r="AA316" s="114" t="s">
        <v>588</v>
      </c>
      <c r="AB316" s="4" t="s">
        <v>506</v>
      </c>
      <c r="AC316" s="4" t="s">
        <v>507</v>
      </c>
      <c r="AD316" s="4" t="s">
        <v>508</v>
      </c>
      <c r="AE316" s="4" t="s">
        <v>509</v>
      </c>
      <c r="AF316" s="4" t="s">
        <v>589</v>
      </c>
      <c r="AG316" s="743">
        <v>0</v>
      </c>
      <c r="AI316" s="158"/>
    </row>
    <row r="317" spans="23:44">
      <c r="W317" s="4" t="s">
        <v>3405</v>
      </c>
      <c r="X317" s="4" t="s">
        <v>3359</v>
      </c>
      <c r="Y317" s="151" t="str">
        <f t="shared" si="29"/>
        <v>E5392</v>
      </c>
      <c r="Z317" s="4" t="s">
        <v>587</v>
      </c>
      <c r="AA317" s="114" t="s">
        <v>588</v>
      </c>
      <c r="AB317" s="4" t="s">
        <v>506</v>
      </c>
      <c r="AC317" s="4" t="s">
        <v>507</v>
      </c>
      <c r="AD317" s="4" t="s">
        <v>508</v>
      </c>
      <c r="AE317" s="4" t="s">
        <v>509</v>
      </c>
      <c r="AF317" s="4" t="s">
        <v>589</v>
      </c>
      <c r="AG317" s="743">
        <v>0</v>
      </c>
      <c r="AI317" s="158"/>
    </row>
    <row r="318" spans="23:44">
      <c r="W318" s="4" t="s">
        <v>3405</v>
      </c>
      <c r="X318" s="4" t="s">
        <v>3360</v>
      </c>
      <c r="Y318" s="151" t="str">
        <f t="shared" si="29"/>
        <v>E5392</v>
      </c>
      <c r="Z318" s="4" t="s">
        <v>587</v>
      </c>
      <c r="AA318" s="114" t="s">
        <v>588</v>
      </c>
      <c r="AB318" s="4" t="s">
        <v>506</v>
      </c>
      <c r="AC318" s="4" t="s">
        <v>507</v>
      </c>
      <c r="AD318" s="4" t="s">
        <v>508</v>
      </c>
      <c r="AE318" s="4" t="s">
        <v>509</v>
      </c>
      <c r="AF318" s="4" t="s">
        <v>589</v>
      </c>
      <c r="AG318" s="743">
        <v>0</v>
      </c>
      <c r="AI318" s="158"/>
    </row>
    <row r="319" spans="23:44">
      <c r="W319" s="4" t="s">
        <v>3405</v>
      </c>
      <c r="X319" s="4" t="s">
        <v>3361</v>
      </c>
      <c r="Y319" s="151" t="str">
        <f t="shared" si="29"/>
        <v>E5392</v>
      </c>
      <c r="Z319" s="4" t="s">
        <v>587</v>
      </c>
      <c r="AA319" s="114" t="s">
        <v>588</v>
      </c>
      <c r="AB319" s="4" t="s">
        <v>506</v>
      </c>
      <c r="AC319" s="4" t="s">
        <v>507</v>
      </c>
      <c r="AD319" s="4" t="s">
        <v>508</v>
      </c>
      <c r="AE319" s="4" t="s">
        <v>509</v>
      </c>
      <c r="AF319" s="4" t="s">
        <v>589</v>
      </c>
      <c r="AG319" s="743">
        <v>0</v>
      </c>
      <c r="AI319" s="158"/>
    </row>
    <row r="320" spans="23:44">
      <c r="W320" s="4" t="s">
        <v>3405</v>
      </c>
      <c r="X320" s="4" t="s">
        <v>3362</v>
      </c>
      <c r="Y320" s="151" t="str">
        <f t="shared" si="29"/>
        <v>E5392</v>
      </c>
      <c r="Z320" s="4" t="s">
        <v>587</v>
      </c>
      <c r="AA320" s="114" t="s">
        <v>588</v>
      </c>
      <c r="AB320" s="4" t="s">
        <v>506</v>
      </c>
      <c r="AC320" s="4" t="s">
        <v>507</v>
      </c>
      <c r="AD320" s="4" t="s">
        <v>508</v>
      </c>
      <c r="AE320" s="4" t="s">
        <v>509</v>
      </c>
      <c r="AF320" s="4" t="s">
        <v>589</v>
      </c>
      <c r="AG320" s="743">
        <v>0</v>
      </c>
      <c r="AI320" s="158"/>
    </row>
    <row r="321" spans="23:35">
      <c r="W321" s="4" t="s">
        <v>3405</v>
      </c>
      <c r="X321" s="4" t="s">
        <v>3363</v>
      </c>
      <c r="Y321" s="151" t="str">
        <f t="shared" si="29"/>
        <v>E5392</v>
      </c>
      <c r="Z321" s="4" t="s">
        <v>587</v>
      </c>
      <c r="AA321" s="114" t="s">
        <v>588</v>
      </c>
      <c r="AB321" s="4" t="s">
        <v>506</v>
      </c>
      <c r="AC321" s="4" t="s">
        <v>507</v>
      </c>
      <c r="AD321" s="4" t="s">
        <v>508</v>
      </c>
      <c r="AE321" s="4" t="s">
        <v>509</v>
      </c>
      <c r="AF321" s="4" t="s">
        <v>589</v>
      </c>
      <c r="AG321" s="743">
        <v>0</v>
      </c>
      <c r="AI321" s="158"/>
    </row>
    <row r="322" spans="23:35">
      <c r="W322" s="4" t="s">
        <v>3405</v>
      </c>
      <c r="X322" s="4" t="s">
        <v>3364</v>
      </c>
      <c r="Y322" s="151" t="str">
        <f t="shared" si="29"/>
        <v>E5392</v>
      </c>
      <c r="Z322" s="4" t="s">
        <v>587</v>
      </c>
      <c r="AA322" s="114" t="s">
        <v>588</v>
      </c>
      <c r="AB322" s="4" t="s">
        <v>506</v>
      </c>
      <c r="AC322" s="4" t="s">
        <v>507</v>
      </c>
      <c r="AD322" s="4" t="s">
        <v>508</v>
      </c>
      <c r="AE322" s="4" t="s">
        <v>509</v>
      </c>
      <c r="AF322" s="4" t="s">
        <v>589</v>
      </c>
      <c r="AG322" s="743">
        <v>0</v>
      </c>
      <c r="AI322" s="158"/>
    </row>
    <row r="323" spans="23:35">
      <c r="W323" s="4" t="s">
        <v>3405</v>
      </c>
      <c r="X323" s="4" t="s">
        <v>3365</v>
      </c>
      <c r="Y323" s="151" t="str">
        <f t="shared" si="29"/>
        <v>E5392</v>
      </c>
      <c r="Z323" s="4" t="s">
        <v>587</v>
      </c>
      <c r="AA323" s="114" t="s">
        <v>588</v>
      </c>
      <c r="AB323" s="4" t="s">
        <v>506</v>
      </c>
      <c r="AC323" s="4" t="s">
        <v>507</v>
      </c>
      <c r="AD323" s="4" t="s">
        <v>508</v>
      </c>
      <c r="AE323" s="4" t="s">
        <v>509</v>
      </c>
      <c r="AF323" s="4" t="s">
        <v>589</v>
      </c>
      <c r="AG323" s="743">
        <v>0</v>
      </c>
      <c r="AI323" s="158"/>
    </row>
    <row r="324" spans="23:35">
      <c r="W324" s="4" t="s">
        <v>3405</v>
      </c>
      <c r="X324" s="4" t="s">
        <v>3366</v>
      </c>
      <c r="Y324" s="151" t="str">
        <f t="shared" si="29"/>
        <v>E5392</v>
      </c>
      <c r="Z324" s="4" t="s">
        <v>587</v>
      </c>
      <c r="AA324" s="114" t="s">
        <v>588</v>
      </c>
      <c r="AB324" s="4" t="s">
        <v>506</v>
      </c>
      <c r="AC324" s="4" t="s">
        <v>507</v>
      </c>
      <c r="AD324" s="4" t="s">
        <v>508</v>
      </c>
      <c r="AE324" s="4" t="s">
        <v>509</v>
      </c>
      <c r="AF324" s="4" t="s">
        <v>589</v>
      </c>
      <c r="AG324" s="743">
        <v>0</v>
      </c>
      <c r="AI324" s="158"/>
    </row>
    <row r="325" spans="23:35">
      <c r="W325" s="4" t="s">
        <v>3405</v>
      </c>
      <c r="X325" s="4" t="s">
        <v>3367</v>
      </c>
      <c r="Y325" s="151" t="str">
        <f t="shared" si="29"/>
        <v>E5392</v>
      </c>
      <c r="Z325" s="4" t="s">
        <v>587</v>
      </c>
      <c r="AA325" s="114" t="s">
        <v>588</v>
      </c>
      <c r="AB325" s="4" t="s">
        <v>506</v>
      </c>
      <c r="AC325" s="4" t="s">
        <v>507</v>
      </c>
      <c r="AD325" s="4" t="s">
        <v>508</v>
      </c>
      <c r="AE325" s="4" t="s">
        <v>509</v>
      </c>
      <c r="AF325" s="4" t="s">
        <v>589</v>
      </c>
      <c r="AG325" s="743">
        <v>0</v>
      </c>
      <c r="AI325" s="158"/>
    </row>
    <row r="326" spans="23:35">
      <c r="W326" s="4" t="s">
        <v>3405</v>
      </c>
      <c r="X326" s="3" t="s">
        <v>3356</v>
      </c>
      <c r="Y326" s="150" t="str">
        <f>INDEX($B$3:$O$110,41,1)</f>
        <v>E5393</v>
      </c>
      <c r="Z326" s="4" t="s">
        <v>587</v>
      </c>
      <c r="AA326" s="114" t="s">
        <v>588</v>
      </c>
      <c r="AB326" s="4" t="s">
        <v>506</v>
      </c>
      <c r="AC326" s="4" t="s">
        <v>507</v>
      </c>
      <c r="AD326" s="4" t="s">
        <v>508</v>
      </c>
      <c r="AE326" s="4" t="s">
        <v>509</v>
      </c>
      <c r="AF326" s="4" t="s">
        <v>589</v>
      </c>
      <c r="AG326" s="743">
        <v>0</v>
      </c>
      <c r="AI326" s="158"/>
    </row>
    <row r="327" spans="23:35">
      <c r="W327" s="4" t="s">
        <v>3405</v>
      </c>
      <c r="X327" s="4" t="s">
        <v>3357</v>
      </c>
      <c r="Y327" s="151" t="str">
        <f>Y326</f>
        <v>E5393</v>
      </c>
      <c r="Z327" s="4" t="s">
        <v>587</v>
      </c>
      <c r="AA327" s="114" t="s">
        <v>588</v>
      </c>
      <c r="AB327" s="4" t="s">
        <v>506</v>
      </c>
      <c r="AC327" s="4" t="s">
        <v>507</v>
      </c>
      <c r="AD327" s="4" t="s">
        <v>508</v>
      </c>
      <c r="AE327" s="4" t="s">
        <v>509</v>
      </c>
      <c r="AF327" s="4" t="s">
        <v>589</v>
      </c>
      <c r="AG327" s="743">
        <v>0</v>
      </c>
      <c r="AI327" s="158"/>
    </row>
    <row r="328" spans="23:35">
      <c r="W328" s="4" t="s">
        <v>3405</v>
      </c>
      <c r="X328" s="4" t="s">
        <v>3358</v>
      </c>
      <c r="Y328" s="151" t="str">
        <f t="shared" ref="Y328:Y337" si="30">Y327</f>
        <v>E5393</v>
      </c>
      <c r="Z328" s="4" t="s">
        <v>587</v>
      </c>
      <c r="AA328" s="114" t="s">
        <v>588</v>
      </c>
      <c r="AB328" s="4" t="s">
        <v>506</v>
      </c>
      <c r="AC328" s="4" t="s">
        <v>507</v>
      </c>
      <c r="AD328" s="4" t="s">
        <v>508</v>
      </c>
      <c r="AE328" s="4" t="s">
        <v>509</v>
      </c>
      <c r="AF328" s="4" t="s">
        <v>589</v>
      </c>
      <c r="AG328" s="743">
        <v>0</v>
      </c>
      <c r="AI328" s="158"/>
    </row>
    <row r="329" spans="23:35">
      <c r="W329" s="4" t="s">
        <v>3405</v>
      </c>
      <c r="X329" s="4" t="s">
        <v>3359</v>
      </c>
      <c r="Y329" s="151" t="str">
        <f t="shared" si="30"/>
        <v>E5393</v>
      </c>
      <c r="Z329" s="4" t="s">
        <v>587</v>
      </c>
      <c r="AA329" s="114" t="s">
        <v>588</v>
      </c>
      <c r="AB329" s="4" t="s">
        <v>506</v>
      </c>
      <c r="AC329" s="4" t="s">
        <v>507</v>
      </c>
      <c r="AD329" s="4" t="s">
        <v>508</v>
      </c>
      <c r="AE329" s="4" t="s">
        <v>509</v>
      </c>
      <c r="AF329" s="4" t="s">
        <v>589</v>
      </c>
      <c r="AG329" s="743">
        <v>0</v>
      </c>
      <c r="AI329" s="158"/>
    </row>
    <row r="330" spans="23:35">
      <c r="W330" s="4" t="s">
        <v>3405</v>
      </c>
      <c r="X330" s="4" t="s">
        <v>3360</v>
      </c>
      <c r="Y330" s="151" t="str">
        <f t="shared" si="30"/>
        <v>E5393</v>
      </c>
      <c r="Z330" s="4" t="s">
        <v>587</v>
      </c>
      <c r="AA330" s="114" t="s">
        <v>588</v>
      </c>
      <c r="AB330" s="4" t="s">
        <v>506</v>
      </c>
      <c r="AC330" s="4" t="s">
        <v>507</v>
      </c>
      <c r="AD330" s="4" t="s">
        <v>508</v>
      </c>
      <c r="AE330" s="4" t="s">
        <v>509</v>
      </c>
      <c r="AF330" s="4" t="s">
        <v>589</v>
      </c>
      <c r="AG330" s="743">
        <v>0</v>
      </c>
      <c r="AI330" s="158"/>
    </row>
    <row r="331" spans="23:35">
      <c r="W331" s="4" t="s">
        <v>3405</v>
      </c>
      <c r="X331" s="4" t="s">
        <v>3361</v>
      </c>
      <c r="Y331" s="151" t="str">
        <f t="shared" si="30"/>
        <v>E5393</v>
      </c>
      <c r="Z331" s="4" t="s">
        <v>587</v>
      </c>
      <c r="AA331" s="114" t="s">
        <v>588</v>
      </c>
      <c r="AB331" s="4" t="s">
        <v>506</v>
      </c>
      <c r="AC331" s="4" t="s">
        <v>507</v>
      </c>
      <c r="AD331" s="4" t="s">
        <v>508</v>
      </c>
      <c r="AE331" s="4" t="s">
        <v>509</v>
      </c>
      <c r="AF331" s="4" t="s">
        <v>589</v>
      </c>
      <c r="AG331" s="743">
        <v>0</v>
      </c>
      <c r="AI331" s="158"/>
    </row>
    <row r="332" spans="23:35">
      <c r="W332" s="4" t="s">
        <v>3405</v>
      </c>
      <c r="X332" s="4" t="s">
        <v>3362</v>
      </c>
      <c r="Y332" s="151" t="str">
        <f t="shared" si="30"/>
        <v>E5393</v>
      </c>
      <c r="Z332" s="4" t="s">
        <v>587</v>
      </c>
      <c r="AA332" s="114" t="s">
        <v>588</v>
      </c>
      <c r="AB332" s="4" t="s">
        <v>506</v>
      </c>
      <c r="AC332" s="4" t="s">
        <v>507</v>
      </c>
      <c r="AD332" s="4" t="s">
        <v>508</v>
      </c>
      <c r="AE332" s="4" t="s">
        <v>509</v>
      </c>
      <c r="AF332" s="4" t="s">
        <v>589</v>
      </c>
      <c r="AG332" s="743">
        <v>0</v>
      </c>
      <c r="AI332" s="158"/>
    </row>
    <row r="333" spans="23:35">
      <c r="W333" s="4" t="s">
        <v>3405</v>
      </c>
      <c r="X333" s="4" t="s">
        <v>3363</v>
      </c>
      <c r="Y333" s="151" t="str">
        <f t="shared" si="30"/>
        <v>E5393</v>
      </c>
      <c r="Z333" s="4" t="s">
        <v>587</v>
      </c>
      <c r="AA333" s="114" t="s">
        <v>588</v>
      </c>
      <c r="AB333" s="4" t="s">
        <v>506</v>
      </c>
      <c r="AC333" s="4" t="s">
        <v>507</v>
      </c>
      <c r="AD333" s="4" t="s">
        <v>508</v>
      </c>
      <c r="AE333" s="4" t="s">
        <v>509</v>
      </c>
      <c r="AF333" s="4" t="s">
        <v>589</v>
      </c>
      <c r="AG333" s="743">
        <v>0</v>
      </c>
      <c r="AI333" s="158"/>
    </row>
    <row r="334" spans="23:35">
      <c r="W334" s="4" t="s">
        <v>3405</v>
      </c>
      <c r="X334" s="4" t="s">
        <v>3364</v>
      </c>
      <c r="Y334" s="151" t="str">
        <f t="shared" si="30"/>
        <v>E5393</v>
      </c>
      <c r="Z334" s="4" t="s">
        <v>587</v>
      </c>
      <c r="AA334" s="114" t="s">
        <v>588</v>
      </c>
      <c r="AB334" s="4" t="s">
        <v>506</v>
      </c>
      <c r="AC334" s="4" t="s">
        <v>507</v>
      </c>
      <c r="AD334" s="4" t="s">
        <v>508</v>
      </c>
      <c r="AE334" s="4" t="s">
        <v>509</v>
      </c>
      <c r="AF334" s="4" t="s">
        <v>589</v>
      </c>
      <c r="AG334" s="743">
        <v>0</v>
      </c>
      <c r="AI334" s="158"/>
    </row>
    <row r="335" spans="23:35">
      <c r="W335" s="4" t="s">
        <v>3405</v>
      </c>
      <c r="X335" s="4" t="s">
        <v>3365</v>
      </c>
      <c r="Y335" s="151" t="str">
        <f t="shared" si="30"/>
        <v>E5393</v>
      </c>
      <c r="Z335" s="4" t="s">
        <v>587</v>
      </c>
      <c r="AA335" s="114" t="s">
        <v>588</v>
      </c>
      <c r="AB335" s="4" t="s">
        <v>506</v>
      </c>
      <c r="AC335" s="4" t="s">
        <v>507</v>
      </c>
      <c r="AD335" s="4" t="s">
        <v>508</v>
      </c>
      <c r="AE335" s="4" t="s">
        <v>509</v>
      </c>
      <c r="AF335" s="4" t="s">
        <v>589</v>
      </c>
      <c r="AG335" s="743">
        <v>0</v>
      </c>
      <c r="AI335" s="158"/>
    </row>
    <row r="336" spans="23:35">
      <c r="W336" s="4" t="s">
        <v>3405</v>
      </c>
      <c r="X336" s="4" t="s">
        <v>3366</v>
      </c>
      <c r="Y336" s="151" t="str">
        <f t="shared" si="30"/>
        <v>E5393</v>
      </c>
      <c r="Z336" s="4" t="s">
        <v>587</v>
      </c>
      <c r="AA336" s="114" t="s">
        <v>588</v>
      </c>
      <c r="AB336" s="4" t="s">
        <v>506</v>
      </c>
      <c r="AC336" s="4" t="s">
        <v>507</v>
      </c>
      <c r="AD336" s="4" t="s">
        <v>508</v>
      </c>
      <c r="AE336" s="4" t="s">
        <v>509</v>
      </c>
      <c r="AF336" s="4" t="s">
        <v>589</v>
      </c>
      <c r="AG336" s="743">
        <v>0</v>
      </c>
      <c r="AI336" s="158"/>
    </row>
    <row r="337" spans="23:35">
      <c r="W337" s="4" t="s">
        <v>3405</v>
      </c>
      <c r="X337" s="4" t="s">
        <v>3367</v>
      </c>
      <c r="Y337" s="151" t="str">
        <f t="shared" si="30"/>
        <v>E5393</v>
      </c>
      <c r="Z337" s="4" t="s">
        <v>587</v>
      </c>
      <c r="AA337" s="114" t="s">
        <v>588</v>
      </c>
      <c r="AB337" s="4" t="s">
        <v>506</v>
      </c>
      <c r="AC337" s="4" t="s">
        <v>507</v>
      </c>
      <c r="AD337" s="4" t="s">
        <v>508</v>
      </c>
      <c r="AE337" s="4" t="s">
        <v>509</v>
      </c>
      <c r="AF337" s="4" t="s">
        <v>589</v>
      </c>
      <c r="AG337" s="743">
        <v>0</v>
      </c>
      <c r="AI337" s="158"/>
    </row>
    <row r="338" spans="23:35">
      <c r="W338" s="4" t="s">
        <v>3405</v>
      </c>
      <c r="X338" s="3" t="s">
        <v>3356</v>
      </c>
      <c r="Y338" s="150" t="str">
        <f>INDEX($B$3:$O$110,42,1)</f>
        <v>E5394</v>
      </c>
      <c r="Z338" s="4" t="s">
        <v>587</v>
      </c>
      <c r="AA338" s="114" t="s">
        <v>588</v>
      </c>
      <c r="AB338" s="4" t="s">
        <v>506</v>
      </c>
      <c r="AC338" s="4" t="s">
        <v>507</v>
      </c>
      <c r="AD338" s="4" t="s">
        <v>508</v>
      </c>
      <c r="AE338" s="4" t="s">
        <v>509</v>
      </c>
      <c r="AF338" s="4" t="s">
        <v>589</v>
      </c>
      <c r="AG338" s="743">
        <v>0</v>
      </c>
      <c r="AH338" s="4"/>
      <c r="AI338" s="158"/>
    </row>
    <row r="339" spans="23:35">
      <c r="W339" s="4" t="s">
        <v>3405</v>
      </c>
      <c r="X339" s="4" t="s">
        <v>3357</v>
      </c>
      <c r="Y339" s="151" t="str">
        <f>Y338</f>
        <v>E5394</v>
      </c>
      <c r="Z339" s="4" t="s">
        <v>587</v>
      </c>
      <c r="AA339" s="114" t="s">
        <v>588</v>
      </c>
      <c r="AB339" s="4" t="s">
        <v>506</v>
      </c>
      <c r="AC339" s="4" t="s">
        <v>507</v>
      </c>
      <c r="AD339" s="4" t="s">
        <v>508</v>
      </c>
      <c r="AE339" s="4" t="s">
        <v>509</v>
      </c>
      <c r="AF339" s="4" t="s">
        <v>589</v>
      </c>
      <c r="AG339" s="743">
        <v>0</v>
      </c>
      <c r="AI339" s="158"/>
    </row>
    <row r="340" spans="23:35">
      <c r="W340" s="4" t="s">
        <v>3405</v>
      </c>
      <c r="X340" s="4" t="s">
        <v>3358</v>
      </c>
      <c r="Y340" s="151" t="str">
        <f t="shared" ref="Y340:Y349" si="31">Y339</f>
        <v>E5394</v>
      </c>
      <c r="Z340" s="4" t="s">
        <v>587</v>
      </c>
      <c r="AA340" s="114" t="s">
        <v>588</v>
      </c>
      <c r="AB340" s="4" t="s">
        <v>506</v>
      </c>
      <c r="AC340" s="4" t="s">
        <v>507</v>
      </c>
      <c r="AD340" s="4" t="s">
        <v>508</v>
      </c>
      <c r="AE340" s="4" t="s">
        <v>509</v>
      </c>
      <c r="AF340" s="4" t="s">
        <v>589</v>
      </c>
      <c r="AG340" s="743">
        <v>0</v>
      </c>
      <c r="AI340" s="158"/>
    </row>
    <row r="341" spans="23:35">
      <c r="W341" s="4" t="s">
        <v>3405</v>
      </c>
      <c r="X341" s="4" t="s">
        <v>3359</v>
      </c>
      <c r="Y341" s="151" t="str">
        <f t="shared" si="31"/>
        <v>E5394</v>
      </c>
      <c r="Z341" s="4" t="s">
        <v>587</v>
      </c>
      <c r="AA341" s="114" t="s">
        <v>588</v>
      </c>
      <c r="AB341" s="4" t="s">
        <v>506</v>
      </c>
      <c r="AC341" s="4" t="s">
        <v>507</v>
      </c>
      <c r="AD341" s="4" t="s">
        <v>508</v>
      </c>
      <c r="AE341" s="4" t="s">
        <v>509</v>
      </c>
      <c r="AF341" s="4" t="s">
        <v>589</v>
      </c>
      <c r="AG341" s="743">
        <v>0</v>
      </c>
      <c r="AI341" s="158"/>
    </row>
    <row r="342" spans="23:35">
      <c r="W342" s="4" t="s">
        <v>3405</v>
      </c>
      <c r="X342" s="4" t="s">
        <v>3360</v>
      </c>
      <c r="Y342" s="151" t="str">
        <f t="shared" si="31"/>
        <v>E5394</v>
      </c>
      <c r="Z342" s="4" t="s">
        <v>587</v>
      </c>
      <c r="AA342" s="114" t="s">
        <v>588</v>
      </c>
      <c r="AB342" s="4" t="s">
        <v>506</v>
      </c>
      <c r="AC342" s="4" t="s">
        <v>507</v>
      </c>
      <c r="AD342" s="4" t="s">
        <v>508</v>
      </c>
      <c r="AE342" s="4" t="s">
        <v>509</v>
      </c>
      <c r="AF342" s="4" t="s">
        <v>589</v>
      </c>
      <c r="AG342" s="743">
        <v>0</v>
      </c>
      <c r="AI342" s="158"/>
    </row>
    <row r="343" spans="23:35">
      <c r="W343" s="4" t="s">
        <v>3405</v>
      </c>
      <c r="X343" s="4" t="s">
        <v>3361</v>
      </c>
      <c r="Y343" s="151" t="str">
        <f t="shared" si="31"/>
        <v>E5394</v>
      </c>
      <c r="Z343" s="4" t="s">
        <v>587</v>
      </c>
      <c r="AA343" s="114" t="s">
        <v>588</v>
      </c>
      <c r="AB343" s="4" t="s">
        <v>506</v>
      </c>
      <c r="AC343" s="4" t="s">
        <v>507</v>
      </c>
      <c r="AD343" s="4" t="s">
        <v>508</v>
      </c>
      <c r="AE343" s="4" t="s">
        <v>509</v>
      </c>
      <c r="AF343" s="4" t="s">
        <v>589</v>
      </c>
      <c r="AG343" s="743">
        <v>0</v>
      </c>
      <c r="AI343" s="158"/>
    </row>
    <row r="344" spans="23:35">
      <c r="W344" s="4" t="s">
        <v>3405</v>
      </c>
      <c r="X344" s="4" t="s">
        <v>3362</v>
      </c>
      <c r="Y344" s="151" t="str">
        <f t="shared" si="31"/>
        <v>E5394</v>
      </c>
      <c r="Z344" s="4" t="s">
        <v>587</v>
      </c>
      <c r="AA344" s="114" t="s">
        <v>588</v>
      </c>
      <c r="AB344" s="4" t="s">
        <v>506</v>
      </c>
      <c r="AC344" s="4" t="s">
        <v>507</v>
      </c>
      <c r="AD344" s="4" t="s">
        <v>508</v>
      </c>
      <c r="AE344" s="4" t="s">
        <v>509</v>
      </c>
      <c r="AF344" s="4" t="s">
        <v>589</v>
      </c>
      <c r="AG344" s="743">
        <v>0</v>
      </c>
      <c r="AI344" s="158"/>
    </row>
    <row r="345" spans="23:35">
      <c r="W345" s="4" t="s">
        <v>3405</v>
      </c>
      <c r="X345" s="4" t="s">
        <v>3363</v>
      </c>
      <c r="Y345" s="151" t="str">
        <f t="shared" si="31"/>
        <v>E5394</v>
      </c>
      <c r="Z345" s="4" t="s">
        <v>587</v>
      </c>
      <c r="AA345" s="114" t="s">
        <v>588</v>
      </c>
      <c r="AB345" s="4" t="s">
        <v>506</v>
      </c>
      <c r="AC345" s="4" t="s">
        <v>507</v>
      </c>
      <c r="AD345" s="4" t="s">
        <v>508</v>
      </c>
      <c r="AE345" s="4" t="s">
        <v>509</v>
      </c>
      <c r="AF345" s="4" t="s">
        <v>589</v>
      </c>
      <c r="AG345" s="743">
        <v>0</v>
      </c>
      <c r="AI345" s="158"/>
    </row>
    <row r="346" spans="23:35">
      <c r="W346" s="4" t="s">
        <v>3405</v>
      </c>
      <c r="X346" s="4" t="s">
        <v>3364</v>
      </c>
      <c r="Y346" s="151" t="str">
        <f t="shared" si="31"/>
        <v>E5394</v>
      </c>
      <c r="Z346" s="4" t="s">
        <v>587</v>
      </c>
      <c r="AA346" s="114" t="s">
        <v>588</v>
      </c>
      <c r="AB346" s="4" t="s">
        <v>506</v>
      </c>
      <c r="AC346" s="4" t="s">
        <v>507</v>
      </c>
      <c r="AD346" s="4" t="s">
        <v>508</v>
      </c>
      <c r="AE346" s="4" t="s">
        <v>509</v>
      </c>
      <c r="AF346" s="4" t="s">
        <v>589</v>
      </c>
      <c r="AG346" s="743">
        <v>0</v>
      </c>
      <c r="AI346" s="158"/>
    </row>
    <row r="347" spans="23:35">
      <c r="W347" s="4" t="s">
        <v>3405</v>
      </c>
      <c r="X347" s="4" t="s">
        <v>3365</v>
      </c>
      <c r="Y347" s="151" t="str">
        <f t="shared" si="31"/>
        <v>E5394</v>
      </c>
      <c r="Z347" s="4" t="s">
        <v>587</v>
      </c>
      <c r="AA347" s="114" t="s">
        <v>588</v>
      </c>
      <c r="AB347" s="4" t="s">
        <v>506</v>
      </c>
      <c r="AC347" s="4" t="s">
        <v>507</v>
      </c>
      <c r="AD347" s="4" t="s">
        <v>508</v>
      </c>
      <c r="AE347" s="4" t="s">
        <v>509</v>
      </c>
      <c r="AF347" s="4" t="s">
        <v>589</v>
      </c>
      <c r="AG347" s="743">
        <v>0</v>
      </c>
      <c r="AI347" s="158"/>
    </row>
    <row r="348" spans="23:35">
      <c r="W348" s="4" t="s">
        <v>3405</v>
      </c>
      <c r="X348" s="4" t="s">
        <v>3366</v>
      </c>
      <c r="Y348" s="151" t="str">
        <f t="shared" si="31"/>
        <v>E5394</v>
      </c>
      <c r="Z348" s="4" t="s">
        <v>587</v>
      </c>
      <c r="AA348" s="114" t="s">
        <v>588</v>
      </c>
      <c r="AB348" s="4" t="s">
        <v>506</v>
      </c>
      <c r="AC348" s="4" t="s">
        <v>507</v>
      </c>
      <c r="AD348" s="4" t="s">
        <v>508</v>
      </c>
      <c r="AE348" s="4" t="s">
        <v>509</v>
      </c>
      <c r="AF348" s="4" t="s">
        <v>589</v>
      </c>
      <c r="AG348" s="743">
        <v>0</v>
      </c>
      <c r="AI348" s="158"/>
    </row>
    <row r="349" spans="23:35">
      <c r="W349" s="4" t="s">
        <v>3405</v>
      </c>
      <c r="X349" s="4" t="s">
        <v>3367</v>
      </c>
      <c r="Y349" s="151" t="str">
        <f t="shared" si="31"/>
        <v>E5394</v>
      </c>
      <c r="Z349" s="4" t="s">
        <v>587</v>
      </c>
      <c r="AA349" s="114" t="s">
        <v>588</v>
      </c>
      <c r="AB349" s="4" t="s">
        <v>506</v>
      </c>
      <c r="AC349" s="4" t="s">
        <v>507</v>
      </c>
      <c r="AD349" s="4" t="s">
        <v>508</v>
      </c>
      <c r="AE349" s="4" t="s">
        <v>509</v>
      </c>
      <c r="AF349" s="4" t="s">
        <v>589</v>
      </c>
      <c r="AG349" s="743">
        <v>0</v>
      </c>
      <c r="AI349" s="158"/>
    </row>
    <row r="350" spans="23:35">
      <c r="W350" s="4" t="s">
        <v>3405</v>
      </c>
      <c r="X350" s="3" t="s">
        <v>3356</v>
      </c>
      <c r="Y350" s="150" t="str">
        <f>INDEX($B$3:$O$110,45,1)</f>
        <v>E5395</v>
      </c>
      <c r="Z350" s="4" t="s">
        <v>587</v>
      </c>
      <c r="AA350" s="114" t="s">
        <v>588</v>
      </c>
      <c r="AB350" s="4" t="s">
        <v>506</v>
      </c>
      <c r="AC350" s="4" t="s">
        <v>507</v>
      </c>
      <c r="AD350" s="4" t="s">
        <v>508</v>
      </c>
      <c r="AE350" s="4" t="s">
        <v>509</v>
      </c>
      <c r="AF350" s="4" t="s">
        <v>589</v>
      </c>
      <c r="AG350" s="743">
        <v>0</v>
      </c>
      <c r="AI350" s="158"/>
    </row>
    <row r="351" spans="23:35">
      <c r="W351" s="4" t="s">
        <v>3405</v>
      </c>
      <c r="X351" s="4" t="s">
        <v>3357</v>
      </c>
      <c r="Y351" s="151" t="str">
        <f>Y350</f>
        <v>E5395</v>
      </c>
      <c r="Z351" s="4" t="s">
        <v>587</v>
      </c>
      <c r="AA351" s="114" t="s">
        <v>588</v>
      </c>
      <c r="AB351" s="4" t="s">
        <v>506</v>
      </c>
      <c r="AC351" s="4" t="s">
        <v>507</v>
      </c>
      <c r="AD351" s="4" t="s">
        <v>508</v>
      </c>
      <c r="AE351" s="4" t="s">
        <v>509</v>
      </c>
      <c r="AF351" s="4" t="s">
        <v>589</v>
      </c>
      <c r="AG351" s="743">
        <v>0</v>
      </c>
      <c r="AI351" s="158"/>
    </row>
    <row r="352" spans="23:35">
      <c r="W352" s="4" t="s">
        <v>3405</v>
      </c>
      <c r="X352" s="4" t="s">
        <v>3358</v>
      </c>
      <c r="Y352" s="151" t="str">
        <f t="shared" ref="Y352:Y361" si="32">Y351</f>
        <v>E5395</v>
      </c>
      <c r="Z352" s="4" t="s">
        <v>587</v>
      </c>
      <c r="AA352" s="114" t="s">
        <v>588</v>
      </c>
      <c r="AB352" s="4" t="s">
        <v>506</v>
      </c>
      <c r="AC352" s="4" t="s">
        <v>507</v>
      </c>
      <c r="AD352" s="4" t="s">
        <v>508</v>
      </c>
      <c r="AE352" s="4" t="s">
        <v>509</v>
      </c>
      <c r="AF352" s="4" t="s">
        <v>589</v>
      </c>
      <c r="AG352" s="743">
        <v>0</v>
      </c>
      <c r="AI352" s="158"/>
    </row>
    <row r="353" spans="23:35">
      <c r="W353" s="4" t="s">
        <v>3405</v>
      </c>
      <c r="X353" s="4" t="s">
        <v>3359</v>
      </c>
      <c r="Y353" s="151" t="str">
        <f t="shared" si="32"/>
        <v>E5395</v>
      </c>
      <c r="Z353" s="4" t="s">
        <v>587</v>
      </c>
      <c r="AA353" s="114" t="s">
        <v>588</v>
      </c>
      <c r="AB353" s="4" t="s">
        <v>506</v>
      </c>
      <c r="AC353" s="4" t="s">
        <v>507</v>
      </c>
      <c r="AD353" s="4" t="s">
        <v>508</v>
      </c>
      <c r="AE353" s="4" t="s">
        <v>509</v>
      </c>
      <c r="AF353" s="4" t="s">
        <v>589</v>
      </c>
      <c r="AG353" s="743">
        <v>0</v>
      </c>
      <c r="AI353" s="158"/>
    </row>
    <row r="354" spans="23:35">
      <c r="W354" s="4" t="s">
        <v>3405</v>
      </c>
      <c r="X354" s="4" t="s">
        <v>3360</v>
      </c>
      <c r="Y354" s="151" t="str">
        <f t="shared" si="32"/>
        <v>E5395</v>
      </c>
      <c r="Z354" s="4" t="s">
        <v>587</v>
      </c>
      <c r="AA354" s="114" t="s">
        <v>588</v>
      </c>
      <c r="AB354" s="4" t="s">
        <v>506</v>
      </c>
      <c r="AC354" s="4" t="s">
        <v>507</v>
      </c>
      <c r="AD354" s="4" t="s">
        <v>508</v>
      </c>
      <c r="AE354" s="4" t="s">
        <v>509</v>
      </c>
      <c r="AF354" s="4" t="s">
        <v>589</v>
      </c>
      <c r="AG354" s="743">
        <v>0</v>
      </c>
      <c r="AI354" s="158"/>
    </row>
    <row r="355" spans="23:35">
      <c r="W355" s="4" t="s">
        <v>3405</v>
      </c>
      <c r="X355" s="4" t="s">
        <v>3361</v>
      </c>
      <c r="Y355" s="151" t="str">
        <f t="shared" si="32"/>
        <v>E5395</v>
      </c>
      <c r="Z355" s="4" t="s">
        <v>587</v>
      </c>
      <c r="AA355" s="114" t="s">
        <v>588</v>
      </c>
      <c r="AB355" s="4" t="s">
        <v>506</v>
      </c>
      <c r="AC355" s="4" t="s">
        <v>507</v>
      </c>
      <c r="AD355" s="4" t="s">
        <v>508</v>
      </c>
      <c r="AE355" s="4" t="s">
        <v>509</v>
      </c>
      <c r="AF355" s="4" t="s">
        <v>589</v>
      </c>
      <c r="AG355" s="743">
        <v>0</v>
      </c>
      <c r="AI355" s="158"/>
    </row>
    <row r="356" spans="23:35">
      <c r="W356" s="4" t="s">
        <v>3405</v>
      </c>
      <c r="X356" s="4" t="s">
        <v>3362</v>
      </c>
      <c r="Y356" s="151" t="str">
        <f t="shared" si="32"/>
        <v>E5395</v>
      </c>
      <c r="Z356" s="4" t="s">
        <v>587</v>
      </c>
      <c r="AA356" s="114" t="s">
        <v>588</v>
      </c>
      <c r="AB356" s="4" t="s">
        <v>506</v>
      </c>
      <c r="AC356" s="4" t="s">
        <v>507</v>
      </c>
      <c r="AD356" s="4" t="s">
        <v>508</v>
      </c>
      <c r="AE356" s="4" t="s">
        <v>509</v>
      </c>
      <c r="AF356" s="4" t="s">
        <v>589</v>
      </c>
      <c r="AG356" s="743">
        <v>0</v>
      </c>
      <c r="AI356" s="158"/>
    </row>
    <row r="357" spans="23:35">
      <c r="W357" s="4" t="s">
        <v>3405</v>
      </c>
      <c r="X357" s="4" t="s">
        <v>3363</v>
      </c>
      <c r="Y357" s="151" t="str">
        <f t="shared" si="32"/>
        <v>E5395</v>
      </c>
      <c r="Z357" s="4" t="s">
        <v>587</v>
      </c>
      <c r="AA357" s="114" t="s">
        <v>588</v>
      </c>
      <c r="AB357" s="4" t="s">
        <v>506</v>
      </c>
      <c r="AC357" s="4" t="s">
        <v>507</v>
      </c>
      <c r="AD357" s="4" t="s">
        <v>508</v>
      </c>
      <c r="AE357" s="4" t="s">
        <v>509</v>
      </c>
      <c r="AF357" s="4" t="s">
        <v>589</v>
      </c>
      <c r="AG357" s="743">
        <v>0</v>
      </c>
      <c r="AI357" s="158"/>
    </row>
    <row r="358" spans="23:35">
      <c r="W358" s="4" t="s">
        <v>3405</v>
      </c>
      <c r="X358" s="4" t="s">
        <v>3364</v>
      </c>
      <c r="Y358" s="151" t="str">
        <f t="shared" si="32"/>
        <v>E5395</v>
      </c>
      <c r="Z358" s="4" t="s">
        <v>587</v>
      </c>
      <c r="AA358" s="114" t="s">
        <v>588</v>
      </c>
      <c r="AB358" s="4" t="s">
        <v>506</v>
      </c>
      <c r="AC358" s="4" t="s">
        <v>507</v>
      </c>
      <c r="AD358" s="4" t="s">
        <v>508</v>
      </c>
      <c r="AE358" s="4" t="s">
        <v>509</v>
      </c>
      <c r="AF358" s="4" t="s">
        <v>589</v>
      </c>
      <c r="AG358" s="743">
        <v>0</v>
      </c>
      <c r="AI358" s="158"/>
    </row>
    <row r="359" spans="23:35">
      <c r="W359" s="4" t="s">
        <v>3405</v>
      </c>
      <c r="X359" s="4" t="s">
        <v>3365</v>
      </c>
      <c r="Y359" s="151" t="str">
        <f t="shared" si="32"/>
        <v>E5395</v>
      </c>
      <c r="Z359" s="4" t="s">
        <v>587</v>
      </c>
      <c r="AA359" s="114" t="s">
        <v>588</v>
      </c>
      <c r="AB359" s="4" t="s">
        <v>506</v>
      </c>
      <c r="AC359" s="4" t="s">
        <v>507</v>
      </c>
      <c r="AD359" s="4" t="s">
        <v>508</v>
      </c>
      <c r="AE359" s="4" t="s">
        <v>509</v>
      </c>
      <c r="AF359" s="4" t="s">
        <v>589</v>
      </c>
      <c r="AG359" s="743">
        <v>0</v>
      </c>
      <c r="AI359" s="158"/>
    </row>
    <row r="360" spans="23:35">
      <c r="W360" s="4" t="s">
        <v>3405</v>
      </c>
      <c r="X360" s="4" t="s">
        <v>3366</v>
      </c>
      <c r="Y360" s="151" t="str">
        <f t="shared" si="32"/>
        <v>E5395</v>
      </c>
      <c r="Z360" s="4" t="s">
        <v>587</v>
      </c>
      <c r="AA360" s="114" t="s">
        <v>588</v>
      </c>
      <c r="AB360" s="4" t="s">
        <v>506</v>
      </c>
      <c r="AC360" s="4" t="s">
        <v>507</v>
      </c>
      <c r="AD360" s="4" t="s">
        <v>508</v>
      </c>
      <c r="AE360" s="4" t="s">
        <v>509</v>
      </c>
      <c r="AF360" s="4" t="s">
        <v>589</v>
      </c>
      <c r="AG360" s="743">
        <v>0</v>
      </c>
      <c r="AI360" s="158"/>
    </row>
    <row r="361" spans="23:35">
      <c r="W361" s="4" t="s">
        <v>3405</v>
      </c>
      <c r="X361" s="4" t="s">
        <v>3367</v>
      </c>
      <c r="Y361" s="151" t="str">
        <f t="shared" si="32"/>
        <v>E5395</v>
      </c>
      <c r="Z361" s="4" t="s">
        <v>587</v>
      </c>
      <c r="AA361" s="114" t="s">
        <v>588</v>
      </c>
      <c r="AB361" s="4" t="s">
        <v>506</v>
      </c>
      <c r="AC361" s="4" t="s">
        <v>507</v>
      </c>
      <c r="AD361" s="4" t="s">
        <v>508</v>
      </c>
      <c r="AE361" s="4" t="s">
        <v>509</v>
      </c>
      <c r="AF361" s="4" t="s">
        <v>589</v>
      </c>
      <c r="AG361" s="743">
        <v>0</v>
      </c>
      <c r="AI361" s="158"/>
    </row>
    <row r="362" spans="23:35">
      <c r="W362" s="4" t="s">
        <v>3405</v>
      </c>
      <c r="X362" s="3" t="s">
        <v>3356</v>
      </c>
      <c r="Y362" s="150" t="str">
        <f>INDEX($B$3:$O$110,46,1)</f>
        <v>E5396</v>
      </c>
      <c r="Z362" s="4" t="s">
        <v>587</v>
      </c>
      <c r="AA362" s="114" t="s">
        <v>588</v>
      </c>
      <c r="AB362" s="4" t="s">
        <v>506</v>
      </c>
      <c r="AC362" s="4" t="s">
        <v>507</v>
      </c>
      <c r="AD362" s="4" t="s">
        <v>508</v>
      </c>
      <c r="AE362" s="4" t="s">
        <v>509</v>
      </c>
      <c r="AF362" s="4" t="s">
        <v>589</v>
      </c>
      <c r="AG362" s="743">
        <v>0</v>
      </c>
      <c r="AI362" s="158"/>
    </row>
    <row r="363" spans="23:35">
      <c r="W363" s="4" t="s">
        <v>3405</v>
      </c>
      <c r="X363" s="4" t="s">
        <v>3357</v>
      </c>
      <c r="Y363" s="151" t="str">
        <f>Y362</f>
        <v>E5396</v>
      </c>
      <c r="Z363" s="4" t="s">
        <v>587</v>
      </c>
      <c r="AA363" s="114" t="s">
        <v>588</v>
      </c>
      <c r="AB363" s="4" t="s">
        <v>506</v>
      </c>
      <c r="AC363" s="4" t="s">
        <v>507</v>
      </c>
      <c r="AD363" s="4" t="s">
        <v>508</v>
      </c>
      <c r="AE363" s="4" t="s">
        <v>509</v>
      </c>
      <c r="AF363" s="4" t="s">
        <v>589</v>
      </c>
      <c r="AG363" s="743">
        <v>0</v>
      </c>
      <c r="AI363" s="158"/>
    </row>
    <row r="364" spans="23:35">
      <c r="W364" s="4" t="s">
        <v>3405</v>
      </c>
      <c r="X364" s="4" t="s">
        <v>3358</v>
      </c>
      <c r="Y364" s="151" t="str">
        <f t="shared" ref="Y364:Y373" si="33">Y363</f>
        <v>E5396</v>
      </c>
      <c r="Z364" s="4" t="s">
        <v>587</v>
      </c>
      <c r="AA364" s="114" t="s">
        <v>588</v>
      </c>
      <c r="AB364" s="4" t="s">
        <v>506</v>
      </c>
      <c r="AC364" s="4" t="s">
        <v>507</v>
      </c>
      <c r="AD364" s="4" t="s">
        <v>508</v>
      </c>
      <c r="AE364" s="4" t="s">
        <v>509</v>
      </c>
      <c r="AF364" s="4" t="s">
        <v>589</v>
      </c>
      <c r="AG364" s="743">
        <v>0</v>
      </c>
      <c r="AI364" s="158"/>
    </row>
    <row r="365" spans="23:35">
      <c r="W365" s="4" t="s">
        <v>3405</v>
      </c>
      <c r="X365" s="4" t="s">
        <v>3359</v>
      </c>
      <c r="Y365" s="151" t="str">
        <f t="shared" si="33"/>
        <v>E5396</v>
      </c>
      <c r="Z365" s="4" t="s">
        <v>587</v>
      </c>
      <c r="AA365" s="114" t="s">
        <v>588</v>
      </c>
      <c r="AB365" s="4" t="s">
        <v>506</v>
      </c>
      <c r="AC365" s="4" t="s">
        <v>507</v>
      </c>
      <c r="AD365" s="4" t="s">
        <v>508</v>
      </c>
      <c r="AE365" s="4" t="s">
        <v>509</v>
      </c>
      <c r="AF365" s="4" t="s">
        <v>589</v>
      </c>
      <c r="AG365" s="743">
        <v>0</v>
      </c>
      <c r="AI365" s="158"/>
    </row>
    <row r="366" spans="23:35">
      <c r="W366" s="4" t="s">
        <v>3405</v>
      </c>
      <c r="X366" s="4" t="s">
        <v>3360</v>
      </c>
      <c r="Y366" s="151" t="str">
        <f t="shared" si="33"/>
        <v>E5396</v>
      </c>
      <c r="Z366" s="4" t="s">
        <v>587</v>
      </c>
      <c r="AA366" s="114" t="s">
        <v>588</v>
      </c>
      <c r="AB366" s="4" t="s">
        <v>506</v>
      </c>
      <c r="AC366" s="4" t="s">
        <v>507</v>
      </c>
      <c r="AD366" s="4" t="s">
        <v>508</v>
      </c>
      <c r="AE366" s="4" t="s">
        <v>509</v>
      </c>
      <c r="AF366" s="4" t="s">
        <v>589</v>
      </c>
      <c r="AG366" s="743">
        <v>0</v>
      </c>
      <c r="AI366" s="158"/>
    </row>
    <row r="367" spans="23:35">
      <c r="W367" s="4" t="s">
        <v>3405</v>
      </c>
      <c r="X367" s="4" t="s">
        <v>3361</v>
      </c>
      <c r="Y367" s="151" t="str">
        <f t="shared" si="33"/>
        <v>E5396</v>
      </c>
      <c r="Z367" s="4" t="s">
        <v>587</v>
      </c>
      <c r="AA367" s="114" t="s">
        <v>588</v>
      </c>
      <c r="AB367" s="4" t="s">
        <v>506</v>
      </c>
      <c r="AC367" s="4" t="s">
        <v>507</v>
      </c>
      <c r="AD367" s="4" t="s">
        <v>508</v>
      </c>
      <c r="AE367" s="4" t="s">
        <v>509</v>
      </c>
      <c r="AF367" s="4" t="s">
        <v>589</v>
      </c>
      <c r="AG367" s="743">
        <v>0</v>
      </c>
      <c r="AI367" s="158"/>
    </row>
    <row r="368" spans="23:35">
      <c r="W368" s="4" t="s">
        <v>3405</v>
      </c>
      <c r="X368" s="4" t="s">
        <v>3362</v>
      </c>
      <c r="Y368" s="151" t="str">
        <f t="shared" si="33"/>
        <v>E5396</v>
      </c>
      <c r="Z368" s="4" t="s">
        <v>587</v>
      </c>
      <c r="AA368" s="114" t="s">
        <v>588</v>
      </c>
      <c r="AB368" s="4" t="s">
        <v>506</v>
      </c>
      <c r="AC368" s="4" t="s">
        <v>507</v>
      </c>
      <c r="AD368" s="4" t="s">
        <v>508</v>
      </c>
      <c r="AE368" s="4" t="s">
        <v>509</v>
      </c>
      <c r="AF368" s="4" t="s">
        <v>589</v>
      </c>
      <c r="AG368" s="743">
        <v>0</v>
      </c>
      <c r="AI368" s="158"/>
    </row>
    <row r="369" spans="23:35">
      <c r="W369" s="4" t="s">
        <v>3405</v>
      </c>
      <c r="X369" s="4" t="s">
        <v>3363</v>
      </c>
      <c r="Y369" s="151" t="str">
        <f t="shared" si="33"/>
        <v>E5396</v>
      </c>
      <c r="Z369" s="4" t="s">
        <v>587</v>
      </c>
      <c r="AA369" s="114" t="s">
        <v>588</v>
      </c>
      <c r="AB369" s="4" t="s">
        <v>506</v>
      </c>
      <c r="AC369" s="4" t="s">
        <v>507</v>
      </c>
      <c r="AD369" s="4" t="s">
        <v>508</v>
      </c>
      <c r="AE369" s="4" t="s">
        <v>509</v>
      </c>
      <c r="AF369" s="4" t="s">
        <v>589</v>
      </c>
      <c r="AG369" s="743">
        <v>0</v>
      </c>
      <c r="AI369" s="158"/>
    </row>
    <row r="370" spans="23:35">
      <c r="W370" s="4" t="s">
        <v>3405</v>
      </c>
      <c r="X370" s="4" t="s">
        <v>3364</v>
      </c>
      <c r="Y370" s="151" t="str">
        <f t="shared" si="33"/>
        <v>E5396</v>
      </c>
      <c r="Z370" s="4" t="s">
        <v>587</v>
      </c>
      <c r="AA370" s="114" t="s">
        <v>588</v>
      </c>
      <c r="AB370" s="4" t="s">
        <v>506</v>
      </c>
      <c r="AC370" s="4" t="s">
        <v>507</v>
      </c>
      <c r="AD370" s="4" t="s">
        <v>508</v>
      </c>
      <c r="AE370" s="4" t="s">
        <v>509</v>
      </c>
      <c r="AF370" s="4" t="s">
        <v>589</v>
      </c>
      <c r="AG370" s="743">
        <v>0</v>
      </c>
      <c r="AI370" s="158"/>
    </row>
    <row r="371" spans="23:35">
      <c r="W371" s="4" t="s">
        <v>3405</v>
      </c>
      <c r="X371" s="4" t="s">
        <v>3365</v>
      </c>
      <c r="Y371" s="151" t="str">
        <f t="shared" si="33"/>
        <v>E5396</v>
      </c>
      <c r="Z371" s="4" t="s">
        <v>587</v>
      </c>
      <c r="AA371" s="114" t="s">
        <v>588</v>
      </c>
      <c r="AB371" s="4" t="s">
        <v>506</v>
      </c>
      <c r="AC371" s="4" t="s">
        <v>507</v>
      </c>
      <c r="AD371" s="4" t="s">
        <v>508</v>
      </c>
      <c r="AE371" s="4" t="s">
        <v>509</v>
      </c>
      <c r="AF371" s="4" t="s">
        <v>589</v>
      </c>
      <c r="AG371" s="743">
        <v>0</v>
      </c>
      <c r="AI371" s="158"/>
    </row>
    <row r="372" spans="23:35">
      <c r="W372" s="4" t="s">
        <v>3405</v>
      </c>
      <c r="X372" s="4" t="s">
        <v>3366</v>
      </c>
      <c r="Y372" s="151" t="str">
        <f t="shared" si="33"/>
        <v>E5396</v>
      </c>
      <c r="Z372" s="4" t="s">
        <v>587</v>
      </c>
      <c r="AA372" s="114" t="s">
        <v>588</v>
      </c>
      <c r="AB372" s="4" t="s">
        <v>506</v>
      </c>
      <c r="AC372" s="4" t="s">
        <v>507</v>
      </c>
      <c r="AD372" s="4" t="s">
        <v>508</v>
      </c>
      <c r="AE372" s="4" t="s">
        <v>509</v>
      </c>
      <c r="AF372" s="4" t="s">
        <v>589</v>
      </c>
      <c r="AG372" s="743">
        <v>0</v>
      </c>
      <c r="AI372" s="158"/>
    </row>
    <row r="373" spans="23:35">
      <c r="W373" s="4" t="s">
        <v>3405</v>
      </c>
      <c r="X373" s="4" t="s">
        <v>3367</v>
      </c>
      <c r="Y373" s="151" t="str">
        <f t="shared" si="33"/>
        <v>E5396</v>
      </c>
      <c r="Z373" s="4" t="s">
        <v>587</v>
      </c>
      <c r="AA373" s="114" t="s">
        <v>588</v>
      </c>
      <c r="AB373" s="4" t="s">
        <v>506</v>
      </c>
      <c r="AC373" s="4" t="s">
        <v>507</v>
      </c>
      <c r="AD373" s="4" t="s">
        <v>508</v>
      </c>
      <c r="AE373" s="4" t="s">
        <v>509</v>
      </c>
      <c r="AF373" s="4" t="s">
        <v>589</v>
      </c>
      <c r="AG373" s="743">
        <v>0</v>
      </c>
      <c r="AI373" s="158"/>
    </row>
    <row r="374" spans="23:35">
      <c r="W374" s="4" t="s">
        <v>3405</v>
      </c>
      <c r="X374" s="3" t="s">
        <v>3356</v>
      </c>
      <c r="Y374" s="150" t="str">
        <f>INDEX($B$3:$O$110,47,1)</f>
        <v>E5397</v>
      </c>
      <c r="Z374" s="4" t="s">
        <v>587</v>
      </c>
      <c r="AA374" s="114" t="s">
        <v>588</v>
      </c>
      <c r="AB374" s="4" t="s">
        <v>506</v>
      </c>
      <c r="AC374" s="4" t="s">
        <v>507</v>
      </c>
      <c r="AD374" s="4" t="s">
        <v>508</v>
      </c>
      <c r="AE374" s="4" t="s">
        <v>509</v>
      </c>
      <c r="AF374" s="4" t="s">
        <v>589</v>
      </c>
      <c r="AG374" s="743">
        <v>0</v>
      </c>
      <c r="AI374" s="158"/>
    </row>
    <row r="375" spans="23:35">
      <c r="W375" s="4" t="s">
        <v>3405</v>
      </c>
      <c r="X375" s="4" t="s">
        <v>3357</v>
      </c>
      <c r="Y375" s="151" t="str">
        <f>Y374</f>
        <v>E5397</v>
      </c>
      <c r="Z375" s="4" t="s">
        <v>587</v>
      </c>
      <c r="AA375" s="114" t="s">
        <v>588</v>
      </c>
      <c r="AB375" s="4" t="s">
        <v>506</v>
      </c>
      <c r="AC375" s="4" t="s">
        <v>507</v>
      </c>
      <c r="AD375" s="4" t="s">
        <v>508</v>
      </c>
      <c r="AE375" s="4" t="s">
        <v>509</v>
      </c>
      <c r="AF375" s="4" t="s">
        <v>589</v>
      </c>
      <c r="AG375" s="743">
        <v>0</v>
      </c>
      <c r="AI375" s="158"/>
    </row>
    <row r="376" spans="23:35">
      <c r="W376" s="4" t="s">
        <v>3405</v>
      </c>
      <c r="X376" s="4" t="s">
        <v>3358</v>
      </c>
      <c r="Y376" s="151" t="str">
        <f t="shared" ref="Y376:Y385" si="34">Y375</f>
        <v>E5397</v>
      </c>
      <c r="Z376" s="4" t="s">
        <v>587</v>
      </c>
      <c r="AA376" s="114" t="s">
        <v>588</v>
      </c>
      <c r="AB376" s="4" t="s">
        <v>506</v>
      </c>
      <c r="AC376" s="4" t="s">
        <v>507</v>
      </c>
      <c r="AD376" s="4" t="s">
        <v>508</v>
      </c>
      <c r="AE376" s="4" t="s">
        <v>509</v>
      </c>
      <c r="AF376" s="4" t="s">
        <v>589</v>
      </c>
      <c r="AG376" s="743">
        <v>0</v>
      </c>
      <c r="AI376" s="158"/>
    </row>
    <row r="377" spans="23:35">
      <c r="W377" s="4" t="s">
        <v>3405</v>
      </c>
      <c r="X377" s="4" t="s">
        <v>3359</v>
      </c>
      <c r="Y377" s="151" t="str">
        <f t="shared" si="34"/>
        <v>E5397</v>
      </c>
      <c r="Z377" s="4" t="s">
        <v>587</v>
      </c>
      <c r="AA377" s="114" t="s">
        <v>588</v>
      </c>
      <c r="AB377" s="4" t="s">
        <v>506</v>
      </c>
      <c r="AC377" s="4" t="s">
        <v>507</v>
      </c>
      <c r="AD377" s="4" t="s">
        <v>508</v>
      </c>
      <c r="AE377" s="4" t="s">
        <v>509</v>
      </c>
      <c r="AF377" s="4" t="s">
        <v>589</v>
      </c>
      <c r="AG377" s="743">
        <v>0</v>
      </c>
      <c r="AI377" s="158"/>
    </row>
    <row r="378" spans="23:35">
      <c r="W378" s="4" t="s">
        <v>3405</v>
      </c>
      <c r="X378" s="4" t="s">
        <v>3360</v>
      </c>
      <c r="Y378" s="151" t="str">
        <f t="shared" si="34"/>
        <v>E5397</v>
      </c>
      <c r="Z378" s="4" t="s">
        <v>587</v>
      </c>
      <c r="AA378" s="114" t="s">
        <v>588</v>
      </c>
      <c r="AB378" s="4" t="s">
        <v>506</v>
      </c>
      <c r="AC378" s="4" t="s">
        <v>507</v>
      </c>
      <c r="AD378" s="4" t="s">
        <v>508</v>
      </c>
      <c r="AE378" s="4" t="s">
        <v>509</v>
      </c>
      <c r="AF378" s="4" t="s">
        <v>589</v>
      </c>
      <c r="AG378" s="743">
        <v>0</v>
      </c>
      <c r="AI378" s="158"/>
    </row>
    <row r="379" spans="23:35">
      <c r="W379" s="4" t="s">
        <v>3405</v>
      </c>
      <c r="X379" s="4" t="s">
        <v>3361</v>
      </c>
      <c r="Y379" s="151" t="str">
        <f t="shared" si="34"/>
        <v>E5397</v>
      </c>
      <c r="Z379" s="4" t="s">
        <v>587</v>
      </c>
      <c r="AA379" s="114" t="s">
        <v>588</v>
      </c>
      <c r="AB379" s="4" t="s">
        <v>506</v>
      </c>
      <c r="AC379" s="4" t="s">
        <v>507</v>
      </c>
      <c r="AD379" s="4" t="s">
        <v>508</v>
      </c>
      <c r="AE379" s="4" t="s">
        <v>509</v>
      </c>
      <c r="AF379" s="4" t="s">
        <v>589</v>
      </c>
      <c r="AG379" s="743">
        <v>0</v>
      </c>
      <c r="AI379" s="158"/>
    </row>
    <row r="380" spans="23:35">
      <c r="W380" s="4" t="s">
        <v>3405</v>
      </c>
      <c r="X380" s="4" t="s">
        <v>3362</v>
      </c>
      <c r="Y380" s="151" t="str">
        <f t="shared" si="34"/>
        <v>E5397</v>
      </c>
      <c r="Z380" s="4" t="s">
        <v>587</v>
      </c>
      <c r="AA380" s="114" t="s">
        <v>588</v>
      </c>
      <c r="AB380" s="4" t="s">
        <v>506</v>
      </c>
      <c r="AC380" s="4" t="s">
        <v>507</v>
      </c>
      <c r="AD380" s="4" t="s">
        <v>508</v>
      </c>
      <c r="AE380" s="4" t="s">
        <v>509</v>
      </c>
      <c r="AF380" s="4" t="s">
        <v>589</v>
      </c>
      <c r="AG380" s="743">
        <v>0</v>
      </c>
      <c r="AI380" s="158"/>
    </row>
    <row r="381" spans="23:35">
      <c r="W381" s="4" t="s">
        <v>3405</v>
      </c>
      <c r="X381" s="4" t="s">
        <v>3363</v>
      </c>
      <c r="Y381" s="151" t="str">
        <f t="shared" si="34"/>
        <v>E5397</v>
      </c>
      <c r="Z381" s="4" t="s">
        <v>587</v>
      </c>
      <c r="AA381" s="114" t="s">
        <v>588</v>
      </c>
      <c r="AB381" s="4" t="s">
        <v>506</v>
      </c>
      <c r="AC381" s="4" t="s">
        <v>507</v>
      </c>
      <c r="AD381" s="4" t="s">
        <v>508</v>
      </c>
      <c r="AE381" s="4" t="s">
        <v>509</v>
      </c>
      <c r="AF381" s="4" t="s">
        <v>589</v>
      </c>
      <c r="AG381" s="743">
        <v>0</v>
      </c>
      <c r="AI381" s="158"/>
    </row>
    <row r="382" spans="23:35">
      <c r="W382" s="4" t="s">
        <v>3405</v>
      </c>
      <c r="X382" s="4" t="s">
        <v>3364</v>
      </c>
      <c r="Y382" s="151" t="str">
        <f t="shared" si="34"/>
        <v>E5397</v>
      </c>
      <c r="Z382" s="4" t="s">
        <v>587</v>
      </c>
      <c r="AA382" s="114" t="s">
        <v>588</v>
      </c>
      <c r="AB382" s="4" t="s">
        <v>506</v>
      </c>
      <c r="AC382" s="4" t="s">
        <v>507</v>
      </c>
      <c r="AD382" s="4" t="s">
        <v>508</v>
      </c>
      <c r="AE382" s="4" t="s">
        <v>509</v>
      </c>
      <c r="AF382" s="4" t="s">
        <v>589</v>
      </c>
      <c r="AG382" s="743">
        <v>0</v>
      </c>
      <c r="AI382" s="158"/>
    </row>
    <row r="383" spans="23:35">
      <c r="W383" s="4" t="s">
        <v>3405</v>
      </c>
      <c r="X383" s="4" t="s">
        <v>3365</v>
      </c>
      <c r="Y383" s="151" t="str">
        <f t="shared" si="34"/>
        <v>E5397</v>
      </c>
      <c r="Z383" s="4" t="s">
        <v>587</v>
      </c>
      <c r="AA383" s="114" t="s">
        <v>588</v>
      </c>
      <c r="AB383" s="4" t="s">
        <v>506</v>
      </c>
      <c r="AC383" s="4" t="s">
        <v>507</v>
      </c>
      <c r="AD383" s="4" t="s">
        <v>508</v>
      </c>
      <c r="AE383" s="4" t="s">
        <v>509</v>
      </c>
      <c r="AF383" s="4" t="s">
        <v>589</v>
      </c>
      <c r="AG383" s="743">
        <v>0</v>
      </c>
      <c r="AI383" s="158"/>
    </row>
    <row r="384" spans="23:35">
      <c r="W384" s="4" t="s">
        <v>3405</v>
      </c>
      <c r="X384" s="4" t="s">
        <v>3366</v>
      </c>
      <c r="Y384" s="151" t="str">
        <f t="shared" si="34"/>
        <v>E5397</v>
      </c>
      <c r="Z384" s="4" t="s">
        <v>587</v>
      </c>
      <c r="AA384" s="114" t="s">
        <v>588</v>
      </c>
      <c r="AB384" s="4" t="s">
        <v>506</v>
      </c>
      <c r="AC384" s="4" t="s">
        <v>507</v>
      </c>
      <c r="AD384" s="4" t="s">
        <v>508</v>
      </c>
      <c r="AE384" s="4" t="s">
        <v>509</v>
      </c>
      <c r="AF384" s="4" t="s">
        <v>589</v>
      </c>
      <c r="AG384" s="743">
        <v>0</v>
      </c>
      <c r="AI384" s="158"/>
    </row>
    <row r="385" spans="23:35">
      <c r="W385" s="4" t="s">
        <v>3405</v>
      </c>
      <c r="X385" s="4" t="s">
        <v>3367</v>
      </c>
      <c r="Y385" s="151" t="str">
        <f t="shared" si="34"/>
        <v>E5397</v>
      </c>
      <c r="Z385" s="4" t="s">
        <v>587</v>
      </c>
      <c r="AA385" s="114" t="s">
        <v>588</v>
      </c>
      <c r="AB385" s="4" t="s">
        <v>506</v>
      </c>
      <c r="AC385" s="4" t="s">
        <v>507</v>
      </c>
      <c r="AD385" s="4" t="s">
        <v>508</v>
      </c>
      <c r="AE385" s="4" t="s">
        <v>509</v>
      </c>
      <c r="AF385" s="4" t="s">
        <v>589</v>
      </c>
      <c r="AG385" s="743">
        <v>0</v>
      </c>
      <c r="AI385" s="158"/>
    </row>
    <row r="386" spans="23:35">
      <c r="W386" s="4" t="s">
        <v>3405</v>
      </c>
      <c r="X386" s="3" t="s">
        <v>3356</v>
      </c>
      <c r="Y386" s="150" t="str">
        <f>INDEX($B$3:$O$110,49,1)</f>
        <v>E5398</v>
      </c>
      <c r="Z386" s="4" t="s">
        <v>587</v>
      </c>
      <c r="AA386" s="114" t="s">
        <v>588</v>
      </c>
      <c r="AB386" s="4" t="s">
        <v>506</v>
      </c>
      <c r="AC386" s="4" t="s">
        <v>507</v>
      </c>
      <c r="AD386" s="4" t="s">
        <v>508</v>
      </c>
      <c r="AE386" s="4" t="s">
        <v>509</v>
      </c>
      <c r="AF386" s="4" t="s">
        <v>589</v>
      </c>
      <c r="AG386" s="743">
        <v>0</v>
      </c>
      <c r="AI386" s="158"/>
    </row>
    <row r="387" spans="23:35">
      <c r="W387" s="4" t="s">
        <v>3405</v>
      </c>
      <c r="X387" s="4" t="s">
        <v>3357</v>
      </c>
      <c r="Y387" s="151" t="str">
        <f>Y386</f>
        <v>E5398</v>
      </c>
      <c r="Z387" s="4" t="s">
        <v>587</v>
      </c>
      <c r="AA387" s="114" t="s">
        <v>588</v>
      </c>
      <c r="AB387" s="4" t="s">
        <v>506</v>
      </c>
      <c r="AC387" s="4" t="s">
        <v>507</v>
      </c>
      <c r="AD387" s="4" t="s">
        <v>508</v>
      </c>
      <c r="AE387" s="4" t="s">
        <v>509</v>
      </c>
      <c r="AF387" s="4" t="s">
        <v>589</v>
      </c>
      <c r="AG387" s="743">
        <v>0</v>
      </c>
      <c r="AI387" s="158"/>
    </row>
    <row r="388" spans="23:35">
      <c r="W388" s="4" t="s">
        <v>3405</v>
      </c>
      <c r="X388" s="4" t="s">
        <v>3358</v>
      </c>
      <c r="Y388" s="151" t="str">
        <f t="shared" ref="Y388:Y397" si="35">Y387</f>
        <v>E5398</v>
      </c>
      <c r="Z388" s="4" t="s">
        <v>587</v>
      </c>
      <c r="AA388" s="114" t="s">
        <v>588</v>
      </c>
      <c r="AB388" s="4" t="s">
        <v>506</v>
      </c>
      <c r="AC388" s="4" t="s">
        <v>507</v>
      </c>
      <c r="AD388" s="4" t="s">
        <v>508</v>
      </c>
      <c r="AE388" s="4" t="s">
        <v>509</v>
      </c>
      <c r="AF388" s="4" t="s">
        <v>589</v>
      </c>
      <c r="AG388" s="743">
        <v>0</v>
      </c>
      <c r="AI388" s="158"/>
    </row>
    <row r="389" spans="23:35">
      <c r="W389" s="4" t="s">
        <v>3405</v>
      </c>
      <c r="X389" s="4" t="s">
        <v>3359</v>
      </c>
      <c r="Y389" s="151" t="str">
        <f t="shared" si="35"/>
        <v>E5398</v>
      </c>
      <c r="Z389" s="4" t="s">
        <v>587</v>
      </c>
      <c r="AA389" s="114" t="s">
        <v>588</v>
      </c>
      <c r="AB389" s="4" t="s">
        <v>506</v>
      </c>
      <c r="AC389" s="4" t="s">
        <v>507</v>
      </c>
      <c r="AD389" s="4" t="s">
        <v>508</v>
      </c>
      <c r="AE389" s="4" t="s">
        <v>509</v>
      </c>
      <c r="AF389" s="4" t="s">
        <v>589</v>
      </c>
      <c r="AG389" s="743">
        <v>0</v>
      </c>
      <c r="AI389" s="158"/>
    </row>
    <row r="390" spans="23:35">
      <c r="W390" s="4" t="s">
        <v>3405</v>
      </c>
      <c r="X390" s="4" t="s">
        <v>3360</v>
      </c>
      <c r="Y390" s="151" t="str">
        <f t="shared" si="35"/>
        <v>E5398</v>
      </c>
      <c r="Z390" s="4" t="s">
        <v>587</v>
      </c>
      <c r="AA390" s="114" t="s">
        <v>588</v>
      </c>
      <c r="AB390" s="4" t="s">
        <v>506</v>
      </c>
      <c r="AC390" s="4" t="s">
        <v>507</v>
      </c>
      <c r="AD390" s="4" t="s">
        <v>508</v>
      </c>
      <c r="AE390" s="4" t="s">
        <v>509</v>
      </c>
      <c r="AF390" s="4" t="s">
        <v>589</v>
      </c>
      <c r="AG390" s="743">
        <v>0</v>
      </c>
      <c r="AI390" s="158"/>
    </row>
    <row r="391" spans="23:35">
      <c r="W391" s="4" t="s">
        <v>3405</v>
      </c>
      <c r="X391" s="4" t="s">
        <v>3361</v>
      </c>
      <c r="Y391" s="151" t="str">
        <f t="shared" si="35"/>
        <v>E5398</v>
      </c>
      <c r="Z391" s="4" t="s">
        <v>587</v>
      </c>
      <c r="AA391" s="114" t="s">
        <v>588</v>
      </c>
      <c r="AB391" s="4" t="s">
        <v>506</v>
      </c>
      <c r="AC391" s="4" t="s">
        <v>507</v>
      </c>
      <c r="AD391" s="4" t="s">
        <v>508</v>
      </c>
      <c r="AE391" s="4" t="s">
        <v>509</v>
      </c>
      <c r="AF391" s="4" t="s">
        <v>589</v>
      </c>
      <c r="AG391" s="743">
        <v>0</v>
      </c>
      <c r="AI391" s="158"/>
    </row>
    <row r="392" spans="23:35">
      <c r="W392" s="4" t="s">
        <v>3405</v>
      </c>
      <c r="X392" s="4" t="s">
        <v>3362</v>
      </c>
      <c r="Y392" s="151" t="str">
        <f t="shared" si="35"/>
        <v>E5398</v>
      </c>
      <c r="Z392" s="4" t="s">
        <v>587</v>
      </c>
      <c r="AA392" s="114" t="s">
        <v>588</v>
      </c>
      <c r="AB392" s="4" t="s">
        <v>506</v>
      </c>
      <c r="AC392" s="4" t="s">
        <v>507</v>
      </c>
      <c r="AD392" s="4" t="s">
        <v>508</v>
      </c>
      <c r="AE392" s="4" t="s">
        <v>509</v>
      </c>
      <c r="AF392" s="4" t="s">
        <v>589</v>
      </c>
      <c r="AG392" s="743">
        <v>0</v>
      </c>
      <c r="AI392" s="158"/>
    </row>
    <row r="393" spans="23:35">
      <c r="W393" s="4" t="s">
        <v>3405</v>
      </c>
      <c r="X393" s="4" t="s">
        <v>3363</v>
      </c>
      <c r="Y393" s="151" t="str">
        <f t="shared" si="35"/>
        <v>E5398</v>
      </c>
      <c r="Z393" s="4" t="s">
        <v>587</v>
      </c>
      <c r="AA393" s="114" t="s">
        <v>588</v>
      </c>
      <c r="AB393" s="4" t="s">
        <v>506</v>
      </c>
      <c r="AC393" s="4" t="s">
        <v>507</v>
      </c>
      <c r="AD393" s="4" t="s">
        <v>508</v>
      </c>
      <c r="AE393" s="4" t="s">
        <v>509</v>
      </c>
      <c r="AF393" s="4" t="s">
        <v>589</v>
      </c>
      <c r="AG393" s="743">
        <v>0</v>
      </c>
      <c r="AI393" s="158"/>
    </row>
    <row r="394" spans="23:35">
      <c r="W394" s="4" t="s">
        <v>3405</v>
      </c>
      <c r="X394" s="4" t="s">
        <v>3364</v>
      </c>
      <c r="Y394" s="151" t="str">
        <f t="shared" si="35"/>
        <v>E5398</v>
      </c>
      <c r="Z394" s="4" t="s">
        <v>587</v>
      </c>
      <c r="AA394" s="114" t="s">
        <v>588</v>
      </c>
      <c r="AB394" s="4" t="s">
        <v>506</v>
      </c>
      <c r="AC394" s="4" t="s">
        <v>507</v>
      </c>
      <c r="AD394" s="4" t="s">
        <v>508</v>
      </c>
      <c r="AE394" s="4" t="s">
        <v>509</v>
      </c>
      <c r="AF394" s="4" t="s">
        <v>589</v>
      </c>
      <c r="AG394" s="743">
        <v>0</v>
      </c>
      <c r="AI394" s="158"/>
    </row>
    <row r="395" spans="23:35">
      <c r="W395" s="4" t="s">
        <v>3405</v>
      </c>
      <c r="X395" s="4" t="s">
        <v>3365</v>
      </c>
      <c r="Y395" s="151" t="str">
        <f t="shared" si="35"/>
        <v>E5398</v>
      </c>
      <c r="Z395" s="4" t="s">
        <v>587</v>
      </c>
      <c r="AA395" s="114" t="s">
        <v>588</v>
      </c>
      <c r="AB395" s="4" t="s">
        <v>506</v>
      </c>
      <c r="AC395" s="4" t="s">
        <v>507</v>
      </c>
      <c r="AD395" s="4" t="s">
        <v>508</v>
      </c>
      <c r="AE395" s="4" t="s">
        <v>509</v>
      </c>
      <c r="AF395" s="4" t="s">
        <v>589</v>
      </c>
      <c r="AG395" s="743">
        <v>0</v>
      </c>
      <c r="AI395" s="158"/>
    </row>
    <row r="396" spans="23:35">
      <c r="W396" s="4" t="s">
        <v>3405</v>
      </c>
      <c r="X396" s="4" t="s">
        <v>3366</v>
      </c>
      <c r="Y396" s="151" t="str">
        <f t="shared" si="35"/>
        <v>E5398</v>
      </c>
      <c r="Z396" s="4" t="s">
        <v>587</v>
      </c>
      <c r="AA396" s="114" t="s">
        <v>588</v>
      </c>
      <c r="AB396" s="4" t="s">
        <v>506</v>
      </c>
      <c r="AC396" s="4" t="s">
        <v>507</v>
      </c>
      <c r="AD396" s="4" t="s">
        <v>508</v>
      </c>
      <c r="AE396" s="4" t="s">
        <v>509</v>
      </c>
      <c r="AF396" s="4" t="s">
        <v>589</v>
      </c>
      <c r="AG396" s="743">
        <v>0</v>
      </c>
      <c r="AI396" s="158"/>
    </row>
    <row r="397" spans="23:35">
      <c r="W397" s="4" t="s">
        <v>3405</v>
      </c>
      <c r="X397" s="4" t="s">
        <v>3367</v>
      </c>
      <c r="Y397" s="151" t="str">
        <f t="shared" si="35"/>
        <v>E5398</v>
      </c>
      <c r="Z397" s="4" t="s">
        <v>587</v>
      </c>
      <c r="AA397" s="114" t="s">
        <v>588</v>
      </c>
      <c r="AB397" s="4" t="s">
        <v>506</v>
      </c>
      <c r="AC397" s="4" t="s">
        <v>507</v>
      </c>
      <c r="AD397" s="4" t="s">
        <v>508</v>
      </c>
      <c r="AE397" s="4" t="s">
        <v>509</v>
      </c>
      <c r="AF397" s="4" t="s">
        <v>589</v>
      </c>
      <c r="AG397" s="743">
        <v>0</v>
      </c>
      <c r="AI397" s="158"/>
    </row>
    <row r="398" spans="23:35">
      <c r="W398" s="4" t="s">
        <v>3405</v>
      </c>
      <c r="X398" s="3" t="s">
        <v>3356</v>
      </c>
      <c r="Y398" s="150" t="str">
        <f>INDEX($B$3:$O$110,52,1)</f>
        <v>E5399</v>
      </c>
      <c r="Z398" s="4" t="s">
        <v>587</v>
      </c>
      <c r="AA398" s="114" t="s">
        <v>588</v>
      </c>
      <c r="AB398" s="4" t="s">
        <v>506</v>
      </c>
      <c r="AC398" s="4" t="s">
        <v>507</v>
      </c>
      <c r="AD398" s="4" t="s">
        <v>508</v>
      </c>
      <c r="AE398" s="4" t="s">
        <v>509</v>
      </c>
      <c r="AF398" s="4" t="s">
        <v>589</v>
      </c>
      <c r="AG398" s="743">
        <v>0</v>
      </c>
      <c r="AI398" s="158"/>
    </row>
    <row r="399" spans="23:35">
      <c r="W399" s="4" t="s">
        <v>3405</v>
      </c>
      <c r="X399" s="4" t="s">
        <v>3357</v>
      </c>
      <c r="Y399" s="151" t="str">
        <f>Y398</f>
        <v>E5399</v>
      </c>
      <c r="Z399" s="4" t="s">
        <v>587</v>
      </c>
      <c r="AA399" s="114" t="s">
        <v>588</v>
      </c>
      <c r="AB399" s="4" t="s">
        <v>506</v>
      </c>
      <c r="AC399" s="4" t="s">
        <v>507</v>
      </c>
      <c r="AD399" s="4" t="s">
        <v>508</v>
      </c>
      <c r="AE399" s="4" t="s">
        <v>509</v>
      </c>
      <c r="AF399" s="4" t="s">
        <v>589</v>
      </c>
      <c r="AG399" s="743">
        <v>0</v>
      </c>
      <c r="AI399" s="158"/>
    </row>
    <row r="400" spans="23:35">
      <c r="W400" s="4" t="s">
        <v>3405</v>
      </c>
      <c r="X400" s="4" t="s">
        <v>3358</v>
      </c>
      <c r="Y400" s="151" t="str">
        <f t="shared" ref="Y400:Y409" si="36">Y399</f>
        <v>E5399</v>
      </c>
      <c r="Z400" s="4" t="s">
        <v>587</v>
      </c>
      <c r="AA400" s="114" t="s">
        <v>588</v>
      </c>
      <c r="AB400" s="4" t="s">
        <v>506</v>
      </c>
      <c r="AC400" s="4" t="s">
        <v>507</v>
      </c>
      <c r="AD400" s="4" t="s">
        <v>508</v>
      </c>
      <c r="AE400" s="4" t="s">
        <v>509</v>
      </c>
      <c r="AF400" s="4" t="s">
        <v>589</v>
      </c>
      <c r="AG400" s="743">
        <v>0</v>
      </c>
      <c r="AI400" s="158"/>
    </row>
    <row r="401" spans="23:35">
      <c r="W401" s="4" t="s">
        <v>3405</v>
      </c>
      <c r="X401" s="4" t="s">
        <v>3359</v>
      </c>
      <c r="Y401" s="151" t="str">
        <f t="shared" si="36"/>
        <v>E5399</v>
      </c>
      <c r="Z401" s="4" t="s">
        <v>587</v>
      </c>
      <c r="AA401" s="114" t="s">
        <v>588</v>
      </c>
      <c r="AB401" s="4" t="s">
        <v>506</v>
      </c>
      <c r="AC401" s="4" t="s">
        <v>507</v>
      </c>
      <c r="AD401" s="4" t="s">
        <v>508</v>
      </c>
      <c r="AE401" s="4" t="s">
        <v>509</v>
      </c>
      <c r="AF401" s="4" t="s">
        <v>589</v>
      </c>
      <c r="AG401" s="743">
        <v>0</v>
      </c>
      <c r="AI401" s="158"/>
    </row>
    <row r="402" spans="23:35">
      <c r="W402" s="4" t="s">
        <v>3405</v>
      </c>
      <c r="X402" s="4" t="s">
        <v>3360</v>
      </c>
      <c r="Y402" s="151" t="str">
        <f t="shared" si="36"/>
        <v>E5399</v>
      </c>
      <c r="Z402" s="4" t="s">
        <v>587</v>
      </c>
      <c r="AA402" s="114" t="s">
        <v>588</v>
      </c>
      <c r="AB402" s="4" t="s">
        <v>506</v>
      </c>
      <c r="AC402" s="4" t="s">
        <v>507</v>
      </c>
      <c r="AD402" s="4" t="s">
        <v>508</v>
      </c>
      <c r="AE402" s="4" t="s">
        <v>509</v>
      </c>
      <c r="AF402" s="4" t="s">
        <v>589</v>
      </c>
      <c r="AG402" s="743">
        <v>0</v>
      </c>
      <c r="AI402" s="158"/>
    </row>
    <row r="403" spans="23:35">
      <c r="W403" s="4" t="s">
        <v>3405</v>
      </c>
      <c r="X403" s="4" t="s">
        <v>3361</v>
      </c>
      <c r="Y403" s="151" t="str">
        <f t="shared" si="36"/>
        <v>E5399</v>
      </c>
      <c r="Z403" s="4" t="s">
        <v>587</v>
      </c>
      <c r="AA403" s="114" t="s">
        <v>588</v>
      </c>
      <c r="AB403" s="4" t="s">
        <v>506</v>
      </c>
      <c r="AC403" s="4" t="s">
        <v>507</v>
      </c>
      <c r="AD403" s="4" t="s">
        <v>508</v>
      </c>
      <c r="AE403" s="4" t="s">
        <v>509</v>
      </c>
      <c r="AF403" s="4" t="s">
        <v>589</v>
      </c>
      <c r="AG403" s="743">
        <v>0</v>
      </c>
      <c r="AI403" s="158"/>
    </row>
    <row r="404" spans="23:35">
      <c r="W404" s="4" t="s">
        <v>3405</v>
      </c>
      <c r="X404" s="4" t="s">
        <v>3362</v>
      </c>
      <c r="Y404" s="151" t="str">
        <f t="shared" si="36"/>
        <v>E5399</v>
      </c>
      <c r="Z404" s="4" t="s">
        <v>587</v>
      </c>
      <c r="AA404" s="114" t="s">
        <v>588</v>
      </c>
      <c r="AB404" s="4" t="s">
        <v>506</v>
      </c>
      <c r="AC404" s="4" t="s">
        <v>507</v>
      </c>
      <c r="AD404" s="4" t="s">
        <v>508</v>
      </c>
      <c r="AE404" s="4" t="s">
        <v>509</v>
      </c>
      <c r="AF404" s="4" t="s">
        <v>589</v>
      </c>
      <c r="AG404" s="743">
        <v>0</v>
      </c>
      <c r="AI404" s="158"/>
    </row>
    <row r="405" spans="23:35">
      <c r="W405" s="4" t="s">
        <v>3405</v>
      </c>
      <c r="X405" s="4" t="s">
        <v>3363</v>
      </c>
      <c r="Y405" s="151" t="str">
        <f t="shared" si="36"/>
        <v>E5399</v>
      </c>
      <c r="Z405" s="4" t="s">
        <v>587</v>
      </c>
      <c r="AA405" s="114" t="s">
        <v>588</v>
      </c>
      <c r="AB405" s="4" t="s">
        <v>506</v>
      </c>
      <c r="AC405" s="4" t="s">
        <v>507</v>
      </c>
      <c r="AD405" s="4" t="s">
        <v>508</v>
      </c>
      <c r="AE405" s="4" t="s">
        <v>509</v>
      </c>
      <c r="AF405" s="4" t="s">
        <v>589</v>
      </c>
      <c r="AG405" s="743">
        <v>0</v>
      </c>
      <c r="AI405" s="158"/>
    </row>
    <row r="406" spans="23:35">
      <c r="W406" s="4" t="s">
        <v>3405</v>
      </c>
      <c r="X406" s="4" t="s">
        <v>3364</v>
      </c>
      <c r="Y406" s="151" t="str">
        <f t="shared" si="36"/>
        <v>E5399</v>
      </c>
      <c r="Z406" s="4" t="s">
        <v>587</v>
      </c>
      <c r="AA406" s="114" t="s">
        <v>588</v>
      </c>
      <c r="AB406" s="4" t="s">
        <v>506</v>
      </c>
      <c r="AC406" s="4" t="s">
        <v>507</v>
      </c>
      <c r="AD406" s="4" t="s">
        <v>508</v>
      </c>
      <c r="AE406" s="4" t="s">
        <v>509</v>
      </c>
      <c r="AF406" s="4" t="s">
        <v>589</v>
      </c>
      <c r="AG406" s="743">
        <v>0</v>
      </c>
      <c r="AI406" s="158"/>
    </row>
    <row r="407" spans="23:35">
      <c r="W407" s="4" t="s">
        <v>3405</v>
      </c>
      <c r="X407" s="4" t="s">
        <v>3365</v>
      </c>
      <c r="Y407" s="151" t="str">
        <f t="shared" si="36"/>
        <v>E5399</v>
      </c>
      <c r="Z407" s="4" t="s">
        <v>587</v>
      </c>
      <c r="AA407" s="114" t="s">
        <v>588</v>
      </c>
      <c r="AB407" s="4" t="s">
        <v>506</v>
      </c>
      <c r="AC407" s="4" t="s">
        <v>507</v>
      </c>
      <c r="AD407" s="4" t="s">
        <v>508</v>
      </c>
      <c r="AE407" s="4" t="s">
        <v>509</v>
      </c>
      <c r="AF407" s="4" t="s">
        <v>589</v>
      </c>
      <c r="AG407" s="743">
        <v>0</v>
      </c>
      <c r="AI407" s="158"/>
    </row>
    <row r="408" spans="23:35">
      <c r="W408" s="4" t="s">
        <v>3405</v>
      </c>
      <c r="X408" s="4" t="s">
        <v>3366</v>
      </c>
      <c r="Y408" s="151" t="str">
        <f t="shared" si="36"/>
        <v>E5399</v>
      </c>
      <c r="Z408" s="4" t="s">
        <v>587</v>
      </c>
      <c r="AA408" s="114" t="s">
        <v>588</v>
      </c>
      <c r="AB408" s="4" t="s">
        <v>506</v>
      </c>
      <c r="AC408" s="4" t="s">
        <v>507</v>
      </c>
      <c r="AD408" s="4" t="s">
        <v>508</v>
      </c>
      <c r="AE408" s="4" t="s">
        <v>509</v>
      </c>
      <c r="AF408" s="4" t="s">
        <v>589</v>
      </c>
      <c r="AG408" s="743">
        <v>0</v>
      </c>
      <c r="AI408" s="158"/>
    </row>
    <row r="409" spans="23:35">
      <c r="W409" s="4" t="s">
        <v>3405</v>
      </c>
      <c r="X409" s="4" t="s">
        <v>3367</v>
      </c>
      <c r="Y409" s="151" t="str">
        <f t="shared" si="36"/>
        <v>E5399</v>
      </c>
      <c r="Z409" s="4" t="s">
        <v>587</v>
      </c>
      <c r="AA409" s="114" t="s">
        <v>588</v>
      </c>
      <c r="AB409" s="4" t="s">
        <v>506</v>
      </c>
      <c r="AC409" s="4" t="s">
        <v>507</v>
      </c>
      <c r="AD409" s="4" t="s">
        <v>508</v>
      </c>
      <c r="AE409" s="4" t="s">
        <v>509</v>
      </c>
      <c r="AF409" s="4" t="s">
        <v>589</v>
      </c>
      <c r="AG409" s="743">
        <v>0</v>
      </c>
      <c r="AI409" s="158"/>
    </row>
    <row r="410" spans="23:35">
      <c r="W410" s="4" t="s">
        <v>3405</v>
      </c>
      <c r="X410" s="3" t="s">
        <v>3356</v>
      </c>
      <c r="Y410" s="150" t="str">
        <f>INDEX($B$3:$O$110,54,1)</f>
        <v>E5400</v>
      </c>
      <c r="Z410" s="4" t="s">
        <v>587</v>
      </c>
      <c r="AA410" s="114" t="s">
        <v>588</v>
      </c>
      <c r="AB410" s="4" t="s">
        <v>506</v>
      </c>
      <c r="AC410" s="4" t="s">
        <v>507</v>
      </c>
      <c r="AD410" s="4" t="s">
        <v>508</v>
      </c>
      <c r="AE410" s="4" t="s">
        <v>509</v>
      </c>
      <c r="AF410" s="4" t="s">
        <v>589</v>
      </c>
      <c r="AG410" s="743">
        <v>0</v>
      </c>
      <c r="AI410" s="158"/>
    </row>
    <row r="411" spans="23:35">
      <c r="W411" s="4" t="s">
        <v>3405</v>
      </c>
      <c r="X411" s="4" t="s">
        <v>3357</v>
      </c>
      <c r="Y411" s="151" t="str">
        <f>Y410</f>
        <v>E5400</v>
      </c>
      <c r="Z411" s="4" t="s">
        <v>587</v>
      </c>
      <c r="AA411" s="114" t="s">
        <v>588</v>
      </c>
      <c r="AB411" s="4" t="s">
        <v>506</v>
      </c>
      <c r="AC411" s="4" t="s">
        <v>507</v>
      </c>
      <c r="AD411" s="4" t="s">
        <v>508</v>
      </c>
      <c r="AE411" s="4" t="s">
        <v>509</v>
      </c>
      <c r="AF411" s="4" t="s">
        <v>589</v>
      </c>
      <c r="AG411" s="743">
        <v>0</v>
      </c>
      <c r="AI411" s="158"/>
    </row>
    <row r="412" spans="23:35">
      <c r="W412" s="4" t="s">
        <v>3405</v>
      </c>
      <c r="X412" s="4" t="s">
        <v>3358</v>
      </c>
      <c r="Y412" s="151" t="str">
        <f t="shared" ref="Y412:Y421" si="37">Y411</f>
        <v>E5400</v>
      </c>
      <c r="Z412" s="4" t="s">
        <v>587</v>
      </c>
      <c r="AA412" s="114" t="s">
        <v>588</v>
      </c>
      <c r="AB412" s="4" t="s">
        <v>506</v>
      </c>
      <c r="AC412" s="4" t="s">
        <v>507</v>
      </c>
      <c r="AD412" s="4" t="s">
        <v>508</v>
      </c>
      <c r="AE412" s="4" t="s">
        <v>509</v>
      </c>
      <c r="AF412" s="4" t="s">
        <v>589</v>
      </c>
      <c r="AG412" s="743">
        <v>0</v>
      </c>
      <c r="AI412" s="158"/>
    </row>
    <row r="413" spans="23:35">
      <c r="W413" s="4" t="s">
        <v>3405</v>
      </c>
      <c r="X413" s="4" t="s">
        <v>3359</v>
      </c>
      <c r="Y413" s="151" t="str">
        <f t="shared" si="37"/>
        <v>E5400</v>
      </c>
      <c r="Z413" s="4" t="s">
        <v>587</v>
      </c>
      <c r="AA413" s="114" t="s">
        <v>588</v>
      </c>
      <c r="AB413" s="4" t="s">
        <v>506</v>
      </c>
      <c r="AC413" s="4" t="s">
        <v>507</v>
      </c>
      <c r="AD413" s="4" t="s">
        <v>508</v>
      </c>
      <c r="AE413" s="4" t="s">
        <v>509</v>
      </c>
      <c r="AF413" s="4" t="s">
        <v>589</v>
      </c>
      <c r="AG413" s="743">
        <v>0</v>
      </c>
      <c r="AI413" s="158"/>
    </row>
    <row r="414" spans="23:35">
      <c r="W414" s="4" t="s">
        <v>3405</v>
      </c>
      <c r="X414" s="4" t="s">
        <v>3360</v>
      </c>
      <c r="Y414" s="151" t="str">
        <f t="shared" si="37"/>
        <v>E5400</v>
      </c>
      <c r="Z414" s="4" t="s">
        <v>587</v>
      </c>
      <c r="AA414" s="114" t="s">
        <v>588</v>
      </c>
      <c r="AB414" s="4" t="s">
        <v>506</v>
      </c>
      <c r="AC414" s="4" t="s">
        <v>507</v>
      </c>
      <c r="AD414" s="4" t="s">
        <v>508</v>
      </c>
      <c r="AE414" s="4" t="s">
        <v>509</v>
      </c>
      <c r="AF414" s="4" t="s">
        <v>589</v>
      </c>
      <c r="AG414" s="743">
        <v>0</v>
      </c>
      <c r="AI414" s="158"/>
    </row>
    <row r="415" spans="23:35">
      <c r="W415" s="4" t="s">
        <v>3405</v>
      </c>
      <c r="X415" s="4" t="s">
        <v>3361</v>
      </c>
      <c r="Y415" s="151" t="str">
        <f t="shared" si="37"/>
        <v>E5400</v>
      </c>
      <c r="Z415" s="4" t="s">
        <v>587</v>
      </c>
      <c r="AA415" s="114" t="s">
        <v>588</v>
      </c>
      <c r="AB415" s="4" t="s">
        <v>506</v>
      </c>
      <c r="AC415" s="4" t="s">
        <v>507</v>
      </c>
      <c r="AD415" s="4" t="s">
        <v>508</v>
      </c>
      <c r="AE415" s="4" t="s">
        <v>509</v>
      </c>
      <c r="AF415" s="4" t="s">
        <v>589</v>
      </c>
      <c r="AG415" s="743">
        <v>0</v>
      </c>
      <c r="AI415" s="158"/>
    </row>
    <row r="416" spans="23:35">
      <c r="W416" s="4" t="s">
        <v>3405</v>
      </c>
      <c r="X416" s="4" t="s">
        <v>3362</v>
      </c>
      <c r="Y416" s="151" t="str">
        <f t="shared" si="37"/>
        <v>E5400</v>
      </c>
      <c r="Z416" s="4" t="s">
        <v>587</v>
      </c>
      <c r="AA416" s="114" t="s">
        <v>588</v>
      </c>
      <c r="AB416" s="4" t="s">
        <v>506</v>
      </c>
      <c r="AC416" s="4" t="s">
        <v>507</v>
      </c>
      <c r="AD416" s="4" t="s">
        <v>508</v>
      </c>
      <c r="AE416" s="4" t="s">
        <v>509</v>
      </c>
      <c r="AF416" s="4" t="s">
        <v>589</v>
      </c>
      <c r="AG416" s="743">
        <v>0</v>
      </c>
      <c r="AI416" s="158"/>
    </row>
    <row r="417" spans="23:35">
      <c r="W417" s="4" t="s">
        <v>3405</v>
      </c>
      <c r="X417" s="4" t="s">
        <v>3363</v>
      </c>
      <c r="Y417" s="151" t="str">
        <f t="shared" si="37"/>
        <v>E5400</v>
      </c>
      <c r="Z417" s="4" t="s">
        <v>587</v>
      </c>
      <c r="AA417" s="114" t="s">
        <v>588</v>
      </c>
      <c r="AB417" s="4" t="s">
        <v>506</v>
      </c>
      <c r="AC417" s="4" t="s">
        <v>507</v>
      </c>
      <c r="AD417" s="4" t="s">
        <v>508</v>
      </c>
      <c r="AE417" s="4" t="s">
        <v>509</v>
      </c>
      <c r="AF417" s="4" t="s">
        <v>589</v>
      </c>
      <c r="AG417" s="743">
        <v>0</v>
      </c>
      <c r="AI417" s="158"/>
    </row>
    <row r="418" spans="23:35">
      <c r="W418" s="4" t="s">
        <v>3405</v>
      </c>
      <c r="X418" s="4" t="s">
        <v>3364</v>
      </c>
      <c r="Y418" s="151" t="str">
        <f t="shared" si="37"/>
        <v>E5400</v>
      </c>
      <c r="Z418" s="4" t="s">
        <v>587</v>
      </c>
      <c r="AA418" s="114" t="s">
        <v>588</v>
      </c>
      <c r="AB418" s="4" t="s">
        <v>506</v>
      </c>
      <c r="AC418" s="4" t="s">
        <v>507</v>
      </c>
      <c r="AD418" s="4" t="s">
        <v>508</v>
      </c>
      <c r="AE418" s="4" t="s">
        <v>509</v>
      </c>
      <c r="AF418" s="4" t="s">
        <v>589</v>
      </c>
      <c r="AG418" s="743">
        <v>0</v>
      </c>
      <c r="AI418" s="158"/>
    </row>
    <row r="419" spans="23:35">
      <c r="W419" s="4" t="s">
        <v>3405</v>
      </c>
      <c r="X419" s="4" t="s">
        <v>3365</v>
      </c>
      <c r="Y419" s="151" t="str">
        <f t="shared" si="37"/>
        <v>E5400</v>
      </c>
      <c r="Z419" s="4" t="s">
        <v>587</v>
      </c>
      <c r="AA419" s="114" t="s">
        <v>588</v>
      </c>
      <c r="AB419" s="4" t="s">
        <v>506</v>
      </c>
      <c r="AC419" s="4" t="s">
        <v>507</v>
      </c>
      <c r="AD419" s="4" t="s">
        <v>508</v>
      </c>
      <c r="AE419" s="4" t="s">
        <v>509</v>
      </c>
      <c r="AF419" s="4" t="s">
        <v>589</v>
      </c>
      <c r="AG419" s="743">
        <v>0</v>
      </c>
      <c r="AI419" s="158"/>
    </row>
    <row r="420" spans="23:35">
      <c r="W420" s="4" t="s">
        <v>3405</v>
      </c>
      <c r="X420" s="4" t="s">
        <v>3366</v>
      </c>
      <c r="Y420" s="151" t="str">
        <f t="shared" si="37"/>
        <v>E5400</v>
      </c>
      <c r="Z420" s="4" t="s">
        <v>587</v>
      </c>
      <c r="AA420" s="114" t="s">
        <v>588</v>
      </c>
      <c r="AB420" s="4" t="s">
        <v>506</v>
      </c>
      <c r="AC420" s="4" t="s">
        <v>507</v>
      </c>
      <c r="AD420" s="4" t="s">
        <v>508</v>
      </c>
      <c r="AE420" s="4" t="s">
        <v>509</v>
      </c>
      <c r="AF420" s="4" t="s">
        <v>589</v>
      </c>
      <c r="AG420" s="743">
        <v>0</v>
      </c>
      <c r="AI420" s="158"/>
    </row>
    <row r="421" spans="23:35">
      <c r="W421" s="4" t="s">
        <v>3405</v>
      </c>
      <c r="X421" s="4" t="s">
        <v>3367</v>
      </c>
      <c r="Y421" s="151" t="str">
        <f t="shared" si="37"/>
        <v>E5400</v>
      </c>
      <c r="Z421" s="4" t="s">
        <v>587</v>
      </c>
      <c r="AA421" s="114" t="s">
        <v>588</v>
      </c>
      <c r="AB421" s="4" t="s">
        <v>506</v>
      </c>
      <c r="AC421" s="4" t="s">
        <v>507</v>
      </c>
      <c r="AD421" s="4" t="s">
        <v>508</v>
      </c>
      <c r="AE421" s="4" t="s">
        <v>509</v>
      </c>
      <c r="AF421" s="4" t="s">
        <v>589</v>
      </c>
      <c r="AG421" s="743">
        <v>0</v>
      </c>
      <c r="AI421" s="158"/>
    </row>
    <row r="422" spans="23:35">
      <c r="W422" s="4" t="s">
        <v>3405</v>
      </c>
      <c r="X422" s="3" t="s">
        <v>3356</v>
      </c>
      <c r="Y422" s="150" t="str">
        <f>INDEX($B$3:$O$110,55,1)</f>
        <v>E5401</v>
      </c>
      <c r="Z422" s="4" t="s">
        <v>587</v>
      </c>
      <c r="AA422" s="114" t="s">
        <v>588</v>
      </c>
      <c r="AB422" s="4" t="s">
        <v>506</v>
      </c>
      <c r="AC422" s="4" t="s">
        <v>507</v>
      </c>
      <c r="AD422" s="4" t="s">
        <v>508</v>
      </c>
      <c r="AE422" s="4" t="s">
        <v>509</v>
      </c>
      <c r="AF422" s="4" t="s">
        <v>589</v>
      </c>
      <c r="AG422" s="743">
        <v>0</v>
      </c>
      <c r="AI422" s="158"/>
    </row>
    <row r="423" spans="23:35">
      <c r="W423" s="4" t="s">
        <v>3405</v>
      </c>
      <c r="X423" s="4" t="s">
        <v>3357</v>
      </c>
      <c r="Y423" s="151" t="str">
        <f>Y422</f>
        <v>E5401</v>
      </c>
      <c r="Z423" s="4" t="s">
        <v>587</v>
      </c>
      <c r="AA423" s="114" t="s">
        <v>588</v>
      </c>
      <c r="AB423" s="4" t="s">
        <v>506</v>
      </c>
      <c r="AC423" s="4" t="s">
        <v>507</v>
      </c>
      <c r="AD423" s="4" t="s">
        <v>508</v>
      </c>
      <c r="AE423" s="4" t="s">
        <v>509</v>
      </c>
      <c r="AF423" s="4" t="s">
        <v>589</v>
      </c>
      <c r="AG423" s="743">
        <v>0</v>
      </c>
      <c r="AI423" s="158"/>
    </row>
    <row r="424" spans="23:35">
      <c r="W424" s="4" t="s">
        <v>3405</v>
      </c>
      <c r="X424" s="4" t="s">
        <v>3358</v>
      </c>
      <c r="Y424" s="151" t="str">
        <f t="shared" ref="Y424:Y433" si="38">Y423</f>
        <v>E5401</v>
      </c>
      <c r="Z424" s="4" t="s">
        <v>587</v>
      </c>
      <c r="AA424" s="114" t="s">
        <v>588</v>
      </c>
      <c r="AB424" s="4" t="s">
        <v>506</v>
      </c>
      <c r="AC424" s="4" t="s">
        <v>507</v>
      </c>
      <c r="AD424" s="4" t="s">
        <v>508</v>
      </c>
      <c r="AE424" s="4" t="s">
        <v>509</v>
      </c>
      <c r="AF424" s="4" t="s">
        <v>589</v>
      </c>
      <c r="AG424" s="743">
        <v>0</v>
      </c>
      <c r="AI424" s="158"/>
    </row>
    <row r="425" spans="23:35">
      <c r="W425" s="4" t="s">
        <v>3405</v>
      </c>
      <c r="X425" s="4" t="s">
        <v>3359</v>
      </c>
      <c r="Y425" s="151" t="str">
        <f t="shared" si="38"/>
        <v>E5401</v>
      </c>
      <c r="Z425" s="4" t="s">
        <v>587</v>
      </c>
      <c r="AA425" s="114" t="s">
        <v>588</v>
      </c>
      <c r="AB425" s="4" t="s">
        <v>506</v>
      </c>
      <c r="AC425" s="4" t="s">
        <v>507</v>
      </c>
      <c r="AD425" s="4" t="s">
        <v>508</v>
      </c>
      <c r="AE425" s="4" t="s">
        <v>509</v>
      </c>
      <c r="AF425" s="4" t="s">
        <v>589</v>
      </c>
      <c r="AG425" s="743">
        <v>0</v>
      </c>
      <c r="AI425" s="158"/>
    </row>
    <row r="426" spans="23:35">
      <c r="W426" s="4" t="s">
        <v>3405</v>
      </c>
      <c r="X426" s="4" t="s">
        <v>3360</v>
      </c>
      <c r="Y426" s="151" t="str">
        <f t="shared" si="38"/>
        <v>E5401</v>
      </c>
      <c r="Z426" s="4" t="s">
        <v>587</v>
      </c>
      <c r="AA426" s="114" t="s">
        <v>588</v>
      </c>
      <c r="AB426" s="4" t="s">
        <v>506</v>
      </c>
      <c r="AC426" s="4" t="s">
        <v>507</v>
      </c>
      <c r="AD426" s="4" t="s">
        <v>508</v>
      </c>
      <c r="AE426" s="4" t="s">
        <v>509</v>
      </c>
      <c r="AF426" s="4" t="s">
        <v>589</v>
      </c>
      <c r="AG426" s="743">
        <v>0</v>
      </c>
      <c r="AI426" s="158"/>
    </row>
    <row r="427" spans="23:35">
      <c r="W427" s="4" t="s">
        <v>3405</v>
      </c>
      <c r="X427" s="4" t="s">
        <v>3361</v>
      </c>
      <c r="Y427" s="151" t="str">
        <f t="shared" si="38"/>
        <v>E5401</v>
      </c>
      <c r="Z427" s="4" t="s">
        <v>587</v>
      </c>
      <c r="AA427" s="114" t="s">
        <v>588</v>
      </c>
      <c r="AB427" s="4" t="s">
        <v>506</v>
      </c>
      <c r="AC427" s="4" t="s">
        <v>507</v>
      </c>
      <c r="AD427" s="4" t="s">
        <v>508</v>
      </c>
      <c r="AE427" s="4" t="s">
        <v>509</v>
      </c>
      <c r="AF427" s="4" t="s">
        <v>589</v>
      </c>
      <c r="AG427" s="743">
        <v>0</v>
      </c>
      <c r="AI427" s="158"/>
    </row>
    <row r="428" spans="23:35">
      <c r="W428" s="4" t="s">
        <v>3405</v>
      </c>
      <c r="X428" s="4" t="s">
        <v>3362</v>
      </c>
      <c r="Y428" s="151" t="str">
        <f t="shared" si="38"/>
        <v>E5401</v>
      </c>
      <c r="Z428" s="4" t="s">
        <v>587</v>
      </c>
      <c r="AA428" s="114" t="s">
        <v>588</v>
      </c>
      <c r="AB428" s="4" t="s">
        <v>506</v>
      </c>
      <c r="AC428" s="4" t="s">
        <v>507</v>
      </c>
      <c r="AD428" s="4" t="s">
        <v>508</v>
      </c>
      <c r="AE428" s="4" t="s">
        <v>509</v>
      </c>
      <c r="AF428" s="4" t="s">
        <v>589</v>
      </c>
      <c r="AG428" s="743">
        <v>0</v>
      </c>
      <c r="AI428" s="158"/>
    </row>
    <row r="429" spans="23:35">
      <c r="W429" s="4" t="s">
        <v>3405</v>
      </c>
      <c r="X429" s="4" t="s">
        <v>3363</v>
      </c>
      <c r="Y429" s="151" t="str">
        <f t="shared" si="38"/>
        <v>E5401</v>
      </c>
      <c r="Z429" s="4" t="s">
        <v>587</v>
      </c>
      <c r="AA429" s="114" t="s">
        <v>588</v>
      </c>
      <c r="AB429" s="4" t="s">
        <v>506</v>
      </c>
      <c r="AC429" s="4" t="s">
        <v>507</v>
      </c>
      <c r="AD429" s="4" t="s">
        <v>508</v>
      </c>
      <c r="AE429" s="4" t="s">
        <v>509</v>
      </c>
      <c r="AF429" s="4" t="s">
        <v>589</v>
      </c>
      <c r="AG429" s="743">
        <v>0</v>
      </c>
      <c r="AI429" s="158"/>
    </row>
    <row r="430" spans="23:35">
      <c r="W430" s="4" t="s">
        <v>3405</v>
      </c>
      <c r="X430" s="4" t="s">
        <v>3364</v>
      </c>
      <c r="Y430" s="151" t="str">
        <f t="shared" si="38"/>
        <v>E5401</v>
      </c>
      <c r="Z430" s="4" t="s">
        <v>587</v>
      </c>
      <c r="AA430" s="114" t="s">
        <v>588</v>
      </c>
      <c r="AB430" s="4" t="s">
        <v>506</v>
      </c>
      <c r="AC430" s="4" t="s">
        <v>507</v>
      </c>
      <c r="AD430" s="4" t="s">
        <v>508</v>
      </c>
      <c r="AE430" s="4" t="s">
        <v>509</v>
      </c>
      <c r="AF430" s="4" t="s">
        <v>589</v>
      </c>
      <c r="AG430" s="743">
        <v>0</v>
      </c>
      <c r="AI430" s="158"/>
    </row>
    <row r="431" spans="23:35">
      <c r="W431" s="4" t="s">
        <v>3405</v>
      </c>
      <c r="X431" s="4" t="s">
        <v>3365</v>
      </c>
      <c r="Y431" s="151" t="str">
        <f t="shared" si="38"/>
        <v>E5401</v>
      </c>
      <c r="Z431" s="4" t="s">
        <v>587</v>
      </c>
      <c r="AA431" s="114" t="s">
        <v>588</v>
      </c>
      <c r="AB431" s="4" t="s">
        <v>506</v>
      </c>
      <c r="AC431" s="4" t="s">
        <v>507</v>
      </c>
      <c r="AD431" s="4" t="s">
        <v>508</v>
      </c>
      <c r="AE431" s="4" t="s">
        <v>509</v>
      </c>
      <c r="AF431" s="4" t="s">
        <v>589</v>
      </c>
      <c r="AG431" s="743">
        <v>0</v>
      </c>
      <c r="AI431" s="158"/>
    </row>
    <row r="432" spans="23:35">
      <c r="W432" s="4" t="s">
        <v>3405</v>
      </c>
      <c r="X432" s="4" t="s">
        <v>3366</v>
      </c>
      <c r="Y432" s="151" t="str">
        <f t="shared" si="38"/>
        <v>E5401</v>
      </c>
      <c r="Z432" s="4" t="s">
        <v>587</v>
      </c>
      <c r="AA432" s="114" t="s">
        <v>588</v>
      </c>
      <c r="AB432" s="4" t="s">
        <v>506</v>
      </c>
      <c r="AC432" s="4" t="s">
        <v>507</v>
      </c>
      <c r="AD432" s="4" t="s">
        <v>508</v>
      </c>
      <c r="AE432" s="4" t="s">
        <v>509</v>
      </c>
      <c r="AF432" s="4" t="s">
        <v>589</v>
      </c>
      <c r="AG432" s="743">
        <v>0</v>
      </c>
      <c r="AI432" s="158"/>
    </row>
    <row r="433" spans="23:35">
      <c r="W433" s="4" t="s">
        <v>3405</v>
      </c>
      <c r="X433" s="4" t="s">
        <v>3367</v>
      </c>
      <c r="Y433" s="151" t="str">
        <f t="shared" si="38"/>
        <v>E5401</v>
      </c>
      <c r="Z433" s="4" t="s">
        <v>587</v>
      </c>
      <c r="AA433" s="114" t="s">
        <v>588</v>
      </c>
      <c r="AB433" s="4" t="s">
        <v>506</v>
      </c>
      <c r="AC433" s="4" t="s">
        <v>507</v>
      </c>
      <c r="AD433" s="4" t="s">
        <v>508</v>
      </c>
      <c r="AE433" s="4" t="s">
        <v>509</v>
      </c>
      <c r="AF433" s="4" t="s">
        <v>589</v>
      </c>
      <c r="AG433" s="743">
        <v>0</v>
      </c>
      <c r="AI433" s="158"/>
    </row>
    <row r="434" spans="23:35">
      <c r="W434" s="4" t="s">
        <v>3405</v>
      </c>
      <c r="X434" s="3" t="s">
        <v>3356</v>
      </c>
      <c r="Y434" s="150" t="str">
        <f>INDEX($B$3:$O$110,56,1)</f>
        <v>E5402</v>
      </c>
      <c r="Z434" s="4" t="s">
        <v>587</v>
      </c>
      <c r="AA434" s="114" t="s">
        <v>588</v>
      </c>
      <c r="AB434" s="4" t="s">
        <v>506</v>
      </c>
      <c r="AC434" s="4" t="s">
        <v>507</v>
      </c>
      <c r="AD434" s="4" t="s">
        <v>508</v>
      </c>
      <c r="AE434" s="4" t="s">
        <v>509</v>
      </c>
      <c r="AF434" s="4" t="s">
        <v>589</v>
      </c>
      <c r="AG434" s="743">
        <v>0</v>
      </c>
      <c r="AI434" s="158"/>
    </row>
    <row r="435" spans="23:35">
      <c r="W435" s="4" t="s">
        <v>3405</v>
      </c>
      <c r="X435" s="4" t="s">
        <v>3357</v>
      </c>
      <c r="Y435" s="151" t="str">
        <f>Y434</f>
        <v>E5402</v>
      </c>
      <c r="Z435" s="4" t="s">
        <v>587</v>
      </c>
      <c r="AA435" s="114" t="s">
        <v>588</v>
      </c>
      <c r="AB435" s="4" t="s">
        <v>506</v>
      </c>
      <c r="AC435" s="4" t="s">
        <v>507</v>
      </c>
      <c r="AD435" s="4" t="s">
        <v>508</v>
      </c>
      <c r="AE435" s="4" t="s">
        <v>509</v>
      </c>
      <c r="AF435" s="4" t="s">
        <v>589</v>
      </c>
      <c r="AG435" s="743">
        <v>0</v>
      </c>
      <c r="AI435" s="158"/>
    </row>
    <row r="436" spans="23:35">
      <c r="W436" s="4" t="s">
        <v>3405</v>
      </c>
      <c r="X436" s="4" t="s">
        <v>3358</v>
      </c>
      <c r="Y436" s="151" t="str">
        <f t="shared" ref="Y436:Y445" si="39">Y435</f>
        <v>E5402</v>
      </c>
      <c r="Z436" s="4" t="s">
        <v>587</v>
      </c>
      <c r="AA436" s="114" t="s">
        <v>588</v>
      </c>
      <c r="AB436" s="4" t="s">
        <v>506</v>
      </c>
      <c r="AC436" s="4" t="s">
        <v>507</v>
      </c>
      <c r="AD436" s="4" t="s">
        <v>508</v>
      </c>
      <c r="AE436" s="4" t="s">
        <v>509</v>
      </c>
      <c r="AF436" s="4" t="s">
        <v>589</v>
      </c>
      <c r="AG436" s="743">
        <v>0</v>
      </c>
      <c r="AI436" s="158"/>
    </row>
    <row r="437" spans="23:35">
      <c r="W437" s="4" t="s">
        <v>3405</v>
      </c>
      <c r="X437" s="4" t="s">
        <v>3359</v>
      </c>
      <c r="Y437" s="151" t="str">
        <f t="shared" si="39"/>
        <v>E5402</v>
      </c>
      <c r="Z437" s="4" t="s">
        <v>587</v>
      </c>
      <c r="AA437" s="114" t="s">
        <v>588</v>
      </c>
      <c r="AB437" s="4" t="s">
        <v>506</v>
      </c>
      <c r="AC437" s="4" t="s">
        <v>507</v>
      </c>
      <c r="AD437" s="4" t="s">
        <v>508</v>
      </c>
      <c r="AE437" s="4" t="s">
        <v>509</v>
      </c>
      <c r="AF437" s="4" t="s">
        <v>589</v>
      </c>
      <c r="AG437" s="743">
        <v>0</v>
      </c>
      <c r="AI437" s="158"/>
    </row>
    <row r="438" spans="23:35">
      <c r="W438" s="4" t="s">
        <v>3405</v>
      </c>
      <c r="X438" s="4" t="s">
        <v>3360</v>
      </c>
      <c r="Y438" s="151" t="str">
        <f t="shared" si="39"/>
        <v>E5402</v>
      </c>
      <c r="Z438" s="4" t="s">
        <v>587</v>
      </c>
      <c r="AA438" s="114" t="s">
        <v>588</v>
      </c>
      <c r="AB438" s="4" t="s">
        <v>506</v>
      </c>
      <c r="AC438" s="4" t="s">
        <v>507</v>
      </c>
      <c r="AD438" s="4" t="s">
        <v>508</v>
      </c>
      <c r="AE438" s="4" t="s">
        <v>509</v>
      </c>
      <c r="AF438" s="4" t="s">
        <v>589</v>
      </c>
      <c r="AG438" s="743">
        <v>0</v>
      </c>
      <c r="AI438" s="158"/>
    </row>
    <row r="439" spans="23:35">
      <c r="W439" s="4" t="s">
        <v>3405</v>
      </c>
      <c r="X439" s="4" t="s">
        <v>3361</v>
      </c>
      <c r="Y439" s="151" t="str">
        <f t="shared" si="39"/>
        <v>E5402</v>
      </c>
      <c r="Z439" s="4" t="s">
        <v>587</v>
      </c>
      <c r="AA439" s="114" t="s">
        <v>588</v>
      </c>
      <c r="AB439" s="4" t="s">
        <v>506</v>
      </c>
      <c r="AC439" s="4" t="s">
        <v>507</v>
      </c>
      <c r="AD439" s="4" t="s">
        <v>508</v>
      </c>
      <c r="AE439" s="4" t="s">
        <v>509</v>
      </c>
      <c r="AF439" s="4" t="s">
        <v>589</v>
      </c>
      <c r="AG439" s="743">
        <v>0</v>
      </c>
      <c r="AI439" s="158"/>
    </row>
    <row r="440" spans="23:35">
      <c r="W440" s="4" t="s">
        <v>3405</v>
      </c>
      <c r="X440" s="4" t="s">
        <v>3362</v>
      </c>
      <c r="Y440" s="151" t="str">
        <f t="shared" si="39"/>
        <v>E5402</v>
      </c>
      <c r="Z440" s="4" t="s">
        <v>587</v>
      </c>
      <c r="AA440" s="114" t="s">
        <v>588</v>
      </c>
      <c r="AB440" s="4" t="s">
        <v>506</v>
      </c>
      <c r="AC440" s="4" t="s">
        <v>507</v>
      </c>
      <c r="AD440" s="4" t="s">
        <v>508</v>
      </c>
      <c r="AE440" s="4" t="s">
        <v>509</v>
      </c>
      <c r="AF440" s="4" t="s">
        <v>589</v>
      </c>
      <c r="AG440" s="743">
        <v>0</v>
      </c>
      <c r="AI440" s="158"/>
    </row>
    <row r="441" spans="23:35">
      <c r="W441" s="4" t="s">
        <v>3405</v>
      </c>
      <c r="X441" s="4" t="s">
        <v>3363</v>
      </c>
      <c r="Y441" s="151" t="str">
        <f t="shared" si="39"/>
        <v>E5402</v>
      </c>
      <c r="Z441" s="4" t="s">
        <v>587</v>
      </c>
      <c r="AA441" s="114" t="s">
        <v>588</v>
      </c>
      <c r="AB441" s="4" t="s">
        <v>506</v>
      </c>
      <c r="AC441" s="4" t="s">
        <v>507</v>
      </c>
      <c r="AD441" s="4" t="s">
        <v>508</v>
      </c>
      <c r="AE441" s="4" t="s">
        <v>509</v>
      </c>
      <c r="AF441" s="4" t="s">
        <v>589</v>
      </c>
      <c r="AG441" s="743">
        <v>0</v>
      </c>
      <c r="AI441" s="158"/>
    </row>
    <row r="442" spans="23:35">
      <c r="W442" s="4" t="s">
        <v>3405</v>
      </c>
      <c r="X442" s="4" t="s">
        <v>3364</v>
      </c>
      <c r="Y442" s="151" t="str">
        <f t="shared" si="39"/>
        <v>E5402</v>
      </c>
      <c r="Z442" s="4" t="s">
        <v>587</v>
      </c>
      <c r="AA442" s="114" t="s">
        <v>588</v>
      </c>
      <c r="AB442" s="4" t="s">
        <v>506</v>
      </c>
      <c r="AC442" s="4" t="s">
        <v>507</v>
      </c>
      <c r="AD442" s="4" t="s">
        <v>508</v>
      </c>
      <c r="AE442" s="4" t="s">
        <v>509</v>
      </c>
      <c r="AF442" s="4" t="s">
        <v>589</v>
      </c>
      <c r="AG442" s="743">
        <v>0</v>
      </c>
      <c r="AI442" s="158"/>
    </row>
    <row r="443" spans="23:35">
      <c r="W443" s="4" t="s">
        <v>3405</v>
      </c>
      <c r="X443" s="4" t="s">
        <v>3365</v>
      </c>
      <c r="Y443" s="151" t="str">
        <f t="shared" si="39"/>
        <v>E5402</v>
      </c>
      <c r="Z443" s="4" t="s">
        <v>587</v>
      </c>
      <c r="AA443" s="114" t="s">
        <v>588</v>
      </c>
      <c r="AB443" s="4" t="s">
        <v>506</v>
      </c>
      <c r="AC443" s="4" t="s">
        <v>507</v>
      </c>
      <c r="AD443" s="4" t="s">
        <v>508</v>
      </c>
      <c r="AE443" s="4" t="s">
        <v>509</v>
      </c>
      <c r="AF443" s="4" t="s">
        <v>589</v>
      </c>
      <c r="AG443" s="743">
        <v>0</v>
      </c>
      <c r="AI443" s="158"/>
    </row>
    <row r="444" spans="23:35">
      <c r="W444" s="4" t="s">
        <v>3405</v>
      </c>
      <c r="X444" s="4" t="s">
        <v>3366</v>
      </c>
      <c r="Y444" s="151" t="str">
        <f t="shared" si="39"/>
        <v>E5402</v>
      </c>
      <c r="Z444" s="4" t="s">
        <v>587</v>
      </c>
      <c r="AA444" s="114" t="s">
        <v>588</v>
      </c>
      <c r="AB444" s="4" t="s">
        <v>506</v>
      </c>
      <c r="AC444" s="4" t="s">
        <v>507</v>
      </c>
      <c r="AD444" s="4" t="s">
        <v>508</v>
      </c>
      <c r="AE444" s="4" t="s">
        <v>509</v>
      </c>
      <c r="AF444" s="4" t="s">
        <v>589</v>
      </c>
      <c r="AG444" s="743">
        <v>0</v>
      </c>
      <c r="AI444" s="158"/>
    </row>
    <row r="445" spans="23:35">
      <c r="W445" s="4" t="s">
        <v>3405</v>
      </c>
      <c r="X445" s="4" t="s">
        <v>3367</v>
      </c>
      <c r="Y445" s="151" t="str">
        <f t="shared" si="39"/>
        <v>E5402</v>
      </c>
      <c r="Z445" s="4" t="s">
        <v>587</v>
      </c>
      <c r="AA445" s="114" t="s">
        <v>588</v>
      </c>
      <c r="AB445" s="4" t="s">
        <v>506</v>
      </c>
      <c r="AC445" s="4" t="s">
        <v>507</v>
      </c>
      <c r="AD445" s="4" t="s">
        <v>508</v>
      </c>
      <c r="AE445" s="4" t="s">
        <v>509</v>
      </c>
      <c r="AF445" s="4" t="s">
        <v>589</v>
      </c>
      <c r="AG445" s="743">
        <v>0</v>
      </c>
      <c r="AI445" s="158"/>
    </row>
    <row r="446" spans="23:35">
      <c r="W446" s="4" t="s">
        <v>3405</v>
      </c>
      <c r="X446" s="3" t="s">
        <v>3356</v>
      </c>
      <c r="Y446" s="150" t="str">
        <f>INDEX($B$3:$O$110,57,1)</f>
        <v>E5550</v>
      </c>
      <c r="Z446" s="4" t="s">
        <v>587</v>
      </c>
      <c r="AA446" s="114" t="s">
        <v>588</v>
      </c>
      <c r="AB446" s="4" t="s">
        <v>506</v>
      </c>
      <c r="AC446" s="4" t="s">
        <v>507</v>
      </c>
      <c r="AD446" s="4" t="s">
        <v>508</v>
      </c>
      <c r="AE446" s="4" t="s">
        <v>509</v>
      </c>
      <c r="AF446" s="4" t="s">
        <v>589</v>
      </c>
      <c r="AG446" s="743">
        <v>0</v>
      </c>
      <c r="AI446" s="158"/>
    </row>
    <row r="447" spans="23:35">
      <c r="W447" s="4" t="s">
        <v>3405</v>
      </c>
      <c r="X447" s="4" t="s">
        <v>3357</v>
      </c>
      <c r="Y447" s="151" t="str">
        <f>Y446</f>
        <v>E5550</v>
      </c>
      <c r="Z447" s="4" t="s">
        <v>587</v>
      </c>
      <c r="AA447" s="114" t="s">
        <v>588</v>
      </c>
      <c r="AB447" s="4" t="s">
        <v>506</v>
      </c>
      <c r="AC447" s="4" t="s">
        <v>507</v>
      </c>
      <c r="AD447" s="4" t="s">
        <v>508</v>
      </c>
      <c r="AE447" s="4" t="s">
        <v>509</v>
      </c>
      <c r="AF447" s="4" t="s">
        <v>589</v>
      </c>
      <c r="AG447" s="743">
        <v>0</v>
      </c>
      <c r="AI447" s="158"/>
    </row>
    <row r="448" spans="23:35">
      <c r="W448" s="4" t="s">
        <v>3405</v>
      </c>
      <c r="X448" s="4" t="s">
        <v>3358</v>
      </c>
      <c r="Y448" s="151" t="str">
        <f t="shared" ref="Y448:Y457" si="40">Y447</f>
        <v>E5550</v>
      </c>
      <c r="Z448" s="4" t="s">
        <v>587</v>
      </c>
      <c r="AA448" s="114" t="s">
        <v>588</v>
      </c>
      <c r="AB448" s="4" t="s">
        <v>506</v>
      </c>
      <c r="AC448" s="4" t="s">
        <v>507</v>
      </c>
      <c r="AD448" s="4" t="s">
        <v>508</v>
      </c>
      <c r="AE448" s="4" t="s">
        <v>509</v>
      </c>
      <c r="AF448" s="4" t="s">
        <v>589</v>
      </c>
      <c r="AG448" s="743">
        <v>0</v>
      </c>
      <c r="AI448" s="158"/>
    </row>
    <row r="449" spans="23:44">
      <c r="W449" s="4" t="s">
        <v>3405</v>
      </c>
      <c r="X449" s="4" t="s">
        <v>3359</v>
      </c>
      <c r="Y449" s="151" t="str">
        <f t="shared" si="40"/>
        <v>E5550</v>
      </c>
      <c r="Z449" s="4" t="s">
        <v>587</v>
      </c>
      <c r="AA449" s="114" t="s">
        <v>588</v>
      </c>
      <c r="AB449" s="4" t="s">
        <v>506</v>
      </c>
      <c r="AC449" s="4" t="s">
        <v>507</v>
      </c>
      <c r="AD449" s="4" t="s">
        <v>508</v>
      </c>
      <c r="AE449" s="4" t="s">
        <v>509</v>
      </c>
      <c r="AF449" s="4" t="s">
        <v>589</v>
      </c>
      <c r="AG449" s="743">
        <v>0</v>
      </c>
      <c r="AI449" s="158"/>
    </row>
    <row r="450" spans="23:44">
      <c r="W450" s="4" t="s">
        <v>3405</v>
      </c>
      <c r="X450" s="4" t="s">
        <v>3360</v>
      </c>
      <c r="Y450" s="151" t="str">
        <f t="shared" si="40"/>
        <v>E5550</v>
      </c>
      <c r="Z450" s="4" t="s">
        <v>587</v>
      </c>
      <c r="AA450" s="114" t="s">
        <v>588</v>
      </c>
      <c r="AB450" s="4" t="s">
        <v>506</v>
      </c>
      <c r="AC450" s="4" t="s">
        <v>507</v>
      </c>
      <c r="AD450" s="4" t="s">
        <v>508</v>
      </c>
      <c r="AE450" s="4" t="s">
        <v>509</v>
      </c>
      <c r="AF450" s="4" t="s">
        <v>589</v>
      </c>
      <c r="AG450" s="743">
        <v>0</v>
      </c>
      <c r="AI450" s="158"/>
    </row>
    <row r="451" spans="23:44">
      <c r="W451" s="4" t="s">
        <v>3405</v>
      </c>
      <c r="X451" s="4" t="s">
        <v>3361</v>
      </c>
      <c r="Y451" s="151" t="str">
        <f t="shared" si="40"/>
        <v>E5550</v>
      </c>
      <c r="Z451" s="4" t="s">
        <v>587</v>
      </c>
      <c r="AA451" s="114" t="s">
        <v>588</v>
      </c>
      <c r="AB451" s="4" t="s">
        <v>506</v>
      </c>
      <c r="AC451" s="4" t="s">
        <v>507</v>
      </c>
      <c r="AD451" s="4" t="s">
        <v>508</v>
      </c>
      <c r="AE451" s="4" t="s">
        <v>509</v>
      </c>
      <c r="AF451" s="4" t="s">
        <v>589</v>
      </c>
      <c r="AG451" s="743">
        <v>0</v>
      </c>
      <c r="AI451" s="158"/>
    </row>
    <row r="452" spans="23:44">
      <c r="W452" s="4" t="s">
        <v>3405</v>
      </c>
      <c r="X452" s="4" t="s">
        <v>3362</v>
      </c>
      <c r="Y452" s="151" t="str">
        <f t="shared" si="40"/>
        <v>E5550</v>
      </c>
      <c r="Z452" s="4" t="s">
        <v>587</v>
      </c>
      <c r="AA452" s="114" t="s">
        <v>588</v>
      </c>
      <c r="AB452" s="4" t="s">
        <v>506</v>
      </c>
      <c r="AC452" s="4" t="s">
        <v>507</v>
      </c>
      <c r="AD452" s="4" t="s">
        <v>508</v>
      </c>
      <c r="AE452" s="4" t="s">
        <v>509</v>
      </c>
      <c r="AF452" s="4" t="s">
        <v>589</v>
      </c>
      <c r="AG452" s="743">
        <v>0</v>
      </c>
      <c r="AI452" s="158"/>
    </row>
    <row r="453" spans="23:44">
      <c r="W453" s="4" t="s">
        <v>3405</v>
      </c>
      <c r="X453" s="4" t="s">
        <v>3363</v>
      </c>
      <c r="Y453" s="151" t="str">
        <f t="shared" si="40"/>
        <v>E5550</v>
      </c>
      <c r="Z453" s="4" t="s">
        <v>587</v>
      </c>
      <c r="AA453" s="114" t="s">
        <v>588</v>
      </c>
      <c r="AB453" s="4" t="s">
        <v>506</v>
      </c>
      <c r="AC453" s="4" t="s">
        <v>507</v>
      </c>
      <c r="AD453" s="4" t="s">
        <v>508</v>
      </c>
      <c r="AE453" s="4" t="s">
        <v>509</v>
      </c>
      <c r="AF453" s="4" t="s">
        <v>589</v>
      </c>
      <c r="AG453" s="743">
        <v>0</v>
      </c>
      <c r="AI453" s="158"/>
    </row>
    <row r="454" spans="23:44">
      <c r="W454" s="4" t="s">
        <v>3405</v>
      </c>
      <c r="X454" s="4" t="s">
        <v>3364</v>
      </c>
      <c r="Y454" s="151" t="str">
        <f t="shared" si="40"/>
        <v>E5550</v>
      </c>
      <c r="Z454" s="4" t="s">
        <v>587</v>
      </c>
      <c r="AA454" s="114" t="s">
        <v>588</v>
      </c>
      <c r="AB454" s="4" t="s">
        <v>506</v>
      </c>
      <c r="AC454" s="4" t="s">
        <v>507</v>
      </c>
      <c r="AD454" s="4" t="s">
        <v>508</v>
      </c>
      <c r="AE454" s="4" t="s">
        <v>509</v>
      </c>
      <c r="AF454" s="4" t="s">
        <v>589</v>
      </c>
      <c r="AG454" s="743">
        <v>0</v>
      </c>
      <c r="AI454" s="158"/>
    </row>
    <row r="455" spans="23:44">
      <c r="W455" s="4" t="s">
        <v>3405</v>
      </c>
      <c r="X455" s="4" t="s">
        <v>3365</v>
      </c>
      <c r="Y455" s="151" t="str">
        <f t="shared" si="40"/>
        <v>E5550</v>
      </c>
      <c r="Z455" s="4" t="s">
        <v>587</v>
      </c>
      <c r="AA455" s="114" t="s">
        <v>588</v>
      </c>
      <c r="AB455" s="4" t="s">
        <v>506</v>
      </c>
      <c r="AC455" s="4" t="s">
        <v>507</v>
      </c>
      <c r="AD455" s="4" t="s">
        <v>508</v>
      </c>
      <c r="AE455" s="4" t="s">
        <v>509</v>
      </c>
      <c r="AF455" s="4" t="s">
        <v>589</v>
      </c>
      <c r="AG455" s="743">
        <v>0</v>
      </c>
      <c r="AI455" s="158"/>
    </row>
    <row r="456" spans="23:44">
      <c r="W456" s="4" t="s">
        <v>3405</v>
      </c>
      <c r="X456" s="4" t="s">
        <v>3366</v>
      </c>
      <c r="Y456" s="151" t="str">
        <f t="shared" si="40"/>
        <v>E5550</v>
      </c>
      <c r="Z456" s="4" t="s">
        <v>587</v>
      </c>
      <c r="AA456" s="114" t="s">
        <v>588</v>
      </c>
      <c r="AB456" s="4" t="s">
        <v>506</v>
      </c>
      <c r="AC456" s="4" t="s">
        <v>507</v>
      </c>
      <c r="AD456" s="4" t="s">
        <v>508</v>
      </c>
      <c r="AE456" s="4" t="s">
        <v>509</v>
      </c>
      <c r="AF456" s="4" t="s">
        <v>589</v>
      </c>
      <c r="AG456" s="743">
        <v>0</v>
      </c>
      <c r="AI456" s="158"/>
    </row>
    <row r="457" spans="23:44">
      <c r="W457" s="4" t="s">
        <v>3405</v>
      </c>
      <c r="X457" s="4" t="s">
        <v>3367</v>
      </c>
      <c r="Y457" s="151" t="str">
        <f t="shared" si="40"/>
        <v>E5550</v>
      </c>
      <c r="Z457" s="4" t="s">
        <v>587</v>
      </c>
      <c r="AA457" s="114" t="s">
        <v>588</v>
      </c>
      <c r="AB457" s="4" t="s">
        <v>506</v>
      </c>
      <c r="AC457" s="4" t="s">
        <v>507</v>
      </c>
      <c r="AD457" s="4" t="s">
        <v>508</v>
      </c>
      <c r="AE457" s="4" t="s">
        <v>509</v>
      </c>
      <c r="AF457" s="4" t="s">
        <v>589</v>
      </c>
      <c r="AG457" s="743">
        <v>0</v>
      </c>
      <c r="AI457" s="158"/>
    </row>
    <row r="458" spans="23:44">
      <c r="W458" s="4" t="s">
        <v>3405</v>
      </c>
      <c r="X458" s="3" t="s">
        <v>3356</v>
      </c>
      <c r="Y458" s="150" t="str">
        <f>INDEX($B$3:$O$110,58,1)</f>
        <v>E5560</v>
      </c>
      <c r="Z458" s="4" t="s">
        <v>587</v>
      </c>
      <c r="AA458" s="114" t="s">
        <v>588</v>
      </c>
      <c r="AB458" s="4" t="s">
        <v>506</v>
      </c>
      <c r="AC458" s="4" t="s">
        <v>507</v>
      </c>
      <c r="AD458" s="4" t="s">
        <v>508</v>
      </c>
      <c r="AE458" s="4" t="s">
        <v>509</v>
      </c>
      <c r="AF458" s="4" t="s">
        <v>589</v>
      </c>
      <c r="AG458" s="743">
        <v>0</v>
      </c>
      <c r="AH458" s="152"/>
      <c r="AI458" s="158"/>
      <c r="AJ458" s="152"/>
      <c r="AK458" s="152"/>
      <c r="AL458" s="152"/>
      <c r="AM458" s="152"/>
      <c r="AN458" s="152"/>
      <c r="AO458" s="152"/>
      <c r="AP458" s="152"/>
      <c r="AQ458" s="152"/>
      <c r="AR458" s="152"/>
    </row>
    <row r="459" spans="23:44">
      <c r="W459" s="4" t="s">
        <v>3405</v>
      </c>
      <c r="X459" s="4" t="s">
        <v>3357</v>
      </c>
      <c r="Y459" s="151" t="str">
        <f>Y458</f>
        <v>E5560</v>
      </c>
      <c r="Z459" s="4" t="s">
        <v>587</v>
      </c>
      <c r="AA459" s="114" t="s">
        <v>588</v>
      </c>
      <c r="AB459" s="4" t="s">
        <v>506</v>
      </c>
      <c r="AC459" s="4" t="s">
        <v>507</v>
      </c>
      <c r="AD459" s="4" t="s">
        <v>508</v>
      </c>
      <c r="AE459" s="4" t="s">
        <v>509</v>
      </c>
      <c r="AF459" s="4" t="s">
        <v>589</v>
      </c>
      <c r="AG459" s="743">
        <v>0</v>
      </c>
      <c r="AI459" s="158"/>
    </row>
    <row r="460" spans="23:44">
      <c r="W460" s="4" t="s">
        <v>3405</v>
      </c>
      <c r="X460" s="4" t="s">
        <v>3358</v>
      </c>
      <c r="Y460" s="151" t="str">
        <f t="shared" ref="Y460:Y469" si="41">Y459</f>
        <v>E5560</v>
      </c>
      <c r="Z460" s="4" t="s">
        <v>587</v>
      </c>
      <c r="AA460" s="114" t="s">
        <v>588</v>
      </c>
      <c r="AB460" s="4" t="s">
        <v>506</v>
      </c>
      <c r="AC460" s="4" t="s">
        <v>507</v>
      </c>
      <c r="AD460" s="4" t="s">
        <v>508</v>
      </c>
      <c r="AE460" s="4" t="s">
        <v>509</v>
      </c>
      <c r="AF460" s="4" t="s">
        <v>589</v>
      </c>
      <c r="AG460" s="743">
        <v>0</v>
      </c>
      <c r="AI460" s="158"/>
    </row>
    <row r="461" spans="23:44">
      <c r="W461" s="4" t="s">
        <v>3405</v>
      </c>
      <c r="X461" s="4" t="s">
        <v>3359</v>
      </c>
      <c r="Y461" s="151" t="str">
        <f t="shared" si="41"/>
        <v>E5560</v>
      </c>
      <c r="Z461" s="4" t="s">
        <v>587</v>
      </c>
      <c r="AA461" s="114" t="s">
        <v>588</v>
      </c>
      <c r="AB461" s="4" t="s">
        <v>506</v>
      </c>
      <c r="AC461" s="4" t="s">
        <v>507</v>
      </c>
      <c r="AD461" s="4" t="s">
        <v>508</v>
      </c>
      <c r="AE461" s="4" t="s">
        <v>509</v>
      </c>
      <c r="AF461" s="4" t="s">
        <v>589</v>
      </c>
      <c r="AG461" s="743">
        <v>0</v>
      </c>
      <c r="AI461" s="158"/>
    </row>
    <row r="462" spans="23:44">
      <c r="W462" s="4" t="s">
        <v>3405</v>
      </c>
      <c r="X462" s="4" t="s">
        <v>3360</v>
      </c>
      <c r="Y462" s="151" t="str">
        <f t="shared" si="41"/>
        <v>E5560</v>
      </c>
      <c r="Z462" s="4" t="s">
        <v>587</v>
      </c>
      <c r="AA462" s="114" t="s">
        <v>588</v>
      </c>
      <c r="AB462" s="4" t="s">
        <v>506</v>
      </c>
      <c r="AC462" s="4" t="s">
        <v>507</v>
      </c>
      <c r="AD462" s="4" t="s">
        <v>508</v>
      </c>
      <c r="AE462" s="4" t="s">
        <v>509</v>
      </c>
      <c r="AF462" s="4" t="s">
        <v>589</v>
      </c>
      <c r="AG462" s="743">
        <v>0</v>
      </c>
      <c r="AI462" s="158"/>
    </row>
    <row r="463" spans="23:44">
      <c r="W463" s="4" t="s">
        <v>3405</v>
      </c>
      <c r="X463" s="4" t="s">
        <v>3361</v>
      </c>
      <c r="Y463" s="151" t="str">
        <f t="shared" si="41"/>
        <v>E5560</v>
      </c>
      <c r="Z463" s="4" t="s">
        <v>587</v>
      </c>
      <c r="AA463" s="114" t="s">
        <v>588</v>
      </c>
      <c r="AB463" s="4" t="s">
        <v>506</v>
      </c>
      <c r="AC463" s="4" t="s">
        <v>507</v>
      </c>
      <c r="AD463" s="4" t="s">
        <v>508</v>
      </c>
      <c r="AE463" s="4" t="s">
        <v>509</v>
      </c>
      <c r="AF463" s="4" t="s">
        <v>589</v>
      </c>
      <c r="AG463" s="743">
        <v>0</v>
      </c>
      <c r="AI463" s="158"/>
    </row>
    <row r="464" spans="23:44">
      <c r="W464" s="4" t="s">
        <v>3405</v>
      </c>
      <c r="X464" s="4" t="s">
        <v>3362</v>
      </c>
      <c r="Y464" s="151" t="str">
        <f t="shared" si="41"/>
        <v>E5560</v>
      </c>
      <c r="Z464" s="4" t="s">
        <v>587</v>
      </c>
      <c r="AA464" s="114" t="s">
        <v>588</v>
      </c>
      <c r="AB464" s="4" t="s">
        <v>506</v>
      </c>
      <c r="AC464" s="4" t="s">
        <v>507</v>
      </c>
      <c r="AD464" s="4" t="s">
        <v>508</v>
      </c>
      <c r="AE464" s="4" t="s">
        <v>509</v>
      </c>
      <c r="AF464" s="4" t="s">
        <v>589</v>
      </c>
      <c r="AG464" s="743">
        <v>0</v>
      </c>
      <c r="AI464" s="158"/>
    </row>
    <row r="465" spans="23:35">
      <c r="W465" s="4" t="s">
        <v>3405</v>
      </c>
      <c r="X465" s="4" t="s">
        <v>3363</v>
      </c>
      <c r="Y465" s="151" t="str">
        <f t="shared" si="41"/>
        <v>E5560</v>
      </c>
      <c r="Z465" s="4" t="s">
        <v>587</v>
      </c>
      <c r="AA465" s="114" t="s">
        <v>588</v>
      </c>
      <c r="AB465" s="4" t="s">
        <v>506</v>
      </c>
      <c r="AC465" s="4" t="s">
        <v>507</v>
      </c>
      <c r="AD465" s="4" t="s">
        <v>508</v>
      </c>
      <c r="AE465" s="4" t="s">
        <v>509</v>
      </c>
      <c r="AF465" s="4" t="s">
        <v>589</v>
      </c>
      <c r="AG465" s="743">
        <v>0</v>
      </c>
      <c r="AI465" s="158"/>
    </row>
    <row r="466" spans="23:35">
      <c r="W466" s="4" t="s">
        <v>3405</v>
      </c>
      <c r="X466" s="4" t="s">
        <v>3364</v>
      </c>
      <c r="Y466" s="151" t="str">
        <f t="shared" si="41"/>
        <v>E5560</v>
      </c>
      <c r="Z466" s="4" t="s">
        <v>587</v>
      </c>
      <c r="AA466" s="114" t="s">
        <v>588</v>
      </c>
      <c r="AB466" s="4" t="s">
        <v>506</v>
      </c>
      <c r="AC466" s="4" t="s">
        <v>507</v>
      </c>
      <c r="AD466" s="4" t="s">
        <v>508</v>
      </c>
      <c r="AE466" s="4" t="s">
        <v>509</v>
      </c>
      <c r="AF466" s="4" t="s">
        <v>589</v>
      </c>
      <c r="AG466" s="743">
        <v>0</v>
      </c>
      <c r="AI466" s="158"/>
    </row>
    <row r="467" spans="23:35">
      <c r="W467" s="4" t="s">
        <v>3405</v>
      </c>
      <c r="X467" s="4" t="s">
        <v>3365</v>
      </c>
      <c r="Y467" s="151" t="str">
        <f t="shared" si="41"/>
        <v>E5560</v>
      </c>
      <c r="Z467" s="4" t="s">
        <v>587</v>
      </c>
      <c r="AA467" s="114" t="s">
        <v>588</v>
      </c>
      <c r="AB467" s="4" t="s">
        <v>506</v>
      </c>
      <c r="AC467" s="4" t="s">
        <v>507</v>
      </c>
      <c r="AD467" s="4" t="s">
        <v>508</v>
      </c>
      <c r="AE467" s="4" t="s">
        <v>509</v>
      </c>
      <c r="AF467" s="4" t="s">
        <v>589</v>
      </c>
      <c r="AG467" s="743">
        <v>0</v>
      </c>
      <c r="AI467" s="158"/>
    </row>
    <row r="468" spans="23:35">
      <c r="W468" s="4" t="s">
        <v>3405</v>
      </c>
      <c r="X468" s="4" t="s">
        <v>3366</v>
      </c>
      <c r="Y468" s="151" t="str">
        <f t="shared" si="41"/>
        <v>E5560</v>
      </c>
      <c r="Z468" s="4" t="s">
        <v>587</v>
      </c>
      <c r="AA468" s="114" t="s">
        <v>588</v>
      </c>
      <c r="AB468" s="4" t="s">
        <v>506</v>
      </c>
      <c r="AC468" s="4" t="s">
        <v>507</v>
      </c>
      <c r="AD468" s="4" t="s">
        <v>508</v>
      </c>
      <c r="AE468" s="4" t="s">
        <v>509</v>
      </c>
      <c r="AF468" s="4" t="s">
        <v>589</v>
      </c>
      <c r="AG468" s="743">
        <v>0</v>
      </c>
      <c r="AI468" s="158"/>
    </row>
    <row r="469" spans="23:35">
      <c r="W469" s="4" t="s">
        <v>3405</v>
      </c>
      <c r="X469" s="4" t="s">
        <v>3367</v>
      </c>
      <c r="Y469" s="151" t="str">
        <f t="shared" si="41"/>
        <v>E5560</v>
      </c>
      <c r="Z469" s="4" t="s">
        <v>587</v>
      </c>
      <c r="AA469" s="114" t="s">
        <v>588</v>
      </c>
      <c r="AB469" s="4" t="s">
        <v>506</v>
      </c>
      <c r="AC469" s="4" t="s">
        <v>507</v>
      </c>
      <c r="AD469" s="4" t="s">
        <v>508</v>
      </c>
      <c r="AE469" s="4" t="s">
        <v>509</v>
      </c>
      <c r="AF469" s="4" t="s">
        <v>589</v>
      </c>
      <c r="AG469" s="743">
        <v>0</v>
      </c>
      <c r="AI469" s="158"/>
    </row>
    <row r="470" spans="23:35">
      <c r="W470" s="4" t="s">
        <v>3405</v>
      </c>
      <c r="X470" s="3" t="s">
        <v>3356</v>
      </c>
      <c r="Y470" s="150" t="str">
        <f>INDEX($B$3:$O$110,60,1)</f>
        <v>E5570</v>
      </c>
      <c r="Z470" s="4" t="s">
        <v>587</v>
      </c>
      <c r="AA470" s="114" t="s">
        <v>588</v>
      </c>
      <c r="AB470" s="4" t="s">
        <v>506</v>
      </c>
      <c r="AC470" s="4" t="s">
        <v>507</v>
      </c>
      <c r="AD470" s="4" t="s">
        <v>508</v>
      </c>
      <c r="AE470" s="4" t="s">
        <v>509</v>
      </c>
      <c r="AF470" s="4" t="s">
        <v>589</v>
      </c>
      <c r="AG470" s="743">
        <v>0</v>
      </c>
      <c r="AI470" s="158"/>
    </row>
    <row r="471" spans="23:35">
      <c r="W471" s="4" t="s">
        <v>3405</v>
      </c>
      <c r="X471" s="4" t="s">
        <v>3357</v>
      </c>
      <c r="Y471" s="151" t="str">
        <f>Y470</f>
        <v>E5570</v>
      </c>
      <c r="Z471" s="4" t="s">
        <v>587</v>
      </c>
      <c r="AA471" s="114" t="s">
        <v>588</v>
      </c>
      <c r="AB471" s="4" t="s">
        <v>506</v>
      </c>
      <c r="AC471" s="4" t="s">
        <v>507</v>
      </c>
      <c r="AD471" s="4" t="s">
        <v>508</v>
      </c>
      <c r="AE471" s="4" t="s">
        <v>509</v>
      </c>
      <c r="AF471" s="4" t="s">
        <v>589</v>
      </c>
      <c r="AG471" s="743">
        <v>0</v>
      </c>
      <c r="AI471" s="158"/>
    </row>
    <row r="472" spans="23:35">
      <c r="W472" s="4" t="s">
        <v>3405</v>
      </c>
      <c r="X472" s="4" t="s">
        <v>3358</v>
      </c>
      <c r="Y472" s="151" t="str">
        <f t="shared" ref="Y472:Y481" si="42">Y471</f>
        <v>E5570</v>
      </c>
      <c r="Z472" s="4" t="s">
        <v>587</v>
      </c>
      <c r="AA472" s="114" t="s">
        <v>588</v>
      </c>
      <c r="AB472" s="4" t="s">
        <v>506</v>
      </c>
      <c r="AC472" s="4" t="s">
        <v>507</v>
      </c>
      <c r="AD472" s="4" t="s">
        <v>508</v>
      </c>
      <c r="AE472" s="4" t="s">
        <v>509</v>
      </c>
      <c r="AF472" s="4" t="s">
        <v>589</v>
      </c>
      <c r="AG472" s="743">
        <v>0</v>
      </c>
      <c r="AI472" s="158"/>
    </row>
    <row r="473" spans="23:35">
      <c r="W473" s="4" t="s">
        <v>3405</v>
      </c>
      <c r="X473" s="4" t="s">
        <v>3359</v>
      </c>
      <c r="Y473" s="151" t="str">
        <f t="shared" si="42"/>
        <v>E5570</v>
      </c>
      <c r="Z473" s="4" t="s">
        <v>587</v>
      </c>
      <c r="AA473" s="114" t="s">
        <v>588</v>
      </c>
      <c r="AB473" s="4" t="s">
        <v>506</v>
      </c>
      <c r="AC473" s="4" t="s">
        <v>507</v>
      </c>
      <c r="AD473" s="4" t="s">
        <v>508</v>
      </c>
      <c r="AE473" s="4" t="s">
        <v>509</v>
      </c>
      <c r="AF473" s="4" t="s">
        <v>589</v>
      </c>
      <c r="AG473" s="743">
        <v>0</v>
      </c>
      <c r="AI473" s="158"/>
    </row>
    <row r="474" spans="23:35">
      <c r="W474" s="4" t="s">
        <v>3405</v>
      </c>
      <c r="X474" s="4" t="s">
        <v>3360</v>
      </c>
      <c r="Y474" s="151" t="str">
        <f t="shared" si="42"/>
        <v>E5570</v>
      </c>
      <c r="Z474" s="4" t="s">
        <v>587</v>
      </c>
      <c r="AA474" s="114" t="s">
        <v>588</v>
      </c>
      <c r="AB474" s="4" t="s">
        <v>506</v>
      </c>
      <c r="AC474" s="4" t="s">
        <v>507</v>
      </c>
      <c r="AD474" s="4" t="s">
        <v>508</v>
      </c>
      <c r="AE474" s="4" t="s">
        <v>509</v>
      </c>
      <c r="AF474" s="4" t="s">
        <v>589</v>
      </c>
      <c r="AG474" s="743">
        <v>0</v>
      </c>
      <c r="AI474" s="158"/>
    </row>
    <row r="475" spans="23:35">
      <c r="W475" s="4" t="s">
        <v>3405</v>
      </c>
      <c r="X475" s="4" t="s">
        <v>3361</v>
      </c>
      <c r="Y475" s="151" t="str">
        <f t="shared" si="42"/>
        <v>E5570</v>
      </c>
      <c r="Z475" s="4" t="s">
        <v>587</v>
      </c>
      <c r="AA475" s="114" t="s">
        <v>588</v>
      </c>
      <c r="AB475" s="4" t="s">
        <v>506</v>
      </c>
      <c r="AC475" s="4" t="s">
        <v>507</v>
      </c>
      <c r="AD475" s="4" t="s">
        <v>508</v>
      </c>
      <c r="AE475" s="4" t="s">
        <v>509</v>
      </c>
      <c r="AF475" s="4" t="s">
        <v>589</v>
      </c>
      <c r="AG475" s="743">
        <v>0</v>
      </c>
      <c r="AI475" s="158"/>
    </row>
    <row r="476" spans="23:35">
      <c r="W476" s="4" t="s">
        <v>3405</v>
      </c>
      <c r="X476" s="4" t="s">
        <v>3362</v>
      </c>
      <c r="Y476" s="151" t="str">
        <f t="shared" si="42"/>
        <v>E5570</v>
      </c>
      <c r="Z476" s="4" t="s">
        <v>587</v>
      </c>
      <c r="AA476" s="114" t="s">
        <v>588</v>
      </c>
      <c r="AB476" s="4" t="s">
        <v>506</v>
      </c>
      <c r="AC476" s="4" t="s">
        <v>507</v>
      </c>
      <c r="AD476" s="4" t="s">
        <v>508</v>
      </c>
      <c r="AE476" s="4" t="s">
        <v>509</v>
      </c>
      <c r="AF476" s="4" t="s">
        <v>589</v>
      </c>
      <c r="AG476" s="743">
        <v>0</v>
      </c>
      <c r="AI476" s="158"/>
    </row>
    <row r="477" spans="23:35">
      <c r="W477" s="4" t="s">
        <v>3405</v>
      </c>
      <c r="X477" s="4" t="s">
        <v>3363</v>
      </c>
      <c r="Y477" s="151" t="str">
        <f t="shared" si="42"/>
        <v>E5570</v>
      </c>
      <c r="Z477" s="4" t="s">
        <v>587</v>
      </c>
      <c r="AA477" s="114" t="s">
        <v>588</v>
      </c>
      <c r="AB477" s="4" t="s">
        <v>506</v>
      </c>
      <c r="AC477" s="4" t="s">
        <v>507</v>
      </c>
      <c r="AD477" s="4" t="s">
        <v>508</v>
      </c>
      <c r="AE477" s="4" t="s">
        <v>509</v>
      </c>
      <c r="AF477" s="4" t="s">
        <v>589</v>
      </c>
      <c r="AG477" s="743">
        <v>0</v>
      </c>
      <c r="AI477" s="158"/>
    </row>
    <row r="478" spans="23:35">
      <c r="W478" s="4" t="s">
        <v>3405</v>
      </c>
      <c r="X478" s="4" t="s">
        <v>3364</v>
      </c>
      <c r="Y478" s="151" t="str">
        <f t="shared" si="42"/>
        <v>E5570</v>
      </c>
      <c r="Z478" s="4" t="s">
        <v>587</v>
      </c>
      <c r="AA478" s="114" t="s">
        <v>588</v>
      </c>
      <c r="AB478" s="4" t="s">
        <v>506</v>
      </c>
      <c r="AC478" s="4" t="s">
        <v>507</v>
      </c>
      <c r="AD478" s="4" t="s">
        <v>508</v>
      </c>
      <c r="AE478" s="4" t="s">
        <v>509</v>
      </c>
      <c r="AF478" s="4" t="s">
        <v>589</v>
      </c>
      <c r="AG478" s="743">
        <v>0</v>
      </c>
      <c r="AI478" s="158"/>
    </row>
    <row r="479" spans="23:35">
      <c r="W479" s="4" t="s">
        <v>3405</v>
      </c>
      <c r="X479" s="4" t="s">
        <v>3365</v>
      </c>
      <c r="Y479" s="151" t="str">
        <f t="shared" si="42"/>
        <v>E5570</v>
      </c>
      <c r="Z479" s="4" t="s">
        <v>587</v>
      </c>
      <c r="AA479" s="114" t="s">
        <v>588</v>
      </c>
      <c r="AB479" s="4" t="s">
        <v>506</v>
      </c>
      <c r="AC479" s="4" t="s">
        <v>507</v>
      </c>
      <c r="AD479" s="4" t="s">
        <v>508</v>
      </c>
      <c r="AE479" s="4" t="s">
        <v>509</v>
      </c>
      <c r="AF479" s="4" t="s">
        <v>589</v>
      </c>
      <c r="AG479" s="743">
        <v>0</v>
      </c>
      <c r="AI479" s="158"/>
    </row>
    <row r="480" spans="23:35">
      <c r="W480" s="4" t="s">
        <v>3405</v>
      </c>
      <c r="X480" s="4" t="s">
        <v>3366</v>
      </c>
      <c r="Y480" s="151" t="str">
        <f t="shared" si="42"/>
        <v>E5570</v>
      </c>
      <c r="Z480" s="4" t="s">
        <v>587</v>
      </c>
      <c r="AA480" s="114" t="s">
        <v>588</v>
      </c>
      <c r="AB480" s="4" t="s">
        <v>506</v>
      </c>
      <c r="AC480" s="4" t="s">
        <v>507</v>
      </c>
      <c r="AD480" s="4" t="s">
        <v>508</v>
      </c>
      <c r="AE480" s="4" t="s">
        <v>509</v>
      </c>
      <c r="AF480" s="4" t="s">
        <v>589</v>
      </c>
      <c r="AG480" s="743">
        <v>0</v>
      </c>
      <c r="AI480" s="158"/>
    </row>
    <row r="481" spans="23:35">
      <c r="W481" s="4" t="s">
        <v>3405</v>
      </c>
      <c r="X481" s="4" t="s">
        <v>3367</v>
      </c>
      <c r="Y481" s="151" t="str">
        <f t="shared" si="42"/>
        <v>E5570</v>
      </c>
      <c r="Z481" s="4" t="s">
        <v>587</v>
      </c>
      <c r="AA481" s="114" t="s">
        <v>588</v>
      </c>
      <c r="AB481" s="4" t="s">
        <v>506</v>
      </c>
      <c r="AC481" s="4" t="s">
        <v>507</v>
      </c>
      <c r="AD481" s="4" t="s">
        <v>508</v>
      </c>
      <c r="AE481" s="4" t="s">
        <v>509</v>
      </c>
      <c r="AF481" s="4" t="s">
        <v>589</v>
      </c>
      <c r="AG481" s="743">
        <v>0</v>
      </c>
      <c r="AI481" s="158"/>
    </row>
    <row r="482" spans="23:35">
      <c r="W482" s="4" t="s">
        <v>3405</v>
      </c>
      <c r="X482" s="3" t="s">
        <v>3356</v>
      </c>
      <c r="Y482" s="150" t="str">
        <f>INDEX($B$3:$O$110,61,1)</f>
        <v>E5590</v>
      </c>
      <c r="Z482" s="4" t="s">
        <v>587</v>
      </c>
      <c r="AA482" s="114" t="s">
        <v>588</v>
      </c>
      <c r="AB482" s="4" t="s">
        <v>506</v>
      </c>
      <c r="AC482" s="4" t="s">
        <v>507</v>
      </c>
      <c r="AD482" s="4" t="s">
        <v>508</v>
      </c>
      <c r="AE482" s="4" t="s">
        <v>509</v>
      </c>
      <c r="AF482" s="4" t="s">
        <v>589</v>
      </c>
      <c r="AG482" s="115">
        <f>+VLOOKUP(Y482,B:O,3,FALSE)/1000</f>
        <v>-4.0642300000000063E-3</v>
      </c>
      <c r="AI482" s="158"/>
    </row>
    <row r="483" spans="23:35">
      <c r="W483" s="4" t="s">
        <v>3405</v>
      </c>
      <c r="X483" s="4" t="s">
        <v>3357</v>
      </c>
      <c r="Y483" s="151" t="str">
        <f>Y482</f>
        <v>E5590</v>
      </c>
      <c r="Z483" s="4" t="s">
        <v>587</v>
      </c>
      <c r="AA483" s="114" t="s">
        <v>588</v>
      </c>
      <c r="AB483" s="4" t="s">
        <v>506</v>
      </c>
      <c r="AC483" s="4" t="s">
        <v>507</v>
      </c>
      <c r="AD483" s="4" t="s">
        <v>508</v>
      </c>
      <c r="AE483" s="4" t="s">
        <v>509</v>
      </c>
      <c r="AF483" s="4" t="s">
        <v>589</v>
      </c>
      <c r="AG483" s="115">
        <f>+VLOOKUP(Y483,B:O,4,FALSE)/1000</f>
        <v>-5.034230000000005E-3</v>
      </c>
      <c r="AI483" s="158"/>
    </row>
    <row r="484" spans="23:35">
      <c r="W484" s="4" t="s">
        <v>3405</v>
      </c>
      <c r="X484" s="4" t="s">
        <v>3358</v>
      </c>
      <c r="Y484" s="151" t="str">
        <f t="shared" ref="Y484:Y493" si="43">Y483</f>
        <v>E5590</v>
      </c>
      <c r="Z484" s="4" t="s">
        <v>587</v>
      </c>
      <c r="AA484" s="114" t="s">
        <v>588</v>
      </c>
      <c r="AB484" s="4" t="s">
        <v>506</v>
      </c>
      <c r="AC484" s="4" t="s">
        <v>507</v>
      </c>
      <c r="AD484" s="4" t="s">
        <v>508</v>
      </c>
      <c r="AE484" s="4" t="s">
        <v>509</v>
      </c>
      <c r="AF484" s="4" t="s">
        <v>589</v>
      </c>
      <c r="AG484" s="115">
        <f>+VLOOKUP(Y484,B:O,5,FALSE)/1000</f>
        <v>7.1857699999999932E-3</v>
      </c>
      <c r="AI484" s="158"/>
    </row>
    <row r="485" spans="23:35">
      <c r="W485" s="4" t="s">
        <v>3405</v>
      </c>
      <c r="X485" s="4" t="s">
        <v>3359</v>
      </c>
      <c r="Y485" s="151" t="str">
        <f t="shared" si="43"/>
        <v>E5590</v>
      </c>
      <c r="Z485" s="4" t="s">
        <v>587</v>
      </c>
      <c r="AA485" s="114" t="s">
        <v>588</v>
      </c>
      <c r="AB485" s="4" t="s">
        <v>506</v>
      </c>
      <c r="AC485" s="4" t="s">
        <v>507</v>
      </c>
      <c r="AD485" s="4" t="s">
        <v>508</v>
      </c>
      <c r="AE485" s="4" t="s">
        <v>509</v>
      </c>
      <c r="AF485" s="4" t="s">
        <v>589</v>
      </c>
      <c r="AG485" s="115">
        <f>+VLOOKUP(Y485,B:O,6,FALSE)/1000</f>
        <v>2.1575770000000001E-2</v>
      </c>
      <c r="AI485" s="158"/>
    </row>
    <row r="486" spans="23:35">
      <c r="W486" s="4" t="s">
        <v>3405</v>
      </c>
      <c r="X486" s="4" t="s">
        <v>3360</v>
      </c>
      <c r="Y486" s="151" t="str">
        <f t="shared" si="43"/>
        <v>E5590</v>
      </c>
      <c r="Z486" s="4" t="s">
        <v>587</v>
      </c>
      <c r="AA486" s="114" t="s">
        <v>588</v>
      </c>
      <c r="AB486" s="4" t="s">
        <v>506</v>
      </c>
      <c r="AC486" s="4" t="s">
        <v>507</v>
      </c>
      <c r="AD486" s="4" t="s">
        <v>508</v>
      </c>
      <c r="AE486" s="4" t="s">
        <v>509</v>
      </c>
      <c r="AF486" s="4" t="s">
        <v>589</v>
      </c>
      <c r="AG486" s="115">
        <f>+VLOOKUP(Y486,B:O,7,FALSE)/1000</f>
        <v>3.0895770000000003E-2</v>
      </c>
      <c r="AI486" s="158"/>
    </row>
    <row r="487" spans="23:35">
      <c r="W487" s="4" t="s">
        <v>3405</v>
      </c>
      <c r="X487" s="4" t="s">
        <v>3361</v>
      </c>
      <c r="Y487" s="151" t="str">
        <f t="shared" si="43"/>
        <v>E5590</v>
      </c>
      <c r="Z487" s="4" t="s">
        <v>587</v>
      </c>
      <c r="AA487" s="114" t="s">
        <v>588</v>
      </c>
      <c r="AB487" s="4" t="s">
        <v>506</v>
      </c>
      <c r="AC487" s="4" t="s">
        <v>507</v>
      </c>
      <c r="AD487" s="4" t="s">
        <v>508</v>
      </c>
      <c r="AE487" s="4" t="s">
        <v>509</v>
      </c>
      <c r="AF487" s="4" t="s">
        <v>589</v>
      </c>
      <c r="AG487" s="115">
        <f>+VLOOKUP(Y487,B:O,8,FALSE)/1000</f>
        <v>2.5745769999999998E-2</v>
      </c>
      <c r="AI487" s="158"/>
    </row>
    <row r="488" spans="23:35">
      <c r="W488" s="4" t="s">
        <v>3405</v>
      </c>
      <c r="X488" s="4" t="s">
        <v>3362</v>
      </c>
      <c r="Y488" s="151" t="str">
        <f t="shared" si="43"/>
        <v>E5590</v>
      </c>
      <c r="Z488" s="4" t="s">
        <v>587</v>
      </c>
      <c r="AA488" s="114" t="s">
        <v>588</v>
      </c>
      <c r="AB488" s="4" t="s">
        <v>506</v>
      </c>
      <c r="AC488" s="4" t="s">
        <v>507</v>
      </c>
      <c r="AD488" s="4" t="s">
        <v>508</v>
      </c>
      <c r="AE488" s="4" t="s">
        <v>509</v>
      </c>
      <c r="AF488" s="4" t="s">
        <v>589</v>
      </c>
      <c r="AG488" s="115">
        <f>+VLOOKUP(Y488,B:O,9,FALSE)/1000</f>
        <v>2.3685770000000002E-2</v>
      </c>
      <c r="AI488" s="158"/>
    </row>
    <row r="489" spans="23:35">
      <c r="W489" s="4" t="s">
        <v>3405</v>
      </c>
      <c r="X489" s="4" t="s">
        <v>3363</v>
      </c>
      <c r="Y489" s="151" t="str">
        <f t="shared" si="43"/>
        <v>E5590</v>
      </c>
      <c r="Z489" s="4" t="s">
        <v>587</v>
      </c>
      <c r="AA489" s="114" t="s">
        <v>588</v>
      </c>
      <c r="AB489" s="4" t="s">
        <v>506</v>
      </c>
      <c r="AC489" s="4" t="s">
        <v>507</v>
      </c>
      <c r="AD489" s="4" t="s">
        <v>508</v>
      </c>
      <c r="AE489" s="4" t="s">
        <v>509</v>
      </c>
      <c r="AF489" s="4" t="s">
        <v>589</v>
      </c>
      <c r="AG489" s="115">
        <f>+VLOOKUP(Y489,B:O,10,FALSE)/1000</f>
        <v>2.7405769999999999E-2</v>
      </c>
      <c r="AI489" s="158"/>
    </row>
    <row r="490" spans="23:35">
      <c r="W490" s="4" t="s">
        <v>3405</v>
      </c>
      <c r="X490" s="4" t="s">
        <v>3364</v>
      </c>
      <c r="Y490" s="151" t="str">
        <f t="shared" si="43"/>
        <v>E5590</v>
      </c>
      <c r="Z490" s="4" t="s">
        <v>587</v>
      </c>
      <c r="AA490" s="114" t="s">
        <v>588</v>
      </c>
      <c r="AB490" s="4" t="s">
        <v>506</v>
      </c>
      <c r="AC490" s="4" t="s">
        <v>507</v>
      </c>
      <c r="AD490" s="4" t="s">
        <v>508</v>
      </c>
      <c r="AE490" s="4" t="s">
        <v>509</v>
      </c>
      <c r="AF490" s="4" t="s">
        <v>589</v>
      </c>
      <c r="AG490" s="115">
        <f>+VLOOKUP(Y490,B:O,11,FALSE)/1000</f>
        <v>2.9525769999999996E-2</v>
      </c>
      <c r="AI490" s="158"/>
    </row>
    <row r="491" spans="23:35">
      <c r="W491" s="4" t="s">
        <v>3405</v>
      </c>
      <c r="X491" s="4" t="s">
        <v>3365</v>
      </c>
      <c r="Y491" s="151" t="str">
        <f t="shared" si="43"/>
        <v>E5590</v>
      </c>
      <c r="Z491" s="4" t="s">
        <v>587</v>
      </c>
      <c r="AA491" s="114" t="s">
        <v>588</v>
      </c>
      <c r="AB491" s="4" t="s">
        <v>506</v>
      </c>
      <c r="AC491" s="4" t="s">
        <v>507</v>
      </c>
      <c r="AD491" s="4" t="s">
        <v>508</v>
      </c>
      <c r="AE491" s="4" t="s">
        <v>509</v>
      </c>
      <c r="AF491" s="4" t="s">
        <v>589</v>
      </c>
      <c r="AG491" s="115">
        <f>+VLOOKUP(Y491,B:O,12,FALSE)/1000</f>
        <v>3.0325770000000002E-2</v>
      </c>
      <c r="AI491" s="158"/>
    </row>
    <row r="492" spans="23:35">
      <c r="W492" s="4" t="s">
        <v>3405</v>
      </c>
      <c r="X492" s="4" t="s">
        <v>3366</v>
      </c>
      <c r="Y492" s="151" t="str">
        <f t="shared" si="43"/>
        <v>E5590</v>
      </c>
      <c r="Z492" s="4" t="s">
        <v>587</v>
      </c>
      <c r="AA492" s="114" t="s">
        <v>588</v>
      </c>
      <c r="AB492" s="4" t="s">
        <v>506</v>
      </c>
      <c r="AC492" s="4" t="s">
        <v>507</v>
      </c>
      <c r="AD492" s="4" t="s">
        <v>508</v>
      </c>
      <c r="AE492" s="4" t="s">
        <v>509</v>
      </c>
      <c r="AF492" s="4" t="s">
        <v>589</v>
      </c>
      <c r="AG492" s="115">
        <f>+VLOOKUP(Y492,B:O,13,FALSE)/1000</f>
        <v>-5.9999999999999975E-3</v>
      </c>
      <c r="AI492" s="158"/>
    </row>
    <row r="493" spans="23:35">
      <c r="W493" s="4" t="s">
        <v>3405</v>
      </c>
      <c r="X493" s="4" t="s">
        <v>3367</v>
      </c>
      <c r="Y493" s="151" t="str">
        <f t="shared" si="43"/>
        <v>E5590</v>
      </c>
      <c r="Z493" s="4" t="s">
        <v>587</v>
      </c>
      <c r="AA493" s="114" t="s">
        <v>588</v>
      </c>
      <c r="AB493" s="4" t="s">
        <v>506</v>
      </c>
      <c r="AC493" s="4" t="s">
        <v>507</v>
      </c>
      <c r="AD493" s="4" t="s">
        <v>508</v>
      </c>
      <c r="AE493" s="4" t="s">
        <v>509</v>
      </c>
      <c r="AF493" s="4" t="s">
        <v>589</v>
      </c>
      <c r="AG493" s="115">
        <f>+VLOOKUP(Y493,B:O,14,FALSE)/1000</f>
        <v>-3.3540000000000007E-2</v>
      </c>
      <c r="AI493" s="158"/>
    </row>
    <row r="494" spans="23:35">
      <c r="W494" s="4" t="s">
        <v>3405</v>
      </c>
      <c r="X494" s="3" t="s">
        <v>3356</v>
      </c>
      <c r="Y494" s="150" t="str">
        <f>INDEX($B$3:$O$110,62,1)</f>
        <v>E5600</v>
      </c>
      <c r="Z494" s="4" t="s">
        <v>587</v>
      </c>
      <c r="AA494" s="114" t="s">
        <v>588</v>
      </c>
      <c r="AB494" s="4" t="s">
        <v>506</v>
      </c>
      <c r="AC494" s="4" t="s">
        <v>507</v>
      </c>
      <c r="AD494" s="4" t="s">
        <v>508</v>
      </c>
      <c r="AE494" s="4" t="s">
        <v>509</v>
      </c>
      <c r="AF494" s="4" t="s">
        <v>589</v>
      </c>
      <c r="AG494" s="743">
        <v>0</v>
      </c>
      <c r="AI494" s="158"/>
    </row>
    <row r="495" spans="23:35">
      <c r="W495" s="4" t="s">
        <v>3405</v>
      </c>
      <c r="X495" s="4" t="s">
        <v>3357</v>
      </c>
      <c r="Y495" s="151" t="str">
        <f>Y494</f>
        <v>E5600</v>
      </c>
      <c r="Z495" s="4" t="s">
        <v>587</v>
      </c>
      <c r="AA495" s="114" t="s">
        <v>588</v>
      </c>
      <c r="AB495" s="4" t="s">
        <v>506</v>
      </c>
      <c r="AC495" s="4" t="s">
        <v>507</v>
      </c>
      <c r="AD495" s="4" t="s">
        <v>508</v>
      </c>
      <c r="AE495" s="4" t="s">
        <v>509</v>
      </c>
      <c r="AF495" s="4" t="s">
        <v>589</v>
      </c>
      <c r="AG495" s="743">
        <v>0</v>
      </c>
      <c r="AI495" s="158"/>
    </row>
    <row r="496" spans="23:35">
      <c r="W496" s="4" t="s">
        <v>3405</v>
      </c>
      <c r="X496" s="4" t="s">
        <v>3358</v>
      </c>
      <c r="Y496" s="151" t="str">
        <f t="shared" ref="Y496:Y505" si="44">Y495</f>
        <v>E5600</v>
      </c>
      <c r="Z496" s="4" t="s">
        <v>587</v>
      </c>
      <c r="AA496" s="114" t="s">
        <v>588</v>
      </c>
      <c r="AB496" s="4" t="s">
        <v>506</v>
      </c>
      <c r="AC496" s="4" t="s">
        <v>507</v>
      </c>
      <c r="AD496" s="4" t="s">
        <v>508</v>
      </c>
      <c r="AE496" s="4" t="s">
        <v>509</v>
      </c>
      <c r="AF496" s="4" t="s">
        <v>589</v>
      </c>
      <c r="AG496" s="743">
        <v>0</v>
      </c>
      <c r="AI496" s="158"/>
    </row>
    <row r="497" spans="23:35">
      <c r="W497" s="4" t="s">
        <v>3405</v>
      </c>
      <c r="X497" s="4" t="s">
        <v>3359</v>
      </c>
      <c r="Y497" s="151" t="str">
        <f t="shared" si="44"/>
        <v>E5600</v>
      </c>
      <c r="Z497" s="4" t="s">
        <v>587</v>
      </c>
      <c r="AA497" s="114" t="s">
        <v>588</v>
      </c>
      <c r="AB497" s="4" t="s">
        <v>506</v>
      </c>
      <c r="AC497" s="4" t="s">
        <v>507</v>
      </c>
      <c r="AD497" s="4" t="s">
        <v>508</v>
      </c>
      <c r="AE497" s="4" t="s">
        <v>509</v>
      </c>
      <c r="AF497" s="4" t="s">
        <v>589</v>
      </c>
      <c r="AG497" s="743">
        <v>0</v>
      </c>
      <c r="AI497" s="158"/>
    </row>
    <row r="498" spans="23:35">
      <c r="W498" s="4" t="s">
        <v>3405</v>
      </c>
      <c r="X498" s="4" t="s">
        <v>3360</v>
      </c>
      <c r="Y498" s="151" t="str">
        <f t="shared" si="44"/>
        <v>E5600</v>
      </c>
      <c r="Z498" s="4" t="s">
        <v>587</v>
      </c>
      <c r="AA498" s="114" t="s">
        <v>588</v>
      </c>
      <c r="AB498" s="4" t="s">
        <v>506</v>
      </c>
      <c r="AC498" s="4" t="s">
        <v>507</v>
      </c>
      <c r="AD498" s="4" t="s">
        <v>508</v>
      </c>
      <c r="AE498" s="4" t="s">
        <v>509</v>
      </c>
      <c r="AF498" s="4" t="s">
        <v>589</v>
      </c>
      <c r="AG498" s="743">
        <v>0</v>
      </c>
      <c r="AI498" s="158"/>
    </row>
    <row r="499" spans="23:35">
      <c r="W499" s="4" t="s">
        <v>3405</v>
      </c>
      <c r="X499" s="4" t="s">
        <v>3361</v>
      </c>
      <c r="Y499" s="151" t="str">
        <f t="shared" si="44"/>
        <v>E5600</v>
      </c>
      <c r="Z499" s="4" t="s">
        <v>587</v>
      </c>
      <c r="AA499" s="114" t="s">
        <v>588</v>
      </c>
      <c r="AB499" s="4" t="s">
        <v>506</v>
      </c>
      <c r="AC499" s="4" t="s">
        <v>507</v>
      </c>
      <c r="AD499" s="4" t="s">
        <v>508</v>
      </c>
      <c r="AE499" s="4" t="s">
        <v>509</v>
      </c>
      <c r="AF499" s="4" t="s">
        <v>589</v>
      </c>
      <c r="AG499" s="743">
        <v>0</v>
      </c>
      <c r="AI499" s="158"/>
    </row>
    <row r="500" spans="23:35">
      <c r="W500" s="4" t="s">
        <v>3405</v>
      </c>
      <c r="X500" s="4" t="s">
        <v>3362</v>
      </c>
      <c r="Y500" s="151" t="str">
        <f t="shared" si="44"/>
        <v>E5600</v>
      </c>
      <c r="Z500" s="4" t="s">
        <v>587</v>
      </c>
      <c r="AA500" s="114" t="s">
        <v>588</v>
      </c>
      <c r="AB500" s="4" t="s">
        <v>506</v>
      </c>
      <c r="AC500" s="4" t="s">
        <v>507</v>
      </c>
      <c r="AD500" s="4" t="s">
        <v>508</v>
      </c>
      <c r="AE500" s="4" t="s">
        <v>509</v>
      </c>
      <c r="AF500" s="4" t="s">
        <v>589</v>
      </c>
      <c r="AG500" s="743">
        <v>0</v>
      </c>
      <c r="AI500" s="158"/>
    </row>
    <row r="501" spans="23:35">
      <c r="W501" s="4" t="s">
        <v>3405</v>
      </c>
      <c r="X501" s="4" t="s">
        <v>3363</v>
      </c>
      <c r="Y501" s="151" t="str">
        <f t="shared" si="44"/>
        <v>E5600</v>
      </c>
      <c r="Z501" s="4" t="s">
        <v>587</v>
      </c>
      <c r="AA501" s="114" t="s">
        <v>588</v>
      </c>
      <c r="AB501" s="4" t="s">
        <v>506</v>
      </c>
      <c r="AC501" s="4" t="s">
        <v>507</v>
      </c>
      <c r="AD501" s="4" t="s">
        <v>508</v>
      </c>
      <c r="AE501" s="4" t="s">
        <v>509</v>
      </c>
      <c r="AF501" s="4" t="s">
        <v>589</v>
      </c>
      <c r="AG501" s="743">
        <v>0</v>
      </c>
      <c r="AI501" s="158"/>
    </row>
    <row r="502" spans="23:35">
      <c r="W502" s="4" t="s">
        <v>3405</v>
      </c>
      <c r="X502" s="4" t="s">
        <v>3364</v>
      </c>
      <c r="Y502" s="151" t="str">
        <f t="shared" si="44"/>
        <v>E5600</v>
      </c>
      <c r="Z502" s="4" t="s">
        <v>587</v>
      </c>
      <c r="AA502" s="114" t="s">
        <v>588</v>
      </c>
      <c r="AB502" s="4" t="s">
        <v>506</v>
      </c>
      <c r="AC502" s="4" t="s">
        <v>507</v>
      </c>
      <c r="AD502" s="4" t="s">
        <v>508</v>
      </c>
      <c r="AE502" s="4" t="s">
        <v>509</v>
      </c>
      <c r="AF502" s="4" t="s">
        <v>589</v>
      </c>
      <c r="AG502" s="743">
        <v>0</v>
      </c>
      <c r="AI502" s="158"/>
    </row>
    <row r="503" spans="23:35">
      <c r="W503" s="4" t="s">
        <v>3405</v>
      </c>
      <c r="X503" s="4" t="s">
        <v>3365</v>
      </c>
      <c r="Y503" s="151" t="str">
        <f t="shared" si="44"/>
        <v>E5600</v>
      </c>
      <c r="Z503" s="4" t="s">
        <v>587</v>
      </c>
      <c r="AA503" s="114" t="s">
        <v>588</v>
      </c>
      <c r="AB503" s="4" t="s">
        <v>506</v>
      </c>
      <c r="AC503" s="4" t="s">
        <v>507</v>
      </c>
      <c r="AD503" s="4" t="s">
        <v>508</v>
      </c>
      <c r="AE503" s="4" t="s">
        <v>509</v>
      </c>
      <c r="AF503" s="4" t="s">
        <v>589</v>
      </c>
      <c r="AG503" s="743">
        <v>0</v>
      </c>
      <c r="AI503" s="158"/>
    </row>
    <row r="504" spans="23:35">
      <c r="W504" s="4" t="s">
        <v>3405</v>
      </c>
      <c r="X504" s="4" t="s">
        <v>3366</v>
      </c>
      <c r="Y504" s="151" t="str">
        <f t="shared" si="44"/>
        <v>E5600</v>
      </c>
      <c r="Z504" s="4" t="s">
        <v>587</v>
      </c>
      <c r="AA504" s="114" t="s">
        <v>588</v>
      </c>
      <c r="AB504" s="4" t="s">
        <v>506</v>
      </c>
      <c r="AC504" s="4" t="s">
        <v>507</v>
      </c>
      <c r="AD504" s="4" t="s">
        <v>508</v>
      </c>
      <c r="AE504" s="4" t="s">
        <v>509</v>
      </c>
      <c r="AF504" s="4" t="s">
        <v>589</v>
      </c>
      <c r="AG504" s="743">
        <v>0</v>
      </c>
      <c r="AI504" s="158"/>
    </row>
    <row r="505" spans="23:35">
      <c r="W505" s="4" t="s">
        <v>3405</v>
      </c>
      <c r="X505" s="4" t="s">
        <v>3367</v>
      </c>
      <c r="Y505" s="151" t="str">
        <f t="shared" si="44"/>
        <v>E5600</v>
      </c>
      <c r="Z505" s="4" t="s">
        <v>587</v>
      </c>
      <c r="AA505" s="114" t="s">
        <v>588</v>
      </c>
      <c r="AB505" s="4" t="s">
        <v>506</v>
      </c>
      <c r="AC505" s="4" t="s">
        <v>507</v>
      </c>
      <c r="AD505" s="4" t="s">
        <v>508</v>
      </c>
      <c r="AE505" s="4" t="s">
        <v>509</v>
      </c>
      <c r="AF505" s="4" t="s">
        <v>589</v>
      </c>
      <c r="AG505" s="743">
        <v>0</v>
      </c>
      <c r="AI505" s="158"/>
    </row>
    <row r="506" spans="23:35">
      <c r="W506" s="4" t="s">
        <v>3405</v>
      </c>
      <c r="X506" s="3" t="s">
        <v>3356</v>
      </c>
      <c r="Y506" s="150" t="str">
        <f>INDEX($B$3:$O$110,63,1)</f>
        <v>E5620</v>
      </c>
      <c r="Z506" s="4" t="s">
        <v>587</v>
      </c>
      <c r="AA506" s="114" t="s">
        <v>588</v>
      </c>
      <c r="AB506" s="4" t="s">
        <v>506</v>
      </c>
      <c r="AC506" s="4" t="s">
        <v>507</v>
      </c>
      <c r="AD506" s="4" t="s">
        <v>508</v>
      </c>
      <c r="AE506" s="4" t="s">
        <v>509</v>
      </c>
      <c r="AF506" s="4" t="s">
        <v>589</v>
      </c>
      <c r="AG506" s="743">
        <v>0</v>
      </c>
      <c r="AI506" s="158"/>
    </row>
    <row r="507" spans="23:35">
      <c r="W507" s="4" t="s">
        <v>3405</v>
      </c>
      <c r="X507" s="4" t="s">
        <v>3357</v>
      </c>
      <c r="Y507" s="151" t="str">
        <f>Y506</f>
        <v>E5620</v>
      </c>
      <c r="Z507" s="4" t="s">
        <v>587</v>
      </c>
      <c r="AA507" s="114" t="s">
        <v>588</v>
      </c>
      <c r="AB507" s="4" t="s">
        <v>506</v>
      </c>
      <c r="AC507" s="4" t="s">
        <v>507</v>
      </c>
      <c r="AD507" s="4" t="s">
        <v>508</v>
      </c>
      <c r="AE507" s="4" t="s">
        <v>509</v>
      </c>
      <c r="AF507" s="4" t="s">
        <v>589</v>
      </c>
      <c r="AG507" s="743">
        <v>0</v>
      </c>
      <c r="AI507" s="158"/>
    </row>
    <row r="508" spans="23:35">
      <c r="W508" s="4" t="s">
        <v>3405</v>
      </c>
      <c r="X508" s="4" t="s">
        <v>3358</v>
      </c>
      <c r="Y508" s="151" t="str">
        <f t="shared" ref="Y508:Y517" si="45">Y507</f>
        <v>E5620</v>
      </c>
      <c r="Z508" s="4" t="s">
        <v>587</v>
      </c>
      <c r="AA508" s="114" t="s">
        <v>588</v>
      </c>
      <c r="AB508" s="4" t="s">
        <v>506</v>
      </c>
      <c r="AC508" s="4" t="s">
        <v>507</v>
      </c>
      <c r="AD508" s="4" t="s">
        <v>508</v>
      </c>
      <c r="AE508" s="4" t="s">
        <v>509</v>
      </c>
      <c r="AF508" s="4" t="s">
        <v>589</v>
      </c>
      <c r="AG508" s="743">
        <v>0</v>
      </c>
      <c r="AI508" s="158"/>
    </row>
    <row r="509" spans="23:35">
      <c r="W509" s="4" t="s">
        <v>3405</v>
      </c>
      <c r="X509" s="4" t="s">
        <v>3359</v>
      </c>
      <c r="Y509" s="151" t="str">
        <f t="shared" si="45"/>
        <v>E5620</v>
      </c>
      <c r="Z509" s="4" t="s">
        <v>587</v>
      </c>
      <c r="AA509" s="114" t="s">
        <v>588</v>
      </c>
      <c r="AB509" s="4" t="s">
        <v>506</v>
      </c>
      <c r="AC509" s="4" t="s">
        <v>507</v>
      </c>
      <c r="AD509" s="4" t="s">
        <v>508</v>
      </c>
      <c r="AE509" s="4" t="s">
        <v>509</v>
      </c>
      <c r="AF509" s="4" t="s">
        <v>589</v>
      </c>
      <c r="AG509" s="743">
        <v>0</v>
      </c>
      <c r="AI509" s="158"/>
    </row>
    <row r="510" spans="23:35">
      <c r="W510" s="4" t="s">
        <v>3405</v>
      </c>
      <c r="X510" s="4" t="s">
        <v>3360</v>
      </c>
      <c r="Y510" s="151" t="str">
        <f t="shared" si="45"/>
        <v>E5620</v>
      </c>
      <c r="Z510" s="4" t="s">
        <v>587</v>
      </c>
      <c r="AA510" s="114" t="s">
        <v>588</v>
      </c>
      <c r="AB510" s="4" t="s">
        <v>506</v>
      </c>
      <c r="AC510" s="4" t="s">
        <v>507</v>
      </c>
      <c r="AD510" s="4" t="s">
        <v>508</v>
      </c>
      <c r="AE510" s="4" t="s">
        <v>509</v>
      </c>
      <c r="AF510" s="4" t="s">
        <v>589</v>
      </c>
      <c r="AG510" s="743">
        <v>0</v>
      </c>
      <c r="AI510" s="158"/>
    </row>
    <row r="511" spans="23:35">
      <c r="W511" s="4" t="s">
        <v>3405</v>
      </c>
      <c r="X511" s="4" t="s">
        <v>3361</v>
      </c>
      <c r="Y511" s="151" t="str">
        <f t="shared" si="45"/>
        <v>E5620</v>
      </c>
      <c r="Z511" s="4" t="s">
        <v>587</v>
      </c>
      <c r="AA511" s="114" t="s">
        <v>588</v>
      </c>
      <c r="AB511" s="4" t="s">
        <v>506</v>
      </c>
      <c r="AC511" s="4" t="s">
        <v>507</v>
      </c>
      <c r="AD511" s="4" t="s">
        <v>508</v>
      </c>
      <c r="AE511" s="4" t="s">
        <v>509</v>
      </c>
      <c r="AF511" s="4" t="s">
        <v>589</v>
      </c>
      <c r="AG511" s="743">
        <v>0</v>
      </c>
      <c r="AI511" s="158"/>
    </row>
    <row r="512" spans="23:35">
      <c r="W512" s="4" t="s">
        <v>3405</v>
      </c>
      <c r="X512" s="4" t="s">
        <v>3362</v>
      </c>
      <c r="Y512" s="151" t="str">
        <f t="shared" si="45"/>
        <v>E5620</v>
      </c>
      <c r="Z512" s="4" t="s">
        <v>587</v>
      </c>
      <c r="AA512" s="114" t="s">
        <v>588</v>
      </c>
      <c r="AB512" s="4" t="s">
        <v>506</v>
      </c>
      <c r="AC512" s="4" t="s">
        <v>507</v>
      </c>
      <c r="AD512" s="4" t="s">
        <v>508</v>
      </c>
      <c r="AE512" s="4" t="s">
        <v>509</v>
      </c>
      <c r="AF512" s="4" t="s">
        <v>589</v>
      </c>
      <c r="AG512" s="743">
        <v>0</v>
      </c>
      <c r="AI512" s="158"/>
    </row>
    <row r="513" spans="23:35">
      <c r="W513" s="4" t="s">
        <v>3405</v>
      </c>
      <c r="X513" s="4" t="s">
        <v>3363</v>
      </c>
      <c r="Y513" s="151" t="str">
        <f t="shared" si="45"/>
        <v>E5620</v>
      </c>
      <c r="Z513" s="4" t="s">
        <v>587</v>
      </c>
      <c r="AA513" s="114" t="s">
        <v>588</v>
      </c>
      <c r="AB513" s="4" t="s">
        <v>506</v>
      </c>
      <c r="AC513" s="4" t="s">
        <v>507</v>
      </c>
      <c r="AD513" s="4" t="s">
        <v>508</v>
      </c>
      <c r="AE513" s="4" t="s">
        <v>509</v>
      </c>
      <c r="AF513" s="4" t="s">
        <v>589</v>
      </c>
      <c r="AG513" s="743">
        <v>0</v>
      </c>
      <c r="AI513" s="158"/>
    </row>
    <row r="514" spans="23:35">
      <c r="W514" s="4" t="s">
        <v>3405</v>
      </c>
      <c r="X514" s="4" t="s">
        <v>3364</v>
      </c>
      <c r="Y514" s="151" t="str">
        <f t="shared" si="45"/>
        <v>E5620</v>
      </c>
      <c r="Z514" s="4" t="s">
        <v>587</v>
      </c>
      <c r="AA514" s="114" t="s">
        <v>588</v>
      </c>
      <c r="AB514" s="4" t="s">
        <v>506</v>
      </c>
      <c r="AC514" s="4" t="s">
        <v>507</v>
      </c>
      <c r="AD514" s="4" t="s">
        <v>508</v>
      </c>
      <c r="AE514" s="4" t="s">
        <v>509</v>
      </c>
      <c r="AF514" s="4" t="s">
        <v>589</v>
      </c>
      <c r="AG514" s="743">
        <v>0</v>
      </c>
      <c r="AI514" s="158"/>
    </row>
    <row r="515" spans="23:35">
      <c r="W515" s="4" t="s">
        <v>3405</v>
      </c>
      <c r="X515" s="4" t="s">
        <v>3365</v>
      </c>
      <c r="Y515" s="151" t="str">
        <f t="shared" si="45"/>
        <v>E5620</v>
      </c>
      <c r="Z515" s="4" t="s">
        <v>587</v>
      </c>
      <c r="AA515" s="114" t="s">
        <v>588</v>
      </c>
      <c r="AB515" s="4" t="s">
        <v>506</v>
      </c>
      <c r="AC515" s="4" t="s">
        <v>507</v>
      </c>
      <c r="AD515" s="4" t="s">
        <v>508</v>
      </c>
      <c r="AE515" s="4" t="s">
        <v>509</v>
      </c>
      <c r="AF515" s="4" t="s">
        <v>589</v>
      </c>
      <c r="AG515" s="743">
        <v>0</v>
      </c>
      <c r="AI515" s="158"/>
    </row>
    <row r="516" spans="23:35">
      <c r="W516" s="4" t="s">
        <v>3405</v>
      </c>
      <c r="X516" s="4" t="s">
        <v>3366</v>
      </c>
      <c r="Y516" s="151" t="str">
        <f t="shared" si="45"/>
        <v>E5620</v>
      </c>
      <c r="Z516" s="4" t="s">
        <v>587</v>
      </c>
      <c r="AA516" s="114" t="s">
        <v>588</v>
      </c>
      <c r="AB516" s="4" t="s">
        <v>506</v>
      </c>
      <c r="AC516" s="4" t="s">
        <v>507</v>
      </c>
      <c r="AD516" s="4" t="s">
        <v>508</v>
      </c>
      <c r="AE516" s="4" t="s">
        <v>509</v>
      </c>
      <c r="AF516" s="4" t="s">
        <v>589</v>
      </c>
      <c r="AG516" s="743">
        <v>0</v>
      </c>
      <c r="AI516" s="158"/>
    </row>
    <row r="517" spans="23:35">
      <c r="W517" s="4" t="s">
        <v>3405</v>
      </c>
      <c r="X517" s="4" t="s">
        <v>3367</v>
      </c>
      <c r="Y517" s="151" t="str">
        <f t="shared" si="45"/>
        <v>E5620</v>
      </c>
      <c r="Z517" s="4" t="s">
        <v>587</v>
      </c>
      <c r="AA517" s="114" t="s">
        <v>588</v>
      </c>
      <c r="AB517" s="4" t="s">
        <v>506</v>
      </c>
      <c r="AC517" s="4" t="s">
        <v>507</v>
      </c>
      <c r="AD517" s="4" t="s">
        <v>508</v>
      </c>
      <c r="AE517" s="4" t="s">
        <v>509</v>
      </c>
      <c r="AF517" s="4" t="s">
        <v>589</v>
      </c>
      <c r="AG517" s="743">
        <v>0</v>
      </c>
      <c r="AI517" s="158"/>
    </row>
    <row r="518" spans="23:35">
      <c r="W518" s="4" t="s">
        <v>3405</v>
      </c>
      <c r="X518" s="3" t="s">
        <v>3356</v>
      </c>
      <c r="Y518" s="150" t="str">
        <f>INDEX($B$3:$O$110,65,1)</f>
        <v>E5630</v>
      </c>
      <c r="Z518" s="4" t="s">
        <v>587</v>
      </c>
      <c r="AA518" s="114" t="s">
        <v>588</v>
      </c>
      <c r="AB518" s="4" t="s">
        <v>506</v>
      </c>
      <c r="AC518" s="4" t="s">
        <v>507</v>
      </c>
      <c r="AD518" s="4" t="s">
        <v>508</v>
      </c>
      <c r="AE518" s="4" t="s">
        <v>509</v>
      </c>
      <c r="AF518" s="4" t="s">
        <v>589</v>
      </c>
      <c r="AG518" s="743">
        <v>0</v>
      </c>
      <c r="AI518" s="158"/>
    </row>
    <row r="519" spans="23:35">
      <c r="W519" s="4" t="s">
        <v>3405</v>
      </c>
      <c r="X519" s="4" t="s">
        <v>3357</v>
      </c>
      <c r="Y519" s="151" t="str">
        <f>Y518</f>
        <v>E5630</v>
      </c>
      <c r="Z519" s="4" t="s">
        <v>587</v>
      </c>
      <c r="AA519" s="114" t="s">
        <v>588</v>
      </c>
      <c r="AB519" s="4" t="s">
        <v>506</v>
      </c>
      <c r="AC519" s="4" t="s">
        <v>507</v>
      </c>
      <c r="AD519" s="4" t="s">
        <v>508</v>
      </c>
      <c r="AE519" s="4" t="s">
        <v>509</v>
      </c>
      <c r="AF519" s="4" t="s">
        <v>589</v>
      </c>
      <c r="AG519" s="743">
        <v>0</v>
      </c>
      <c r="AI519" s="158"/>
    </row>
    <row r="520" spans="23:35">
      <c r="W520" s="4" t="s">
        <v>3405</v>
      </c>
      <c r="X520" s="4" t="s">
        <v>3358</v>
      </c>
      <c r="Y520" s="151" t="str">
        <f t="shared" ref="Y520:Y529" si="46">Y519</f>
        <v>E5630</v>
      </c>
      <c r="Z520" s="4" t="s">
        <v>587</v>
      </c>
      <c r="AA520" s="114" t="s">
        <v>588</v>
      </c>
      <c r="AB520" s="4" t="s">
        <v>506</v>
      </c>
      <c r="AC520" s="4" t="s">
        <v>507</v>
      </c>
      <c r="AD520" s="4" t="s">
        <v>508</v>
      </c>
      <c r="AE520" s="4" t="s">
        <v>509</v>
      </c>
      <c r="AF520" s="4" t="s">
        <v>589</v>
      </c>
      <c r="AG520" s="743">
        <v>0</v>
      </c>
      <c r="AI520" s="158"/>
    </row>
    <row r="521" spans="23:35">
      <c r="W521" s="4" t="s">
        <v>3405</v>
      </c>
      <c r="X521" s="4" t="s">
        <v>3359</v>
      </c>
      <c r="Y521" s="151" t="str">
        <f t="shared" si="46"/>
        <v>E5630</v>
      </c>
      <c r="Z521" s="4" t="s">
        <v>587</v>
      </c>
      <c r="AA521" s="114" t="s">
        <v>588</v>
      </c>
      <c r="AB521" s="4" t="s">
        <v>506</v>
      </c>
      <c r="AC521" s="4" t="s">
        <v>507</v>
      </c>
      <c r="AD521" s="4" t="s">
        <v>508</v>
      </c>
      <c r="AE521" s="4" t="s">
        <v>509</v>
      </c>
      <c r="AF521" s="4" t="s">
        <v>589</v>
      </c>
      <c r="AG521" s="743">
        <v>0</v>
      </c>
      <c r="AI521" s="158"/>
    </row>
    <row r="522" spans="23:35">
      <c r="W522" s="4" t="s">
        <v>3405</v>
      </c>
      <c r="X522" s="4" t="s">
        <v>3360</v>
      </c>
      <c r="Y522" s="151" t="str">
        <f t="shared" si="46"/>
        <v>E5630</v>
      </c>
      <c r="Z522" s="4" t="s">
        <v>587</v>
      </c>
      <c r="AA522" s="114" t="s">
        <v>588</v>
      </c>
      <c r="AB522" s="4" t="s">
        <v>506</v>
      </c>
      <c r="AC522" s="4" t="s">
        <v>507</v>
      </c>
      <c r="AD522" s="4" t="s">
        <v>508</v>
      </c>
      <c r="AE522" s="4" t="s">
        <v>509</v>
      </c>
      <c r="AF522" s="4" t="s">
        <v>589</v>
      </c>
      <c r="AG522" s="743">
        <v>0</v>
      </c>
      <c r="AI522" s="158"/>
    </row>
    <row r="523" spans="23:35">
      <c r="W523" s="4" t="s">
        <v>3405</v>
      </c>
      <c r="X523" s="4" t="s">
        <v>3361</v>
      </c>
      <c r="Y523" s="151" t="str">
        <f t="shared" si="46"/>
        <v>E5630</v>
      </c>
      <c r="Z523" s="4" t="s">
        <v>587</v>
      </c>
      <c r="AA523" s="114" t="s">
        <v>588</v>
      </c>
      <c r="AB523" s="4" t="s">
        <v>506</v>
      </c>
      <c r="AC523" s="4" t="s">
        <v>507</v>
      </c>
      <c r="AD523" s="4" t="s">
        <v>508</v>
      </c>
      <c r="AE523" s="4" t="s">
        <v>509</v>
      </c>
      <c r="AF523" s="4" t="s">
        <v>589</v>
      </c>
      <c r="AG523" s="743">
        <v>0</v>
      </c>
      <c r="AI523" s="158"/>
    </row>
    <row r="524" spans="23:35">
      <c r="W524" s="4" t="s">
        <v>3405</v>
      </c>
      <c r="X524" s="4" t="s">
        <v>3362</v>
      </c>
      <c r="Y524" s="151" t="str">
        <f t="shared" si="46"/>
        <v>E5630</v>
      </c>
      <c r="Z524" s="4" t="s">
        <v>587</v>
      </c>
      <c r="AA524" s="114" t="s">
        <v>588</v>
      </c>
      <c r="AB524" s="4" t="s">
        <v>506</v>
      </c>
      <c r="AC524" s="4" t="s">
        <v>507</v>
      </c>
      <c r="AD524" s="4" t="s">
        <v>508</v>
      </c>
      <c r="AE524" s="4" t="s">
        <v>509</v>
      </c>
      <c r="AF524" s="4" t="s">
        <v>589</v>
      </c>
      <c r="AG524" s="743">
        <v>0</v>
      </c>
      <c r="AI524" s="158"/>
    </row>
    <row r="525" spans="23:35">
      <c r="W525" s="4" t="s">
        <v>3405</v>
      </c>
      <c r="X525" s="4" t="s">
        <v>3363</v>
      </c>
      <c r="Y525" s="151" t="str">
        <f t="shared" si="46"/>
        <v>E5630</v>
      </c>
      <c r="Z525" s="4" t="s">
        <v>587</v>
      </c>
      <c r="AA525" s="114" t="s">
        <v>588</v>
      </c>
      <c r="AB525" s="4" t="s">
        <v>506</v>
      </c>
      <c r="AC525" s="4" t="s">
        <v>507</v>
      </c>
      <c r="AD525" s="4" t="s">
        <v>508</v>
      </c>
      <c r="AE525" s="4" t="s">
        <v>509</v>
      </c>
      <c r="AF525" s="4" t="s">
        <v>589</v>
      </c>
      <c r="AG525" s="743">
        <v>0</v>
      </c>
      <c r="AI525" s="158"/>
    </row>
    <row r="526" spans="23:35">
      <c r="W526" s="4" t="s">
        <v>3405</v>
      </c>
      <c r="X526" s="4" t="s">
        <v>3364</v>
      </c>
      <c r="Y526" s="151" t="str">
        <f t="shared" si="46"/>
        <v>E5630</v>
      </c>
      <c r="Z526" s="4" t="s">
        <v>587</v>
      </c>
      <c r="AA526" s="114" t="s">
        <v>588</v>
      </c>
      <c r="AB526" s="4" t="s">
        <v>506</v>
      </c>
      <c r="AC526" s="4" t="s">
        <v>507</v>
      </c>
      <c r="AD526" s="4" t="s">
        <v>508</v>
      </c>
      <c r="AE526" s="4" t="s">
        <v>509</v>
      </c>
      <c r="AF526" s="4" t="s">
        <v>589</v>
      </c>
      <c r="AG526" s="743">
        <v>0</v>
      </c>
      <c r="AI526" s="158"/>
    </row>
    <row r="527" spans="23:35">
      <c r="W527" s="4" t="s">
        <v>3405</v>
      </c>
      <c r="X527" s="4" t="s">
        <v>3365</v>
      </c>
      <c r="Y527" s="151" t="str">
        <f t="shared" si="46"/>
        <v>E5630</v>
      </c>
      <c r="Z527" s="4" t="s">
        <v>587</v>
      </c>
      <c r="AA527" s="114" t="s">
        <v>588</v>
      </c>
      <c r="AB527" s="4" t="s">
        <v>506</v>
      </c>
      <c r="AC527" s="4" t="s">
        <v>507</v>
      </c>
      <c r="AD527" s="4" t="s">
        <v>508</v>
      </c>
      <c r="AE527" s="4" t="s">
        <v>509</v>
      </c>
      <c r="AF527" s="4" t="s">
        <v>589</v>
      </c>
      <c r="AG527" s="743">
        <v>0</v>
      </c>
      <c r="AI527" s="158"/>
    </row>
    <row r="528" spans="23:35">
      <c r="W528" s="4" t="s">
        <v>3405</v>
      </c>
      <c r="X528" s="4" t="s">
        <v>3366</v>
      </c>
      <c r="Y528" s="151" t="str">
        <f t="shared" si="46"/>
        <v>E5630</v>
      </c>
      <c r="Z528" s="4" t="s">
        <v>587</v>
      </c>
      <c r="AA528" s="114" t="s">
        <v>588</v>
      </c>
      <c r="AB528" s="4" t="s">
        <v>506</v>
      </c>
      <c r="AC528" s="4" t="s">
        <v>507</v>
      </c>
      <c r="AD528" s="4" t="s">
        <v>508</v>
      </c>
      <c r="AE528" s="4" t="s">
        <v>509</v>
      </c>
      <c r="AF528" s="4" t="s">
        <v>589</v>
      </c>
      <c r="AG528" s="743">
        <v>0</v>
      </c>
      <c r="AI528" s="158"/>
    </row>
    <row r="529" spans="23:35">
      <c r="W529" s="4" t="s">
        <v>3405</v>
      </c>
      <c r="X529" s="4" t="s">
        <v>3367</v>
      </c>
      <c r="Y529" s="151" t="str">
        <f t="shared" si="46"/>
        <v>E5630</v>
      </c>
      <c r="Z529" s="4" t="s">
        <v>587</v>
      </c>
      <c r="AA529" s="114" t="s">
        <v>588</v>
      </c>
      <c r="AB529" s="4" t="s">
        <v>506</v>
      </c>
      <c r="AC529" s="4" t="s">
        <v>507</v>
      </c>
      <c r="AD529" s="4" t="s">
        <v>508</v>
      </c>
      <c r="AE529" s="4" t="s">
        <v>509</v>
      </c>
      <c r="AF529" s="4" t="s">
        <v>589</v>
      </c>
      <c r="AG529" s="743">
        <v>0</v>
      </c>
      <c r="AI529" s="158"/>
    </row>
    <row r="530" spans="23:35">
      <c r="W530" s="4" t="s">
        <v>3405</v>
      </c>
      <c r="X530" s="3" t="s">
        <v>3356</v>
      </c>
      <c r="Y530" s="150" t="str">
        <f>INDEX($B$3:$O$110,67,1)</f>
        <v>E5640</v>
      </c>
      <c r="Z530" s="4" t="s">
        <v>587</v>
      </c>
      <c r="AA530" s="114" t="s">
        <v>588</v>
      </c>
      <c r="AB530" s="4" t="s">
        <v>506</v>
      </c>
      <c r="AC530" s="4" t="s">
        <v>507</v>
      </c>
      <c r="AD530" s="4" t="s">
        <v>508</v>
      </c>
      <c r="AE530" s="4" t="s">
        <v>509</v>
      </c>
      <c r="AF530" s="4" t="s">
        <v>589</v>
      </c>
      <c r="AG530" s="743">
        <v>0</v>
      </c>
      <c r="AI530" s="158"/>
    </row>
    <row r="531" spans="23:35">
      <c r="W531" s="4" t="s">
        <v>3405</v>
      </c>
      <c r="X531" s="4" t="s">
        <v>3357</v>
      </c>
      <c r="Y531" s="151" t="str">
        <f>Y530</f>
        <v>E5640</v>
      </c>
      <c r="Z531" s="4" t="s">
        <v>587</v>
      </c>
      <c r="AA531" s="114" t="s">
        <v>588</v>
      </c>
      <c r="AB531" s="4" t="s">
        <v>506</v>
      </c>
      <c r="AC531" s="4" t="s">
        <v>507</v>
      </c>
      <c r="AD531" s="4" t="s">
        <v>508</v>
      </c>
      <c r="AE531" s="4" t="s">
        <v>509</v>
      </c>
      <c r="AF531" s="4" t="s">
        <v>589</v>
      </c>
      <c r="AG531" s="743">
        <v>0</v>
      </c>
      <c r="AI531" s="158"/>
    </row>
    <row r="532" spans="23:35">
      <c r="W532" s="4" t="s">
        <v>3405</v>
      </c>
      <c r="X532" s="4" t="s">
        <v>3358</v>
      </c>
      <c r="Y532" s="151" t="str">
        <f t="shared" ref="Y532:Y541" si="47">Y531</f>
        <v>E5640</v>
      </c>
      <c r="Z532" s="4" t="s">
        <v>587</v>
      </c>
      <c r="AA532" s="114" t="s">
        <v>588</v>
      </c>
      <c r="AB532" s="4" t="s">
        <v>506</v>
      </c>
      <c r="AC532" s="4" t="s">
        <v>507</v>
      </c>
      <c r="AD532" s="4" t="s">
        <v>508</v>
      </c>
      <c r="AE532" s="4" t="s">
        <v>509</v>
      </c>
      <c r="AF532" s="4" t="s">
        <v>589</v>
      </c>
      <c r="AG532" s="743">
        <v>0</v>
      </c>
      <c r="AI532" s="158"/>
    </row>
    <row r="533" spans="23:35">
      <c r="W533" s="4" t="s">
        <v>3405</v>
      </c>
      <c r="X533" s="4" t="s">
        <v>3359</v>
      </c>
      <c r="Y533" s="151" t="str">
        <f t="shared" si="47"/>
        <v>E5640</v>
      </c>
      <c r="Z533" s="4" t="s">
        <v>587</v>
      </c>
      <c r="AA533" s="114" t="s">
        <v>588</v>
      </c>
      <c r="AB533" s="4" t="s">
        <v>506</v>
      </c>
      <c r="AC533" s="4" t="s">
        <v>507</v>
      </c>
      <c r="AD533" s="4" t="s">
        <v>508</v>
      </c>
      <c r="AE533" s="4" t="s">
        <v>509</v>
      </c>
      <c r="AF533" s="4" t="s">
        <v>589</v>
      </c>
      <c r="AG533" s="743">
        <v>0</v>
      </c>
      <c r="AI533" s="158"/>
    </row>
    <row r="534" spans="23:35">
      <c r="W534" s="4" t="s">
        <v>3405</v>
      </c>
      <c r="X534" s="4" t="s">
        <v>3360</v>
      </c>
      <c r="Y534" s="151" t="str">
        <f t="shared" si="47"/>
        <v>E5640</v>
      </c>
      <c r="Z534" s="4" t="s">
        <v>587</v>
      </c>
      <c r="AA534" s="114" t="s">
        <v>588</v>
      </c>
      <c r="AB534" s="4" t="s">
        <v>506</v>
      </c>
      <c r="AC534" s="4" t="s">
        <v>507</v>
      </c>
      <c r="AD534" s="4" t="s">
        <v>508</v>
      </c>
      <c r="AE534" s="4" t="s">
        <v>509</v>
      </c>
      <c r="AF534" s="4" t="s">
        <v>589</v>
      </c>
      <c r="AG534" s="743">
        <v>0</v>
      </c>
      <c r="AI534" s="158"/>
    </row>
    <row r="535" spans="23:35">
      <c r="W535" s="4" t="s">
        <v>3405</v>
      </c>
      <c r="X535" s="4" t="s">
        <v>3361</v>
      </c>
      <c r="Y535" s="151" t="str">
        <f t="shared" si="47"/>
        <v>E5640</v>
      </c>
      <c r="Z535" s="4" t="s">
        <v>587</v>
      </c>
      <c r="AA535" s="114" t="s">
        <v>588</v>
      </c>
      <c r="AB535" s="4" t="s">
        <v>506</v>
      </c>
      <c r="AC535" s="4" t="s">
        <v>507</v>
      </c>
      <c r="AD535" s="4" t="s">
        <v>508</v>
      </c>
      <c r="AE535" s="4" t="s">
        <v>509</v>
      </c>
      <c r="AF535" s="4" t="s">
        <v>589</v>
      </c>
      <c r="AG535" s="743">
        <v>0</v>
      </c>
      <c r="AI535" s="158"/>
    </row>
    <row r="536" spans="23:35">
      <c r="W536" s="4" t="s">
        <v>3405</v>
      </c>
      <c r="X536" s="4" t="s">
        <v>3362</v>
      </c>
      <c r="Y536" s="151" t="str">
        <f t="shared" si="47"/>
        <v>E5640</v>
      </c>
      <c r="Z536" s="4" t="s">
        <v>587</v>
      </c>
      <c r="AA536" s="114" t="s">
        <v>588</v>
      </c>
      <c r="AB536" s="4" t="s">
        <v>506</v>
      </c>
      <c r="AC536" s="4" t="s">
        <v>507</v>
      </c>
      <c r="AD536" s="4" t="s">
        <v>508</v>
      </c>
      <c r="AE536" s="4" t="s">
        <v>509</v>
      </c>
      <c r="AF536" s="4" t="s">
        <v>589</v>
      </c>
      <c r="AG536" s="743">
        <v>0</v>
      </c>
      <c r="AI536" s="158"/>
    </row>
    <row r="537" spans="23:35">
      <c r="W537" s="4" t="s">
        <v>3405</v>
      </c>
      <c r="X537" s="4" t="s">
        <v>3363</v>
      </c>
      <c r="Y537" s="151" t="str">
        <f t="shared" si="47"/>
        <v>E5640</v>
      </c>
      <c r="Z537" s="4" t="s">
        <v>587</v>
      </c>
      <c r="AA537" s="114" t="s">
        <v>588</v>
      </c>
      <c r="AB537" s="4" t="s">
        <v>506</v>
      </c>
      <c r="AC537" s="4" t="s">
        <v>507</v>
      </c>
      <c r="AD537" s="4" t="s">
        <v>508</v>
      </c>
      <c r="AE537" s="4" t="s">
        <v>509</v>
      </c>
      <c r="AF537" s="4" t="s">
        <v>589</v>
      </c>
      <c r="AG537" s="743">
        <v>0</v>
      </c>
      <c r="AI537" s="158"/>
    </row>
    <row r="538" spans="23:35">
      <c r="W538" s="4" t="s">
        <v>3405</v>
      </c>
      <c r="X538" s="4" t="s">
        <v>3364</v>
      </c>
      <c r="Y538" s="151" t="str">
        <f t="shared" si="47"/>
        <v>E5640</v>
      </c>
      <c r="Z538" s="4" t="s">
        <v>587</v>
      </c>
      <c r="AA538" s="114" t="s">
        <v>588</v>
      </c>
      <c r="AB538" s="4" t="s">
        <v>506</v>
      </c>
      <c r="AC538" s="4" t="s">
        <v>507</v>
      </c>
      <c r="AD538" s="4" t="s">
        <v>508</v>
      </c>
      <c r="AE538" s="4" t="s">
        <v>509</v>
      </c>
      <c r="AF538" s="4" t="s">
        <v>589</v>
      </c>
      <c r="AG538" s="743">
        <v>0</v>
      </c>
      <c r="AI538" s="158"/>
    </row>
    <row r="539" spans="23:35">
      <c r="W539" s="4" t="s">
        <v>3405</v>
      </c>
      <c r="X539" s="4" t="s">
        <v>3365</v>
      </c>
      <c r="Y539" s="151" t="str">
        <f t="shared" si="47"/>
        <v>E5640</v>
      </c>
      <c r="Z539" s="4" t="s">
        <v>587</v>
      </c>
      <c r="AA539" s="114" t="s">
        <v>588</v>
      </c>
      <c r="AB539" s="4" t="s">
        <v>506</v>
      </c>
      <c r="AC539" s="4" t="s">
        <v>507</v>
      </c>
      <c r="AD539" s="4" t="s">
        <v>508</v>
      </c>
      <c r="AE539" s="4" t="s">
        <v>509</v>
      </c>
      <c r="AF539" s="4" t="s">
        <v>589</v>
      </c>
      <c r="AG539" s="743">
        <v>0</v>
      </c>
      <c r="AI539" s="158"/>
    </row>
    <row r="540" spans="23:35">
      <c r="W540" s="4" t="s">
        <v>3405</v>
      </c>
      <c r="X540" s="4" t="s">
        <v>3366</v>
      </c>
      <c r="Y540" s="151" t="str">
        <f t="shared" si="47"/>
        <v>E5640</v>
      </c>
      <c r="Z540" s="4" t="s">
        <v>587</v>
      </c>
      <c r="AA540" s="114" t="s">
        <v>588</v>
      </c>
      <c r="AB540" s="4" t="s">
        <v>506</v>
      </c>
      <c r="AC540" s="4" t="s">
        <v>507</v>
      </c>
      <c r="AD540" s="4" t="s">
        <v>508</v>
      </c>
      <c r="AE540" s="4" t="s">
        <v>509</v>
      </c>
      <c r="AF540" s="4" t="s">
        <v>589</v>
      </c>
      <c r="AG540" s="743">
        <v>0</v>
      </c>
      <c r="AI540" s="158"/>
    </row>
    <row r="541" spans="23:35">
      <c r="W541" s="4" t="s">
        <v>3405</v>
      </c>
      <c r="X541" s="4" t="s">
        <v>3367</v>
      </c>
      <c r="Y541" s="151" t="str">
        <f t="shared" si="47"/>
        <v>E5640</v>
      </c>
      <c r="Z541" s="4" t="s">
        <v>587</v>
      </c>
      <c r="AA541" s="114" t="s">
        <v>588</v>
      </c>
      <c r="AB541" s="4" t="s">
        <v>506</v>
      </c>
      <c r="AC541" s="4" t="s">
        <v>507</v>
      </c>
      <c r="AD541" s="4" t="s">
        <v>508</v>
      </c>
      <c r="AE541" s="4" t="s">
        <v>509</v>
      </c>
      <c r="AF541" s="4" t="s">
        <v>589</v>
      </c>
      <c r="AG541" s="743">
        <v>0</v>
      </c>
      <c r="AI541" s="158"/>
    </row>
    <row r="542" spans="23:35">
      <c r="W542" s="4" t="s">
        <v>3405</v>
      </c>
      <c r="X542" s="3" t="s">
        <v>3356</v>
      </c>
      <c r="Y542" s="150" t="str">
        <f>INDEX($B$3:$O$110,68,1)</f>
        <v>E5650</v>
      </c>
      <c r="Z542" s="4" t="s">
        <v>587</v>
      </c>
      <c r="AA542" s="114" t="s">
        <v>588</v>
      </c>
      <c r="AB542" s="4" t="s">
        <v>506</v>
      </c>
      <c r="AC542" s="4" t="s">
        <v>507</v>
      </c>
      <c r="AD542" s="4" t="s">
        <v>508</v>
      </c>
      <c r="AE542" s="4" t="s">
        <v>509</v>
      </c>
      <c r="AF542" s="4" t="s">
        <v>589</v>
      </c>
      <c r="AG542" s="115">
        <f>+VLOOKUP(Y542,B:O,3,FALSE)/1000</f>
        <v>3.8026399999999995E-3</v>
      </c>
      <c r="AI542" s="158"/>
    </row>
    <row r="543" spans="23:35">
      <c r="W543" s="4" t="s">
        <v>3405</v>
      </c>
      <c r="X543" s="4" t="s">
        <v>3357</v>
      </c>
      <c r="Y543" s="151" t="str">
        <f>Y542</f>
        <v>E5650</v>
      </c>
      <c r="Z543" s="4" t="s">
        <v>587</v>
      </c>
      <c r="AA543" s="114" t="s">
        <v>588</v>
      </c>
      <c r="AB543" s="4" t="s">
        <v>506</v>
      </c>
      <c r="AC543" s="4" t="s">
        <v>507</v>
      </c>
      <c r="AD543" s="4" t="s">
        <v>508</v>
      </c>
      <c r="AE543" s="4" t="s">
        <v>509</v>
      </c>
      <c r="AF543" s="4" t="s">
        <v>589</v>
      </c>
      <c r="AG543" s="115">
        <f>+VLOOKUP(Y543,B:O,4,FALSE)/1000</f>
        <v>2.8326400000000004E-3</v>
      </c>
      <c r="AI543" s="158"/>
    </row>
    <row r="544" spans="23:35">
      <c r="W544" s="4" t="s">
        <v>3405</v>
      </c>
      <c r="X544" s="4" t="s">
        <v>3358</v>
      </c>
      <c r="Y544" s="151" t="str">
        <f t="shared" ref="Y544:Y553" si="48">Y543</f>
        <v>E5650</v>
      </c>
      <c r="Z544" s="4" t="s">
        <v>587</v>
      </c>
      <c r="AA544" s="114" t="s">
        <v>588</v>
      </c>
      <c r="AB544" s="4" t="s">
        <v>506</v>
      </c>
      <c r="AC544" s="4" t="s">
        <v>507</v>
      </c>
      <c r="AD544" s="4" t="s">
        <v>508</v>
      </c>
      <c r="AE544" s="4" t="s">
        <v>509</v>
      </c>
      <c r="AF544" s="4" t="s">
        <v>589</v>
      </c>
      <c r="AG544" s="115">
        <f>+VLOOKUP(Y544,B:O,5,FALSE)/1000</f>
        <v>1.5052640000000001E-2</v>
      </c>
      <c r="AI544" s="158"/>
    </row>
    <row r="545" spans="23:35">
      <c r="W545" s="4" t="s">
        <v>3405</v>
      </c>
      <c r="X545" s="4" t="s">
        <v>3359</v>
      </c>
      <c r="Y545" s="151" t="str">
        <f t="shared" si="48"/>
        <v>E5650</v>
      </c>
      <c r="Z545" s="4" t="s">
        <v>587</v>
      </c>
      <c r="AA545" s="114" t="s">
        <v>588</v>
      </c>
      <c r="AB545" s="4" t="s">
        <v>506</v>
      </c>
      <c r="AC545" s="4" t="s">
        <v>507</v>
      </c>
      <c r="AD545" s="4" t="s">
        <v>508</v>
      </c>
      <c r="AE545" s="4" t="s">
        <v>509</v>
      </c>
      <c r="AF545" s="4" t="s">
        <v>589</v>
      </c>
      <c r="AG545" s="115">
        <f>+VLOOKUP(Y545,B:O,6,FALSE)/1000</f>
        <v>2.9442640000000009E-2</v>
      </c>
      <c r="AI545" s="158"/>
    </row>
    <row r="546" spans="23:35">
      <c r="W546" s="4" t="s">
        <v>3405</v>
      </c>
      <c r="X546" s="4" t="s">
        <v>3360</v>
      </c>
      <c r="Y546" s="151" t="str">
        <f t="shared" si="48"/>
        <v>E5650</v>
      </c>
      <c r="Z546" s="4" t="s">
        <v>587</v>
      </c>
      <c r="AA546" s="114" t="s">
        <v>588</v>
      </c>
      <c r="AB546" s="4" t="s">
        <v>506</v>
      </c>
      <c r="AC546" s="4" t="s">
        <v>507</v>
      </c>
      <c r="AD546" s="4" t="s">
        <v>508</v>
      </c>
      <c r="AE546" s="4" t="s">
        <v>509</v>
      </c>
      <c r="AF546" s="4" t="s">
        <v>589</v>
      </c>
      <c r="AG546" s="115">
        <f>+VLOOKUP(Y546,B:O,7,FALSE)/1000</f>
        <v>3.8762640000000008E-2</v>
      </c>
      <c r="AI546" s="158"/>
    </row>
    <row r="547" spans="23:35">
      <c r="W547" s="4" t="s">
        <v>3405</v>
      </c>
      <c r="X547" s="4" t="s">
        <v>3361</v>
      </c>
      <c r="Y547" s="151" t="str">
        <f t="shared" si="48"/>
        <v>E5650</v>
      </c>
      <c r="Z547" s="4" t="s">
        <v>587</v>
      </c>
      <c r="AA547" s="114" t="s">
        <v>588</v>
      </c>
      <c r="AB547" s="4" t="s">
        <v>506</v>
      </c>
      <c r="AC547" s="4" t="s">
        <v>507</v>
      </c>
      <c r="AD547" s="4" t="s">
        <v>508</v>
      </c>
      <c r="AE547" s="4" t="s">
        <v>509</v>
      </c>
      <c r="AF547" s="4" t="s">
        <v>589</v>
      </c>
      <c r="AG547" s="115">
        <f>+VLOOKUP(Y547,B:O,8,FALSE)/1000</f>
        <v>3.3612639999999999E-2</v>
      </c>
      <c r="AI547" s="158"/>
    </row>
    <row r="548" spans="23:35">
      <c r="W548" s="4" t="s">
        <v>3405</v>
      </c>
      <c r="X548" s="4" t="s">
        <v>3362</v>
      </c>
      <c r="Y548" s="151" t="str">
        <f t="shared" si="48"/>
        <v>E5650</v>
      </c>
      <c r="Z548" s="4" t="s">
        <v>587</v>
      </c>
      <c r="AA548" s="114" t="s">
        <v>588</v>
      </c>
      <c r="AB548" s="4" t="s">
        <v>506</v>
      </c>
      <c r="AC548" s="4" t="s">
        <v>507</v>
      </c>
      <c r="AD548" s="4" t="s">
        <v>508</v>
      </c>
      <c r="AE548" s="4" t="s">
        <v>509</v>
      </c>
      <c r="AF548" s="4" t="s">
        <v>589</v>
      </c>
      <c r="AG548" s="115">
        <f>+VLOOKUP(Y548,B:O,9,FALSE)/1000</f>
        <v>3.1552640000000007E-2</v>
      </c>
      <c r="AI548" s="158"/>
    </row>
    <row r="549" spans="23:35">
      <c r="W549" s="4" t="s">
        <v>3405</v>
      </c>
      <c r="X549" s="4" t="s">
        <v>3363</v>
      </c>
      <c r="Y549" s="151" t="str">
        <f t="shared" si="48"/>
        <v>E5650</v>
      </c>
      <c r="Z549" s="4" t="s">
        <v>587</v>
      </c>
      <c r="AA549" s="114" t="s">
        <v>588</v>
      </c>
      <c r="AB549" s="4" t="s">
        <v>506</v>
      </c>
      <c r="AC549" s="4" t="s">
        <v>507</v>
      </c>
      <c r="AD549" s="4" t="s">
        <v>508</v>
      </c>
      <c r="AE549" s="4" t="s">
        <v>509</v>
      </c>
      <c r="AF549" s="4" t="s">
        <v>589</v>
      </c>
      <c r="AG549" s="115">
        <f>+VLOOKUP(Y549,B:O,10,FALSE)/1000</f>
        <v>3.5272640000000001E-2</v>
      </c>
      <c r="AI549" s="158"/>
    </row>
    <row r="550" spans="23:35">
      <c r="W550" s="4" t="s">
        <v>3405</v>
      </c>
      <c r="X550" s="4" t="s">
        <v>3364</v>
      </c>
      <c r="Y550" s="151" t="str">
        <f t="shared" si="48"/>
        <v>E5650</v>
      </c>
      <c r="Z550" s="4" t="s">
        <v>587</v>
      </c>
      <c r="AA550" s="114" t="s">
        <v>588</v>
      </c>
      <c r="AB550" s="4" t="s">
        <v>506</v>
      </c>
      <c r="AC550" s="4" t="s">
        <v>507</v>
      </c>
      <c r="AD550" s="4" t="s">
        <v>508</v>
      </c>
      <c r="AE550" s="4" t="s">
        <v>509</v>
      </c>
      <c r="AF550" s="4" t="s">
        <v>589</v>
      </c>
      <c r="AG550" s="115">
        <f>+VLOOKUP(Y550,B:O,11,FALSE)/1000</f>
        <v>3.7392639999999998E-2</v>
      </c>
      <c r="AI550" s="158"/>
    </row>
    <row r="551" spans="23:35">
      <c r="W551" s="4" t="s">
        <v>3405</v>
      </c>
      <c r="X551" s="4" t="s">
        <v>3365</v>
      </c>
      <c r="Y551" s="151" t="str">
        <f t="shared" si="48"/>
        <v>E5650</v>
      </c>
      <c r="Z551" s="4" t="s">
        <v>587</v>
      </c>
      <c r="AA551" s="114" t="s">
        <v>588</v>
      </c>
      <c r="AB551" s="4" t="s">
        <v>506</v>
      </c>
      <c r="AC551" s="4" t="s">
        <v>507</v>
      </c>
      <c r="AD551" s="4" t="s">
        <v>508</v>
      </c>
      <c r="AE551" s="4" t="s">
        <v>509</v>
      </c>
      <c r="AF551" s="4" t="s">
        <v>589</v>
      </c>
      <c r="AG551" s="115">
        <f>+VLOOKUP(Y551,B:O,12,FALSE)/1000</f>
        <v>3.8192640000000007E-2</v>
      </c>
      <c r="AI551" s="158"/>
    </row>
    <row r="552" spans="23:35">
      <c r="W552" s="4" t="s">
        <v>3405</v>
      </c>
      <c r="X552" s="4" t="s">
        <v>3366</v>
      </c>
      <c r="Y552" s="151" t="str">
        <f t="shared" si="48"/>
        <v>E5650</v>
      </c>
      <c r="Z552" s="4" t="s">
        <v>587</v>
      </c>
      <c r="AA552" s="114" t="s">
        <v>588</v>
      </c>
      <c r="AB552" s="4" t="s">
        <v>506</v>
      </c>
      <c r="AC552" s="4" t="s">
        <v>507</v>
      </c>
      <c r="AD552" s="4" t="s">
        <v>508</v>
      </c>
      <c r="AE552" s="4" t="s">
        <v>509</v>
      </c>
      <c r="AF552" s="4" t="s">
        <v>589</v>
      </c>
      <c r="AG552" s="115">
        <f>+VLOOKUP(Y552,B:O,13,FALSE)/1000</f>
        <v>2.1277430720000001E-2</v>
      </c>
      <c r="AI552" s="158"/>
    </row>
    <row r="553" spans="23:35">
      <c r="W553" s="4" t="s">
        <v>3405</v>
      </c>
      <c r="X553" s="4" t="s">
        <v>3367</v>
      </c>
      <c r="Y553" s="151" t="str">
        <f t="shared" si="48"/>
        <v>E5650</v>
      </c>
      <c r="Z553" s="4" t="s">
        <v>587</v>
      </c>
      <c r="AA553" s="114" t="s">
        <v>588</v>
      </c>
      <c r="AB553" s="4" t="s">
        <v>506</v>
      </c>
      <c r="AC553" s="4" t="s">
        <v>507</v>
      </c>
      <c r="AD553" s="4" t="s">
        <v>508</v>
      </c>
      <c r="AE553" s="4" t="s">
        <v>509</v>
      </c>
      <c r="AF553" s="4" t="s">
        <v>589</v>
      </c>
      <c r="AG553" s="115">
        <f>+VLOOKUP(Y553,B:O,14,FALSE)/1000</f>
        <v>9.8474307199999944E-3</v>
      </c>
      <c r="AI553" s="158"/>
    </row>
    <row r="554" spans="23:35">
      <c r="W554" s="4" t="s">
        <v>3405</v>
      </c>
      <c r="X554" s="3" t="s">
        <v>3356</v>
      </c>
      <c r="Y554" s="150" t="str">
        <f>INDEX($B$3:$O$110,69,1)</f>
        <v>E5660</v>
      </c>
      <c r="Z554" s="4" t="s">
        <v>587</v>
      </c>
      <c r="AA554" s="114" t="s">
        <v>588</v>
      </c>
      <c r="AB554" s="4" t="s">
        <v>506</v>
      </c>
      <c r="AC554" s="4" t="s">
        <v>507</v>
      </c>
      <c r="AD554" s="4" t="s">
        <v>508</v>
      </c>
      <c r="AE554" s="4" t="s">
        <v>509</v>
      </c>
      <c r="AF554" s="4" t="s">
        <v>589</v>
      </c>
      <c r="AG554" s="115">
        <f>+VLOOKUP(Y554,B:O,3,FALSE)/1000</f>
        <v>-9.0534500000000115E-3</v>
      </c>
      <c r="AI554" s="158"/>
    </row>
    <row r="555" spans="23:35">
      <c r="W555" s="4" t="s">
        <v>3405</v>
      </c>
      <c r="X555" s="4" t="s">
        <v>3357</v>
      </c>
      <c r="Y555" s="151" t="str">
        <f>Y554</f>
        <v>E5660</v>
      </c>
      <c r="Z555" s="4" t="s">
        <v>587</v>
      </c>
      <c r="AA555" s="114" t="s">
        <v>588</v>
      </c>
      <c r="AB555" s="4" t="s">
        <v>506</v>
      </c>
      <c r="AC555" s="4" t="s">
        <v>507</v>
      </c>
      <c r="AD555" s="4" t="s">
        <v>508</v>
      </c>
      <c r="AE555" s="4" t="s">
        <v>509</v>
      </c>
      <c r="AF555" s="4" t="s">
        <v>589</v>
      </c>
      <c r="AG555" s="115">
        <f>+VLOOKUP(Y555,B:O,4,FALSE)/1000</f>
        <v>-1.0023450000000012E-2</v>
      </c>
      <c r="AI555" s="158"/>
    </row>
    <row r="556" spans="23:35">
      <c r="W556" s="4" t="s">
        <v>3405</v>
      </c>
      <c r="X556" s="4" t="s">
        <v>3358</v>
      </c>
      <c r="Y556" s="151" t="str">
        <f t="shared" ref="Y556:Y565" si="49">Y555</f>
        <v>E5660</v>
      </c>
      <c r="Z556" s="4" t="s">
        <v>587</v>
      </c>
      <c r="AA556" s="114" t="s">
        <v>588</v>
      </c>
      <c r="AB556" s="4" t="s">
        <v>506</v>
      </c>
      <c r="AC556" s="4" t="s">
        <v>507</v>
      </c>
      <c r="AD556" s="4" t="s">
        <v>508</v>
      </c>
      <c r="AE556" s="4" t="s">
        <v>509</v>
      </c>
      <c r="AF556" s="4" t="s">
        <v>589</v>
      </c>
      <c r="AG556" s="115">
        <f>+VLOOKUP(Y556,B:O,5,FALSE)/1000</f>
        <v>2.1965499999999877E-3</v>
      </c>
      <c r="AI556" s="158"/>
    </row>
    <row r="557" spans="23:35">
      <c r="W557" s="4" t="s">
        <v>3405</v>
      </c>
      <c r="X557" s="4" t="s">
        <v>3359</v>
      </c>
      <c r="Y557" s="151" t="str">
        <f t="shared" si="49"/>
        <v>E5660</v>
      </c>
      <c r="Z557" s="4" t="s">
        <v>587</v>
      </c>
      <c r="AA557" s="114" t="s">
        <v>588</v>
      </c>
      <c r="AB557" s="4" t="s">
        <v>506</v>
      </c>
      <c r="AC557" s="4" t="s">
        <v>507</v>
      </c>
      <c r="AD557" s="4" t="s">
        <v>508</v>
      </c>
      <c r="AE557" s="4" t="s">
        <v>509</v>
      </c>
      <c r="AF557" s="4" t="s">
        <v>589</v>
      </c>
      <c r="AG557" s="115">
        <f>+VLOOKUP(Y557,B:O,6,FALSE)/1000</f>
        <v>1.6586549999999995E-2</v>
      </c>
      <c r="AI557" s="158"/>
    </row>
    <row r="558" spans="23:35">
      <c r="W558" s="4" t="s">
        <v>3405</v>
      </c>
      <c r="X558" s="4" t="s">
        <v>3360</v>
      </c>
      <c r="Y558" s="151" t="str">
        <f t="shared" si="49"/>
        <v>E5660</v>
      </c>
      <c r="Z558" s="4" t="s">
        <v>587</v>
      </c>
      <c r="AA558" s="114" t="s">
        <v>588</v>
      </c>
      <c r="AB558" s="4" t="s">
        <v>506</v>
      </c>
      <c r="AC558" s="4" t="s">
        <v>507</v>
      </c>
      <c r="AD558" s="4" t="s">
        <v>508</v>
      </c>
      <c r="AE558" s="4" t="s">
        <v>509</v>
      </c>
      <c r="AF558" s="4" t="s">
        <v>589</v>
      </c>
      <c r="AG558" s="115">
        <f>+VLOOKUP(Y558,B:O,7,FALSE)/1000</f>
        <v>2.5906549999999997E-2</v>
      </c>
      <c r="AI558" s="158"/>
    </row>
    <row r="559" spans="23:35">
      <c r="W559" s="4" t="s">
        <v>3405</v>
      </c>
      <c r="X559" s="4" t="s">
        <v>3361</v>
      </c>
      <c r="Y559" s="151" t="str">
        <f t="shared" si="49"/>
        <v>E5660</v>
      </c>
      <c r="Z559" s="4" t="s">
        <v>587</v>
      </c>
      <c r="AA559" s="114" t="s">
        <v>588</v>
      </c>
      <c r="AB559" s="4" t="s">
        <v>506</v>
      </c>
      <c r="AC559" s="4" t="s">
        <v>507</v>
      </c>
      <c r="AD559" s="4" t="s">
        <v>508</v>
      </c>
      <c r="AE559" s="4" t="s">
        <v>509</v>
      </c>
      <c r="AF559" s="4" t="s">
        <v>589</v>
      </c>
      <c r="AG559" s="115">
        <f>+VLOOKUP(Y559,B:O,8,FALSE)/1000</f>
        <v>2.0756549999999992E-2</v>
      </c>
      <c r="AI559" s="158"/>
    </row>
    <row r="560" spans="23:35">
      <c r="W560" s="4" t="s">
        <v>3405</v>
      </c>
      <c r="X560" s="4" t="s">
        <v>3362</v>
      </c>
      <c r="Y560" s="151" t="str">
        <f t="shared" si="49"/>
        <v>E5660</v>
      </c>
      <c r="Z560" s="4" t="s">
        <v>587</v>
      </c>
      <c r="AA560" s="114" t="s">
        <v>588</v>
      </c>
      <c r="AB560" s="4" t="s">
        <v>506</v>
      </c>
      <c r="AC560" s="4" t="s">
        <v>507</v>
      </c>
      <c r="AD560" s="4" t="s">
        <v>508</v>
      </c>
      <c r="AE560" s="4" t="s">
        <v>509</v>
      </c>
      <c r="AF560" s="4" t="s">
        <v>589</v>
      </c>
      <c r="AG560" s="115">
        <f>+VLOOKUP(Y560,B:O,9,FALSE)/1000</f>
        <v>1.8696549999999996E-2</v>
      </c>
      <c r="AI560" s="158"/>
    </row>
    <row r="561" spans="23:35">
      <c r="W561" s="4" t="s">
        <v>3405</v>
      </c>
      <c r="X561" s="4" t="s">
        <v>3363</v>
      </c>
      <c r="Y561" s="151" t="str">
        <f t="shared" si="49"/>
        <v>E5660</v>
      </c>
      <c r="Z561" s="4" t="s">
        <v>587</v>
      </c>
      <c r="AA561" s="114" t="s">
        <v>588</v>
      </c>
      <c r="AB561" s="4" t="s">
        <v>506</v>
      </c>
      <c r="AC561" s="4" t="s">
        <v>507</v>
      </c>
      <c r="AD561" s="4" t="s">
        <v>508</v>
      </c>
      <c r="AE561" s="4" t="s">
        <v>509</v>
      </c>
      <c r="AF561" s="4" t="s">
        <v>589</v>
      </c>
      <c r="AG561" s="115">
        <f>+VLOOKUP(Y561,B:O,10,FALSE)/1000</f>
        <v>2.4060050649999987E-2</v>
      </c>
      <c r="AI561" s="158"/>
    </row>
    <row r="562" spans="23:35">
      <c r="W562" s="4" t="s">
        <v>3405</v>
      </c>
      <c r="X562" s="4" t="s">
        <v>3364</v>
      </c>
      <c r="Y562" s="151" t="str">
        <f t="shared" si="49"/>
        <v>E5660</v>
      </c>
      <c r="Z562" s="4" t="s">
        <v>587</v>
      </c>
      <c r="AA562" s="114" t="s">
        <v>588</v>
      </c>
      <c r="AB562" s="4" t="s">
        <v>506</v>
      </c>
      <c r="AC562" s="4" t="s">
        <v>507</v>
      </c>
      <c r="AD562" s="4" t="s">
        <v>508</v>
      </c>
      <c r="AE562" s="4" t="s">
        <v>509</v>
      </c>
      <c r="AF562" s="4" t="s">
        <v>589</v>
      </c>
      <c r="AG562" s="115">
        <f>+VLOOKUP(Y562,B:O,11,FALSE)/1000</f>
        <v>2.6180050649999984E-2</v>
      </c>
      <c r="AI562" s="158"/>
    </row>
    <row r="563" spans="23:35">
      <c r="W563" s="4" t="s">
        <v>3405</v>
      </c>
      <c r="X563" s="4" t="s">
        <v>3365</v>
      </c>
      <c r="Y563" s="151" t="str">
        <f t="shared" si="49"/>
        <v>E5660</v>
      </c>
      <c r="Z563" s="4" t="s">
        <v>587</v>
      </c>
      <c r="AA563" s="114" t="s">
        <v>588</v>
      </c>
      <c r="AB563" s="4" t="s">
        <v>506</v>
      </c>
      <c r="AC563" s="4" t="s">
        <v>507</v>
      </c>
      <c r="AD563" s="4" t="s">
        <v>508</v>
      </c>
      <c r="AE563" s="4" t="s">
        <v>509</v>
      </c>
      <c r="AF563" s="4" t="s">
        <v>589</v>
      </c>
      <c r="AG563" s="115">
        <f>+VLOOKUP(Y563,B:O,12,FALSE)/1000</f>
        <v>2.698005064999999E-2</v>
      </c>
      <c r="AI563" s="158"/>
    </row>
    <row r="564" spans="23:35">
      <c r="W564" s="4" t="s">
        <v>3405</v>
      </c>
      <c r="X564" s="4" t="s">
        <v>3366</v>
      </c>
      <c r="Y564" s="151" t="str">
        <f t="shared" si="49"/>
        <v>E5660</v>
      </c>
      <c r="Z564" s="4" t="s">
        <v>587</v>
      </c>
      <c r="AA564" s="114" t="s">
        <v>588</v>
      </c>
      <c r="AB564" s="4" t="s">
        <v>506</v>
      </c>
      <c r="AC564" s="4" t="s">
        <v>507</v>
      </c>
      <c r="AD564" s="4" t="s">
        <v>508</v>
      </c>
      <c r="AE564" s="4" t="s">
        <v>509</v>
      </c>
      <c r="AF564" s="4" t="s">
        <v>589</v>
      </c>
      <c r="AG564" s="115">
        <f>+VLOOKUP(Y564,B:O,13,FALSE)/1000</f>
        <v>8.1900506499999887E-3</v>
      </c>
      <c r="AI564" s="158"/>
    </row>
    <row r="565" spans="23:35">
      <c r="W565" s="4" t="s">
        <v>3405</v>
      </c>
      <c r="X565" s="4" t="s">
        <v>3367</v>
      </c>
      <c r="Y565" s="151" t="str">
        <f t="shared" si="49"/>
        <v>E5660</v>
      </c>
      <c r="Z565" s="4" t="s">
        <v>587</v>
      </c>
      <c r="AA565" s="114" t="s">
        <v>588</v>
      </c>
      <c r="AB565" s="4" t="s">
        <v>506</v>
      </c>
      <c r="AC565" s="4" t="s">
        <v>507</v>
      </c>
      <c r="AD565" s="4" t="s">
        <v>508</v>
      </c>
      <c r="AE565" s="4" t="s">
        <v>509</v>
      </c>
      <c r="AF565" s="4" t="s">
        <v>589</v>
      </c>
      <c r="AG565" s="115">
        <f>+VLOOKUP(Y565,B:O,14,FALSE)/1000</f>
        <v>-3.2399493500000175E-3</v>
      </c>
      <c r="AI565" s="158"/>
    </row>
    <row r="566" spans="23:35">
      <c r="W566" s="4" t="s">
        <v>3405</v>
      </c>
      <c r="X566" s="3" t="s">
        <v>3356</v>
      </c>
      <c r="Y566" s="150" t="str">
        <f>INDEX($B$3:$O$110,70,1)</f>
        <v>E5690</v>
      </c>
      <c r="Z566" s="4" t="s">
        <v>587</v>
      </c>
      <c r="AA566" s="114" t="s">
        <v>588</v>
      </c>
      <c r="AB566" s="4" t="s">
        <v>506</v>
      </c>
      <c r="AC566" s="4" t="s">
        <v>507</v>
      </c>
      <c r="AD566" s="4" t="s">
        <v>508</v>
      </c>
      <c r="AE566" s="4" t="s">
        <v>509</v>
      </c>
      <c r="AF566" s="4" t="s">
        <v>589</v>
      </c>
      <c r="AG566" s="743">
        <v>0</v>
      </c>
      <c r="AI566" s="158"/>
    </row>
    <row r="567" spans="23:35">
      <c r="W567" s="4" t="s">
        <v>3405</v>
      </c>
      <c r="X567" s="4" t="s">
        <v>3357</v>
      </c>
      <c r="Y567" s="151" t="str">
        <f>Y566</f>
        <v>E5690</v>
      </c>
      <c r="Z567" s="4" t="s">
        <v>587</v>
      </c>
      <c r="AA567" s="114" t="s">
        <v>588</v>
      </c>
      <c r="AB567" s="4" t="s">
        <v>506</v>
      </c>
      <c r="AC567" s="4" t="s">
        <v>507</v>
      </c>
      <c r="AD567" s="4" t="s">
        <v>508</v>
      </c>
      <c r="AE567" s="4" t="s">
        <v>509</v>
      </c>
      <c r="AF567" s="4" t="s">
        <v>589</v>
      </c>
      <c r="AG567" s="743">
        <v>0</v>
      </c>
      <c r="AI567" s="158"/>
    </row>
    <row r="568" spans="23:35">
      <c r="W568" s="4" t="s">
        <v>3405</v>
      </c>
      <c r="X568" s="4" t="s">
        <v>3358</v>
      </c>
      <c r="Y568" s="151" t="str">
        <f t="shared" ref="Y568:Y577" si="50">Y567</f>
        <v>E5690</v>
      </c>
      <c r="Z568" s="4" t="s">
        <v>587</v>
      </c>
      <c r="AA568" s="114" t="s">
        <v>588</v>
      </c>
      <c r="AB568" s="4" t="s">
        <v>506</v>
      </c>
      <c r="AC568" s="4" t="s">
        <v>507</v>
      </c>
      <c r="AD568" s="4" t="s">
        <v>508</v>
      </c>
      <c r="AE568" s="4" t="s">
        <v>509</v>
      </c>
      <c r="AF568" s="4" t="s">
        <v>589</v>
      </c>
      <c r="AG568" s="743">
        <v>0</v>
      </c>
      <c r="AI568" s="158"/>
    </row>
    <row r="569" spans="23:35">
      <c r="W569" s="4" t="s">
        <v>3405</v>
      </c>
      <c r="X569" s="4" t="s">
        <v>3359</v>
      </c>
      <c r="Y569" s="151" t="str">
        <f t="shared" si="50"/>
        <v>E5690</v>
      </c>
      <c r="Z569" s="4" t="s">
        <v>587</v>
      </c>
      <c r="AA569" s="114" t="s">
        <v>588</v>
      </c>
      <c r="AB569" s="4" t="s">
        <v>506</v>
      </c>
      <c r="AC569" s="4" t="s">
        <v>507</v>
      </c>
      <c r="AD569" s="4" t="s">
        <v>508</v>
      </c>
      <c r="AE569" s="4" t="s">
        <v>509</v>
      </c>
      <c r="AF569" s="4" t="s">
        <v>589</v>
      </c>
      <c r="AG569" s="743">
        <v>0</v>
      </c>
      <c r="AI569" s="158"/>
    </row>
    <row r="570" spans="23:35">
      <c r="W570" s="4" t="s">
        <v>3405</v>
      </c>
      <c r="X570" s="4" t="s">
        <v>3360</v>
      </c>
      <c r="Y570" s="151" t="str">
        <f t="shared" si="50"/>
        <v>E5690</v>
      </c>
      <c r="Z570" s="4" t="s">
        <v>587</v>
      </c>
      <c r="AA570" s="114" t="s">
        <v>588</v>
      </c>
      <c r="AB570" s="4" t="s">
        <v>506</v>
      </c>
      <c r="AC570" s="4" t="s">
        <v>507</v>
      </c>
      <c r="AD570" s="4" t="s">
        <v>508</v>
      </c>
      <c r="AE570" s="4" t="s">
        <v>509</v>
      </c>
      <c r="AF570" s="4" t="s">
        <v>589</v>
      </c>
      <c r="AG570" s="743">
        <v>0</v>
      </c>
      <c r="AI570" s="158"/>
    </row>
    <row r="571" spans="23:35">
      <c r="W571" s="4" t="s">
        <v>3405</v>
      </c>
      <c r="X571" s="4" t="s">
        <v>3361</v>
      </c>
      <c r="Y571" s="151" t="str">
        <f t="shared" si="50"/>
        <v>E5690</v>
      </c>
      <c r="Z571" s="4" t="s">
        <v>587</v>
      </c>
      <c r="AA571" s="114" t="s">
        <v>588</v>
      </c>
      <c r="AB571" s="4" t="s">
        <v>506</v>
      </c>
      <c r="AC571" s="4" t="s">
        <v>507</v>
      </c>
      <c r="AD571" s="4" t="s">
        <v>508</v>
      </c>
      <c r="AE571" s="4" t="s">
        <v>509</v>
      </c>
      <c r="AF571" s="4" t="s">
        <v>589</v>
      </c>
      <c r="AG571" s="743">
        <v>0</v>
      </c>
      <c r="AI571" s="158"/>
    </row>
    <row r="572" spans="23:35">
      <c r="W572" s="4" t="s">
        <v>3405</v>
      </c>
      <c r="X572" s="4" t="s">
        <v>3362</v>
      </c>
      <c r="Y572" s="151" t="str">
        <f t="shared" si="50"/>
        <v>E5690</v>
      </c>
      <c r="Z572" s="4" t="s">
        <v>587</v>
      </c>
      <c r="AA572" s="114" t="s">
        <v>588</v>
      </c>
      <c r="AB572" s="4" t="s">
        <v>506</v>
      </c>
      <c r="AC572" s="4" t="s">
        <v>507</v>
      </c>
      <c r="AD572" s="4" t="s">
        <v>508</v>
      </c>
      <c r="AE572" s="4" t="s">
        <v>509</v>
      </c>
      <c r="AF572" s="4" t="s">
        <v>589</v>
      </c>
      <c r="AG572" s="743">
        <v>0</v>
      </c>
      <c r="AI572" s="158"/>
    </row>
    <row r="573" spans="23:35">
      <c r="W573" s="4" t="s">
        <v>3405</v>
      </c>
      <c r="X573" s="4" t="s">
        <v>3363</v>
      </c>
      <c r="Y573" s="151" t="str">
        <f t="shared" si="50"/>
        <v>E5690</v>
      </c>
      <c r="Z573" s="4" t="s">
        <v>587</v>
      </c>
      <c r="AA573" s="114" t="s">
        <v>588</v>
      </c>
      <c r="AB573" s="4" t="s">
        <v>506</v>
      </c>
      <c r="AC573" s="4" t="s">
        <v>507</v>
      </c>
      <c r="AD573" s="4" t="s">
        <v>508</v>
      </c>
      <c r="AE573" s="4" t="s">
        <v>509</v>
      </c>
      <c r="AF573" s="4" t="s">
        <v>589</v>
      </c>
      <c r="AG573" s="743">
        <v>0</v>
      </c>
      <c r="AI573" s="158"/>
    </row>
    <row r="574" spans="23:35">
      <c r="W574" s="4" t="s">
        <v>3405</v>
      </c>
      <c r="X574" s="4" t="s">
        <v>3364</v>
      </c>
      <c r="Y574" s="151" t="str">
        <f t="shared" si="50"/>
        <v>E5690</v>
      </c>
      <c r="Z574" s="4" t="s">
        <v>587</v>
      </c>
      <c r="AA574" s="114" t="s">
        <v>588</v>
      </c>
      <c r="AB574" s="4" t="s">
        <v>506</v>
      </c>
      <c r="AC574" s="4" t="s">
        <v>507</v>
      </c>
      <c r="AD574" s="4" t="s">
        <v>508</v>
      </c>
      <c r="AE574" s="4" t="s">
        <v>509</v>
      </c>
      <c r="AF574" s="4" t="s">
        <v>589</v>
      </c>
      <c r="AG574" s="743">
        <v>0</v>
      </c>
      <c r="AI574" s="158"/>
    </row>
    <row r="575" spans="23:35">
      <c r="W575" s="4" t="s">
        <v>3405</v>
      </c>
      <c r="X575" s="4" t="s">
        <v>3365</v>
      </c>
      <c r="Y575" s="151" t="str">
        <f t="shared" si="50"/>
        <v>E5690</v>
      </c>
      <c r="Z575" s="4" t="s">
        <v>587</v>
      </c>
      <c r="AA575" s="114" t="s">
        <v>588</v>
      </c>
      <c r="AB575" s="4" t="s">
        <v>506</v>
      </c>
      <c r="AC575" s="4" t="s">
        <v>507</v>
      </c>
      <c r="AD575" s="4" t="s">
        <v>508</v>
      </c>
      <c r="AE575" s="4" t="s">
        <v>509</v>
      </c>
      <c r="AF575" s="4" t="s">
        <v>589</v>
      </c>
      <c r="AG575" s="743">
        <v>0</v>
      </c>
      <c r="AI575" s="158"/>
    </row>
    <row r="576" spans="23:35">
      <c r="W576" s="4" t="s">
        <v>3405</v>
      </c>
      <c r="X576" s="4" t="s">
        <v>3366</v>
      </c>
      <c r="Y576" s="151" t="str">
        <f t="shared" si="50"/>
        <v>E5690</v>
      </c>
      <c r="Z576" s="4" t="s">
        <v>587</v>
      </c>
      <c r="AA576" s="114" t="s">
        <v>588</v>
      </c>
      <c r="AB576" s="4" t="s">
        <v>506</v>
      </c>
      <c r="AC576" s="4" t="s">
        <v>507</v>
      </c>
      <c r="AD576" s="4" t="s">
        <v>508</v>
      </c>
      <c r="AE576" s="4" t="s">
        <v>509</v>
      </c>
      <c r="AF576" s="4" t="s">
        <v>589</v>
      </c>
      <c r="AG576" s="743">
        <v>0</v>
      </c>
      <c r="AI576" s="158"/>
    </row>
    <row r="577" spans="23:35">
      <c r="W577" s="4" t="s">
        <v>3405</v>
      </c>
      <c r="X577" s="4" t="s">
        <v>3367</v>
      </c>
      <c r="Y577" s="151" t="str">
        <f t="shared" si="50"/>
        <v>E5690</v>
      </c>
      <c r="Z577" s="4" t="s">
        <v>587</v>
      </c>
      <c r="AA577" s="114" t="s">
        <v>588</v>
      </c>
      <c r="AB577" s="4" t="s">
        <v>506</v>
      </c>
      <c r="AC577" s="4" t="s">
        <v>507</v>
      </c>
      <c r="AD577" s="4" t="s">
        <v>508</v>
      </c>
      <c r="AE577" s="4" t="s">
        <v>509</v>
      </c>
      <c r="AF577" s="4" t="s">
        <v>589</v>
      </c>
      <c r="AG577" s="743">
        <v>0</v>
      </c>
      <c r="AI577" s="158"/>
    </row>
    <row r="578" spans="23:35">
      <c r="W578" s="4" t="s">
        <v>3405</v>
      </c>
      <c r="X578" s="3" t="s">
        <v>3356</v>
      </c>
      <c r="Y578" s="150" t="str">
        <f>INDEX($B$3:$O$110,71,1)</f>
        <v>E5700</v>
      </c>
      <c r="Z578" s="4" t="s">
        <v>587</v>
      </c>
      <c r="AA578" s="114" t="s">
        <v>588</v>
      </c>
      <c r="AB578" s="4" t="s">
        <v>506</v>
      </c>
      <c r="AC578" s="4" t="s">
        <v>507</v>
      </c>
      <c r="AD578" s="4" t="s">
        <v>508</v>
      </c>
      <c r="AE578" s="4" t="s">
        <v>509</v>
      </c>
      <c r="AF578" s="4" t="s">
        <v>589</v>
      </c>
      <c r="AG578" s="743">
        <v>0</v>
      </c>
      <c r="AI578" s="158"/>
    </row>
    <row r="579" spans="23:35">
      <c r="W579" s="4" t="s">
        <v>3405</v>
      </c>
      <c r="X579" s="4" t="s">
        <v>3357</v>
      </c>
      <c r="Y579" s="151" t="str">
        <f>Y578</f>
        <v>E5700</v>
      </c>
      <c r="Z579" s="4" t="s">
        <v>587</v>
      </c>
      <c r="AA579" s="114" t="s">
        <v>588</v>
      </c>
      <c r="AB579" s="4" t="s">
        <v>506</v>
      </c>
      <c r="AC579" s="4" t="s">
        <v>507</v>
      </c>
      <c r="AD579" s="4" t="s">
        <v>508</v>
      </c>
      <c r="AE579" s="4" t="s">
        <v>509</v>
      </c>
      <c r="AF579" s="4" t="s">
        <v>589</v>
      </c>
      <c r="AG579" s="743">
        <v>0</v>
      </c>
      <c r="AI579" s="158"/>
    </row>
    <row r="580" spans="23:35">
      <c r="W580" s="4" t="s">
        <v>3405</v>
      </c>
      <c r="X580" s="4" t="s">
        <v>3358</v>
      </c>
      <c r="Y580" s="151" t="str">
        <f t="shared" ref="Y580:Y589" si="51">Y579</f>
        <v>E5700</v>
      </c>
      <c r="Z580" s="4" t="s">
        <v>587</v>
      </c>
      <c r="AA580" s="114" t="s">
        <v>588</v>
      </c>
      <c r="AB580" s="4" t="s">
        <v>506</v>
      </c>
      <c r="AC580" s="4" t="s">
        <v>507</v>
      </c>
      <c r="AD580" s="4" t="s">
        <v>508</v>
      </c>
      <c r="AE580" s="4" t="s">
        <v>509</v>
      </c>
      <c r="AF580" s="4" t="s">
        <v>589</v>
      </c>
      <c r="AG580" s="743">
        <v>0</v>
      </c>
      <c r="AI580" s="158"/>
    </row>
    <row r="581" spans="23:35">
      <c r="W581" s="4" t="s">
        <v>3405</v>
      </c>
      <c r="X581" s="4" t="s">
        <v>3359</v>
      </c>
      <c r="Y581" s="151" t="str">
        <f t="shared" si="51"/>
        <v>E5700</v>
      </c>
      <c r="Z581" s="4" t="s">
        <v>587</v>
      </c>
      <c r="AA581" s="114" t="s">
        <v>588</v>
      </c>
      <c r="AB581" s="4" t="s">
        <v>506</v>
      </c>
      <c r="AC581" s="4" t="s">
        <v>507</v>
      </c>
      <c r="AD581" s="4" t="s">
        <v>508</v>
      </c>
      <c r="AE581" s="4" t="s">
        <v>509</v>
      </c>
      <c r="AF581" s="4" t="s">
        <v>589</v>
      </c>
      <c r="AG581" s="743">
        <v>0</v>
      </c>
      <c r="AI581" s="158"/>
    </row>
    <row r="582" spans="23:35">
      <c r="W582" s="4" t="s">
        <v>3405</v>
      </c>
      <c r="X582" s="4" t="s">
        <v>3360</v>
      </c>
      <c r="Y582" s="151" t="str">
        <f t="shared" si="51"/>
        <v>E5700</v>
      </c>
      <c r="Z582" s="4" t="s">
        <v>587</v>
      </c>
      <c r="AA582" s="114" t="s">
        <v>588</v>
      </c>
      <c r="AB582" s="4" t="s">
        <v>506</v>
      </c>
      <c r="AC582" s="4" t="s">
        <v>507</v>
      </c>
      <c r="AD582" s="4" t="s">
        <v>508</v>
      </c>
      <c r="AE582" s="4" t="s">
        <v>509</v>
      </c>
      <c r="AF582" s="4" t="s">
        <v>589</v>
      </c>
      <c r="AG582" s="743">
        <v>0</v>
      </c>
      <c r="AI582" s="158"/>
    </row>
    <row r="583" spans="23:35">
      <c r="W583" s="4" t="s">
        <v>3405</v>
      </c>
      <c r="X583" s="4" t="s">
        <v>3361</v>
      </c>
      <c r="Y583" s="151" t="str">
        <f t="shared" si="51"/>
        <v>E5700</v>
      </c>
      <c r="Z583" s="4" t="s">
        <v>587</v>
      </c>
      <c r="AA583" s="114" t="s">
        <v>588</v>
      </c>
      <c r="AB583" s="4" t="s">
        <v>506</v>
      </c>
      <c r="AC583" s="4" t="s">
        <v>507</v>
      </c>
      <c r="AD583" s="4" t="s">
        <v>508</v>
      </c>
      <c r="AE583" s="4" t="s">
        <v>509</v>
      </c>
      <c r="AF583" s="4" t="s">
        <v>589</v>
      </c>
      <c r="AG583" s="743">
        <v>0</v>
      </c>
      <c r="AI583" s="158"/>
    </row>
    <row r="584" spans="23:35">
      <c r="W584" s="4" t="s">
        <v>3405</v>
      </c>
      <c r="X584" s="4" t="s">
        <v>3362</v>
      </c>
      <c r="Y584" s="151" t="str">
        <f t="shared" si="51"/>
        <v>E5700</v>
      </c>
      <c r="Z584" s="4" t="s">
        <v>587</v>
      </c>
      <c r="AA584" s="114" t="s">
        <v>588</v>
      </c>
      <c r="AB584" s="4" t="s">
        <v>506</v>
      </c>
      <c r="AC584" s="4" t="s">
        <v>507</v>
      </c>
      <c r="AD584" s="4" t="s">
        <v>508</v>
      </c>
      <c r="AE584" s="4" t="s">
        <v>509</v>
      </c>
      <c r="AF584" s="4" t="s">
        <v>589</v>
      </c>
      <c r="AG584" s="743">
        <v>0</v>
      </c>
      <c r="AI584" s="158"/>
    </row>
    <row r="585" spans="23:35">
      <c r="W585" s="4" t="s">
        <v>3405</v>
      </c>
      <c r="X585" s="4" t="s">
        <v>3363</v>
      </c>
      <c r="Y585" s="151" t="str">
        <f t="shared" si="51"/>
        <v>E5700</v>
      </c>
      <c r="Z585" s="4" t="s">
        <v>587</v>
      </c>
      <c r="AA585" s="114" t="s">
        <v>588</v>
      </c>
      <c r="AB585" s="4" t="s">
        <v>506</v>
      </c>
      <c r="AC585" s="4" t="s">
        <v>507</v>
      </c>
      <c r="AD585" s="4" t="s">
        <v>508</v>
      </c>
      <c r="AE585" s="4" t="s">
        <v>509</v>
      </c>
      <c r="AF585" s="4" t="s">
        <v>589</v>
      </c>
      <c r="AG585" s="743">
        <v>0</v>
      </c>
      <c r="AI585" s="158"/>
    </row>
    <row r="586" spans="23:35">
      <c r="W586" s="4" t="s">
        <v>3405</v>
      </c>
      <c r="X586" s="4" t="s">
        <v>3364</v>
      </c>
      <c r="Y586" s="151" t="str">
        <f t="shared" si="51"/>
        <v>E5700</v>
      </c>
      <c r="Z586" s="4" t="s">
        <v>587</v>
      </c>
      <c r="AA586" s="114" t="s">
        <v>588</v>
      </c>
      <c r="AB586" s="4" t="s">
        <v>506</v>
      </c>
      <c r="AC586" s="4" t="s">
        <v>507</v>
      </c>
      <c r="AD586" s="4" t="s">
        <v>508</v>
      </c>
      <c r="AE586" s="4" t="s">
        <v>509</v>
      </c>
      <c r="AF586" s="4" t="s">
        <v>589</v>
      </c>
      <c r="AG586" s="743">
        <v>0</v>
      </c>
      <c r="AI586" s="158"/>
    </row>
    <row r="587" spans="23:35">
      <c r="W587" s="4" t="s">
        <v>3405</v>
      </c>
      <c r="X587" s="4" t="s">
        <v>3365</v>
      </c>
      <c r="Y587" s="151" t="str">
        <f t="shared" si="51"/>
        <v>E5700</v>
      </c>
      <c r="Z587" s="4" t="s">
        <v>587</v>
      </c>
      <c r="AA587" s="114" t="s">
        <v>588</v>
      </c>
      <c r="AB587" s="4" t="s">
        <v>506</v>
      </c>
      <c r="AC587" s="4" t="s">
        <v>507</v>
      </c>
      <c r="AD587" s="4" t="s">
        <v>508</v>
      </c>
      <c r="AE587" s="4" t="s">
        <v>509</v>
      </c>
      <c r="AF587" s="4" t="s">
        <v>589</v>
      </c>
      <c r="AG587" s="743">
        <v>0</v>
      </c>
      <c r="AI587" s="158"/>
    </row>
    <row r="588" spans="23:35">
      <c r="W588" s="4" t="s">
        <v>3405</v>
      </c>
      <c r="X588" s="4" t="s">
        <v>3366</v>
      </c>
      <c r="Y588" s="151" t="str">
        <f t="shared" si="51"/>
        <v>E5700</v>
      </c>
      <c r="Z588" s="4" t="s">
        <v>587</v>
      </c>
      <c r="AA588" s="114" t="s">
        <v>588</v>
      </c>
      <c r="AB588" s="4" t="s">
        <v>506</v>
      </c>
      <c r="AC588" s="4" t="s">
        <v>507</v>
      </c>
      <c r="AD588" s="4" t="s">
        <v>508</v>
      </c>
      <c r="AE588" s="4" t="s">
        <v>509</v>
      </c>
      <c r="AF588" s="4" t="s">
        <v>589</v>
      </c>
      <c r="AG588" s="743">
        <v>0</v>
      </c>
      <c r="AI588" s="158"/>
    </row>
    <row r="589" spans="23:35">
      <c r="W589" s="4" t="s">
        <v>3405</v>
      </c>
      <c r="X589" s="4" t="s">
        <v>3367</v>
      </c>
      <c r="Y589" s="151" t="str">
        <f t="shared" si="51"/>
        <v>E5700</v>
      </c>
      <c r="Z589" s="4" t="s">
        <v>587</v>
      </c>
      <c r="AA589" s="114" t="s">
        <v>588</v>
      </c>
      <c r="AB589" s="4" t="s">
        <v>506</v>
      </c>
      <c r="AC589" s="4" t="s">
        <v>507</v>
      </c>
      <c r="AD589" s="4" t="s">
        <v>508</v>
      </c>
      <c r="AE589" s="4" t="s">
        <v>509</v>
      </c>
      <c r="AF589" s="4" t="s">
        <v>589</v>
      </c>
      <c r="AG589" s="743">
        <v>0</v>
      </c>
      <c r="AI589" s="158"/>
    </row>
    <row r="590" spans="23:35">
      <c r="W590" s="4" t="s">
        <v>3405</v>
      </c>
      <c r="X590" s="3" t="s">
        <v>3356</v>
      </c>
      <c r="Y590" s="150" t="str">
        <f>INDEX($B$3:$O$110,73,1)</f>
        <v>E5710</v>
      </c>
      <c r="Z590" s="4" t="s">
        <v>587</v>
      </c>
      <c r="AA590" s="114" t="s">
        <v>588</v>
      </c>
      <c r="AB590" s="4" t="s">
        <v>506</v>
      </c>
      <c r="AC590" s="4" t="s">
        <v>507</v>
      </c>
      <c r="AD590" s="4" t="s">
        <v>508</v>
      </c>
      <c r="AE590" s="4" t="s">
        <v>509</v>
      </c>
      <c r="AF590" s="4" t="s">
        <v>589</v>
      </c>
      <c r="AG590" s="115">
        <f>+VLOOKUP(Y590,B:O,3,FALSE)/1000</f>
        <v>5.8690999999999917E-3</v>
      </c>
      <c r="AI590" s="158"/>
    </row>
    <row r="591" spans="23:35">
      <c r="W591" s="4" t="s">
        <v>3405</v>
      </c>
      <c r="X591" s="4" t="s">
        <v>3357</v>
      </c>
      <c r="Y591" s="151" t="str">
        <f>Y590</f>
        <v>E5710</v>
      </c>
      <c r="Z591" s="4" t="s">
        <v>587</v>
      </c>
      <c r="AA591" s="114" t="s">
        <v>588</v>
      </c>
      <c r="AB591" s="4" t="s">
        <v>506</v>
      </c>
      <c r="AC591" s="4" t="s">
        <v>507</v>
      </c>
      <c r="AD591" s="4" t="s">
        <v>508</v>
      </c>
      <c r="AE591" s="4" t="s">
        <v>509</v>
      </c>
      <c r="AF591" s="4" t="s">
        <v>589</v>
      </c>
      <c r="AG591" s="115">
        <f>+VLOOKUP(Y591,B:O,4,FALSE)/1000</f>
        <v>4.899099999999993E-3</v>
      </c>
      <c r="AI591" s="158"/>
    </row>
    <row r="592" spans="23:35">
      <c r="W592" s="4" t="s">
        <v>3405</v>
      </c>
      <c r="X592" s="4" t="s">
        <v>3358</v>
      </c>
      <c r="Y592" s="151" t="str">
        <f t="shared" ref="Y592:Y601" si="52">Y591</f>
        <v>E5710</v>
      </c>
      <c r="Z592" s="4" t="s">
        <v>587</v>
      </c>
      <c r="AA592" s="114" t="s">
        <v>588</v>
      </c>
      <c r="AB592" s="4" t="s">
        <v>506</v>
      </c>
      <c r="AC592" s="4" t="s">
        <v>507</v>
      </c>
      <c r="AD592" s="4" t="s">
        <v>508</v>
      </c>
      <c r="AE592" s="4" t="s">
        <v>509</v>
      </c>
      <c r="AF592" s="4" t="s">
        <v>589</v>
      </c>
      <c r="AG592" s="115">
        <f>+VLOOKUP(Y592,B:O,5,FALSE)/1000</f>
        <v>1.7119099999999991E-2</v>
      </c>
      <c r="AI592" s="158"/>
    </row>
    <row r="593" spans="23:35">
      <c r="W593" s="4" t="s">
        <v>3405</v>
      </c>
      <c r="X593" s="4" t="s">
        <v>3359</v>
      </c>
      <c r="Y593" s="151" t="str">
        <f t="shared" si="52"/>
        <v>E5710</v>
      </c>
      <c r="Z593" s="4" t="s">
        <v>587</v>
      </c>
      <c r="AA593" s="114" t="s">
        <v>588</v>
      </c>
      <c r="AB593" s="4" t="s">
        <v>506</v>
      </c>
      <c r="AC593" s="4" t="s">
        <v>507</v>
      </c>
      <c r="AD593" s="4" t="s">
        <v>508</v>
      </c>
      <c r="AE593" s="4" t="s">
        <v>509</v>
      </c>
      <c r="AF593" s="4" t="s">
        <v>589</v>
      </c>
      <c r="AG593" s="115">
        <f>+VLOOKUP(Y593,B:O,6,FALSE)/1000</f>
        <v>3.1509099999999998E-2</v>
      </c>
      <c r="AI593" s="158"/>
    </row>
    <row r="594" spans="23:35">
      <c r="W594" s="4" t="s">
        <v>3405</v>
      </c>
      <c r="X594" s="4" t="s">
        <v>3360</v>
      </c>
      <c r="Y594" s="151" t="str">
        <f t="shared" si="52"/>
        <v>E5710</v>
      </c>
      <c r="Z594" s="4" t="s">
        <v>587</v>
      </c>
      <c r="AA594" s="114" t="s">
        <v>588</v>
      </c>
      <c r="AB594" s="4" t="s">
        <v>506</v>
      </c>
      <c r="AC594" s="4" t="s">
        <v>507</v>
      </c>
      <c r="AD594" s="4" t="s">
        <v>508</v>
      </c>
      <c r="AE594" s="4" t="s">
        <v>509</v>
      </c>
      <c r="AF594" s="4" t="s">
        <v>589</v>
      </c>
      <c r="AG594" s="115">
        <f>+VLOOKUP(Y594,B:O,7,FALSE)/1000</f>
        <v>4.08291E-2</v>
      </c>
      <c r="AI594" s="158"/>
    </row>
    <row r="595" spans="23:35">
      <c r="W595" s="4" t="s">
        <v>3405</v>
      </c>
      <c r="X595" s="4" t="s">
        <v>3361</v>
      </c>
      <c r="Y595" s="151" t="str">
        <f t="shared" si="52"/>
        <v>E5710</v>
      </c>
      <c r="Z595" s="4" t="s">
        <v>587</v>
      </c>
      <c r="AA595" s="114" t="s">
        <v>588</v>
      </c>
      <c r="AB595" s="4" t="s">
        <v>506</v>
      </c>
      <c r="AC595" s="4" t="s">
        <v>507</v>
      </c>
      <c r="AD595" s="4" t="s">
        <v>508</v>
      </c>
      <c r="AE595" s="4" t="s">
        <v>509</v>
      </c>
      <c r="AF595" s="4" t="s">
        <v>589</v>
      </c>
      <c r="AG595" s="115">
        <f>+VLOOKUP(Y595,B:O,8,FALSE)/1000</f>
        <v>3.5679099999999991E-2</v>
      </c>
      <c r="AI595" s="158"/>
    </row>
    <row r="596" spans="23:35">
      <c r="W596" s="4" t="s">
        <v>3405</v>
      </c>
      <c r="X596" s="4" t="s">
        <v>3362</v>
      </c>
      <c r="Y596" s="151" t="str">
        <f t="shared" si="52"/>
        <v>E5710</v>
      </c>
      <c r="Z596" s="4" t="s">
        <v>587</v>
      </c>
      <c r="AA596" s="114" t="s">
        <v>588</v>
      </c>
      <c r="AB596" s="4" t="s">
        <v>506</v>
      </c>
      <c r="AC596" s="4" t="s">
        <v>507</v>
      </c>
      <c r="AD596" s="4" t="s">
        <v>508</v>
      </c>
      <c r="AE596" s="4" t="s">
        <v>509</v>
      </c>
      <c r="AF596" s="4" t="s">
        <v>589</v>
      </c>
      <c r="AG596" s="115">
        <f>+VLOOKUP(Y596,B:O,9,FALSE)/1000</f>
        <v>3.3619099999999999E-2</v>
      </c>
      <c r="AI596" s="158"/>
    </row>
    <row r="597" spans="23:35">
      <c r="W597" s="4" t="s">
        <v>3405</v>
      </c>
      <c r="X597" s="4" t="s">
        <v>3363</v>
      </c>
      <c r="Y597" s="151" t="str">
        <f t="shared" si="52"/>
        <v>E5710</v>
      </c>
      <c r="Z597" s="4" t="s">
        <v>587</v>
      </c>
      <c r="AA597" s="114" t="s">
        <v>588</v>
      </c>
      <c r="AB597" s="4" t="s">
        <v>506</v>
      </c>
      <c r="AC597" s="4" t="s">
        <v>507</v>
      </c>
      <c r="AD597" s="4" t="s">
        <v>508</v>
      </c>
      <c r="AE597" s="4" t="s">
        <v>509</v>
      </c>
      <c r="AF597" s="4" t="s">
        <v>589</v>
      </c>
      <c r="AG597" s="115">
        <f>+VLOOKUP(Y597,B:O,10,FALSE)/1000</f>
        <v>3.7339099999999993E-2</v>
      </c>
      <c r="AI597" s="158"/>
    </row>
    <row r="598" spans="23:35">
      <c r="W598" s="4" t="s">
        <v>3405</v>
      </c>
      <c r="X598" s="4" t="s">
        <v>3364</v>
      </c>
      <c r="Y598" s="151" t="str">
        <f t="shared" si="52"/>
        <v>E5710</v>
      </c>
      <c r="Z598" s="4" t="s">
        <v>587</v>
      </c>
      <c r="AA598" s="114" t="s">
        <v>588</v>
      </c>
      <c r="AB598" s="4" t="s">
        <v>506</v>
      </c>
      <c r="AC598" s="4" t="s">
        <v>507</v>
      </c>
      <c r="AD598" s="4" t="s">
        <v>508</v>
      </c>
      <c r="AE598" s="4" t="s">
        <v>509</v>
      </c>
      <c r="AF598" s="4" t="s">
        <v>589</v>
      </c>
      <c r="AG598" s="115">
        <f>+VLOOKUP(Y598,B:O,11,FALSE)/1000</f>
        <v>3.945909999999999E-2</v>
      </c>
      <c r="AI598" s="158"/>
    </row>
    <row r="599" spans="23:35">
      <c r="W599" s="4" t="s">
        <v>3405</v>
      </c>
      <c r="X599" s="4" t="s">
        <v>3365</v>
      </c>
      <c r="Y599" s="151" t="str">
        <f t="shared" si="52"/>
        <v>E5710</v>
      </c>
      <c r="Z599" s="4" t="s">
        <v>587</v>
      </c>
      <c r="AA599" s="114" t="s">
        <v>588</v>
      </c>
      <c r="AB599" s="4" t="s">
        <v>506</v>
      </c>
      <c r="AC599" s="4" t="s">
        <v>507</v>
      </c>
      <c r="AD599" s="4" t="s">
        <v>508</v>
      </c>
      <c r="AE599" s="4" t="s">
        <v>509</v>
      </c>
      <c r="AF599" s="4" t="s">
        <v>589</v>
      </c>
      <c r="AG599" s="115">
        <f>+VLOOKUP(Y599,B:O,12,FALSE)/1000</f>
        <v>4.0259099999999999E-2</v>
      </c>
      <c r="AI599" s="158"/>
    </row>
    <row r="600" spans="23:35">
      <c r="W600" s="4" t="s">
        <v>3405</v>
      </c>
      <c r="X600" s="4" t="s">
        <v>3366</v>
      </c>
      <c r="Y600" s="151" t="str">
        <f t="shared" si="52"/>
        <v>E5710</v>
      </c>
      <c r="Z600" s="4" t="s">
        <v>587</v>
      </c>
      <c r="AA600" s="114" t="s">
        <v>588</v>
      </c>
      <c r="AB600" s="4" t="s">
        <v>506</v>
      </c>
      <c r="AC600" s="4" t="s">
        <v>507</v>
      </c>
      <c r="AD600" s="4" t="s">
        <v>508</v>
      </c>
      <c r="AE600" s="4" t="s">
        <v>509</v>
      </c>
      <c r="AF600" s="4" t="s">
        <v>589</v>
      </c>
      <c r="AG600" s="115">
        <f>+VLOOKUP(Y600,B:O,13,FALSE)/1000</f>
        <v>2.3391419300000001E-2</v>
      </c>
      <c r="AI600" s="158"/>
    </row>
    <row r="601" spans="23:35">
      <c r="W601" s="4" t="s">
        <v>3405</v>
      </c>
      <c r="X601" s="4" t="s">
        <v>3367</v>
      </c>
      <c r="Y601" s="151" t="str">
        <f t="shared" si="52"/>
        <v>E5710</v>
      </c>
      <c r="Z601" s="4" t="s">
        <v>587</v>
      </c>
      <c r="AA601" s="114" t="s">
        <v>588</v>
      </c>
      <c r="AB601" s="4" t="s">
        <v>506</v>
      </c>
      <c r="AC601" s="4" t="s">
        <v>507</v>
      </c>
      <c r="AD601" s="4" t="s">
        <v>508</v>
      </c>
      <c r="AE601" s="4" t="s">
        <v>509</v>
      </c>
      <c r="AF601" s="4" t="s">
        <v>589</v>
      </c>
      <c r="AG601" s="115">
        <f>+VLOOKUP(Y601,B:O,14,FALSE)/1000</f>
        <v>1.1961419299999993E-2</v>
      </c>
      <c r="AI601" s="158"/>
    </row>
    <row r="602" spans="23:35">
      <c r="W602" s="4" t="s">
        <v>3405</v>
      </c>
      <c r="X602" s="3" t="s">
        <v>3356</v>
      </c>
      <c r="Y602" s="150" t="str">
        <f>INDEX($B$3:$O$110,75,1)</f>
        <v>E5720</v>
      </c>
      <c r="Z602" s="4" t="s">
        <v>587</v>
      </c>
      <c r="AA602" s="114" t="s">
        <v>588</v>
      </c>
      <c r="AB602" s="4" t="s">
        <v>506</v>
      </c>
      <c r="AC602" s="4" t="s">
        <v>507</v>
      </c>
      <c r="AD602" s="4" t="s">
        <v>508</v>
      </c>
      <c r="AE602" s="4" t="s">
        <v>509</v>
      </c>
      <c r="AF602" s="4" t="s">
        <v>589</v>
      </c>
      <c r="AG602" s="115">
        <f>+VLOOKUP(Y602,B:O,3,FALSE)/1000</f>
        <v>4.2629899999999908E-3</v>
      </c>
      <c r="AI602" s="158"/>
    </row>
    <row r="603" spans="23:35">
      <c r="W603" s="4" t="s">
        <v>3405</v>
      </c>
      <c r="X603" s="4" t="s">
        <v>3357</v>
      </c>
      <c r="Y603" s="151" t="str">
        <f>Y602</f>
        <v>E5720</v>
      </c>
      <c r="Z603" s="4" t="s">
        <v>587</v>
      </c>
      <c r="AA603" s="114" t="s">
        <v>588</v>
      </c>
      <c r="AB603" s="4" t="s">
        <v>506</v>
      </c>
      <c r="AC603" s="4" t="s">
        <v>507</v>
      </c>
      <c r="AD603" s="4" t="s">
        <v>508</v>
      </c>
      <c r="AE603" s="4" t="s">
        <v>509</v>
      </c>
      <c r="AF603" s="4" t="s">
        <v>589</v>
      </c>
      <c r="AG603" s="115">
        <f>+VLOOKUP(Y603,B:O,4,FALSE)/1000</f>
        <v>3.2929899999999917E-3</v>
      </c>
      <c r="AI603" s="158"/>
    </row>
    <row r="604" spans="23:35">
      <c r="W604" s="4" t="s">
        <v>3405</v>
      </c>
      <c r="X604" s="4" t="s">
        <v>3358</v>
      </c>
      <c r="Y604" s="151" t="str">
        <f t="shared" ref="Y604:Y613" si="53">Y603</f>
        <v>E5720</v>
      </c>
      <c r="Z604" s="4" t="s">
        <v>587</v>
      </c>
      <c r="AA604" s="114" t="s">
        <v>588</v>
      </c>
      <c r="AB604" s="4" t="s">
        <v>506</v>
      </c>
      <c r="AC604" s="4" t="s">
        <v>507</v>
      </c>
      <c r="AD604" s="4" t="s">
        <v>508</v>
      </c>
      <c r="AE604" s="4" t="s">
        <v>509</v>
      </c>
      <c r="AF604" s="4" t="s">
        <v>589</v>
      </c>
      <c r="AG604" s="115">
        <f>+VLOOKUP(Y604,B:O,5,FALSE)/1000</f>
        <v>1.5512989999999992E-2</v>
      </c>
      <c r="AI604" s="158"/>
    </row>
    <row r="605" spans="23:35">
      <c r="W605" s="4" t="s">
        <v>3405</v>
      </c>
      <c r="X605" s="4" t="s">
        <v>3359</v>
      </c>
      <c r="Y605" s="151" t="str">
        <f t="shared" si="53"/>
        <v>E5720</v>
      </c>
      <c r="Z605" s="4" t="s">
        <v>587</v>
      </c>
      <c r="AA605" s="114" t="s">
        <v>588</v>
      </c>
      <c r="AB605" s="4" t="s">
        <v>506</v>
      </c>
      <c r="AC605" s="4" t="s">
        <v>507</v>
      </c>
      <c r="AD605" s="4" t="s">
        <v>508</v>
      </c>
      <c r="AE605" s="4" t="s">
        <v>509</v>
      </c>
      <c r="AF605" s="4" t="s">
        <v>589</v>
      </c>
      <c r="AG605" s="115">
        <f>+VLOOKUP(Y605,B:O,6,FALSE)/1000</f>
        <v>2.9902989999999997E-2</v>
      </c>
      <c r="AI605" s="158"/>
    </row>
    <row r="606" spans="23:35">
      <c r="W606" s="4" t="s">
        <v>3405</v>
      </c>
      <c r="X606" s="4" t="s">
        <v>3360</v>
      </c>
      <c r="Y606" s="151" t="str">
        <f t="shared" si="53"/>
        <v>E5720</v>
      </c>
      <c r="Z606" s="4" t="s">
        <v>587</v>
      </c>
      <c r="AA606" s="114" t="s">
        <v>588</v>
      </c>
      <c r="AB606" s="4" t="s">
        <v>506</v>
      </c>
      <c r="AC606" s="4" t="s">
        <v>507</v>
      </c>
      <c r="AD606" s="4" t="s">
        <v>508</v>
      </c>
      <c r="AE606" s="4" t="s">
        <v>509</v>
      </c>
      <c r="AF606" s="4" t="s">
        <v>589</v>
      </c>
      <c r="AG606" s="115">
        <f>+VLOOKUP(Y606,B:O,7,FALSE)/1000</f>
        <v>3.9222989999999999E-2</v>
      </c>
      <c r="AI606" s="158"/>
    </row>
    <row r="607" spans="23:35">
      <c r="W607" s="4" t="s">
        <v>3405</v>
      </c>
      <c r="X607" s="4" t="s">
        <v>3361</v>
      </c>
      <c r="Y607" s="151" t="str">
        <f t="shared" si="53"/>
        <v>E5720</v>
      </c>
      <c r="Z607" s="4" t="s">
        <v>587</v>
      </c>
      <c r="AA607" s="114" t="s">
        <v>588</v>
      </c>
      <c r="AB607" s="4" t="s">
        <v>506</v>
      </c>
      <c r="AC607" s="4" t="s">
        <v>507</v>
      </c>
      <c r="AD607" s="4" t="s">
        <v>508</v>
      </c>
      <c r="AE607" s="4" t="s">
        <v>509</v>
      </c>
      <c r="AF607" s="4" t="s">
        <v>589</v>
      </c>
      <c r="AG607" s="115">
        <f>+VLOOKUP(Y607,B:O,8,FALSE)/1000</f>
        <v>3.4072989999999991E-2</v>
      </c>
      <c r="AI607" s="158"/>
    </row>
    <row r="608" spans="23:35">
      <c r="W608" s="4" t="s">
        <v>3405</v>
      </c>
      <c r="X608" s="4" t="s">
        <v>3362</v>
      </c>
      <c r="Y608" s="151" t="str">
        <f t="shared" si="53"/>
        <v>E5720</v>
      </c>
      <c r="Z608" s="4" t="s">
        <v>587</v>
      </c>
      <c r="AA608" s="114" t="s">
        <v>588</v>
      </c>
      <c r="AB608" s="4" t="s">
        <v>506</v>
      </c>
      <c r="AC608" s="4" t="s">
        <v>507</v>
      </c>
      <c r="AD608" s="4" t="s">
        <v>508</v>
      </c>
      <c r="AE608" s="4" t="s">
        <v>509</v>
      </c>
      <c r="AF608" s="4" t="s">
        <v>589</v>
      </c>
      <c r="AG608" s="115">
        <f>+VLOOKUP(Y608,B:O,9,FALSE)/1000</f>
        <v>3.2012989999999998E-2</v>
      </c>
      <c r="AI608" s="158"/>
    </row>
    <row r="609" spans="23:35">
      <c r="W609" s="4" t="s">
        <v>3405</v>
      </c>
      <c r="X609" s="4" t="s">
        <v>3363</v>
      </c>
      <c r="Y609" s="151" t="str">
        <f t="shared" si="53"/>
        <v>E5720</v>
      </c>
      <c r="Z609" s="4" t="s">
        <v>587</v>
      </c>
      <c r="AA609" s="114" t="s">
        <v>588</v>
      </c>
      <c r="AB609" s="4" t="s">
        <v>506</v>
      </c>
      <c r="AC609" s="4" t="s">
        <v>507</v>
      </c>
      <c r="AD609" s="4" t="s">
        <v>508</v>
      </c>
      <c r="AE609" s="4" t="s">
        <v>509</v>
      </c>
      <c r="AF609" s="4" t="s">
        <v>589</v>
      </c>
      <c r="AG609" s="115">
        <f>+VLOOKUP(Y609,B:O,10,FALSE)/1000</f>
        <v>3.5732989999999992E-2</v>
      </c>
      <c r="AI609" s="158"/>
    </row>
    <row r="610" spans="23:35">
      <c r="W610" s="4" t="s">
        <v>3405</v>
      </c>
      <c r="X610" s="4" t="s">
        <v>3364</v>
      </c>
      <c r="Y610" s="151" t="str">
        <f t="shared" si="53"/>
        <v>E5720</v>
      </c>
      <c r="Z610" s="4" t="s">
        <v>587</v>
      </c>
      <c r="AA610" s="114" t="s">
        <v>588</v>
      </c>
      <c r="AB610" s="4" t="s">
        <v>506</v>
      </c>
      <c r="AC610" s="4" t="s">
        <v>507</v>
      </c>
      <c r="AD610" s="4" t="s">
        <v>508</v>
      </c>
      <c r="AE610" s="4" t="s">
        <v>509</v>
      </c>
      <c r="AF610" s="4" t="s">
        <v>589</v>
      </c>
      <c r="AG610" s="115">
        <f>+VLOOKUP(Y610,B:O,11,FALSE)/1000</f>
        <v>3.7852989999999989E-2</v>
      </c>
      <c r="AI610" s="158"/>
    </row>
    <row r="611" spans="23:35">
      <c r="W611" s="4" t="s">
        <v>3405</v>
      </c>
      <c r="X611" s="4" t="s">
        <v>3365</v>
      </c>
      <c r="Y611" s="151" t="str">
        <f t="shared" si="53"/>
        <v>E5720</v>
      </c>
      <c r="Z611" s="4" t="s">
        <v>587</v>
      </c>
      <c r="AA611" s="114" t="s">
        <v>588</v>
      </c>
      <c r="AB611" s="4" t="s">
        <v>506</v>
      </c>
      <c r="AC611" s="4" t="s">
        <v>507</v>
      </c>
      <c r="AD611" s="4" t="s">
        <v>508</v>
      </c>
      <c r="AE611" s="4" t="s">
        <v>509</v>
      </c>
      <c r="AF611" s="4" t="s">
        <v>589</v>
      </c>
      <c r="AG611" s="115">
        <f>+VLOOKUP(Y611,B:O,12,FALSE)/1000</f>
        <v>3.8652989999999998E-2</v>
      </c>
      <c r="AI611" s="158"/>
    </row>
    <row r="612" spans="23:35">
      <c r="W612" s="4" t="s">
        <v>3405</v>
      </c>
      <c r="X612" s="4" t="s">
        <v>3366</v>
      </c>
      <c r="Y612" s="151" t="str">
        <f t="shared" si="53"/>
        <v>E5720</v>
      </c>
      <c r="Z612" s="4" t="s">
        <v>587</v>
      </c>
      <c r="AA612" s="114" t="s">
        <v>588</v>
      </c>
      <c r="AB612" s="4" t="s">
        <v>506</v>
      </c>
      <c r="AC612" s="4" t="s">
        <v>507</v>
      </c>
      <c r="AD612" s="4" t="s">
        <v>508</v>
      </c>
      <c r="AE612" s="4" t="s">
        <v>509</v>
      </c>
      <c r="AF612" s="4" t="s">
        <v>589</v>
      </c>
      <c r="AG612" s="115">
        <f>+VLOOKUP(Y612,B:O,13,FALSE)/1000</f>
        <v>2.1748368770000002E-2</v>
      </c>
      <c r="AI612" s="158"/>
    </row>
    <row r="613" spans="23:35">
      <c r="W613" s="4" t="s">
        <v>3405</v>
      </c>
      <c r="X613" s="4" t="s">
        <v>3367</v>
      </c>
      <c r="Y613" s="151" t="str">
        <f t="shared" si="53"/>
        <v>E5720</v>
      </c>
      <c r="Z613" s="4" t="s">
        <v>587</v>
      </c>
      <c r="AA613" s="114" t="s">
        <v>588</v>
      </c>
      <c r="AB613" s="4" t="s">
        <v>506</v>
      </c>
      <c r="AC613" s="4" t="s">
        <v>507</v>
      </c>
      <c r="AD613" s="4" t="s">
        <v>508</v>
      </c>
      <c r="AE613" s="4" t="s">
        <v>509</v>
      </c>
      <c r="AF613" s="4" t="s">
        <v>589</v>
      </c>
      <c r="AG613" s="115">
        <f>+VLOOKUP(Y613,B:O,14,FALSE)/1000</f>
        <v>1.0318368769999996E-2</v>
      </c>
      <c r="AI613" s="158"/>
    </row>
    <row r="614" spans="23:35">
      <c r="W614" s="4" t="s">
        <v>3405</v>
      </c>
      <c r="X614" s="3" t="s">
        <v>3356</v>
      </c>
      <c r="Y614" s="150" t="str">
        <f>INDEX($B$3:$O$110,76,1)</f>
        <v>E5770</v>
      </c>
      <c r="Z614" s="4" t="s">
        <v>587</v>
      </c>
      <c r="AA614" s="114" t="s">
        <v>588</v>
      </c>
      <c r="AB614" s="4" t="s">
        <v>506</v>
      </c>
      <c r="AC614" s="4" t="s">
        <v>507</v>
      </c>
      <c r="AD614" s="4" t="s">
        <v>508</v>
      </c>
      <c r="AE614" s="4" t="s">
        <v>509</v>
      </c>
      <c r="AF614" s="4" t="s">
        <v>589</v>
      </c>
      <c r="AG614" s="115">
        <f>+VLOOKUP(Y614,B:O,3,FALSE)/1000</f>
        <v>5.8690999999999917E-3</v>
      </c>
      <c r="AI614" s="158"/>
    </row>
    <row r="615" spans="23:35">
      <c r="W615" s="4" t="s">
        <v>3405</v>
      </c>
      <c r="X615" s="4" t="s">
        <v>3357</v>
      </c>
      <c r="Y615" s="151" t="str">
        <f>Y614</f>
        <v>E5770</v>
      </c>
      <c r="Z615" s="4" t="s">
        <v>587</v>
      </c>
      <c r="AA615" s="114" t="s">
        <v>588</v>
      </c>
      <c r="AB615" s="4" t="s">
        <v>506</v>
      </c>
      <c r="AC615" s="4" t="s">
        <v>507</v>
      </c>
      <c r="AD615" s="4" t="s">
        <v>508</v>
      </c>
      <c r="AE615" s="4" t="s">
        <v>509</v>
      </c>
      <c r="AF615" s="4" t="s">
        <v>589</v>
      </c>
      <c r="AG615" s="115">
        <f>+VLOOKUP(Y615,B:O,4,FALSE)/1000</f>
        <v>4.899099999999993E-3</v>
      </c>
      <c r="AI615" s="158"/>
    </row>
    <row r="616" spans="23:35">
      <c r="W616" s="4" t="s">
        <v>3405</v>
      </c>
      <c r="X616" s="4" t="s">
        <v>3358</v>
      </c>
      <c r="Y616" s="151" t="str">
        <f t="shared" ref="Y616:Y625" si="54">Y615</f>
        <v>E5770</v>
      </c>
      <c r="Z616" s="4" t="s">
        <v>587</v>
      </c>
      <c r="AA616" s="114" t="s">
        <v>588</v>
      </c>
      <c r="AB616" s="4" t="s">
        <v>506</v>
      </c>
      <c r="AC616" s="4" t="s">
        <v>507</v>
      </c>
      <c r="AD616" s="4" t="s">
        <v>508</v>
      </c>
      <c r="AE616" s="4" t="s">
        <v>509</v>
      </c>
      <c r="AF616" s="4" t="s">
        <v>589</v>
      </c>
      <c r="AG616" s="115">
        <f>+VLOOKUP(Y616,B:O,5,FALSE)/1000</f>
        <v>1.7119099999999991E-2</v>
      </c>
      <c r="AI616" s="158"/>
    </row>
    <row r="617" spans="23:35">
      <c r="W617" s="4" t="s">
        <v>3405</v>
      </c>
      <c r="X617" s="4" t="s">
        <v>3359</v>
      </c>
      <c r="Y617" s="151" t="str">
        <f t="shared" si="54"/>
        <v>E5770</v>
      </c>
      <c r="Z617" s="4" t="s">
        <v>587</v>
      </c>
      <c r="AA617" s="114" t="s">
        <v>588</v>
      </c>
      <c r="AB617" s="4" t="s">
        <v>506</v>
      </c>
      <c r="AC617" s="4" t="s">
        <v>507</v>
      </c>
      <c r="AD617" s="4" t="s">
        <v>508</v>
      </c>
      <c r="AE617" s="4" t="s">
        <v>509</v>
      </c>
      <c r="AF617" s="4" t="s">
        <v>589</v>
      </c>
      <c r="AG617" s="115">
        <f>+VLOOKUP(Y617,B:O,6,FALSE)/1000</f>
        <v>3.1509099999999998E-2</v>
      </c>
      <c r="AI617" s="158"/>
    </row>
    <row r="618" spans="23:35">
      <c r="W618" s="4" t="s">
        <v>3405</v>
      </c>
      <c r="X618" s="4" t="s">
        <v>3360</v>
      </c>
      <c r="Y618" s="151" t="str">
        <f t="shared" si="54"/>
        <v>E5770</v>
      </c>
      <c r="Z618" s="4" t="s">
        <v>587</v>
      </c>
      <c r="AA618" s="114" t="s">
        <v>588</v>
      </c>
      <c r="AB618" s="4" t="s">
        <v>506</v>
      </c>
      <c r="AC618" s="4" t="s">
        <v>507</v>
      </c>
      <c r="AD618" s="4" t="s">
        <v>508</v>
      </c>
      <c r="AE618" s="4" t="s">
        <v>509</v>
      </c>
      <c r="AF618" s="4" t="s">
        <v>589</v>
      </c>
      <c r="AG618" s="115">
        <f>+VLOOKUP(Y618,B:O,7,FALSE)/1000</f>
        <v>4.08291E-2</v>
      </c>
      <c r="AI618" s="158"/>
    </row>
    <row r="619" spans="23:35">
      <c r="W619" s="4" t="s">
        <v>3405</v>
      </c>
      <c r="X619" s="4" t="s">
        <v>3361</v>
      </c>
      <c r="Y619" s="151" t="str">
        <f t="shared" si="54"/>
        <v>E5770</v>
      </c>
      <c r="Z619" s="4" t="s">
        <v>587</v>
      </c>
      <c r="AA619" s="114" t="s">
        <v>588</v>
      </c>
      <c r="AB619" s="4" t="s">
        <v>506</v>
      </c>
      <c r="AC619" s="4" t="s">
        <v>507</v>
      </c>
      <c r="AD619" s="4" t="s">
        <v>508</v>
      </c>
      <c r="AE619" s="4" t="s">
        <v>509</v>
      </c>
      <c r="AF619" s="4" t="s">
        <v>589</v>
      </c>
      <c r="AG619" s="115">
        <f>+VLOOKUP(Y619,B:O,8,FALSE)/1000</f>
        <v>3.5679099999999991E-2</v>
      </c>
      <c r="AI619" s="158"/>
    </row>
    <row r="620" spans="23:35">
      <c r="W620" s="4" t="s">
        <v>3405</v>
      </c>
      <c r="X620" s="4" t="s">
        <v>3362</v>
      </c>
      <c r="Y620" s="151" t="str">
        <f t="shared" si="54"/>
        <v>E5770</v>
      </c>
      <c r="Z620" s="4" t="s">
        <v>587</v>
      </c>
      <c r="AA620" s="114" t="s">
        <v>588</v>
      </c>
      <c r="AB620" s="4" t="s">
        <v>506</v>
      </c>
      <c r="AC620" s="4" t="s">
        <v>507</v>
      </c>
      <c r="AD620" s="4" t="s">
        <v>508</v>
      </c>
      <c r="AE620" s="4" t="s">
        <v>509</v>
      </c>
      <c r="AF620" s="4" t="s">
        <v>589</v>
      </c>
      <c r="AG620" s="115">
        <f>+VLOOKUP(Y620,B:O,9,FALSE)/1000</f>
        <v>3.3619099999999999E-2</v>
      </c>
      <c r="AI620" s="158"/>
    </row>
    <row r="621" spans="23:35">
      <c r="W621" s="4" t="s">
        <v>3405</v>
      </c>
      <c r="X621" s="4" t="s">
        <v>3363</v>
      </c>
      <c r="Y621" s="151" t="str">
        <f t="shared" si="54"/>
        <v>E5770</v>
      </c>
      <c r="Z621" s="4" t="s">
        <v>587</v>
      </c>
      <c r="AA621" s="114" t="s">
        <v>588</v>
      </c>
      <c r="AB621" s="4" t="s">
        <v>506</v>
      </c>
      <c r="AC621" s="4" t="s">
        <v>507</v>
      </c>
      <c r="AD621" s="4" t="s">
        <v>508</v>
      </c>
      <c r="AE621" s="4" t="s">
        <v>509</v>
      </c>
      <c r="AF621" s="4" t="s">
        <v>589</v>
      </c>
      <c r="AG621" s="115">
        <f>+VLOOKUP(Y621,B:O,10,FALSE)/1000</f>
        <v>3.7339099999999993E-2</v>
      </c>
      <c r="AI621" s="158"/>
    </row>
    <row r="622" spans="23:35">
      <c r="W622" s="4" t="s">
        <v>3405</v>
      </c>
      <c r="X622" s="4" t="s">
        <v>3364</v>
      </c>
      <c r="Y622" s="151" t="str">
        <f t="shared" si="54"/>
        <v>E5770</v>
      </c>
      <c r="Z622" s="4" t="s">
        <v>587</v>
      </c>
      <c r="AA622" s="114" t="s">
        <v>588</v>
      </c>
      <c r="AB622" s="4" t="s">
        <v>506</v>
      </c>
      <c r="AC622" s="4" t="s">
        <v>507</v>
      </c>
      <c r="AD622" s="4" t="s">
        <v>508</v>
      </c>
      <c r="AE622" s="4" t="s">
        <v>509</v>
      </c>
      <c r="AF622" s="4" t="s">
        <v>589</v>
      </c>
      <c r="AG622" s="115">
        <f>+VLOOKUP(Y622,B:O,11,FALSE)/1000</f>
        <v>3.945909999999999E-2</v>
      </c>
      <c r="AI622" s="158"/>
    </row>
    <row r="623" spans="23:35">
      <c r="W623" s="4" t="s">
        <v>3405</v>
      </c>
      <c r="X623" s="4" t="s">
        <v>3365</v>
      </c>
      <c r="Y623" s="151" t="str">
        <f t="shared" si="54"/>
        <v>E5770</v>
      </c>
      <c r="Z623" s="4" t="s">
        <v>587</v>
      </c>
      <c r="AA623" s="114" t="s">
        <v>588</v>
      </c>
      <c r="AB623" s="4" t="s">
        <v>506</v>
      </c>
      <c r="AC623" s="4" t="s">
        <v>507</v>
      </c>
      <c r="AD623" s="4" t="s">
        <v>508</v>
      </c>
      <c r="AE623" s="4" t="s">
        <v>509</v>
      </c>
      <c r="AF623" s="4" t="s">
        <v>589</v>
      </c>
      <c r="AG623" s="115">
        <f>+VLOOKUP(Y623,B:O,12,FALSE)/1000</f>
        <v>4.0259099999999999E-2</v>
      </c>
      <c r="AI623" s="158"/>
    </row>
    <row r="624" spans="23:35">
      <c r="W624" s="4" t="s">
        <v>3405</v>
      </c>
      <c r="X624" s="4" t="s">
        <v>3366</v>
      </c>
      <c r="Y624" s="151" t="str">
        <f t="shared" si="54"/>
        <v>E5770</v>
      </c>
      <c r="Z624" s="4" t="s">
        <v>587</v>
      </c>
      <c r="AA624" s="114" t="s">
        <v>588</v>
      </c>
      <c r="AB624" s="4" t="s">
        <v>506</v>
      </c>
      <c r="AC624" s="4" t="s">
        <v>507</v>
      </c>
      <c r="AD624" s="4" t="s">
        <v>508</v>
      </c>
      <c r="AE624" s="4" t="s">
        <v>509</v>
      </c>
      <c r="AF624" s="4" t="s">
        <v>589</v>
      </c>
      <c r="AG624" s="115">
        <f>+VLOOKUP(Y624,B:O,13,FALSE)/1000</f>
        <v>2.3391419300000001E-2</v>
      </c>
      <c r="AI624" s="158"/>
    </row>
    <row r="625" spans="23:35">
      <c r="W625" s="4" t="s">
        <v>3405</v>
      </c>
      <c r="X625" s="4" t="s">
        <v>3367</v>
      </c>
      <c r="Y625" s="151" t="str">
        <f t="shared" si="54"/>
        <v>E5770</v>
      </c>
      <c r="Z625" s="4" t="s">
        <v>587</v>
      </c>
      <c r="AA625" s="114" t="s">
        <v>588</v>
      </c>
      <c r="AB625" s="4" t="s">
        <v>506</v>
      </c>
      <c r="AC625" s="4" t="s">
        <v>507</v>
      </c>
      <c r="AD625" s="4" t="s">
        <v>508</v>
      </c>
      <c r="AE625" s="4" t="s">
        <v>509</v>
      </c>
      <c r="AF625" s="4" t="s">
        <v>589</v>
      </c>
      <c r="AG625" s="115">
        <f>+VLOOKUP(Y625,B:O,14,FALSE)/1000</f>
        <v>1.1961419299999993E-2</v>
      </c>
      <c r="AI625" s="158"/>
    </row>
    <row r="626" spans="23:35">
      <c r="W626" s="4" t="s">
        <v>3405</v>
      </c>
      <c r="X626" s="3" t="s">
        <v>3356</v>
      </c>
      <c r="Y626" s="150" t="str">
        <f>INDEX($B$3:$O$110,78,1)</f>
        <v>E5810</v>
      </c>
      <c r="Z626" s="4" t="s">
        <v>587</v>
      </c>
      <c r="AA626" s="114" t="s">
        <v>588</v>
      </c>
      <c r="AB626" s="4" t="s">
        <v>506</v>
      </c>
      <c r="AC626" s="4" t="s">
        <v>507</v>
      </c>
      <c r="AD626" s="4" t="s">
        <v>508</v>
      </c>
      <c r="AE626" s="4" t="s">
        <v>509</v>
      </c>
      <c r="AF626" s="4" t="s">
        <v>589</v>
      </c>
      <c r="AG626" s="743">
        <v>0</v>
      </c>
      <c r="AI626" s="158"/>
    </row>
    <row r="627" spans="23:35">
      <c r="W627" s="4" t="s">
        <v>3405</v>
      </c>
      <c r="X627" s="4" t="s">
        <v>3357</v>
      </c>
      <c r="Y627" s="151" t="str">
        <f>Y626</f>
        <v>E5810</v>
      </c>
      <c r="Z627" s="4" t="s">
        <v>587</v>
      </c>
      <c r="AA627" s="114" t="s">
        <v>588</v>
      </c>
      <c r="AB627" s="4" t="s">
        <v>506</v>
      </c>
      <c r="AC627" s="4" t="s">
        <v>507</v>
      </c>
      <c r="AD627" s="4" t="s">
        <v>508</v>
      </c>
      <c r="AE627" s="4" t="s">
        <v>509</v>
      </c>
      <c r="AF627" s="4" t="s">
        <v>589</v>
      </c>
      <c r="AG627" s="743">
        <v>0</v>
      </c>
      <c r="AI627" s="158"/>
    </row>
    <row r="628" spans="23:35">
      <c r="W628" s="4" t="s">
        <v>3405</v>
      </c>
      <c r="X628" s="4" t="s">
        <v>3358</v>
      </c>
      <c r="Y628" s="151" t="str">
        <f t="shared" ref="Y628:Y637" si="55">Y627</f>
        <v>E5810</v>
      </c>
      <c r="Z628" s="4" t="s">
        <v>587</v>
      </c>
      <c r="AA628" s="114" t="s">
        <v>588</v>
      </c>
      <c r="AB628" s="4" t="s">
        <v>506</v>
      </c>
      <c r="AC628" s="4" t="s">
        <v>507</v>
      </c>
      <c r="AD628" s="4" t="s">
        <v>508</v>
      </c>
      <c r="AE628" s="4" t="s">
        <v>509</v>
      </c>
      <c r="AF628" s="4" t="s">
        <v>589</v>
      </c>
      <c r="AG628" s="743">
        <v>0</v>
      </c>
      <c r="AI628" s="158"/>
    </row>
    <row r="629" spans="23:35">
      <c r="W629" s="4" t="s">
        <v>3405</v>
      </c>
      <c r="X629" s="4" t="s">
        <v>3359</v>
      </c>
      <c r="Y629" s="151" t="str">
        <f t="shared" si="55"/>
        <v>E5810</v>
      </c>
      <c r="Z629" s="4" t="s">
        <v>587</v>
      </c>
      <c r="AA629" s="114" t="s">
        <v>588</v>
      </c>
      <c r="AB629" s="4" t="s">
        <v>506</v>
      </c>
      <c r="AC629" s="4" t="s">
        <v>507</v>
      </c>
      <c r="AD629" s="4" t="s">
        <v>508</v>
      </c>
      <c r="AE629" s="4" t="s">
        <v>509</v>
      </c>
      <c r="AF629" s="4" t="s">
        <v>589</v>
      </c>
      <c r="AG629" s="743">
        <v>0</v>
      </c>
      <c r="AI629" s="158"/>
    </row>
    <row r="630" spans="23:35">
      <c r="W630" s="4" t="s">
        <v>3405</v>
      </c>
      <c r="X630" s="4" t="s">
        <v>3360</v>
      </c>
      <c r="Y630" s="151" t="str">
        <f t="shared" si="55"/>
        <v>E5810</v>
      </c>
      <c r="Z630" s="4" t="s">
        <v>587</v>
      </c>
      <c r="AA630" s="114" t="s">
        <v>588</v>
      </c>
      <c r="AB630" s="4" t="s">
        <v>506</v>
      </c>
      <c r="AC630" s="4" t="s">
        <v>507</v>
      </c>
      <c r="AD630" s="4" t="s">
        <v>508</v>
      </c>
      <c r="AE630" s="4" t="s">
        <v>509</v>
      </c>
      <c r="AF630" s="4" t="s">
        <v>589</v>
      </c>
      <c r="AG630" s="743">
        <v>0</v>
      </c>
      <c r="AI630" s="158"/>
    </row>
    <row r="631" spans="23:35">
      <c r="W631" s="4" t="s">
        <v>3405</v>
      </c>
      <c r="X631" s="4" t="s">
        <v>3361</v>
      </c>
      <c r="Y631" s="151" t="str">
        <f t="shared" si="55"/>
        <v>E5810</v>
      </c>
      <c r="Z631" s="4" t="s">
        <v>587</v>
      </c>
      <c r="AA631" s="114" t="s">
        <v>588</v>
      </c>
      <c r="AB631" s="4" t="s">
        <v>506</v>
      </c>
      <c r="AC631" s="4" t="s">
        <v>507</v>
      </c>
      <c r="AD631" s="4" t="s">
        <v>508</v>
      </c>
      <c r="AE631" s="4" t="s">
        <v>509</v>
      </c>
      <c r="AF631" s="4" t="s">
        <v>589</v>
      </c>
      <c r="AG631" s="743">
        <v>0</v>
      </c>
      <c r="AI631" s="158"/>
    </row>
    <row r="632" spans="23:35">
      <c r="W632" s="4" t="s">
        <v>3405</v>
      </c>
      <c r="X632" s="4" t="s">
        <v>3362</v>
      </c>
      <c r="Y632" s="151" t="str">
        <f t="shared" si="55"/>
        <v>E5810</v>
      </c>
      <c r="Z632" s="4" t="s">
        <v>587</v>
      </c>
      <c r="AA632" s="114" t="s">
        <v>588</v>
      </c>
      <c r="AB632" s="4" t="s">
        <v>506</v>
      </c>
      <c r="AC632" s="4" t="s">
        <v>507</v>
      </c>
      <c r="AD632" s="4" t="s">
        <v>508</v>
      </c>
      <c r="AE632" s="4" t="s">
        <v>509</v>
      </c>
      <c r="AF632" s="4" t="s">
        <v>589</v>
      </c>
      <c r="AG632" s="743">
        <v>0</v>
      </c>
      <c r="AI632" s="158"/>
    </row>
    <row r="633" spans="23:35">
      <c r="W633" s="4" t="s">
        <v>3405</v>
      </c>
      <c r="X633" s="4" t="s">
        <v>3363</v>
      </c>
      <c r="Y633" s="151" t="str">
        <f t="shared" si="55"/>
        <v>E5810</v>
      </c>
      <c r="Z633" s="4" t="s">
        <v>587</v>
      </c>
      <c r="AA633" s="114" t="s">
        <v>588</v>
      </c>
      <c r="AB633" s="4" t="s">
        <v>506</v>
      </c>
      <c r="AC633" s="4" t="s">
        <v>507</v>
      </c>
      <c r="AD633" s="4" t="s">
        <v>508</v>
      </c>
      <c r="AE633" s="4" t="s">
        <v>509</v>
      </c>
      <c r="AF633" s="4" t="s">
        <v>589</v>
      </c>
      <c r="AG633" s="743">
        <v>0</v>
      </c>
      <c r="AI633" s="158"/>
    </row>
    <row r="634" spans="23:35">
      <c r="W634" s="4" t="s">
        <v>3405</v>
      </c>
      <c r="X634" s="4" t="s">
        <v>3364</v>
      </c>
      <c r="Y634" s="151" t="str">
        <f t="shared" si="55"/>
        <v>E5810</v>
      </c>
      <c r="Z634" s="4" t="s">
        <v>587</v>
      </c>
      <c r="AA634" s="114" t="s">
        <v>588</v>
      </c>
      <c r="AB634" s="4" t="s">
        <v>506</v>
      </c>
      <c r="AC634" s="4" t="s">
        <v>507</v>
      </c>
      <c r="AD634" s="4" t="s">
        <v>508</v>
      </c>
      <c r="AE634" s="4" t="s">
        <v>509</v>
      </c>
      <c r="AF634" s="4" t="s">
        <v>589</v>
      </c>
      <c r="AG634" s="743">
        <v>0</v>
      </c>
      <c r="AI634" s="158"/>
    </row>
    <row r="635" spans="23:35">
      <c r="W635" s="4" t="s">
        <v>3405</v>
      </c>
      <c r="X635" s="4" t="s">
        <v>3365</v>
      </c>
      <c r="Y635" s="151" t="str">
        <f t="shared" si="55"/>
        <v>E5810</v>
      </c>
      <c r="Z635" s="4" t="s">
        <v>587</v>
      </c>
      <c r="AA635" s="114" t="s">
        <v>588</v>
      </c>
      <c r="AB635" s="4" t="s">
        <v>506</v>
      </c>
      <c r="AC635" s="4" t="s">
        <v>507</v>
      </c>
      <c r="AD635" s="4" t="s">
        <v>508</v>
      </c>
      <c r="AE635" s="4" t="s">
        <v>509</v>
      </c>
      <c r="AF635" s="4" t="s">
        <v>589</v>
      </c>
      <c r="AG635" s="743">
        <v>0</v>
      </c>
      <c r="AI635" s="158"/>
    </row>
    <row r="636" spans="23:35">
      <c r="W636" s="4" t="s">
        <v>3405</v>
      </c>
      <c r="X636" s="4" t="s">
        <v>3366</v>
      </c>
      <c r="Y636" s="151" t="str">
        <f t="shared" si="55"/>
        <v>E5810</v>
      </c>
      <c r="Z636" s="4" t="s">
        <v>587</v>
      </c>
      <c r="AA636" s="114" t="s">
        <v>588</v>
      </c>
      <c r="AB636" s="4" t="s">
        <v>506</v>
      </c>
      <c r="AC636" s="4" t="s">
        <v>507</v>
      </c>
      <c r="AD636" s="4" t="s">
        <v>508</v>
      </c>
      <c r="AE636" s="4" t="s">
        <v>509</v>
      </c>
      <c r="AF636" s="4" t="s">
        <v>589</v>
      </c>
      <c r="AG636" s="743">
        <v>0</v>
      </c>
      <c r="AI636" s="158"/>
    </row>
    <row r="637" spans="23:35">
      <c r="W637" s="4" t="s">
        <v>3405</v>
      </c>
      <c r="X637" s="4" t="s">
        <v>3367</v>
      </c>
      <c r="Y637" s="151" t="str">
        <f t="shared" si="55"/>
        <v>E5810</v>
      </c>
      <c r="Z637" s="4" t="s">
        <v>587</v>
      </c>
      <c r="AA637" s="114" t="s">
        <v>588</v>
      </c>
      <c r="AB637" s="4" t="s">
        <v>506</v>
      </c>
      <c r="AC637" s="4" t="s">
        <v>507</v>
      </c>
      <c r="AD637" s="4" t="s">
        <v>508</v>
      </c>
      <c r="AE637" s="4" t="s">
        <v>509</v>
      </c>
      <c r="AF637" s="4" t="s">
        <v>589</v>
      </c>
      <c r="AG637" s="743">
        <v>0</v>
      </c>
      <c r="AI637" s="158"/>
    </row>
    <row r="638" spans="23:35">
      <c r="W638" s="4" t="s">
        <v>3405</v>
      </c>
      <c r="X638" s="3" t="s">
        <v>3356</v>
      </c>
      <c r="Y638" s="150" t="str">
        <f>INDEX($B$3:$O$110,79,1)</f>
        <v>E5880</v>
      </c>
      <c r="Z638" s="4" t="s">
        <v>587</v>
      </c>
      <c r="AA638" s="114" t="s">
        <v>588</v>
      </c>
      <c r="AB638" s="4" t="s">
        <v>506</v>
      </c>
      <c r="AC638" s="4" t="s">
        <v>507</v>
      </c>
      <c r="AD638" s="4" t="s">
        <v>508</v>
      </c>
      <c r="AE638" s="4" t="s">
        <v>509</v>
      </c>
      <c r="AF638" s="4" t="s">
        <v>589</v>
      </c>
      <c r="AG638" s="115">
        <f>+VLOOKUP(Y638,B:O,3,FALSE)/1000</f>
        <v>-1.261E-2</v>
      </c>
      <c r="AI638" s="158"/>
    </row>
    <row r="639" spans="23:35">
      <c r="W639" s="4" t="s">
        <v>3405</v>
      </c>
      <c r="X639" s="4" t="s">
        <v>3357</v>
      </c>
      <c r="Y639" s="151" t="str">
        <f>Y638</f>
        <v>E5880</v>
      </c>
      <c r="Z639" s="4" t="s">
        <v>587</v>
      </c>
      <c r="AA639" s="114" t="s">
        <v>588</v>
      </c>
      <c r="AB639" s="4" t="s">
        <v>506</v>
      </c>
      <c r="AC639" s="4" t="s">
        <v>507</v>
      </c>
      <c r="AD639" s="4" t="s">
        <v>508</v>
      </c>
      <c r="AE639" s="4" t="s">
        <v>509</v>
      </c>
      <c r="AF639" s="4" t="s">
        <v>589</v>
      </c>
      <c r="AG639" s="115">
        <f>+VLOOKUP(Y639,B:O,4,FALSE)/1000</f>
        <v>-1.3579999999999998E-2</v>
      </c>
      <c r="AI639" s="158"/>
    </row>
    <row r="640" spans="23:35">
      <c r="W640" s="4" t="s">
        <v>3405</v>
      </c>
      <c r="X640" s="4" t="s">
        <v>3358</v>
      </c>
      <c r="Y640" s="151" t="str">
        <f t="shared" ref="Y640:Y649" si="56">Y639</f>
        <v>E5880</v>
      </c>
      <c r="Z640" s="4" t="s">
        <v>587</v>
      </c>
      <c r="AA640" s="114" t="s">
        <v>588</v>
      </c>
      <c r="AB640" s="4" t="s">
        <v>506</v>
      </c>
      <c r="AC640" s="4" t="s">
        <v>507</v>
      </c>
      <c r="AD640" s="4" t="s">
        <v>508</v>
      </c>
      <c r="AE640" s="4" t="s">
        <v>509</v>
      </c>
      <c r="AF640" s="4" t="s">
        <v>589</v>
      </c>
      <c r="AG640" s="115">
        <f>+VLOOKUP(Y640,B:O,5,FALSE)/1000</f>
        <v>-1.3599999999999994E-3</v>
      </c>
      <c r="AI640" s="158"/>
    </row>
    <row r="641" spans="23:35">
      <c r="W641" s="4" t="s">
        <v>3405</v>
      </c>
      <c r="X641" s="4" t="s">
        <v>3359</v>
      </c>
      <c r="Y641" s="151" t="str">
        <f t="shared" si="56"/>
        <v>E5880</v>
      </c>
      <c r="Z641" s="4" t="s">
        <v>587</v>
      </c>
      <c r="AA641" s="114" t="s">
        <v>588</v>
      </c>
      <c r="AB641" s="4" t="s">
        <v>506</v>
      </c>
      <c r="AC641" s="4" t="s">
        <v>507</v>
      </c>
      <c r="AD641" s="4" t="s">
        <v>508</v>
      </c>
      <c r="AE641" s="4" t="s">
        <v>509</v>
      </c>
      <c r="AF641" s="4" t="s">
        <v>589</v>
      </c>
      <c r="AG641" s="115">
        <f>+VLOOKUP(Y641,B:O,6,FALSE)/1000</f>
        <v>1.3030000000000009E-2</v>
      </c>
      <c r="AI641" s="158"/>
    </row>
    <row r="642" spans="23:35">
      <c r="W642" s="4" t="s">
        <v>3405</v>
      </c>
      <c r="X642" s="4" t="s">
        <v>3360</v>
      </c>
      <c r="Y642" s="151" t="str">
        <f t="shared" si="56"/>
        <v>E5880</v>
      </c>
      <c r="Z642" s="4" t="s">
        <v>587</v>
      </c>
      <c r="AA642" s="114" t="s">
        <v>588</v>
      </c>
      <c r="AB642" s="4" t="s">
        <v>506</v>
      </c>
      <c r="AC642" s="4" t="s">
        <v>507</v>
      </c>
      <c r="AD642" s="4" t="s">
        <v>508</v>
      </c>
      <c r="AE642" s="4" t="s">
        <v>509</v>
      </c>
      <c r="AF642" s="4" t="s">
        <v>589</v>
      </c>
      <c r="AG642" s="115">
        <f>+VLOOKUP(Y642,B:O,7,FALSE)/1000</f>
        <v>2.2350000000000009E-2</v>
      </c>
      <c r="AI642" s="158"/>
    </row>
    <row r="643" spans="23:35">
      <c r="W643" s="4" t="s">
        <v>3405</v>
      </c>
      <c r="X643" s="4" t="s">
        <v>3361</v>
      </c>
      <c r="Y643" s="151" t="str">
        <f t="shared" si="56"/>
        <v>E5880</v>
      </c>
      <c r="Z643" s="4" t="s">
        <v>587</v>
      </c>
      <c r="AA643" s="114" t="s">
        <v>588</v>
      </c>
      <c r="AB643" s="4" t="s">
        <v>506</v>
      </c>
      <c r="AC643" s="4" t="s">
        <v>507</v>
      </c>
      <c r="AD643" s="4" t="s">
        <v>508</v>
      </c>
      <c r="AE643" s="4" t="s">
        <v>509</v>
      </c>
      <c r="AF643" s="4" t="s">
        <v>589</v>
      </c>
      <c r="AG643" s="115">
        <f>+VLOOKUP(Y643,B:O,8,FALSE)/1000</f>
        <v>1.7200000000000003E-2</v>
      </c>
      <c r="AI643" s="158"/>
    </row>
    <row r="644" spans="23:35">
      <c r="W644" s="4" t="s">
        <v>3405</v>
      </c>
      <c r="X644" s="4" t="s">
        <v>3362</v>
      </c>
      <c r="Y644" s="151" t="str">
        <f t="shared" si="56"/>
        <v>E5880</v>
      </c>
      <c r="Z644" s="4" t="s">
        <v>587</v>
      </c>
      <c r="AA644" s="114" t="s">
        <v>588</v>
      </c>
      <c r="AB644" s="4" t="s">
        <v>506</v>
      </c>
      <c r="AC644" s="4" t="s">
        <v>507</v>
      </c>
      <c r="AD644" s="4" t="s">
        <v>508</v>
      </c>
      <c r="AE644" s="4" t="s">
        <v>509</v>
      </c>
      <c r="AF644" s="4" t="s">
        <v>589</v>
      </c>
      <c r="AG644" s="115">
        <f>+VLOOKUP(Y644,B:O,9,FALSE)/1000</f>
        <v>1.5140000000000008E-2</v>
      </c>
      <c r="AI644" s="158"/>
    </row>
    <row r="645" spans="23:35">
      <c r="W645" s="4" t="s">
        <v>3405</v>
      </c>
      <c r="X645" s="4" t="s">
        <v>3363</v>
      </c>
      <c r="Y645" s="151" t="str">
        <f t="shared" si="56"/>
        <v>E5880</v>
      </c>
      <c r="Z645" s="4" t="s">
        <v>587</v>
      </c>
      <c r="AA645" s="114" t="s">
        <v>588</v>
      </c>
      <c r="AB645" s="4" t="s">
        <v>506</v>
      </c>
      <c r="AC645" s="4" t="s">
        <v>507</v>
      </c>
      <c r="AD645" s="4" t="s">
        <v>508</v>
      </c>
      <c r="AE645" s="4" t="s">
        <v>509</v>
      </c>
      <c r="AF645" s="4" t="s">
        <v>589</v>
      </c>
      <c r="AG645" s="115">
        <f>+VLOOKUP(Y645,B:O,10,FALSE)/1000</f>
        <v>2.0421700000000008E-2</v>
      </c>
      <c r="AI645" s="158"/>
    </row>
    <row r="646" spans="23:35">
      <c r="W646" s="4" t="s">
        <v>3405</v>
      </c>
      <c r="X646" s="4" t="s">
        <v>3364</v>
      </c>
      <c r="Y646" s="151" t="str">
        <f t="shared" si="56"/>
        <v>E5880</v>
      </c>
      <c r="Z646" s="4" t="s">
        <v>587</v>
      </c>
      <c r="AA646" s="114" t="s">
        <v>588</v>
      </c>
      <c r="AB646" s="4" t="s">
        <v>506</v>
      </c>
      <c r="AC646" s="4" t="s">
        <v>507</v>
      </c>
      <c r="AD646" s="4" t="s">
        <v>508</v>
      </c>
      <c r="AE646" s="4" t="s">
        <v>509</v>
      </c>
      <c r="AF646" s="4" t="s">
        <v>589</v>
      </c>
      <c r="AG646" s="115">
        <f>+VLOOKUP(Y646,B:O,11,FALSE)/1000</f>
        <v>2.2541700000000005E-2</v>
      </c>
      <c r="AI646" s="158"/>
    </row>
    <row r="647" spans="23:35">
      <c r="W647" s="4" t="s">
        <v>3405</v>
      </c>
      <c r="X647" s="4" t="s">
        <v>3365</v>
      </c>
      <c r="Y647" s="151" t="str">
        <f t="shared" si="56"/>
        <v>E5880</v>
      </c>
      <c r="Z647" s="4" t="s">
        <v>587</v>
      </c>
      <c r="AA647" s="114" t="s">
        <v>588</v>
      </c>
      <c r="AB647" s="4" t="s">
        <v>506</v>
      </c>
      <c r="AC647" s="4" t="s">
        <v>507</v>
      </c>
      <c r="AD647" s="4" t="s">
        <v>508</v>
      </c>
      <c r="AE647" s="4" t="s">
        <v>509</v>
      </c>
      <c r="AF647" s="4" t="s">
        <v>589</v>
      </c>
      <c r="AG647" s="115">
        <f>+VLOOKUP(Y647,B:O,12,FALSE)/1000</f>
        <v>2.334170000000001E-2</v>
      </c>
      <c r="AI647" s="158"/>
    </row>
    <row r="648" spans="23:35">
      <c r="W648" s="4" t="s">
        <v>3405</v>
      </c>
      <c r="X648" s="4" t="s">
        <v>3366</v>
      </c>
      <c r="Y648" s="151" t="str">
        <f t="shared" si="56"/>
        <v>E5880</v>
      </c>
      <c r="Z648" s="4" t="s">
        <v>587</v>
      </c>
      <c r="AA648" s="114" t="s">
        <v>588</v>
      </c>
      <c r="AB648" s="4" t="s">
        <v>506</v>
      </c>
      <c r="AC648" s="4" t="s">
        <v>507</v>
      </c>
      <c r="AD648" s="4" t="s">
        <v>508</v>
      </c>
      <c r="AE648" s="4" t="s">
        <v>509</v>
      </c>
      <c r="AF648" s="4" t="s">
        <v>589</v>
      </c>
      <c r="AG648" s="115">
        <f>+VLOOKUP(Y648,B:O,13,FALSE)/1000</f>
        <v>4.5517000000000109E-3</v>
      </c>
      <c r="AI648" s="158"/>
    </row>
    <row r="649" spans="23:35">
      <c r="W649" s="4" t="s">
        <v>3405</v>
      </c>
      <c r="X649" s="4" t="s">
        <v>3367</v>
      </c>
      <c r="Y649" s="151" t="str">
        <f t="shared" si="56"/>
        <v>E5880</v>
      </c>
      <c r="Z649" s="4" t="s">
        <v>587</v>
      </c>
      <c r="AA649" s="114" t="s">
        <v>588</v>
      </c>
      <c r="AB649" s="4" t="s">
        <v>506</v>
      </c>
      <c r="AC649" s="4" t="s">
        <v>507</v>
      </c>
      <c r="AD649" s="4" t="s">
        <v>508</v>
      </c>
      <c r="AE649" s="4" t="s">
        <v>509</v>
      </c>
      <c r="AF649" s="4" t="s">
        <v>589</v>
      </c>
      <c r="AG649" s="115">
        <f>+VLOOKUP(Y649,B:O,14,FALSE)/1000</f>
        <v>-6.878299999999996E-3</v>
      </c>
      <c r="AI649" s="158"/>
    </row>
    <row r="650" spans="23:35">
      <c r="W650" s="4" t="s">
        <v>3405</v>
      </c>
      <c r="X650" s="3" t="s">
        <v>3356</v>
      </c>
      <c r="Y650" s="150" t="str">
        <f>INDEX($B$3:$O$110,80,1)</f>
        <v>E5890</v>
      </c>
      <c r="Z650" s="4" t="s">
        <v>587</v>
      </c>
      <c r="AA650" s="114" t="s">
        <v>588</v>
      </c>
      <c r="AB650" s="4" t="s">
        <v>506</v>
      </c>
      <c r="AC650" s="4" t="s">
        <v>507</v>
      </c>
      <c r="AD650" s="4" t="s">
        <v>508</v>
      </c>
      <c r="AE650" s="4" t="s">
        <v>509</v>
      </c>
      <c r="AF650" s="4" t="s">
        <v>589</v>
      </c>
      <c r="AG650" s="115">
        <f>+VLOOKUP(Y650,B:O,3,FALSE)/1000</f>
        <v>-4.0539999999999994E-3</v>
      </c>
      <c r="AI650" s="158"/>
    </row>
    <row r="651" spans="23:35">
      <c r="W651" s="4" t="s">
        <v>3405</v>
      </c>
      <c r="X651" s="4" t="s">
        <v>3357</v>
      </c>
      <c r="Y651" s="151" t="str">
        <f>Y650</f>
        <v>E5890</v>
      </c>
      <c r="Z651" s="4" t="s">
        <v>587</v>
      </c>
      <c r="AA651" s="114" t="s">
        <v>588</v>
      </c>
      <c r="AB651" s="4" t="s">
        <v>506</v>
      </c>
      <c r="AC651" s="4" t="s">
        <v>507</v>
      </c>
      <c r="AD651" s="4" t="s">
        <v>508</v>
      </c>
      <c r="AE651" s="4" t="s">
        <v>509</v>
      </c>
      <c r="AF651" s="4" t="s">
        <v>589</v>
      </c>
      <c r="AG651" s="115">
        <f>+VLOOKUP(Y651,B:O,4,FALSE)/1000</f>
        <v>-5.0239999999999981E-3</v>
      </c>
      <c r="AI651" s="158"/>
    </row>
    <row r="652" spans="23:35">
      <c r="W652" s="4" t="s">
        <v>3405</v>
      </c>
      <c r="X652" s="4" t="s">
        <v>3358</v>
      </c>
      <c r="Y652" s="151" t="str">
        <f t="shared" ref="Y652:Y661" si="57">Y651</f>
        <v>E5890</v>
      </c>
      <c r="Z652" s="4" t="s">
        <v>587</v>
      </c>
      <c r="AA652" s="114" t="s">
        <v>588</v>
      </c>
      <c r="AB652" s="4" t="s">
        <v>506</v>
      </c>
      <c r="AC652" s="4" t="s">
        <v>507</v>
      </c>
      <c r="AD652" s="4" t="s">
        <v>508</v>
      </c>
      <c r="AE652" s="4" t="s">
        <v>509</v>
      </c>
      <c r="AF652" s="4" t="s">
        <v>589</v>
      </c>
      <c r="AG652" s="115">
        <f>+VLOOKUP(Y652,B:O,5,FALSE)/1000</f>
        <v>7.196000000000001E-3</v>
      </c>
      <c r="AI652" s="158"/>
    </row>
    <row r="653" spans="23:35">
      <c r="W653" s="4" t="s">
        <v>3405</v>
      </c>
      <c r="X653" s="4" t="s">
        <v>3359</v>
      </c>
      <c r="Y653" s="151" t="str">
        <f t="shared" si="57"/>
        <v>E5890</v>
      </c>
      <c r="Z653" s="4" t="s">
        <v>587</v>
      </c>
      <c r="AA653" s="114" t="s">
        <v>588</v>
      </c>
      <c r="AB653" s="4" t="s">
        <v>506</v>
      </c>
      <c r="AC653" s="4" t="s">
        <v>507</v>
      </c>
      <c r="AD653" s="4" t="s">
        <v>508</v>
      </c>
      <c r="AE653" s="4" t="s">
        <v>509</v>
      </c>
      <c r="AF653" s="4" t="s">
        <v>589</v>
      </c>
      <c r="AG653" s="115">
        <f>+VLOOKUP(Y653,B:O,6,FALSE)/1000</f>
        <v>2.1586000000000008E-2</v>
      </c>
      <c r="AI653" s="158"/>
    </row>
    <row r="654" spans="23:35">
      <c r="W654" s="4" t="s">
        <v>3405</v>
      </c>
      <c r="X654" s="4" t="s">
        <v>3360</v>
      </c>
      <c r="Y654" s="151" t="str">
        <f t="shared" si="57"/>
        <v>E5890</v>
      </c>
      <c r="Z654" s="4" t="s">
        <v>587</v>
      </c>
      <c r="AA654" s="114" t="s">
        <v>588</v>
      </c>
      <c r="AB654" s="4" t="s">
        <v>506</v>
      </c>
      <c r="AC654" s="4" t="s">
        <v>507</v>
      </c>
      <c r="AD654" s="4" t="s">
        <v>508</v>
      </c>
      <c r="AE654" s="4" t="s">
        <v>509</v>
      </c>
      <c r="AF654" s="4" t="s">
        <v>589</v>
      </c>
      <c r="AG654" s="115">
        <f>+VLOOKUP(Y654,B:O,7,FALSE)/1000</f>
        <v>3.090600000000001E-2</v>
      </c>
      <c r="AI654" s="158"/>
    </row>
    <row r="655" spans="23:35">
      <c r="W655" s="4" t="s">
        <v>3405</v>
      </c>
      <c r="X655" s="4" t="s">
        <v>3361</v>
      </c>
      <c r="Y655" s="151" t="str">
        <f t="shared" si="57"/>
        <v>E5890</v>
      </c>
      <c r="Z655" s="4" t="s">
        <v>587</v>
      </c>
      <c r="AA655" s="114" t="s">
        <v>588</v>
      </c>
      <c r="AB655" s="4" t="s">
        <v>506</v>
      </c>
      <c r="AC655" s="4" t="s">
        <v>507</v>
      </c>
      <c r="AD655" s="4" t="s">
        <v>508</v>
      </c>
      <c r="AE655" s="4" t="s">
        <v>509</v>
      </c>
      <c r="AF655" s="4" t="s">
        <v>589</v>
      </c>
      <c r="AG655" s="115">
        <f>+VLOOKUP(Y655,B:O,8,FALSE)/1000</f>
        <v>2.5756000000000005E-2</v>
      </c>
      <c r="AI655" s="158"/>
    </row>
    <row r="656" spans="23:35">
      <c r="W656" s="4" t="s">
        <v>3405</v>
      </c>
      <c r="X656" s="4" t="s">
        <v>3362</v>
      </c>
      <c r="Y656" s="151" t="str">
        <f t="shared" si="57"/>
        <v>E5890</v>
      </c>
      <c r="Z656" s="4" t="s">
        <v>587</v>
      </c>
      <c r="AA656" s="114" t="s">
        <v>588</v>
      </c>
      <c r="AB656" s="4" t="s">
        <v>506</v>
      </c>
      <c r="AC656" s="4" t="s">
        <v>507</v>
      </c>
      <c r="AD656" s="4" t="s">
        <v>508</v>
      </c>
      <c r="AE656" s="4" t="s">
        <v>509</v>
      </c>
      <c r="AF656" s="4" t="s">
        <v>589</v>
      </c>
      <c r="AG656" s="115">
        <f>+VLOOKUP(Y656,B:O,9,FALSE)/1000</f>
        <v>2.3696000000000009E-2</v>
      </c>
      <c r="AI656" s="158"/>
    </row>
    <row r="657" spans="23:35">
      <c r="W657" s="4" t="s">
        <v>3405</v>
      </c>
      <c r="X657" s="4" t="s">
        <v>3363</v>
      </c>
      <c r="Y657" s="151" t="str">
        <f t="shared" si="57"/>
        <v>E5890</v>
      </c>
      <c r="Z657" s="4" t="s">
        <v>587</v>
      </c>
      <c r="AA657" s="114" t="s">
        <v>588</v>
      </c>
      <c r="AB657" s="4" t="s">
        <v>506</v>
      </c>
      <c r="AC657" s="4" t="s">
        <v>507</v>
      </c>
      <c r="AD657" s="4" t="s">
        <v>508</v>
      </c>
      <c r="AE657" s="4" t="s">
        <v>509</v>
      </c>
      <c r="AF657" s="4" t="s">
        <v>589</v>
      </c>
      <c r="AG657" s="115">
        <f>+VLOOKUP(Y657,B:O,10,FALSE)/1000</f>
        <v>2.7416000000000006E-2</v>
      </c>
      <c r="AI657" s="158"/>
    </row>
    <row r="658" spans="23:35">
      <c r="W658" s="4" t="s">
        <v>3405</v>
      </c>
      <c r="X658" s="4" t="s">
        <v>3364</v>
      </c>
      <c r="Y658" s="151" t="str">
        <f t="shared" si="57"/>
        <v>E5890</v>
      </c>
      <c r="Z658" s="4" t="s">
        <v>587</v>
      </c>
      <c r="AA658" s="114" t="s">
        <v>588</v>
      </c>
      <c r="AB658" s="4" t="s">
        <v>506</v>
      </c>
      <c r="AC658" s="4" t="s">
        <v>507</v>
      </c>
      <c r="AD658" s="4" t="s">
        <v>508</v>
      </c>
      <c r="AE658" s="4" t="s">
        <v>509</v>
      </c>
      <c r="AF658" s="4" t="s">
        <v>589</v>
      </c>
      <c r="AG658" s="115">
        <f>+VLOOKUP(Y658,B:O,11,FALSE)/1000</f>
        <v>2.9536000000000003E-2</v>
      </c>
      <c r="AI658" s="158"/>
    </row>
    <row r="659" spans="23:35">
      <c r="W659" s="4" t="s">
        <v>3405</v>
      </c>
      <c r="X659" s="4" t="s">
        <v>3365</v>
      </c>
      <c r="Y659" s="151" t="str">
        <f t="shared" si="57"/>
        <v>E5890</v>
      </c>
      <c r="Z659" s="4" t="s">
        <v>587</v>
      </c>
      <c r="AA659" s="114" t="s">
        <v>588</v>
      </c>
      <c r="AB659" s="4" t="s">
        <v>506</v>
      </c>
      <c r="AC659" s="4" t="s">
        <v>507</v>
      </c>
      <c r="AD659" s="4" t="s">
        <v>508</v>
      </c>
      <c r="AE659" s="4" t="s">
        <v>509</v>
      </c>
      <c r="AF659" s="4" t="s">
        <v>589</v>
      </c>
      <c r="AG659" s="115">
        <f>+VLOOKUP(Y659,B:O,12,FALSE)/1000</f>
        <v>3.0336000000000009E-2</v>
      </c>
      <c r="AI659" s="158"/>
    </row>
    <row r="660" spans="23:35">
      <c r="W660" s="4" t="s">
        <v>3405</v>
      </c>
      <c r="X660" s="4" t="s">
        <v>3366</v>
      </c>
      <c r="Y660" s="151" t="str">
        <f t="shared" si="57"/>
        <v>E5890</v>
      </c>
      <c r="Z660" s="4" t="s">
        <v>587</v>
      </c>
      <c r="AA660" s="114" t="s">
        <v>588</v>
      </c>
      <c r="AB660" s="4" t="s">
        <v>506</v>
      </c>
      <c r="AC660" s="4" t="s">
        <v>507</v>
      </c>
      <c r="AD660" s="4" t="s">
        <v>508</v>
      </c>
      <c r="AE660" s="4" t="s">
        <v>509</v>
      </c>
      <c r="AF660" s="4" t="s">
        <v>589</v>
      </c>
      <c r="AG660" s="115">
        <f>+VLOOKUP(Y660,B:O,13,FALSE)/1000</f>
        <v>1.1546000000000009E-2</v>
      </c>
      <c r="AI660" s="158"/>
    </row>
    <row r="661" spans="23:35">
      <c r="W661" s="4" t="s">
        <v>3405</v>
      </c>
      <c r="X661" s="4" t="s">
        <v>3367</v>
      </c>
      <c r="Y661" s="151" t="str">
        <f t="shared" si="57"/>
        <v>E5890</v>
      </c>
      <c r="Z661" s="4" t="s">
        <v>587</v>
      </c>
      <c r="AA661" s="114" t="s">
        <v>588</v>
      </c>
      <c r="AB661" s="4" t="s">
        <v>506</v>
      </c>
      <c r="AC661" s="4" t="s">
        <v>507</v>
      </c>
      <c r="AD661" s="4" t="s">
        <v>508</v>
      </c>
      <c r="AE661" s="4" t="s">
        <v>509</v>
      </c>
      <c r="AF661" s="4" t="s">
        <v>589</v>
      </c>
      <c r="AG661" s="115">
        <f>+VLOOKUP(Y661,B:O,14,FALSE)/1000</f>
        <v>1.1600000000000232E-4</v>
      </c>
      <c r="AI661" s="158"/>
    </row>
    <row r="662" spans="23:35">
      <c r="W662" s="4" t="s">
        <v>3405</v>
      </c>
      <c r="X662" s="3" t="s">
        <v>3356</v>
      </c>
      <c r="Y662" s="150" t="str">
        <f>INDEX($B$3:$O$110,81,1)</f>
        <v>E5930</v>
      </c>
      <c r="Z662" s="4" t="s">
        <v>587</v>
      </c>
      <c r="AA662" s="114" t="s">
        <v>588</v>
      </c>
      <c r="AB662" s="4" t="s">
        <v>506</v>
      </c>
      <c r="AC662" s="4" t="s">
        <v>507</v>
      </c>
      <c r="AD662" s="4" t="s">
        <v>508</v>
      </c>
      <c r="AE662" s="4" t="s">
        <v>509</v>
      </c>
      <c r="AF662" s="4" t="s">
        <v>589</v>
      </c>
      <c r="AG662" s="115">
        <f>+VLOOKUP(Y662,B:O,3,FALSE)/1000</f>
        <v>-1.4117300000000001E-2</v>
      </c>
      <c r="AI662" s="158"/>
    </row>
    <row r="663" spans="23:35">
      <c r="W663" s="4" t="s">
        <v>3405</v>
      </c>
      <c r="X663" s="4" t="s">
        <v>3357</v>
      </c>
      <c r="Y663" s="151" t="str">
        <f>Y662</f>
        <v>E5930</v>
      </c>
      <c r="Z663" s="4" t="s">
        <v>587</v>
      </c>
      <c r="AA663" s="114" t="s">
        <v>588</v>
      </c>
      <c r="AB663" s="4" t="s">
        <v>506</v>
      </c>
      <c r="AC663" s="4" t="s">
        <v>507</v>
      </c>
      <c r="AD663" s="4" t="s">
        <v>508</v>
      </c>
      <c r="AE663" s="4" t="s">
        <v>509</v>
      </c>
      <c r="AF663" s="4" t="s">
        <v>589</v>
      </c>
      <c r="AG663" s="115">
        <f>+VLOOKUP(Y663,B:O,4,FALSE)/1000</f>
        <v>-1.50873E-2</v>
      </c>
      <c r="AI663" s="158"/>
    </row>
    <row r="664" spans="23:35">
      <c r="W664" s="4" t="s">
        <v>3405</v>
      </c>
      <c r="X664" s="4" t="s">
        <v>3358</v>
      </c>
      <c r="Y664" s="151" t="str">
        <f t="shared" ref="Y664:Y673" si="58">Y663</f>
        <v>E5930</v>
      </c>
      <c r="Z664" s="4" t="s">
        <v>587</v>
      </c>
      <c r="AA664" s="114" t="s">
        <v>588</v>
      </c>
      <c r="AB664" s="4" t="s">
        <v>506</v>
      </c>
      <c r="AC664" s="4" t="s">
        <v>507</v>
      </c>
      <c r="AD664" s="4" t="s">
        <v>508</v>
      </c>
      <c r="AE664" s="4" t="s">
        <v>509</v>
      </c>
      <c r="AF664" s="4" t="s">
        <v>589</v>
      </c>
      <c r="AG664" s="115">
        <f>+VLOOKUP(Y664,B:O,5,FALSE)/1000</f>
        <v>-2.8673000000000001E-3</v>
      </c>
      <c r="AI664" s="158"/>
    </row>
    <row r="665" spans="23:35">
      <c r="W665" s="4" t="s">
        <v>3405</v>
      </c>
      <c r="X665" s="4" t="s">
        <v>3359</v>
      </c>
      <c r="Y665" s="151" t="str">
        <f t="shared" si="58"/>
        <v>E5930</v>
      </c>
      <c r="Z665" s="4" t="s">
        <v>587</v>
      </c>
      <c r="AA665" s="114" t="s">
        <v>588</v>
      </c>
      <c r="AB665" s="4" t="s">
        <v>506</v>
      </c>
      <c r="AC665" s="4" t="s">
        <v>507</v>
      </c>
      <c r="AD665" s="4" t="s">
        <v>508</v>
      </c>
      <c r="AE665" s="4" t="s">
        <v>509</v>
      </c>
      <c r="AF665" s="4" t="s">
        <v>589</v>
      </c>
      <c r="AG665" s="115">
        <f>+VLOOKUP(Y665,B:O,6,FALSE)/1000</f>
        <v>1.1522700000000007E-2</v>
      </c>
      <c r="AI665" s="158"/>
    </row>
    <row r="666" spans="23:35">
      <c r="W666" s="4" t="s">
        <v>3405</v>
      </c>
      <c r="X666" s="4" t="s">
        <v>3360</v>
      </c>
      <c r="Y666" s="151" t="str">
        <f t="shared" si="58"/>
        <v>E5930</v>
      </c>
      <c r="Z666" s="4" t="s">
        <v>587</v>
      </c>
      <c r="AA666" s="114" t="s">
        <v>588</v>
      </c>
      <c r="AB666" s="4" t="s">
        <v>506</v>
      </c>
      <c r="AC666" s="4" t="s">
        <v>507</v>
      </c>
      <c r="AD666" s="4" t="s">
        <v>508</v>
      </c>
      <c r="AE666" s="4" t="s">
        <v>509</v>
      </c>
      <c r="AF666" s="4" t="s">
        <v>589</v>
      </c>
      <c r="AG666" s="115">
        <f>+VLOOKUP(Y666,B:O,7,FALSE)/1000</f>
        <v>2.0842700000000009E-2</v>
      </c>
      <c r="AI666" s="158"/>
    </row>
    <row r="667" spans="23:35">
      <c r="W667" s="4" t="s">
        <v>3405</v>
      </c>
      <c r="X667" s="4" t="s">
        <v>3361</v>
      </c>
      <c r="Y667" s="151" t="str">
        <f t="shared" si="58"/>
        <v>E5930</v>
      </c>
      <c r="Z667" s="4" t="s">
        <v>587</v>
      </c>
      <c r="AA667" s="114" t="s">
        <v>588</v>
      </c>
      <c r="AB667" s="4" t="s">
        <v>506</v>
      </c>
      <c r="AC667" s="4" t="s">
        <v>507</v>
      </c>
      <c r="AD667" s="4" t="s">
        <v>508</v>
      </c>
      <c r="AE667" s="4" t="s">
        <v>509</v>
      </c>
      <c r="AF667" s="4" t="s">
        <v>589</v>
      </c>
      <c r="AG667" s="115">
        <f>+VLOOKUP(Y667,B:O,8,FALSE)/1000</f>
        <v>1.56927E-2</v>
      </c>
      <c r="AI667" s="158"/>
    </row>
    <row r="668" spans="23:35">
      <c r="W668" s="4" t="s">
        <v>3405</v>
      </c>
      <c r="X668" s="4" t="s">
        <v>3362</v>
      </c>
      <c r="Y668" s="151" t="str">
        <f t="shared" si="58"/>
        <v>E5930</v>
      </c>
      <c r="Z668" s="4" t="s">
        <v>587</v>
      </c>
      <c r="AA668" s="114" t="s">
        <v>588</v>
      </c>
      <c r="AB668" s="4" t="s">
        <v>506</v>
      </c>
      <c r="AC668" s="4" t="s">
        <v>507</v>
      </c>
      <c r="AD668" s="4" t="s">
        <v>508</v>
      </c>
      <c r="AE668" s="4" t="s">
        <v>509</v>
      </c>
      <c r="AF668" s="4" t="s">
        <v>589</v>
      </c>
      <c r="AG668" s="115">
        <f>+VLOOKUP(Y668,B:O,9,FALSE)/1000</f>
        <v>1.3632700000000006E-2</v>
      </c>
      <c r="AI668" s="158"/>
    </row>
    <row r="669" spans="23:35">
      <c r="W669" s="4" t="s">
        <v>3405</v>
      </c>
      <c r="X669" s="4" t="s">
        <v>3363</v>
      </c>
      <c r="Y669" s="151" t="str">
        <f t="shared" si="58"/>
        <v>E5930</v>
      </c>
      <c r="Z669" s="4" t="s">
        <v>587</v>
      </c>
      <c r="AA669" s="114" t="s">
        <v>588</v>
      </c>
      <c r="AB669" s="4" t="s">
        <v>506</v>
      </c>
      <c r="AC669" s="4" t="s">
        <v>507</v>
      </c>
      <c r="AD669" s="4" t="s">
        <v>508</v>
      </c>
      <c r="AE669" s="4" t="s">
        <v>509</v>
      </c>
      <c r="AF669" s="4" t="s">
        <v>589</v>
      </c>
      <c r="AG669" s="115">
        <f>+VLOOKUP(Y669,B:O,10,FALSE)/1000</f>
        <v>1.7352700000000006E-2</v>
      </c>
      <c r="AI669" s="158"/>
    </row>
    <row r="670" spans="23:35">
      <c r="W670" s="4" t="s">
        <v>3405</v>
      </c>
      <c r="X670" s="4" t="s">
        <v>3364</v>
      </c>
      <c r="Y670" s="151" t="str">
        <f t="shared" si="58"/>
        <v>E5930</v>
      </c>
      <c r="Z670" s="4" t="s">
        <v>587</v>
      </c>
      <c r="AA670" s="114" t="s">
        <v>588</v>
      </c>
      <c r="AB670" s="4" t="s">
        <v>506</v>
      </c>
      <c r="AC670" s="4" t="s">
        <v>507</v>
      </c>
      <c r="AD670" s="4" t="s">
        <v>508</v>
      </c>
      <c r="AE670" s="4" t="s">
        <v>509</v>
      </c>
      <c r="AF670" s="4" t="s">
        <v>589</v>
      </c>
      <c r="AG670" s="115">
        <f>+VLOOKUP(Y670,B:O,11,FALSE)/1000</f>
        <v>1.9472700000000003E-2</v>
      </c>
      <c r="AI670" s="158"/>
    </row>
    <row r="671" spans="23:35">
      <c r="W671" s="4" t="s">
        <v>3405</v>
      </c>
      <c r="X671" s="4" t="s">
        <v>3365</v>
      </c>
      <c r="Y671" s="151" t="str">
        <f t="shared" si="58"/>
        <v>E5930</v>
      </c>
      <c r="Z671" s="4" t="s">
        <v>587</v>
      </c>
      <c r="AA671" s="114" t="s">
        <v>588</v>
      </c>
      <c r="AB671" s="4" t="s">
        <v>506</v>
      </c>
      <c r="AC671" s="4" t="s">
        <v>507</v>
      </c>
      <c r="AD671" s="4" t="s">
        <v>508</v>
      </c>
      <c r="AE671" s="4" t="s">
        <v>509</v>
      </c>
      <c r="AF671" s="4" t="s">
        <v>589</v>
      </c>
      <c r="AG671" s="115">
        <f>+VLOOKUP(Y671,B:O,12,FALSE)/1000</f>
        <v>2.0272700000000008E-2</v>
      </c>
      <c r="AI671" s="158"/>
    </row>
    <row r="672" spans="23:35">
      <c r="W672" s="4" t="s">
        <v>3405</v>
      </c>
      <c r="X672" s="4" t="s">
        <v>3366</v>
      </c>
      <c r="Y672" s="151" t="str">
        <f t="shared" si="58"/>
        <v>E5930</v>
      </c>
      <c r="Z672" s="4" t="s">
        <v>587</v>
      </c>
      <c r="AA672" s="114" t="s">
        <v>588</v>
      </c>
      <c r="AB672" s="4" t="s">
        <v>506</v>
      </c>
      <c r="AC672" s="4" t="s">
        <v>507</v>
      </c>
      <c r="AD672" s="4" t="s">
        <v>508</v>
      </c>
      <c r="AE672" s="4" t="s">
        <v>509</v>
      </c>
      <c r="AF672" s="4" t="s">
        <v>589</v>
      </c>
      <c r="AG672" s="115">
        <f>+VLOOKUP(Y672,B:O,13,FALSE)/1000</f>
        <v>1.4827000000000084E-3</v>
      </c>
      <c r="AI672" s="158"/>
    </row>
    <row r="673" spans="23:35">
      <c r="W673" s="4" t="s">
        <v>3405</v>
      </c>
      <c r="X673" s="4" t="s">
        <v>3367</v>
      </c>
      <c r="Y673" s="151" t="str">
        <f t="shared" si="58"/>
        <v>E5930</v>
      </c>
      <c r="Z673" s="4" t="s">
        <v>587</v>
      </c>
      <c r="AA673" s="114" t="s">
        <v>588</v>
      </c>
      <c r="AB673" s="4" t="s">
        <v>506</v>
      </c>
      <c r="AC673" s="4" t="s">
        <v>507</v>
      </c>
      <c r="AD673" s="4" t="s">
        <v>508</v>
      </c>
      <c r="AE673" s="4" t="s">
        <v>509</v>
      </c>
      <c r="AF673" s="4" t="s">
        <v>589</v>
      </c>
      <c r="AG673" s="115">
        <f>+VLOOKUP(Y673,B:O,14,FALSE)/1000</f>
        <v>-8.4202678999999985E-3</v>
      </c>
      <c r="AI673" s="158"/>
    </row>
    <row r="674" spans="23:35">
      <c r="W674" s="4" t="s">
        <v>3405</v>
      </c>
      <c r="X674" s="3" t="s">
        <v>3356</v>
      </c>
      <c r="Y674" s="150" t="str">
        <f>INDEX($B$3:$O$110,82,1)</f>
        <v>E6010</v>
      </c>
      <c r="Z674" s="4" t="s">
        <v>587</v>
      </c>
      <c r="AA674" s="114" t="s">
        <v>588</v>
      </c>
      <c r="AB674" s="4" t="s">
        <v>506</v>
      </c>
      <c r="AC674" s="4" t="s">
        <v>507</v>
      </c>
      <c r="AD674" s="4" t="s">
        <v>508</v>
      </c>
      <c r="AE674" s="4" t="s">
        <v>509</v>
      </c>
      <c r="AF674" s="4" t="s">
        <v>589</v>
      </c>
      <c r="AG674" s="115">
        <f>+VLOOKUP(Y674,B:O,3,FALSE)/1000</f>
        <v>-5.9844500000000092E-3</v>
      </c>
      <c r="AI674" s="158"/>
    </row>
    <row r="675" spans="23:35">
      <c r="W675" s="4" t="s">
        <v>3405</v>
      </c>
      <c r="X675" s="4" t="s">
        <v>3357</v>
      </c>
      <c r="Y675" s="151" t="str">
        <f>Y674</f>
        <v>E6010</v>
      </c>
      <c r="Z675" s="4" t="s">
        <v>587</v>
      </c>
      <c r="AA675" s="114" t="s">
        <v>588</v>
      </c>
      <c r="AB675" s="4" t="s">
        <v>506</v>
      </c>
      <c r="AC675" s="4" t="s">
        <v>507</v>
      </c>
      <c r="AD675" s="4" t="s">
        <v>508</v>
      </c>
      <c r="AE675" s="4" t="s">
        <v>509</v>
      </c>
      <c r="AF675" s="4" t="s">
        <v>589</v>
      </c>
      <c r="AG675" s="115">
        <f>+VLOOKUP(Y675,B:O,4,FALSE)/1000</f>
        <v>-6.9544500000000087E-3</v>
      </c>
      <c r="AI675" s="158"/>
    </row>
    <row r="676" spans="23:35">
      <c r="W676" s="4" t="s">
        <v>3405</v>
      </c>
      <c r="X676" s="4" t="s">
        <v>3358</v>
      </c>
      <c r="Y676" s="151" t="str">
        <f t="shared" ref="Y676:Y685" si="59">Y675</f>
        <v>E6010</v>
      </c>
      <c r="Z676" s="4" t="s">
        <v>587</v>
      </c>
      <c r="AA676" s="114" t="s">
        <v>588</v>
      </c>
      <c r="AB676" s="4" t="s">
        <v>506</v>
      </c>
      <c r="AC676" s="4" t="s">
        <v>507</v>
      </c>
      <c r="AD676" s="4" t="s">
        <v>508</v>
      </c>
      <c r="AE676" s="4" t="s">
        <v>509</v>
      </c>
      <c r="AF676" s="4" t="s">
        <v>589</v>
      </c>
      <c r="AG676" s="115">
        <f>+VLOOKUP(Y676,B:O,5,FALSE)/1000</f>
        <v>5.2655499999999904E-3</v>
      </c>
      <c r="AI676" s="158"/>
    </row>
    <row r="677" spans="23:35">
      <c r="W677" s="4" t="s">
        <v>3405</v>
      </c>
      <c r="X677" s="4" t="s">
        <v>3359</v>
      </c>
      <c r="Y677" s="151" t="str">
        <f t="shared" si="59"/>
        <v>E6010</v>
      </c>
      <c r="Z677" s="4" t="s">
        <v>587</v>
      </c>
      <c r="AA677" s="114" t="s">
        <v>588</v>
      </c>
      <c r="AB677" s="4" t="s">
        <v>506</v>
      </c>
      <c r="AC677" s="4" t="s">
        <v>507</v>
      </c>
      <c r="AD677" s="4" t="s">
        <v>508</v>
      </c>
      <c r="AE677" s="4" t="s">
        <v>509</v>
      </c>
      <c r="AF677" s="4" t="s">
        <v>589</v>
      </c>
      <c r="AG677" s="115">
        <f>+VLOOKUP(Y677,B:O,6,FALSE)/1000</f>
        <v>1.9655549999999997E-2</v>
      </c>
      <c r="AI677" s="158"/>
    </row>
    <row r="678" spans="23:35">
      <c r="W678" s="4" t="s">
        <v>3405</v>
      </c>
      <c r="X678" s="4" t="s">
        <v>3360</v>
      </c>
      <c r="Y678" s="151" t="str">
        <f t="shared" si="59"/>
        <v>E6010</v>
      </c>
      <c r="Z678" s="4" t="s">
        <v>587</v>
      </c>
      <c r="AA678" s="114" t="s">
        <v>588</v>
      </c>
      <c r="AB678" s="4" t="s">
        <v>506</v>
      </c>
      <c r="AC678" s="4" t="s">
        <v>507</v>
      </c>
      <c r="AD678" s="4" t="s">
        <v>508</v>
      </c>
      <c r="AE678" s="4" t="s">
        <v>509</v>
      </c>
      <c r="AF678" s="4" t="s">
        <v>589</v>
      </c>
      <c r="AG678" s="115">
        <f>+VLOOKUP(Y678,B:O,7,FALSE)/1000</f>
        <v>2.8975549999999999E-2</v>
      </c>
      <c r="AI678" s="158"/>
    </row>
    <row r="679" spans="23:35">
      <c r="W679" s="4" t="s">
        <v>3405</v>
      </c>
      <c r="X679" s="4" t="s">
        <v>3361</v>
      </c>
      <c r="Y679" s="151" t="str">
        <f t="shared" si="59"/>
        <v>E6010</v>
      </c>
      <c r="Z679" s="4" t="s">
        <v>587</v>
      </c>
      <c r="AA679" s="114" t="s">
        <v>588</v>
      </c>
      <c r="AB679" s="4" t="s">
        <v>506</v>
      </c>
      <c r="AC679" s="4" t="s">
        <v>507</v>
      </c>
      <c r="AD679" s="4" t="s">
        <v>508</v>
      </c>
      <c r="AE679" s="4" t="s">
        <v>509</v>
      </c>
      <c r="AF679" s="4" t="s">
        <v>589</v>
      </c>
      <c r="AG679" s="115">
        <f>+VLOOKUP(Y679,B:O,8,FALSE)/1000</f>
        <v>2.3825549999999994E-2</v>
      </c>
      <c r="AI679" s="158"/>
    </row>
    <row r="680" spans="23:35">
      <c r="W680" s="4" t="s">
        <v>3405</v>
      </c>
      <c r="X680" s="4" t="s">
        <v>3362</v>
      </c>
      <c r="Y680" s="151" t="str">
        <f t="shared" si="59"/>
        <v>E6010</v>
      </c>
      <c r="Z680" s="4" t="s">
        <v>587</v>
      </c>
      <c r="AA680" s="114" t="s">
        <v>588</v>
      </c>
      <c r="AB680" s="4" t="s">
        <v>506</v>
      </c>
      <c r="AC680" s="4" t="s">
        <v>507</v>
      </c>
      <c r="AD680" s="4" t="s">
        <v>508</v>
      </c>
      <c r="AE680" s="4" t="s">
        <v>509</v>
      </c>
      <c r="AF680" s="4" t="s">
        <v>589</v>
      </c>
      <c r="AG680" s="115">
        <f>+VLOOKUP(Y680,B:O,9,FALSE)/1000</f>
        <v>2.1765549999999998E-2</v>
      </c>
      <c r="AI680" s="158"/>
    </row>
    <row r="681" spans="23:35">
      <c r="W681" s="4" t="s">
        <v>3405</v>
      </c>
      <c r="X681" s="4" t="s">
        <v>3363</v>
      </c>
      <c r="Y681" s="151" t="str">
        <f t="shared" si="59"/>
        <v>E6010</v>
      </c>
      <c r="Z681" s="4" t="s">
        <v>587</v>
      </c>
      <c r="AA681" s="114" t="s">
        <v>588</v>
      </c>
      <c r="AB681" s="4" t="s">
        <v>506</v>
      </c>
      <c r="AC681" s="4" t="s">
        <v>507</v>
      </c>
      <c r="AD681" s="4" t="s">
        <v>508</v>
      </c>
      <c r="AE681" s="4" t="s">
        <v>509</v>
      </c>
      <c r="AF681" s="4" t="s">
        <v>589</v>
      </c>
      <c r="AG681" s="115">
        <f>+VLOOKUP(Y681,B:O,10,FALSE)/1000</f>
        <v>2.5485549999999996E-2</v>
      </c>
      <c r="AI681" s="158"/>
    </row>
    <row r="682" spans="23:35">
      <c r="W682" s="4" t="s">
        <v>3405</v>
      </c>
      <c r="X682" s="4" t="s">
        <v>3364</v>
      </c>
      <c r="Y682" s="151" t="str">
        <f t="shared" si="59"/>
        <v>E6010</v>
      </c>
      <c r="Z682" s="4" t="s">
        <v>587</v>
      </c>
      <c r="AA682" s="114" t="s">
        <v>588</v>
      </c>
      <c r="AB682" s="4" t="s">
        <v>506</v>
      </c>
      <c r="AC682" s="4" t="s">
        <v>507</v>
      </c>
      <c r="AD682" s="4" t="s">
        <v>508</v>
      </c>
      <c r="AE682" s="4" t="s">
        <v>509</v>
      </c>
      <c r="AF682" s="4" t="s">
        <v>589</v>
      </c>
      <c r="AG682" s="115">
        <f>+VLOOKUP(Y682,B:O,11,FALSE)/1000</f>
        <v>2.7605549999999993E-2</v>
      </c>
      <c r="AI682" s="158"/>
    </row>
    <row r="683" spans="23:35">
      <c r="W683" s="4" t="s">
        <v>3405</v>
      </c>
      <c r="X683" s="4" t="s">
        <v>3365</v>
      </c>
      <c r="Y683" s="151" t="str">
        <f t="shared" si="59"/>
        <v>E6010</v>
      </c>
      <c r="Z683" s="4" t="s">
        <v>587</v>
      </c>
      <c r="AA683" s="114" t="s">
        <v>588</v>
      </c>
      <c r="AB683" s="4" t="s">
        <v>506</v>
      </c>
      <c r="AC683" s="4" t="s">
        <v>507</v>
      </c>
      <c r="AD683" s="4" t="s">
        <v>508</v>
      </c>
      <c r="AE683" s="4" t="s">
        <v>509</v>
      </c>
      <c r="AF683" s="4" t="s">
        <v>589</v>
      </c>
      <c r="AG683" s="115">
        <f>+VLOOKUP(Y683,B:O,12,FALSE)/1000</f>
        <v>2.8405549999999998E-2</v>
      </c>
      <c r="AI683" s="158"/>
    </row>
    <row r="684" spans="23:35">
      <c r="W684" s="4" t="s">
        <v>3405</v>
      </c>
      <c r="X684" s="4" t="s">
        <v>3366</v>
      </c>
      <c r="Y684" s="151" t="str">
        <f t="shared" si="59"/>
        <v>E6010</v>
      </c>
      <c r="Z684" s="4" t="s">
        <v>587</v>
      </c>
      <c r="AA684" s="114" t="s">
        <v>588</v>
      </c>
      <c r="AB684" s="4" t="s">
        <v>506</v>
      </c>
      <c r="AC684" s="4" t="s">
        <v>507</v>
      </c>
      <c r="AD684" s="4" t="s">
        <v>508</v>
      </c>
      <c r="AE684" s="4" t="s">
        <v>509</v>
      </c>
      <c r="AF684" s="4" t="s">
        <v>589</v>
      </c>
      <c r="AG684" s="115">
        <f>+VLOOKUP(Y684,B:O,13,FALSE)/1000</f>
        <v>9.6155499999999988E-3</v>
      </c>
      <c r="AI684" s="158"/>
    </row>
    <row r="685" spans="23:35">
      <c r="W685" s="4" t="s">
        <v>3405</v>
      </c>
      <c r="X685" s="4" t="s">
        <v>3367</v>
      </c>
      <c r="Y685" s="151" t="str">
        <f t="shared" si="59"/>
        <v>E6010</v>
      </c>
      <c r="Z685" s="4" t="s">
        <v>587</v>
      </c>
      <c r="AA685" s="114" t="s">
        <v>588</v>
      </c>
      <c r="AB685" s="4" t="s">
        <v>506</v>
      </c>
      <c r="AC685" s="4" t="s">
        <v>507</v>
      </c>
      <c r="AD685" s="4" t="s">
        <v>508</v>
      </c>
      <c r="AE685" s="4" t="s">
        <v>509</v>
      </c>
      <c r="AF685" s="4" t="s">
        <v>589</v>
      </c>
      <c r="AG685" s="115">
        <f>+VLOOKUP(Y685,B:O,14,FALSE)/1000</f>
        <v>-1.0036235000001171E-4</v>
      </c>
      <c r="AI685" s="158"/>
    </row>
    <row r="686" spans="23:35">
      <c r="W686" s="4" t="s">
        <v>3405</v>
      </c>
      <c r="X686" s="3" t="s">
        <v>3356</v>
      </c>
      <c r="Y686" s="150" t="str">
        <f>INDEX($B$3:$O$110,83,1)</f>
        <v>E6040</v>
      </c>
      <c r="Z686" s="4" t="s">
        <v>587</v>
      </c>
      <c r="AA686" s="114" t="s">
        <v>588</v>
      </c>
      <c r="AB686" s="4" t="s">
        <v>506</v>
      </c>
      <c r="AC686" s="4" t="s">
        <v>507</v>
      </c>
      <c r="AD686" s="4" t="s">
        <v>508</v>
      </c>
      <c r="AE686" s="4" t="s">
        <v>509</v>
      </c>
      <c r="AF686" s="4" t="s">
        <v>589</v>
      </c>
      <c r="AG686" s="115">
        <f>+VLOOKUP(Y686,B:O,3,FALSE)/1000</f>
        <v>-6.6999999999999959E-3</v>
      </c>
      <c r="AI686" s="158"/>
    </row>
    <row r="687" spans="23:35">
      <c r="W687" s="4" t="s">
        <v>3405</v>
      </c>
      <c r="X687" s="4" t="s">
        <v>3357</v>
      </c>
      <c r="Y687" s="151" t="str">
        <f>Y686</f>
        <v>E6040</v>
      </c>
      <c r="Z687" s="4" t="s">
        <v>587</v>
      </c>
      <c r="AA687" s="114" t="s">
        <v>588</v>
      </c>
      <c r="AB687" s="4" t="s">
        <v>506</v>
      </c>
      <c r="AC687" s="4" t="s">
        <v>507</v>
      </c>
      <c r="AD687" s="4" t="s">
        <v>508</v>
      </c>
      <c r="AE687" s="4" t="s">
        <v>509</v>
      </c>
      <c r="AF687" s="4" t="s">
        <v>589</v>
      </c>
      <c r="AG687" s="115">
        <f>+VLOOKUP(Y687,B:O,4,FALSE)/1000</f>
        <v>-1.1559999999999996E-2</v>
      </c>
      <c r="AI687" s="158"/>
    </row>
    <row r="688" spans="23:35">
      <c r="W688" s="4" t="s">
        <v>3405</v>
      </c>
      <c r="X688" s="4" t="s">
        <v>3358</v>
      </c>
      <c r="Y688" s="151" t="str">
        <f t="shared" ref="Y688:Y697" si="60">Y687</f>
        <v>E6040</v>
      </c>
      <c r="Z688" s="4" t="s">
        <v>587</v>
      </c>
      <c r="AA688" s="114" t="s">
        <v>588</v>
      </c>
      <c r="AB688" s="4" t="s">
        <v>506</v>
      </c>
      <c r="AC688" s="4" t="s">
        <v>507</v>
      </c>
      <c r="AD688" s="4" t="s">
        <v>508</v>
      </c>
      <c r="AE688" s="4" t="s">
        <v>509</v>
      </c>
      <c r="AF688" s="4" t="s">
        <v>589</v>
      </c>
      <c r="AG688" s="115">
        <f>+VLOOKUP(Y688,B:O,5,FALSE)/1000</f>
        <v>-4.740000000000002E-3</v>
      </c>
      <c r="AI688" s="158"/>
    </row>
    <row r="689" spans="23:35">
      <c r="W689" s="4" t="s">
        <v>3405</v>
      </c>
      <c r="X689" s="4" t="s">
        <v>3359</v>
      </c>
      <c r="Y689" s="151" t="str">
        <f t="shared" si="60"/>
        <v>E6040</v>
      </c>
      <c r="Z689" s="4" t="s">
        <v>587</v>
      </c>
      <c r="AA689" s="114" t="s">
        <v>588</v>
      </c>
      <c r="AB689" s="4" t="s">
        <v>506</v>
      </c>
      <c r="AC689" s="4" t="s">
        <v>507</v>
      </c>
      <c r="AD689" s="4" t="s">
        <v>508</v>
      </c>
      <c r="AE689" s="4" t="s">
        <v>509</v>
      </c>
      <c r="AF689" s="4" t="s">
        <v>589</v>
      </c>
      <c r="AG689" s="115">
        <f>+VLOOKUP(Y689,B:O,6,FALSE)/1000</f>
        <v>6.8999999999999981E-3</v>
      </c>
      <c r="AI689" s="158"/>
    </row>
    <row r="690" spans="23:35">
      <c r="W690" s="4" t="s">
        <v>3405</v>
      </c>
      <c r="X690" s="4" t="s">
        <v>3360</v>
      </c>
      <c r="Y690" s="151" t="str">
        <f t="shared" si="60"/>
        <v>E6040</v>
      </c>
      <c r="Z690" s="4" t="s">
        <v>587</v>
      </c>
      <c r="AA690" s="114" t="s">
        <v>588</v>
      </c>
      <c r="AB690" s="4" t="s">
        <v>506</v>
      </c>
      <c r="AC690" s="4" t="s">
        <v>507</v>
      </c>
      <c r="AD690" s="4" t="s">
        <v>508</v>
      </c>
      <c r="AE690" s="4" t="s">
        <v>509</v>
      </c>
      <c r="AF690" s="4" t="s">
        <v>589</v>
      </c>
      <c r="AG690" s="115">
        <f>+VLOOKUP(Y690,B:O,7,FALSE)/1000</f>
        <v>1.4269999999999996E-2</v>
      </c>
      <c r="AI690" s="158"/>
    </row>
    <row r="691" spans="23:35">
      <c r="W691" s="4" t="s">
        <v>3405</v>
      </c>
      <c r="X691" s="4" t="s">
        <v>3361</v>
      </c>
      <c r="Y691" s="151" t="str">
        <f t="shared" si="60"/>
        <v>E6040</v>
      </c>
      <c r="Z691" s="4" t="s">
        <v>587</v>
      </c>
      <c r="AA691" s="114" t="s">
        <v>588</v>
      </c>
      <c r="AB691" s="4" t="s">
        <v>506</v>
      </c>
      <c r="AC691" s="4" t="s">
        <v>507</v>
      </c>
      <c r="AD691" s="4" t="s">
        <v>508</v>
      </c>
      <c r="AE691" s="4" t="s">
        <v>509</v>
      </c>
      <c r="AF691" s="4" t="s">
        <v>589</v>
      </c>
      <c r="AG691" s="115">
        <f>+VLOOKUP(Y691,B:O,8,FALSE)/1000</f>
        <v>1.0399999999999998E-2</v>
      </c>
      <c r="AI691" s="158"/>
    </row>
    <row r="692" spans="23:35">
      <c r="W692" s="4" t="s">
        <v>3405</v>
      </c>
      <c r="X692" s="4" t="s">
        <v>3362</v>
      </c>
      <c r="Y692" s="151" t="str">
        <f t="shared" si="60"/>
        <v>E6040</v>
      </c>
      <c r="Z692" s="4" t="s">
        <v>587</v>
      </c>
      <c r="AA692" s="114" t="s">
        <v>588</v>
      </c>
      <c r="AB692" s="4" t="s">
        <v>506</v>
      </c>
      <c r="AC692" s="4" t="s">
        <v>507</v>
      </c>
      <c r="AD692" s="4" t="s">
        <v>508</v>
      </c>
      <c r="AE692" s="4" t="s">
        <v>509</v>
      </c>
      <c r="AF692" s="4" t="s">
        <v>589</v>
      </c>
      <c r="AG692" s="115">
        <f>+VLOOKUP(Y692,B:O,9,FALSE)/1000</f>
        <v>9.5300000000000003E-3</v>
      </c>
      <c r="AI692" s="158"/>
    </row>
    <row r="693" spans="23:35">
      <c r="W693" s="4" t="s">
        <v>3405</v>
      </c>
      <c r="X693" s="4" t="s">
        <v>3363</v>
      </c>
      <c r="Y693" s="151" t="str">
        <f t="shared" si="60"/>
        <v>E6040</v>
      </c>
      <c r="Z693" s="4" t="s">
        <v>587</v>
      </c>
      <c r="AA693" s="114" t="s">
        <v>588</v>
      </c>
      <c r="AB693" s="4" t="s">
        <v>506</v>
      </c>
      <c r="AC693" s="4" t="s">
        <v>507</v>
      </c>
      <c r="AD693" s="4" t="s">
        <v>508</v>
      </c>
      <c r="AE693" s="4" t="s">
        <v>509</v>
      </c>
      <c r="AF693" s="4" t="s">
        <v>589</v>
      </c>
      <c r="AG693" s="115">
        <f>+VLOOKUP(Y693,B:O,10,FALSE)/1000</f>
        <v>1.4670000000000002E-2</v>
      </c>
      <c r="AI693" s="158"/>
    </row>
    <row r="694" spans="23:35">
      <c r="W694" s="4" t="s">
        <v>3405</v>
      </c>
      <c r="X694" s="4" t="s">
        <v>3364</v>
      </c>
      <c r="Y694" s="151" t="str">
        <f t="shared" si="60"/>
        <v>E6040</v>
      </c>
      <c r="Z694" s="4" t="s">
        <v>587</v>
      </c>
      <c r="AA694" s="114" t="s">
        <v>588</v>
      </c>
      <c r="AB694" s="4" t="s">
        <v>506</v>
      </c>
      <c r="AC694" s="4" t="s">
        <v>507</v>
      </c>
      <c r="AD694" s="4" t="s">
        <v>508</v>
      </c>
      <c r="AE694" s="4" t="s">
        <v>509</v>
      </c>
      <c r="AF694" s="4" t="s">
        <v>589</v>
      </c>
      <c r="AG694" s="115">
        <f>+VLOOKUP(Y694,B:O,11,FALSE)/1000</f>
        <v>1.685E-2</v>
      </c>
      <c r="AI694" s="158"/>
    </row>
    <row r="695" spans="23:35">
      <c r="W695" s="4" t="s">
        <v>3405</v>
      </c>
      <c r="X695" s="4" t="s">
        <v>3365</v>
      </c>
      <c r="Y695" s="151" t="str">
        <f t="shared" si="60"/>
        <v>E6040</v>
      </c>
      <c r="Z695" s="4" t="s">
        <v>587</v>
      </c>
      <c r="AA695" s="114" t="s">
        <v>588</v>
      </c>
      <c r="AB695" s="4" t="s">
        <v>506</v>
      </c>
      <c r="AC695" s="4" t="s">
        <v>507</v>
      </c>
      <c r="AD695" s="4" t="s">
        <v>508</v>
      </c>
      <c r="AE695" s="4" t="s">
        <v>509</v>
      </c>
      <c r="AF695" s="4" t="s">
        <v>589</v>
      </c>
      <c r="AG695" s="115">
        <f>+VLOOKUP(Y695,B:O,12,FALSE)/1000</f>
        <v>1.6299999999999999E-2</v>
      </c>
      <c r="AI695" s="158"/>
    </row>
    <row r="696" spans="23:35">
      <c r="W696" s="4" t="s">
        <v>3405</v>
      </c>
      <c r="X696" s="4" t="s">
        <v>3366</v>
      </c>
      <c r="Y696" s="151" t="str">
        <f t="shared" si="60"/>
        <v>E6040</v>
      </c>
      <c r="Z696" s="4" t="s">
        <v>587</v>
      </c>
      <c r="AA696" s="114" t="s">
        <v>588</v>
      </c>
      <c r="AB696" s="4" t="s">
        <v>506</v>
      </c>
      <c r="AC696" s="4" t="s">
        <v>507</v>
      </c>
      <c r="AD696" s="4" t="s">
        <v>508</v>
      </c>
      <c r="AE696" s="4" t="s">
        <v>509</v>
      </c>
      <c r="AF696" s="4" t="s">
        <v>589</v>
      </c>
      <c r="AG696" s="115">
        <f>+VLOOKUP(Y696,B:O,13,FALSE)/1000</f>
        <v>6.3999999999999986E-3</v>
      </c>
      <c r="AI696" s="158"/>
    </row>
    <row r="697" spans="23:35">
      <c r="W697" s="4" t="s">
        <v>3405</v>
      </c>
      <c r="X697" s="4" t="s">
        <v>3367</v>
      </c>
      <c r="Y697" s="151" t="str">
        <f t="shared" si="60"/>
        <v>E6040</v>
      </c>
      <c r="Z697" s="4" t="s">
        <v>587</v>
      </c>
      <c r="AA697" s="114" t="s">
        <v>588</v>
      </c>
      <c r="AB697" s="4" t="s">
        <v>506</v>
      </c>
      <c r="AC697" s="4" t="s">
        <v>507</v>
      </c>
      <c r="AD697" s="4" t="s">
        <v>508</v>
      </c>
      <c r="AE697" s="4" t="s">
        <v>509</v>
      </c>
      <c r="AF697" s="4" t="s">
        <v>589</v>
      </c>
      <c r="AG697" s="115">
        <f>+VLOOKUP(Y697,B:O,14,FALSE)/1000</f>
        <v>-1.7000000000000169E-4</v>
      </c>
      <c r="AI697" s="158"/>
    </row>
    <row r="698" spans="23:35">
      <c r="W698" s="4" t="s">
        <v>3405</v>
      </c>
      <c r="X698" s="3" t="s">
        <v>3356</v>
      </c>
      <c r="Y698" s="150" t="str">
        <f>INDEX($B$3:$O$110,84,1)</f>
        <v>E6120</v>
      </c>
      <c r="Z698" s="4" t="s">
        <v>587</v>
      </c>
      <c r="AA698" s="114" t="s">
        <v>588</v>
      </c>
      <c r="AB698" s="4" t="s">
        <v>506</v>
      </c>
      <c r="AC698" s="4" t="s">
        <v>507</v>
      </c>
      <c r="AD698" s="4" t="s">
        <v>508</v>
      </c>
      <c r="AE698" s="4" t="s">
        <v>509</v>
      </c>
      <c r="AF698" s="4" t="s">
        <v>589</v>
      </c>
      <c r="AG698" s="743">
        <v>0</v>
      </c>
      <c r="AI698" s="158"/>
    </row>
    <row r="699" spans="23:35">
      <c r="W699" s="4" t="s">
        <v>3405</v>
      </c>
      <c r="X699" s="4" t="s">
        <v>3357</v>
      </c>
      <c r="Y699" s="151" t="str">
        <f>Y698</f>
        <v>E6120</v>
      </c>
      <c r="Z699" s="4" t="s">
        <v>587</v>
      </c>
      <c r="AA699" s="114" t="s">
        <v>588</v>
      </c>
      <c r="AB699" s="4" t="s">
        <v>506</v>
      </c>
      <c r="AC699" s="4" t="s">
        <v>507</v>
      </c>
      <c r="AD699" s="4" t="s">
        <v>508</v>
      </c>
      <c r="AE699" s="4" t="s">
        <v>509</v>
      </c>
      <c r="AF699" s="4" t="s">
        <v>589</v>
      </c>
      <c r="AG699" s="743">
        <v>0</v>
      </c>
      <c r="AI699" s="158"/>
    </row>
    <row r="700" spans="23:35">
      <c r="W700" s="4" t="s">
        <v>3405</v>
      </c>
      <c r="X700" s="4" t="s">
        <v>3358</v>
      </c>
      <c r="Y700" s="151" t="str">
        <f t="shared" ref="Y700:Y709" si="61">Y699</f>
        <v>E6120</v>
      </c>
      <c r="Z700" s="4" t="s">
        <v>587</v>
      </c>
      <c r="AA700" s="114" t="s">
        <v>588</v>
      </c>
      <c r="AB700" s="4" t="s">
        <v>506</v>
      </c>
      <c r="AC700" s="4" t="s">
        <v>507</v>
      </c>
      <c r="AD700" s="4" t="s">
        <v>508</v>
      </c>
      <c r="AE700" s="4" t="s">
        <v>509</v>
      </c>
      <c r="AF700" s="4" t="s">
        <v>589</v>
      </c>
      <c r="AG700" s="743">
        <v>0</v>
      </c>
      <c r="AI700" s="158"/>
    </row>
    <row r="701" spans="23:35">
      <c r="W701" s="4" t="s">
        <v>3405</v>
      </c>
      <c r="X701" s="4" t="s">
        <v>3359</v>
      </c>
      <c r="Y701" s="151" t="str">
        <f t="shared" si="61"/>
        <v>E6120</v>
      </c>
      <c r="Z701" s="4" t="s">
        <v>587</v>
      </c>
      <c r="AA701" s="114" t="s">
        <v>588</v>
      </c>
      <c r="AB701" s="4" t="s">
        <v>506</v>
      </c>
      <c r="AC701" s="4" t="s">
        <v>507</v>
      </c>
      <c r="AD701" s="4" t="s">
        <v>508</v>
      </c>
      <c r="AE701" s="4" t="s">
        <v>509</v>
      </c>
      <c r="AF701" s="4" t="s">
        <v>589</v>
      </c>
      <c r="AG701" s="743">
        <v>0</v>
      </c>
      <c r="AI701" s="158"/>
    </row>
    <row r="702" spans="23:35">
      <c r="W702" s="4" t="s">
        <v>3405</v>
      </c>
      <c r="X702" s="4" t="s">
        <v>3360</v>
      </c>
      <c r="Y702" s="151" t="str">
        <f t="shared" si="61"/>
        <v>E6120</v>
      </c>
      <c r="Z702" s="4" t="s">
        <v>587</v>
      </c>
      <c r="AA702" s="114" t="s">
        <v>588</v>
      </c>
      <c r="AB702" s="4" t="s">
        <v>506</v>
      </c>
      <c r="AC702" s="4" t="s">
        <v>507</v>
      </c>
      <c r="AD702" s="4" t="s">
        <v>508</v>
      </c>
      <c r="AE702" s="4" t="s">
        <v>509</v>
      </c>
      <c r="AF702" s="4" t="s">
        <v>589</v>
      </c>
      <c r="AG702" s="743">
        <v>0</v>
      </c>
      <c r="AI702" s="158"/>
    </row>
    <row r="703" spans="23:35">
      <c r="W703" s="4" t="s">
        <v>3405</v>
      </c>
      <c r="X703" s="4" t="s">
        <v>3361</v>
      </c>
      <c r="Y703" s="151" t="str">
        <f t="shared" si="61"/>
        <v>E6120</v>
      </c>
      <c r="Z703" s="4" t="s">
        <v>587</v>
      </c>
      <c r="AA703" s="114" t="s">
        <v>588</v>
      </c>
      <c r="AB703" s="4" t="s">
        <v>506</v>
      </c>
      <c r="AC703" s="4" t="s">
        <v>507</v>
      </c>
      <c r="AD703" s="4" t="s">
        <v>508</v>
      </c>
      <c r="AE703" s="4" t="s">
        <v>509</v>
      </c>
      <c r="AF703" s="4" t="s">
        <v>589</v>
      </c>
      <c r="AG703" s="743">
        <v>0</v>
      </c>
      <c r="AI703" s="158"/>
    </row>
    <row r="704" spans="23:35">
      <c r="W704" s="4" t="s">
        <v>3405</v>
      </c>
      <c r="X704" s="4" t="s">
        <v>3362</v>
      </c>
      <c r="Y704" s="151" t="str">
        <f t="shared" si="61"/>
        <v>E6120</v>
      </c>
      <c r="Z704" s="4" t="s">
        <v>587</v>
      </c>
      <c r="AA704" s="114" t="s">
        <v>588</v>
      </c>
      <c r="AB704" s="4" t="s">
        <v>506</v>
      </c>
      <c r="AC704" s="4" t="s">
        <v>507</v>
      </c>
      <c r="AD704" s="4" t="s">
        <v>508</v>
      </c>
      <c r="AE704" s="4" t="s">
        <v>509</v>
      </c>
      <c r="AF704" s="4" t="s">
        <v>589</v>
      </c>
      <c r="AG704" s="743">
        <v>0</v>
      </c>
      <c r="AI704" s="158"/>
    </row>
    <row r="705" spans="23:35">
      <c r="W705" s="4" t="s">
        <v>3405</v>
      </c>
      <c r="X705" s="4" t="s">
        <v>3363</v>
      </c>
      <c r="Y705" s="151" t="str">
        <f t="shared" si="61"/>
        <v>E6120</v>
      </c>
      <c r="Z705" s="4" t="s">
        <v>587</v>
      </c>
      <c r="AA705" s="114" t="s">
        <v>588</v>
      </c>
      <c r="AB705" s="4" t="s">
        <v>506</v>
      </c>
      <c r="AC705" s="4" t="s">
        <v>507</v>
      </c>
      <c r="AD705" s="4" t="s">
        <v>508</v>
      </c>
      <c r="AE705" s="4" t="s">
        <v>509</v>
      </c>
      <c r="AF705" s="4" t="s">
        <v>589</v>
      </c>
      <c r="AG705" s="743">
        <v>0</v>
      </c>
      <c r="AI705" s="158"/>
    </row>
    <row r="706" spans="23:35">
      <c r="W706" s="4" t="s">
        <v>3405</v>
      </c>
      <c r="X706" s="4" t="s">
        <v>3364</v>
      </c>
      <c r="Y706" s="151" t="str">
        <f t="shared" si="61"/>
        <v>E6120</v>
      </c>
      <c r="Z706" s="4" t="s">
        <v>587</v>
      </c>
      <c r="AA706" s="114" t="s">
        <v>588</v>
      </c>
      <c r="AB706" s="4" t="s">
        <v>506</v>
      </c>
      <c r="AC706" s="4" t="s">
        <v>507</v>
      </c>
      <c r="AD706" s="4" t="s">
        <v>508</v>
      </c>
      <c r="AE706" s="4" t="s">
        <v>509</v>
      </c>
      <c r="AF706" s="4" t="s">
        <v>589</v>
      </c>
      <c r="AG706" s="743">
        <v>0</v>
      </c>
      <c r="AI706" s="158"/>
    </row>
    <row r="707" spans="23:35">
      <c r="W707" s="4" t="s">
        <v>3405</v>
      </c>
      <c r="X707" s="4" t="s">
        <v>3365</v>
      </c>
      <c r="Y707" s="151" t="str">
        <f t="shared" si="61"/>
        <v>E6120</v>
      </c>
      <c r="Z707" s="4" t="s">
        <v>587</v>
      </c>
      <c r="AA707" s="114" t="s">
        <v>588</v>
      </c>
      <c r="AB707" s="4" t="s">
        <v>506</v>
      </c>
      <c r="AC707" s="4" t="s">
        <v>507</v>
      </c>
      <c r="AD707" s="4" t="s">
        <v>508</v>
      </c>
      <c r="AE707" s="4" t="s">
        <v>509</v>
      </c>
      <c r="AF707" s="4" t="s">
        <v>589</v>
      </c>
      <c r="AG707" s="743">
        <v>0</v>
      </c>
      <c r="AI707" s="158"/>
    </row>
    <row r="708" spans="23:35">
      <c r="W708" s="4" t="s">
        <v>3405</v>
      </c>
      <c r="X708" s="4" t="s">
        <v>3366</v>
      </c>
      <c r="Y708" s="151" t="str">
        <f t="shared" si="61"/>
        <v>E6120</v>
      </c>
      <c r="Z708" s="4" t="s">
        <v>587</v>
      </c>
      <c r="AA708" s="114" t="s">
        <v>588</v>
      </c>
      <c r="AB708" s="4" t="s">
        <v>506</v>
      </c>
      <c r="AC708" s="4" t="s">
        <v>507</v>
      </c>
      <c r="AD708" s="4" t="s">
        <v>508</v>
      </c>
      <c r="AE708" s="4" t="s">
        <v>509</v>
      </c>
      <c r="AF708" s="4" t="s">
        <v>589</v>
      </c>
      <c r="AG708" s="743">
        <v>0</v>
      </c>
      <c r="AI708" s="158"/>
    </row>
    <row r="709" spans="23:35">
      <c r="W709" s="4" t="s">
        <v>3405</v>
      </c>
      <c r="X709" s="4" t="s">
        <v>3367</v>
      </c>
      <c r="Y709" s="151" t="str">
        <f t="shared" si="61"/>
        <v>E6120</v>
      </c>
      <c r="Z709" s="4" t="s">
        <v>587</v>
      </c>
      <c r="AA709" s="114" t="s">
        <v>588</v>
      </c>
      <c r="AB709" s="4" t="s">
        <v>506</v>
      </c>
      <c r="AC709" s="4" t="s">
        <v>507</v>
      </c>
      <c r="AD709" s="4" t="s">
        <v>508</v>
      </c>
      <c r="AE709" s="4" t="s">
        <v>509</v>
      </c>
      <c r="AF709" s="4" t="s">
        <v>589</v>
      </c>
      <c r="AG709" s="743">
        <v>0</v>
      </c>
      <c r="AI709" s="158"/>
    </row>
    <row r="710" spans="23:35">
      <c r="W710" s="4" t="s">
        <v>3405</v>
      </c>
      <c r="X710" s="3" t="s">
        <v>3356</v>
      </c>
      <c r="Y710" s="150" t="str">
        <f>INDEX($B$3:$O$110,85,1)</f>
        <v>E6130</v>
      </c>
      <c r="Z710" s="4" t="s">
        <v>587</v>
      </c>
      <c r="AA710" s="114" t="s">
        <v>588</v>
      </c>
      <c r="AB710" s="4" t="s">
        <v>506</v>
      </c>
      <c r="AC710" s="4" t="s">
        <v>507</v>
      </c>
      <c r="AD710" s="4" t="s">
        <v>508</v>
      </c>
      <c r="AE710" s="4" t="s">
        <v>509</v>
      </c>
      <c r="AF710" s="4" t="s">
        <v>589</v>
      </c>
      <c r="AG710" s="743">
        <v>0</v>
      </c>
      <c r="AI710" s="158"/>
    </row>
    <row r="711" spans="23:35">
      <c r="W711" s="4" t="s">
        <v>3405</v>
      </c>
      <c r="X711" s="4" t="s">
        <v>3357</v>
      </c>
      <c r="Y711" s="151" t="str">
        <f>Y710</f>
        <v>E6130</v>
      </c>
      <c r="Z711" s="4" t="s">
        <v>587</v>
      </c>
      <c r="AA711" s="114" t="s">
        <v>588</v>
      </c>
      <c r="AB711" s="4" t="s">
        <v>506</v>
      </c>
      <c r="AC711" s="4" t="s">
        <v>507</v>
      </c>
      <c r="AD711" s="4" t="s">
        <v>508</v>
      </c>
      <c r="AE711" s="4" t="s">
        <v>509</v>
      </c>
      <c r="AF711" s="4" t="s">
        <v>589</v>
      </c>
      <c r="AG711" s="743">
        <v>0</v>
      </c>
      <c r="AI711" s="158"/>
    </row>
    <row r="712" spans="23:35">
      <c r="W712" s="4" t="s">
        <v>3405</v>
      </c>
      <c r="X712" s="4" t="s">
        <v>3358</v>
      </c>
      <c r="Y712" s="151" t="str">
        <f t="shared" ref="Y712:Y721" si="62">Y711</f>
        <v>E6130</v>
      </c>
      <c r="Z712" s="4" t="s">
        <v>587</v>
      </c>
      <c r="AA712" s="114" t="s">
        <v>588</v>
      </c>
      <c r="AB712" s="4" t="s">
        <v>506</v>
      </c>
      <c r="AC712" s="4" t="s">
        <v>507</v>
      </c>
      <c r="AD712" s="4" t="s">
        <v>508</v>
      </c>
      <c r="AE712" s="4" t="s">
        <v>509</v>
      </c>
      <c r="AF712" s="4" t="s">
        <v>589</v>
      </c>
      <c r="AG712" s="743">
        <v>0</v>
      </c>
      <c r="AI712" s="158"/>
    </row>
    <row r="713" spans="23:35">
      <c r="W713" s="4" t="s">
        <v>3405</v>
      </c>
      <c r="X713" s="4" t="s">
        <v>3359</v>
      </c>
      <c r="Y713" s="151" t="str">
        <f t="shared" si="62"/>
        <v>E6130</v>
      </c>
      <c r="Z713" s="4" t="s">
        <v>587</v>
      </c>
      <c r="AA713" s="114" t="s">
        <v>588</v>
      </c>
      <c r="AB713" s="4" t="s">
        <v>506</v>
      </c>
      <c r="AC713" s="4" t="s">
        <v>507</v>
      </c>
      <c r="AD713" s="4" t="s">
        <v>508</v>
      </c>
      <c r="AE713" s="4" t="s">
        <v>509</v>
      </c>
      <c r="AF713" s="4" t="s">
        <v>589</v>
      </c>
      <c r="AG713" s="743">
        <v>0</v>
      </c>
      <c r="AI713" s="158"/>
    </row>
    <row r="714" spans="23:35">
      <c r="W714" s="4" t="s">
        <v>3405</v>
      </c>
      <c r="X714" s="4" t="s">
        <v>3360</v>
      </c>
      <c r="Y714" s="151" t="str">
        <f t="shared" si="62"/>
        <v>E6130</v>
      </c>
      <c r="Z714" s="4" t="s">
        <v>587</v>
      </c>
      <c r="AA714" s="114" t="s">
        <v>588</v>
      </c>
      <c r="AB714" s="4" t="s">
        <v>506</v>
      </c>
      <c r="AC714" s="4" t="s">
        <v>507</v>
      </c>
      <c r="AD714" s="4" t="s">
        <v>508</v>
      </c>
      <c r="AE714" s="4" t="s">
        <v>509</v>
      </c>
      <c r="AF714" s="4" t="s">
        <v>589</v>
      </c>
      <c r="AG714" s="743">
        <v>0</v>
      </c>
      <c r="AI714" s="158"/>
    </row>
    <row r="715" spans="23:35">
      <c r="W715" s="4" t="s">
        <v>3405</v>
      </c>
      <c r="X715" s="4" t="s">
        <v>3361</v>
      </c>
      <c r="Y715" s="151" t="str">
        <f t="shared" si="62"/>
        <v>E6130</v>
      </c>
      <c r="Z715" s="4" t="s">
        <v>587</v>
      </c>
      <c r="AA715" s="114" t="s">
        <v>588</v>
      </c>
      <c r="AB715" s="4" t="s">
        <v>506</v>
      </c>
      <c r="AC715" s="4" t="s">
        <v>507</v>
      </c>
      <c r="AD715" s="4" t="s">
        <v>508</v>
      </c>
      <c r="AE715" s="4" t="s">
        <v>509</v>
      </c>
      <c r="AF715" s="4" t="s">
        <v>589</v>
      </c>
      <c r="AG715" s="743">
        <v>0</v>
      </c>
      <c r="AI715" s="158"/>
    </row>
    <row r="716" spans="23:35">
      <c r="W716" s="4" t="s">
        <v>3405</v>
      </c>
      <c r="X716" s="4" t="s">
        <v>3362</v>
      </c>
      <c r="Y716" s="151" t="str">
        <f t="shared" si="62"/>
        <v>E6130</v>
      </c>
      <c r="Z716" s="4" t="s">
        <v>587</v>
      </c>
      <c r="AA716" s="114" t="s">
        <v>588</v>
      </c>
      <c r="AB716" s="4" t="s">
        <v>506</v>
      </c>
      <c r="AC716" s="4" t="s">
        <v>507</v>
      </c>
      <c r="AD716" s="4" t="s">
        <v>508</v>
      </c>
      <c r="AE716" s="4" t="s">
        <v>509</v>
      </c>
      <c r="AF716" s="4" t="s">
        <v>589</v>
      </c>
      <c r="AG716" s="743">
        <v>0</v>
      </c>
      <c r="AI716" s="158"/>
    </row>
    <row r="717" spans="23:35">
      <c r="W717" s="4" t="s">
        <v>3405</v>
      </c>
      <c r="X717" s="4" t="s">
        <v>3363</v>
      </c>
      <c r="Y717" s="151" t="str">
        <f t="shared" si="62"/>
        <v>E6130</v>
      </c>
      <c r="Z717" s="4" t="s">
        <v>587</v>
      </c>
      <c r="AA717" s="114" t="s">
        <v>588</v>
      </c>
      <c r="AB717" s="4" t="s">
        <v>506</v>
      </c>
      <c r="AC717" s="4" t="s">
        <v>507</v>
      </c>
      <c r="AD717" s="4" t="s">
        <v>508</v>
      </c>
      <c r="AE717" s="4" t="s">
        <v>509</v>
      </c>
      <c r="AF717" s="4" t="s">
        <v>589</v>
      </c>
      <c r="AG717" s="743">
        <v>0</v>
      </c>
      <c r="AI717" s="158"/>
    </row>
    <row r="718" spans="23:35">
      <c r="W718" s="4" t="s">
        <v>3405</v>
      </c>
      <c r="X718" s="4" t="s">
        <v>3364</v>
      </c>
      <c r="Y718" s="151" t="str">
        <f t="shared" si="62"/>
        <v>E6130</v>
      </c>
      <c r="Z718" s="4" t="s">
        <v>587</v>
      </c>
      <c r="AA718" s="114" t="s">
        <v>588</v>
      </c>
      <c r="AB718" s="4" t="s">
        <v>506</v>
      </c>
      <c r="AC718" s="4" t="s">
        <v>507</v>
      </c>
      <c r="AD718" s="4" t="s">
        <v>508</v>
      </c>
      <c r="AE718" s="4" t="s">
        <v>509</v>
      </c>
      <c r="AF718" s="4" t="s">
        <v>589</v>
      </c>
      <c r="AG718" s="743">
        <v>0</v>
      </c>
      <c r="AI718" s="158"/>
    </row>
    <row r="719" spans="23:35">
      <c r="W719" s="4" t="s">
        <v>3405</v>
      </c>
      <c r="X719" s="4" t="s">
        <v>3365</v>
      </c>
      <c r="Y719" s="151" t="str">
        <f t="shared" si="62"/>
        <v>E6130</v>
      </c>
      <c r="Z719" s="4" t="s">
        <v>587</v>
      </c>
      <c r="AA719" s="114" t="s">
        <v>588</v>
      </c>
      <c r="AB719" s="4" t="s">
        <v>506</v>
      </c>
      <c r="AC719" s="4" t="s">
        <v>507</v>
      </c>
      <c r="AD719" s="4" t="s">
        <v>508</v>
      </c>
      <c r="AE719" s="4" t="s">
        <v>509</v>
      </c>
      <c r="AF719" s="4" t="s">
        <v>589</v>
      </c>
      <c r="AG719" s="743">
        <v>0</v>
      </c>
      <c r="AI719" s="158"/>
    </row>
    <row r="720" spans="23:35">
      <c r="W720" s="4" t="s">
        <v>3405</v>
      </c>
      <c r="X720" s="4" t="s">
        <v>3366</v>
      </c>
      <c r="Y720" s="151" t="str">
        <f t="shared" si="62"/>
        <v>E6130</v>
      </c>
      <c r="Z720" s="4" t="s">
        <v>587</v>
      </c>
      <c r="AA720" s="114" t="s">
        <v>588</v>
      </c>
      <c r="AB720" s="4" t="s">
        <v>506</v>
      </c>
      <c r="AC720" s="4" t="s">
        <v>507</v>
      </c>
      <c r="AD720" s="4" t="s">
        <v>508</v>
      </c>
      <c r="AE720" s="4" t="s">
        <v>509</v>
      </c>
      <c r="AF720" s="4" t="s">
        <v>589</v>
      </c>
      <c r="AG720" s="743">
        <v>0</v>
      </c>
      <c r="AI720" s="158"/>
    </row>
    <row r="721" spans="23:35">
      <c r="W721" s="4" t="s">
        <v>3405</v>
      </c>
      <c r="X721" s="4" t="s">
        <v>3367</v>
      </c>
      <c r="Y721" s="151" t="str">
        <f t="shared" si="62"/>
        <v>E6130</v>
      </c>
      <c r="Z721" s="4" t="s">
        <v>587</v>
      </c>
      <c r="AA721" s="114" t="s">
        <v>588</v>
      </c>
      <c r="AB721" s="4" t="s">
        <v>506</v>
      </c>
      <c r="AC721" s="4" t="s">
        <v>507</v>
      </c>
      <c r="AD721" s="4" t="s">
        <v>508</v>
      </c>
      <c r="AE721" s="4" t="s">
        <v>509</v>
      </c>
      <c r="AF721" s="4" t="s">
        <v>589</v>
      </c>
      <c r="AG721" s="743">
        <v>0</v>
      </c>
      <c r="AI721" s="158"/>
    </row>
    <row r="722" spans="23:35">
      <c r="W722" s="4" t="s">
        <v>3405</v>
      </c>
      <c r="X722" s="3" t="s">
        <v>3356</v>
      </c>
      <c r="Y722" s="150" t="str">
        <f>INDEX($B$3:$O$110,86,1)</f>
        <v>E6140</v>
      </c>
      <c r="Z722" s="4" t="s">
        <v>587</v>
      </c>
      <c r="AA722" s="114" t="s">
        <v>588</v>
      </c>
      <c r="AB722" s="4" t="s">
        <v>506</v>
      </c>
      <c r="AC722" s="4" t="s">
        <v>507</v>
      </c>
      <c r="AD722" s="4" t="s">
        <v>508</v>
      </c>
      <c r="AE722" s="4" t="s">
        <v>509</v>
      </c>
      <c r="AF722" s="4" t="s">
        <v>589</v>
      </c>
      <c r="AG722" s="743">
        <v>0</v>
      </c>
      <c r="AI722" s="158"/>
    </row>
    <row r="723" spans="23:35">
      <c r="W723" s="4" t="s">
        <v>3405</v>
      </c>
      <c r="X723" s="4" t="s">
        <v>3357</v>
      </c>
      <c r="Y723" s="151" t="str">
        <f>Y722</f>
        <v>E6140</v>
      </c>
      <c r="Z723" s="4" t="s">
        <v>587</v>
      </c>
      <c r="AA723" s="114" t="s">
        <v>588</v>
      </c>
      <c r="AB723" s="4" t="s">
        <v>506</v>
      </c>
      <c r="AC723" s="4" t="s">
        <v>507</v>
      </c>
      <c r="AD723" s="4" t="s">
        <v>508</v>
      </c>
      <c r="AE723" s="4" t="s">
        <v>509</v>
      </c>
      <c r="AF723" s="4" t="s">
        <v>589</v>
      </c>
      <c r="AG723" s="743">
        <v>0</v>
      </c>
      <c r="AI723" s="158"/>
    </row>
    <row r="724" spans="23:35">
      <c r="W724" s="4" t="s">
        <v>3405</v>
      </c>
      <c r="X724" s="4" t="s">
        <v>3358</v>
      </c>
      <c r="Y724" s="151" t="str">
        <f t="shared" ref="Y724:Y733" si="63">Y723</f>
        <v>E6140</v>
      </c>
      <c r="Z724" s="4" t="s">
        <v>587</v>
      </c>
      <c r="AA724" s="114" t="s">
        <v>588</v>
      </c>
      <c r="AB724" s="4" t="s">
        <v>506</v>
      </c>
      <c r="AC724" s="4" t="s">
        <v>507</v>
      </c>
      <c r="AD724" s="4" t="s">
        <v>508</v>
      </c>
      <c r="AE724" s="4" t="s">
        <v>509</v>
      </c>
      <c r="AF724" s="4" t="s">
        <v>589</v>
      </c>
      <c r="AG724" s="743">
        <v>0</v>
      </c>
      <c r="AI724" s="158"/>
    </row>
    <row r="725" spans="23:35">
      <c r="W725" s="4" t="s">
        <v>3405</v>
      </c>
      <c r="X725" s="4" t="s">
        <v>3359</v>
      </c>
      <c r="Y725" s="151" t="str">
        <f t="shared" si="63"/>
        <v>E6140</v>
      </c>
      <c r="Z725" s="4" t="s">
        <v>587</v>
      </c>
      <c r="AA725" s="114" t="s">
        <v>588</v>
      </c>
      <c r="AB725" s="4" t="s">
        <v>506</v>
      </c>
      <c r="AC725" s="4" t="s">
        <v>507</v>
      </c>
      <c r="AD725" s="4" t="s">
        <v>508</v>
      </c>
      <c r="AE725" s="4" t="s">
        <v>509</v>
      </c>
      <c r="AF725" s="4" t="s">
        <v>589</v>
      </c>
      <c r="AG725" s="743">
        <v>0</v>
      </c>
      <c r="AI725" s="158"/>
    </row>
    <row r="726" spans="23:35">
      <c r="W726" s="4" t="s">
        <v>3405</v>
      </c>
      <c r="X726" s="4" t="s">
        <v>3360</v>
      </c>
      <c r="Y726" s="151" t="str">
        <f t="shared" si="63"/>
        <v>E6140</v>
      </c>
      <c r="Z726" s="4" t="s">
        <v>587</v>
      </c>
      <c r="AA726" s="114" t="s">
        <v>588</v>
      </c>
      <c r="AB726" s="4" t="s">
        <v>506</v>
      </c>
      <c r="AC726" s="4" t="s">
        <v>507</v>
      </c>
      <c r="AD726" s="4" t="s">
        <v>508</v>
      </c>
      <c r="AE726" s="4" t="s">
        <v>509</v>
      </c>
      <c r="AF726" s="4" t="s">
        <v>589</v>
      </c>
      <c r="AG726" s="743">
        <v>0</v>
      </c>
      <c r="AI726" s="158"/>
    </row>
    <row r="727" spans="23:35">
      <c r="W727" s="4" t="s">
        <v>3405</v>
      </c>
      <c r="X727" s="4" t="s">
        <v>3361</v>
      </c>
      <c r="Y727" s="151" t="str">
        <f t="shared" si="63"/>
        <v>E6140</v>
      </c>
      <c r="Z727" s="4" t="s">
        <v>587</v>
      </c>
      <c r="AA727" s="114" t="s">
        <v>588</v>
      </c>
      <c r="AB727" s="4" t="s">
        <v>506</v>
      </c>
      <c r="AC727" s="4" t="s">
        <v>507</v>
      </c>
      <c r="AD727" s="4" t="s">
        <v>508</v>
      </c>
      <c r="AE727" s="4" t="s">
        <v>509</v>
      </c>
      <c r="AF727" s="4" t="s">
        <v>589</v>
      </c>
      <c r="AG727" s="743">
        <v>0</v>
      </c>
      <c r="AI727" s="158"/>
    </row>
    <row r="728" spans="23:35">
      <c r="W728" s="4" t="s">
        <v>3405</v>
      </c>
      <c r="X728" s="4" t="s">
        <v>3362</v>
      </c>
      <c r="Y728" s="151" t="str">
        <f t="shared" si="63"/>
        <v>E6140</v>
      </c>
      <c r="Z728" s="4" t="s">
        <v>587</v>
      </c>
      <c r="AA728" s="114" t="s">
        <v>588</v>
      </c>
      <c r="AB728" s="4" t="s">
        <v>506</v>
      </c>
      <c r="AC728" s="4" t="s">
        <v>507</v>
      </c>
      <c r="AD728" s="4" t="s">
        <v>508</v>
      </c>
      <c r="AE728" s="4" t="s">
        <v>509</v>
      </c>
      <c r="AF728" s="4" t="s">
        <v>589</v>
      </c>
      <c r="AG728" s="743">
        <v>0</v>
      </c>
      <c r="AI728" s="158"/>
    </row>
    <row r="729" spans="23:35">
      <c r="W729" s="4" t="s">
        <v>3405</v>
      </c>
      <c r="X729" s="4" t="s">
        <v>3363</v>
      </c>
      <c r="Y729" s="151" t="str">
        <f t="shared" si="63"/>
        <v>E6140</v>
      </c>
      <c r="Z729" s="4" t="s">
        <v>587</v>
      </c>
      <c r="AA729" s="114" t="s">
        <v>588</v>
      </c>
      <c r="AB729" s="4" t="s">
        <v>506</v>
      </c>
      <c r="AC729" s="4" t="s">
        <v>507</v>
      </c>
      <c r="AD729" s="4" t="s">
        <v>508</v>
      </c>
      <c r="AE729" s="4" t="s">
        <v>509</v>
      </c>
      <c r="AF729" s="4" t="s">
        <v>589</v>
      </c>
      <c r="AG729" s="743">
        <v>0</v>
      </c>
      <c r="AI729" s="158"/>
    </row>
    <row r="730" spans="23:35">
      <c r="W730" s="4" t="s">
        <v>3405</v>
      </c>
      <c r="X730" s="4" t="s">
        <v>3364</v>
      </c>
      <c r="Y730" s="151" t="str">
        <f t="shared" si="63"/>
        <v>E6140</v>
      </c>
      <c r="Z730" s="4" t="s">
        <v>587</v>
      </c>
      <c r="AA730" s="114" t="s">
        <v>588</v>
      </c>
      <c r="AB730" s="4" t="s">
        <v>506</v>
      </c>
      <c r="AC730" s="4" t="s">
        <v>507</v>
      </c>
      <c r="AD730" s="4" t="s">
        <v>508</v>
      </c>
      <c r="AE730" s="4" t="s">
        <v>509</v>
      </c>
      <c r="AF730" s="4" t="s">
        <v>589</v>
      </c>
      <c r="AG730" s="743">
        <v>0</v>
      </c>
      <c r="AI730" s="158"/>
    </row>
    <row r="731" spans="23:35">
      <c r="W731" s="4" t="s">
        <v>3405</v>
      </c>
      <c r="X731" s="4" t="s">
        <v>3365</v>
      </c>
      <c r="Y731" s="151" t="str">
        <f t="shared" si="63"/>
        <v>E6140</v>
      </c>
      <c r="Z731" s="4" t="s">
        <v>587</v>
      </c>
      <c r="AA731" s="114" t="s">
        <v>588</v>
      </c>
      <c r="AB731" s="4" t="s">
        <v>506</v>
      </c>
      <c r="AC731" s="4" t="s">
        <v>507</v>
      </c>
      <c r="AD731" s="4" t="s">
        <v>508</v>
      </c>
      <c r="AE731" s="4" t="s">
        <v>509</v>
      </c>
      <c r="AF731" s="4" t="s">
        <v>589</v>
      </c>
      <c r="AG731" s="743">
        <v>0</v>
      </c>
      <c r="AI731" s="158"/>
    </row>
    <row r="732" spans="23:35">
      <c r="W732" s="4" t="s">
        <v>3405</v>
      </c>
      <c r="X732" s="4" t="s">
        <v>3366</v>
      </c>
      <c r="Y732" s="151" t="str">
        <f t="shared" si="63"/>
        <v>E6140</v>
      </c>
      <c r="Z732" s="4" t="s">
        <v>587</v>
      </c>
      <c r="AA732" s="114" t="s">
        <v>588</v>
      </c>
      <c r="AB732" s="4" t="s">
        <v>506</v>
      </c>
      <c r="AC732" s="4" t="s">
        <v>507</v>
      </c>
      <c r="AD732" s="4" t="s">
        <v>508</v>
      </c>
      <c r="AE732" s="4" t="s">
        <v>509</v>
      </c>
      <c r="AF732" s="4" t="s">
        <v>589</v>
      </c>
      <c r="AG732" s="743">
        <v>0</v>
      </c>
      <c r="AI732" s="158"/>
    </row>
    <row r="733" spans="23:35">
      <c r="W733" s="4" t="s">
        <v>3405</v>
      </c>
      <c r="X733" s="4" t="s">
        <v>3367</v>
      </c>
      <c r="Y733" s="151" t="str">
        <f t="shared" si="63"/>
        <v>E6140</v>
      </c>
      <c r="Z733" s="4" t="s">
        <v>587</v>
      </c>
      <c r="AA733" s="114" t="s">
        <v>588</v>
      </c>
      <c r="AB733" s="4" t="s">
        <v>506</v>
      </c>
      <c r="AC733" s="4" t="s">
        <v>507</v>
      </c>
      <c r="AD733" s="4" t="s">
        <v>508</v>
      </c>
      <c r="AE733" s="4" t="s">
        <v>509</v>
      </c>
      <c r="AF733" s="4" t="s">
        <v>589</v>
      </c>
      <c r="AG733" s="743">
        <v>0</v>
      </c>
      <c r="AI733" s="158"/>
    </row>
    <row r="734" spans="23:35">
      <c r="W734" s="4" t="s">
        <v>3405</v>
      </c>
      <c r="X734" s="3" t="s">
        <v>3356</v>
      </c>
      <c r="Y734" s="150" t="str">
        <f>INDEX($B$3:$O$110,87,1)</f>
        <v>E6150</v>
      </c>
      <c r="Z734" s="4" t="s">
        <v>587</v>
      </c>
      <c r="AA734" s="114" t="s">
        <v>588</v>
      </c>
      <c r="AB734" s="4" t="s">
        <v>506</v>
      </c>
      <c r="AC734" s="4" t="s">
        <v>507</v>
      </c>
      <c r="AD734" s="4" t="s">
        <v>508</v>
      </c>
      <c r="AE734" s="4" t="s">
        <v>509</v>
      </c>
      <c r="AF734" s="4" t="s">
        <v>589</v>
      </c>
      <c r="AG734" s="743">
        <v>0</v>
      </c>
      <c r="AI734" s="158"/>
    </row>
    <row r="735" spans="23:35">
      <c r="W735" s="4" t="s">
        <v>3405</v>
      </c>
      <c r="X735" s="4" t="s">
        <v>3357</v>
      </c>
      <c r="Y735" s="151" t="str">
        <f>Y734</f>
        <v>E6150</v>
      </c>
      <c r="Z735" s="4" t="s">
        <v>587</v>
      </c>
      <c r="AA735" s="114" t="s">
        <v>588</v>
      </c>
      <c r="AB735" s="4" t="s">
        <v>506</v>
      </c>
      <c r="AC735" s="4" t="s">
        <v>507</v>
      </c>
      <c r="AD735" s="4" t="s">
        <v>508</v>
      </c>
      <c r="AE735" s="4" t="s">
        <v>509</v>
      </c>
      <c r="AF735" s="4" t="s">
        <v>589</v>
      </c>
      <c r="AG735" s="743">
        <v>0</v>
      </c>
      <c r="AI735" s="158"/>
    </row>
    <row r="736" spans="23:35">
      <c r="W736" s="4" t="s">
        <v>3405</v>
      </c>
      <c r="X736" s="4" t="s">
        <v>3358</v>
      </c>
      <c r="Y736" s="151" t="str">
        <f t="shared" ref="Y736:Y745" si="64">Y735</f>
        <v>E6150</v>
      </c>
      <c r="Z736" s="4" t="s">
        <v>587</v>
      </c>
      <c r="AA736" s="114" t="s">
        <v>588</v>
      </c>
      <c r="AB736" s="4" t="s">
        <v>506</v>
      </c>
      <c r="AC736" s="4" t="s">
        <v>507</v>
      </c>
      <c r="AD736" s="4" t="s">
        <v>508</v>
      </c>
      <c r="AE736" s="4" t="s">
        <v>509</v>
      </c>
      <c r="AF736" s="4" t="s">
        <v>589</v>
      </c>
      <c r="AG736" s="743">
        <v>0</v>
      </c>
      <c r="AI736" s="158"/>
    </row>
    <row r="737" spans="23:35">
      <c r="W737" s="4" t="s">
        <v>3405</v>
      </c>
      <c r="X737" s="4" t="s">
        <v>3359</v>
      </c>
      <c r="Y737" s="151" t="str">
        <f t="shared" si="64"/>
        <v>E6150</v>
      </c>
      <c r="Z737" s="4" t="s">
        <v>587</v>
      </c>
      <c r="AA737" s="114" t="s">
        <v>588</v>
      </c>
      <c r="AB737" s="4" t="s">
        <v>506</v>
      </c>
      <c r="AC737" s="4" t="s">
        <v>507</v>
      </c>
      <c r="AD737" s="4" t="s">
        <v>508</v>
      </c>
      <c r="AE737" s="4" t="s">
        <v>509</v>
      </c>
      <c r="AF737" s="4" t="s">
        <v>589</v>
      </c>
      <c r="AG737" s="743">
        <v>0</v>
      </c>
      <c r="AI737" s="158"/>
    </row>
    <row r="738" spans="23:35">
      <c r="W738" s="4" t="s">
        <v>3405</v>
      </c>
      <c r="X738" s="4" t="s">
        <v>3360</v>
      </c>
      <c r="Y738" s="151" t="str">
        <f t="shared" si="64"/>
        <v>E6150</v>
      </c>
      <c r="Z738" s="4" t="s">
        <v>587</v>
      </c>
      <c r="AA738" s="114" t="s">
        <v>588</v>
      </c>
      <c r="AB738" s="4" t="s">
        <v>506</v>
      </c>
      <c r="AC738" s="4" t="s">
        <v>507</v>
      </c>
      <c r="AD738" s="4" t="s">
        <v>508</v>
      </c>
      <c r="AE738" s="4" t="s">
        <v>509</v>
      </c>
      <c r="AF738" s="4" t="s">
        <v>589</v>
      </c>
      <c r="AG738" s="743">
        <v>0</v>
      </c>
      <c r="AI738" s="158"/>
    </row>
    <row r="739" spans="23:35">
      <c r="W739" s="4" t="s">
        <v>3405</v>
      </c>
      <c r="X739" s="4" t="s">
        <v>3361</v>
      </c>
      <c r="Y739" s="151" t="str">
        <f t="shared" si="64"/>
        <v>E6150</v>
      </c>
      <c r="Z739" s="4" t="s">
        <v>587</v>
      </c>
      <c r="AA739" s="114" t="s">
        <v>588</v>
      </c>
      <c r="AB739" s="4" t="s">
        <v>506</v>
      </c>
      <c r="AC739" s="4" t="s">
        <v>507</v>
      </c>
      <c r="AD739" s="4" t="s">
        <v>508</v>
      </c>
      <c r="AE739" s="4" t="s">
        <v>509</v>
      </c>
      <c r="AF739" s="4" t="s">
        <v>589</v>
      </c>
      <c r="AG739" s="743">
        <v>0</v>
      </c>
      <c r="AI739" s="158"/>
    </row>
    <row r="740" spans="23:35">
      <c r="W740" s="4" t="s">
        <v>3405</v>
      </c>
      <c r="X740" s="4" t="s">
        <v>3362</v>
      </c>
      <c r="Y740" s="151" t="str">
        <f t="shared" si="64"/>
        <v>E6150</v>
      </c>
      <c r="Z740" s="4" t="s">
        <v>587</v>
      </c>
      <c r="AA740" s="114" t="s">
        <v>588</v>
      </c>
      <c r="AB740" s="4" t="s">
        <v>506</v>
      </c>
      <c r="AC740" s="4" t="s">
        <v>507</v>
      </c>
      <c r="AD740" s="4" t="s">
        <v>508</v>
      </c>
      <c r="AE740" s="4" t="s">
        <v>509</v>
      </c>
      <c r="AF740" s="4" t="s">
        <v>589</v>
      </c>
      <c r="AG740" s="743">
        <v>0</v>
      </c>
      <c r="AI740" s="158"/>
    </row>
    <row r="741" spans="23:35">
      <c r="W741" s="4" t="s">
        <v>3405</v>
      </c>
      <c r="X741" s="4" t="s">
        <v>3363</v>
      </c>
      <c r="Y741" s="151" t="str">
        <f t="shared" si="64"/>
        <v>E6150</v>
      </c>
      <c r="Z741" s="4" t="s">
        <v>587</v>
      </c>
      <c r="AA741" s="114" t="s">
        <v>588</v>
      </c>
      <c r="AB741" s="4" t="s">
        <v>506</v>
      </c>
      <c r="AC741" s="4" t="s">
        <v>507</v>
      </c>
      <c r="AD741" s="4" t="s">
        <v>508</v>
      </c>
      <c r="AE741" s="4" t="s">
        <v>509</v>
      </c>
      <c r="AF741" s="4" t="s">
        <v>589</v>
      </c>
      <c r="AG741" s="743">
        <v>0</v>
      </c>
      <c r="AI741" s="158"/>
    </row>
    <row r="742" spans="23:35">
      <c r="W742" s="4" t="s">
        <v>3405</v>
      </c>
      <c r="X742" s="4" t="s">
        <v>3364</v>
      </c>
      <c r="Y742" s="151" t="str">
        <f t="shared" si="64"/>
        <v>E6150</v>
      </c>
      <c r="Z742" s="4" t="s">
        <v>587</v>
      </c>
      <c r="AA742" s="114" t="s">
        <v>588</v>
      </c>
      <c r="AB742" s="4" t="s">
        <v>506</v>
      </c>
      <c r="AC742" s="4" t="s">
        <v>507</v>
      </c>
      <c r="AD742" s="4" t="s">
        <v>508</v>
      </c>
      <c r="AE742" s="4" t="s">
        <v>509</v>
      </c>
      <c r="AF742" s="4" t="s">
        <v>589</v>
      </c>
      <c r="AG742" s="743">
        <v>0</v>
      </c>
      <c r="AI742" s="158"/>
    </row>
    <row r="743" spans="23:35">
      <c r="W743" s="4" t="s">
        <v>3405</v>
      </c>
      <c r="X743" s="4" t="s">
        <v>3365</v>
      </c>
      <c r="Y743" s="151" t="str">
        <f t="shared" si="64"/>
        <v>E6150</v>
      </c>
      <c r="Z743" s="4" t="s">
        <v>587</v>
      </c>
      <c r="AA743" s="114" t="s">
        <v>588</v>
      </c>
      <c r="AB743" s="4" t="s">
        <v>506</v>
      </c>
      <c r="AC743" s="4" t="s">
        <v>507</v>
      </c>
      <c r="AD743" s="4" t="s">
        <v>508</v>
      </c>
      <c r="AE743" s="4" t="s">
        <v>509</v>
      </c>
      <c r="AF743" s="4" t="s">
        <v>589</v>
      </c>
      <c r="AG743" s="743">
        <v>0</v>
      </c>
      <c r="AI743" s="158"/>
    </row>
    <row r="744" spans="23:35">
      <c r="W744" s="4" t="s">
        <v>3405</v>
      </c>
      <c r="X744" s="4" t="s">
        <v>3366</v>
      </c>
      <c r="Y744" s="151" t="str">
        <f t="shared" si="64"/>
        <v>E6150</v>
      </c>
      <c r="Z744" s="4" t="s">
        <v>587</v>
      </c>
      <c r="AA744" s="114" t="s">
        <v>588</v>
      </c>
      <c r="AB744" s="4" t="s">
        <v>506</v>
      </c>
      <c r="AC744" s="4" t="s">
        <v>507</v>
      </c>
      <c r="AD744" s="4" t="s">
        <v>508</v>
      </c>
      <c r="AE744" s="4" t="s">
        <v>509</v>
      </c>
      <c r="AF744" s="4" t="s">
        <v>589</v>
      </c>
      <c r="AG744" s="743">
        <v>0</v>
      </c>
      <c r="AI744" s="158"/>
    </row>
    <row r="745" spans="23:35">
      <c r="W745" s="4" t="s">
        <v>3405</v>
      </c>
      <c r="X745" s="4" t="s">
        <v>3367</v>
      </c>
      <c r="Y745" s="151" t="str">
        <f t="shared" si="64"/>
        <v>E6150</v>
      </c>
      <c r="Z745" s="4" t="s">
        <v>587</v>
      </c>
      <c r="AA745" s="114" t="s">
        <v>588</v>
      </c>
      <c r="AB745" s="4" t="s">
        <v>506</v>
      </c>
      <c r="AC745" s="4" t="s">
        <v>507</v>
      </c>
      <c r="AD745" s="4" t="s">
        <v>508</v>
      </c>
      <c r="AE745" s="4" t="s">
        <v>509</v>
      </c>
      <c r="AF745" s="4" t="s">
        <v>589</v>
      </c>
      <c r="AG745" s="743">
        <v>0</v>
      </c>
      <c r="AI745" s="158"/>
    </row>
    <row r="746" spans="23:35">
      <c r="W746" s="4" t="s">
        <v>3405</v>
      </c>
      <c r="X746" s="3" t="s">
        <v>3356</v>
      </c>
      <c r="Y746" s="150" t="str">
        <f>INDEX($B$3:$O$110,88,1)</f>
        <v>E6160</v>
      </c>
      <c r="Z746" s="4" t="s">
        <v>587</v>
      </c>
      <c r="AA746" s="114" t="s">
        <v>588</v>
      </c>
      <c r="AB746" s="4" t="s">
        <v>506</v>
      </c>
      <c r="AC746" s="4" t="s">
        <v>507</v>
      </c>
      <c r="AD746" s="4" t="s">
        <v>508</v>
      </c>
      <c r="AE746" s="4" t="s">
        <v>509</v>
      </c>
      <c r="AF746" s="4" t="s">
        <v>589</v>
      </c>
      <c r="AG746" s="743">
        <v>0</v>
      </c>
      <c r="AI746" s="158"/>
    </row>
    <row r="747" spans="23:35">
      <c r="W747" s="4" t="s">
        <v>3405</v>
      </c>
      <c r="X747" s="4" t="s">
        <v>3357</v>
      </c>
      <c r="Y747" s="151" t="str">
        <f>Y746</f>
        <v>E6160</v>
      </c>
      <c r="Z747" s="4" t="s">
        <v>587</v>
      </c>
      <c r="AA747" s="114" t="s">
        <v>588</v>
      </c>
      <c r="AB747" s="4" t="s">
        <v>506</v>
      </c>
      <c r="AC747" s="4" t="s">
        <v>507</v>
      </c>
      <c r="AD747" s="4" t="s">
        <v>508</v>
      </c>
      <c r="AE747" s="4" t="s">
        <v>509</v>
      </c>
      <c r="AF747" s="4" t="s">
        <v>589</v>
      </c>
      <c r="AG747" s="743">
        <v>0</v>
      </c>
      <c r="AI747" s="158"/>
    </row>
    <row r="748" spans="23:35">
      <c r="W748" s="4" t="s">
        <v>3405</v>
      </c>
      <c r="X748" s="4" t="s">
        <v>3358</v>
      </c>
      <c r="Y748" s="151" t="str">
        <f t="shared" ref="Y748:Y757" si="65">Y747</f>
        <v>E6160</v>
      </c>
      <c r="Z748" s="4" t="s">
        <v>587</v>
      </c>
      <c r="AA748" s="114" t="s">
        <v>588</v>
      </c>
      <c r="AB748" s="4" t="s">
        <v>506</v>
      </c>
      <c r="AC748" s="4" t="s">
        <v>507</v>
      </c>
      <c r="AD748" s="4" t="s">
        <v>508</v>
      </c>
      <c r="AE748" s="4" t="s">
        <v>509</v>
      </c>
      <c r="AF748" s="4" t="s">
        <v>589</v>
      </c>
      <c r="AG748" s="743">
        <v>0</v>
      </c>
      <c r="AI748" s="158"/>
    </row>
    <row r="749" spans="23:35">
      <c r="W749" s="4" t="s">
        <v>3405</v>
      </c>
      <c r="X749" s="4" t="s">
        <v>3359</v>
      </c>
      <c r="Y749" s="151" t="str">
        <f t="shared" si="65"/>
        <v>E6160</v>
      </c>
      <c r="Z749" s="4" t="s">
        <v>587</v>
      </c>
      <c r="AA749" s="114" t="s">
        <v>588</v>
      </c>
      <c r="AB749" s="4" t="s">
        <v>506</v>
      </c>
      <c r="AC749" s="4" t="s">
        <v>507</v>
      </c>
      <c r="AD749" s="4" t="s">
        <v>508</v>
      </c>
      <c r="AE749" s="4" t="s">
        <v>509</v>
      </c>
      <c r="AF749" s="4" t="s">
        <v>589</v>
      </c>
      <c r="AG749" s="743">
        <v>0</v>
      </c>
      <c r="AI749" s="158"/>
    </row>
    <row r="750" spans="23:35">
      <c r="W750" s="4" t="s">
        <v>3405</v>
      </c>
      <c r="X750" s="4" t="s">
        <v>3360</v>
      </c>
      <c r="Y750" s="151" t="str">
        <f t="shared" si="65"/>
        <v>E6160</v>
      </c>
      <c r="Z750" s="4" t="s">
        <v>587</v>
      </c>
      <c r="AA750" s="114" t="s">
        <v>588</v>
      </c>
      <c r="AB750" s="4" t="s">
        <v>506</v>
      </c>
      <c r="AC750" s="4" t="s">
        <v>507</v>
      </c>
      <c r="AD750" s="4" t="s">
        <v>508</v>
      </c>
      <c r="AE750" s="4" t="s">
        <v>509</v>
      </c>
      <c r="AF750" s="4" t="s">
        <v>589</v>
      </c>
      <c r="AG750" s="743">
        <v>0</v>
      </c>
      <c r="AI750" s="158"/>
    </row>
    <row r="751" spans="23:35">
      <c r="W751" s="4" t="s">
        <v>3405</v>
      </c>
      <c r="X751" s="4" t="s">
        <v>3361</v>
      </c>
      <c r="Y751" s="151" t="str">
        <f t="shared" si="65"/>
        <v>E6160</v>
      </c>
      <c r="Z751" s="4" t="s">
        <v>587</v>
      </c>
      <c r="AA751" s="114" t="s">
        <v>588</v>
      </c>
      <c r="AB751" s="4" t="s">
        <v>506</v>
      </c>
      <c r="AC751" s="4" t="s">
        <v>507</v>
      </c>
      <c r="AD751" s="4" t="s">
        <v>508</v>
      </c>
      <c r="AE751" s="4" t="s">
        <v>509</v>
      </c>
      <c r="AF751" s="4" t="s">
        <v>589</v>
      </c>
      <c r="AG751" s="743">
        <v>0</v>
      </c>
      <c r="AI751" s="158"/>
    </row>
    <row r="752" spans="23:35">
      <c r="W752" s="4" t="s">
        <v>3405</v>
      </c>
      <c r="X752" s="4" t="s">
        <v>3362</v>
      </c>
      <c r="Y752" s="151" t="str">
        <f t="shared" si="65"/>
        <v>E6160</v>
      </c>
      <c r="Z752" s="4" t="s">
        <v>587</v>
      </c>
      <c r="AA752" s="114" t="s">
        <v>588</v>
      </c>
      <c r="AB752" s="4" t="s">
        <v>506</v>
      </c>
      <c r="AC752" s="4" t="s">
        <v>507</v>
      </c>
      <c r="AD752" s="4" t="s">
        <v>508</v>
      </c>
      <c r="AE752" s="4" t="s">
        <v>509</v>
      </c>
      <c r="AF752" s="4" t="s">
        <v>589</v>
      </c>
      <c r="AG752" s="743">
        <v>0</v>
      </c>
      <c r="AI752" s="158"/>
    </row>
    <row r="753" spans="23:35">
      <c r="W753" s="4" t="s">
        <v>3405</v>
      </c>
      <c r="X753" s="4" t="s">
        <v>3363</v>
      </c>
      <c r="Y753" s="151" t="str">
        <f t="shared" si="65"/>
        <v>E6160</v>
      </c>
      <c r="Z753" s="4" t="s">
        <v>587</v>
      </c>
      <c r="AA753" s="114" t="s">
        <v>588</v>
      </c>
      <c r="AB753" s="4" t="s">
        <v>506</v>
      </c>
      <c r="AC753" s="4" t="s">
        <v>507</v>
      </c>
      <c r="AD753" s="4" t="s">
        <v>508</v>
      </c>
      <c r="AE753" s="4" t="s">
        <v>509</v>
      </c>
      <c r="AF753" s="4" t="s">
        <v>589</v>
      </c>
      <c r="AG753" s="743">
        <v>0</v>
      </c>
      <c r="AI753" s="158"/>
    </row>
    <row r="754" spans="23:35">
      <c r="W754" s="4" t="s">
        <v>3405</v>
      </c>
      <c r="X754" s="4" t="s">
        <v>3364</v>
      </c>
      <c r="Y754" s="151" t="str">
        <f t="shared" si="65"/>
        <v>E6160</v>
      </c>
      <c r="Z754" s="4" t="s">
        <v>587</v>
      </c>
      <c r="AA754" s="114" t="s">
        <v>588</v>
      </c>
      <c r="AB754" s="4" t="s">
        <v>506</v>
      </c>
      <c r="AC754" s="4" t="s">
        <v>507</v>
      </c>
      <c r="AD754" s="4" t="s">
        <v>508</v>
      </c>
      <c r="AE754" s="4" t="s">
        <v>509</v>
      </c>
      <c r="AF754" s="4" t="s">
        <v>589</v>
      </c>
      <c r="AG754" s="743">
        <v>0</v>
      </c>
      <c r="AI754" s="158"/>
    </row>
    <row r="755" spans="23:35">
      <c r="W755" s="4" t="s">
        <v>3405</v>
      </c>
      <c r="X755" s="4" t="s">
        <v>3365</v>
      </c>
      <c r="Y755" s="151" t="str">
        <f t="shared" si="65"/>
        <v>E6160</v>
      </c>
      <c r="Z755" s="4" t="s">
        <v>587</v>
      </c>
      <c r="AA755" s="114" t="s">
        <v>588</v>
      </c>
      <c r="AB755" s="4" t="s">
        <v>506</v>
      </c>
      <c r="AC755" s="4" t="s">
        <v>507</v>
      </c>
      <c r="AD755" s="4" t="s">
        <v>508</v>
      </c>
      <c r="AE755" s="4" t="s">
        <v>509</v>
      </c>
      <c r="AF755" s="4" t="s">
        <v>589</v>
      </c>
      <c r="AG755" s="743">
        <v>0</v>
      </c>
      <c r="AI755" s="158"/>
    </row>
    <row r="756" spans="23:35">
      <c r="W756" s="4" t="s">
        <v>3405</v>
      </c>
      <c r="X756" s="4" t="s">
        <v>3366</v>
      </c>
      <c r="Y756" s="151" t="str">
        <f t="shared" si="65"/>
        <v>E6160</v>
      </c>
      <c r="Z756" s="4" t="s">
        <v>587</v>
      </c>
      <c r="AA756" s="114" t="s">
        <v>588</v>
      </c>
      <c r="AB756" s="4" t="s">
        <v>506</v>
      </c>
      <c r="AC756" s="4" t="s">
        <v>507</v>
      </c>
      <c r="AD756" s="4" t="s">
        <v>508</v>
      </c>
      <c r="AE756" s="4" t="s">
        <v>509</v>
      </c>
      <c r="AF756" s="4" t="s">
        <v>589</v>
      </c>
      <c r="AG756" s="743">
        <v>0</v>
      </c>
      <c r="AI756" s="158"/>
    </row>
    <row r="757" spans="23:35">
      <c r="W757" s="4" t="s">
        <v>3405</v>
      </c>
      <c r="X757" s="4" t="s">
        <v>3367</v>
      </c>
      <c r="Y757" s="151" t="str">
        <f t="shared" si="65"/>
        <v>E6160</v>
      </c>
      <c r="Z757" s="4" t="s">
        <v>587</v>
      </c>
      <c r="AA757" s="114" t="s">
        <v>588</v>
      </c>
      <c r="AB757" s="4" t="s">
        <v>506</v>
      </c>
      <c r="AC757" s="4" t="s">
        <v>507</v>
      </c>
      <c r="AD757" s="4" t="s">
        <v>508</v>
      </c>
      <c r="AE757" s="4" t="s">
        <v>509</v>
      </c>
      <c r="AF757" s="4" t="s">
        <v>589</v>
      </c>
      <c r="AG757" s="743">
        <v>0</v>
      </c>
      <c r="AI757" s="158"/>
    </row>
    <row r="758" spans="23:35">
      <c r="W758" s="4" t="s">
        <v>3405</v>
      </c>
      <c r="X758" s="3" t="s">
        <v>3356</v>
      </c>
      <c r="Y758" s="150" t="str">
        <f>INDEX($B$3:$O$110,89,1)</f>
        <v>E6170</v>
      </c>
      <c r="Z758" s="4" t="s">
        <v>587</v>
      </c>
      <c r="AA758" s="114" t="s">
        <v>588</v>
      </c>
      <c r="AB758" s="4" t="s">
        <v>506</v>
      </c>
      <c r="AC758" s="4" t="s">
        <v>507</v>
      </c>
      <c r="AD758" s="4" t="s">
        <v>508</v>
      </c>
      <c r="AE758" s="4" t="s">
        <v>509</v>
      </c>
      <c r="AF758" s="4" t="s">
        <v>589</v>
      </c>
      <c r="AG758" s="743">
        <v>0</v>
      </c>
      <c r="AI758" s="158"/>
    </row>
    <row r="759" spans="23:35">
      <c r="W759" s="4" t="s">
        <v>3405</v>
      </c>
      <c r="X759" s="4" t="s">
        <v>3357</v>
      </c>
      <c r="Y759" s="151" t="str">
        <f>Y758</f>
        <v>E6170</v>
      </c>
      <c r="Z759" s="4" t="s">
        <v>587</v>
      </c>
      <c r="AA759" s="114" t="s">
        <v>588</v>
      </c>
      <c r="AB759" s="4" t="s">
        <v>506</v>
      </c>
      <c r="AC759" s="4" t="s">
        <v>507</v>
      </c>
      <c r="AD759" s="4" t="s">
        <v>508</v>
      </c>
      <c r="AE759" s="4" t="s">
        <v>509</v>
      </c>
      <c r="AF759" s="4" t="s">
        <v>589</v>
      </c>
      <c r="AG759" s="743">
        <v>0</v>
      </c>
      <c r="AI759" s="158"/>
    </row>
    <row r="760" spans="23:35">
      <c r="W760" s="4" t="s">
        <v>3405</v>
      </c>
      <c r="X760" s="4" t="s">
        <v>3358</v>
      </c>
      <c r="Y760" s="151" t="str">
        <f t="shared" ref="Y760:Y769" si="66">Y759</f>
        <v>E6170</v>
      </c>
      <c r="Z760" s="4" t="s">
        <v>587</v>
      </c>
      <c r="AA760" s="114" t="s">
        <v>588</v>
      </c>
      <c r="AB760" s="4" t="s">
        <v>506</v>
      </c>
      <c r="AC760" s="4" t="s">
        <v>507</v>
      </c>
      <c r="AD760" s="4" t="s">
        <v>508</v>
      </c>
      <c r="AE760" s="4" t="s">
        <v>509</v>
      </c>
      <c r="AF760" s="4" t="s">
        <v>589</v>
      </c>
      <c r="AG760" s="743">
        <v>0</v>
      </c>
      <c r="AI760" s="158"/>
    </row>
    <row r="761" spans="23:35">
      <c r="W761" s="4" t="s">
        <v>3405</v>
      </c>
      <c r="X761" s="4" t="s">
        <v>3359</v>
      </c>
      <c r="Y761" s="151" t="str">
        <f t="shared" si="66"/>
        <v>E6170</v>
      </c>
      <c r="Z761" s="4" t="s">
        <v>587</v>
      </c>
      <c r="AA761" s="114" t="s">
        <v>588</v>
      </c>
      <c r="AB761" s="4" t="s">
        <v>506</v>
      </c>
      <c r="AC761" s="4" t="s">
        <v>507</v>
      </c>
      <c r="AD761" s="4" t="s">
        <v>508</v>
      </c>
      <c r="AE761" s="4" t="s">
        <v>509</v>
      </c>
      <c r="AF761" s="4" t="s">
        <v>589</v>
      </c>
      <c r="AG761" s="743">
        <v>0</v>
      </c>
      <c r="AI761" s="158"/>
    </row>
    <row r="762" spans="23:35">
      <c r="W762" s="4" t="s">
        <v>3405</v>
      </c>
      <c r="X762" s="4" t="s">
        <v>3360</v>
      </c>
      <c r="Y762" s="151" t="str">
        <f t="shared" si="66"/>
        <v>E6170</v>
      </c>
      <c r="Z762" s="4" t="s">
        <v>587</v>
      </c>
      <c r="AA762" s="114" t="s">
        <v>588</v>
      </c>
      <c r="AB762" s="4" t="s">
        <v>506</v>
      </c>
      <c r="AC762" s="4" t="s">
        <v>507</v>
      </c>
      <c r="AD762" s="4" t="s">
        <v>508</v>
      </c>
      <c r="AE762" s="4" t="s">
        <v>509</v>
      </c>
      <c r="AF762" s="4" t="s">
        <v>589</v>
      </c>
      <c r="AG762" s="743">
        <v>0</v>
      </c>
      <c r="AI762" s="158"/>
    </row>
    <row r="763" spans="23:35">
      <c r="W763" s="4" t="s">
        <v>3405</v>
      </c>
      <c r="X763" s="4" t="s">
        <v>3361</v>
      </c>
      <c r="Y763" s="151" t="str">
        <f t="shared" si="66"/>
        <v>E6170</v>
      </c>
      <c r="Z763" s="4" t="s">
        <v>587</v>
      </c>
      <c r="AA763" s="114" t="s">
        <v>588</v>
      </c>
      <c r="AB763" s="4" t="s">
        <v>506</v>
      </c>
      <c r="AC763" s="4" t="s">
        <v>507</v>
      </c>
      <c r="AD763" s="4" t="s">
        <v>508</v>
      </c>
      <c r="AE763" s="4" t="s">
        <v>509</v>
      </c>
      <c r="AF763" s="4" t="s">
        <v>589</v>
      </c>
      <c r="AG763" s="743">
        <v>0</v>
      </c>
      <c r="AI763" s="158"/>
    </row>
    <row r="764" spans="23:35">
      <c r="W764" s="4" t="s">
        <v>3405</v>
      </c>
      <c r="X764" s="4" t="s">
        <v>3362</v>
      </c>
      <c r="Y764" s="151" t="str">
        <f t="shared" si="66"/>
        <v>E6170</v>
      </c>
      <c r="Z764" s="4" t="s">
        <v>587</v>
      </c>
      <c r="AA764" s="114" t="s">
        <v>588</v>
      </c>
      <c r="AB764" s="4" t="s">
        <v>506</v>
      </c>
      <c r="AC764" s="4" t="s">
        <v>507</v>
      </c>
      <c r="AD764" s="4" t="s">
        <v>508</v>
      </c>
      <c r="AE764" s="4" t="s">
        <v>509</v>
      </c>
      <c r="AF764" s="4" t="s">
        <v>589</v>
      </c>
      <c r="AG764" s="743">
        <v>0</v>
      </c>
      <c r="AI764" s="158"/>
    </row>
    <row r="765" spans="23:35">
      <c r="W765" s="4" t="s">
        <v>3405</v>
      </c>
      <c r="X765" s="4" t="s">
        <v>3363</v>
      </c>
      <c r="Y765" s="151" t="str">
        <f t="shared" si="66"/>
        <v>E6170</v>
      </c>
      <c r="Z765" s="4" t="s">
        <v>587</v>
      </c>
      <c r="AA765" s="114" t="s">
        <v>588</v>
      </c>
      <c r="AB765" s="4" t="s">
        <v>506</v>
      </c>
      <c r="AC765" s="4" t="s">
        <v>507</v>
      </c>
      <c r="AD765" s="4" t="s">
        <v>508</v>
      </c>
      <c r="AE765" s="4" t="s">
        <v>509</v>
      </c>
      <c r="AF765" s="4" t="s">
        <v>589</v>
      </c>
      <c r="AG765" s="743">
        <v>0</v>
      </c>
      <c r="AI765" s="158"/>
    </row>
    <row r="766" spans="23:35">
      <c r="W766" s="4" t="s">
        <v>3405</v>
      </c>
      <c r="X766" s="4" t="s">
        <v>3364</v>
      </c>
      <c r="Y766" s="151" t="str">
        <f t="shared" si="66"/>
        <v>E6170</v>
      </c>
      <c r="Z766" s="4" t="s">
        <v>587</v>
      </c>
      <c r="AA766" s="114" t="s">
        <v>588</v>
      </c>
      <c r="AB766" s="4" t="s">
        <v>506</v>
      </c>
      <c r="AC766" s="4" t="s">
        <v>507</v>
      </c>
      <c r="AD766" s="4" t="s">
        <v>508</v>
      </c>
      <c r="AE766" s="4" t="s">
        <v>509</v>
      </c>
      <c r="AF766" s="4" t="s">
        <v>589</v>
      </c>
      <c r="AG766" s="743">
        <v>0</v>
      </c>
      <c r="AI766" s="158"/>
    </row>
    <row r="767" spans="23:35">
      <c r="W767" s="4" t="s">
        <v>3405</v>
      </c>
      <c r="X767" s="4" t="s">
        <v>3365</v>
      </c>
      <c r="Y767" s="151" t="str">
        <f t="shared" si="66"/>
        <v>E6170</v>
      </c>
      <c r="Z767" s="4" t="s">
        <v>587</v>
      </c>
      <c r="AA767" s="114" t="s">
        <v>588</v>
      </c>
      <c r="AB767" s="4" t="s">
        <v>506</v>
      </c>
      <c r="AC767" s="4" t="s">
        <v>507</v>
      </c>
      <c r="AD767" s="4" t="s">
        <v>508</v>
      </c>
      <c r="AE767" s="4" t="s">
        <v>509</v>
      </c>
      <c r="AF767" s="4" t="s">
        <v>589</v>
      </c>
      <c r="AG767" s="743">
        <v>0</v>
      </c>
      <c r="AI767" s="158"/>
    </row>
    <row r="768" spans="23:35">
      <c r="W768" s="4" t="s">
        <v>3405</v>
      </c>
      <c r="X768" s="4" t="s">
        <v>3366</v>
      </c>
      <c r="Y768" s="151" t="str">
        <f t="shared" si="66"/>
        <v>E6170</v>
      </c>
      <c r="Z768" s="4" t="s">
        <v>587</v>
      </c>
      <c r="AA768" s="114" t="s">
        <v>588</v>
      </c>
      <c r="AB768" s="4" t="s">
        <v>506</v>
      </c>
      <c r="AC768" s="4" t="s">
        <v>507</v>
      </c>
      <c r="AD768" s="4" t="s">
        <v>508</v>
      </c>
      <c r="AE768" s="4" t="s">
        <v>509</v>
      </c>
      <c r="AF768" s="4" t="s">
        <v>589</v>
      </c>
      <c r="AG768" s="743">
        <v>0</v>
      </c>
      <c r="AI768" s="158"/>
    </row>
    <row r="769" spans="23:35">
      <c r="W769" s="4" t="s">
        <v>3405</v>
      </c>
      <c r="X769" s="4" t="s">
        <v>3367</v>
      </c>
      <c r="Y769" s="151" t="str">
        <f t="shared" si="66"/>
        <v>E6170</v>
      </c>
      <c r="Z769" s="4" t="s">
        <v>587</v>
      </c>
      <c r="AA769" s="114" t="s">
        <v>588</v>
      </c>
      <c r="AB769" s="4" t="s">
        <v>506</v>
      </c>
      <c r="AC769" s="4" t="s">
        <v>507</v>
      </c>
      <c r="AD769" s="4" t="s">
        <v>508</v>
      </c>
      <c r="AE769" s="4" t="s">
        <v>509</v>
      </c>
      <c r="AF769" s="4" t="s">
        <v>589</v>
      </c>
      <c r="AG769" s="743">
        <v>0</v>
      </c>
      <c r="AI769" s="158"/>
    </row>
    <row r="770" spans="23:35">
      <c r="W770" s="4" t="s">
        <v>3405</v>
      </c>
      <c r="X770" s="3" t="s">
        <v>3356</v>
      </c>
      <c r="Y770" s="150" t="str">
        <f>INDEX($B$3:$O$110,90,1)</f>
        <v>E6190</v>
      </c>
      <c r="Z770" s="4" t="s">
        <v>587</v>
      </c>
      <c r="AA770" s="114" t="s">
        <v>588</v>
      </c>
      <c r="AB770" s="4" t="s">
        <v>506</v>
      </c>
      <c r="AC770" s="4" t="s">
        <v>507</v>
      </c>
      <c r="AD770" s="4" t="s">
        <v>508</v>
      </c>
      <c r="AE770" s="4" t="s">
        <v>509</v>
      </c>
      <c r="AF770" s="4" t="s">
        <v>589</v>
      </c>
      <c r="AG770" s="743">
        <v>0</v>
      </c>
      <c r="AI770" s="158"/>
    </row>
    <row r="771" spans="23:35">
      <c r="W771" s="4" t="s">
        <v>3405</v>
      </c>
      <c r="X771" s="4" t="s">
        <v>3357</v>
      </c>
      <c r="Y771" s="151" t="str">
        <f>Y770</f>
        <v>E6190</v>
      </c>
      <c r="Z771" s="4" t="s">
        <v>587</v>
      </c>
      <c r="AA771" s="114" t="s">
        <v>588</v>
      </c>
      <c r="AB771" s="4" t="s">
        <v>506</v>
      </c>
      <c r="AC771" s="4" t="s">
        <v>507</v>
      </c>
      <c r="AD771" s="4" t="s">
        <v>508</v>
      </c>
      <c r="AE771" s="4" t="s">
        <v>509</v>
      </c>
      <c r="AF771" s="4" t="s">
        <v>589</v>
      </c>
      <c r="AG771" s="743">
        <v>0</v>
      </c>
      <c r="AI771" s="158"/>
    </row>
    <row r="772" spans="23:35">
      <c r="W772" s="4" t="s">
        <v>3405</v>
      </c>
      <c r="X772" s="4" t="s">
        <v>3358</v>
      </c>
      <c r="Y772" s="151" t="str">
        <f t="shared" ref="Y772:Y781" si="67">Y771</f>
        <v>E6190</v>
      </c>
      <c r="Z772" s="4" t="s">
        <v>587</v>
      </c>
      <c r="AA772" s="114" t="s">
        <v>588</v>
      </c>
      <c r="AB772" s="4" t="s">
        <v>506</v>
      </c>
      <c r="AC772" s="4" t="s">
        <v>507</v>
      </c>
      <c r="AD772" s="4" t="s">
        <v>508</v>
      </c>
      <c r="AE772" s="4" t="s">
        <v>509</v>
      </c>
      <c r="AF772" s="4" t="s">
        <v>589</v>
      </c>
      <c r="AG772" s="743">
        <v>0</v>
      </c>
      <c r="AI772" s="158"/>
    </row>
    <row r="773" spans="23:35">
      <c r="W773" s="4" t="s">
        <v>3405</v>
      </c>
      <c r="X773" s="4" t="s">
        <v>3359</v>
      </c>
      <c r="Y773" s="151" t="str">
        <f t="shared" si="67"/>
        <v>E6190</v>
      </c>
      <c r="Z773" s="4" t="s">
        <v>587</v>
      </c>
      <c r="AA773" s="114" t="s">
        <v>588</v>
      </c>
      <c r="AB773" s="4" t="s">
        <v>506</v>
      </c>
      <c r="AC773" s="4" t="s">
        <v>507</v>
      </c>
      <c r="AD773" s="4" t="s">
        <v>508</v>
      </c>
      <c r="AE773" s="4" t="s">
        <v>509</v>
      </c>
      <c r="AF773" s="4" t="s">
        <v>589</v>
      </c>
      <c r="AG773" s="743">
        <v>0</v>
      </c>
      <c r="AI773" s="158"/>
    </row>
    <row r="774" spans="23:35">
      <c r="W774" s="4" t="s">
        <v>3405</v>
      </c>
      <c r="X774" s="4" t="s">
        <v>3360</v>
      </c>
      <c r="Y774" s="151" t="str">
        <f t="shared" si="67"/>
        <v>E6190</v>
      </c>
      <c r="Z774" s="4" t="s">
        <v>587</v>
      </c>
      <c r="AA774" s="114" t="s">
        <v>588</v>
      </c>
      <c r="AB774" s="4" t="s">
        <v>506</v>
      </c>
      <c r="AC774" s="4" t="s">
        <v>507</v>
      </c>
      <c r="AD774" s="4" t="s">
        <v>508</v>
      </c>
      <c r="AE774" s="4" t="s">
        <v>509</v>
      </c>
      <c r="AF774" s="4" t="s">
        <v>589</v>
      </c>
      <c r="AG774" s="743">
        <v>0</v>
      </c>
      <c r="AI774" s="158"/>
    </row>
    <row r="775" spans="23:35">
      <c r="W775" s="4" t="s">
        <v>3405</v>
      </c>
      <c r="X775" s="4" t="s">
        <v>3361</v>
      </c>
      <c r="Y775" s="151" t="str">
        <f t="shared" si="67"/>
        <v>E6190</v>
      </c>
      <c r="Z775" s="4" t="s">
        <v>587</v>
      </c>
      <c r="AA775" s="114" t="s">
        <v>588</v>
      </c>
      <c r="AB775" s="4" t="s">
        <v>506</v>
      </c>
      <c r="AC775" s="4" t="s">
        <v>507</v>
      </c>
      <c r="AD775" s="4" t="s">
        <v>508</v>
      </c>
      <c r="AE775" s="4" t="s">
        <v>509</v>
      </c>
      <c r="AF775" s="4" t="s">
        <v>589</v>
      </c>
      <c r="AG775" s="743">
        <v>0</v>
      </c>
      <c r="AI775" s="158"/>
    </row>
    <row r="776" spans="23:35">
      <c r="W776" s="4" t="s">
        <v>3405</v>
      </c>
      <c r="X776" s="4" t="s">
        <v>3362</v>
      </c>
      <c r="Y776" s="151" t="str">
        <f t="shared" si="67"/>
        <v>E6190</v>
      </c>
      <c r="Z776" s="4" t="s">
        <v>587</v>
      </c>
      <c r="AA776" s="114" t="s">
        <v>588</v>
      </c>
      <c r="AB776" s="4" t="s">
        <v>506</v>
      </c>
      <c r="AC776" s="4" t="s">
        <v>507</v>
      </c>
      <c r="AD776" s="4" t="s">
        <v>508</v>
      </c>
      <c r="AE776" s="4" t="s">
        <v>509</v>
      </c>
      <c r="AF776" s="4" t="s">
        <v>589</v>
      </c>
      <c r="AG776" s="743">
        <v>0</v>
      </c>
      <c r="AI776" s="158"/>
    </row>
    <row r="777" spans="23:35">
      <c r="W777" s="4" t="s">
        <v>3405</v>
      </c>
      <c r="X777" s="4" t="s">
        <v>3363</v>
      </c>
      <c r="Y777" s="151" t="str">
        <f t="shared" si="67"/>
        <v>E6190</v>
      </c>
      <c r="Z777" s="4" t="s">
        <v>587</v>
      </c>
      <c r="AA777" s="114" t="s">
        <v>588</v>
      </c>
      <c r="AB777" s="4" t="s">
        <v>506</v>
      </c>
      <c r="AC777" s="4" t="s">
        <v>507</v>
      </c>
      <c r="AD777" s="4" t="s">
        <v>508</v>
      </c>
      <c r="AE777" s="4" t="s">
        <v>509</v>
      </c>
      <c r="AF777" s="4" t="s">
        <v>589</v>
      </c>
      <c r="AG777" s="743">
        <v>0</v>
      </c>
      <c r="AI777" s="158"/>
    </row>
    <row r="778" spans="23:35">
      <c r="W778" s="4" t="s">
        <v>3405</v>
      </c>
      <c r="X778" s="4" t="s">
        <v>3364</v>
      </c>
      <c r="Y778" s="151" t="str">
        <f t="shared" si="67"/>
        <v>E6190</v>
      </c>
      <c r="Z778" s="4" t="s">
        <v>587</v>
      </c>
      <c r="AA778" s="114" t="s">
        <v>588</v>
      </c>
      <c r="AB778" s="4" t="s">
        <v>506</v>
      </c>
      <c r="AC778" s="4" t="s">
        <v>507</v>
      </c>
      <c r="AD778" s="4" t="s">
        <v>508</v>
      </c>
      <c r="AE778" s="4" t="s">
        <v>509</v>
      </c>
      <c r="AF778" s="4" t="s">
        <v>589</v>
      </c>
      <c r="AG778" s="743">
        <v>0</v>
      </c>
      <c r="AI778" s="158"/>
    </row>
    <row r="779" spans="23:35">
      <c r="W779" s="4" t="s">
        <v>3405</v>
      </c>
      <c r="X779" s="4" t="s">
        <v>3365</v>
      </c>
      <c r="Y779" s="151" t="str">
        <f t="shared" si="67"/>
        <v>E6190</v>
      </c>
      <c r="Z779" s="4" t="s">
        <v>587</v>
      </c>
      <c r="AA779" s="114" t="s">
        <v>588</v>
      </c>
      <c r="AB779" s="4" t="s">
        <v>506</v>
      </c>
      <c r="AC779" s="4" t="s">
        <v>507</v>
      </c>
      <c r="AD779" s="4" t="s">
        <v>508</v>
      </c>
      <c r="AE779" s="4" t="s">
        <v>509</v>
      </c>
      <c r="AF779" s="4" t="s">
        <v>589</v>
      </c>
      <c r="AG779" s="743">
        <v>0</v>
      </c>
      <c r="AI779" s="158"/>
    </row>
    <row r="780" spans="23:35">
      <c r="W780" s="4" t="s">
        <v>3405</v>
      </c>
      <c r="X780" s="4" t="s">
        <v>3366</v>
      </c>
      <c r="Y780" s="151" t="str">
        <f t="shared" si="67"/>
        <v>E6190</v>
      </c>
      <c r="Z780" s="4" t="s">
        <v>587</v>
      </c>
      <c r="AA780" s="114" t="s">
        <v>588</v>
      </c>
      <c r="AB780" s="4" t="s">
        <v>506</v>
      </c>
      <c r="AC780" s="4" t="s">
        <v>507</v>
      </c>
      <c r="AD780" s="4" t="s">
        <v>508</v>
      </c>
      <c r="AE780" s="4" t="s">
        <v>509</v>
      </c>
      <c r="AF780" s="4" t="s">
        <v>589</v>
      </c>
      <c r="AG780" s="743">
        <v>0</v>
      </c>
      <c r="AI780" s="158"/>
    </row>
    <row r="781" spans="23:35">
      <c r="W781" s="4" t="s">
        <v>3405</v>
      </c>
      <c r="X781" s="4" t="s">
        <v>3367</v>
      </c>
      <c r="Y781" s="151" t="str">
        <f t="shared" si="67"/>
        <v>E6190</v>
      </c>
      <c r="Z781" s="4" t="s">
        <v>587</v>
      </c>
      <c r="AA781" s="114" t="s">
        <v>588</v>
      </c>
      <c r="AB781" s="4" t="s">
        <v>506</v>
      </c>
      <c r="AC781" s="4" t="s">
        <v>507</v>
      </c>
      <c r="AD781" s="4" t="s">
        <v>508</v>
      </c>
      <c r="AE781" s="4" t="s">
        <v>509</v>
      </c>
      <c r="AF781" s="4" t="s">
        <v>589</v>
      </c>
      <c r="AG781" s="743">
        <v>0</v>
      </c>
      <c r="AI781" s="158"/>
    </row>
    <row r="782" spans="23:35">
      <c r="W782" s="4" t="s">
        <v>3405</v>
      </c>
      <c r="X782" s="3" t="s">
        <v>3356</v>
      </c>
      <c r="Y782" s="150" t="str">
        <f>INDEX($B$3:$O$110,91,1)</f>
        <v>E6200</v>
      </c>
      <c r="Z782" s="4" t="s">
        <v>587</v>
      </c>
      <c r="AA782" s="114" t="s">
        <v>588</v>
      </c>
      <c r="AB782" s="4" t="s">
        <v>506</v>
      </c>
      <c r="AC782" s="4" t="s">
        <v>507</v>
      </c>
      <c r="AD782" s="4" t="s">
        <v>508</v>
      </c>
      <c r="AE782" s="4" t="s">
        <v>509</v>
      </c>
      <c r="AF782" s="4" t="s">
        <v>589</v>
      </c>
      <c r="AG782" s="743">
        <v>0</v>
      </c>
      <c r="AI782" s="158"/>
    </row>
    <row r="783" spans="23:35">
      <c r="W783" s="4" t="s">
        <v>3405</v>
      </c>
      <c r="X783" s="4" t="s">
        <v>3357</v>
      </c>
      <c r="Y783" s="151" t="str">
        <f>Y782</f>
        <v>E6200</v>
      </c>
      <c r="Z783" s="4" t="s">
        <v>587</v>
      </c>
      <c r="AA783" s="114" t="s">
        <v>588</v>
      </c>
      <c r="AB783" s="4" t="s">
        <v>506</v>
      </c>
      <c r="AC783" s="4" t="s">
        <v>507</v>
      </c>
      <c r="AD783" s="4" t="s">
        <v>508</v>
      </c>
      <c r="AE783" s="4" t="s">
        <v>509</v>
      </c>
      <c r="AF783" s="4" t="s">
        <v>589</v>
      </c>
      <c r="AG783" s="743">
        <v>0</v>
      </c>
      <c r="AI783" s="158"/>
    </row>
    <row r="784" spans="23:35">
      <c r="W784" s="4" t="s">
        <v>3405</v>
      </c>
      <c r="X784" s="4" t="s">
        <v>3358</v>
      </c>
      <c r="Y784" s="151" t="str">
        <f t="shared" ref="Y784:Y793" si="68">Y783</f>
        <v>E6200</v>
      </c>
      <c r="Z784" s="4" t="s">
        <v>587</v>
      </c>
      <c r="AA784" s="114" t="s">
        <v>588</v>
      </c>
      <c r="AB784" s="4" t="s">
        <v>506</v>
      </c>
      <c r="AC784" s="4" t="s">
        <v>507</v>
      </c>
      <c r="AD784" s="4" t="s">
        <v>508</v>
      </c>
      <c r="AE784" s="4" t="s">
        <v>509</v>
      </c>
      <c r="AF784" s="4" t="s">
        <v>589</v>
      </c>
      <c r="AG784" s="743">
        <v>0</v>
      </c>
      <c r="AI784" s="158"/>
    </row>
    <row r="785" spans="23:35">
      <c r="W785" s="4" t="s">
        <v>3405</v>
      </c>
      <c r="X785" s="4" t="s">
        <v>3359</v>
      </c>
      <c r="Y785" s="151" t="str">
        <f t="shared" si="68"/>
        <v>E6200</v>
      </c>
      <c r="Z785" s="4" t="s">
        <v>587</v>
      </c>
      <c r="AA785" s="114" t="s">
        <v>588</v>
      </c>
      <c r="AB785" s="4" t="s">
        <v>506</v>
      </c>
      <c r="AC785" s="4" t="s">
        <v>507</v>
      </c>
      <c r="AD785" s="4" t="s">
        <v>508</v>
      </c>
      <c r="AE785" s="4" t="s">
        <v>509</v>
      </c>
      <c r="AF785" s="4" t="s">
        <v>589</v>
      </c>
      <c r="AG785" s="743">
        <v>0</v>
      </c>
      <c r="AI785" s="158"/>
    </row>
    <row r="786" spans="23:35">
      <c r="W786" s="4" t="s">
        <v>3405</v>
      </c>
      <c r="X786" s="4" t="s">
        <v>3360</v>
      </c>
      <c r="Y786" s="151" t="str">
        <f t="shared" si="68"/>
        <v>E6200</v>
      </c>
      <c r="Z786" s="4" t="s">
        <v>587</v>
      </c>
      <c r="AA786" s="114" t="s">
        <v>588</v>
      </c>
      <c r="AB786" s="4" t="s">
        <v>506</v>
      </c>
      <c r="AC786" s="4" t="s">
        <v>507</v>
      </c>
      <c r="AD786" s="4" t="s">
        <v>508</v>
      </c>
      <c r="AE786" s="4" t="s">
        <v>509</v>
      </c>
      <c r="AF786" s="4" t="s">
        <v>589</v>
      </c>
      <c r="AG786" s="743">
        <v>0</v>
      </c>
      <c r="AI786" s="158"/>
    </row>
    <row r="787" spans="23:35">
      <c r="W787" s="4" t="s">
        <v>3405</v>
      </c>
      <c r="X787" s="4" t="s">
        <v>3361</v>
      </c>
      <c r="Y787" s="151" t="str">
        <f t="shared" si="68"/>
        <v>E6200</v>
      </c>
      <c r="Z787" s="4" t="s">
        <v>587</v>
      </c>
      <c r="AA787" s="114" t="s">
        <v>588</v>
      </c>
      <c r="AB787" s="4" t="s">
        <v>506</v>
      </c>
      <c r="AC787" s="4" t="s">
        <v>507</v>
      </c>
      <c r="AD787" s="4" t="s">
        <v>508</v>
      </c>
      <c r="AE787" s="4" t="s">
        <v>509</v>
      </c>
      <c r="AF787" s="4" t="s">
        <v>589</v>
      </c>
      <c r="AG787" s="743">
        <v>0</v>
      </c>
      <c r="AI787" s="158"/>
    </row>
    <row r="788" spans="23:35">
      <c r="W788" s="4" t="s">
        <v>3405</v>
      </c>
      <c r="X788" s="4" t="s">
        <v>3362</v>
      </c>
      <c r="Y788" s="151" t="str">
        <f t="shared" si="68"/>
        <v>E6200</v>
      </c>
      <c r="Z788" s="4" t="s">
        <v>587</v>
      </c>
      <c r="AA788" s="114" t="s">
        <v>588</v>
      </c>
      <c r="AB788" s="4" t="s">
        <v>506</v>
      </c>
      <c r="AC788" s="4" t="s">
        <v>507</v>
      </c>
      <c r="AD788" s="4" t="s">
        <v>508</v>
      </c>
      <c r="AE788" s="4" t="s">
        <v>509</v>
      </c>
      <c r="AF788" s="4" t="s">
        <v>589</v>
      </c>
      <c r="AG788" s="743">
        <v>0</v>
      </c>
      <c r="AI788" s="158"/>
    </row>
    <row r="789" spans="23:35">
      <c r="W789" s="4" t="s">
        <v>3405</v>
      </c>
      <c r="X789" s="4" t="s">
        <v>3363</v>
      </c>
      <c r="Y789" s="151" t="str">
        <f t="shared" si="68"/>
        <v>E6200</v>
      </c>
      <c r="Z789" s="4" t="s">
        <v>587</v>
      </c>
      <c r="AA789" s="114" t="s">
        <v>588</v>
      </c>
      <c r="AB789" s="4" t="s">
        <v>506</v>
      </c>
      <c r="AC789" s="4" t="s">
        <v>507</v>
      </c>
      <c r="AD789" s="4" t="s">
        <v>508</v>
      </c>
      <c r="AE789" s="4" t="s">
        <v>509</v>
      </c>
      <c r="AF789" s="4" t="s">
        <v>589</v>
      </c>
      <c r="AG789" s="743">
        <v>0</v>
      </c>
      <c r="AI789" s="158"/>
    </row>
    <row r="790" spans="23:35">
      <c r="W790" s="4" t="s">
        <v>3405</v>
      </c>
      <c r="X790" s="4" t="s">
        <v>3364</v>
      </c>
      <c r="Y790" s="151" t="str">
        <f t="shared" si="68"/>
        <v>E6200</v>
      </c>
      <c r="Z790" s="4" t="s">
        <v>587</v>
      </c>
      <c r="AA790" s="114" t="s">
        <v>588</v>
      </c>
      <c r="AB790" s="4" t="s">
        <v>506</v>
      </c>
      <c r="AC790" s="4" t="s">
        <v>507</v>
      </c>
      <c r="AD790" s="4" t="s">
        <v>508</v>
      </c>
      <c r="AE790" s="4" t="s">
        <v>509</v>
      </c>
      <c r="AF790" s="4" t="s">
        <v>589</v>
      </c>
      <c r="AG790" s="743">
        <v>0</v>
      </c>
      <c r="AI790" s="158"/>
    </row>
    <row r="791" spans="23:35">
      <c r="W791" s="4" t="s">
        <v>3405</v>
      </c>
      <c r="X791" s="4" t="s">
        <v>3365</v>
      </c>
      <c r="Y791" s="151" t="str">
        <f t="shared" si="68"/>
        <v>E6200</v>
      </c>
      <c r="Z791" s="4" t="s">
        <v>587</v>
      </c>
      <c r="AA791" s="114" t="s">
        <v>588</v>
      </c>
      <c r="AB791" s="4" t="s">
        <v>506</v>
      </c>
      <c r="AC791" s="4" t="s">
        <v>507</v>
      </c>
      <c r="AD791" s="4" t="s">
        <v>508</v>
      </c>
      <c r="AE791" s="4" t="s">
        <v>509</v>
      </c>
      <c r="AF791" s="4" t="s">
        <v>589</v>
      </c>
      <c r="AG791" s="743">
        <v>0</v>
      </c>
      <c r="AI791" s="158"/>
    </row>
    <row r="792" spans="23:35">
      <c r="W792" s="4" t="s">
        <v>3405</v>
      </c>
      <c r="X792" s="4" t="s">
        <v>3366</v>
      </c>
      <c r="Y792" s="151" t="str">
        <f t="shared" si="68"/>
        <v>E6200</v>
      </c>
      <c r="Z792" s="4" t="s">
        <v>587</v>
      </c>
      <c r="AA792" s="114" t="s">
        <v>588</v>
      </c>
      <c r="AB792" s="4" t="s">
        <v>506</v>
      </c>
      <c r="AC792" s="4" t="s">
        <v>507</v>
      </c>
      <c r="AD792" s="4" t="s">
        <v>508</v>
      </c>
      <c r="AE792" s="4" t="s">
        <v>509</v>
      </c>
      <c r="AF792" s="4" t="s">
        <v>589</v>
      </c>
      <c r="AG792" s="743">
        <v>0</v>
      </c>
      <c r="AI792" s="158"/>
    </row>
    <row r="793" spans="23:35">
      <c r="W793" s="4" t="s">
        <v>3405</v>
      </c>
      <c r="X793" s="4" t="s">
        <v>3367</v>
      </c>
      <c r="Y793" s="151" t="str">
        <f t="shared" si="68"/>
        <v>E6200</v>
      </c>
      <c r="Z793" s="4" t="s">
        <v>587</v>
      </c>
      <c r="AA793" s="114" t="s">
        <v>588</v>
      </c>
      <c r="AB793" s="4" t="s">
        <v>506</v>
      </c>
      <c r="AC793" s="4" t="s">
        <v>507</v>
      </c>
      <c r="AD793" s="4" t="s">
        <v>508</v>
      </c>
      <c r="AE793" s="4" t="s">
        <v>509</v>
      </c>
      <c r="AF793" s="4" t="s">
        <v>589</v>
      </c>
      <c r="AG793" s="743">
        <v>0</v>
      </c>
      <c r="AI793" s="158"/>
    </row>
    <row r="794" spans="23:35">
      <c r="W794" s="4" t="s">
        <v>3405</v>
      </c>
      <c r="X794" s="3" t="s">
        <v>3356</v>
      </c>
      <c r="Y794" s="150" t="str">
        <f>INDEX($B$3:$O$110,92,1)</f>
        <v>E6210</v>
      </c>
      <c r="Z794" s="4" t="s">
        <v>587</v>
      </c>
      <c r="AA794" s="114" t="s">
        <v>588</v>
      </c>
      <c r="AB794" s="4" t="s">
        <v>506</v>
      </c>
      <c r="AC794" s="4" t="s">
        <v>507</v>
      </c>
      <c r="AD794" s="4" t="s">
        <v>508</v>
      </c>
      <c r="AE794" s="4" t="s">
        <v>509</v>
      </c>
      <c r="AF794" s="4" t="s">
        <v>589</v>
      </c>
      <c r="AG794" s="743">
        <v>0</v>
      </c>
      <c r="AI794" s="158"/>
    </row>
    <row r="795" spans="23:35">
      <c r="W795" s="4" t="s">
        <v>3405</v>
      </c>
      <c r="X795" s="4" t="s">
        <v>3357</v>
      </c>
      <c r="Y795" s="151" t="str">
        <f>Y794</f>
        <v>E6210</v>
      </c>
      <c r="Z795" s="4" t="s">
        <v>587</v>
      </c>
      <c r="AA795" s="114" t="s">
        <v>588</v>
      </c>
      <c r="AB795" s="4" t="s">
        <v>506</v>
      </c>
      <c r="AC795" s="4" t="s">
        <v>507</v>
      </c>
      <c r="AD795" s="4" t="s">
        <v>508</v>
      </c>
      <c r="AE795" s="4" t="s">
        <v>509</v>
      </c>
      <c r="AF795" s="4" t="s">
        <v>589</v>
      </c>
      <c r="AG795" s="743">
        <v>0</v>
      </c>
      <c r="AI795" s="158"/>
    </row>
    <row r="796" spans="23:35">
      <c r="W796" s="4" t="s">
        <v>3405</v>
      </c>
      <c r="X796" s="4" t="s">
        <v>3358</v>
      </c>
      <c r="Y796" s="151" t="str">
        <f t="shared" ref="Y796:Y805" si="69">Y795</f>
        <v>E6210</v>
      </c>
      <c r="Z796" s="4" t="s">
        <v>587</v>
      </c>
      <c r="AA796" s="114" t="s">
        <v>588</v>
      </c>
      <c r="AB796" s="4" t="s">
        <v>506</v>
      </c>
      <c r="AC796" s="4" t="s">
        <v>507</v>
      </c>
      <c r="AD796" s="4" t="s">
        <v>508</v>
      </c>
      <c r="AE796" s="4" t="s">
        <v>509</v>
      </c>
      <c r="AF796" s="4" t="s">
        <v>589</v>
      </c>
      <c r="AG796" s="743">
        <v>0</v>
      </c>
      <c r="AI796" s="158"/>
    </row>
    <row r="797" spans="23:35">
      <c r="W797" s="4" t="s">
        <v>3405</v>
      </c>
      <c r="X797" s="4" t="s">
        <v>3359</v>
      </c>
      <c r="Y797" s="151" t="str">
        <f t="shared" si="69"/>
        <v>E6210</v>
      </c>
      <c r="Z797" s="4" t="s">
        <v>587</v>
      </c>
      <c r="AA797" s="114" t="s">
        <v>588</v>
      </c>
      <c r="AB797" s="4" t="s">
        <v>506</v>
      </c>
      <c r="AC797" s="4" t="s">
        <v>507</v>
      </c>
      <c r="AD797" s="4" t="s">
        <v>508</v>
      </c>
      <c r="AE797" s="4" t="s">
        <v>509</v>
      </c>
      <c r="AF797" s="4" t="s">
        <v>589</v>
      </c>
      <c r="AG797" s="743">
        <v>0</v>
      </c>
      <c r="AI797" s="158"/>
    </row>
    <row r="798" spans="23:35">
      <c r="W798" s="4" t="s">
        <v>3405</v>
      </c>
      <c r="X798" s="4" t="s">
        <v>3360</v>
      </c>
      <c r="Y798" s="151" t="str">
        <f t="shared" si="69"/>
        <v>E6210</v>
      </c>
      <c r="Z798" s="4" t="s">
        <v>587</v>
      </c>
      <c r="AA798" s="114" t="s">
        <v>588</v>
      </c>
      <c r="AB798" s="4" t="s">
        <v>506</v>
      </c>
      <c r="AC798" s="4" t="s">
        <v>507</v>
      </c>
      <c r="AD798" s="4" t="s">
        <v>508</v>
      </c>
      <c r="AE798" s="4" t="s">
        <v>509</v>
      </c>
      <c r="AF798" s="4" t="s">
        <v>589</v>
      </c>
      <c r="AG798" s="743">
        <v>0</v>
      </c>
      <c r="AI798" s="158"/>
    </row>
    <row r="799" spans="23:35">
      <c r="W799" s="4" t="s">
        <v>3405</v>
      </c>
      <c r="X799" s="4" t="s">
        <v>3361</v>
      </c>
      <c r="Y799" s="151" t="str">
        <f t="shared" si="69"/>
        <v>E6210</v>
      </c>
      <c r="Z799" s="4" t="s">
        <v>587</v>
      </c>
      <c r="AA799" s="114" t="s">
        <v>588</v>
      </c>
      <c r="AB799" s="4" t="s">
        <v>506</v>
      </c>
      <c r="AC799" s="4" t="s">
        <v>507</v>
      </c>
      <c r="AD799" s="4" t="s">
        <v>508</v>
      </c>
      <c r="AE799" s="4" t="s">
        <v>509</v>
      </c>
      <c r="AF799" s="4" t="s">
        <v>589</v>
      </c>
      <c r="AG799" s="743">
        <v>0</v>
      </c>
      <c r="AI799" s="158"/>
    </row>
    <row r="800" spans="23:35">
      <c r="W800" s="4" t="s">
        <v>3405</v>
      </c>
      <c r="X800" s="4" t="s">
        <v>3362</v>
      </c>
      <c r="Y800" s="151" t="str">
        <f t="shared" si="69"/>
        <v>E6210</v>
      </c>
      <c r="Z800" s="4" t="s">
        <v>587</v>
      </c>
      <c r="AA800" s="114" t="s">
        <v>588</v>
      </c>
      <c r="AB800" s="4" t="s">
        <v>506</v>
      </c>
      <c r="AC800" s="4" t="s">
        <v>507</v>
      </c>
      <c r="AD800" s="4" t="s">
        <v>508</v>
      </c>
      <c r="AE800" s="4" t="s">
        <v>509</v>
      </c>
      <c r="AF800" s="4" t="s">
        <v>589</v>
      </c>
      <c r="AG800" s="743">
        <v>0</v>
      </c>
      <c r="AI800" s="158"/>
    </row>
    <row r="801" spans="23:35">
      <c r="W801" s="4" t="s">
        <v>3405</v>
      </c>
      <c r="X801" s="4" t="s">
        <v>3363</v>
      </c>
      <c r="Y801" s="151" t="str">
        <f t="shared" si="69"/>
        <v>E6210</v>
      </c>
      <c r="Z801" s="4" t="s">
        <v>587</v>
      </c>
      <c r="AA801" s="114" t="s">
        <v>588</v>
      </c>
      <c r="AB801" s="4" t="s">
        <v>506</v>
      </c>
      <c r="AC801" s="4" t="s">
        <v>507</v>
      </c>
      <c r="AD801" s="4" t="s">
        <v>508</v>
      </c>
      <c r="AE801" s="4" t="s">
        <v>509</v>
      </c>
      <c r="AF801" s="4" t="s">
        <v>589</v>
      </c>
      <c r="AG801" s="743">
        <v>0</v>
      </c>
      <c r="AI801" s="158"/>
    </row>
    <row r="802" spans="23:35">
      <c r="W802" s="4" t="s">
        <v>3405</v>
      </c>
      <c r="X802" s="4" t="s">
        <v>3364</v>
      </c>
      <c r="Y802" s="151" t="str">
        <f t="shared" si="69"/>
        <v>E6210</v>
      </c>
      <c r="Z802" s="4" t="s">
        <v>587</v>
      </c>
      <c r="AA802" s="114" t="s">
        <v>588</v>
      </c>
      <c r="AB802" s="4" t="s">
        <v>506</v>
      </c>
      <c r="AC802" s="4" t="s">
        <v>507</v>
      </c>
      <c r="AD802" s="4" t="s">
        <v>508</v>
      </c>
      <c r="AE802" s="4" t="s">
        <v>509</v>
      </c>
      <c r="AF802" s="4" t="s">
        <v>589</v>
      </c>
      <c r="AG802" s="743">
        <v>0</v>
      </c>
      <c r="AI802" s="158"/>
    </row>
    <row r="803" spans="23:35">
      <c r="W803" s="4" t="s">
        <v>3405</v>
      </c>
      <c r="X803" s="4" t="s">
        <v>3365</v>
      </c>
      <c r="Y803" s="151" t="str">
        <f t="shared" si="69"/>
        <v>E6210</v>
      </c>
      <c r="Z803" s="4" t="s">
        <v>587</v>
      </c>
      <c r="AA803" s="114" t="s">
        <v>588</v>
      </c>
      <c r="AB803" s="4" t="s">
        <v>506</v>
      </c>
      <c r="AC803" s="4" t="s">
        <v>507</v>
      </c>
      <c r="AD803" s="4" t="s">
        <v>508</v>
      </c>
      <c r="AE803" s="4" t="s">
        <v>509</v>
      </c>
      <c r="AF803" s="4" t="s">
        <v>589</v>
      </c>
      <c r="AG803" s="743">
        <v>0</v>
      </c>
      <c r="AI803" s="158"/>
    </row>
    <row r="804" spans="23:35">
      <c r="W804" s="4" t="s">
        <v>3405</v>
      </c>
      <c r="X804" s="4" t="s">
        <v>3366</v>
      </c>
      <c r="Y804" s="151" t="str">
        <f t="shared" si="69"/>
        <v>E6210</v>
      </c>
      <c r="Z804" s="4" t="s">
        <v>587</v>
      </c>
      <c r="AA804" s="114" t="s">
        <v>588</v>
      </c>
      <c r="AB804" s="4" t="s">
        <v>506</v>
      </c>
      <c r="AC804" s="4" t="s">
        <v>507</v>
      </c>
      <c r="AD804" s="4" t="s">
        <v>508</v>
      </c>
      <c r="AE804" s="4" t="s">
        <v>509</v>
      </c>
      <c r="AF804" s="4" t="s">
        <v>589</v>
      </c>
      <c r="AG804" s="743">
        <v>0</v>
      </c>
      <c r="AI804" s="158"/>
    </row>
    <row r="805" spans="23:35">
      <c r="W805" s="4" t="s">
        <v>3405</v>
      </c>
      <c r="X805" s="4" t="s">
        <v>3367</v>
      </c>
      <c r="Y805" s="151" t="str">
        <f t="shared" si="69"/>
        <v>E6210</v>
      </c>
      <c r="Z805" s="4" t="s">
        <v>587</v>
      </c>
      <c r="AA805" s="114" t="s">
        <v>588</v>
      </c>
      <c r="AB805" s="4" t="s">
        <v>506</v>
      </c>
      <c r="AC805" s="4" t="s">
        <v>507</v>
      </c>
      <c r="AD805" s="4" t="s">
        <v>508</v>
      </c>
      <c r="AE805" s="4" t="s">
        <v>509</v>
      </c>
      <c r="AF805" s="4" t="s">
        <v>589</v>
      </c>
      <c r="AG805" s="743">
        <v>0</v>
      </c>
      <c r="AI805" s="158"/>
    </row>
    <row r="806" spans="23:35">
      <c r="W806" s="4" t="s">
        <v>3405</v>
      </c>
      <c r="X806" s="3" t="s">
        <v>3356</v>
      </c>
      <c r="Y806" s="150" t="str">
        <f>INDEX($B$3:$O$110,93,1)</f>
        <v>E6250</v>
      </c>
      <c r="Z806" s="4" t="s">
        <v>587</v>
      </c>
      <c r="AA806" s="114" t="s">
        <v>588</v>
      </c>
      <c r="AB806" s="4" t="s">
        <v>506</v>
      </c>
      <c r="AC806" s="4" t="s">
        <v>507</v>
      </c>
      <c r="AD806" s="4" t="s">
        <v>508</v>
      </c>
      <c r="AE806" s="4" t="s">
        <v>509</v>
      </c>
      <c r="AF806" s="4" t="s">
        <v>589</v>
      </c>
      <c r="AG806" s="743">
        <v>0</v>
      </c>
      <c r="AI806" s="158"/>
    </row>
    <row r="807" spans="23:35">
      <c r="W807" s="4" t="s">
        <v>3405</v>
      </c>
      <c r="X807" s="4" t="s">
        <v>3357</v>
      </c>
      <c r="Y807" s="151" t="str">
        <f>Y806</f>
        <v>E6250</v>
      </c>
      <c r="Z807" s="4" t="s">
        <v>587</v>
      </c>
      <c r="AA807" s="114" t="s">
        <v>588</v>
      </c>
      <c r="AB807" s="4" t="s">
        <v>506</v>
      </c>
      <c r="AC807" s="4" t="s">
        <v>507</v>
      </c>
      <c r="AD807" s="4" t="s">
        <v>508</v>
      </c>
      <c r="AE807" s="4" t="s">
        <v>509</v>
      </c>
      <c r="AF807" s="4" t="s">
        <v>589</v>
      </c>
      <c r="AG807" s="743">
        <v>0</v>
      </c>
      <c r="AI807" s="158"/>
    </row>
    <row r="808" spans="23:35">
      <c r="W808" s="4" t="s">
        <v>3405</v>
      </c>
      <c r="X808" s="4" t="s">
        <v>3358</v>
      </c>
      <c r="Y808" s="151" t="str">
        <f t="shared" ref="Y808:Y817" si="70">Y807</f>
        <v>E6250</v>
      </c>
      <c r="Z808" s="4" t="s">
        <v>587</v>
      </c>
      <c r="AA808" s="114" t="s">
        <v>588</v>
      </c>
      <c r="AB808" s="4" t="s">
        <v>506</v>
      </c>
      <c r="AC808" s="4" t="s">
        <v>507</v>
      </c>
      <c r="AD808" s="4" t="s">
        <v>508</v>
      </c>
      <c r="AE808" s="4" t="s">
        <v>509</v>
      </c>
      <c r="AF808" s="4" t="s">
        <v>589</v>
      </c>
      <c r="AG808" s="743">
        <v>0</v>
      </c>
      <c r="AI808" s="158"/>
    </row>
    <row r="809" spans="23:35">
      <c r="W809" s="4" t="s">
        <v>3405</v>
      </c>
      <c r="X809" s="4" t="s">
        <v>3359</v>
      </c>
      <c r="Y809" s="151" t="str">
        <f t="shared" si="70"/>
        <v>E6250</v>
      </c>
      <c r="Z809" s="4" t="s">
        <v>587</v>
      </c>
      <c r="AA809" s="114" t="s">
        <v>588</v>
      </c>
      <c r="AB809" s="4" t="s">
        <v>506</v>
      </c>
      <c r="AC809" s="4" t="s">
        <v>507</v>
      </c>
      <c r="AD809" s="4" t="s">
        <v>508</v>
      </c>
      <c r="AE809" s="4" t="s">
        <v>509</v>
      </c>
      <c r="AF809" s="4" t="s">
        <v>589</v>
      </c>
      <c r="AG809" s="743">
        <v>0</v>
      </c>
      <c r="AI809" s="158"/>
    </row>
    <row r="810" spans="23:35">
      <c r="W810" s="4" t="s">
        <v>3405</v>
      </c>
      <c r="X810" s="4" t="s">
        <v>3360</v>
      </c>
      <c r="Y810" s="151" t="str">
        <f t="shared" si="70"/>
        <v>E6250</v>
      </c>
      <c r="Z810" s="4" t="s">
        <v>587</v>
      </c>
      <c r="AA810" s="114" t="s">
        <v>588</v>
      </c>
      <c r="AB810" s="4" t="s">
        <v>506</v>
      </c>
      <c r="AC810" s="4" t="s">
        <v>507</v>
      </c>
      <c r="AD810" s="4" t="s">
        <v>508</v>
      </c>
      <c r="AE810" s="4" t="s">
        <v>509</v>
      </c>
      <c r="AF810" s="4" t="s">
        <v>589</v>
      </c>
      <c r="AG810" s="743">
        <v>0</v>
      </c>
      <c r="AI810" s="158"/>
    </row>
    <row r="811" spans="23:35">
      <c r="W811" s="4" t="s">
        <v>3405</v>
      </c>
      <c r="X811" s="4" t="s">
        <v>3361</v>
      </c>
      <c r="Y811" s="151" t="str">
        <f t="shared" si="70"/>
        <v>E6250</v>
      </c>
      <c r="Z811" s="4" t="s">
        <v>587</v>
      </c>
      <c r="AA811" s="114" t="s">
        <v>588</v>
      </c>
      <c r="AB811" s="4" t="s">
        <v>506</v>
      </c>
      <c r="AC811" s="4" t="s">
        <v>507</v>
      </c>
      <c r="AD811" s="4" t="s">
        <v>508</v>
      </c>
      <c r="AE811" s="4" t="s">
        <v>509</v>
      </c>
      <c r="AF811" s="4" t="s">
        <v>589</v>
      </c>
      <c r="AG811" s="743">
        <v>0</v>
      </c>
      <c r="AI811" s="158"/>
    </row>
    <row r="812" spans="23:35">
      <c r="W812" s="4" t="s">
        <v>3405</v>
      </c>
      <c r="X812" s="4" t="s">
        <v>3362</v>
      </c>
      <c r="Y812" s="151" t="str">
        <f t="shared" si="70"/>
        <v>E6250</v>
      </c>
      <c r="Z812" s="4" t="s">
        <v>587</v>
      </c>
      <c r="AA812" s="114" t="s">
        <v>588</v>
      </c>
      <c r="AB812" s="4" t="s">
        <v>506</v>
      </c>
      <c r="AC812" s="4" t="s">
        <v>507</v>
      </c>
      <c r="AD812" s="4" t="s">
        <v>508</v>
      </c>
      <c r="AE812" s="4" t="s">
        <v>509</v>
      </c>
      <c r="AF812" s="4" t="s">
        <v>589</v>
      </c>
      <c r="AG812" s="743">
        <v>0</v>
      </c>
      <c r="AI812" s="158"/>
    </row>
    <row r="813" spans="23:35">
      <c r="W813" s="4" t="s">
        <v>3405</v>
      </c>
      <c r="X813" s="4" t="s">
        <v>3363</v>
      </c>
      <c r="Y813" s="151" t="str">
        <f t="shared" si="70"/>
        <v>E6250</v>
      </c>
      <c r="Z813" s="4" t="s">
        <v>587</v>
      </c>
      <c r="AA813" s="114" t="s">
        <v>588</v>
      </c>
      <c r="AB813" s="4" t="s">
        <v>506</v>
      </c>
      <c r="AC813" s="4" t="s">
        <v>507</v>
      </c>
      <c r="AD813" s="4" t="s">
        <v>508</v>
      </c>
      <c r="AE813" s="4" t="s">
        <v>509</v>
      </c>
      <c r="AF813" s="4" t="s">
        <v>589</v>
      </c>
      <c r="AG813" s="743">
        <v>0</v>
      </c>
      <c r="AI813" s="158"/>
    </row>
    <row r="814" spans="23:35">
      <c r="W814" s="4" t="s">
        <v>3405</v>
      </c>
      <c r="X814" s="4" t="s">
        <v>3364</v>
      </c>
      <c r="Y814" s="151" t="str">
        <f t="shared" si="70"/>
        <v>E6250</v>
      </c>
      <c r="Z814" s="4" t="s">
        <v>587</v>
      </c>
      <c r="AA814" s="114" t="s">
        <v>588</v>
      </c>
      <c r="AB814" s="4" t="s">
        <v>506</v>
      </c>
      <c r="AC814" s="4" t="s">
        <v>507</v>
      </c>
      <c r="AD814" s="4" t="s">
        <v>508</v>
      </c>
      <c r="AE814" s="4" t="s">
        <v>509</v>
      </c>
      <c r="AF814" s="4" t="s">
        <v>589</v>
      </c>
      <c r="AG814" s="743">
        <v>0</v>
      </c>
      <c r="AI814" s="158"/>
    </row>
    <row r="815" spans="23:35">
      <c r="W815" s="4" t="s">
        <v>3405</v>
      </c>
      <c r="X815" s="4" t="s">
        <v>3365</v>
      </c>
      <c r="Y815" s="151" t="str">
        <f t="shared" si="70"/>
        <v>E6250</v>
      </c>
      <c r="Z815" s="4" t="s">
        <v>587</v>
      </c>
      <c r="AA815" s="114" t="s">
        <v>588</v>
      </c>
      <c r="AB815" s="4" t="s">
        <v>506</v>
      </c>
      <c r="AC815" s="4" t="s">
        <v>507</v>
      </c>
      <c r="AD815" s="4" t="s">
        <v>508</v>
      </c>
      <c r="AE815" s="4" t="s">
        <v>509</v>
      </c>
      <c r="AF815" s="4" t="s">
        <v>589</v>
      </c>
      <c r="AG815" s="743">
        <v>0</v>
      </c>
      <c r="AI815" s="158"/>
    </row>
    <row r="816" spans="23:35">
      <c r="W816" s="4" t="s">
        <v>3405</v>
      </c>
      <c r="X816" s="4" t="s">
        <v>3366</v>
      </c>
      <c r="Y816" s="151" t="str">
        <f t="shared" si="70"/>
        <v>E6250</v>
      </c>
      <c r="Z816" s="4" t="s">
        <v>587</v>
      </c>
      <c r="AA816" s="114" t="s">
        <v>588</v>
      </c>
      <c r="AB816" s="4" t="s">
        <v>506</v>
      </c>
      <c r="AC816" s="4" t="s">
        <v>507</v>
      </c>
      <c r="AD816" s="4" t="s">
        <v>508</v>
      </c>
      <c r="AE816" s="4" t="s">
        <v>509</v>
      </c>
      <c r="AF816" s="4" t="s">
        <v>589</v>
      </c>
      <c r="AG816" s="743">
        <v>0</v>
      </c>
      <c r="AI816" s="158"/>
    </row>
    <row r="817" spans="23:35">
      <c r="W817" s="4" t="s">
        <v>3405</v>
      </c>
      <c r="X817" s="4" t="s">
        <v>3367</v>
      </c>
      <c r="Y817" s="151" t="str">
        <f t="shared" si="70"/>
        <v>E6250</v>
      </c>
      <c r="Z817" s="4" t="s">
        <v>587</v>
      </c>
      <c r="AA817" s="114" t="s">
        <v>588</v>
      </c>
      <c r="AB817" s="4" t="s">
        <v>506</v>
      </c>
      <c r="AC817" s="4" t="s">
        <v>507</v>
      </c>
      <c r="AD817" s="4" t="s">
        <v>508</v>
      </c>
      <c r="AE817" s="4" t="s">
        <v>509</v>
      </c>
      <c r="AF817" s="4" t="s">
        <v>589</v>
      </c>
      <c r="AG817" s="743">
        <v>0</v>
      </c>
      <c r="AI817" s="158"/>
    </row>
    <row r="818" spans="23:35">
      <c r="W818" s="4" t="s">
        <v>3405</v>
      </c>
      <c r="X818" s="3" t="s">
        <v>3356</v>
      </c>
      <c r="Y818" s="150" t="str">
        <f>INDEX($B$3:$O$110,94,1)</f>
        <v>E6260</v>
      </c>
      <c r="Z818" s="4" t="s">
        <v>587</v>
      </c>
      <c r="AA818" s="114" t="s">
        <v>588</v>
      </c>
      <c r="AB818" s="4" t="s">
        <v>506</v>
      </c>
      <c r="AC818" s="4" t="s">
        <v>507</v>
      </c>
      <c r="AD818" s="4" t="s">
        <v>508</v>
      </c>
      <c r="AE818" s="4" t="s">
        <v>509</v>
      </c>
      <c r="AF818" s="4" t="s">
        <v>589</v>
      </c>
      <c r="AG818" s="743">
        <v>0</v>
      </c>
      <c r="AI818" s="158"/>
    </row>
    <row r="819" spans="23:35">
      <c r="W819" s="4" t="s">
        <v>3405</v>
      </c>
      <c r="X819" s="4" t="s">
        <v>3357</v>
      </c>
      <c r="Y819" s="151" t="str">
        <f>Y818</f>
        <v>E6260</v>
      </c>
      <c r="Z819" s="4" t="s">
        <v>587</v>
      </c>
      <c r="AA819" s="114" t="s">
        <v>588</v>
      </c>
      <c r="AB819" s="4" t="s">
        <v>506</v>
      </c>
      <c r="AC819" s="4" t="s">
        <v>507</v>
      </c>
      <c r="AD819" s="4" t="s">
        <v>508</v>
      </c>
      <c r="AE819" s="4" t="s">
        <v>509</v>
      </c>
      <c r="AF819" s="4" t="s">
        <v>589</v>
      </c>
      <c r="AG819" s="743">
        <v>0</v>
      </c>
      <c r="AI819" s="158"/>
    </row>
    <row r="820" spans="23:35">
      <c r="W820" s="4" t="s">
        <v>3405</v>
      </c>
      <c r="X820" s="4" t="s">
        <v>3358</v>
      </c>
      <c r="Y820" s="151" t="str">
        <f t="shared" ref="Y820:Y829" si="71">Y819</f>
        <v>E6260</v>
      </c>
      <c r="Z820" s="4" t="s">
        <v>587</v>
      </c>
      <c r="AA820" s="114" t="s">
        <v>588</v>
      </c>
      <c r="AB820" s="4" t="s">
        <v>506</v>
      </c>
      <c r="AC820" s="4" t="s">
        <v>507</v>
      </c>
      <c r="AD820" s="4" t="s">
        <v>508</v>
      </c>
      <c r="AE820" s="4" t="s">
        <v>509</v>
      </c>
      <c r="AF820" s="4" t="s">
        <v>589</v>
      </c>
      <c r="AG820" s="743">
        <v>0</v>
      </c>
      <c r="AI820" s="158"/>
    </row>
    <row r="821" spans="23:35">
      <c r="W821" s="4" t="s">
        <v>3405</v>
      </c>
      <c r="X821" s="4" t="s">
        <v>3359</v>
      </c>
      <c r="Y821" s="151" t="str">
        <f t="shared" si="71"/>
        <v>E6260</v>
      </c>
      <c r="Z821" s="4" t="s">
        <v>587</v>
      </c>
      <c r="AA821" s="114" t="s">
        <v>588</v>
      </c>
      <c r="AB821" s="4" t="s">
        <v>506</v>
      </c>
      <c r="AC821" s="4" t="s">
        <v>507</v>
      </c>
      <c r="AD821" s="4" t="s">
        <v>508</v>
      </c>
      <c r="AE821" s="4" t="s">
        <v>509</v>
      </c>
      <c r="AF821" s="4" t="s">
        <v>589</v>
      </c>
      <c r="AG821" s="743">
        <v>0</v>
      </c>
      <c r="AI821" s="158"/>
    </row>
    <row r="822" spans="23:35">
      <c r="W822" s="4" t="s">
        <v>3405</v>
      </c>
      <c r="X822" s="4" t="s">
        <v>3360</v>
      </c>
      <c r="Y822" s="151" t="str">
        <f t="shared" si="71"/>
        <v>E6260</v>
      </c>
      <c r="Z822" s="4" t="s">
        <v>587</v>
      </c>
      <c r="AA822" s="114" t="s">
        <v>588</v>
      </c>
      <c r="AB822" s="4" t="s">
        <v>506</v>
      </c>
      <c r="AC822" s="4" t="s">
        <v>507</v>
      </c>
      <c r="AD822" s="4" t="s">
        <v>508</v>
      </c>
      <c r="AE822" s="4" t="s">
        <v>509</v>
      </c>
      <c r="AF822" s="4" t="s">
        <v>589</v>
      </c>
      <c r="AG822" s="743">
        <v>0</v>
      </c>
      <c r="AI822" s="158"/>
    </row>
    <row r="823" spans="23:35">
      <c r="W823" s="4" t="s">
        <v>3405</v>
      </c>
      <c r="X823" s="4" t="s">
        <v>3361</v>
      </c>
      <c r="Y823" s="151" t="str">
        <f t="shared" si="71"/>
        <v>E6260</v>
      </c>
      <c r="Z823" s="4" t="s">
        <v>587</v>
      </c>
      <c r="AA823" s="114" t="s">
        <v>588</v>
      </c>
      <c r="AB823" s="4" t="s">
        <v>506</v>
      </c>
      <c r="AC823" s="4" t="s">
        <v>507</v>
      </c>
      <c r="AD823" s="4" t="s">
        <v>508</v>
      </c>
      <c r="AE823" s="4" t="s">
        <v>509</v>
      </c>
      <c r="AF823" s="4" t="s">
        <v>589</v>
      </c>
      <c r="AG823" s="743">
        <v>0</v>
      </c>
      <c r="AI823" s="158"/>
    </row>
    <row r="824" spans="23:35">
      <c r="W824" s="4" t="s">
        <v>3405</v>
      </c>
      <c r="X824" s="4" t="s">
        <v>3362</v>
      </c>
      <c r="Y824" s="151" t="str">
        <f t="shared" si="71"/>
        <v>E6260</v>
      </c>
      <c r="Z824" s="4" t="s">
        <v>587</v>
      </c>
      <c r="AA824" s="114" t="s">
        <v>588</v>
      </c>
      <c r="AB824" s="4" t="s">
        <v>506</v>
      </c>
      <c r="AC824" s="4" t="s">
        <v>507</v>
      </c>
      <c r="AD824" s="4" t="s">
        <v>508</v>
      </c>
      <c r="AE824" s="4" t="s">
        <v>509</v>
      </c>
      <c r="AF824" s="4" t="s">
        <v>589</v>
      </c>
      <c r="AG824" s="743">
        <v>0</v>
      </c>
      <c r="AI824" s="158"/>
    </row>
    <row r="825" spans="23:35">
      <c r="W825" s="4" t="s">
        <v>3405</v>
      </c>
      <c r="X825" s="4" t="s">
        <v>3363</v>
      </c>
      <c r="Y825" s="151" t="str">
        <f t="shared" si="71"/>
        <v>E6260</v>
      </c>
      <c r="Z825" s="4" t="s">
        <v>587</v>
      </c>
      <c r="AA825" s="114" t="s">
        <v>588</v>
      </c>
      <c r="AB825" s="4" t="s">
        <v>506</v>
      </c>
      <c r="AC825" s="4" t="s">
        <v>507</v>
      </c>
      <c r="AD825" s="4" t="s">
        <v>508</v>
      </c>
      <c r="AE825" s="4" t="s">
        <v>509</v>
      </c>
      <c r="AF825" s="4" t="s">
        <v>589</v>
      </c>
      <c r="AG825" s="743">
        <v>0</v>
      </c>
      <c r="AI825" s="158"/>
    </row>
    <row r="826" spans="23:35">
      <c r="W826" s="4" t="s">
        <v>3405</v>
      </c>
      <c r="X826" s="4" t="s">
        <v>3364</v>
      </c>
      <c r="Y826" s="151" t="str">
        <f t="shared" si="71"/>
        <v>E6260</v>
      </c>
      <c r="Z826" s="4" t="s">
        <v>587</v>
      </c>
      <c r="AA826" s="114" t="s">
        <v>588</v>
      </c>
      <c r="AB826" s="4" t="s">
        <v>506</v>
      </c>
      <c r="AC826" s="4" t="s">
        <v>507</v>
      </c>
      <c r="AD826" s="4" t="s">
        <v>508</v>
      </c>
      <c r="AE826" s="4" t="s">
        <v>509</v>
      </c>
      <c r="AF826" s="4" t="s">
        <v>589</v>
      </c>
      <c r="AG826" s="743">
        <v>0</v>
      </c>
      <c r="AI826" s="158"/>
    </row>
    <row r="827" spans="23:35">
      <c r="W827" s="4" t="s">
        <v>3405</v>
      </c>
      <c r="X827" s="4" t="s">
        <v>3365</v>
      </c>
      <c r="Y827" s="151" t="str">
        <f t="shared" si="71"/>
        <v>E6260</v>
      </c>
      <c r="Z827" s="4" t="s">
        <v>587</v>
      </c>
      <c r="AA827" s="114" t="s">
        <v>588</v>
      </c>
      <c r="AB827" s="4" t="s">
        <v>506</v>
      </c>
      <c r="AC827" s="4" t="s">
        <v>507</v>
      </c>
      <c r="AD827" s="4" t="s">
        <v>508</v>
      </c>
      <c r="AE827" s="4" t="s">
        <v>509</v>
      </c>
      <c r="AF827" s="4" t="s">
        <v>589</v>
      </c>
      <c r="AG827" s="743">
        <v>0</v>
      </c>
      <c r="AI827" s="158"/>
    </row>
    <row r="828" spans="23:35">
      <c r="W828" s="4" t="s">
        <v>3405</v>
      </c>
      <c r="X828" s="4" t="s">
        <v>3366</v>
      </c>
      <c r="Y828" s="151" t="str">
        <f t="shared" si="71"/>
        <v>E6260</v>
      </c>
      <c r="Z828" s="4" t="s">
        <v>587</v>
      </c>
      <c r="AA828" s="114" t="s">
        <v>588</v>
      </c>
      <c r="AB828" s="4" t="s">
        <v>506</v>
      </c>
      <c r="AC828" s="4" t="s">
        <v>507</v>
      </c>
      <c r="AD828" s="4" t="s">
        <v>508</v>
      </c>
      <c r="AE828" s="4" t="s">
        <v>509</v>
      </c>
      <c r="AF828" s="4" t="s">
        <v>589</v>
      </c>
      <c r="AG828" s="743">
        <v>0</v>
      </c>
      <c r="AI828" s="158"/>
    </row>
    <row r="829" spans="23:35">
      <c r="W829" s="4" t="s">
        <v>3405</v>
      </c>
      <c r="X829" s="4" t="s">
        <v>3367</v>
      </c>
      <c r="Y829" s="151" t="str">
        <f t="shared" si="71"/>
        <v>E6260</v>
      </c>
      <c r="Z829" s="4" t="s">
        <v>587</v>
      </c>
      <c r="AA829" s="114" t="s">
        <v>588</v>
      </c>
      <c r="AB829" s="4" t="s">
        <v>506</v>
      </c>
      <c r="AC829" s="4" t="s">
        <v>507</v>
      </c>
      <c r="AD829" s="4" t="s">
        <v>508</v>
      </c>
      <c r="AE829" s="4" t="s">
        <v>509</v>
      </c>
      <c r="AF829" s="4" t="s">
        <v>589</v>
      </c>
      <c r="AG829" s="743">
        <v>0</v>
      </c>
      <c r="AI829" s="158"/>
    </row>
    <row r="830" spans="23:35">
      <c r="W830" s="4" t="s">
        <v>3405</v>
      </c>
      <c r="X830" s="3" t="s">
        <v>3356</v>
      </c>
      <c r="Y830" s="150" t="str">
        <f>INDEX($B$3:$O$110,95,1)</f>
        <v>E6280</v>
      </c>
      <c r="Z830" s="4" t="s">
        <v>587</v>
      </c>
      <c r="AA830" s="114" t="s">
        <v>588</v>
      </c>
      <c r="AB830" s="4" t="s">
        <v>506</v>
      </c>
      <c r="AC830" s="4" t="s">
        <v>507</v>
      </c>
      <c r="AD830" s="4" t="s">
        <v>508</v>
      </c>
      <c r="AE830" s="4" t="s">
        <v>509</v>
      </c>
      <c r="AF830" s="4" t="s">
        <v>589</v>
      </c>
      <c r="AG830" s="115">
        <f>+VLOOKUP(Y830,B:O,3,FALSE)/1000</f>
        <v>-3.9823900000000067E-3</v>
      </c>
      <c r="AI830" s="158"/>
    </row>
    <row r="831" spans="23:35">
      <c r="W831" s="4" t="s">
        <v>3405</v>
      </c>
      <c r="X831" s="4" t="s">
        <v>3357</v>
      </c>
      <c r="Y831" s="151" t="str">
        <f>Y830</f>
        <v>E6280</v>
      </c>
      <c r="Z831" s="4" t="s">
        <v>587</v>
      </c>
      <c r="AA831" s="114" t="s">
        <v>588</v>
      </c>
      <c r="AB831" s="4" t="s">
        <v>506</v>
      </c>
      <c r="AC831" s="4" t="s">
        <v>507</v>
      </c>
      <c r="AD831" s="4" t="s">
        <v>508</v>
      </c>
      <c r="AE831" s="4" t="s">
        <v>509</v>
      </c>
      <c r="AF831" s="4" t="s">
        <v>589</v>
      </c>
      <c r="AG831" s="115">
        <f>+VLOOKUP(Y831,B:O,4,FALSE)/1000</f>
        <v>-4.9523900000000053E-3</v>
      </c>
      <c r="AI831" s="158"/>
    </row>
    <row r="832" spans="23:35">
      <c r="W832" s="4" t="s">
        <v>3405</v>
      </c>
      <c r="X832" s="4" t="s">
        <v>3358</v>
      </c>
      <c r="Y832" s="151" t="str">
        <f t="shared" ref="Y832:Y841" si="72">Y831</f>
        <v>E6280</v>
      </c>
      <c r="Z832" s="4" t="s">
        <v>587</v>
      </c>
      <c r="AA832" s="114" t="s">
        <v>588</v>
      </c>
      <c r="AB832" s="4" t="s">
        <v>506</v>
      </c>
      <c r="AC832" s="4" t="s">
        <v>507</v>
      </c>
      <c r="AD832" s="4" t="s">
        <v>508</v>
      </c>
      <c r="AE832" s="4" t="s">
        <v>509</v>
      </c>
      <c r="AF832" s="4" t="s">
        <v>589</v>
      </c>
      <c r="AG832" s="115">
        <f>+VLOOKUP(Y832,B:O,5,FALSE)/1000</f>
        <v>7.2676099999999929E-3</v>
      </c>
      <c r="AI832" s="158"/>
    </row>
    <row r="833" spans="23:35">
      <c r="W833" s="4" t="s">
        <v>3405</v>
      </c>
      <c r="X833" s="4" t="s">
        <v>3359</v>
      </c>
      <c r="Y833" s="151" t="str">
        <f t="shared" si="72"/>
        <v>E6280</v>
      </c>
      <c r="Z833" s="4" t="s">
        <v>587</v>
      </c>
      <c r="AA833" s="114" t="s">
        <v>588</v>
      </c>
      <c r="AB833" s="4" t="s">
        <v>506</v>
      </c>
      <c r="AC833" s="4" t="s">
        <v>507</v>
      </c>
      <c r="AD833" s="4" t="s">
        <v>508</v>
      </c>
      <c r="AE833" s="4" t="s">
        <v>509</v>
      </c>
      <c r="AF833" s="4" t="s">
        <v>589</v>
      </c>
      <c r="AG833" s="115">
        <f>+VLOOKUP(Y833,B:O,6,FALSE)/1000</f>
        <v>2.1657610000000001E-2</v>
      </c>
      <c r="AI833" s="158"/>
    </row>
    <row r="834" spans="23:35">
      <c r="W834" s="4" t="s">
        <v>3405</v>
      </c>
      <c r="X834" s="4" t="s">
        <v>3360</v>
      </c>
      <c r="Y834" s="151" t="str">
        <f t="shared" si="72"/>
        <v>E6280</v>
      </c>
      <c r="Z834" s="4" t="s">
        <v>587</v>
      </c>
      <c r="AA834" s="114" t="s">
        <v>588</v>
      </c>
      <c r="AB834" s="4" t="s">
        <v>506</v>
      </c>
      <c r="AC834" s="4" t="s">
        <v>507</v>
      </c>
      <c r="AD834" s="4" t="s">
        <v>508</v>
      </c>
      <c r="AE834" s="4" t="s">
        <v>509</v>
      </c>
      <c r="AF834" s="4" t="s">
        <v>589</v>
      </c>
      <c r="AG834" s="115">
        <f>+VLOOKUP(Y834,B:O,7,FALSE)/1000</f>
        <v>3.0977610000000003E-2</v>
      </c>
      <c r="AI834" s="158"/>
    </row>
    <row r="835" spans="23:35">
      <c r="W835" s="4" t="s">
        <v>3405</v>
      </c>
      <c r="X835" s="4" t="s">
        <v>3361</v>
      </c>
      <c r="Y835" s="151" t="str">
        <f t="shared" si="72"/>
        <v>E6280</v>
      </c>
      <c r="Z835" s="4" t="s">
        <v>587</v>
      </c>
      <c r="AA835" s="114" t="s">
        <v>588</v>
      </c>
      <c r="AB835" s="4" t="s">
        <v>506</v>
      </c>
      <c r="AC835" s="4" t="s">
        <v>507</v>
      </c>
      <c r="AD835" s="4" t="s">
        <v>508</v>
      </c>
      <c r="AE835" s="4" t="s">
        <v>509</v>
      </c>
      <c r="AF835" s="4" t="s">
        <v>589</v>
      </c>
      <c r="AG835" s="115">
        <f>+VLOOKUP(Y835,B:O,8,FALSE)/1000</f>
        <v>2.5827609999999997E-2</v>
      </c>
      <c r="AI835" s="158"/>
    </row>
    <row r="836" spans="23:35">
      <c r="W836" s="4" t="s">
        <v>3405</v>
      </c>
      <c r="X836" s="4" t="s">
        <v>3362</v>
      </c>
      <c r="Y836" s="151" t="str">
        <f t="shared" si="72"/>
        <v>E6280</v>
      </c>
      <c r="Z836" s="4" t="s">
        <v>587</v>
      </c>
      <c r="AA836" s="114" t="s">
        <v>588</v>
      </c>
      <c r="AB836" s="4" t="s">
        <v>506</v>
      </c>
      <c r="AC836" s="4" t="s">
        <v>507</v>
      </c>
      <c r="AD836" s="4" t="s">
        <v>508</v>
      </c>
      <c r="AE836" s="4" t="s">
        <v>509</v>
      </c>
      <c r="AF836" s="4" t="s">
        <v>589</v>
      </c>
      <c r="AG836" s="115">
        <f>+VLOOKUP(Y836,B:O,9,FALSE)/1000</f>
        <v>2.3767610000000002E-2</v>
      </c>
      <c r="AI836" s="158"/>
    </row>
    <row r="837" spans="23:35">
      <c r="W837" s="4" t="s">
        <v>3405</v>
      </c>
      <c r="X837" s="4" t="s">
        <v>3363</v>
      </c>
      <c r="Y837" s="151" t="str">
        <f t="shared" si="72"/>
        <v>E6280</v>
      </c>
      <c r="Z837" s="4" t="s">
        <v>587</v>
      </c>
      <c r="AA837" s="114" t="s">
        <v>588</v>
      </c>
      <c r="AB837" s="4" t="s">
        <v>506</v>
      </c>
      <c r="AC837" s="4" t="s">
        <v>507</v>
      </c>
      <c r="AD837" s="4" t="s">
        <v>508</v>
      </c>
      <c r="AE837" s="4" t="s">
        <v>509</v>
      </c>
      <c r="AF837" s="4" t="s">
        <v>589</v>
      </c>
      <c r="AG837" s="115">
        <f>+VLOOKUP(Y837,B:O,10,FALSE)/1000</f>
        <v>2.7487609999999999E-2</v>
      </c>
      <c r="AI837" s="158"/>
    </row>
    <row r="838" spans="23:35">
      <c r="W838" s="4" t="s">
        <v>3405</v>
      </c>
      <c r="X838" s="4" t="s">
        <v>3364</v>
      </c>
      <c r="Y838" s="151" t="str">
        <f t="shared" si="72"/>
        <v>E6280</v>
      </c>
      <c r="Z838" s="4" t="s">
        <v>587</v>
      </c>
      <c r="AA838" s="114" t="s">
        <v>588</v>
      </c>
      <c r="AB838" s="4" t="s">
        <v>506</v>
      </c>
      <c r="AC838" s="4" t="s">
        <v>507</v>
      </c>
      <c r="AD838" s="4" t="s">
        <v>508</v>
      </c>
      <c r="AE838" s="4" t="s">
        <v>509</v>
      </c>
      <c r="AF838" s="4" t="s">
        <v>589</v>
      </c>
      <c r="AG838" s="115">
        <f>+VLOOKUP(Y838,B:O,11,FALSE)/1000</f>
        <v>2.9607609999999996E-2</v>
      </c>
      <c r="AI838" s="158"/>
    </row>
    <row r="839" spans="23:35">
      <c r="W839" s="4" t="s">
        <v>3405</v>
      </c>
      <c r="X839" s="4" t="s">
        <v>3365</v>
      </c>
      <c r="Y839" s="151" t="str">
        <f t="shared" si="72"/>
        <v>E6280</v>
      </c>
      <c r="Z839" s="4" t="s">
        <v>587</v>
      </c>
      <c r="AA839" s="114" t="s">
        <v>588</v>
      </c>
      <c r="AB839" s="4" t="s">
        <v>506</v>
      </c>
      <c r="AC839" s="4" t="s">
        <v>507</v>
      </c>
      <c r="AD839" s="4" t="s">
        <v>508</v>
      </c>
      <c r="AE839" s="4" t="s">
        <v>509</v>
      </c>
      <c r="AF839" s="4" t="s">
        <v>589</v>
      </c>
      <c r="AG839" s="115">
        <f>+VLOOKUP(Y839,B:O,12,FALSE)/1000</f>
        <v>3.0407610000000002E-2</v>
      </c>
      <c r="AI839" s="158"/>
    </row>
    <row r="840" spans="23:35">
      <c r="W840" s="4" t="s">
        <v>3405</v>
      </c>
      <c r="X840" s="4" t="s">
        <v>3366</v>
      </c>
      <c r="Y840" s="151" t="str">
        <f t="shared" si="72"/>
        <v>E6280</v>
      </c>
      <c r="Z840" s="4" t="s">
        <v>587</v>
      </c>
      <c r="AA840" s="114" t="s">
        <v>588</v>
      </c>
      <c r="AB840" s="4" t="s">
        <v>506</v>
      </c>
      <c r="AC840" s="4" t="s">
        <v>507</v>
      </c>
      <c r="AD840" s="4" t="s">
        <v>508</v>
      </c>
      <c r="AE840" s="4" t="s">
        <v>509</v>
      </c>
      <c r="AF840" s="4" t="s">
        <v>589</v>
      </c>
      <c r="AG840" s="115">
        <f>+VLOOKUP(Y840,B:O,13,FALSE)/1000</f>
        <v>1.1617610000000002E-2</v>
      </c>
      <c r="AI840" s="158"/>
    </row>
    <row r="841" spans="23:35">
      <c r="W841" s="4" t="s">
        <v>3405</v>
      </c>
      <c r="X841" s="4" t="s">
        <v>3367</v>
      </c>
      <c r="Y841" s="151" t="str">
        <f t="shared" si="72"/>
        <v>E6280</v>
      </c>
      <c r="Z841" s="4" t="s">
        <v>587</v>
      </c>
      <c r="AA841" s="114" t="s">
        <v>588</v>
      </c>
      <c r="AB841" s="4" t="s">
        <v>506</v>
      </c>
      <c r="AC841" s="4" t="s">
        <v>507</v>
      </c>
      <c r="AD841" s="4" t="s">
        <v>508</v>
      </c>
      <c r="AE841" s="4" t="s">
        <v>509</v>
      </c>
      <c r="AF841" s="4" t="s">
        <v>589</v>
      </c>
      <c r="AG841" s="115">
        <f>+VLOOKUP(Y841,B:O,14,FALSE)/1000</f>
        <v>1.8760999999999496E-4</v>
      </c>
      <c r="AI841" s="158"/>
    </row>
    <row r="842" spans="23:35">
      <c r="W842" s="4" t="s">
        <v>3405</v>
      </c>
      <c r="X842" s="3" t="s">
        <v>3356</v>
      </c>
      <c r="Y842" s="150" t="str">
        <f>INDEX($B$3:$O$110,96,1)</f>
        <v>E6290</v>
      </c>
      <c r="Z842" s="4" t="s">
        <v>587</v>
      </c>
      <c r="AA842" s="114" t="s">
        <v>588</v>
      </c>
      <c r="AB842" s="4" t="s">
        <v>506</v>
      </c>
      <c r="AC842" s="4" t="s">
        <v>507</v>
      </c>
      <c r="AD842" s="4" t="s">
        <v>508</v>
      </c>
      <c r="AE842" s="4" t="s">
        <v>509</v>
      </c>
      <c r="AF842" s="4" t="s">
        <v>589</v>
      </c>
      <c r="AG842" s="743">
        <v>0</v>
      </c>
      <c r="AI842" s="158"/>
    </row>
    <row r="843" spans="23:35">
      <c r="W843" s="4" t="s">
        <v>3405</v>
      </c>
      <c r="X843" s="4" t="s">
        <v>3357</v>
      </c>
      <c r="Y843" s="151" t="str">
        <f>Y842</f>
        <v>E6290</v>
      </c>
      <c r="Z843" s="4" t="s">
        <v>587</v>
      </c>
      <c r="AA843" s="114" t="s">
        <v>588</v>
      </c>
      <c r="AB843" s="4" t="s">
        <v>506</v>
      </c>
      <c r="AC843" s="4" t="s">
        <v>507</v>
      </c>
      <c r="AD843" s="4" t="s">
        <v>508</v>
      </c>
      <c r="AE843" s="4" t="s">
        <v>509</v>
      </c>
      <c r="AF843" s="4" t="s">
        <v>589</v>
      </c>
      <c r="AG843" s="743">
        <v>0</v>
      </c>
      <c r="AI843" s="158"/>
    </row>
    <row r="844" spans="23:35">
      <c r="W844" s="4" t="s">
        <v>3405</v>
      </c>
      <c r="X844" s="4" t="s">
        <v>3358</v>
      </c>
      <c r="Y844" s="151" t="str">
        <f t="shared" ref="Y844:Y853" si="73">Y843</f>
        <v>E6290</v>
      </c>
      <c r="Z844" s="4" t="s">
        <v>587</v>
      </c>
      <c r="AA844" s="114" t="s">
        <v>588</v>
      </c>
      <c r="AB844" s="4" t="s">
        <v>506</v>
      </c>
      <c r="AC844" s="4" t="s">
        <v>507</v>
      </c>
      <c r="AD844" s="4" t="s">
        <v>508</v>
      </c>
      <c r="AE844" s="4" t="s">
        <v>509</v>
      </c>
      <c r="AF844" s="4" t="s">
        <v>589</v>
      </c>
      <c r="AG844" s="743">
        <v>0</v>
      </c>
      <c r="AI844" s="158"/>
    </row>
    <row r="845" spans="23:35">
      <c r="W845" s="4" t="s">
        <v>3405</v>
      </c>
      <c r="X845" s="4" t="s">
        <v>3359</v>
      </c>
      <c r="Y845" s="151" t="str">
        <f t="shared" si="73"/>
        <v>E6290</v>
      </c>
      <c r="Z845" s="4" t="s">
        <v>587</v>
      </c>
      <c r="AA845" s="114" t="s">
        <v>588</v>
      </c>
      <c r="AB845" s="4" t="s">
        <v>506</v>
      </c>
      <c r="AC845" s="4" t="s">
        <v>507</v>
      </c>
      <c r="AD845" s="4" t="s">
        <v>508</v>
      </c>
      <c r="AE845" s="4" t="s">
        <v>509</v>
      </c>
      <c r="AF845" s="4" t="s">
        <v>589</v>
      </c>
      <c r="AG845" s="743">
        <v>0</v>
      </c>
      <c r="AI845" s="158"/>
    </row>
    <row r="846" spans="23:35">
      <c r="W846" s="4" t="s">
        <v>3405</v>
      </c>
      <c r="X846" s="4" t="s">
        <v>3360</v>
      </c>
      <c r="Y846" s="151" t="str">
        <f t="shared" si="73"/>
        <v>E6290</v>
      </c>
      <c r="Z846" s="4" t="s">
        <v>587</v>
      </c>
      <c r="AA846" s="114" t="s">
        <v>588</v>
      </c>
      <c r="AB846" s="4" t="s">
        <v>506</v>
      </c>
      <c r="AC846" s="4" t="s">
        <v>507</v>
      </c>
      <c r="AD846" s="4" t="s">
        <v>508</v>
      </c>
      <c r="AE846" s="4" t="s">
        <v>509</v>
      </c>
      <c r="AF846" s="4" t="s">
        <v>589</v>
      </c>
      <c r="AG846" s="743">
        <v>0</v>
      </c>
      <c r="AI846" s="158"/>
    </row>
    <row r="847" spans="23:35">
      <c r="W847" s="4" t="s">
        <v>3405</v>
      </c>
      <c r="X847" s="4" t="s">
        <v>3361</v>
      </c>
      <c r="Y847" s="151" t="str">
        <f t="shared" si="73"/>
        <v>E6290</v>
      </c>
      <c r="Z847" s="4" t="s">
        <v>587</v>
      </c>
      <c r="AA847" s="114" t="s">
        <v>588</v>
      </c>
      <c r="AB847" s="4" t="s">
        <v>506</v>
      </c>
      <c r="AC847" s="4" t="s">
        <v>507</v>
      </c>
      <c r="AD847" s="4" t="s">
        <v>508</v>
      </c>
      <c r="AE847" s="4" t="s">
        <v>509</v>
      </c>
      <c r="AF847" s="4" t="s">
        <v>589</v>
      </c>
      <c r="AG847" s="115">
        <f>+VLOOKUP(Y847,B:O,8,FALSE)/1000</f>
        <v>1.8099999999999995E-2</v>
      </c>
      <c r="AI847" s="158"/>
    </row>
    <row r="848" spans="23:35">
      <c r="W848" s="4" t="s">
        <v>3405</v>
      </c>
      <c r="X848" s="4" t="s">
        <v>3362</v>
      </c>
      <c r="Y848" s="151" t="str">
        <f t="shared" si="73"/>
        <v>E6290</v>
      </c>
      <c r="Z848" s="4" t="s">
        <v>587</v>
      </c>
      <c r="AA848" s="114" t="s">
        <v>588</v>
      </c>
      <c r="AB848" s="4" t="s">
        <v>506</v>
      </c>
      <c r="AC848" s="4" t="s">
        <v>507</v>
      </c>
      <c r="AD848" s="4" t="s">
        <v>508</v>
      </c>
      <c r="AE848" s="4" t="s">
        <v>509</v>
      </c>
      <c r="AF848" s="4" t="s">
        <v>589</v>
      </c>
      <c r="AG848" s="115">
        <f>+VLOOKUP(Y848,B:O,9,FALSE)/1000</f>
        <v>1.6039999999999999E-2</v>
      </c>
      <c r="AI848" s="158"/>
    </row>
    <row r="849" spans="23:35">
      <c r="W849" s="4" t="s">
        <v>3405</v>
      </c>
      <c r="X849" s="4" t="s">
        <v>3363</v>
      </c>
      <c r="Y849" s="151" t="str">
        <f t="shared" si="73"/>
        <v>E6290</v>
      </c>
      <c r="Z849" s="4" t="s">
        <v>587</v>
      </c>
      <c r="AA849" s="114" t="s">
        <v>588</v>
      </c>
      <c r="AB849" s="4" t="s">
        <v>506</v>
      </c>
      <c r="AC849" s="4" t="s">
        <v>507</v>
      </c>
      <c r="AD849" s="4" t="s">
        <v>508</v>
      </c>
      <c r="AE849" s="4" t="s">
        <v>509</v>
      </c>
      <c r="AF849" s="4" t="s">
        <v>589</v>
      </c>
      <c r="AG849" s="115">
        <f>+VLOOKUP(Y849,B:O,10,FALSE)/1000</f>
        <v>1.9759999999999996E-2</v>
      </c>
      <c r="AI849" s="158"/>
    </row>
    <row r="850" spans="23:35">
      <c r="W850" s="4" t="s">
        <v>3405</v>
      </c>
      <c r="X850" s="4" t="s">
        <v>3364</v>
      </c>
      <c r="Y850" s="151" t="str">
        <f t="shared" si="73"/>
        <v>E6290</v>
      </c>
      <c r="Z850" s="4" t="s">
        <v>587</v>
      </c>
      <c r="AA850" s="114" t="s">
        <v>588</v>
      </c>
      <c r="AB850" s="4" t="s">
        <v>506</v>
      </c>
      <c r="AC850" s="4" t="s">
        <v>507</v>
      </c>
      <c r="AD850" s="4" t="s">
        <v>508</v>
      </c>
      <c r="AE850" s="4" t="s">
        <v>509</v>
      </c>
      <c r="AF850" s="4" t="s">
        <v>589</v>
      </c>
      <c r="AG850" s="115">
        <f>+VLOOKUP(Y850,B:O,11,FALSE)/1000</f>
        <v>2.1879999999999997E-2</v>
      </c>
      <c r="AI850" s="158"/>
    </row>
    <row r="851" spans="23:35">
      <c r="W851" s="4" t="s">
        <v>3405</v>
      </c>
      <c r="X851" s="4" t="s">
        <v>3365</v>
      </c>
      <c r="Y851" s="151" t="str">
        <f t="shared" si="73"/>
        <v>E6290</v>
      </c>
      <c r="Z851" s="4" t="s">
        <v>587</v>
      </c>
      <c r="AA851" s="114" t="s">
        <v>588</v>
      </c>
      <c r="AB851" s="4" t="s">
        <v>506</v>
      </c>
      <c r="AC851" s="4" t="s">
        <v>507</v>
      </c>
      <c r="AD851" s="4" t="s">
        <v>508</v>
      </c>
      <c r="AE851" s="4" t="s">
        <v>509</v>
      </c>
      <c r="AF851" s="4" t="s">
        <v>589</v>
      </c>
      <c r="AG851" s="115">
        <f>+VLOOKUP(Y851,B:O,12,FALSE)/1000</f>
        <v>2.2679999999999999E-2</v>
      </c>
      <c r="AI851" s="158"/>
    </row>
    <row r="852" spans="23:35">
      <c r="W852" s="4" t="s">
        <v>3405</v>
      </c>
      <c r="X852" s="4" t="s">
        <v>3366</v>
      </c>
      <c r="Y852" s="151" t="str">
        <f t="shared" si="73"/>
        <v>E6290</v>
      </c>
      <c r="Z852" s="4" t="s">
        <v>587</v>
      </c>
      <c r="AA852" s="114" t="s">
        <v>588</v>
      </c>
      <c r="AB852" s="4" t="s">
        <v>506</v>
      </c>
      <c r="AC852" s="4" t="s">
        <v>507</v>
      </c>
      <c r="AD852" s="4" t="s">
        <v>508</v>
      </c>
      <c r="AE852" s="4" t="s">
        <v>509</v>
      </c>
      <c r="AF852" s="4" t="s">
        <v>589</v>
      </c>
      <c r="AG852" s="115">
        <f>+VLOOKUP(Y852,B:O,13,FALSE)/1000</f>
        <v>3.8900000000000007E-3</v>
      </c>
      <c r="AI852" s="158"/>
    </row>
    <row r="853" spans="23:35">
      <c r="W853" s="4" t="s">
        <v>3405</v>
      </c>
      <c r="X853" s="4" t="s">
        <v>3367</v>
      </c>
      <c r="Y853" s="151" t="str">
        <f t="shared" si="73"/>
        <v>E6290</v>
      </c>
      <c r="Z853" s="4" t="s">
        <v>587</v>
      </c>
      <c r="AA853" s="114" t="s">
        <v>588</v>
      </c>
      <c r="AB853" s="4" t="s">
        <v>506</v>
      </c>
      <c r="AC853" s="4" t="s">
        <v>507</v>
      </c>
      <c r="AD853" s="4" t="s">
        <v>508</v>
      </c>
      <c r="AE853" s="4" t="s">
        <v>509</v>
      </c>
      <c r="AF853" s="4" t="s">
        <v>589</v>
      </c>
      <c r="AG853" s="115">
        <f>+VLOOKUP(Y853,B:O,14,FALSE)/1000</f>
        <v>-7.5400000000000059E-3</v>
      </c>
      <c r="AI853" s="158"/>
    </row>
    <row r="854" spans="23:35">
      <c r="W854" s="4" t="s">
        <v>3405</v>
      </c>
      <c r="X854" s="3" t="s">
        <v>3356</v>
      </c>
      <c r="Y854" s="150" t="str">
        <f>INDEX($B$3:$O$110,97,1)</f>
        <v>E6310</v>
      </c>
      <c r="Z854" s="4" t="s">
        <v>587</v>
      </c>
      <c r="AA854" s="114" t="s">
        <v>588</v>
      </c>
      <c r="AB854" s="4" t="s">
        <v>506</v>
      </c>
      <c r="AC854" s="4" t="s">
        <v>507</v>
      </c>
      <c r="AD854" s="4" t="s">
        <v>508</v>
      </c>
      <c r="AE854" s="4" t="s">
        <v>509</v>
      </c>
      <c r="AF854" s="4" t="s">
        <v>589</v>
      </c>
      <c r="AG854" s="115">
        <f>+VLOOKUP(Y854,B:O,3,FALSE)/1000</f>
        <v>-4.0539999999999994E-3</v>
      </c>
      <c r="AI854" s="158"/>
    </row>
    <row r="855" spans="23:35">
      <c r="W855" s="4" t="s">
        <v>3405</v>
      </c>
      <c r="X855" s="4" t="s">
        <v>3357</v>
      </c>
      <c r="Y855" s="151" t="str">
        <f>Y854</f>
        <v>E6310</v>
      </c>
      <c r="Z855" s="4" t="s">
        <v>587</v>
      </c>
      <c r="AA855" s="114" t="s">
        <v>588</v>
      </c>
      <c r="AB855" s="4" t="s">
        <v>506</v>
      </c>
      <c r="AC855" s="4" t="s">
        <v>507</v>
      </c>
      <c r="AD855" s="4" t="s">
        <v>508</v>
      </c>
      <c r="AE855" s="4" t="s">
        <v>509</v>
      </c>
      <c r="AF855" s="4" t="s">
        <v>589</v>
      </c>
      <c r="AG855" s="115">
        <f>+VLOOKUP(Y855,B:O,4,FALSE)/1000</f>
        <v>-5.0239999999999981E-3</v>
      </c>
      <c r="AI855" s="158"/>
    </row>
    <row r="856" spans="23:35">
      <c r="W856" s="4" t="s">
        <v>3405</v>
      </c>
      <c r="X856" s="4" t="s">
        <v>3358</v>
      </c>
      <c r="Y856" s="151" t="str">
        <f t="shared" ref="Y856:Y865" si="74">Y855</f>
        <v>E6310</v>
      </c>
      <c r="Z856" s="4" t="s">
        <v>587</v>
      </c>
      <c r="AA856" s="114" t="s">
        <v>588</v>
      </c>
      <c r="AB856" s="4" t="s">
        <v>506</v>
      </c>
      <c r="AC856" s="4" t="s">
        <v>507</v>
      </c>
      <c r="AD856" s="4" t="s">
        <v>508</v>
      </c>
      <c r="AE856" s="4" t="s">
        <v>509</v>
      </c>
      <c r="AF856" s="4" t="s">
        <v>589</v>
      </c>
      <c r="AG856" s="115">
        <f>+VLOOKUP(Y856,B:O,5,FALSE)/1000</f>
        <v>7.196000000000001E-3</v>
      </c>
      <c r="AI856" s="158"/>
    </row>
    <row r="857" spans="23:35">
      <c r="W857" s="4" t="s">
        <v>3405</v>
      </c>
      <c r="X857" s="4" t="s">
        <v>3359</v>
      </c>
      <c r="Y857" s="151" t="str">
        <f t="shared" si="74"/>
        <v>E6310</v>
      </c>
      <c r="Z857" s="4" t="s">
        <v>587</v>
      </c>
      <c r="AA857" s="114" t="s">
        <v>588</v>
      </c>
      <c r="AB857" s="4" t="s">
        <v>506</v>
      </c>
      <c r="AC857" s="4" t="s">
        <v>507</v>
      </c>
      <c r="AD857" s="4" t="s">
        <v>508</v>
      </c>
      <c r="AE857" s="4" t="s">
        <v>509</v>
      </c>
      <c r="AF857" s="4" t="s">
        <v>589</v>
      </c>
      <c r="AG857" s="115">
        <f>+VLOOKUP(Y857,B:O,6,FALSE)/1000</f>
        <v>2.1586000000000008E-2</v>
      </c>
      <c r="AI857" s="158"/>
    </row>
    <row r="858" spans="23:35">
      <c r="W858" s="4" t="s">
        <v>3405</v>
      </c>
      <c r="X858" s="4" t="s">
        <v>3360</v>
      </c>
      <c r="Y858" s="151" t="str">
        <f t="shared" si="74"/>
        <v>E6310</v>
      </c>
      <c r="Z858" s="4" t="s">
        <v>587</v>
      </c>
      <c r="AA858" s="114" t="s">
        <v>588</v>
      </c>
      <c r="AB858" s="4" t="s">
        <v>506</v>
      </c>
      <c r="AC858" s="4" t="s">
        <v>507</v>
      </c>
      <c r="AD858" s="4" t="s">
        <v>508</v>
      </c>
      <c r="AE858" s="4" t="s">
        <v>509</v>
      </c>
      <c r="AF858" s="4" t="s">
        <v>589</v>
      </c>
      <c r="AG858" s="115">
        <f>+VLOOKUP(Y858,B:O,7,FALSE)/1000</f>
        <v>3.090600000000001E-2</v>
      </c>
      <c r="AI858" s="158"/>
    </row>
    <row r="859" spans="23:35">
      <c r="W859" s="4" t="s">
        <v>3405</v>
      </c>
      <c r="X859" s="4" t="s">
        <v>3361</v>
      </c>
      <c r="Y859" s="151" t="str">
        <f t="shared" si="74"/>
        <v>E6310</v>
      </c>
      <c r="Z859" s="4" t="s">
        <v>587</v>
      </c>
      <c r="AA859" s="114" t="s">
        <v>588</v>
      </c>
      <c r="AB859" s="4" t="s">
        <v>506</v>
      </c>
      <c r="AC859" s="4" t="s">
        <v>507</v>
      </c>
      <c r="AD859" s="4" t="s">
        <v>508</v>
      </c>
      <c r="AE859" s="4" t="s">
        <v>509</v>
      </c>
      <c r="AF859" s="4" t="s">
        <v>589</v>
      </c>
      <c r="AG859" s="115">
        <f>+VLOOKUP(Y859,B:O,8,FALSE)/1000</f>
        <v>2.5756000000000005E-2</v>
      </c>
      <c r="AI859" s="158"/>
    </row>
    <row r="860" spans="23:35">
      <c r="W860" s="4" t="s">
        <v>3405</v>
      </c>
      <c r="X860" s="4" t="s">
        <v>3362</v>
      </c>
      <c r="Y860" s="151" t="str">
        <f t="shared" si="74"/>
        <v>E6310</v>
      </c>
      <c r="Z860" s="4" t="s">
        <v>587</v>
      </c>
      <c r="AA860" s="114" t="s">
        <v>588</v>
      </c>
      <c r="AB860" s="4" t="s">
        <v>506</v>
      </c>
      <c r="AC860" s="4" t="s">
        <v>507</v>
      </c>
      <c r="AD860" s="4" t="s">
        <v>508</v>
      </c>
      <c r="AE860" s="4" t="s">
        <v>509</v>
      </c>
      <c r="AF860" s="4" t="s">
        <v>589</v>
      </c>
      <c r="AG860" s="115">
        <f>+VLOOKUP(Y860,B:O,9,FALSE)/1000</f>
        <v>2.3696000000000009E-2</v>
      </c>
      <c r="AI860" s="158"/>
    </row>
    <row r="861" spans="23:35">
      <c r="W861" s="4" t="s">
        <v>3405</v>
      </c>
      <c r="X861" s="4" t="s">
        <v>3363</v>
      </c>
      <c r="Y861" s="151" t="str">
        <f t="shared" si="74"/>
        <v>E6310</v>
      </c>
      <c r="Z861" s="4" t="s">
        <v>587</v>
      </c>
      <c r="AA861" s="114" t="s">
        <v>588</v>
      </c>
      <c r="AB861" s="4" t="s">
        <v>506</v>
      </c>
      <c r="AC861" s="4" t="s">
        <v>507</v>
      </c>
      <c r="AD861" s="4" t="s">
        <v>508</v>
      </c>
      <c r="AE861" s="4" t="s">
        <v>509</v>
      </c>
      <c r="AF861" s="4" t="s">
        <v>589</v>
      </c>
      <c r="AG861" s="115">
        <f>+VLOOKUP(Y861,B:O,10,FALSE)/1000</f>
        <v>2.7416000000000006E-2</v>
      </c>
      <c r="AI861" s="158"/>
    </row>
    <row r="862" spans="23:35">
      <c r="W862" s="4" t="s">
        <v>3405</v>
      </c>
      <c r="X862" s="4" t="s">
        <v>3364</v>
      </c>
      <c r="Y862" s="151" t="str">
        <f t="shared" si="74"/>
        <v>E6310</v>
      </c>
      <c r="Z862" s="4" t="s">
        <v>587</v>
      </c>
      <c r="AA862" s="114" t="s">
        <v>588</v>
      </c>
      <c r="AB862" s="4" t="s">
        <v>506</v>
      </c>
      <c r="AC862" s="4" t="s">
        <v>507</v>
      </c>
      <c r="AD862" s="4" t="s">
        <v>508</v>
      </c>
      <c r="AE862" s="4" t="s">
        <v>509</v>
      </c>
      <c r="AF862" s="4" t="s">
        <v>589</v>
      </c>
      <c r="AG862" s="115">
        <f>+VLOOKUP(Y862,B:O,11,FALSE)/1000</f>
        <v>2.9536000000000003E-2</v>
      </c>
      <c r="AI862" s="158"/>
    </row>
    <row r="863" spans="23:35">
      <c r="W863" s="4" t="s">
        <v>3405</v>
      </c>
      <c r="X863" s="4" t="s">
        <v>3365</v>
      </c>
      <c r="Y863" s="151" t="str">
        <f t="shared" si="74"/>
        <v>E6310</v>
      </c>
      <c r="Z863" s="4" t="s">
        <v>587</v>
      </c>
      <c r="AA863" s="114" t="s">
        <v>588</v>
      </c>
      <c r="AB863" s="4" t="s">
        <v>506</v>
      </c>
      <c r="AC863" s="4" t="s">
        <v>507</v>
      </c>
      <c r="AD863" s="4" t="s">
        <v>508</v>
      </c>
      <c r="AE863" s="4" t="s">
        <v>509</v>
      </c>
      <c r="AF863" s="4" t="s">
        <v>589</v>
      </c>
      <c r="AG863" s="115">
        <f>+VLOOKUP(Y863,B:O,12,FALSE)/1000</f>
        <v>3.0336000000000009E-2</v>
      </c>
      <c r="AI863" s="158"/>
    </row>
    <row r="864" spans="23:35">
      <c r="W864" s="4" t="s">
        <v>3405</v>
      </c>
      <c r="X864" s="4" t="s">
        <v>3366</v>
      </c>
      <c r="Y864" s="151" t="str">
        <f t="shared" si="74"/>
        <v>E6310</v>
      </c>
      <c r="Z864" s="4" t="s">
        <v>587</v>
      </c>
      <c r="AA864" s="114" t="s">
        <v>588</v>
      </c>
      <c r="AB864" s="4" t="s">
        <v>506</v>
      </c>
      <c r="AC864" s="4" t="s">
        <v>507</v>
      </c>
      <c r="AD864" s="4" t="s">
        <v>508</v>
      </c>
      <c r="AE864" s="4" t="s">
        <v>509</v>
      </c>
      <c r="AF864" s="4" t="s">
        <v>589</v>
      </c>
      <c r="AG864" s="115">
        <f>+VLOOKUP(Y864,B:O,13,FALSE)/1000</f>
        <v>-1.1369999999999995E-2</v>
      </c>
      <c r="AI864" s="158"/>
    </row>
    <row r="865" spans="23:35">
      <c r="W865" s="4" t="s">
        <v>3405</v>
      </c>
      <c r="X865" s="4" t="s">
        <v>3367</v>
      </c>
      <c r="Y865" s="151" t="str">
        <f t="shared" si="74"/>
        <v>E6310</v>
      </c>
      <c r="Z865" s="4" t="s">
        <v>587</v>
      </c>
      <c r="AA865" s="114" t="s">
        <v>588</v>
      </c>
      <c r="AB865" s="4" t="s">
        <v>506</v>
      </c>
      <c r="AC865" s="4" t="s">
        <v>507</v>
      </c>
      <c r="AD865" s="4" t="s">
        <v>508</v>
      </c>
      <c r="AE865" s="4" t="s">
        <v>509</v>
      </c>
      <c r="AF865" s="4" t="s">
        <v>589</v>
      </c>
      <c r="AG865" s="115">
        <f>+VLOOKUP(Y865,B:O,14,FALSE)/1000</f>
        <v>-3.3540000000000007E-2</v>
      </c>
      <c r="AI865" s="158"/>
    </row>
    <row r="866" spans="23:35">
      <c r="W866" s="4" t="s">
        <v>3405</v>
      </c>
      <c r="X866" s="3" t="s">
        <v>3356</v>
      </c>
      <c r="Y866" s="150" t="str">
        <f>INDEX($B$3:$O$110,98,1)</f>
        <v>E6330</v>
      </c>
      <c r="Z866" s="4" t="s">
        <v>587</v>
      </c>
      <c r="AA866" s="114" t="s">
        <v>588</v>
      </c>
      <c r="AB866" s="4" t="s">
        <v>506</v>
      </c>
      <c r="AC866" s="4" t="s">
        <v>507</v>
      </c>
      <c r="AD866" s="4" t="s">
        <v>508</v>
      </c>
      <c r="AE866" s="4" t="s">
        <v>509</v>
      </c>
      <c r="AF866" s="4" t="s">
        <v>589</v>
      </c>
      <c r="AG866" s="743">
        <v>0</v>
      </c>
      <c r="AI866" s="158"/>
    </row>
    <row r="867" spans="23:35">
      <c r="W867" s="4" t="s">
        <v>3405</v>
      </c>
      <c r="X867" s="4" t="s">
        <v>3357</v>
      </c>
      <c r="Y867" s="151" t="str">
        <f>Y866</f>
        <v>E6330</v>
      </c>
      <c r="Z867" s="4" t="s">
        <v>587</v>
      </c>
      <c r="AA867" s="114" t="s">
        <v>588</v>
      </c>
      <c r="AB867" s="4" t="s">
        <v>506</v>
      </c>
      <c r="AC867" s="4" t="s">
        <v>507</v>
      </c>
      <c r="AD867" s="4" t="s">
        <v>508</v>
      </c>
      <c r="AE867" s="4" t="s">
        <v>509</v>
      </c>
      <c r="AF867" s="4" t="s">
        <v>589</v>
      </c>
      <c r="AG867" s="743">
        <v>0</v>
      </c>
      <c r="AI867" s="158"/>
    </row>
    <row r="868" spans="23:35">
      <c r="W868" s="4" t="s">
        <v>3405</v>
      </c>
      <c r="X868" s="4" t="s">
        <v>3358</v>
      </c>
      <c r="Y868" s="151" t="str">
        <f t="shared" ref="Y868:Y877" si="75">Y867</f>
        <v>E6330</v>
      </c>
      <c r="Z868" s="4" t="s">
        <v>587</v>
      </c>
      <c r="AA868" s="114" t="s">
        <v>588</v>
      </c>
      <c r="AB868" s="4" t="s">
        <v>506</v>
      </c>
      <c r="AC868" s="4" t="s">
        <v>507</v>
      </c>
      <c r="AD868" s="4" t="s">
        <v>508</v>
      </c>
      <c r="AE868" s="4" t="s">
        <v>509</v>
      </c>
      <c r="AF868" s="4" t="s">
        <v>589</v>
      </c>
      <c r="AG868" s="743">
        <v>0</v>
      </c>
      <c r="AI868" s="158"/>
    </row>
    <row r="869" spans="23:35">
      <c r="W869" s="4" t="s">
        <v>3405</v>
      </c>
      <c r="X869" s="4" t="s">
        <v>3359</v>
      </c>
      <c r="Y869" s="151" t="str">
        <f t="shared" si="75"/>
        <v>E6330</v>
      </c>
      <c r="Z869" s="4" t="s">
        <v>587</v>
      </c>
      <c r="AA869" s="114" t="s">
        <v>588</v>
      </c>
      <c r="AB869" s="4" t="s">
        <v>506</v>
      </c>
      <c r="AC869" s="4" t="s">
        <v>507</v>
      </c>
      <c r="AD869" s="4" t="s">
        <v>508</v>
      </c>
      <c r="AE869" s="4" t="s">
        <v>509</v>
      </c>
      <c r="AF869" s="4" t="s">
        <v>589</v>
      </c>
      <c r="AG869" s="743">
        <v>0</v>
      </c>
      <c r="AI869" s="158"/>
    </row>
    <row r="870" spans="23:35">
      <c r="W870" s="4" t="s">
        <v>3405</v>
      </c>
      <c r="X870" s="4" t="s">
        <v>3360</v>
      </c>
      <c r="Y870" s="151" t="str">
        <f t="shared" si="75"/>
        <v>E6330</v>
      </c>
      <c r="Z870" s="4" t="s">
        <v>587</v>
      </c>
      <c r="AA870" s="114" t="s">
        <v>588</v>
      </c>
      <c r="AB870" s="4" t="s">
        <v>506</v>
      </c>
      <c r="AC870" s="4" t="s">
        <v>507</v>
      </c>
      <c r="AD870" s="4" t="s">
        <v>508</v>
      </c>
      <c r="AE870" s="4" t="s">
        <v>509</v>
      </c>
      <c r="AF870" s="4" t="s">
        <v>589</v>
      </c>
      <c r="AG870" s="743">
        <v>0</v>
      </c>
      <c r="AI870" s="158"/>
    </row>
    <row r="871" spans="23:35">
      <c r="W871" s="4" t="s">
        <v>3405</v>
      </c>
      <c r="X871" s="4" t="s">
        <v>3361</v>
      </c>
      <c r="Y871" s="151" t="str">
        <f t="shared" si="75"/>
        <v>E6330</v>
      </c>
      <c r="Z871" s="4" t="s">
        <v>587</v>
      </c>
      <c r="AA871" s="114" t="s">
        <v>588</v>
      </c>
      <c r="AB871" s="4" t="s">
        <v>506</v>
      </c>
      <c r="AC871" s="4" t="s">
        <v>507</v>
      </c>
      <c r="AD871" s="4" t="s">
        <v>508</v>
      </c>
      <c r="AE871" s="4" t="s">
        <v>509</v>
      </c>
      <c r="AF871" s="4" t="s">
        <v>589</v>
      </c>
      <c r="AG871" s="743">
        <v>0</v>
      </c>
      <c r="AI871" s="158"/>
    </row>
    <row r="872" spans="23:35">
      <c r="W872" s="4" t="s">
        <v>3405</v>
      </c>
      <c r="X872" s="4" t="s">
        <v>3362</v>
      </c>
      <c r="Y872" s="151" t="str">
        <f t="shared" si="75"/>
        <v>E6330</v>
      </c>
      <c r="Z872" s="4" t="s">
        <v>587</v>
      </c>
      <c r="AA872" s="114" t="s">
        <v>588</v>
      </c>
      <c r="AB872" s="4" t="s">
        <v>506</v>
      </c>
      <c r="AC872" s="4" t="s">
        <v>507</v>
      </c>
      <c r="AD872" s="4" t="s">
        <v>508</v>
      </c>
      <c r="AE872" s="4" t="s">
        <v>509</v>
      </c>
      <c r="AF872" s="4" t="s">
        <v>589</v>
      </c>
      <c r="AG872" s="743">
        <v>0</v>
      </c>
      <c r="AI872" s="158"/>
    </row>
    <row r="873" spans="23:35">
      <c r="W873" s="4" t="s">
        <v>3405</v>
      </c>
      <c r="X873" s="4" t="s">
        <v>3363</v>
      </c>
      <c r="Y873" s="151" t="str">
        <f t="shared" si="75"/>
        <v>E6330</v>
      </c>
      <c r="Z873" s="4" t="s">
        <v>587</v>
      </c>
      <c r="AA873" s="114" t="s">
        <v>588</v>
      </c>
      <c r="AB873" s="4" t="s">
        <v>506</v>
      </c>
      <c r="AC873" s="4" t="s">
        <v>507</v>
      </c>
      <c r="AD873" s="4" t="s">
        <v>508</v>
      </c>
      <c r="AE873" s="4" t="s">
        <v>509</v>
      </c>
      <c r="AF873" s="4" t="s">
        <v>589</v>
      </c>
      <c r="AG873" s="743">
        <v>0</v>
      </c>
      <c r="AI873" s="158"/>
    </row>
    <row r="874" spans="23:35">
      <c r="W874" s="4" t="s">
        <v>3405</v>
      </c>
      <c r="X874" s="4" t="s">
        <v>3364</v>
      </c>
      <c r="Y874" s="151" t="str">
        <f t="shared" si="75"/>
        <v>E6330</v>
      </c>
      <c r="Z874" s="4" t="s">
        <v>587</v>
      </c>
      <c r="AA874" s="114" t="s">
        <v>588</v>
      </c>
      <c r="AB874" s="4" t="s">
        <v>506</v>
      </c>
      <c r="AC874" s="4" t="s">
        <v>507</v>
      </c>
      <c r="AD874" s="4" t="s">
        <v>508</v>
      </c>
      <c r="AE874" s="4" t="s">
        <v>509</v>
      </c>
      <c r="AF874" s="4" t="s">
        <v>589</v>
      </c>
      <c r="AG874" s="743">
        <v>0</v>
      </c>
      <c r="AI874" s="158"/>
    </row>
    <row r="875" spans="23:35">
      <c r="W875" s="4" t="s">
        <v>3405</v>
      </c>
      <c r="X875" s="4" t="s">
        <v>3365</v>
      </c>
      <c r="Y875" s="151" t="str">
        <f t="shared" si="75"/>
        <v>E6330</v>
      </c>
      <c r="Z875" s="4" t="s">
        <v>587</v>
      </c>
      <c r="AA875" s="114" t="s">
        <v>588</v>
      </c>
      <c r="AB875" s="4" t="s">
        <v>506</v>
      </c>
      <c r="AC875" s="4" t="s">
        <v>507</v>
      </c>
      <c r="AD875" s="4" t="s">
        <v>508</v>
      </c>
      <c r="AE875" s="4" t="s">
        <v>509</v>
      </c>
      <c r="AF875" s="4" t="s">
        <v>589</v>
      </c>
      <c r="AG875" s="743">
        <v>0</v>
      </c>
      <c r="AI875" s="158"/>
    </row>
    <row r="876" spans="23:35">
      <c r="W876" s="4" t="s">
        <v>3405</v>
      </c>
      <c r="X876" s="4" t="s">
        <v>3366</v>
      </c>
      <c r="Y876" s="151" t="str">
        <f t="shared" si="75"/>
        <v>E6330</v>
      </c>
      <c r="Z876" s="4" t="s">
        <v>587</v>
      </c>
      <c r="AA876" s="114" t="s">
        <v>588</v>
      </c>
      <c r="AB876" s="4" t="s">
        <v>506</v>
      </c>
      <c r="AC876" s="4" t="s">
        <v>507</v>
      </c>
      <c r="AD876" s="4" t="s">
        <v>508</v>
      </c>
      <c r="AE876" s="4" t="s">
        <v>509</v>
      </c>
      <c r="AF876" s="4" t="s">
        <v>589</v>
      </c>
      <c r="AG876" s="743">
        <v>0</v>
      </c>
      <c r="AI876" s="158"/>
    </row>
    <row r="877" spans="23:35">
      <c r="W877" s="4" t="s">
        <v>3405</v>
      </c>
      <c r="X877" s="4" t="s">
        <v>3367</v>
      </c>
      <c r="Y877" s="151" t="str">
        <f t="shared" si="75"/>
        <v>E6330</v>
      </c>
      <c r="Z877" s="4" t="s">
        <v>587</v>
      </c>
      <c r="AA877" s="114" t="s">
        <v>588</v>
      </c>
      <c r="AB877" s="4" t="s">
        <v>506</v>
      </c>
      <c r="AC877" s="4" t="s">
        <v>507</v>
      </c>
      <c r="AD877" s="4" t="s">
        <v>508</v>
      </c>
      <c r="AE877" s="4" t="s">
        <v>509</v>
      </c>
      <c r="AF877" s="4" t="s">
        <v>589</v>
      </c>
      <c r="AG877" s="743">
        <v>0</v>
      </c>
      <c r="AI877" s="158"/>
    </row>
    <row r="878" spans="23:35">
      <c r="W878" t="s">
        <v>3405</v>
      </c>
      <c r="X878" s="3" t="s">
        <v>3356</v>
      </c>
      <c r="Y878" s="3" t="str">
        <f>INDEX($B$3:$O$110,99,1)</f>
        <v>E6340</v>
      </c>
      <c r="Z878" t="s">
        <v>587</v>
      </c>
      <c r="AA878" t="s">
        <v>588</v>
      </c>
      <c r="AB878" t="s">
        <v>506</v>
      </c>
      <c r="AC878" t="s">
        <v>507</v>
      </c>
      <c r="AD878" t="s">
        <v>508</v>
      </c>
      <c r="AE878" t="s">
        <v>509</v>
      </c>
      <c r="AF878" t="s">
        <v>589</v>
      </c>
      <c r="AG878" s="743">
        <v>0</v>
      </c>
      <c r="AI878" s="158"/>
    </row>
    <row r="879" spans="23:35">
      <c r="W879" t="s">
        <v>3405</v>
      </c>
      <c r="X879" s="4" t="s">
        <v>3357</v>
      </c>
      <c r="Y879" s="4" t="str">
        <f>Y878</f>
        <v>E6340</v>
      </c>
      <c r="Z879" t="s">
        <v>587</v>
      </c>
      <c r="AA879" t="s">
        <v>588</v>
      </c>
      <c r="AB879" t="s">
        <v>506</v>
      </c>
      <c r="AC879" t="s">
        <v>507</v>
      </c>
      <c r="AD879" t="s">
        <v>508</v>
      </c>
      <c r="AE879" t="s">
        <v>509</v>
      </c>
      <c r="AF879" t="s">
        <v>589</v>
      </c>
      <c r="AG879" s="743">
        <v>0</v>
      </c>
      <c r="AI879" s="158"/>
    </row>
    <row r="880" spans="23:35">
      <c r="W880" t="s">
        <v>3405</v>
      </c>
      <c r="X880" s="4" t="s">
        <v>3358</v>
      </c>
      <c r="Y880" s="4" t="str">
        <f t="shared" ref="Y880:Y889" si="76">Y879</f>
        <v>E6340</v>
      </c>
      <c r="Z880" t="s">
        <v>587</v>
      </c>
      <c r="AA880" t="s">
        <v>588</v>
      </c>
      <c r="AB880" t="s">
        <v>506</v>
      </c>
      <c r="AC880" t="s">
        <v>507</v>
      </c>
      <c r="AD880" t="s">
        <v>508</v>
      </c>
      <c r="AE880" t="s">
        <v>509</v>
      </c>
      <c r="AF880" t="s">
        <v>589</v>
      </c>
      <c r="AG880" s="743">
        <v>0</v>
      </c>
      <c r="AI880" s="158"/>
    </row>
    <row r="881" spans="23:35">
      <c r="W881" t="s">
        <v>3405</v>
      </c>
      <c r="X881" s="4" t="s">
        <v>3359</v>
      </c>
      <c r="Y881" s="4" t="str">
        <f t="shared" si="76"/>
        <v>E6340</v>
      </c>
      <c r="Z881" t="s">
        <v>587</v>
      </c>
      <c r="AA881" t="s">
        <v>588</v>
      </c>
      <c r="AB881" t="s">
        <v>506</v>
      </c>
      <c r="AC881" t="s">
        <v>507</v>
      </c>
      <c r="AD881" t="s">
        <v>508</v>
      </c>
      <c r="AE881" t="s">
        <v>509</v>
      </c>
      <c r="AF881" t="s">
        <v>589</v>
      </c>
      <c r="AG881" s="743">
        <v>0</v>
      </c>
      <c r="AI881" s="158"/>
    </row>
    <row r="882" spans="23:35">
      <c r="W882" t="s">
        <v>3405</v>
      </c>
      <c r="X882" s="4" t="s">
        <v>3360</v>
      </c>
      <c r="Y882" s="4" t="str">
        <f t="shared" si="76"/>
        <v>E6340</v>
      </c>
      <c r="Z882" t="s">
        <v>587</v>
      </c>
      <c r="AA882" t="s">
        <v>588</v>
      </c>
      <c r="AB882" t="s">
        <v>506</v>
      </c>
      <c r="AC882" t="s">
        <v>507</v>
      </c>
      <c r="AD882" t="s">
        <v>508</v>
      </c>
      <c r="AE882" t="s">
        <v>509</v>
      </c>
      <c r="AF882" t="s">
        <v>589</v>
      </c>
      <c r="AG882" s="743">
        <v>0</v>
      </c>
      <c r="AI882" s="158"/>
    </row>
    <row r="883" spans="23:35">
      <c r="W883" t="s">
        <v>3405</v>
      </c>
      <c r="X883" s="4" t="s">
        <v>3361</v>
      </c>
      <c r="Y883" s="4" t="str">
        <f t="shared" si="76"/>
        <v>E6340</v>
      </c>
      <c r="Z883" t="s">
        <v>587</v>
      </c>
      <c r="AA883" t="s">
        <v>588</v>
      </c>
      <c r="AB883" t="s">
        <v>506</v>
      </c>
      <c r="AC883" t="s">
        <v>507</v>
      </c>
      <c r="AD883" t="s">
        <v>508</v>
      </c>
      <c r="AE883" t="s">
        <v>509</v>
      </c>
      <c r="AF883" t="s">
        <v>589</v>
      </c>
      <c r="AG883" s="743">
        <v>0</v>
      </c>
      <c r="AI883" s="158"/>
    </row>
    <row r="884" spans="23:35">
      <c r="W884" t="s">
        <v>3405</v>
      </c>
      <c r="X884" s="4" t="s">
        <v>3362</v>
      </c>
      <c r="Y884" s="4" t="str">
        <f t="shared" si="76"/>
        <v>E6340</v>
      </c>
      <c r="Z884" t="s">
        <v>587</v>
      </c>
      <c r="AA884" t="s">
        <v>588</v>
      </c>
      <c r="AB884" t="s">
        <v>506</v>
      </c>
      <c r="AC884" t="s">
        <v>507</v>
      </c>
      <c r="AD884" t="s">
        <v>508</v>
      </c>
      <c r="AE884" t="s">
        <v>509</v>
      </c>
      <c r="AF884" t="s">
        <v>589</v>
      </c>
      <c r="AG884" s="743">
        <v>0</v>
      </c>
      <c r="AI884" s="158"/>
    </row>
    <row r="885" spans="23:35">
      <c r="W885" t="s">
        <v>3405</v>
      </c>
      <c r="X885" s="4" t="s">
        <v>3363</v>
      </c>
      <c r="Y885" s="4" t="str">
        <f t="shared" si="76"/>
        <v>E6340</v>
      </c>
      <c r="Z885" t="s">
        <v>587</v>
      </c>
      <c r="AA885" t="s">
        <v>588</v>
      </c>
      <c r="AB885" t="s">
        <v>506</v>
      </c>
      <c r="AC885" t="s">
        <v>507</v>
      </c>
      <c r="AD885" t="s">
        <v>508</v>
      </c>
      <c r="AE885" t="s">
        <v>509</v>
      </c>
      <c r="AF885" t="s">
        <v>589</v>
      </c>
      <c r="AG885" s="743">
        <v>0</v>
      </c>
      <c r="AI885" s="158"/>
    </row>
    <row r="886" spans="23:35">
      <c r="W886" t="s">
        <v>3405</v>
      </c>
      <c r="X886" s="4" t="s">
        <v>3364</v>
      </c>
      <c r="Y886" s="4" t="str">
        <f t="shared" si="76"/>
        <v>E6340</v>
      </c>
      <c r="Z886" t="s">
        <v>587</v>
      </c>
      <c r="AA886" t="s">
        <v>588</v>
      </c>
      <c r="AB886" t="s">
        <v>506</v>
      </c>
      <c r="AC886" t="s">
        <v>507</v>
      </c>
      <c r="AD886" t="s">
        <v>508</v>
      </c>
      <c r="AE886" t="s">
        <v>509</v>
      </c>
      <c r="AF886" t="s">
        <v>589</v>
      </c>
      <c r="AG886" s="743">
        <v>0</v>
      </c>
      <c r="AI886" s="158"/>
    </row>
    <row r="887" spans="23:35">
      <c r="W887" t="s">
        <v>3405</v>
      </c>
      <c r="X887" s="4" t="s">
        <v>3365</v>
      </c>
      <c r="Y887" s="4" t="str">
        <f t="shared" si="76"/>
        <v>E6340</v>
      </c>
      <c r="Z887" t="s">
        <v>587</v>
      </c>
      <c r="AA887" t="s">
        <v>588</v>
      </c>
      <c r="AB887" t="s">
        <v>506</v>
      </c>
      <c r="AC887" t="s">
        <v>507</v>
      </c>
      <c r="AD887" t="s">
        <v>508</v>
      </c>
      <c r="AE887" t="s">
        <v>509</v>
      </c>
      <c r="AF887" t="s">
        <v>589</v>
      </c>
      <c r="AG887" s="743">
        <v>0</v>
      </c>
      <c r="AI887" s="158"/>
    </row>
    <row r="888" spans="23:35">
      <c r="W888" t="s">
        <v>3405</v>
      </c>
      <c r="X888" s="4" t="s">
        <v>3366</v>
      </c>
      <c r="Y888" s="4" t="str">
        <f t="shared" si="76"/>
        <v>E6340</v>
      </c>
      <c r="Z888" t="s">
        <v>587</v>
      </c>
      <c r="AA888" t="s">
        <v>588</v>
      </c>
      <c r="AB888" t="s">
        <v>506</v>
      </c>
      <c r="AC888" t="s">
        <v>507</v>
      </c>
      <c r="AD888" t="s">
        <v>508</v>
      </c>
      <c r="AE888" t="s">
        <v>509</v>
      </c>
      <c r="AF888" t="s">
        <v>589</v>
      </c>
      <c r="AG888" s="743">
        <v>0</v>
      </c>
      <c r="AI888" s="158"/>
    </row>
    <row r="889" spans="23:35">
      <c r="W889" t="s">
        <v>3405</v>
      </c>
      <c r="X889" s="4" t="s">
        <v>3367</v>
      </c>
      <c r="Y889" s="4" t="str">
        <f t="shared" si="76"/>
        <v>E6340</v>
      </c>
      <c r="Z889" t="s">
        <v>587</v>
      </c>
      <c r="AA889" t="s">
        <v>588</v>
      </c>
      <c r="AB889" t="s">
        <v>506</v>
      </c>
      <c r="AC889" t="s">
        <v>507</v>
      </c>
      <c r="AD889" t="s">
        <v>508</v>
      </c>
      <c r="AE889" t="s">
        <v>509</v>
      </c>
      <c r="AF889" t="s">
        <v>589</v>
      </c>
      <c r="AG889" s="743">
        <v>0</v>
      </c>
      <c r="AI889" s="158"/>
    </row>
    <row r="890" spans="23:35">
      <c r="W890" t="s">
        <v>3405</v>
      </c>
      <c r="X890" s="4" t="s">
        <v>3356</v>
      </c>
      <c r="Y890" s="150" t="str">
        <f>INDEX($B$3:$O$110,100,1)</f>
        <v>E6350</v>
      </c>
      <c r="Z890" t="s">
        <v>587</v>
      </c>
      <c r="AA890" t="s">
        <v>588</v>
      </c>
      <c r="AB890" t="s">
        <v>506</v>
      </c>
      <c r="AC890" t="s">
        <v>507</v>
      </c>
      <c r="AD890" t="s">
        <v>508</v>
      </c>
      <c r="AE890" t="s">
        <v>509</v>
      </c>
      <c r="AF890" t="s">
        <v>589</v>
      </c>
      <c r="AG890" s="743">
        <v>0</v>
      </c>
      <c r="AI890" s="158"/>
    </row>
    <row r="891" spans="23:35">
      <c r="W891" t="s">
        <v>3405</v>
      </c>
      <c r="X891" s="4" t="s">
        <v>3357</v>
      </c>
      <c r="Y891" s="4" t="str">
        <f>Y890</f>
        <v>E6350</v>
      </c>
      <c r="Z891" t="s">
        <v>587</v>
      </c>
      <c r="AA891" t="s">
        <v>588</v>
      </c>
      <c r="AB891" t="s">
        <v>506</v>
      </c>
      <c r="AC891" t="s">
        <v>507</v>
      </c>
      <c r="AD891" t="s">
        <v>508</v>
      </c>
      <c r="AE891" t="s">
        <v>509</v>
      </c>
      <c r="AF891" t="s">
        <v>589</v>
      </c>
      <c r="AG891" s="743">
        <v>0</v>
      </c>
      <c r="AI891" s="158"/>
    </row>
    <row r="892" spans="23:35">
      <c r="W892" t="s">
        <v>3405</v>
      </c>
      <c r="X892" s="4" t="s">
        <v>3358</v>
      </c>
      <c r="Y892" s="4" t="str">
        <f t="shared" ref="Y892:Y901" si="77">Y891</f>
        <v>E6350</v>
      </c>
      <c r="Z892" t="s">
        <v>587</v>
      </c>
      <c r="AA892" t="s">
        <v>588</v>
      </c>
      <c r="AB892" t="s">
        <v>506</v>
      </c>
      <c r="AC892" t="s">
        <v>507</v>
      </c>
      <c r="AD892" t="s">
        <v>508</v>
      </c>
      <c r="AE892" t="s">
        <v>509</v>
      </c>
      <c r="AF892" t="s">
        <v>589</v>
      </c>
      <c r="AG892" s="743">
        <v>0</v>
      </c>
      <c r="AI892" s="158"/>
    </row>
    <row r="893" spans="23:35">
      <c r="W893" t="s">
        <v>3405</v>
      </c>
      <c r="X893" s="4" t="s">
        <v>3359</v>
      </c>
      <c r="Y893" s="4" t="str">
        <f t="shared" si="77"/>
        <v>E6350</v>
      </c>
      <c r="Z893" t="s">
        <v>587</v>
      </c>
      <c r="AA893" t="s">
        <v>588</v>
      </c>
      <c r="AB893" t="s">
        <v>506</v>
      </c>
      <c r="AC893" t="s">
        <v>507</v>
      </c>
      <c r="AD893" t="s">
        <v>508</v>
      </c>
      <c r="AE893" t="s">
        <v>509</v>
      </c>
      <c r="AF893" t="s">
        <v>589</v>
      </c>
      <c r="AG893" s="743">
        <v>0</v>
      </c>
      <c r="AI893" s="158"/>
    </row>
    <row r="894" spans="23:35">
      <c r="W894" t="s">
        <v>3405</v>
      </c>
      <c r="X894" s="4" t="s">
        <v>3360</v>
      </c>
      <c r="Y894" s="4" t="str">
        <f t="shared" si="77"/>
        <v>E6350</v>
      </c>
      <c r="Z894" t="s">
        <v>587</v>
      </c>
      <c r="AA894" t="s">
        <v>588</v>
      </c>
      <c r="AB894" t="s">
        <v>506</v>
      </c>
      <c r="AC894" t="s">
        <v>507</v>
      </c>
      <c r="AD894" t="s">
        <v>508</v>
      </c>
      <c r="AE894" t="s">
        <v>509</v>
      </c>
      <c r="AF894" t="s">
        <v>589</v>
      </c>
      <c r="AG894" s="743">
        <v>0</v>
      </c>
      <c r="AI894" s="158"/>
    </row>
    <row r="895" spans="23:35">
      <c r="W895" t="s">
        <v>3405</v>
      </c>
      <c r="X895" s="4" t="s">
        <v>3361</v>
      </c>
      <c r="Y895" s="4" t="str">
        <f t="shared" si="77"/>
        <v>E6350</v>
      </c>
      <c r="Z895" t="s">
        <v>587</v>
      </c>
      <c r="AA895" t="s">
        <v>588</v>
      </c>
      <c r="AB895" t="s">
        <v>506</v>
      </c>
      <c r="AC895" t="s">
        <v>507</v>
      </c>
      <c r="AD895" t="s">
        <v>508</v>
      </c>
      <c r="AE895" t="s">
        <v>509</v>
      </c>
      <c r="AF895" t="s">
        <v>589</v>
      </c>
      <c r="AG895" s="743">
        <v>0</v>
      </c>
      <c r="AI895" s="158"/>
    </row>
    <row r="896" spans="23:35">
      <c r="W896" t="s">
        <v>3405</v>
      </c>
      <c r="X896" s="4" t="s">
        <v>3362</v>
      </c>
      <c r="Y896" s="4" t="str">
        <f t="shared" si="77"/>
        <v>E6350</v>
      </c>
      <c r="Z896" t="s">
        <v>587</v>
      </c>
      <c r="AA896" t="s">
        <v>588</v>
      </c>
      <c r="AB896" t="s">
        <v>506</v>
      </c>
      <c r="AC896" t="s">
        <v>507</v>
      </c>
      <c r="AD896" t="s">
        <v>508</v>
      </c>
      <c r="AE896" t="s">
        <v>509</v>
      </c>
      <c r="AF896" t="s">
        <v>589</v>
      </c>
      <c r="AG896" s="743">
        <v>0</v>
      </c>
      <c r="AI896" s="158"/>
    </row>
    <row r="897" spans="23:35">
      <c r="W897" t="s">
        <v>3405</v>
      </c>
      <c r="X897" s="4" t="s">
        <v>3363</v>
      </c>
      <c r="Y897" s="4" t="str">
        <f t="shared" si="77"/>
        <v>E6350</v>
      </c>
      <c r="Z897" t="s">
        <v>587</v>
      </c>
      <c r="AA897" t="s">
        <v>588</v>
      </c>
      <c r="AB897" t="s">
        <v>506</v>
      </c>
      <c r="AC897" t="s">
        <v>507</v>
      </c>
      <c r="AD897" t="s">
        <v>508</v>
      </c>
      <c r="AE897" t="s">
        <v>509</v>
      </c>
      <c r="AF897" t="s">
        <v>589</v>
      </c>
      <c r="AG897" s="743">
        <v>0</v>
      </c>
      <c r="AI897" s="158"/>
    </row>
    <row r="898" spans="23:35">
      <c r="W898" t="s">
        <v>3405</v>
      </c>
      <c r="X898" s="4" t="s">
        <v>3364</v>
      </c>
      <c r="Y898" s="4" t="str">
        <f t="shared" si="77"/>
        <v>E6350</v>
      </c>
      <c r="Z898" t="s">
        <v>587</v>
      </c>
      <c r="AA898" t="s">
        <v>588</v>
      </c>
      <c r="AB898" t="s">
        <v>506</v>
      </c>
      <c r="AC898" t="s">
        <v>507</v>
      </c>
      <c r="AD898" t="s">
        <v>508</v>
      </c>
      <c r="AE898" t="s">
        <v>509</v>
      </c>
      <c r="AF898" t="s">
        <v>589</v>
      </c>
      <c r="AG898" s="743">
        <v>0</v>
      </c>
      <c r="AI898" s="158"/>
    </row>
    <row r="899" spans="23:35">
      <c r="W899" t="s">
        <v>3405</v>
      </c>
      <c r="X899" s="4" t="s">
        <v>3365</v>
      </c>
      <c r="Y899" s="4" t="str">
        <f t="shared" si="77"/>
        <v>E6350</v>
      </c>
      <c r="Z899" t="s">
        <v>587</v>
      </c>
      <c r="AA899" t="s">
        <v>588</v>
      </c>
      <c r="AB899" t="s">
        <v>506</v>
      </c>
      <c r="AC899" t="s">
        <v>507</v>
      </c>
      <c r="AD899" t="s">
        <v>508</v>
      </c>
      <c r="AE899" t="s">
        <v>509</v>
      </c>
      <c r="AF899" t="s">
        <v>589</v>
      </c>
      <c r="AG899" s="743">
        <v>0</v>
      </c>
      <c r="AI899" s="158"/>
    </row>
    <row r="900" spans="23:35">
      <c r="W900" t="s">
        <v>3405</v>
      </c>
      <c r="X900" s="4" t="s">
        <v>3366</v>
      </c>
      <c r="Y900" s="4" t="str">
        <f t="shared" si="77"/>
        <v>E6350</v>
      </c>
      <c r="Z900" t="s">
        <v>587</v>
      </c>
      <c r="AA900" t="s">
        <v>588</v>
      </c>
      <c r="AB900" t="s">
        <v>506</v>
      </c>
      <c r="AC900" t="s">
        <v>507</v>
      </c>
      <c r="AD900" t="s">
        <v>508</v>
      </c>
      <c r="AE900" t="s">
        <v>509</v>
      </c>
      <c r="AF900" t="s">
        <v>589</v>
      </c>
      <c r="AG900" s="743">
        <v>0</v>
      </c>
      <c r="AI900" s="158"/>
    </row>
    <row r="901" spans="23:35">
      <c r="W901" t="s">
        <v>3405</v>
      </c>
      <c r="X901" s="4" t="s">
        <v>3367</v>
      </c>
      <c r="Y901" s="4" t="str">
        <f t="shared" si="77"/>
        <v>E6350</v>
      </c>
      <c r="Z901" t="s">
        <v>587</v>
      </c>
      <c r="AA901" t="s">
        <v>588</v>
      </c>
      <c r="AB901" t="s">
        <v>506</v>
      </c>
      <c r="AC901" t="s">
        <v>507</v>
      </c>
      <c r="AD901" t="s">
        <v>508</v>
      </c>
      <c r="AE901" t="s">
        <v>509</v>
      </c>
      <c r="AF901" t="s">
        <v>589</v>
      </c>
      <c r="AG901" s="743">
        <v>0</v>
      </c>
      <c r="AI901" s="158"/>
    </row>
    <row r="902" spans="23:35">
      <c r="W902" t="s">
        <v>3405</v>
      </c>
      <c r="X902" s="4" t="s">
        <v>3356</v>
      </c>
      <c r="Y902" s="150" t="str">
        <f>INDEX($B$3:$O$110,101,1)</f>
        <v>E6360</v>
      </c>
      <c r="Z902" t="s">
        <v>587</v>
      </c>
      <c r="AA902" t="s">
        <v>588</v>
      </c>
      <c r="AB902" t="s">
        <v>506</v>
      </c>
      <c r="AC902" t="s">
        <v>507</v>
      </c>
      <c r="AD902" t="s">
        <v>508</v>
      </c>
      <c r="AE902" t="s">
        <v>509</v>
      </c>
      <c r="AF902" t="s">
        <v>589</v>
      </c>
      <c r="AG902" s="115">
        <f>+VLOOKUP(Y902,B:O,3,FALSE)/1000</f>
        <v>6.053239999999991E-3</v>
      </c>
      <c r="AI902" s="158"/>
    </row>
    <row r="903" spans="23:35">
      <c r="W903" t="s">
        <v>3405</v>
      </c>
      <c r="X903" s="4" t="s">
        <v>3357</v>
      </c>
      <c r="Y903" s="4" t="str">
        <f>Y902</f>
        <v>E6360</v>
      </c>
      <c r="Z903" t="s">
        <v>587</v>
      </c>
      <c r="AA903" t="s">
        <v>588</v>
      </c>
      <c r="AB903" t="s">
        <v>506</v>
      </c>
      <c r="AC903" t="s">
        <v>507</v>
      </c>
      <c r="AD903" t="s">
        <v>508</v>
      </c>
      <c r="AE903" t="s">
        <v>509</v>
      </c>
      <c r="AF903" t="s">
        <v>589</v>
      </c>
      <c r="AG903" s="115">
        <f>+VLOOKUP(Y903,B:O,4,FALSE)/1000</f>
        <v>5.0832399999999923E-3</v>
      </c>
      <c r="AI903" s="158"/>
    </row>
    <row r="904" spans="23:35">
      <c r="W904" t="s">
        <v>3405</v>
      </c>
      <c r="X904" s="4" t="s">
        <v>3358</v>
      </c>
      <c r="Y904" s="4" t="str">
        <f t="shared" ref="Y904:Y913" si="78">Y903</f>
        <v>E6360</v>
      </c>
      <c r="Z904" t="s">
        <v>587</v>
      </c>
      <c r="AA904" t="s">
        <v>588</v>
      </c>
      <c r="AB904" t="s">
        <v>506</v>
      </c>
      <c r="AC904" t="s">
        <v>507</v>
      </c>
      <c r="AD904" t="s">
        <v>508</v>
      </c>
      <c r="AE904" t="s">
        <v>509</v>
      </c>
      <c r="AF904" t="s">
        <v>589</v>
      </c>
      <c r="AG904" s="115">
        <f>+VLOOKUP(Y904,B:O,5,FALSE)/1000</f>
        <v>1.7303239999999991E-2</v>
      </c>
      <c r="AI904" s="158"/>
    </row>
    <row r="905" spans="23:35">
      <c r="W905" t="s">
        <v>3405</v>
      </c>
      <c r="X905" s="4" t="s">
        <v>3359</v>
      </c>
      <c r="Y905" s="4" t="str">
        <f t="shared" si="78"/>
        <v>E6360</v>
      </c>
      <c r="Z905" t="s">
        <v>587</v>
      </c>
      <c r="AA905" t="s">
        <v>588</v>
      </c>
      <c r="AB905" t="s">
        <v>506</v>
      </c>
      <c r="AC905" t="s">
        <v>507</v>
      </c>
      <c r="AD905" t="s">
        <v>508</v>
      </c>
      <c r="AE905" t="s">
        <v>509</v>
      </c>
      <c r="AF905" t="s">
        <v>589</v>
      </c>
      <c r="AG905" s="115">
        <f>+VLOOKUP(Y905,B:O,6,FALSE)/1000</f>
        <v>3.1693239999999998E-2</v>
      </c>
      <c r="AI905" s="158"/>
    </row>
    <row r="906" spans="23:35">
      <c r="W906" t="s">
        <v>3405</v>
      </c>
      <c r="X906" s="4" t="s">
        <v>3360</v>
      </c>
      <c r="Y906" s="4" t="str">
        <f t="shared" si="78"/>
        <v>E6360</v>
      </c>
      <c r="Z906" t="s">
        <v>587</v>
      </c>
      <c r="AA906" t="s">
        <v>588</v>
      </c>
      <c r="AB906" t="s">
        <v>506</v>
      </c>
      <c r="AC906" t="s">
        <v>507</v>
      </c>
      <c r="AD906" t="s">
        <v>508</v>
      </c>
      <c r="AE906" t="s">
        <v>509</v>
      </c>
      <c r="AF906" t="s">
        <v>589</v>
      </c>
      <c r="AG906" s="115">
        <f>+VLOOKUP(Y906,B:O,7,FALSE)/1000</f>
        <v>4.1013239999999999E-2</v>
      </c>
      <c r="AI906" s="158"/>
    </row>
    <row r="907" spans="23:35">
      <c r="W907" t="s">
        <v>3405</v>
      </c>
      <c r="X907" s="4" t="s">
        <v>3361</v>
      </c>
      <c r="Y907" s="4" t="str">
        <f t="shared" si="78"/>
        <v>E6360</v>
      </c>
      <c r="Z907" t="s">
        <v>587</v>
      </c>
      <c r="AA907" t="s">
        <v>588</v>
      </c>
      <c r="AB907" t="s">
        <v>506</v>
      </c>
      <c r="AC907" t="s">
        <v>507</v>
      </c>
      <c r="AD907" t="s">
        <v>508</v>
      </c>
      <c r="AE907" t="s">
        <v>509</v>
      </c>
      <c r="AF907" t="s">
        <v>589</v>
      </c>
      <c r="AG907" s="115">
        <f>+VLOOKUP(Y907,B:O,8,FALSE)/1000</f>
        <v>3.5863239999999991E-2</v>
      </c>
      <c r="AI907" s="158"/>
    </row>
    <row r="908" spans="23:35">
      <c r="W908" t="s">
        <v>3405</v>
      </c>
      <c r="X908" s="4" t="s">
        <v>3362</v>
      </c>
      <c r="Y908" s="4" t="str">
        <f t="shared" si="78"/>
        <v>E6360</v>
      </c>
      <c r="Z908" t="s">
        <v>587</v>
      </c>
      <c r="AA908" t="s">
        <v>588</v>
      </c>
      <c r="AB908" t="s">
        <v>506</v>
      </c>
      <c r="AC908" t="s">
        <v>507</v>
      </c>
      <c r="AD908" t="s">
        <v>508</v>
      </c>
      <c r="AE908" t="s">
        <v>509</v>
      </c>
      <c r="AF908" t="s">
        <v>589</v>
      </c>
      <c r="AG908" s="115">
        <f>+VLOOKUP(Y908,B:O,9,FALSE)/1000</f>
        <v>3.3803239999999998E-2</v>
      </c>
      <c r="AI908" s="158"/>
    </row>
    <row r="909" spans="23:35">
      <c r="W909" t="s">
        <v>3405</v>
      </c>
      <c r="X909" s="4" t="s">
        <v>3363</v>
      </c>
      <c r="Y909" s="4" t="str">
        <f t="shared" si="78"/>
        <v>E6360</v>
      </c>
      <c r="Z909" t="s">
        <v>587</v>
      </c>
      <c r="AA909" t="s">
        <v>588</v>
      </c>
      <c r="AB909" t="s">
        <v>506</v>
      </c>
      <c r="AC909" t="s">
        <v>507</v>
      </c>
      <c r="AD909" t="s">
        <v>508</v>
      </c>
      <c r="AE909" t="s">
        <v>509</v>
      </c>
      <c r="AF909" t="s">
        <v>589</v>
      </c>
      <c r="AG909" s="115">
        <f>+VLOOKUP(Y909,B:O,10,FALSE)/1000</f>
        <v>3.7523239999999992E-2</v>
      </c>
      <c r="AI909" s="158"/>
    </row>
    <row r="910" spans="23:35">
      <c r="W910" t="s">
        <v>3405</v>
      </c>
      <c r="X910" s="4" t="s">
        <v>3364</v>
      </c>
      <c r="Y910" s="4" t="str">
        <f t="shared" si="78"/>
        <v>E6360</v>
      </c>
      <c r="Z910" t="s">
        <v>587</v>
      </c>
      <c r="AA910" t="s">
        <v>588</v>
      </c>
      <c r="AB910" t="s">
        <v>506</v>
      </c>
      <c r="AC910" t="s">
        <v>507</v>
      </c>
      <c r="AD910" t="s">
        <v>508</v>
      </c>
      <c r="AE910" t="s">
        <v>509</v>
      </c>
      <c r="AF910" t="s">
        <v>589</v>
      </c>
      <c r="AG910" s="115">
        <f>+VLOOKUP(Y910,B:O,11,FALSE)/1000</f>
        <v>3.9643239999999989E-2</v>
      </c>
      <c r="AI910" s="158"/>
    </row>
    <row r="911" spans="23:35">
      <c r="W911" t="s">
        <v>3405</v>
      </c>
      <c r="X911" s="4" t="s">
        <v>3365</v>
      </c>
      <c r="Y911" s="4" t="str">
        <f t="shared" si="78"/>
        <v>E6360</v>
      </c>
      <c r="Z911" t="s">
        <v>587</v>
      </c>
      <c r="AA911" t="s">
        <v>588</v>
      </c>
      <c r="AB911" t="s">
        <v>506</v>
      </c>
      <c r="AC911" t="s">
        <v>507</v>
      </c>
      <c r="AD911" t="s">
        <v>508</v>
      </c>
      <c r="AE911" t="s">
        <v>509</v>
      </c>
      <c r="AF911" t="s">
        <v>589</v>
      </c>
      <c r="AG911" s="115">
        <f>+VLOOKUP(Y911,B:O,12,FALSE)/1000</f>
        <v>4.0443239999999998E-2</v>
      </c>
      <c r="AI911" s="158"/>
    </row>
    <row r="912" spans="23:35">
      <c r="W912" t="s">
        <v>3405</v>
      </c>
      <c r="X912" s="4" t="s">
        <v>3366</v>
      </c>
      <c r="Y912" s="4" t="str">
        <f t="shared" si="78"/>
        <v>E6360</v>
      </c>
      <c r="Z912" t="s">
        <v>587</v>
      </c>
      <c r="AA912" t="s">
        <v>588</v>
      </c>
      <c r="AB912" t="s">
        <v>506</v>
      </c>
      <c r="AC912" t="s">
        <v>507</v>
      </c>
      <c r="AD912" t="s">
        <v>508</v>
      </c>
      <c r="AE912" t="s">
        <v>509</v>
      </c>
      <c r="AF912" t="s">
        <v>589</v>
      </c>
      <c r="AG912" s="115">
        <f>+VLOOKUP(Y912,B:O,13,FALSE)/1000</f>
        <v>2.3579794519999996E-2</v>
      </c>
      <c r="AI912" s="158"/>
    </row>
    <row r="913" spans="23:35">
      <c r="W913" t="s">
        <v>3405</v>
      </c>
      <c r="X913" s="4" t="s">
        <v>3367</v>
      </c>
      <c r="Y913" s="4" t="str">
        <f t="shared" si="78"/>
        <v>E6360</v>
      </c>
      <c r="Z913" t="s">
        <v>587</v>
      </c>
      <c r="AA913" t="s">
        <v>588</v>
      </c>
      <c r="AB913" t="s">
        <v>506</v>
      </c>
      <c r="AC913" t="s">
        <v>507</v>
      </c>
      <c r="AD913" t="s">
        <v>508</v>
      </c>
      <c r="AE913" t="s">
        <v>509</v>
      </c>
      <c r="AF913" t="s">
        <v>589</v>
      </c>
      <c r="AG913" s="115">
        <f>+VLOOKUP(Y913,B:O,14,FALSE)/1000</f>
        <v>1.2149794519999989E-2</v>
      </c>
      <c r="AI913" s="158"/>
    </row>
    <row r="914" spans="23:35">
      <c r="W914" t="s">
        <v>3405</v>
      </c>
      <c r="X914" s="4" t="s">
        <v>3356</v>
      </c>
      <c r="Y914" s="150" t="str">
        <f>INDEX($B$3:$O$110,103,1)</f>
        <v>E6370</v>
      </c>
      <c r="Z914" t="s">
        <v>587</v>
      </c>
      <c r="AA914" t="s">
        <v>588</v>
      </c>
      <c r="AB914" t="s">
        <v>506</v>
      </c>
      <c r="AC914" t="s">
        <v>507</v>
      </c>
      <c r="AD914" t="s">
        <v>508</v>
      </c>
      <c r="AE914" t="s">
        <v>509</v>
      </c>
      <c r="AF914" t="s">
        <v>589</v>
      </c>
      <c r="AG914" s="743">
        <v>0</v>
      </c>
    </row>
    <row r="915" spans="23:35">
      <c r="W915" t="s">
        <v>3405</v>
      </c>
      <c r="X915" s="4" t="s">
        <v>3357</v>
      </c>
      <c r="Y915" s="4" t="str">
        <f>Y914</f>
        <v>E6370</v>
      </c>
      <c r="Z915" t="s">
        <v>587</v>
      </c>
      <c r="AA915" t="s">
        <v>588</v>
      </c>
      <c r="AB915" t="s">
        <v>506</v>
      </c>
      <c r="AC915" t="s">
        <v>507</v>
      </c>
      <c r="AD915" t="s">
        <v>508</v>
      </c>
      <c r="AE915" t="s">
        <v>509</v>
      </c>
      <c r="AF915" t="s">
        <v>589</v>
      </c>
      <c r="AG915" s="743">
        <v>0</v>
      </c>
    </row>
    <row r="916" spans="23:35">
      <c r="W916" t="s">
        <v>3405</v>
      </c>
      <c r="X916" s="4" t="s">
        <v>3358</v>
      </c>
      <c r="Y916" s="4" t="str">
        <f t="shared" ref="Y916:Y925" si="79">Y915</f>
        <v>E6370</v>
      </c>
      <c r="Z916" t="s">
        <v>587</v>
      </c>
      <c r="AA916" t="s">
        <v>588</v>
      </c>
      <c r="AB916" t="s">
        <v>506</v>
      </c>
      <c r="AC916" t="s">
        <v>507</v>
      </c>
      <c r="AD916" t="s">
        <v>508</v>
      </c>
      <c r="AE916" t="s">
        <v>509</v>
      </c>
      <c r="AF916" t="s">
        <v>589</v>
      </c>
      <c r="AG916" s="743">
        <v>0</v>
      </c>
    </row>
    <row r="917" spans="23:35">
      <c r="W917" t="s">
        <v>3405</v>
      </c>
      <c r="X917" s="4" t="s">
        <v>3359</v>
      </c>
      <c r="Y917" s="4" t="str">
        <f t="shared" si="79"/>
        <v>E6370</v>
      </c>
      <c r="Z917" t="s">
        <v>587</v>
      </c>
      <c r="AA917" t="s">
        <v>588</v>
      </c>
      <c r="AB917" t="s">
        <v>506</v>
      </c>
      <c r="AC917" t="s">
        <v>507</v>
      </c>
      <c r="AD917" t="s">
        <v>508</v>
      </c>
      <c r="AE917" t="s">
        <v>509</v>
      </c>
      <c r="AF917" t="s">
        <v>589</v>
      </c>
      <c r="AG917" s="743">
        <v>0</v>
      </c>
    </row>
    <row r="918" spans="23:35">
      <c r="W918" t="s">
        <v>3405</v>
      </c>
      <c r="X918" s="4" t="s">
        <v>3360</v>
      </c>
      <c r="Y918" s="4" t="str">
        <f t="shared" si="79"/>
        <v>E6370</v>
      </c>
      <c r="Z918" t="s">
        <v>587</v>
      </c>
      <c r="AA918" t="s">
        <v>588</v>
      </c>
      <c r="AB918" t="s">
        <v>506</v>
      </c>
      <c r="AC918" t="s">
        <v>507</v>
      </c>
      <c r="AD918" t="s">
        <v>508</v>
      </c>
      <c r="AE918" t="s">
        <v>509</v>
      </c>
      <c r="AF918" t="s">
        <v>589</v>
      </c>
      <c r="AG918" s="743">
        <v>0</v>
      </c>
    </row>
    <row r="919" spans="23:35">
      <c r="W919" t="s">
        <v>3405</v>
      </c>
      <c r="X919" s="4" t="s">
        <v>3361</v>
      </c>
      <c r="Y919" s="4" t="str">
        <f t="shared" si="79"/>
        <v>E6370</v>
      </c>
      <c r="Z919" t="s">
        <v>587</v>
      </c>
      <c r="AA919" t="s">
        <v>588</v>
      </c>
      <c r="AB919" t="s">
        <v>506</v>
      </c>
      <c r="AC919" t="s">
        <v>507</v>
      </c>
      <c r="AD919" t="s">
        <v>508</v>
      </c>
      <c r="AE919" t="s">
        <v>509</v>
      </c>
      <c r="AF919" t="s">
        <v>589</v>
      </c>
      <c r="AG919" s="743">
        <v>0</v>
      </c>
    </row>
    <row r="920" spans="23:35">
      <c r="W920" t="s">
        <v>3405</v>
      </c>
      <c r="X920" s="4" t="s">
        <v>3362</v>
      </c>
      <c r="Y920" s="4" t="str">
        <f t="shared" si="79"/>
        <v>E6370</v>
      </c>
      <c r="Z920" t="s">
        <v>587</v>
      </c>
      <c r="AA920" t="s">
        <v>588</v>
      </c>
      <c r="AB920" t="s">
        <v>506</v>
      </c>
      <c r="AC920" t="s">
        <v>507</v>
      </c>
      <c r="AD920" t="s">
        <v>508</v>
      </c>
      <c r="AE920" t="s">
        <v>509</v>
      </c>
      <c r="AF920" t="s">
        <v>589</v>
      </c>
      <c r="AG920" s="743">
        <v>0</v>
      </c>
    </row>
    <row r="921" spans="23:35">
      <c r="W921" t="s">
        <v>3405</v>
      </c>
      <c r="X921" s="4" t="s">
        <v>3363</v>
      </c>
      <c r="Y921" s="4" t="str">
        <f t="shared" si="79"/>
        <v>E6370</v>
      </c>
      <c r="Z921" t="s">
        <v>587</v>
      </c>
      <c r="AA921" t="s">
        <v>588</v>
      </c>
      <c r="AB921" t="s">
        <v>506</v>
      </c>
      <c r="AC921" t="s">
        <v>507</v>
      </c>
      <c r="AD921" t="s">
        <v>508</v>
      </c>
      <c r="AE921" t="s">
        <v>509</v>
      </c>
      <c r="AF921" t="s">
        <v>589</v>
      </c>
      <c r="AG921" s="743">
        <v>0</v>
      </c>
    </row>
    <row r="922" spans="23:35">
      <c r="W922" t="s">
        <v>3405</v>
      </c>
      <c r="X922" s="4" t="s">
        <v>3364</v>
      </c>
      <c r="Y922" s="4" t="str">
        <f t="shared" si="79"/>
        <v>E6370</v>
      </c>
      <c r="Z922" t="s">
        <v>587</v>
      </c>
      <c r="AA922" t="s">
        <v>588</v>
      </c>
      <c r="AB922" t="s">
        <v>506</v>
      </c>
      <c r="AC922" t="s">
        <v>507</v>
      </c>
      <c r="AD922" t="s">
        <v>508</v>
      </c>
      <c r="AE922" t="s">
        <v>509</v>
      </c>
      <c r="AF922" t="s">
        <v>589</v>
      </c>
      <c r="AG922" s="743">
        <v>0</v>
      </c>
    </row>
    <row r="923" spans="23:35">
      <c r="W923" t="s">
        <v>3405</v>
      </c>
      <c r="X923" s="4" t="s">
        <v>3365</v>
      </c>
      <c r="Y923" s="4" t="str">
        <f t="shared" si="79"/>
        <v>E6370</v>
      </c>
      <c r="Z923" t="s">
        <v>587</v>
      </c>
      <c r="AA923" t="s">
        <v>588</v>
      </c>
      <c r="AB923" t="s">
        <v>506</v>
      </c>
      <c r="AC923" t="s">
        <v>507</v>
      </c>
      <c r="AD923" t="s">
        <v>508</v>
      </c>
      <c r="AE923" t="s">
        <v>509</v>
      </c>
      <c r="AF923" t="s">
        <v>589</v>
      </c>
      <c r="AG923" s="743">
        <v>0</v>
      </c>
    </row>
    <row r="924" spans="23:35">
      <c r="W924" t="s">
        <v>3405</v>
      </c>
      <c r="X924" s="4" t="s">
        <v>3366</v>
      </c>
      <c r="Y924" s="4" t="str">
        <f t="shared" si="79"/>
        <v>E6370</v>
      </c>
      <c r="Z924" t="s">
        <v>587</v>
      </c>
      <c r="AA924" t="s">
        <v>588</v>
      </c>
      <c r="AB924" t="s">
        <v>506</v>
      </c>
      <c r="AC924" t="s">
        <v>507</v>
      </c>
      <c r="AD924" t="s">
        <v>508</v>
      </c>
      <c r="AE924" t="s">
        <v>509</v>
      </c>
      <c r="AF924" t="s">
        <v>589</v>
      </c>
      <c r="AG924" s="743">
        <v>0</v>
      </c>
    </row>
    <row r="925" spans="23:35">
      <c r="W925" t="s">
        <v>3405</v>
      </c>
      <c r="X925" s="4" t="s">
        <v>3367</v>
      </c>
      <c r="Y925" s="4" t="str">
        <f t="shared" si="79"/>
        <v>E6370</v>
      </c>
      <c r="Z925" t="s">
        <v>587</v>
      </c>
      <c r="AA925" t="s">
        <v>588</v>
      </c>
      <c r="AB925" t="s">
        <v>506</v>
      </c>
      <c r="AC925" t="s">
        <v>507</v>
      </c>
      <c r="AD925" t="s">
        <v>508</v>
      </c>
      <c r="AE925" t="s">
        <v>509</v>
      </c>
      <c r="AF925" t="s">
        <v>589</v>
      </c>
      <c r="AG925" s="743">
        <v>0</v>
      </c>
    </row>
    <row r="926" spans="23:35">
      <c r="W926" t="s">
        <v>3405</v>
      </c>
      <c r="X926" s="4" t="s">
        <v>3356</v>
      </c>
      <c r="Y926" s="150" t="str">
        <f>INDEX($B$3:$O$110,104,1)</f>
        <v>E6720</v>
      </c>
      <c r="Z926" t="s">
        <v>587</v>
      </c>
      <c r="AA926" t="s">
        <v>588</v>
      </c>
      <c r="AB926" t="s">
        <v>506</v>
      </c>
      <c r="AC926" t="s">
        <v>507</v>
      </c>
      <c r="AD926" t="s">
        <v>508</v>
      </c>
      <c r="AE926" t="s">
        <v>509</v>
      </c>
      <c r="AF926" t="s">
        <v>589</v>
      </c>
      <c r="AG926" s="115">
        <f>+VLOOKUP(Y926,B:O,3,FALSE)/1000</f>
        <v>-7.2659999999999912E-3</v>
      </c>
    </row>
    <row r="927" spans="23:35">
      <c r="W927" t="s">
        <v>3405</v>
      </c>
      <c r="X927" s="4" t="s">
        <v>3357</v>
      </c>
      <c r="Y927" s="4" t="str">
        <f>Y926</f>
        <v>E6720</v>
      </c>
      <c r="Z927" t="s">
        <v>587</v>
      </c>
      <c r="AA927" t="s">
        <v>588</v>
      </c>
      <c r="AB927" t="s">
        <v>506</v>
      </c>
      <c r="AC927" t="s">
        <v>507</v>
      </c>
      <c r="AD927" t="s">
        <v>508</v>
      </c>
      <c r="AE927" t="s">
        <v>509</v>
      </c>
      <c r="AF927" t="s">
        <v>589</v>
      </c>
      <c r="AG927" s="115">
        <f>+VLOOKUP(Y927,B:O,4,FALSE)/1000</f>
        <v>-1.2125999999999991E-2</v>
      </c>
    </row>
    <row r="928" spans="23:35">
      <c r="W928" t="s">
        <v>3405</v>
      </c>
      <c r="X928" s="4" t="s">
        <v>3358</v>
      </c>
      <c r="Y928" s="4" t="str">
        <f t="shared" ref="Y928:Y937" si="80">Y927</f>
        <v>E6720</v>
      </c>
      <c r="Z928" t="s">
        <v>587</v>
      </c>
      <c r="AA928" t="s">
        <v>588</v>
      </c>
      <c r="AB928" t="s">
        <v>506</v>
      </c>
      <c r="AC928" t="s">
        <v>507</v>
      </c>
      <c r="AD928" t="s">
        <v>508</v>
      </c>
      <c r="AE928" t="s">
        <v>509</v>
      </c>
      <c r="AF928" t="s">
        <v>589</v>
      </c>
      <c r="AG928" s="115">
        <f>+VLOOKUP(Y928,B:O,5,FALSE)/1000</f>
        <v>-5.3059999999999974E-3</v>
      </c>
    </row>
    <row r="929" spans="23:33">
      <c r="W929" t="s">
        <v>3405</v>
      </c>
      <c r="X929" s="4" t="s">
        <v>3359</v>
      </c>
      <c r="Y929" s="4" t="str">
        <f t="shared" si="80"/>
        <v>E6720</v>
      </c>
      <c r="Z929" t="s">
        <v>587</v>
      </c>
      <c r="AA929" t="s">
        <v>588</v>
      </c>
      <c r="AB929" t="s">
        <v>506</v>
      </c>
      <c r="AC929" t="s">
        <v>507</v>
      </c>
      <c r="AD929" t="s">
        <v>508</v>
      </c>
      <c r="AE929" t="s">
        <v>509</v>
      </c>
      <c r="AF929" t="s">
        <v>589</v>
      </c>
      <c r="AG929" s="115">
        <f>+VLOOKUP(Y929,B:O,6,FALSE)/1000</f>
        <v>6.3340000000000028E-3</v>
      </c>
    </row>
    <row r="930" spans="23:33">
      <c r="W930" t="s">
        <v>3405</v>
      </c>
      <c r="X930" s="4" t="s">
        <v>3360</v>
      </c>
      <c r="Y930" s="4" t="str">
        <f t="shared" si="80"/>
        <v>E6720</v>
      </c>
      <c r="Z930" t="s">
        <v>587</v>
      </c>
      <c r="AA930" t="s">
        <v>588</v>
      </c>
      <c r="AB930" t="s">
        <v>506</v>
      </c>
      <c r="AC930" t="s">
        <v>507</v>
      </c>
      <c r="AD930" t="s">
        <v>508</v>
      </c>
      <c r="AE930" t="s">
        <v>509</v>
      </c>
      <c r="AF930" t="s">
        <v>589</v>
      </c>
      <c r="AG930" s="115">
        <f>+VLOOKUP(Y930,B:O,7,FALSE)/1000</f>
        <v>1.3704000000000001E-2</v>
      </c>
    </row>
    <row r="931" spans="23:33">
      <c r="W931" t="s">
        <v>3405</v>
      </c>
      <c r="X931" s="4" t="s">
        <v>3361</v>
      </c>
      <c r="Y931" s="4" t="str">
        <f t="shared" si="80"/>
        <v>E6720</v>
      </c>
      <c r="Z931" t="s">
        <v>587</v>
      </c>
      <c r="AA931" t="s">
        <v>588</v>
      </c>
      <c r="AB931" t="s">
        <v>506</v>
      </c>
      <c r="AC931" t="s">
        <v>507</v>
      </c>
      <c r="AD931" t="s">
        <v>508</v>
      </c>
      <c r="AE931" t="s">
        <v>509</v>
      </c>
      <c r="AF931" t="s">
        <v>589</v>
      </c>
      <c r="AG931" s="115">
        <f>+VLOOKUP(Y931,B:O,8,FALSE)/1000</f>
        <v>9.8340000000000025E-3</v>
      </c>
    </row>
    <row r="932" spans="23:33">
      <c r="W932" t="s">
        <v>3405</v>
      </c>
      <c r="X932" s="4" t="s">
        <v>3362</v>
      </c>
      <c r="Y932" s="4" t="str">
        <f t="shared" si="80"/>
        <v>E6720</v>
      </c>
      <c r="Z932" t="s">
        <v>587</v>
      </c>
      <c r="AA932" t="s">
        <v>588</v>
      </c>
      <c r="AB932" t="s">
        <v>506</v>
      </c>
      <c r="AC932" t="s">
        <v>507</v>
      </c>
      <c r="AD932" t="s">
        <v>508</v>
      </c>
      <c r="AE932" t="s">
        <v>509</v>
      </c>
      <c r="AF932" t="s">
        <v>589</v>
      </c>
      <c r="AG932" s="115">
        <f>+VLOOKUP(Y932,B:O,9,FALSE)/1000</f>
        <v>8.964000000000005E-3</v>
      </c>
    </row>
    <row r="933" spans="23:33">
      <c r="W933" t="s">
        <v>3405</v>
      </c>
      <c r="X933" s="4" t="s">
        <v>3363</v>
      </c>
      <c r="Y933" s="4" t="str">
        <f t="shared" si="80"/>
        <v>E6720</v>
      </c>
      <c r="Z933" t="s">
        <v>587</v>
      </c>
      <c r="AA933" t="s">
        <v>588</v>
      </c>
      <c r="AB933" t="s">
        <v>506</v>
      </c>
      <c r="AC933" t="s">
        <v>507</v>
      </c>
      <c r="AD933" t="s">
        <v>508</v>
      </c>
      <c r="AE933" t="s">
        <v>509</v>
      </c>
      <c r="AF933" t="s">
        <v>589</v>
      </c>
      <c r="AG933" s="115">
        <f>+VLOOKUP(Y933,B:O,10,FALSE)/1000</f>
        <v>1.4104000000000007E-2</v>
      </c>
    </row>
    <row r="934" spans="23:33">
      <c r="W934" t="s">
        <v>3405</v>
      </c>
      <c r="X934" s="4" t="s">
        <v>3364</v>
      </c>
      <c r="Y934" s="4" t="str">
        <f t="shared" si="80"/>
        <v>E6720</v>
      </c>
      <c r="Z934" t="s">
        <v>587</v>
      </c>
      <c r="AA934" t="s">
        <v>588</v>
      </c>
      <c r="AB934" t="s">
        <v>506</v>
      </c>
      <c r="AC934" t="s">
        <v>507</v>
      </c>
      <c r="AD934" t="s">
        <v>508</v>
      </c>
      <c r="AE934" t="s">
        <v>509</v>
      </c>
      <c r="AF934" t="s">
        <v>589</v>
      </c>
      <c r="AG934" s="115">
        <f>+VLOOKUP(Y934,B:O,11,FALSE)/1000</f>
        <v>1.6284000000000007E-2</v>
      </c>
    </row>
    <row r="935" spans="23:33">
      <c r="W935" t="s">
        <v>3405</v>
      </c>
      <c r="X935" s="4" t="s">
        <v>3365</v>
      </c>
      <c r="Y935" s="4" t="str">
        <f t="shared" si="80"/>
        <v>E6720</v>
      </c>
      <c r="Z935" t="s">
        <v>587</v>
      </c>
      <c r="AA935" t="s">
        <v>588</v>
      </c>
      <c r="AB935" t="s">
        <v>506</v>
      </c>
      <c r="AC935" t="s">
        <v>507</v>
      </c>
      <c r="AD935" t="s">
        <v>508</v>
      </c>
      <c r="AE935" t="s">
        <v>509</v>
      </c>
      <c r="AF935" t="s">
        <v>589</v>
      </c>
      <c r="AG935" s="115">
        <f>+VLOOKUP(Y935,B:O,12,FALSE)/1000</f>
        <v>1.5734000000000001E-2</v>
      </c>
    </row>
    <row r="936" spans="23:33">
      <c r="W936" t="s">
        <v>3405</v>
      </c>
      <c r="X936" s="4" t="s">
        <v>3366</v>
      </c>
      <c r="Y936" s="4" t="str">
        <f t="shared" si="80"/>
        <v>E6720</v>
      </c>
      <c r="Z936" t="s">
        <v>587</v>
      </c>
      <c r="AA936" t="s">
        <v>588</v>
      </c>
      <c r="AB936" t="s">
        <v>506</v>
      </c>
      <c r="AC936" t="s">
        <v>507</v>
      </c>
      <c r="AD936" t="s">
        <v>508</v>
      </c>
      <c r="AE936" t="s">
        <v>509</v>
      </c>
      <c r="AF936" t="s">
        <v>589</v>
      </c>
      <c r="AG936" s="115">
        <f>+VLOOKUP(Y936,B:O,13,FALSE)/1000</f>
        <v>5.8340000000000032E-3</v>
      </c>
    </row>
    <row r="937" spans="23:33">
      <c r="W937" t="s">
        <v>3405</v>
      </c>
      <c r="X937" s="4" t="s">
        <v>3367</v>
      </c>
      <c r="Y937" s="4" t="str">
        <f t="shared" si="80"/>
        <v>E6720</v>
      </c>
      <c r="Z937" t="s">
        <v>587</v>
      </c>
      <c r="AA937" t="s">
        <v>588</v>
      </c>
      <c r="AB937" t="s">
        <v>506</v>
      </c>
      <c r="AC937" t="s">
        <v>507</v>
      </c>
      <c r="AD937" t="s">
        <v>508</v>
      </c>
      <c r="AE937" t="s">
        <v>509</v>
      </c>
      <c r="AF937" t="s">
        <v>589</v>
      </c>
      <c r="AG937" s="115">
        <f>+VLOOKUP(Y937,B:O,14,FALSE)/1000</f>
        <v>6.2868200000000486E-4</v>
      </c>
    </row>
    <row r="938" spans="23:33">
      <c r="W938" t="s">
        <v>3405</v>
      </c>
      <c r="X938" s="4" t="s">
        <v>3356</v>
      </c>
      <c r="Y938" s="150" t="str">
        <f>INDEX($B$3:$O$110,105,1)</f>
        <v>E6730</v>
      </c>
      <c r="Z938" t="s">
        <v>587</v>
      </c>
      <c r="AA938" t="s">
        <v>588</v>
      </c>
      <c r="AB938" t="s">
        <v>506</v>
      </c>
      <c r="AC938" t="s">
        <v>507</v>
      </c>
      <c r="AD938" t="s">
        <v>508</v>
      </c>
      <c r="AE938" t="s">
        <v>509</v>
      </c>
      <c r="AF938" t="s">
        <v>589</v>
      </c>
      <c r="AG938" s="743">
        <v>0</v>
      </c>
    </row>
    <row r="939" spans="23:33">
      <c r="W939" t="s">
        <v>3405</v>
      </c>
      <c r="X939" s="4" t="s">
        <v>3357</v>
      </c>
      <c r="Y939" s="4" t="str">
        <f>Y938</f>
        <v>E6730</v>
      </c>
      <c r="Z939" t="s">
        <v>587</v>
      </c>
      <c r="AA939" t="s">
        <v>588</v>
      </c>
      <c r="AB939" t="s">
        <v>506</v>
      </c>
      <c r="AC939" t="s">
        <v>507</v>
      </c>
      <c r="AD939" t="s">
        <v>508</v>
      </c>
      <c r="AE939" t="s">
        <v>509</v>
      </c>
      <c r="AF939" t="s">
        <v>589</v>
      </c>
      <c r="AG939" s="743">
        <v>0</v>
      </c>
    </row>
    <row r="940" spans="23:33">
      <c r="W940" t="s">
        <v>3405</v>
      </c>
      <c r="X940" s="4" t="s">
        <v>3358</v>
      </c>
      <c r="Y940" s="4" t="str">
        <f t="shared" ref="Y940:Y949" si="81">Y939</f>
        <v>E6730</v>
      </c>
      <c r="Z940" t="s">
        <v>587</v>
      </c>
      <c r="AA940" t="s">
        <v>588</v>
      </c>
      <c r="AB940" t="s">
        <v>506</v>
      </c>
      <c r="AC940" t="s">
        <v>507</v>
      </c>
      <c r="AD940" t="s">
        <v>508</v>
      </c>
      <c r="AE940" t="s">
        <v>509</v>
      </c>
      <c r="AF940" t="s">
        <v>589</v>
      </c>
      <c r="AG940" s="743">
        <v>0</v>
      </c>
    </row>
    <row r="941" spans="23:33">
      <c r="W941" t="s">
        <v>3405</v>
      </c>
      <c r="X941" s="4" t="s">
        <v>3359</v>
      </c>
      <c r="Y941" s="4" t="str">
        <f t="shared" si="81"/>
        <v>E6730</v>
      </c>
      <c r="Z941" t="s">
        <v>587</v>
      </c>
      <c r="AA941" t="s">
        <v>588</v>
      </c>
      <c r="AB941" t="s">
        <v>506</v>
      </c>
      <c r="AC941" t="s">
        <v>507</v>
      </c>
      <c r="AD941" t="s">
        <v>508</v>
      </c>
      <c r="AE941" t="s">
        <v>509</v>
      </c>
      <c r="AF941" t="s">
        <v>589</v>
      </c>
      <c r="AG941" s="743">
        <v>0</v>
      </c>
    </row>
    <row r="942" spans="23:33">
      <c r="W942" t="s">
        <v>3405</v>
      </c>
      <c r="X942" s="4" t="s">
        <v>3360</v>
      </c>
      <c r="Y942" s="4" t="str">
        <f t="shared" si="81"/>
        <v>E6730</v>
      </c>
      <c r="Z942" t="s">
        <v>587</v>
      </c>
      <c r="AA942" t="s">
        <v>588</v>
      </c>
      <c r="AB942" t="s">
        <v>506</v>
      </c>
      <c r="AC942" t="s">
        <v>507</v>
      </c>
      <c r="AD942" t="s">
        <v>508</v>
      </c>
      <c r="AE942" t="s">
        <v>509</v>
      </c>
      <c r="AF942" t="s">
        <v>589</v>
      </c>
      <c r="AG942" s="743">
        <v>0</v>
      </c>
    </row>
    <row r="943" spans="23:33">
      <c r="W943" t="s">
        <v>3405</v>
      </c>
      <c r="X943" s="4" t="s">
        <v>3361</v>
      </c>
      <c r="Y943" s="4" t="str">
        <f t="shared" si="81"/>
        <v>E6730</v>
      </c>
      <c r="Z943" t="s">
        <v>587</v>
      </c>
      <c r="AA943" t="s">
        <v>588</v>
      </c>
      <c r="AB943" t="s">
        <v>506</v>
      </c>
      <c r="AC943" t="s">
        <v>507</v>
      </c>
      <c r="AD943" t="s">
        <v>508</v>
      </c>
      <c r="AE943" t="s">
        <v>509</v>
      </c>
      <c r="AF943" t="s">
        <v>589</v>
      </c>
      <c r="AG943" s="743">
        <v>0</v>
      </c>
    </row>
    <row r="944" spans="23:33">
      <c r="W944" t="s">
        <v>3405</v>
      </c>
      <c r="X944" s="4" t="s">
        <v>3362</v>
      </c>
      <c r="Y944" s="4" t="str">
        <f t="shared" si="81"/>
        <v>E6730</v>
      </c>
      <c r="Z944" t="s">
        <v>587</v>
      </c>
      <c r="AA944" t="s">
        <v>588</v>
      </c>
      <c r="AB944" t="s">
        <v>506</v>
      </c>
      <c r="AC944" t="s">
        <v>507</v>
      </c>
      <c r="AD944" t="s">
        <v>508</v>
      </c>
      <c r="AE944" t="s">
        <v>509</v>
      </c>
      <c r="AF944" t="s">
        <v>589</v>
      </c>
      <c r="AG944" s="743">
        <v>0</v>
      </c>
    </row>
    <row r="945" spans="23:33">
      <c r="W945" t="s">
        <v>3405</v>
      </c>
      <c r="X945" s="4" t="s">
        <v>3363</v>
      </c>
      <c r="Y945" s="4" t="str">
        <f t="shared" si="81"/>
        <v>E6730</v>
      </c>
      <c r="Z945" t="s">
        <v>587</v>
      </c>
      <c r="AA945" t="s">
        <v>588</v>
      </c>
      <c r="AB945" t="s">
        <v>506</v>
      </c>
      <c r="AC945" t="s">
        <v>507</v>
      </c>
      <c r="AD945" t="s">
        <v>508</v>
      </c>
      <c r="AE945" t="s">
        <v>509</v>
      </c>
      <c r="AF945" t="s">
        <v>589</v>
      </c>
      <c r="AG945" s="115">
        <f>+VLOOKUP(Y945,B:O,10,FALSE)/1000</f>
        <v>2.5760000000000002E-2</v>
      </c>
    </row>
    <row r="946" spans="23:33">
      <c r="W946" t="s">
        <v>3405</v>
      </c>
      <c r="X946" s="4" t="s">
        <v>3364</v>
      </c>
      <c r="Y946" s="4" t="str">
        <f t="shared" si="81"/>
        <v>E6730</v>
      </c>
      <c r="Z946" t="s">
        <v>587</v>
      </c>
      <c r="AA946" t="s">
        <v>588</v>
      </c>
      <c r="AB946" t="s">
        <v>506</v>
      </c>
      <c r="AC946" t="s">
        <v>507</v>
      </c>
      <c r="AD946" t="s">
        <v>508</v>
      </c>
      <c r="AE946" t="s">
        <v>509</v>
      </c>
      <c r="AF946" t="s">
        <v>589</v>
      </c>
      <c r="AG946" s="115">
        <f>+VLOOKUP(Y946,B:O,11,FALSE)/1000</f>
        <v>2.7879999999999999E-2</v>
      </c>
    </row>
    <row r="947" spans="23:33">
      <c r="W947" t="s">
        <v>3405</v>
      </c>
      <c r="X947" s="4" t="s">
        <v>3365</v>
      </c>
      <c r="Y947" s="4" t="str">
        <f t="shared" si="81"/>
        <v>E6730</v>
      </c>
      <c r="Z947" t="s">
        <v>587</v>
      </c>
      <c r="AA947" t="s">
        <v>588</v>
      </c>
      <c r="AB947" t="s">
        <v>506</v>
      </c>
      <c r="AC947" t="s">
        <v>507</v>
      </c>
      <c r="AD947" t="s">
        <v>508</v>
      </c>
      <c r="AE947" t="s">
        <v>509</v>
      </c>
      <c r="AF947" t="s">
        <v>589</v>
      </c>
      <c r="AG947" s="115">
        <f>+VLOOKUP(Y947,B:O,12,FALSE)/1000</f>
        <v>2.8680000000000004E-2</v>
      </c>
    </row>
    <row r="948" spans="23:33">
      <c r="W948" t="s">
        <v>3405</v>
      </c>
      <c r="X948" s="4" t="s">
        <v>3366</v>
      </c>
      <c r="Y948" s="4" t="str">
        <f t="shared" si="81"/>
        <v>E6730</v>
      </c>
      <c r="Z948" t="s">
        <v>587</v>
      </c>
      <c r="AA948" t="s">
        <v>588</v>
      </c>
      <c r="AB948" t="s">
        <v>506</v>
      </c>
      <c r="AC948" t="s">
        <v>507</v>
      </c>
      <c r="AD948" t="s">
        <v>508</v>
      </c>
      <c r="AE948" t="s">
        <v>509</v>
      </c>
      <c r="AF948" t="s">
        <v>589</v>
      </c>
      <c r="AG948" s="115">
        <f>+VLOOKUP(Y948,B:O,13,FALSE)/1000</f>
        <v>9.8900000000000047E-3</v>
      </c>
    </row>
    <row r="949" spans="23:33">
      <c r="W949" t="s">
        <v>3405</v>
      </c>
      <c r="X949" s="4" t="s">
        <v>3367</v>
      </c>
      <c r="Y949" s="4" t="str">
        <f t="shared" si="81"/>
        <v>E6730</v>
      </c>
      <c r="Z949" t="s">
        <v>587</v>
      </c>
      <c r="AA949" t="s">
        <v>588</v>
      </c>
      <c r="AB949" t="s">
        <v>506</v>
      </c>
      <c r="AC949" t="s">
        <v>507</v>
      </c>
      <c r="AD949" t="s">
        <v>508</v>
      </c>
      <c r="AE949" t="s">
        <v>509</v>
      </c>
      <c r="AF949" t="s">
        <v>589</v>
      </c>
      <c r="AG949" s="115">
        <f>+VLOOKUP(Y949,B:O,14,FALSE)/1000</f>
        <v>-1.5400000000000036E-3</v>
      </c>
    </row>
    <row r="950" spans="23:33">
      <c r="W950" t="s">
        <v>3405</v>
      </c>
      <c r="X950" s="4" t="s">
        <v>3356</v>
      </c>
      <c r="Y950" s="150" t="str">
        <f>INDEX($B$3:$O$110,106,1)</f>
        <v>E6740</v>
      </c>
      <c r="Z950" t="s">
        <v>587</v>
      </c>
      <c r="AA950" t="s">
        <v>588</v>
      </c>
      <c r="AB950" t="s">
        <v>506</v>
      </c>
      <c r="AC950" t="s">
        <v>507</v>
      </c>
      <c r="AD950" t="s">
        <v>508</v>
      </c>
      <c r="AE950" t="s">
        <v>509</v>
      </c>
      <c r="AF950" t="s">
        <v>589</v>
      </c>
      <c r="AG950" s="743">
        <v>0</v>
      </c>
    </row>
    <row r="951" spans="23:33">
      <c r="W951" t="s">
        <v>3405</v>
      </c>
      <c r="X951" s="4" t="s">
        <v>3357</v>
      </c>
      <c r="Y951" s="4" t="str">
        <f>Y950</f>
        <v>E6740</v>
      </c>
      <c r="Z951" t="s">
        <v>587</v>
      </c>
      <c r="AA951" t="s">
        <v>588</v>
      </c>
      <c r="AB951" t="s">
        <v>506</v>
      </c>
      <c r="AC951" t="s">
        <v>507</v>
      </c>
      <c r="AD951" t="s">
        <v>508</v>
      </c>
      <c r="AE951" t="s">
        <v>509</v>
      </c>
      <c r="AF951" t="s">
        <v>589</v>
      </c>
      <c r="AG951" s="743">
        <v>0</v>
      </c>
    </row>
    <row r="952" spans="23:33">
      <c r="W952" t="s">
        <v>3405</v>
      </c>
      <c r="X952" s="4" t="s">
        <v>3358</v>
      </c>
      <c r="Y952" s="4" t="str">
        <f t="shared" ref="Y952:Y961" si="82">Y951</f>
        <v>E6740</v>
      </c>
      <c r="Z952" t="s">
        <v>587</v>
      </c>
      <c r="AA952" t="s">
        <v>588</v>
      </c>
      <c r="AB952" t="s">
        <v>506</v>
      </c>
      <c r="AC952" t="s">
        <v>507</v>
      </c>
      <c r="AD952" t="s">
        <v>508</v>
      </c>
      <c r="AE952" t="s">
        <v>509</v>
      </c>
      <c r="AF952" t="s">
        <v>589</v>
      </c>
      <c r="AG952" s="743">
        <v>0</v>
      </c>
    </row>
    <row r="953" spans="23:33">
      <c r="W953" t="s">
        <v>3405</v>
      </c>
      <c r="X953" s="4" t="s">
        <v>3359</v>
      </c>
      <c r="Y953" s="4" t="str">
        <f t="shared" si="82"/>
        <v>E6740</v>
      </c>
      <c r="Z953" t="s">
        <v>587</v>
      </c>
      <c r="AA953" t="s">
        <v>588</v>
      </c>
      <c r="AB953" t="s">
        <v>506</v>
      </c>
      <c r="AC953" t="s">
        <v>507</v>
      </c>
      <c r="AD953" t="s">
        <v>508</v>
      </c>
      <c r="AE953" t="s">
        <v>509</v>
      </c>
      <c r="AF953" t="s">
        <v>589</v>
      </c>
      <c r="AG953" s="743">
        <v>0</v>
      </c>
    </row>
    <row r="954" spans="23:33">
      <c r="W954" t="s">
        <v>3405</v>
      </c>
      <c r="X954" s="4" t="s">
        <v>3360</v>
      </c>
      <c r="Y954" s="4" t="str">
        <f t="shared" si="82"/>
        <v>E6740</v>
      </c>
      <c r="Z954" t="s">
        <v>587</v>
      </c>
      <c r="AA954" t="s">
        <v>588</v>
      </c>
      <c r="AB954" t="s">
        <v>506</v>
      </c>
      <c r="AC954" t="s">
        <v>507</v>
      </c>
      <c r="AD954" t="s">
        <v>508</v>
      </c>
      <c r="AE954" t="s">
        <v>509</v>
      </c>
      <c r="AF954" t="s">
        <v>589</v>
      </c>
      <c r="AG954" s="743">
        <v>0</v>
      </c>
    </row>
    <row r="955" spans="23:33">
      <c r="W955" t="s">
        <v>3405</v>
      </c>
      <c r="X955" s="4" t="s">
        <v>3361</v>
      </c>
      <c r="Y955" s="4" t="str">
        <f t="shared" si="82"/>
        <v>E6740</v>
      </c>
      <c r="Z955" t="s">
        <v>587</v>
      </c>
      <c r="AA955" t="s">
        <v>588</v>
      </c>
      <c r="AB955" t="s">
        <v>506</v>
      </c>
      <c r="AC955" t="s">
        <v>507</v>
      </c>
      <c r="AD955" t="s">
        <v>508</v>
      </c>
      <c r="AE955" t="s">
        <v>509</v>
      </c>
      <c r="AF955" t="s">
        <v>589</v>
      </c>
      <c r="AG955" s="743">
        <v>0</v>
      </c>
    </row>
    <row r="956" spans="23:33">
      <c r="W956" t="s">
        <v>3405</v>
      </c>
      <c r="X956" s="4" t="s">
        <v>3362</v>
      </c>
      <c r="Y956" s="4" t="str">
        <f t="shared" si="82"/>
        <v>E6740</v>
      </c>
      <c r="Z956" t="s">
        <v>587</v>
      </c>
      <c r="AA956" t="s">
        <v>588</v>
      </c>
      <c r="AB956" t="s">
        <v>506</v>
      </c>
      <c r="AC956" t="s">
        <v>507</v>
      </c>
      <c r="AD956" t="s">
        <v>508</v>
      </c>
      <c r="AE956" t="s">
        <v>509</v>
      </c>
      <c r="AF956" t="s">
        <v>589</v>
      </c>
      <c r="AG956" s="115">
        <f>+VLOOKUP(Y956,B:O,9,FALSE)/1000</f>
        <v>2.2040000000000004E-2</v>
      </c>
    </row>
    <row r="957" spans="23:33">
      <c r="W957" t="s">
        <v>3405</v>
      </c>
      <c r="X957" s="4" t="s">
        <v>3363</v>
      </c>
      <c r="Y957" s="4" t="str">
        <f t="shared" si="82"/>
        <v>E6740</v>
      </c>
      <c r="Z957" t="s">
        <v>587</v>
      </c>
      <c r="AA957" t="s">
        <v>588</v>
      </c>
      <c r="AB957" t="s">
        <v>506</v>
      </c>
      <c r="AC957" t="s">
        <v>507</v>
      </c>
      <c r="AD957" t="s">
        <v>508</v>
      </c>
      <c r="AE957" t="s">
        <v>509</v>
      </c>
      <c r="AF957" t="s">
        <v>589</v>
      </c>
      <c r="AG957" s="115">
        <f>+VLOOKUP(Y957,B:O,10,FALSE)/1000</f>
        <v>2.5760000000000002E-2</v>
      </c>
    </row>
    <row r="958" spans="23:33">
      <c r="W958" t="s">
        <v>3405</v>
      </c>
      <c r="X958" s="4" t="s">
        <v>3364</v>
      </c>
      <c r="Y958" s="4" t="str">
        <f t="shared" si="82"/>
        <v>E6740</v>
      </c>
      <c r="Z958" t="s">
        <v>587</v>
      </c>
      <c r="AA958" t="s">
        <v>588</v>
      </c>
      <c r="AB958" t="s">
        <v>506</v>
      </c>
      <c r="AC958" t="s">
        <v>507</v>
      </c>
      <c r="AD958" t="s">
        <v>508</v>
      </c>
      <c r="AE958" t="s">
        <v>509</v>
      </c>
      <c r="AF958" t="s">
        <v>589</v>
      </c>
      <c r="AG958" s="115">
        <f>+VLOOKUP(Y958,B:O,11,FALSE)/1000</f>
        <v>2.7879999999999999E-2</v>
      </c>
    </row>
    <row r="959" spans="23:33">
      <c r="W959" t="s">
        <v>3405</v>
      </c>
      <c r="X959" s="4" t="s">
        <v>3365</v>
      </c>
      <c r="Y959" s="4" t="str">
        <f t="shared" si="82"/>
        <v>E6740</v>
      </c>
      <c r="Z959" t="s">
        <v>587</v>
      </c>
      <c r="AA959" t="s">
        <v>588</v>
      </c>
      <c r="AB959" t="s">
        <v>506</v>
      </c>
      <c r="AC959" t="s">
        <v>507</v>
      </c>
      <c r="AD959" t="s">
        <v>508</v>
      </c>
      <c r="AE959" t="s">
        <v>509</v>
      </c>
      <c r="AF959" t="s">
        <v>589</v>
      </c>
      <c r="AG959" s="115">
        <f>+VLOOKUP(Y959,B:O,12,FALSE)/1000</f>
        <v>2.8680000000000004E-2</v>
      </c>
    </row>
    <row r="960" spans="23:33">
      <c r="W960" t="s">
        <v>3405</v>
      </c>
      <c r="X960" s="4" t="s">
        <v>3366</v>
      </c>
      <c r="Y960" s="4" t="str">
        <f t="shared" si="82"/>
        <v>E6740</v>
      </c>
      <c r="Z960" t="s">
        <v>587</v>
      </c>
      <c r="AA960" t="s">
        <v>588</v>
      </c>
      <c r="AB960" t="s">
        <v>506</v>
      </c>
      <c r="AC960" t="s">
        <v>507</v>
      </c>
      <c r="AD960" t="s">
        <v>508</v>
      </c>
      <c r="AE960" t="s">
        <v>509</v>
      </c>
      <c r="AF960" t="s">
        <v>589</v>
      </c>
      <c r="AG960" s="115">
        <f>+VLOOKUP(Y960,B:O,13,FALSE)/1000</f>
        <v>9.8900000000000047E-3</v>
      </c>
    </row>
    <row r="961" spans="23:33">
      <c r="W961" t="s">
        <v>3405</v>
      </c>
      <c r="X961" s="4" t="s">
        <v>3367</v>
      </c>
      <c r="Y961" s="4" t="str">
        <f t="shared" si="82"/>
        <v>E6740</v>
      </c>
      <c r="Z961" t="s">
        <v>587</v>
      </c>
      <c r="AA961" t="s">
        <v>588</v>
      </c>
      <c r="AB961" t="s">
        <v>506</v>
      </c>
      <c r="AC961" t="s">
        <v>507</v>
      </c>
      <c r="AD961" t="s">
        <v>508</v>
      </c>
      <c r="AE961" t="s">
        <v>509</v>
      </c>
      <c r="AF961" t="s">
        <v>589</v>
      </c>
      <c r="AG961" s="115">
        <f>+VLOOKUP(Y961,B:O,14,FALSE)/1000</f>
        <v>-1.5400000000000036E-3</v>
      </c>
    </row>
    <row r="962" spans="23:33">
      <c r="W962" t="s">
        <v>3405</v>
      </c>
      <c r="X962" s="4" t="s">
        <v>3356</v>
      </c>
      <c r="Y962" s="150" t="str">
        <f>INDEX($B$3:$O$110,107,1)</f>
        <v>E6760</v>
      </c>
      <c r="Z962" t="s">
        <v>587</v>
      </c>
      <c r="AA962" t="s">
        <v>588</v>
      </c>
      <c r="AB962" t="s">
        <v>506</v>
      </c>
      <c r="AC962" t="s">
        <v>507</v>
      </c>
      <c r="AD962" t="s">
        <v>508</v>
      </c>
      <c r="AE962" t="s">
        <v>509</v>
      </c>
      <c r="AF962" t="s">
        <v>589</v>
      </c>
      <c r="AG962" s="743">
        <v>0</v>
      </c>
    </row>
    <row r="963" spans="23:33">
      <c r="W963" t="s">
        <v>3405</v>
      </c>
      <c r="X963" s="4" t="s">
        <v>3357</v>
      </c>
      <c r="Y963" s="4" t="str">
        <f>Y962</f>
        <v>E6760</v>
      </c>
      <c r="Z963" t="s">
        <v>587</v>
      </c>
      <c r="AA963" t="s">
        <v>588</v>
      </c>
      <c r="AB963" t="s">
        <v>506</v>
      </c>
      <c r="AC963" t="s">
        <v>507</v>
      </c>
      <c r="AD963" t="s">
        <v>508</v>
      </c>
      <c r="AE963" t="s">
        <v>509</v>
      </c>
      <c r="AF963" t="s">
        <v>589</v>
      </c>
      <c r="AG963" s="743">
        <v>0</v>
      </c>
    </row>
    <row r="964" spans="23:33">
      <c r="W964" t="s">
        <v>3405</v>
      </c>
      <c r="X964" s="4" t="s">
        <v>3358</v>
      </c>
      <c r="Y964" s="4" t="str">
        <f t="shared" ref="Y964:Y973" si="83">Y963</f>
        <v>E6760</v>
      </c>
      <c r="Z964" t="s">
        <v>587</v>
      </c>
      <c r="AA964" t="s">
        <v>588</v>
      </c>
      <c r="AB964" t="s">
        <v>506</v>
      </c>
      <c r="AC964" t="s">
        <v>507</v>
      </c>
      <c r="AD964" t="s">
        <v>508</v>
      </c>
      <c r="AE964" t="s">
        <v>509</v>
      </c>
      <c r="AF964" t="s">
        <v>589</v>
      </c>
      <c r="AG964" s="743">
        <v>0</v>
      </c>
    </row>
    <row r="965" spans="23:33">
      <c r="W965" t="s">
        <v>3405</v>
      </c>
      <c r="X965" s="4" t="s">
        <v>3359</v>
      </c>
      <c r="Y965" s="4" t="str">
        <f t="shared" si="83"/>
        <v>E6760</v>
      </c>
      <c r="Z965" t="s">
        <v>587</v>
      </c>
      <c r="AA965" t="s">
        <v>588</v>
      </c>
      <c r="AB965" t="s">
        <v>506</v>
      </c>
      <c r="AC965" t="s">
        <v>507</v>
      </c>
      <c r="AD965" t="s">
        <v>508</v>
      </c>
      <c r="AE965" t="s">
        <v>509</v>
      </c>
      <c r="AF965" t="s">
        <v>589</v>
      </c>
      <c r="AG965" s="743">
        <v>0</v>
      </c>
    </row>
    <row r="966" spans="23:33">
      <c r="W966" t="s">
        <v>3405</v>
      </c>
      <c r="X966" s="4" t="s">
        <v>3360</v>
      </c>
      <c r="Y966" s="4" t="str">
        <f t="shared" si="83"/>
        <v>E6760</v>
      </c>
      <c r="Z966" t="s">
        <v>587</v>
      </c>
      <c r="AA966" t="s">
        <v>588</v>
      </c>
      <c r="AB966" t="s">
        <v>506</v>
      </c>
      <c r="AC966" t="s">
        <v>507</v>
      </c>
      <c r="AD966" t="s">
        <v>508</v>
      </c>
      <c r="AE966" t="s">
        <v>509</v>
      </c>
      <c r="AF966" t="s">
        <v>589</v>
      </c>
      <c r="AG966" s="743">
        <v>0</v>
      </c>
    </row>
    <row r="967" spans="23:33">
      <c r="W967" t="s">
        <v>3405</v>
      </c>
      <c r="X967" s="4" t="s">
        <v>3361</v>
      </c>
      <c r="Y967" s="4" t="str">
        <f t="shared" si="83"/>
        <v>E6760</v>
      </c>
      <c r="Z967" t="s">
        <v>587</v>
      </c>
      <c r="AA967" t="s">
        <v>588</v>
      </c>
      <c r="AB967" t="s">
        <v>506</v>
      </c>
      <c r="AC967" t="s">
        <v>507</v>
      </c>
      <c r="AD967" t="s">
        <v>508</v>
      </c>
      <c r="AE967" t="s">
        <v>509</v>
      </c>
      <c r="AF967" t="s">
        <v>589</v>
      </c>
      <c r="AG967" s="743">
        <v>0</v>
      </c>
    </row>
    <row r="968" spans="23:33">
      <c r="W968" t="s">
        <v>3405</v>
      </c>
      <c r="X968" s="4" t="s">
        <v>3362</v>
      </c>
      <c r="Y968" s="4" t="str">
        <f t="shared" si="83"/>
        <v>E6760</v>
      </c>
      <c r="Z968" t="s">
        <v>587</v>
      </c>
      <c r="AA968" t="s">
        <v>588</v>
      </c>
      <c r="AB968" t="s">
        <v>506</v>
      </c>
      <c r="AC968" t="s">
        <v>507</v>
      </c>
      <c r="AD968" t="s">
        <v>508</v>
      </c>
      <c r="AE968" t="s">
        <v>509</v>
      </c>
      <c r="AF968" t="s">
        <v>589</v>
      </c>
      <c r="AG968" s="743">
        <v>0</v>
      </c>
    </row>
    <row r="969" spans="23:33">
      <c r="W969" t="s">
        <v>3405</v>
      </c>
      <c r="X969" s="4" t="s">
        <v>3363</v>
      </c>
      <c r="Y969" s="4" t="str">
        <f t="shared" si="83"/>
        <v>E6760</v>
      </c>
      <c r="Z969" t="s">
        <v>587</v>
      </c>
      <c r="AA969" t="s">
        <v>588</v>
      </c>
      <c r="AB969" t="s">
        <v>506</v>
      </c>
      <c r="AC969" t="s">
        <v>507</v>
      </c>
      <c r="AD969" t="s">
        <v>508</v>
      </c>
      <c r="AE969" t="s">
        <v>509</v>
      </c>
      <c r="AF969" t="s">
        <v>589</v>
      </c>
      <c r="AG969" s="743">
        <v>0</v>
      </c>
    </row>
    <row r="970" spans="23:33">
      <c r="W970" t="s">
        <v>3405</v>
      </c>
      <c r="X970" s="4" t="s">
        <v>3364</v>
      </c>
      <c r="Y970" s="4" t="str">
        <f t="shared" si="83"/>
        <v>E6760</v>
      </c>
      <c r="Z970" t="s">
        <v>587</v>
      </c>
      <c r="AA970" t="s">
        <v>588</v>
      </c>
      <c r="AB970" t="s">
        <v>506</v>
      </c>
      <c r="AC970" t="s">
        <v>507</v>
      </c>
      <c r="AD970" t="s">
        <v>508</v>
      </c>
      <c r="AE970" t="s">
        <v>509</v>
      </c>
      <c r="AF970" t="s">
        <v>589</v>
      </c>
      <c r="AG970" s="743">
        <v>0</v>
      </c>
    </row>
    <row r="971" spans="23:33">
      <c r="W971" t="s">
        <v>3405</v>
      </c>
      <c r="X971" s="4" t="s">
        <v>3365</v>
      </c>
      <c r="Y971" s="4" t="str">
        <f t="shared" si="83"/>
        <v>E6760</v>
      </c>
      <c r="Z971" t="s">
        <v>587</v>
      </c>
      <c r="AA971" t="s">
        <v>588</v>
      </c>
      <c r="AB971" t="s">
        <v>506</v>
      </c>
      <c r="AC971" t="s">
        <v>507</v>
      </c>
      <c r="AD971" t="s">
        <v>508</v>
      </c>
      <c r="AE971" t="s">
        <v>509</v>
      </c>
      <c r="AF971" t="s">
        <v>589</v>
      </c>
      <c r="AG971" s="743">
        <v>0</v>
      </c>
    </row>
    <row r="972" spans="23:33">
      <c r="W972" t="s">
        <v>3405</v>
      </c>
      <c r="X972" s="4" t="s">
        <v>3366</v>
      </c>
      <c r="Y972" s="4" t="str">
        <f t="shared" si="83"/>
        <v>E6760</v>
      </c>
      <c r="Z972" t="s">
        <v>587</v>
      </c>
      <c r="AA972" t="s">
        <v>588</v>
      </c>
      <c r="AB972" t="s">
        <v>506</v>
      </c>
      <c r="AC972" t="s">
        <v>507</v>
      </c>
      <c r="AD972" t="s">
        <v>508</v>
      </c>
      <c r="AE972" t="s">
        <v>509</v>
      </c>
      <c r="AF972" t="s">
        <v>589</v>
      </c>
      <c r="AG972" s="115">
        <f>+VLOOKUP(Y972,B:O,13,FALSE)/1000</f>
        <v>9.8900000000000047E-3</v>
      </c>
    </row>
    <row r="973" spans="23:33">
      <c r="W973" t="s">
        <v>3405</v>
      </c>
      <c r="X973" s="4" t="s">
        <v>3367</v>
      </c>
      <c r="Y973" s="4" t="str">
        <f t="shared" si="83"/>
        <v>E6760</v>
      </c>
      <c r="Z973" t="s">
        <v>587</v>
      </c>
      <c r="AA973" t="s">
        <v>588</v>
      </c>
      <c r="AB973" t="s">
        <v>506</v>
      </c>
      <c r="AC973" t="s">
        <v>507</v>
      </c>
      <c r="AD973" t="s">
        <v>508</v>
      </c>
      <c r="AE973" t="s">
        <v>509</v>
      </c>
      <c r="AF973" t="s">
        <v>589</v>
      </c>
      <c r="AG973" s="115">
        <f>+VLOOKUP(Y973,B:O,14,FALSE)/1000</f>
        <v>-1.5400000000000036E-3</v>
      </c>
    </row>
    <row r="974" spans="23:33">
      <c r="W974" s="4"/>
      <c r="Y974" s="151"/>
      <c r="Z974" s="4"/>
      <c r="AA974" s="4"/>
      <c r="AB974" s="4"/>
      <c r="AC974" s="4"/>
      <c r="AD974" s="4"/>
      <c r="AE974" s="4"/>
      <c r="AF974" s="4"/>
      <c r="AG974" s="4"/>
    </row>
    <row r="975" spans="23:33">
      <c r="W975" s="4"/>
      <c r="Z975" s="4"/>
      <c r="AA975" s="4"/>
      <c r="AB975" s="4"/>
      <c r="AC975" s="4"/>
      <c r="AD975" s="4"/>
      <c r="AE975" s="4"/>
      <c r="AF975" s="4"/>
      <c r="AG975" s="4"/>
    </row>
    <row r="976" spans="23:33">
      <c r="W976" s="4"/>
      <c r="Z976" s="4"/>
      <c r="AA976" s="4"/>
      <c r="AB976" s="4"/>
      <c r="AC976" s="4"/>
      <c r="AD976" s="4"/>
      <c r="AE976" s="4"/>
      <c r="AF976" s="4"/>
      <c r="AG976" s="4"/>
    </row>
    <row r="977" spans="23:33">
      <c r="W977" s="4"/>
      <c r="Z977" s="4"/>
      <c r="AA977" s="4"/>
      <c r="AB977" s="4"/>
      <c r="AC977" s="4"/>
      <c r="AD977" s="4"/>
      <c r="AE977" s="4"/>
      <c r="AF977" s="4"/>
      <c r="AG977" s="4"/>
    </row>
    <row r="978" spans="23:33">
      <c r="W978" s="4"/>
      <c r="Z978" s="4"/>
      <c r="AA978" s="4"/>
      <c r="AB978" s="4"/>
      <c r="AC978" s="4"/>
      <c r="AD978" s="4"/>
      <c r="AE978" s="4"/>
      <c r="AF978" s="4"/>
      <c r="AG978" s="4"/>
    </row>
    <row r="979" spans="23:33">
      <c r="W979" s="4"/>
      <c r="Z979" s="4"/>
      <c r="AA979" s="4"/>
      <c r="AB979" s="4"/>
      <c r="AC979" s="4"/>
      <c r="AD979" s="4"/>
      <c r="AE979" s="4"/>
      <c r="AF979" s="4"/>
      <c r="AG979" s="4"/>
    </row>
    <row r="980" spans="23:33">
      <c r="W980" s="4"/>
      <c r="Z980" s="4"/>
      <c r="AA980" s="4"/>
      <c r="AB980" s="4"/>
      <c r="AC980" s="4"/>
      <c r="AD980" s="4"/>
      <c r="AE980" s="4"/>
      <c r="AF980" s="4"/>
      <c r="AG980" s="4"/>
    </row>
    <row r="981" spans="23:33">
      <c r="W981" s="4"/>
      <c r="Z981" s="4"/>
      <c r="AA981" s="4"/>
      <c r="AB981" s="4"/>
      <c r="AC981" s="4"/>
      <c r="AD981" s="4"/>
      <c r="AE981" s="4"/>
      <c r="AF981" s="4"/>
      <c r="AG981" s="4"/>
    </row>
    <row r="982" spans="23:33">
      <c r="W982" s="4"/>
      <c r="Z982" s="4"/>
      <c r="AA982" s="4"/>
      <c r="AB982" s="4"/>
      <c r="AC982" s="4"/>
      <c r="AD982" s="4"/>
      <c r="AE982" s="4"/>
      <c r="AF982" s="4"/>
      <c r="AG982" s="4"/>
    </row>
    <row r="983" spans="23:33">
      <c r="W983" s="4"/>
      <c r="Z983" s="4"/>
      <c r="AA983" s="4"/>
      <c r="AB983" s="4"/>
      <c r="AC983" s="4"/>
      <c r="AD983" s="4"/>
      <c r="AE983" s="4"/>
      <c r="AF983" s="4"/>
      <c r="AG983" s="4"/>
    </row>
    <row r="984" spans="23:33">
      <c r="W984" s="4"/>
      <c r="Z984" s="4"/>
      <c r="AA984" s="4"/>
      <c r="AB984" s="4"/>
      <c r="AC984" s="4"/>
      <c r="AD984" s="4"/>
      <c r="AE984" s="4"/>
      <c r="AF984" s="4"/>
      <c r="AG984" s="4"/>
    </row>
    <row r="985" spans="23:33">
      <c r="W985" s="4"/>
      <c r="Z985" s="4"/>
      <c r="AA985" s="4"/>
      <c r="AB985" s="4"/>
      <c r="AC985" s="4"/>
      <c r="AD985" s="4"/>
      <c r="AE985" s="4"/>
      <c r="AF985" s="4"/>
      <c r="AG985" s="4"/>
    </row>
    <row r="986" spans="23:33">
      <c r="W986" s="4"/>
      <c r="Z986" s="4"/>
      <c r="AA986" s="4"/>
      <c r="AB986" s="4"/>
      <c r="AC986" s="4"/>
      <c r="AD986" s="4"/>
      <c r="AE986" s="4"/>
      <c r="AF986" s="4"/>
      <c r="AG986" s="4"/>
    </row>
  </sheetData>
  <autoFilter ref="A1:AG101" xr:uid="{CC5BFE30-FD87-4507-B266-62310ECE91CC}"/>
  <conditionalFormatting sqref="B1:B1048576">
    <cfRule type="duplicateValues" dxfId="123" priority="1"/>
  </conditionalFormatting>
  <pageMargins left="0.7" right="0.7" top="0.75" bottom="0.75" header="0.3" footer="0.3"/>
  <pageSetup paperSize="9" orientation="portrait" r:id="rId2"/>
  <customProperties>
    <customPr name="Longview.RefreshTimestamp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75A92-47BE-4E18-9380-7E4C69B732ED}">
  <dimension ref="A1:AT986"/>
  <sheetViews>
    <sheetView topLeftCell="J203" zoomScale="85" zoomScaleNormal="85" workbookViewId="0">
      <selection activeCell="AE233" sqref="AE233"/>
    </sheetView>
  </sheetViews>
  <sheetFormatPr baseColWidth="10" defaultRowHeight="15"/>
  <cols>
    <col min="1" max="1" width="4.140625" bestFit="1" customWidth="1"/>
    <col min="2" max="2" width="10.42578125" customWidth="1"/>
    <col min="3" max="3" width="33.5703125" customWidth="1"/>
    <col min="4" max="14" width="10" bestFit="1" customWidth="1"/>
    <col min="15" max="15" width="12.28515625" bestFit="1" customWidth="1"/>
    <col min="16" max="21" width="11.42578125" customWidth="1"/>
    <col min="22" max="22" width="7.85546875" customWidth="1"/>
    <col min="23" max="23" width="17.7109375" bestFit="1" customWidth="1"/>
    <col min="24" max="24" width="7.42578125" style="4" bestFit="1" customWidth="1"/>
    <col min="25" max="25" width="6.140625" style="4" bestFit="1" customWidth="1"/>
    <col min="26" max="26" width="15.42578125" bestFit="1" customWidth="1"/>
    <col min="27" max="27" width="18" bestFit="1" customWidth="1"/>
    <col min="28" max="28" width="15.7109375" bestFit="1" customWidth="1"/>
    <col min="29" max="29" width="12.28515625" bestFit="1" customWidth="1"/>
    <col min="30" max="30" width="11.85546875" bestFit="1" customWidth="1"/>
    <col min="31" max="31" width="14.85546875" bestFit="1" customWidth="1"/>
    <col min="32" max="32" width="15.7109375" bestFit="1" customWidth="1"/>
    <col min="33" max="33" width="9.5703125" bestFit="1" customWidth="1"/>
  </cols>
  <sheetData>
    <row r="1" spans="1:35">
      <c r="Y1" s="3"/>
    </row>
    <row r="2" spans="1:35">
      <c r="B2">
        <f>A2+1</f>
        <v>1</v>
      </c>
      <c r="C2">
        <f t="shared" ref="C2:N2" si="0">B2+1</f>
        <v>2</v>
      </c>
      <c r="D2">
        <f t="shared" si="0"/>
        <v>3</v>
      </c>
      <c r="E2">
        <f t="shared" si="0"/>
        <v>4</v>
      </c>
      <c r="F2">
        <f t="shared" si="0"/>
        <v>5</v>
      </c>
      <c r="G2">
        <f t="shared" si="0"/>
        <v>6</v>
      </c>
      <c r="H2">
        <f t="shared" si="0"/>
        <v>7</v>
      </c>
      <c r="I2">
        <f t="shared" si="0"/>
        <v>8</v>
      </c>
      <c r="J2">
        <f t="shared" si="0"/>
        <v>9</v>
      </c>
      <c r="K2">
        <f t="shared" si="0"/>
        <v>10</v>
      </c>
      <c r="L2">
        <f t="shared" si="0"/>
        <v>11</v>
      </c>
      <c r="M2">
        <f t="shared" si="0"/>
        <v>12</v>
      </c>
      <c r="N2">
        <f t="shared" si="0"/>
        <v>13</v>
      </c>
      <c r="O2">
        <v>14</v>
      </c>
      <c r="W2" s="4" t="s">
        <v>585</v>
      </c>
      <c r="X2" s="3" t="s">
        <v>3356</v>
      </c>
      <c r="Y2" s="150" t="str">
        <f>INDEX($B$3:$O$110,3,1)</f>
        <v>E5020</v>
      </c>
      <c r="Z2" s="4" t="s">
        <v>587</v>
      </c>
      <c r="AA2" s="114" t="s">
        <v>588</v>
      </c>
      <c r="AB2" s="4" t="s">
        <v>506</v>
      </c>
      <c r="AC2" s="4" t="s">
        <v>507</v>
      </c>
      <c r="AD2" s="4" t="s">
        <v>508</v>
      </c>
      <c r="AE2" s="4" t="s">
        <v>509</v>
      </c>
      <c r="AF2" s="4" t="s">
        <v>589</v>
      </c>
      <c r="AG2" s="743">
        <v>0</v>
      </c>
      <c r="AH2" s="4" t="s">
        <v>831</v>
      </c>
      <c r="AI2" s="158"/>
    </row>
    <row r="3" spans="1:35">
      <c r="A3">
        <v>1</v>
      </c>
      <c r="W3" s="4" t="s">
        <v>585</v>
      </c>
      <c r="X3" s="4" t="s">
        <v>3357</v>
      </c>
      <c r="Y3" s="151" t="str">
        <f>Y2</f>
        <v>E5020</v>
      </c>
      <c r="Z3" s="4" t="s">
        <v>587</v>
      </c>
      <c r="AA3" s="114" t="s">
        <v>588</v>
      </c>
      <c r="AB3" s="4" t="s">
        <v>506</v>
      </c>
      <c r="AC3" s="4" t="s">
        <v>507</v>
      </c>
      <c r="AD3" s="4" t="s">
        <v>508</v>
      </c>
      <c r="AE3" s="4" t="s">
        <v>509</v>
      </c>
      <c r="AF3" s="4" t="s">
        <v>589</v>
      </c>
      <c r="AG3" s="743">
        <v>0</v>
      </c>
      <c r="AH3" t="s">
        <v>831</v>
      </c>
      <c r="AI3" s="158"/>
    </row>
    <row r="4" spans="1:35">
      <c r="A4">
        <f t="shared" ref="A4:A67" si="1">A3+1</f>
        <v>2</v>
      </c>
      <c r="B4" s="106" t="s">
        <v>829</v>
      </c>
      <c r="C4" s="106" t="s">
        <v>278</v>
      </c>
      <c r="D4" s="60" t="s">
        <v>3032</v>
      </c>
      <c r="E4" s="60" t="s">
        <v>3033</v>
      </c>
      <c r="F4" s="60" t="s">
        <v>3034</v>
      </c>
      <c r="G4" s="60" t="s">
        <v>3035</v>
      </c>
      <c r="H4" s="60" t="s">
        <v>3036</v>
      </c>
      <c r="I4" s="60" t="s">
        <v>3037</v>
      </c>
      <c r="J4" s="60" t="s">
        <v>3038</v>
      </c>
      <c r="K4" s="60" t="s">
        <v>3039</v>
      </c>
      <c r="L4" s="60" t="s">
        <v>3040</v>
      </c>
      <c r="M4" s="60" t="s">
        <v>3041</v>
      </c>
      <c r="N4" s="60" t="s">
        <v>3042</v>
      </c>
      <c r="O4" s="60" t="s">
        <v>3031</v>
      </c>
      <c r="W4" s="4" t="s">
        <v>585</v>
      </c>
      <c r="X4" s="4" t="s">
        <v>3358</v>
      </c>
      <c r="Y4" s="151" t="str">
        <f t="shared" ref="Y4:Y13" si="2">Y3</f>
        <v>E5020</v>
      </c>
      <c r="Z4" s="4" t="s">
        <v>587</v>
      </c>
      <c r="AA4" s="114" t="s">
        <v>588</v>
      </c>
      <c r="AB4" s="4" t="s">
        <v>506</v>
      </c>
      <c r="AC4" s="4" t="s">
        <v>507</v>
      </c>
      <c r="AD4" s="4" t="s">
        <v>508</v>
      </c>
      <c r="AE4" s="4" t="s">
        <v>509</v>
      </c>
      <c r="AF4" s="4" t="s">
        <v>589</v>
      </c>
      <c r="AG4" s="743">
        <v>0</v>
      </c>
      <c r="AH4" t="s">
        <v>831</v>
      </c>
      <c r="AI4" s="158"/>
    </row>
    <row r="5" spans="1:35">
      <c r="A5">
        <f t="shared" si="1"/>
        <v>3</v>
      </c>
      <c r="B5" t="s">
        <v>830</v>
      </c>
      <c r="C5" t="s">
        <v>2650</v>
      </c>
      <c r="D5" t="s">
        <v>476</v>
      </c>
      <c r="E5" t="s">
        <v>476</v>
      </c>
      <c r="F5" t="s">
        <v>476</v>
      </c>
      <c r="G5" t="s">
        <v>476</v>
      </c>
      <c r="H5" t="s">
        <v>476</v>
      </c>
      <c r="I5" t="s">
        <v>476</v>
      </c>
      <c r="J5" t="s">
        <v>476</v>
      </c>
      <c r="K5" t="s">
        <v>476</v>
      </c>
      <c r="L5" t="s">
        <v>476</v>
      </c>
      <c r="M5" t="s">
        <v>476</v>
      </c>
      <c r="N5" t="s">
        <v>476</v>
      </c>
      <c r="O5" t="s">
        <v>476</v>
      </c>
      <c r="W5" s="4" t="s">
        <v>585</v>
      </c>
      <c r="X5" s="4" t="s">
        <v>3359</v>
      </c>
      <c r="Y5" s="151" t="str">
        <f t="shared" si="2"/>
        <v>E5020</v>
      </c>
      <c r="Z5" s="4" t="s">
        <v>587</v>
      </c>
      <c r="AA5" s="114" t="s">
        <v>588</v>
      </c>
      <c r="AB5" s="4" t="s">
        <v>506</v>
      </c>
      <c r="AC5" s="4" t="s">
        <v>507</v>
      </c>
      <c r="AD5" s="4" t="s">
        <v>508</v>
      </c>
      <c r="AE5" s="4" t="s">
        <v>509</v>
      </c>
      <c r="AF5" s="4" t="s">
        <v>589</v>
      </c>
      <c r="AG5" s="743">
        <v>0</v>
      </c>
      <c r="AH5" t="s">
        <v>831</v>
      </c>
      <c r="AI5" s="158"/>
    </row>
    <row r="6" spans="1:35">
      <c r="A6">
        <f t="shared" si="1"/>
        <v>4</v>
      </c>
      <c r="B6" t="s">
        <v>406</v>
      </c>
      <c r="C6" t="s">
        <v>3271</v>
      </c>
      <c r="D6">
        <v>76.94</v>
      </c>
      <c r="E6">
        <v>78.150000000000006</v>
      </c>
      <c r="F6">
        <v>75.62</v>
      </c>
      <c r="G6">
        <v>55.02</v>
      </c>
      <c r="H6">
        <v>50.17</v>
      </c>
      <c r="I6">
        <v>52.32</v>
      </c>
      <c r="J6">
        <v>55.06</v>
      </c>
      <c r="K6">
        <v>47.19</v>
      </c>
      <c r="L6">
        <v>39.99</v>
      </c>
      <c r="M6">
        <v>39.46</v>
      </c>
      <c r="N6">
        <v>59.23</v>
      </c>
      <c r="O6">
        <v>63.38</v>
      </c>
      <c r="W6" s="4" t="s">
        <v>585</v>
      </c>
      <c r="X6" s="4" t="s">
        <v>3360</v>
      </c>
      <c r="Y6" s="151" t="str">
        <f t="shared" si="2"/>
        <v>E5020</v>
      </c>
      <c r="Z6" s="4" t="s">
        <v>587</v>
      </c>
      <c r="AA6" s="114" t="s">
        <v>588</v>
      </c>
      <c r="AB6" s="4" t="s">
        <v>506</v>
      </c>
      <c r="AC6" s="4" t="s">
        <v>507</v>
      </c>
      <c r="AD6" s="4" t="s">
        <v>508</v>
      </c>
      <c r="AE6" s="4" t="s">
        <v>509</v>
      </c>
      <c r="AF6" s="4" t="s">
        <v>589</v>
      </c>
      <c r="AG6" s="743">
        <v>0</v>
      </c>
      <c r="AH6" t="s">
        <v>831</v>
      </c>
      <c r="AI6" s="158"/>
    </row>
    <row r="7" spans="1:35">
      <c r="A7">
        <f t="shared" si="1"/>
        <v>5</v>
      </c>
      <c r="B7" t="s">
        <v>409</v>
      </c>
      <c r="C7" t="s">
        <v>284</v>
      </c>
      <c r="D7">
        <v>45.900023635074447</v>
      </c>
      <c r="E7">
        <v>45.900023635074447</v>
      </c>
      <c r="F7">
        <v>45.900023635074447</v>
      </c>
      <c r="G7">
        <v>45.900023635074447</v>
      </c>
      <c r="H7">
        <v>45.900023635074447</v>
      </c>
      <c r="I7">
        <v>45.900023635074447</v>
      </c>
      <c r="J7">
        <v>45.900023635074447</v>
      </c>
      <c r="K7">
        <v>45.900023635074447</v>
      </c>
      <c r="L7">
        <v>45.900023635074447</v>
      </c>
      <c r="M7">
        <v>45.900023635074447</v>
      </c>
      <c r="N7">
        <v>45.900023635074447</v>
      </c>
      <c r="O7">
        <v>45.900023635074447</v>
      </c>
      <c r="W7" s="4" t="s">
        <v>585</v>
      </c>
      <c r="X7" s="4" t="s">
        <v>3361</v>
      </c>
      <c r="Y7" s="151" t="str">
        <f t="shared" si="2"/>
        <v>E5020</v>
      </c>
      <c r="Z7" s="4" t="s">
        <v>587</v>
      </c>
      <c r="AA7" s="114" t="s">
        <v>588</v>
      </c>
      <c r="AB7" s="4" t="s">
        <v>506</v>
      </c>
      <c r="AC7" s="4" t="s">
        <v>507</v>
      </c>
      <c r="AD7" s="4" t="s">
        <v>508</v>
      </c>
      <c r="AE7" s="4" t="s">
        <v>509</v>
      </c>
      <c r="AF7" s="4" t="s">
        <v>589</v>
      </c>
      <c r="AG7" s="743">
        <v>0</v>
      </c>
      <c r="AH7" t="s">
        <v>831</v>
      </c>
      <c r="AI7" s="158"/>
    </row>
    <row r="8" spans="1:35">
      <c r="A8">
        <f t="shared" si="1"/>
        <v>6</v>
      </c>
      <c r="B8" t="s">
        <v>411</v>
      </c>
      <c r="C8" t="s">
        <v>285</v>
      </c>
      <c r="D8">
        <v>45.900002703866321</v>
      </c>
      <c r="E8">
        <v>45.900002703866321</v>
      </c>
      <c r="F8">
        <v>45.900002703866321</v>
      </c>
      <c r="G8">
        <v>45.900002703866321</v>
      </c>
      <c r="H8">
        <v>45.900002703866321</v>
      </c>
      <c r="I8">
        <v>45.900002703866321</v>
      </c>
      <c r="J8">
        <v>45.900002703866321</v>
      </c>
      <c r="K8">
        <v>45.900002703866321</v>
      </c>
      <c r="L8">
        <v>45.900002703866321</v>
      </c>
      <c r="M8">
        <v>45.900002703866321</v>
      </c>
      <c r="N8">
        <v>45.900002703866321</v>
      </c>
      <c r="O8">
        <v>45.900002703866321</v>
      </c>
      <c r="W8" s="4" t="s">
        <v>585</v>
      </c>
      <c r="X8" s="4" t="s">
        <v>3362</v>
      </c>
      <c r="Y8" s="151" t="str">
        <f t="shared" si="2"/>
        <v>E5020</v>
      </c>
      <c r="Z8" s="4" t="s">
        <v>587</v>
      </c>
      <c r="AA8" s="114" t="s">
        <v>588</v>
      </c>
      <c r="AB8" s="4" t="s">
        <v>506</v>
      </c>
      <c r="AC8" s="4" t="s">
        <v>507</v>
      </c>
      <c r="AD8" s="4" t="s">
        <v>508</v>
      </c>
      <c r="AE8" s="4" t="s">
        <v>509</v>
      </c>
      <c r="AF8" s="4" t="s">
        <v>589</v>
      </c>
      <c r="AG8" s="743">
        <v>0</v>
      </c>
      <c r="AH8" t="s">
        <v>831</v>
      </c>
      <c r="AI8" s="158"/>
    </row>
    <row r="9" spans="1:35">
      <c r="A9">
        <f t="shared" si="1"/>
        <v>7</v>
      </c>
      <c r="B9" t="s">
        <v>316</v>
      </c>
      <c r="C9" t="s">
        <v>528</v>
      </c>
      <c r="D9">
        <v>47.500005608436879</v>
      </c>
      <c r="E9">
        <v>47.500005608436879</v>
      </c>
      <c r="F9">
        <v>47.500005608436879</v>
      </c>
      <c r="G9">
        <v>47.500005608436879</v>
      </c>
      <c r="H9">
        <v>47.500005608436879</v>
      </c>
      <c r="I9">
        <v>47.500005608436879</v>
      </c>
      <c r="J9">
        <v>47.500005608436879</v>
      </c>
      <c r="K9">
        <v>47.500005608436879</v>
      </c>
      <c r="L9">
        <v>47.500005608436879</v>
      </c>
      <c r="M9">
        <v>47.500005608436879</v>
      </c>
      <c r="N9">
        <v>47.500005608436879</v>
      </c>
      <c r="O9">
        <v>47.500005608436879</v>
      </c>
      <c r="W9" s="4" t="s">
        <v>585</v>
      </c>
      <c r="X9" s="4" t="s">
        <v>3363</v>
      </c>
      <c r="Y9" s="151" t="str">
        <f t="shared" si="2"/>
        <v>E5020</v>
      </c>
      <c r="Z9" s="4" t="s">
        <v>587</v>
      </c>
      <c r="AA9" s="114" t="s">
        <v>588</v>
      </c>
      <c r="AB9" s="4" t="s">
        <v>506</v>
      </c>
      <c r="AC9" s="4" t="s">
        <v>507</v>
      </c>
      <c r="AD9" s="4" t="s">
        <v>508</v>
      </c>
      <c r="AE9" s="4" t="s">
        <v>509</v>
      </c>
      <c r="AF9" s="4" t="s">
        <v>589</v>
      </c>
      <c r="AG9" s="743">
        <v>0</v>
      </c>
      <c r="AH9" t="s">
        <v>831</v>
      </c>
      <c r="AI9" s="158"/>
    </row>
    <row r="10" spans="1:35">
      <c r="A10">
        <f t="shared" si="1"/>
        <v>8</v>
      </c>
      <c r="B10" t="s">
        <v>317</v>
      </c>
      <c r="C10" t="s">
        <v>529</v>
      </c>
      <c r="D10">
        <v>47.499991211189489</v>
      </c>
      <c r="E10">
        <v>47.499991211189489</v>
      </c>
      <c r="F10">
        <v>47.499991211189489</v>
      </c>
      <c r="G10">
        <v>47.499991211189489</v>
      </c>
      <c r="H10">
        <v>47.499991211189489</v>
      </c>
      <c r="I10">
        <v>47.499991211189489</v>
      </c>
      <c r="J10">
        <v>47.499991211189489</v>
      </c>
      <c r="K10">
        <v>47.499991211189489</v>
      </c>
      <c r="L10">
        <v>47.499991211189489</v>
      </c>
      <c r="M10">
        <v>47.499991211189489</v>
      </c>
      <c r="N10">
        <v>47.499991211189489</v>
      </c>
      <c r="O10">
        <v>47.499991211189489</v>
      </c>
      <c r="W10" s="4" t="s">
        <v>585</v>
      </c>
      <c r="X10" s="4" t="s">
        <v>3364</v>
      </c>
      <c r="Y10" s="151" t="str">
        <f t="shared" si="2"/>
        <v>E5020</v>
      </c>
      <c r="Z10" s="4" t="s">
        <v>587</v>
      </c>
      <c r="AA10" s="114" t="s">
        <v>588</v>
      </c>
      <c r="AB10" s="4" t="s">
        <v>506</v>
      </c>
      <c r="AC10" s="4" t="s">
        <v>507</v>
      </c>
      <c r="AD10" s="4" t="s">
        <v>508</v>
      </c>
      <c r="AE10" s="4" t="s">
        <v>509</v>
      </c>
      <c r="AF10" s="4" t="s">
        <v>589</v>
      </c>
      <c r="AG10" s="743">
        <v>0</v>
      </c>
      <c r="AH10" t="s">
        <v>831</v>
      </c>
      <c r="AI10" s="158"/>
    </row>
    <row r="11" spans="1:35">
      <c r="A11">
        <f t="shared" si="1"/>
        <v>9</v>
      </c>
      <c r="B11" t="s">
        <v>318</v>
      </c>
      <c r="C11" t="s">
        <v>530</v>
      </c>
      <c r="D11">
        <v>47.500019754985502</v>
      </c>
      <c r="E11">
        <v>47.500019754985502</v>
      </c>
      <c r="F11">
        <v>47.500019754985502</v>
      </c>
      <c r="G11">
        <v>47.500019754985502</v>
      </c>
      <c r="H11">
        <v>47.500019754985502</v>
      </c>
      <c r="I11">
        <v>47.500019754985502</v>
      </c>
      <c r="J11">
        <v>47.500019754985502</v>
      </c>
      <c r="K11">
        <v>47.500019754985502</v>
      </c>
      <c r="L11">
        <v>47.500019754985502</v>
      </c>
      <c r="M11">
        <v>47.500019754985502</v>
      </c>
      <c r="N11">
        <v>47.500019754985502</v>
      </c>
      <c r="O11">
        <v>47.500019754985502</v>
      </c>
      <c r="W11" s="4" t="s">
        <v>585</v>
      </c>
      <c r="X11" s="4" t="s">
        <v>3365</v>
      </c>
      <c r="Y11" s="151" t="str">
        <f t="shared" si="2"/>
        <v>E5020</v>
      </c>
      <c r="Z11" s="4" t="s">
        <v>587</v>
      </c>
      <c r="AA11" s="114" t="s">
        <v>588</v>
      </c>
      <c r="AB11" s="4" t="s">
        <v>506</v>
      </c>
      <c r="AC11" s="4" t="s">
        <v>507</v>
      </c>
      <c r="AD11" s="4" t="s">
        <v>508</v>
      </c>
      <c r="AE11" s="4" t="s">
        <v>509</v>
      </c>
      <c r="AF11" s="4" t="s">
        <v>589</v>
      </c>
      <c r="AG11" s="743">
        <v>0</v>
      </c>
      <c r="AH11" t="s">
        <v>831</v>
      </c>
      <c r="AI11" s="158"/>
    </row>
    <row r="12" spans="1:35">
      <c r="A12">
        <f t="shared" si="1"/>
        <v>10</v>
      </c>
      <c r="B12" t="s">
        <v>319</v>
      </c>
      <c r="C12" t="s">
        <v>531</v>
      </c>
      <c r="D12">
        <v>47.499994822161973</v>
      </c>
      <c r="E12">
        <v>47.499994822161973</v>
      </c>
      <c r="F12">
        <v>47.499994822161973</v>
      </c>
      <c r="G12">
        <v>47.499994822161973</v>
      </c>
      <c r="H12">
        <v>47.499994822161973</v>
      </c>
      <c r="I12">
        <v>47.499994822161973</v>
      </c>
      <c r="J12">
        <v>47.499994822161973</v>
      </c>
      <c r="K12">
        <v>47.499994822161973</v>
      </c>
      <c r="L12">
        <v>47.499994822161973</v>
      </c>
      <c r="M12">
        <v>47.499994822161973</v>
      </c>
      <c r="N12">
        <v>47.499994822161973</v>
      </c>
      <c r="O12">
        <v>47.499994822161973</v>
      </c>
      <c r="W12" s="4" t="s">
        <v>585</v>
      </c>
      <c r="X12" s="4" t="s">
        <v>3366</v>
      </c>
      <c r="Y12" s="151" t="str">
        <f t="shared" si="2"/>
        <v>E5020</v>
      </c>
      <c r="Z12" s="4" t="s">
        <v>587</v>
      </c>
      <c r="AA12" s="114" t="s">
        <v>588</v>
      </c>
      <c r="AB12" s="4" t="s">
        <v>506</v>
      </c>
      <c r="AC12" s="4" t="s">
        <v>507</v>
      </c>
      <c r="AD12" s="4" t="s">
        <v>508</v>
      </c>
      <c r="AE12" s="4" t="s">
        <v>509</v>
      </c>
      <c r="AF12" s="4" t="s">
        <v>589</v>
      </c>
      <c r="AG12" s="743">
        <v>0</v>
      </c>
      <c r="AH12" t="s">
        <v>831</v>
      </c>
      <c r="AI12" s="158"/>
    </row>
    <row r="13" spans="1:35">
      <c r="A13">
        <f t="shared" si="1"/>
        <v>11</v>
      </c>
      <c r="B13" t="s">
        <v>320</v>
      </c>
      <c r="C13" t="s">
        <v>532</v>
      </c>
      <c r="D13" t="s">
        <v>476</v>
      </c>
      <c r="E13" t="s">
        <v>476</v>
      </c>
      <c r="F13" t="s">
        <v>476</v>
      </c>
      <c r="G13" t="s">
        <v>476</v>
      </c>
      <c r="H13" t="s">
        <v>476</v>
      </c>
      <c r="I13" t="s">
        <v>476</v>
      </c>
      <c r="J13" t="s">
        <v>476</v>
      </c>
      <c r="K13" t="s">
        <v>476</v>
      </c>
      <c r="L13" t="s">
        <v>476</v>
      </c>
      <c r="M13" t="s">
        <v>476</v>
      </c>
      <c r="N13" t="s">
        <v>476</v>
      </c>
      <c r="O13" t="s">
        <v>476</v>
      </c>
      <c r="W13" s="4" t="s">
        <v>585</v>
      </c>
      <c r="X13" s="4" t="s">
        <v>3367</v>
      </c>
      <c r="Y13" s="151" t="str">
        <f t="shared" si="2"/>
        <v>E5020</v>
      </c>
      <c r="Z13" s="4" t="s">
        <v>587</v>
      </c>
      <c r="AA13" s="114" t="s">
        <v>588</v>
      </c>
      <c r="AB13" s="4" t="s">
        <v>506</v>
      </c>
      <c r="AC13" s="4" t="s">
        <v>507</v>
      </c>
      <c r="AD13" s="4" t="s">
        <v>508</v>
      </c>
      <c r="AE13" s="4" t="s">
        <v>509</v>
      </c>
      <c r="AF13" s="4" t="s">
        <v>589</v>
      </c>
      <c r="AG13" s="743">
        <v>0</v>
      </c>
      <c r="AH13" t="s">
        <v>831</v>
      </c>
      <c r="AI13" s="158"/>
    </row>
    <row r="14" spans="1:35">
      <c r="A14">
        <f t="shared" si="1"/>
        <v>12</v>
      </c>
      <c r="B14" t="s">
        <v>321</v>
      </c>
      <c r="C14" t="s">
        <v>841</v>
      </c>
      <c r="D14" t="s">
        <v>476</v>
      </c>
      <c r="E14" t="s">
        <v>476</v>
      </c>
      <c r="F14" t="s">
        <v>476</v>
      </c>
      <c r="G14" t="s">
        <v>476</v>
      </c>
      <c r="H14" t="s">
        <v>476</v>
      </c>
      <c r="I14" t="s">
        <v>476</v>
      </c>
      <c r="J14" t="s">
        <v>476</v>
      </c>
      <c r="K14" t="s">
        <v>476</v>
      </c>
      <c r="L14" t="s">
        <v>476</v>
      </c>
      <c r="M14" t="s">
        <v>476</v>
      </c>
      <c r="N14" t="s">
        <v>476</v>
      </c>
      <c r="O14" t="s">
        <v>476</v>
      </c>
      <c r="W14" s="4" t="s">
        <v>585</v>
      </c>
      <c r="X14" s="3" t="s">
        <v>3356</v>
      </c>
      <c r="Y14" s="150" t="str">
        <f>INDEX($B$3:$O$110,4,1)</f>
        <v>E5030</v>
      </c>
      <c r="Z14" s="4" t="s">
        <v>587</v>
      </c>
      <c r="AA14" s="114" t="s">
        <v>588</v>
      </c>
      <c r="AB14" s="4" t="s">
        <v>506</v>
      </c>
      <c r="AC14" s="4" t="s">
        <v>507</v>
      </c>
      <c r="AD14" s="4" t="s">
        <v>508</v>
      </c>
      <c r="AE14" s="4" t="s">
        <v>509</v>
      </c>
      <c r="AF14" s="4" t="s">
        <v>589</v>
      </c>
      <c r="AG14" s="115">
        <f>+VLOOKUP(Y14,B:O,3,FALSE)/1000</f>
        <v>7.6939999999999995E-2</v>
      </c>
      <c r="AI14" s="158"/>
    </row>
    <row r="15" spans="1:35">
      <c r="A15">
        <f t="shared" si="1"/>
        <v>13</v>
      </c>
      <c r="B15" t="s">
        <v>421</v>
      </c>
      <c r="C15" t="s">
        <v>288</v>
      </c>
      <c r="D15">
        <v>49.000005125550352</v>
      </c>
      <c r="E15">
        <v>49.000005125550352</v>
      </c>
      <c r="F15">
        <v>49.000005125550352</v>
      </c>
      <c r="G15">
        <v>49.000005125550352</v>
      </c>
      <c r="H15">
        <v>49.000005125550352</v>
      </c>
      <c r="I15">
        <v>49.000005125550352</v>
      </c>
      <c r="J15">
        <v>49.000005125550352</v>
      </c>
      <c r="K15">
        <v>49.000005125550352</v>
      </c>
      <c r="L15">
        <v>49.000005125550352</v>
      </c>
      <c r="M15">
        <v>49.000005125550352</v>
      </c>
      <c r="N15">
        <v>49.000005125550352</v>
      </c>
      <c r="O15">
        <v>49.000005125550352</v>
      </c>
      <c r="W15" s="4" t="s">
        <v>585</v>
      </c>
      <c r="X15" s="4" t="s">
        <v>3357</v>
      </c>
      <c r="Y15" s="151" t="str">
        <f>Y14</f>
        <v>E5030</v>
      </c>
      <c r="Z15" s="4" t="s">
        <v>587</v>
      </c>
      <c r="AA15" s="114" t="s">
        <v>588</v>
      </c>
      <c r="AB15" s="4" t="s">
        <v>506</v>
      </c>
      <c r="AC15" s="4" t="s">
        <v>507</v>
      </c>
      <c r="AD15" s="4" t="s">
        <v>508</v>
      </c>
      <c r="AE15" s="4" t="s">
        <v>509</v>
      </c>
      <c r="AF15" s="4" t="s">
        <v>589</v>
      </c>
      <c r="AG15" s="115">
        <f>+VLOOKUP(Y15,B:O,4,FALSE)/1000</f>
        <v>7.8150000000000011E-2</v>
      </c>
      <c r="AI15" s="158"/>
    </row>
    <row r="16" spans="1:35">
      <c r="A16">
        <f t="shared" si="1"/>
        <v>14</v>
      </c>
      <c r="B16" t="s">
        <v>423</v>
      </c>
      <c r="C16" t="s">
        <v>289</v>
      </c>
      <c r="D16">
        <v>98.760087991535798</v>
      </c>
      <c r="E16">
        <v>98.760087991535798</v>
      </c>
      <c r="F16">
        <v>98.760087991535798</v>
      </c>
      <c r="G16">
        <v>98.760087991535798</v>
      </c>
      <c r="H16">
        <v>98.760087991535798</v>
      </c>
      <c r="I16">
        <v>98.760087991535798</v>
      </c>
      <c r="J16">
        <v>54.92</v>
      </c>
      <c r="K16">
        <v>52.49</v>
      </c>
      <c r="L16">
        <v>50.314999999999998</v>
      </c>
      <c r="M16">
        <v>52.564999999999998</v>
      </c>
      <c r="N16">
        <v>57.79</v>
      </c>
      <c r="O16">
        <v>62.370000000000005</v>
      </c>
      <c r="W16" s="4" t="s">
        <v>585</v>
      </c>
      <c r="X16" s="4" t="s">
        <v>3358</v>
      </c>
      <c r="Y16" s="151" t="str">
        <f t="shared" ref="Y16:Y25" si="3">Y15</f>
        <v>E5030</v>
      </c>
      <c r="Z16" s="4" t="s">
        <v>587</v>
      </c>
      <c r="AA16" s="114" t="s">
        <v>588</v>
      </c>
      <c r="AB16" s="4" t="s">
        <v>506</v>
      </c>
      <c r="AC16" s="4" t="s">
        <v>507</v>
      </c>
      <c r="AD16" s="4" t="s">
        <v>508</v>
      </c>
      <c r="AE16" s="4" t="s">
        <v>509</v>
      </c>
      <c r="AF16" s="4" t="s">
        <v>589</v>
      </c>
      <c r="AG16" s="115">
        <f>+VLOOKUP(Y16,B:O,5,FALSE)/1000</f>
        <v>7.5620000000000007E-2</v>
      </c>
      <c r="AI16" s="158"/>
    </row>
    <row r="17" spans="1:35">
      <c r="A17">
        <f t="shared" si="1"/>
        <v>15</v>
      </c>
      <c r="B17" t="s">
        <v>419</v>
      </c>
      <c r="C17" t="s">
        <v>295</v>
      </c>
      <c r="D17">
        <v>90.944762953846151</v>
      </c>
      <c r="E17">
        <v>90.944762953846151</v>
      </c>
      <c r="F17">
        <v>90.944762953846151</v>
      </c>
      <c r="G17">
        <v>90.944762953846151</v>
      </c>
      <c r="H17">
        <v>90.944762953846151</v>
      </c>
      <c r="I17">
        <v>90.944762953846151</v>
      </c>
      <c r="J17">
        <v>90.944762953846151</v>
      </c>
      <c r="K17">
        <v>90.944762953846151</v>
      </c>
      <c r="L17">
        <v>90.944762953846151</v>
      </c>
      <c r="M17">
        <v>90.944762953846151</v>
      </c>
      <c r="N17">
        <v>93.036492501784608</v>
      </c>
      <c r="O17">
        <v>93.036492501784608</v>
      </c>
      <c r="W17" s="4" t="s">
        <v>585</v>
      </c>
      <c r="X17" s="4" t="s">
        <v>3359</v>
      </c>
      <c r="Y17" s="151" t="str">
        <f t="shared" si="3"/>
        <v>E5030</v>
      </c>
      <c r="Z17" s="4" t="s">
        <v>587</v>
      </c>
      <c r="AA17" s="114" t="s">
        <v>588</v>
      </c>
      <c r="AB17" s="4" t="s">
        <v>506</v>
      </c>
      <c r="AC17" s="4" t="s">
        <v>507</v>
      </c>
      <c r="AD17" s="4" t="s">
        <v>508</v>
      </c>
      <c r="AE17" s="4" t="s">
        <v>509</v>
      </c>
      <c r="AF17" s="4" t="s">
        <v>589</v>
      </c>
      <c r="AG17" s="115">
        <f>+VLOOKUP(Y17,B:O,6,FALSE)/1000</f>
        <v>5.5020000000000006E-2</v>
      </c>
      <c r="AI17" s="158"/>
    </row>
    <row r="18" spans="1:35">
      <c r="A18">
        <f t="shared" si="1"/>
        <v>16</v>
      </c>
      <c r="B18" t="s">
        <v>425</v>
      </c>
      <c r="C18" t="s">
        <v>296</v>
      </c>
      <c r="D18">
        <v>98.633000848255989</v>
      </c>
      <c r="E18">
        <v>98.633000848255989</v>
      </c>
      <c r="F18">
        <v>98.633000848255989</v>
      </c>
      <c r="G18">
        <v>98.633000848255989</v>
      </c>
      <c r="H18">
        <v>98.633000848255989</v>
      </c>
      <c r="I18">
        <v>98.633000848255989</v>
      </c>
      <c r="J18">
        <v>98.633000848255989</v>
      </c>
      <c r="K18">
        <v>98.633000848255989</v>
      </c>
      <c r="L18">
        <v>98.633000848255989</v>
      </c>
      <c r="M18">
        <v>98.633000848255989</v>
      </c>
      <c r="N18">
        <v>100.90155986776588</v>
      </c>
      <c r="O18">
        <v>100.90155986776588</v>
      </c>
      <c r="W18" s="4" t="s">
        <v>585</v>
      </c>
      <c r="X18" s="4" t="s">
        <v>3360</v>
      </c>
      <c r="Y18" s="151" t="str">
        <f t="shared" si="3"/>
        <v>E5030</v>
      </c>
      <c r="Z18" s="4" t="s">
        <v>587</v>
      </c>
      <c r="AA18" s="114" t="s">
        <v>588</v>
      </c>
      <c r="AB18" s="4" t="s">
        <v>506</v>
      </c>
      <c r="AC18" s="4" t="s">
        <v>507</v>
      </c>
      <c r="AD18" s="4" t="s">
        <v>508</v>
      </c>
      <c r="AE18" s="4" t="s">
        <v>509</v>
      </c>
      <c r="AF18" s="4" t="s">
        <v>589</v>
      </c>
      <c r="AG18" s="115">
        <f>+VLOOKUP(Y18,B:O,7,FALSE)/1000</f>
        <v>5.0169999999999999E-2</v>
      </c>
      <c r="AI18" s="158"/>
    </row>
    <row r="19" spans="1:35">
      <c r="A19">
        <f t="shared" si="1"/>
        <v>17</v>
      </c>
      <c r="B19" t="s">
        <v>427</v>
      </c>
      <c r="C19" t="s">
        <v>347</v>
      </c>
      <c r="D19">
        <v>98.811570000000003</v>
      </c>
      <c r="E19">
        <v>98.811570000000003</v>
      </c>
      <c r="F19">
        <v>98.811570000000003</v>
      </c>
      <c r="G19">
        <v>98.811570000000003</v>
      </c>
      <c r="H19">
        <v>98.811570000000003</v>
      </c>
      <c r="I19">
        <v>98.811570000000003</v>
      </c>
      <c r="J19">
        <v>98.811570000000003</v>
      </c>
      <c r="K19">
        <v>98.811570000000003</v>
      </c>
      <c r="L19">
        <v>98.811570000000003</v>
      </c>
      <c r="M19">
        <v>98.811570000000003</v>
      </c>
      <c r="N19">
        <v>101.08423611000001</v>
      </c>
      <c r="O19">
        <v>101.08423611000001</v>
      </c>
      <c r="W19" s="4" t="s">
        <v>585</v>
      </c>
      <c r="X19" s="4" t="s">
        <v>3361</v>
      </c>
      <c r="Y19" s="151" t="str">
        <f t="shared" si="3"/>
        <v>E5030</v>
      </c>
      <c r="Z19" s="4" t="s">
        <v>587</v>
      </c>
      <c r="AA19" s="114" t="s">
        <v>588</v>
      </c>
      <c r="AB19" s="4" t="s">
        <v>506</v>
      </c>
      <c r="AC19" s="4" t="s">
        <v>507</v>
      </c>
      <c r="AD19" s="4" t="s">
        <v>508</v>
      </c>
      <c r="AE19" s="4" t="s">
        <v>509</v>
      </c>
      <c r="AF19" s="4" t="s">
        <v>589</v>
      </c>
      <c r="AG19" s="115">
        <f>+VLOOKUP(Y19,B:O,8,FALSE)/1000</f>
        <v>5.2319999999999998E-2</v>
      </c>
      <c r="AI19" s="158"/>
    </row>
    <row r="20" spans="1:35">
      <c r="A20">
        <f t="shared" si="1"/>
        <v>18</v>
      </c>
      <c r="B20" t="s">
        <v>427</v>
      </c>
      <c r="C20" t="s">
        <v>348</v>
      </c>
      <c r="D20">
        <v>98.811570000000003</v>
      </c>
      <c r="E20">
        <v>98.811570000000003</v>
      </c>
      <c r="F20">
        <v>98.811570000000003</v>
      </c>
      <c r="G20">
        <v>98.811570000000003</v>
      </c>
      <c r="H20">
        <v>98.811570000000003</v>
      </c>
      <c r="I20">
        <v>98.811570000000003</v>
      </c>
      <c r="J20">
        <v>98.811570000000003</v>
      </c>
      <c r="K20">
        <v>98.811570000000003</v>
      </c>
      <c r="L20">
        <v>98.811570000000003</v>
      </c>
      <c r="M20">
        <v>98.811570000000003</v>
      </c>
      <c r="N20">
        <v>101.08423611000001</v>
      </c>
      <c r="O20">
        <v>101.08423611000001</v>
      </c>
      <c r="W20" s="4" t="s">
        <v>585</v>
      </c>
      <c r="X20" s="4" t="s">
        <v>3362</v>
      </c>
      <c r="Y20" s="151" t="str">
        <f t="shared" si="3"/>
        <v>E5030</v>
      </c>
      <c r="Z20" s="4" t="s">
        <v>587</v>
      </c>
      <c r="AA20" s="114" t="s">
        <v>588</v>
      </c>
      <c r="AB20" s="4" t="s">
        <v>506</v>
      </c>
      <c r="AC20" s="4" t="s">
        <v>507</v>
      </c>
      <c r="AD20" s="4" t="s">
        <v>508</v>
      </c>
      <c r="AE20" s="4" t="s">
        <v>509</v>
      </c>
      <c r="AF20" s="4" t="s">
        <v>589</v>
      </c>
      <c r="AG20" s="115">
        <f>+VLOOKUP(Y20,B:O,9,FALSE)/1000</f>
        <v>5.5060000000000005E-2</v>
      </c>
      <c r="AI20" s="158"/>
    </row>
    <row r="21" spans="1:35">
      <c r="A21">
        <f t="shared" si="1"/>
        <v>19</v>
      </c>
      <c r="B21" t="s">
        <v>427</v>
      </c>
      <c r="C21" t="s">
        <v>349</v>
      </c>
      <c r="D21">
        <v>98.647890000000004</v>
      </c>
      <c r="E21">
        <v>98.647890000000004</v>
      </c>
      <c r="F21">
        <v>98.647890000000004</v>
      </c>
      <c r="G21">
        <v>98.647890000000004</v>
      </c>
      <c r="H21">
        <v>98.647890000000004</v>
      </c>
      <c r="I21">
        <v>98.647890000000004</v>
      </c>
      <c r="J21">
        <v>98.647890000000004</v>
      </c>
      <c r="K21">
        <v>98.647890000000004</v>
      </c>
      <c r="L21">
        <v>98.647890000000004</v>
      </c>
      <c r="M21">
        <v>98.647890000000004</v>
      </c>
      <c r="N21">
        <v>100.91679147000001</v>
      </c>
      <c r="O21">
        <v>100.91679147000001</v>
      </c>
      <c r="W21" s="4" t="s">
        <v>585</v>
      </c>
      <c r="X21" s="4" t="s">
        <v>3363</v>
      </c>
      <c r="Y21" s="151" t="str">
        <f t="shared" si="3"/>
        <v>E5030</v>
      </c>
      <c r="Z21" s="4" t="s">
        <v>587</v>
      </c>
      <c r="AA21" s="114" t="s">
        <v>588</v>
      </c>
      <c r="AB21" s="4" t="s">
        <v>506</v>
      </c>
      <c r="AC21" s="4" t="s">
        <v>507</v>
      </c>
      <c r="AD21" s="4" t="s">
        <v>508</v>
      </c>
      <c r="AE21" s="4" t="s">
        <v>509</v>
      </c>
      <c r="AF21" s="4" t="s">
        <v>589</v>
      </c>
      <c r="AG21" s="115">
        <f>+VLOOKUP(Y21,B:O,10,FALSE)/1000</f>
        <v>4.7189999999999996E-2</v>
      </c>
      <c r="AI21" s="158"/>
    </row>
    <row r="22" spans="1:35">
      <c r="A22">
        <f t="shared" si="1"/>
        <v>20</v>
      </c>
      <c r="B22" t="s">
        <v>429</v>
      </c>
      <c r="C22" t="s">
        <v>297</v>
      </c>
      <c r="D22">
        <v>98.649272327684699</v>
      </c>
      <c r="E22">
        <v>98.649272327684699</v>
      </c>
      <c r="F22">
        <v>98.649272327684699</v>
      </c>
      <c r="G22">
        <v>98.649272327684699</v>
      </c>
      <c r="H22">
        <v>98.649272327684699</v>
      </c>
      <c r="I22">
        <v>98.649272327684699</v>
      </c>
      <c r="J22">
        <v>98.649272327684699</v>
      </c>
      <c r="K22">
        <v>98.649272327684699</v>
      </c>
      <c r="L22">
        <v>98.649272327684699</v>
      </c>
      <c r="M22">
        <v>98.649272327684699</v>
      </c>
      <c r="N22">
        <v>100.91820559122145</v>
      </c>
      <c r="O22">
        <v>100.91820559122145</v>
      </c>
      <c r="W22" s="4" t="s">
        <v>585</v>
      </c>
      <c r="X22" s="4" t="s">
        <v>3364</v>
      </c>
      <c r="Y22" s="151" t="str">
        <f t="shared" si="3"/>
        <v>E5030</v>
      </c>
      <c r="Z22" s="4" t="s">
        <v>587</v>
      </c>
      <c r="AA22" s="114" t="s">
        <v>588</v>
      </c>
      <c r="AB22" s="4" t="s">
        <v>506</v>
      </c>
      <c r="AC22" s="4" t="s">
        <v>507</v>
      </c>
      <c r="AD22" s="4" t="s">
        <v>508</v>
      </c>
      <c r="AE22" s="4" t="s">
        <v>509</v>
      </c>
      <c r="AF22" s="4" t="s">
        <v>589</v>
      </c>
      <c r="AG22" s="115">
        <f>+VLOOKUP(Y22,B:O,11,FALSE)/1000</f>
        <v>3.9990000000000005E-2</v>
      </c>
      <c r="AI22" s="158"/>
    </row>
    <row r="23" spans="1:35">
      <c r="A23">
        <f t="shared" si="1"/>
        <v>21</v>
      </c>
      <c r="B23" t="s">
        <v>250</v>
      </c>
      <c r="C23" t="s">
        <v>527</v>
      </c>
      <c r="D23">
        <v>95.282176774647866</v>
      </c>
      <c r="E23">
        <v>95.282176774647866</v>
      </c>
      <c r="F23">
        <v>95.282176774647866</v>
      </c>
      <c r="G23">
        <v>95.282176774647866</v>
      </c>
      <c r="H23">
        <v>95.282176774647866</v>
      </c>
      <c r="I23">
        <v>95.282176774647866</v>
      </c>
      <c r="J23">
        <v>95.282176774647866</v>
      </c>
      <c r="K23">
        <v>95.282176774647866</v>
      </c>
      <c r="L23">
        <v>95.282176774647866</v>
      </c>
      <c r="M23">
        <v>95.282176774647866</v>
      </c>
      <c r="N23">
        <v>97.473666840464773</v>
      </c>
      <c r="O23">
        <v>97.473666840464773</v>
      </c>
      <c r="W23" s="4" t="s">
        <v>585</v>
      </c>
      <c r="X23" s="4" t="s">
        <v>3365</v>
      </c>
      <c r="Y23" s="151" t="str">
        <f t="shared" si="3"/>
        <v>E5030</v>
      </c>
      <c r="Z23" s="4" t="s">
        <v>587</v>
      </c>
      <c r="AA23" s="114" t="s">
        <v>588</v>
      </c>
      <c r="AB23" s="4" t="s">
        <v>506</v>
      </c>
      <c r="AC23" s="4" t="s">
        <v>507</v>
      </c>
      <c r="AD23" s="4" t="s">
        <v>508</v>
      </c>
      <c r="AE23" s="4" t="s">
        <v>509</v>
      </c>
      <c r="AF23" s="4" t="s">
        <v>589</v>
      </c>
      <c r="AG23" s="115">
        <f>+VLOOKUP(Y23,B:O,12,FALSE)/1000</f>
        <v>3.9460000000000002E-2</v>
      </c>
      <c r="AI23" s="158"/>
    </row>
    <row r="24" spans="1:35">
      <c r="A24">
        <f t="shared" si="1"/>
        <v>22</v>
      </c>
      <c r="B24" t="s">
        <v>501</v>
      </c>
      <c r="C24" t="s">
        <v>834</v>
      </c>
      <c r="D24">
        <v>348.45426177351567</v>
      </c>
      <c r="E24">
        <v>348.45426177351567</v>
      </c>
      <c r="F24">
        <v>348.45426177351567</v>
      </c>
      <c r="G24">
        <v>348.45426177351567</v>
      </c>
      <c r="H24">
        <v>348.45426177351567</v>
      </c>
      <c r="I24">
        <v>348.45426177351567</v>
      </c>
      <c r="J24">
        <v>348.45426177351567</v>
      </c>
      <c r="K24">
        <v>348.45426177351567</v>
      </c>
      <c r="L24">
        <v>348.45426177351567</v>
      </c>
      <c r="M24">
        <v>348.45426177351567</v>
      </c>
      <c r="N24">
        <v>356.46870979430651</v>
      </c>
      <c r="O24">
        <v>356.46870979430651</v>
      </c>
      <c r="W24" s="4" t="s">
        <v>585</v>
      </c>
      <c r="X24" s="4" t="s">
        <v>3366</v>
      </c>
      <c r="Y24" s="151" t="str">
        <f t="shared" si="3"/>
        <v>E5030</v>
      </c>
      <c r="Z24" s="4" t="s">
        <v>587</v>
      </c>
      <c r="AA24" s="114" t="s">
        <v>588</v>
      </c>
      <c r="AB24" s="4" t="s">
        <v>506</v>
      </c>
      <c r="AC24" s="4" t="s">
        <v>507</v>
      </c>
      <c r="AD24" s="4" t="s">
        <v>508</v>
      </c>
      <c r="AE24" s="4" t="s">
        <v>509</v>
      </c>
      <c r="AF24" s="4" t="s">
        <v>589</v>
      </c>
      <c r="AG24" s="115">
        <f>+VLOOKUP(Y24,B:O,13,FALSE)/1000</f>
        <v>5.9229999999999998E-2</v>
      </c>
      <c r="AI24" s="158"/>
    </row>
    <row r="25" spans="1:35">
      <c r="A25">
        <f t="shared" si="1"/>
        <v>23</v>
      </c>
      <c r="B25" t="s">
        <v>315</v>
      </c>
      <c r="C25" t="s">
        <v>539</v>
      </c>
      <c r="D25">
        <v>91.640305134802603</v>
      </c>
      <c r="E25">
        <v>91.640305134802603</v>
      </c>
      <c r="F25">
        <v>91.640305134802603</v>
      </c>
      <c r="G25">
        <v>91.640305134802603</v>
      </c>
      <c r="H25">
        <v>91.640305134802603</v>
      </c>
      <c r="I25">
        <v>91.640305134802603</v>
      </c>
      <c r="J25">
        <v>91.640305134802603</v>
      </c>
      <c r="K25">
        <v>91.640305134802603</v>
      </c>
      <c r="L25">
        <v>91.640305134802603</v>
      </c>
      <c r="M25">
        <v>91.640305134802603</v>
      </c>
      <c r="N25">
        <v>93.748032152903065</v>
      </c>
      <c r="O25">
        <v>93.748032152903065</v>
      </c>
      <c r="W25" s="4" t="s">
        <v>585</v>
      </c>
      <c r="X25" s="4" t="s">
        <v>3367</v>
      </c>
      <c r="Y25" s="151" t="str">
        <f t="shared" si="3"/>
        <v>E5030</v>
      </c>
      <c r="Z25" s="4" t="s">
        <v>587</v>
      </c>
      <c r="AA25" s="114" t="s">
        <v>588</v>
      </c>
      <c r="AB25" s="4" t="s">
        <v>506</v>
      </c>
      <c r="AC25" s="4" t="s">
        <v>507</v>
      </c>
      <c r="AD25" s="4" t="s">
        <v>508</v>
      </c>
      <c r="AE25" s="4" t="s">
        <v>509</v>
      </c>
      <c r="AF25" s="4" t="s">
        <v>589</v>
      </c>
      <c r="AG25" s="115">
        <f>+VLOOKUP(Y25,B:O,14,FALSE)/1000</f>
        <v>6.3380000000000006E-2</v>
      </c>
      <c r="AI25" s="158"/>
    </row>
    <row r="26" spans="1:35">
      <c r="A26">
        <f t="shared" si="1"/>
        <v>24</v>
      </c>
      <c r="B26" t="s">
        <v>315</v>
      </c>
      <c r="C26" t="s">
        <v>540</v>
      </c>
      <c r="D26">
        <v>91.640305134802603</v>
      </c>
      <c r="E26">
        <v>91.640305134802603</v>
      </c>
      <c r="F26">
        <v>91.640305134802603</v>
      </c>
      <c r="G26">
        <v>91.640305134802603</v>
      </c>
      <c r="H26">
        <v>91.640305134802603</v>
      </c>
      <c r="I26">
        <v>91.640305134802603</v>
      </c>
      <c r="J26">
        <v>91.640305134802603</v>
      </c>
      <c r="K26">
        <v>91.640305134802603</v>
      </c>
      <c r="L26">
        <v>91.640305134802603</v>
      </c>
      <c r="M26">
        <v>91.640305134802603</v>
      </c>
      <c r="N26">
        <v>93.748032152903065</v>
      </c>
      <c r="O26">
        <v>93.748032152903065</v>
      </c>
      <c r="W26" s="4" t="s">
        <v>585</v>
      </c>
      <c r="X26" s="3" t="s">
        <v>3356</v>
      </c>
      <c r="Y26" s="150" t="str">
        <f>INDEX($B$3:$O$110,5,1)</f>
        <v>E5040</v>
      </c>
      <c r="Z26" s="4" t="s">
        <v>587</v>
      </c>
      <c r="AA26" s="114" t="s">
        <v>588</v>
      </c>
      <c r="AB26" s="4" t="s">
        <v>506</v>
      </c>
      <c r="AC26" s="4" t="s">
        <v>507</v>
      </c>
      <c r="AD26" s="4" t="s">
        <v>508</v>
      </c>
      <c r="AE26" s="4" t="s">
        <v>509</v>
      </c>
      <c r="AF26" s="4" t="s">
        <v>589</v>
      </c>
      <c r="AG26" s="115">
        <f>+VLOOKUP(Y26,B:O,3,FALSE)/1000</f>
        <v>4.5900023635074449E-2</v>
      </c>
      <c r="AI26" s="158"/>
    </row>
    <row r="27" spans="1:35">
      <c r="A27">
        <f t="shared" si="1"/>
        <v>25</v>
      </c>
      <c r="B27" t="s">
        <v>315</v>
      </c>
      <c r="C27" t="s">
        <v>538</v>
      </c>
      <c r="D27">
        <v>91.640305134802603</v>
      </c>
      <c r="E27">
        <v>91.640305134802603</v>
      </c>
      <c r="F27">
        <v>91.640305134802603</v>
      </c>
      <c r="G27">
        <v>91.640305134802603</v>
      </c>
      <c r="H27">
        <v>91.640305134802603</v>
      </c>
      <c r="I27">
        <v>91.640305134802603</v>
      </c>
      <c r="J27">
        <v>91.640305134802603</v>
      </c>
      <c r="K27">
        <v>91.640305134802603</v>
      </c>
      <c r="L27">
        <v>91.640305134802603</v>
      </c>
      <c r="M27">
        <v>91.640305134802603</v>
      </c>
      <c r="N27">
        <v>93.748032152903065</v>
      </c>
      <c r="O27">
        <v>93.748032152903065</v>
      </c>
      <c r="W27" s="4" t="s">
        <v>585</v>
      </c>
      <c r="X27" s="4" t="s">
        <v>3357</v>
      </c>
      <c r="Y27" s="151" t="str">
        <f>Y26</f>
        <v>E5040</v>
      </c>
      <c r="Z27" s="4" t="s">
        <v>587</v>
      </c>
      <c r="AA27" s="114" t="s">
        <v>588</v>
      </c>
      <c r="AB27" s="4" t="s">
        <v>506</v>
      </c>
      <c r="AC27" s="4" t="s">
        <v>507</v>
      </c>
      <c r="AD27" s="4" t="s">
        <v>508</v>
      </c>
      <c r="AE27" s="4" t="s">
        <v>509</v>
      </c>
      <c r="AF27" s="4" t="s">
        <v>589</v>
      </c>
      <c r="AG27" s="115">
        <f>+VLOOKUP(Y27,B:O,4,FALSE)/1000</f>
        <v>4.5900023635074449E-2</v>
      </c>
      <c r="AI27" s="158"/>
    </row>
    <row r="28" spans="1:35">
      <c r="A28">
        <f t="shared" si="1"/>
        <v>26</v>
      </c>
      <c r="B28" t="s">
        <v>314</v>
      </c>
      <c r="C28" t="s">
        <v>541</v>
      </c>
      <c r="D28">
        <v>91.637566035137127</v>
      </c>
      <c r="E28">
        <v>91.637566035137127</v>
      </c>
      <c r="F28">
        <v>91.637566035137127</v>
      </c>
      <c r="G28">
        <v>91.637566035137127</v>
      </c>
      <c r="H28">
        <v>91.637566035137127</v>
      </c>
      <c r="I28">
        <v>91.637566035137127</v>
      </c>
      <c r="J28">
        <v>91.637566035137127</v>
      </c>
      <c r="K28">
        <v>91.637566035137127</v>
      </c>
      <c r="L28">
        <v>91.637566035137127</v>
      </c>
      <c r="M28">
        <v>91.637566035137127</v>
      </c>
      <c r="N28">
        <v>93.745230053945278</v>
      </c>
      <c r="O28">
        <v>93.745230053945278</v>
      </c>
      <c r="W28" s="4" t="s">
        <v>585</v>
      </c>
      <c r="X28" s="4" t="s">
        <v>3358</v>
      </c>
      <c r="Y28" s="151" t="str">
        <f t="shared" ref="Y28:Y37" si="4">Y27</f>
        <v>E5040</v>
      </c>
      <c r="Z28" s="4" t="s">
        <v>587</v>
      </c>
      <c r="AA28" s="114" t="s">
        <v>588</v>
      </c>
      <c r="AB28" s="4" t="s">
        <v>506</v>
      </c>
      <c r="AC28" s="4" t="s">
        <v>507</v>
      </c>
      <c r="AD28" s="4" t="s">
        <v>508</v>
      </c>
      <c r="AE28" s="4" t="s">
        <v>509</v>
      </c>
      <c r="AF28" s="4" t="s">
        <v>589</v>
      </c>
      <c r="AG28" s="115">
        <f>+VLOOKUP(Y28,B:O,5,FALSE)/1000</f>
        <v>4.5900023635074449E-2</v>
      </c>
      <c r="AI28" s="158"/>
    </row>
    <row r="29" spans="1:35">
      <c r="A29">
        <f t="shared" si="1"/>
        <v>27</v>
      </c>
      <c r="B29" t="s">
        <v>437</v>
      </c>
      <c r="C29" t="s">
        <v>536</v>
      </c>
      <c r="D29">
        <v>90.515039999999999</v>
      </c>
      <c r="E29">
        <v>90.515039999999999</v>
      </c>
      <c r="F29">
        <v>90.515039999999999</v>
      </c>
      <c r="G29">
        <v>90.515039999999999</v>
      </c>
      <c r="H29">
        <v>90.515039999999999</v>
      </c>
      <c r="I29">
        <v>90.515039999999999</v>
      </c>
      <c r="J29">
        <v>90.515039999999999</v>
      </c>
      <c r="K29">
        <v>90.515039999999999</v>
      </c>
      <c r="L29">
        <v>90.515039999999999</v>
      </c>
      <c r="M29">
        <v>90.515039999999999</v>
      </c>
      <c r="N29">
        <v>92.596885920000005</v>
      </c>
      <c r="O29">
        <v>92.596885920000005</v>
      </c>
      <c r="W29" s="4" t="s">
        <v>585</v>
      </c>
      <c r="X29" s="4" t="s">
        <v>3359</v>
      </c>
      <c r="Y29" s="151" t="str">
        <f t="shared" si="4"/>
        <v>E5040</v>
      </c>
      <c r="Z29" s="4" t="s">
        <v>587</v>
      </c>
      <c r="AA29" s="114" t="s">
        <v>588</v>
      </c>
      <c r="AB29" s="4" t="s">
        <v>506</v>
      </c>
      <c r="AC29" s="4" t="s">
        <v>507</v>
      </c>
      <c r="AD29" s="4" t="s">
        <v>508</v>
      </c>
      <c r="AE29" s="4" t="s">
        <v>509</v>
      </c>
      <c r="AF29" s="4" t="s">
        <v>589</v>
      </c>
      <c r="AG29" s="115">
        <f>+VLOOKUP(Y29,B:O,6,FALSE)/1000</f>
        <v>4.5900023635074449E-2</v>
      </c>
      <c r="AI29" s="158"/>
    </row>
    <row r="30" spans="1:35">
      <c r="A30">
        <f t="shared" si="1"/>
        <v>28</v>
      </c>
      <c r="B30" t="s">
        <v>437</v>
      </c>
      <c r="C30" t="s">
        <v>533</v>
      </c>
      <c r="D30">
        <v>95.203412172</v>
      </c>
      <c r="E30">
        <v>95.203412172</v>
      </c>
      <c r="F30">
        <v>95.203412172</v>
      </c>
      <c r="G30">
        <v>95.203412172</v>
      </c>
      <c r="H30">
        <v>95.203412172</v>
      </c>
      <c r="I30">
        <v>95.203412172</v>
      </c>
      <c r="J30">
        <v>95.203412172</v>
      </c>
      <c r="K30">
        <v>95.203412172</v>
      </c>
      <c r="L30">
        <v>95.203412172</v>
      </c>
      <c r="M30">
        <v>95.203412172</v>
      </c>
      <c r="N30">
        <v>97.393090651956001</v>
      </c>
      <c r="O30">
        <v>97.393090651956001</v>
      </c>
      <c r="W30" s="4" t="s">
        <v>585</v>
      </c>
      <c r="X30" s="4" t="s">
        <v>3360</v>
      </c>
      <c r="Y30" s="151" t="str">
        <f t="shared" si="4"/>
        <v>E5040</v>
      </c>
      <c r="Z30" s="4" t="s">
        <v>587</v>
      </c>
      <c r="AA30" s="114" t="s">
        <v>588</v>
      </c>
      <c r="AB30" s="4" t="s">
        <v>506</v>
      </c>
      <c r="AC30" s="4" t="s">
        <v>507</v>
      </c>
      <c r="AD30" s="4" t="s">
        <v>508</v>
      </c>
      <c r="AE30" s="4" t="s">
        <v>509</v>
      </c>
      <c r="AF30" s="4" t="s">
        <v>589</v>
      </c>
      <c r="AG30" s="115">
        <f>+VLOOKUP(Y30,B:O,7,FALSE)/1000</f>
        <v>4.5900023635074449E-2</v>
      </c>
      <c r="AI30" s="158"/>
    </row>
    <row r="31" spans="1:35">
      <c r="A31">
        <f t="shared" si="1"/>
        <v>29</v>
      </c>
      <c r="B31" t="s">
        <v>437</v>
      </c>
      <c r="C31" t="s">
        <v>534</v>
      </c>
      <c r="D31">
        <v>91.7304532056</v>
      </c>
      <c r="E31">
        <v>91.7304532056</v>
      </c>
      <c r="F31">
        <v>91.7304532056</v>
      </c>
      <c r="G31">
        <v>91.7304532056</v>
      </c>
      <c r="H31">
        <v>91.7304532056</v>
      </c>
      <c r="I31">
        <v>91.7304532056</v>
      </c>
      <c r="J31">
        <v>91.7304532056</v>
      </c>
      <c r="K31">
        <v>91.7304532056</v>
      </c>
      <c r="L31">
        <v>91.7304532056</v>
      </c>
      <c r="M31">
        <v>91.7304532056</v>
      </c>
      <c r="N31">
        <v>93.840253629328799</v>
      </c>
      <c r="O31">
        <v>93.840253629328799</v>
      </c>
      <c r="W31" s="4" t="s">
        <v>585</v>
      </c>
      <c r="X31" s="4" t="s">
        <v>3361</v>
      </c>
      <c r="Y31" s="151" t="str">
        <f t="shared" si="4"/>
        <v>E5040</v>
      </c>
      <c r="Z31" s="4" t="s">
        <v>587</v>
      </c>
      <c r="AA31" s="114" t="s">
        <v>588</v>
      </c>
      <c r="AB31" s="4" t="s">
        <v>506</v>
      </c>
      <c r="AC31" s="4" t="s">
        <v>507</v>
      </c>
      <c r="AD31" s="4" t="s">
        <v>508</v>
      </c>
      <c r="AE31" s="4" t="s">
        <v>509</v>
      </c>
      <c r="AF31" s="4" t="s">
        <v>589</v>
      </c>
      <c r="AG31" s="115">
        <f>+VLOOKUP(Y31,B:O,8,FALSE)/1000</f>
        <v>4.5900023635074449E-2</v>
      </c>
      <c r="AI31" s="158"/>
    </row>
    <row r="32" spans="1:35">
      <c r="A32">
        <f t="shared" si="1"/>
        <v>30</v>
      </c>
      <c r="B32" t="s">
        <v>437</v>
      </c>
      <c r="C32" t="s">
        <v>535</v>
      </c>
      <c r="D32">
        <v>93.144149999999996</v>
      </c>
      <c r="E32">
        <v>93.144149999999996</v>
      </c>
      <c r="F32">
        <v>93.144149999999996</v>
      </c>
      <c r="G32">
        <v>93.144149999999996</v>
      </c>
      <c r="H32">
        <v>93.144149999999996</v>
      </c>
      <c r="I32">
        <v>93.144149999999996</v>
      </c>
      <c r="J32">
        <v>93.144149999999996</v>
      </c>
      <c r="K32">
        <v>93.144149999999996</v>
      </c>
      <c r="L32">
        <v>93.144149999999996</v>
      </c>
      <c r="M32">
        <v>93.144149999999996</v>
      </c>
      <c r="N32">
        <v>95.286465449999994</v>
      </c>
      <c r="O32">
        <v>95.286465449999994</v>
      </c>
      <c r="W32" s="4" t="s">
        <v>585</v>
      </c>
      <c r="X32" s="4" t="s">
        <v>3362</v>
      </c>
      <c r="Y32" s="151" t="str">
        <f t="shared" si="4"/>
        <v>E5040</v>
      </c>
      <c r="Z32" s="4" t="s">
        <v>587</v>
      </c>
      <c r="AA32" s="114" t="s">
        <v>588</v>
      </c>
      <c r="AB32" s="4" t="s">
        <v>506</v>
      </c>
      <c r="AC32" s="4" t="s">
        <v>507</v>
      </c>
      <c r="AD32" s="4" t="s">
        <v>508</v>
      </c>
      <c r="AE32" s="4" t="s">
        <v>509</v>
      </c>
      <c r="AF32" s="4" t="s">
        <v>589</v>
      </c>
      <c r="AG32" s="115">
        <f>+VLOOKUP(Y32,B:O,9,FALSE)/1000</f>
        <v>4.5900023635074449E-2</v>
      </c>
      <c r="AI32" s="158"/>
    </row>
    <row r="33" spans="1:35">
      <c r="A33">
        <f t="shared" si="1"/>
        <v>31</v>
      </c>
      <c r="B33" t="s">
        <v>260</v>
      </c>
      <c r="C33" t="s">
        <v>213</v>
      </c>
      <c r="D33">
        <v>91.722257207547159</v>
      </c>
      <c r="E33">
        <v>91.722257207547159</v>
      </c>
      <c r="F33">
        <v>91.722257207547159</v>
      </c>
      <c r="G33">
        <v>91.722257207547159</v>
      </c>
      <c r="H33">
        <v>91.722257207547159</v>
      </c>
      <c r="I33">
        <v>91.722257207547159</v>
      </c>
      <c r="J33">
        <v>91.722257207547159</v>
      </c>
      <c r="K33">
        <v>91.722257207547159</v>
      </c>
      <c r="L33">
        <v>91.722257207547159</v>
      </c>
      <c r="M33">
        <v>91.722257207547159</v>
      </c>
      <c r="N33">
        <v>93.831869123320743</v>
      </c>
      <c r="O33">
        <v>93.831869123320743</v>
      </c>
      <c r="W33" s="4" t="s">
        <v>585</v>
      </c>
      <c r="X33" s="4" t="s">
        <v>3363</v>
      </c>
      <c r="Y33" s="151" t="str">
        <f t="shared" si="4"/>
        <v>E5040</v>
      </c>
      <c r="Z33" s="4" t="s">
        <v>587</v>
      </c>
      <c r="AA33" s="114" t="s">
        <v>588</v>
      </c>
      <c r="AB33" s="4" t="s">
        <v>506</v>
      </c>
      <c r="AC33" s="4" t="s">
        <v>507</v>
      </c>
      <c r="AD33" s="4" t="s">
        <v>508</v>
      </c>
      <c r="AE33" s="4" t="s">
        <v>509</v>
      </c>
      <c r="AF33" s="4" t="s">
        <v>589</v>
      </c>
      <c r="AG33" s="115">
        <f>+VLOOKUP(Y33,B:O,10,FALSE)/1000</f>
        <v>4.5900023635074449E-2</v>
      </c>
      <c r="AI33" s="158"/>
    </row>
    <row r="34" spans="1:35">
      <c r="A34">
        <f t="shared" si="1"/>
        <v>32</v>
      </c>
      <c r="B34" t="s">
        <v>216</v>
      </c>
      <c r="C34" t="s">
        <v>542</v>
      </c>
      <c r="D34">
        <v>91.21161724829777</v>
      </c>
      <c r="E34">
        <v>91.21161724829777</v>
      </c>
      <c r="F34">
        <v>91.21161724829777</v>
      </c>
      <c r="G34">
        <v>91.21161724829777</v>
      </c>
      <c r="H34">
        <v>91.21161724829777</v>
      </c>
      <c r="I34">
        <v>91.21161724829777</v>
      </c>
      <c r="J34">
        <v>91.21161724829777</v>
      </c>
      <c r="K34">
        <v>91.21161724829777</v>
      </c>
      <c r="L34">
        <v>91.21161724829777</v>
      </c>
      <c r="M34">
        <v>91.21161724829777</v>
      </c>
      <c r="N34">
        <v>93.309484445008621</v>
      </c>
      <c r="O34">
        <v>93.309484445008621</v>
      </c>
      <c r="W34" s="4" t="s">
        <v>585</v>
      </c>
      <c r="X34" s="4" t="s">
        <v>3364</v>
      </c>
      <c r="Y34" s="151" t="str">
        <f t="shared" si="4"/>
        <v>E5040</v>
      </c>
      <c r="Z34" s="4" t="s">
        <v>587</v>
      </c>
      <c r="AA34" s="114" t="s">
        <v>588</v>
      </c>
      <c r="AB34" s="4" t="s">
        <v>506</v>
      </c>
      <c r="AC34" s="4" t="s">
        <v>507</v>
      </c>
      <c r="AD34" s="4" t="s">
        <v>508</v>
      </c>
      <c r="AE34" s="4" t="s">
        <v>509</v>
      </c>
      <c r="AF34" s="4" t="s">
        <v>589</v>
      </c>
      <c r="AG34" s="115">
        <f>+VLOOKUP(Y34,B:O,11,FALSE)/1000</f>
        <v>4.5900023635074449E-2</v>
      </c>
      <c r="AI34" s="158"/>
    </row>
    <row r="35" spans="1:35">
      <c r="A35">
        <f t="shared" si="1"/>
        <v>33</v>
      </c>
      <c r="B35" t="s">
        <v>216</v>
      </c>
      <c r="C35" t="s">
        <v>543</v>
      </c>
      <c r="D35">
        <v>91.21161724829777</v>
      </c>
      <c r="E35">
        <v>91.21161724829777</v>
      </c>
      <c r="F35">
        <v>91.21161724829777</v>
      </c>
      <c r="G35">
        <v>91.21161724829777</v>
      </c>
      <c r="H35">
        <v>91.21161724829777</v>
      </c>
      <c r="I35">
        <v>91.21161724829777</v>
      </c>
      <c r="J35">
        <v>91.21161724829777</v>
      </c>
      <c r="K35">
        <v>91.21161724829777</v>
      </c>
      <c r="L35">
        <v>91.21161724829777</v>
      </c>
      <c r="M35">
        <v>91.21161724829777</v>
      </c>
      <c r="N35">
        <v>93.309484445008621</v>
      </c>
      <c r="O35">
        <v>93.309484445008621</v>
      </c>
      <c r="W35" s="4" t="s">
        <v>585</v>
      </c>
      <c r="X35" s="4" t="s">
        <v>3365</v>
      </c>
      <c r="Y35" s="151" t="str">
        <f t="shared" si="4"/>
        <v>E5040</v>
      </c>
      <c r="Z35" s="4" t="s">
        <v>587</v>
      </c>
      <c r="AA35" s="114" t="s">
        <v>588</v>
      </c>
      <c r="AB35" s="4" t="s">
        <v>506</v>
      </c>
      <c r="AC35" s="4" t="s">
        <v>507</v>
      </c>
      <c r="AD35" s="4" t="s">
        <v>508</v>
      </c>
      <c r="AE35" s="4" t="s">
        <v>509</v>
      </c>
      <c r="AF35" s="4" t="s">
        <v>589</v>
      </c>
      <c r="AG35" s="115">
        <f>+VLOOKUP(Y35,B:O,12,FALSE)/1000</f>
        <v>4.5900023635074449E-2</v>
      </c>
      <c r="AI35" s="158"/>
    </row>
    <row r="36" spans="1:35">
      <c r="A36">
        <f t="shared" si="1"/>
        <v>34</v>
      </c>
      <c r="B36" t="s">
        <v>262</v>
      </c>
      <c r="C36" t="s">
        <v>544</v>
      </c>
      <c r="D36">
        <v>91.041250625698325</v>
      </c>
      <c r="E36">
        <v>91.041250625698325</v>
      </c>
      <c r="F36">
        <v>91.041250625698325</v>
      </c>
      <c r="G36">
        <v>91.041250625698325</v>
      </c>
      <c r="H36">
        <v>91.041250625698325</v>
      </c>
      <c r="I36">
        <v>91.041250625698325</v>
      </c>
      <c r="J36">
        <v>91.041250625698325</v>
      </c>
      <c r="K36">
        <v>91.041250625698325</v>
      </c>
      <c r="L36">
        <v>91.041250625698325</v>
      </c>
      <c r="M36">
        <v>91.041250625698325</v>
      </c>
      <c r="N36">
        <v>93.135199390089383</v>
      </c>
      <c r="O36">
        <v>93.135199390089383</v>
      </c>
      <c r="W36" s="4" t="s">
        <v>585</v>
      </c>
      <c r="X36" s="4" t="s">
        <v>3366</v>
      </c>
      <c r="Y36" s="151" t="str">
        <f t="shared" si="4"/>
        <v>E5040</v>
      </c>
      <c r="Z36" s="4" t="s">
        <v>587</v>
      </c>
      <c r="AA36" s="114" t="s">
        <v>588</v>
      </c>
      <c r="AB36" s="4" t="s">
        <v>506</v>
      </c>
      <c r="AC36" s="4" t="s">
        <v>507</v>
      </c>
      <c r="AD36" s="4" t="s">
        <v>508</v>
      </c>
      <c r="AE36" s="4" t="s">
        <v>509</v>
      </c>
      <c r="AF36" s="4" t="s">
        <v>589</v>
      </c>
      <c r="AG36" s="115">
        <f>+VLOOKUP(Y36,B:O,13,FALSE)/1000</f>
        <v>4.5900023635074449E-2</v>
      </c>
      <c r="AI36" s="158"/>
    </row>
    <row r="37" spans="1:35">
      <c r="A37">
        <f t="shared" si="1"/>
        <v>35</v>
      </c>
      <c r="B37" t="s">
        <v>262</v>
      </c>
      <c r="C37" t="s">
        <v>545</v>
      </c>
      <c r="D37">
        <v>91.041250625698325</v>
      </c>
      <c r="E37">
        <v>91.041250625698325</v>
      </c>
      <c r="F37">
        <v>91.041250625698325</v>
      </c>
      <c r="G37">
        <v>91.041250625698325</v>
      </c>
      <c r="H37">
        <v>91.041250625698325</v>
      </c>
      <c r="I37">
        <v>91.041250625698325</v>
      </c>
      <c r="J37">
        <v>91.041250625698325</v>
      </c>
      <c r="K37">
        <v>91.041250625698325</v>
      </c>
      <c r="L37">
        <v>91.041250625698325</v>
      </c>
      <c r="M37">
        <v>91.041250625698325</v>
      </c>
      <c r="N37">
        <v>93.135199390089383</v>
      </c>
      <c r="O37">
        <v>93.135199390089383</v>
      </c>
      <c r="W37" s="4" t="s">
        <v>585</v>
      </c>
      <c r="X37" s="4" t="s">
        <v>3367</v>
      </c>
      <c r="Y37" s="151" t="str">
        <f t="shared" si="4"/>
        <v>E5040</v>
      </c>
      <c r="Z37" s="4" t="s">
        <v>587</v>
      </c>
      <c r="AA37" s="114" t="s">
        <v>588</v>
      </c>
      <c r="AB37" s="4" t="s">
        <v>506</v>
      </c>
      <c r="AC37" s="4" t="s">
        <v>507</v>
      </c>
      <c r="AD37" s="4" t="s">
        <v>508</v>
      </c>
      <c r="AE37" s="4" t="s">
        <v>509</v>
      </c>
      <c r="AF37" s="4" t="s">
        <v>589</v>
      </c>
      <c r="AG37" s="115">
        <f>+VLOOKUP(Y37,B:O,14,FALSE)/1000</f>
        <v>4.5900023635074449E-2</v>
      </c>
      <c r="AI37" s="158"/>
    </row>
    <row r="38" spans="1:35">
      <c r="A38">
        <f t="shared" si="1"/>
        <v>36</v>
      </c>
      <c r="B38" t="s">
        <v>263</v>
      </c>
      <c r="C38" t="s">
        <v>546</v>
      </c>
      <c r="D38">
        <v>90.72901346047702</v>
      </c>
      <c r="E38">
        <v>90.72901346047702</v>
      </c>
      <c r="F38">
        <v>90.72901346047702</v>
      </c>
      <c r="G38">
        <v>90.72901346047702</v>
      </c>
      <c r="H38">
        <v>90.72901346047702</v>
      </c>
      <c r="I38">
        <v>90.72901346047702</v>
      </c>
      <c r="J38">
        <v>90.72901346047702</v>
      </c>
      <c r="K38">
        <v>90.72901346047702</v>
      </c>
      <c r="L38">
        <v>90.72901346047702</v>
      </c>
      <c r="M38">
        <v>90.72901346047702</v>
      </c>
      <c r="N38">
        <v>92.815780770067988</v>
      </c>
      <c r="O38">
        <v>92.815780770067988</v>
      </c>
      <c r="W38" s="4" t="s">
        <v>585</v>
      </c>
      <c r="X38" s="3" t="s">
        <v>3356</v>
      </c>
      <c r="Y38" s="150" t="str">
        <f>INDEX($B$3:$O$110,6,1)</f>
        <v>E5050</v>
      </c>
      <c r="Z38" s="4" t="s">
        <v>587</v>
      </c>
      <c r="AA38" s="114" t="s">
        <v>588</v>
      </c>
      <c r="AB38" s="4" t="s">
        <v>506</v>
      </c>
      <c r="AC38" s="4" t="s">
        <v>507</v>
      </c>
      <c r="AD38" s="4" t="s">
        <v>508</v>
      </c>
      <c r="AE38" s="4" t="s">
        <v>509</v>
      </c>
      <c r="AF38" s="4" t="s">
        <v>589</v>
      </c>
      <c r="AG38" s="115">
        <f>+VLOOKUP(Y38,B:O,3,FALSE)/1000</f>
        <v>4.5900002703866322E-2</v>
      </c>
      <c r="AI38" s="158"/>
    </row>
    <row r="39" spans="1:35">
      <c r="A39">
        <f t="shared" si="1"/>
        <v>37</v>
      </c>
      <c r="B39" t="s">
        <v>440</v>
      </c>
      <c r="C39" t="s">
        <v>547</v>
      </c>
      <c r="D39">
        <v>97.592121647873412</v>
      </c>
      <c r="E39">
        <v>97.592121647873412</v>
      </c>
      <c r="F39">
        <v>97.592121647873412</v>
      </c>
      <c r="G39">
        <v>97.592121647873412</v>
      </c>
      <c r="H39">
        <v>97.592121647873412</v>
      </c>
      <c r="I39">
        <v>97.592121647873412</v>
      </c>
      <c r="J39">
        <v>97.592121647873412</v>
      </c>
      <c r="K39">
        <v>97.592121647873412</v>
      </c>
      <c r="L39">
        <v>97.592121647873412</v>
      </c>
      <c r="M39">
        <v>97.592121647873412</v>
      </c>
      <c r="N39">
        <v>99.836740445774495</v>
      </c>
      <c r="O39">
        <v>99.836740445774495</v>
      </c>
      <c r="W39" s="4" t="s">
        <v>585</v>
      </c>
      <c r="X39" s="4" t="s">
        <v>3357</v>
      </c>
      <c r="Y39" s="151" t="str">
        <f>Y38</f>
        <v>E5050</v>
      </c>
      <c r="Z39" s="4" t="s">
        <v>587</v>
      </c>
      <c r="AA39" s="114" t="s">
        <v>588</v>
      </c>
      <c r="AB39" s="4" t="s">
        <v>506</v>
      </c>
      <c r="AC39" s="4" t="s">
        <v>507</v>
      </c>
      <c r="AD39" s="4" t="s">
        <v>508</v>
      </c>
      <c r="AE39" s="4" t="s">
        <v>509</v>
      </c>
      <c r="AF39" s="4" t="s">
        <v>589</v>
      </c>
      <c r="AG39" s="115">
        <f>+VLOOKUP(Y39,B:O,4,FALSE)/1000</f>
        <v>4.5900002703866322E-2</v>
      </c>
      <c r="AI39" s="158"/>
    </row>
    <row r="40" spans="1:35">
      <c r="A40">
        <f t="shared" si="1"/>
        <v>38</v>
      </c>
      <c r="B40" t="s">
        <v>442</v>
      </c>
      <c r="C40" t="s">
        <v>548</v>
      </c>
      <c r="D40">
        <v>95.280278129464136</v>
      </c>
      <c r="E40">
        <v>95.280278129464136</v>
      </c>
      <c r="F40">
        <v>95.280278129464136</v>
      </c>
      <c r="G40">
        <v>95.280278129464136</v>
      </c>
      <c r="H40">
        <v>95.280278129464136</v>
      </c>
      <c r="I40">
        <v>95.280278129464136</v>
      </c>
      <c r="J40">
        <v>95.280278129464136</v>
      </c>
      <c r="K40">
        <v>95.280278129464136</v>
      </c>
      <c r="L40">
        <v>95.280278129464136</v>
      </c>
      <c r="M40">
        <v>95.280278129464136</v>
      </c>
      <c r="N40">
        <v>97.471724526441818</v>
      </c>
      <c r="O40">
        <v>97.471724526441818</v>
      </c>
      <c r="W40" s="4" t="s">
        <v>585</v>
      </c>
      <c r="X40" s="4" t="s">
        <v>3358</v>
      </c>
      <c r="Y40" s="151" t="str">
        <f t="shared" ref="Y40:Y49" si="5">Y39</f>
        <v>E5050</v>
      </c>
      <c r="Z40" s="4" t="s">
        <v>587</v>
      </c>
      <c r="AA40" s="114" t="s">
        <v>588</v>
      </c>
      <c r="AB40" s="4" t="s">
        <v>506</v>
      </c>
      <c r="AC40" s="4" t="s">
        <v>507</v>
      </c>
      <c r="AD40" s="4" t="s">
        <v>508</v>
      </c>
      <c r="AE40" s="4" t="s">
        <v>509</v>
      </c>
      <c r="AF40" s="4" t="s">
        <v>589</v>
      </c>
      <c r="AG40" s="115">
        <f>+VLOOKUP(Y40,B:O,5,FALSE)/1000</f>
        <v>4.5900002703866322E-2</v>
      </c>
      <c r="AI40" s="158"/>
    </row>
    <row r="41" spans="1:35">
      <c r="A41">
        <f t="shared" si="1"/>
        <v>39</v>
      </c>
      <c r="B41" t="s">
        <v>444</v>
      </c>
      <c r="C41" t="s">
        <v>550</v>
      </c>
      <c r="D41">
        <v>99.947100000000006</v>
      </c>
      <c r="E41">
        <v>99.947100000000006</v>
      </c>
      <c r="F41">
        <v>99.947100000000006</v>
      </c>
      <c r="G41">
        <v>99.947100000000006</v>
      </c>
      <c r="H41">
        <v>99.947100000000006</v>
      </c>
      <c r="I41">
        <v>99.947100000000006</v>
      </c>
      <c r="J41">
        <v>99.947100000000006</v>
      </c>
      <c r="K41">
        <v>99.947100000000006</v>
      </c>
      <c r="L41">
        <v>99.947100000000006</v>
      </c>
      <c r="M41">
        <v>99.947100000000006</v>
      </c>
      <c r="N41">
        <v>102.2458833</v>
      </c>
      <c r="O41">
        <v>102.2458833</v>
      </c>
      <c r="W41" s="4" t="s">
        <v>585</v>
      </c>
      <c r="X41" s="4" t="s">
        <v>3359</v>
      </c>
      <c r="Y41" s="151" t="str">
        <f t="shared" si="5"/>
        <v>E5050</v>
      </c>
      <c r="Z41" s="4" t="s">
        <v>587</v>
      </c>
      <c r="AA41" s="114" t="s">
        <v>588</v>
      </c>
      <c r="AB41" s="4" t="s">
        <v>506</v>
      </c>
      <c r="AC41" s="4" t="s">
        <v>507</v>
      </c>
      <c r="AD41" s="4" t="s">
        <v>508</v>
      </c>
      <c r="AE41" s="4" t="s">
        <v>509</v>
      </c>
      <c r="AF41" s="4" t="s">
        <v>589</v>
      </c>
      <c r="AG41" s="115">
        <f>+VLOOKUP(Y41,B:O,6,FALSE)/1000</f>
        <v>4.5900002703866322E-2</v>
      </c>
      <c r="AI41" s="158"/>
    </row>
    <row r="42" spans="1:35">
      <c r="A42">
        <f t="shared" si="1"/>
        <v>40</v>
      </c>
      <c r="B42" t="s">
        <v>444</v>
      </c>
      <c r="C42" t="s">
        <v>551</v>
      </c>
      <c r="D42">
        <v>100.05963</v>
      </c>
      <c r="E42">
        <v>100.05963</v>
      </c>
      <c r="F42">
        <v>100.05963</v>
      </c>
      <c r="G42">
        <v>100.05963</v>
      </c>
      <c r="H42">
        <v>100.05963</v>
      </c>
      <c r="I42">
        <v>100.05963</v>
      </c>
      <c r="J42">
        <v>100.05963</v>
      </c>
      <c r="K42">
        <v>100.05963</v>
      </c>
      <c r="L42">
        <v>100.05963</v>
      </c>
      <c r="M42">
        <v>100.05963</v>
      </c>
      <c r="N42">
        <v>102.36100148999999</v>
      </c>
      <c r="O42">
        <v>102.36100148999999</v>
      </c>
      <c r="W42" s="4" t="s">
        <v>585</v>
      </c>
      <c r="X42" s="4" t="s">
        <v>3360</v>
      </c>
      <c r="Y42" s="151" t="str">
        <f t="shared" si="5"/>
        <v>E5050</v>
      </c>
      <c r="Z42" s="4" t="s">
        <v>587</v>
      </c>
      <c r="AA42" s="114" t="s">
        <v>588</v>
      </c>
      <c r="AB42" s="4" t="s">
        <v>506</v>
      </c>
      <c r="AC42" s="4" t="s">
        <v>507</v>
      </c>
      <c r="AD42" s="4" t="s">
        <v>508</v>
      </c>
      <c r="AE42" s="4" t="s">
        <v>509</v>
      </c>
      <c r="AF42" s="4" t="s">
        <v>589</v>
      </c>
      <c r="AG42" s="115">
        <f>+VLOOKUP(Y42,B:O,7,FALSE)/1000</f>
        <v>4.5900002703866322E-2</v>
      </c>
      <c r="AI42" s="158"/>
    </row>
    <row r="43" spans="1:35">
      <c r="A43">
        <f t="shared" si="1"/>
        <v>41</v>
      </c>
      <c r="B43" t="s">
        <v>444</v>
      </c>
      <c r="C43" t="s">
        <v>552</v>
      </c>
      <c r="D43">
        <v>100.05963</v>
      </c>
      <c r="E43">
        <v>100.05963</v>
      </c>
      <c r="F43">
        <v>100.05963</v>
      </c>
      <c r="G43">
        <v>100.05963</v>
      </c>
      <c r="H43">
        <v>100.05963</v>
      </c>
      <c r="I43">
        <v>100.05963</v>
      </c>
      <c r="J43">
        <v>100.05963</v>
      </c>
      <c r="K43">
        <v>100.05963</v>
      </c>
      <c r="L43">
        <v>100.05963</v>
      </c>
      <c r="M43">
        <v>100.05963</v>
      </c>
      <c r="N43">
        <v>102.36100148999999</v>
      </c>
      <c r="O43">
        <v>102.36100148999999</v>
      </c>
      <c r="W43" s="4" t="s">
        <v>585</v>
      </c>
      <c r="X43" s="4" t="s">
        <v>3361</v>
      </c>
      <c r="Y43" s="151" t="str">
        <f t="shared" si="5"/>
        <v>E5050</v>
      </c>
      <c r="Z43" s="4" t="s">
        <v>587</v>
      </c>
      <c r="AA43" s="114" t="s">
        <v>588</v>
      </c>
      <c r="AB43" s="4" t="s">
        <v>506</v>
      </c>
      <c r="AC43" s="4" t="s">
        <v>507</v>
      </c>
      <c r="AD43" s="4" t="s">
        <v>508</v>
      </c>
      <c r="AE43" s="4" t="s">
        <v>509</v>
      </c>
      <c r="AF43" s="4" t="s">
        <v>589</v>
      </c>
      <c r="AG43" s="115">
        <f>+VLOOKUP(Y43,B:O,8,FALSE)/1000</f>
        <v>4.5900002703866322E-2</v>
      </c>
      <c r="AI43" s="158"/>
    </row>
    <row r="44" spans="1:35">
      <c r="A44">
        <f t="shared" si="1"/>
        <v>42</v>
      </c>
      <c r="B44" t="s">
        <v>446</v>
      </c>
      <c r="C44" t="s">
        <v>304</v>
      </c>
      <c r="D44">
        <v>99.763646871428577</v>
      </c>
      <c r="E44">
        <v>99.763646871428577</v>
      </c>
      <c r="F44">
        <v>99.763646871428577</v>
      </c>
      <c r="G44">
        <v>99.763646871428577</v>
      </c>
      <c r="H44">
        <v>99.763646871428577</v>
      </c>
      <c r="I44">
        <v>99.763646871428577</v>
      </c>
      <c r="J44">
        <v>99.763646871428577</v>
      </c>
      <c r="K44">
        <v>99.763646871428577</v>
      </c>
      <c r="L44">
        <v>99.763646871428577</v>
      </c>
      <c r="M44">
        <v>99.763646871428577</v>
      </c>
      <c r="N44">
        <v>102.05821074947143</v>
      </c>
      <c r="O44">
        <v>102.05821074947143</v>
      </c>
      <c r="W44" s="4" t="s">
        <v>585</v>
      </c>
      <c r="X44" s="4" t="s">
        <v>3362</v>
      </c>
      <c r="Y44" s="151" t="str">
        <f t="shared" si="5"/>
        <v>E5050</v>
      </c>
      <c r="Z44" s="4" t="s">
        <v>587</v>
      </c>
      <c r="AA44" s="114" t="s">
        <v>588</v>
      </c>
      <c r="AB44" s="4" t="s">
        <v>506</v>
      </c>
      <c r="AC44" s="4" t="s">
        <v>507</v>
      </c>
      <c r="AD44" s="4" t="s">
        <v>508</v>
      </c>
      <c r="AE44" s="4" t="s">
        <v>509</v>
      </c>
      <c r="AF44" s="4" t="s">
        <v>589</v>
      </c>
      <c r="AG44" s="115">
        <f>+VLOOKUP(Y44,B:O,9,FALSE)/1000</f>
        <v>4.5900002703866322E-2</v>
      </c>
      <c r="AI44" s="158"/>
    </row>
    <row r="45" spans="1:35">
      <c r="A45">
        <f t="shared" si="1"/>
        <v>43</v>
      </c>
      <c r="B45" t="s">
        <v>448</v>
      </c>
      <c r="C45" t="s">
        <v>350</v>
      </c>
      <c r="D45">
        <v>97.89918126042943</v>
      </c>
      <c r="E45">
        <v>97.89918126042943</v>
      </c>
      <c r="F45">
        <v>97.89918126042943</v>
      </c>
      <c r="G45">
        <v>97.89918126042943</v>
      </c>
      <c r="H45">
        <v>97.89918126042943</v>
      </c>
      <c r="I45">
        <v>97.89918126042943</v>
      </c>
      <c r="J45">
        <v>97.89918126042943</v>
      </c>
      <c r="K45">
        <v>97.89918126042943</v>
      </c>
      <c r="L45">
        <v>97.89918126042943</v>
      </c>
      <c r="M45">
        <v>97.89918126042943</v>
      </c>
      <c r="N45">
        <v>100.15086242941931</v>
      </c>
      <c r="O45">
        <v>100.15086242941931</v>
      </c>
      <c r="W45" s="4" t="s">
        <v>585</v>
      </c>
      <c r="X45" s="4" t="s">
        <v>3363</v>
      </c>
      <c r="Y45" s="151" t="str">
        <f t="shared" si="5"/>
        <v>E5050</v>
      </c>
      <c r="Z45" s="4" t="s">
        <v>587</v>
      </c>
      <c r="AA45" s="114" t="s">
        <v>588</v>
      </c>
      <c r="AB45" s="4" t="s">
        <v>506</v>
      </c>
      <c r="AC45" s="4" t="s">
        <v>507</v>
      </c>
      <c r="AD45" s="4" t="s">
        <v>508</v>
      </c>
      <c r="AE45" s="4" t="s">
        <v>509</v>
      </c>
      <c r="AF45" s="4" t="s">
        <v>589</v>
      </c>
      <c r="AG45" s="115">
        <f>+VLOOKUP(Y45,B:O,10,FALSE)/1000</f>
        <v>4.5900002703866322E-2</v>
      </c>
      <c r="AI45" s="158"/>
    </row>
    <row r="46" spans="1:35">
      <c r="A46">
        <f t="shared" si="1"/>
        <v>44</v>
      </c>
      <c r="B46" t="s">
        <v>448</v>
      </c>
      <c r="C46" t="s">
        <v>351</v>
      </c>
      <c r="D46">
        <v>97.89918126042943</v>
      </c>
      <c r="E46">
        <v>97.89918126042943</v>
      </c>
      <c r="F46">
        <v>97.89918126042943</v>
      </c>
      <c r="G46">
        <v>97.89918126042943</v>
      </c>
      <c r="H46">
        <v>97.89918126042943</v>
      </c>
      <c r="I46">
        <v>97.89918126042943</v>
      </c>
      <c r="J46">
        <v>97.89918126042943</v>
      </c>
      <c r="K46">
        <v>97.89918126042943</v>
      </c>
      <c r="L46">
        <v>97.89918126042943</v>
      </c>
      <c r="M46">
        <v>97.89918126042943</v>
      </c>
      <c r="N46">
        <v>100.15086242941931</v>
      </c>
      <c r="O46">
        <v>100.15086242941931</v>
      </c>
      <c r="W46" s="4" t="s">
        <v>585</v>
      </c>
      <c r="X46" s="4" t="s">
        <v>3364</v>
      </c>
      <c r="Y46" s="151" t="str">
        <f t="shared" si="5"/>
        <v>E5050</v>
      </c>
      <c r="Z46" s="4" t="s">
        <v>587</v>
      </c>
      <c r="AA46" s="114" t="s">
        <v>588</v>
      </c>
      <c r="AB46" s="4" t="s">
        <v>506</v>
      </c>
      <c r="AC46" s="4" t="s">
        <v>507</v>
      </c>
      <c r="AD46" s="4" t="s">
        <v>508</v>
      </c>
      <c r="AE46" s="4" t="s">
        <v>509</v>
      </c>
      <c r="AF46" s="4" t="s">
        <v>589</v>
      </c>
      <c r="AG46" s="115">
        <f>+VLOOKUP(Y46,B:O,11,FALSE)/1000</f>
        <v>4.5900002703866322E-2</v>
      </c>
      <c r="AI46" s="158"/>
    </row>
    <row r="47" spans="1:35">
      <c r="A47">
        <f t="shared" si="1"/>
        <v>45</v>
      </c>
      <c r="B47" t="s">
        <v>448</v>
      </c>
      <c r="C47" t="s">
        <v>352</v>
      </c>
      <c r="D47">
        <v>97.89918126042943</v>
      </c>
      <c r="E47">
        <v>97.89918126042943</v>
      </c>
      <c r="F47">
        <v>97.89918126042943</v>
      </c>
      <c r="G47">
        <v>97.89918126042943</v>
      </c>
      <c r="H47">
        <v>97.89918126042943</v>
      </c>
      <c r="I47">
        <v>97.89918126042943</v>
      </c>
      <c r="J47">
        <v>97.89918126042943</v>
      </c>
      <c r="K47">
        <v>97.89918126042943</v>
      </c>
      <c r="L47">
        <v>97.89918126042943</v>
      </c>
      <c r="M47">
        <v>97.89918126042943</v>
      </c>
      <c r="N47">
        <v>100.15086242941931</v>
      </c>
      <c r="O47">
        <v>100.15086242941931</v>
      </c>
      <c r="W47" s="4" t="s">
        <v>585</v>
      </c>
      <c r="X47" s="4" t="s">
        <v>3365</v>
      </c>
      <c r="Y47" s="151" t="str">
        <f t="shared" si="5"/>
        <v>E5050</v>
      </c>
      <c r="Z47" s="4" t="s">
        <v>587</v>
      </c>
      <c r="AA47" s="114" t="s">
        <v>588</v>
      </c>
      <c r="AB47" s="4" t="s">
        <v>506</v>
      </c>
      <c r="AC47" s="4" t="s">
        <v>507</v>
      </c>
      <c r="AD47" s="4" t="s">
        <v>508</v>
      </c>
      <c r="AE47" s="4" t="s">
        <v>509</v>
      </c>
      <c r="AF47" s="4" t="s">
        <v>589</v>
      </c>
      <c r="AG47" s="115">
        <f>+VLOOKUP(Y47,B:O,12,FALSE)/1000</f>
        <v>4.5900002703866322E-2</v>
      </c>
      <c r="AI47" s="158"/>
    </row>
    <row r="48" spans="1:35">
      <c r="A48">
        <f t="shared" si="1"/>
        <v>46</v>
      </c>
      <c r="B48" t="s">
        <v>450</v>
      </c>
      <c r="C48" t="s">
        <v>280</v>
      </c>
      <c r="D48">
        <v>95.280782857827631</v>
      </c>
      <c r="E48">
        <v>95.280782857827631</v>
      </c>
      <c r="F48">
        <v>95.280782857827631</v>
      </c>
      <c r="G48">
        <v>95.280782857827631</v>
      </c>
      <c r="H48">
        <v>95.280782857827631</v>
      </c>
      <c r="I48">
        <v>95.280782857827631</v>
      </c>
      <c r="J48">
        <v>95.280782857827631</v>
      </c>
      <c r="K48">
        <v>95.280782857827631</v>
      </c>
      <c r="L48">
        <v>95.280782857827631</v>
      </c>
      <c r="M48">
        <v>95.280782857827631</v>
      </c>
      <c r="N48">
        <v>97.472240863557673</v>
      </c>
      <c r="O48">
        <v>97.472240863557673</v>
      </c>
      <c r="W48" s="4" t="s">
        <v>585</v>
      </c>
      <c r="X48" s="4" t="s">
        <v>3366</v>
      </c>
      <c r="Y48" s="151" t="str">
        <f t="shared" si="5"/>
        <v>E5050</v>
      </c>
      <c r="Z48" s="4" t="s">
        <v>587</v>
      </c>
      <c r="AA48" s="114" t="s">
        <v>588</v>
      </c>
      <c r="AB48" s="4" t="s">
        <v>506</v>
      </c>
      <c r="AC48" s="4" t="s">
        <v>507</v>
      </c>
      <c r="AD48" s="4" t="s">
        <v>508</v>
      </c>
      <c r="AE48" s="4" t="s">
        <v>509</v>
      </c>
      <c r="AF48" s="4" t="s">
        <v>589</v>
      </c>
      <c r="AG48" s="115">
        <f>+VLOOKUP(Y48,B:O,13,FALSE)/1000</f>
        <v>4.5900002703866322E-2</v>
      </c>
      <c r="AI48" s="158"/>
    </row>
    <row r="49" spans="1:35">
      <c r="A49">
        <f t="shared" si="1"/>
        <v>47</v>
      </c>
      <c r="B49" t="s">
        <v>452</v>
      </c>
      <c r="C49" t="s">
        <v>305</v>
      </c>
      <c r="D49">
        <v>90.883345609474304</v>
      </c>
      <c r="E49">
        <v>90.883345609474304</v>
      </c>
      <c r="F49">
        <v>90.883345609474304</v>
      </c>
      <c r="G49">
        <v>90.883345609474304</v>
      </c>
      <c r="H49">
        <v>90.883345609474304</v>
      </c>
      <c r="I49">
        <v>90.883345609474304</v>
      </c>
      <c r="J49">
        <v>90.883345609474304</v>
      </c>
      <c r="K49">
        <v>90.883345609474304</v>
      </c>
      <c r="L49">
        <v>90.883345609474304</v>
      </c>
      <c r="M49">
        <v>90.883345609474304</v>
      </c>
      <c r="N49">
        <v>92.973662558492208</v>
      </c>
      <c r="O49">
        <v>92.973662558492208</v>
      </c>
      <c r="W49" s="4" t="s">
        <v>585</v>
      </c>
      <c r="X49" s="4" t="s">
        <v>3367</v>
      </c>
      <c r="Y49" s="151" t="str">
        <f t="shared" si="5"/>
        <v>E5050</v>
      </c>
      <c r="Z49" s="4" t="s">
        <v>587</v>
      </c>
      <c r="AA49" s="114" t="s">
        <v>588</v>
      </c>
      <c r="AB49" s="4" t="s">
        <v>506</v>
      </c>
      <c r="AC49" s="4" t="s">
        <v>507</v>
      </c>
      <c r="AD49" s="4" t="s">
        <v>508</v>
      </c>
      <c r="AE49" s="4" t="s">
        <v>509</v>
      </c>
      <c r="AF49" s="4" t="s">
        <v>589</v>
      </c>
      <c r="AG49" s="115">
        <f>+VLOOKUP(Y49,B:O,14,FALSE)/1000</f>
        <v>4.5900002703866322E-2</v>
      </c>
      <c r="AI49" s="158"/>
    </row>
    <row r="50" spans="1:35">
      <c r="A50">
        <f t="shared" si="1"/>
        <v>48</v>
      </c>
      <c r="B50" t="s">
        <v>454</v>
      </c>
      <c r="C50" t="s">
        <v>343</v>
      </c>
      <c r="D50">
        <v>99.768855727125029</v>
      </c>
      <c r="E50">
        <v>99.768855727125029</v>
      </c>
      <c r="F50">
        <v>99.768855727125029</v>
      </c>
      <c r="G50">
        <v>99.768855727125029</v>
      </c>
      <c r="H50">
        <v>99.768855727125029</v>
      </c>
      <c r="I50">
        <v>99.768855727125029</v>
      </c>
      <c r="J50">
        <v>99.768855727125029</v>
      </c>
      <c r="K50">
        <v>99.768855727125029</v>
      </c>
      <c r="L50">
        <v>99.768855727125029</v>
      </c>
      <c r="M50">
        <v>99.768855727125029</v>
      </c>
      <c r="N50">
        <v>102.06353940884891</v>
      </c>
      <c r="O50">
        <v>102.06353940884891</v>
      </c>
      <c r="W50" s="4" t="s">
        <v>585</v>
      </c>
      <c r="X50" s="3" t="s">
        <v>3356</v>
      </c>
      <c r="Y50" s="150" t="str">
        <f>INDEX($B$3:$O$110,7,1)</f>
        <v>E5070</v>
      </c>
      <c r="Z50" s="4" t="s">
        <v>587</v>
      </c>
      <c r="AA50" s="114" t="s">
        <v>588</v>
      </c>
      <c r="AB50" s="4" t="s">
        <v>506</v>
      </c>
      <c r="AC50" s="4" t="s">
        <v>507</v>
      </c>
      <c r="AD50" s="4" t="s">
        <v>508</v>
      </c>
      <c r="AE50" s="4" t="s">
        <v>509</v>
      </c>
      <c r="AF50" s="4" t="s">
        <v>589</v>
      </c>
      <c r="AG50" s="115">
        <f>+VLOOKUP(Y50,B:O,3,FALSE)/1000</f>
        <v>4.7500005608436882E-2</v>
      </c>
      <c r="AI50" s="158"/>
    </row>
    <row r="51" spans="1:35">
      <c r="A51">
        <f t="shared" si="1"/>
        <v>49</v>
      </c>
      <c r="B51" t="s">
        <v>454</v>
      </c>
      <c r="C51" t="s">
        <v>549</v>
      </c>
      <c r="D51">
        <v>99.768855727125029</v>
      </c>
      <c r="E51">
        <v>99.768855727125029</v>
      </c>
      <c r="F51">
        <v>99.768855727125029</v>
      </c>
      <c r="G51">
        <v>99.768855727125029</v>
      </c>
      <c r="H51">
        <v>99.768855727125029</v>
      </c>
      <c r="I51">
        <v>99.768855727125029</v>
      </c>
      <c r="J51">
        <v>99.768855727125029</v>
      </c>
      <c r="K51">
        <v>99.768855727125029</v>
      </c>
      <c r="L51">
        <v>99.768855727125029</v>
      </c>
      <c r="M51">
        <v>99.768855727125029</v>
      </c>
      <c r="N51">
        <v>102.06353940884891</v>
      </c>
      <c r="O51">
        <v>102.06353940884891</v>
      </c>
      <c r="W51" s="4" t="s">
        <v>585</v>
      </c>
      <c r="X51" s="4" t="s">
        <v>3357</v>
      </c>
      <c r="Y51" s="151" t="str">
        <f>Y50</f>
        <v>E5070</v>
      </c>
      <c r="Z51" s="4" t="s">
        <v>587</v>
      </c>
      <c r="AA51" s="114" t="s">
        <v>588</v>
      </c>
      <c r="AB51" s="4" t="s">
        <v>506</v>
      </c>
      <c r="AC51" s="4" t="s">
        <v>507</v>
      </c>
      <c r="AD51" s="4" t="s">
        <v>508</v>
      </c>
      <c r="AE51" s="4" t="s">
        <v>509</v>
      </c>
      <c r="AF51" s="4" t="s">
        <v>589</v>
      </c>
      <c r="AG51" s="115">
        <f>+VLOOKUP(Y51,B:O,4,FALSE)/1000</f>
        <v>4.7500005608436882E-2</v>
      </c>
      <c r="AI51" s="158"/>
    </row>
    <row r="52" spans="1:35">
      <c r="A52">
        <f t="shared" si="1"/>
        <v>50</v>
      </c>
      <c r="B52" t="s">
        <v>456</v>
      </c>
      <c r="C52" t="s">
        <v>355</v>
      </c>
      <c r="D52">
        <v>96.060834182196331</v>
      </c>
      <c r="E52">
        <v>96.060834182196331</v>
      </c>
      <c r="F52">
        <v>96.060834182196331</v>
      </c>
      <c r="G52">
        <v>96.060834182196331</v>
      </c>
      <c r="H52">
        <v>96.060834182196331</v>
      </c>
      <c r="I52">
        <v>96.060834182196331</v>
      </c>
      <c r="J52">
        <v>96.060834182196331</v>
      </c>
      <c r="K52">
        <v>96.060834182196331</v>
      </c>
      <c r="L52">
        <v>96.060834182196331</v>
      </c>
      <c r="M52">
        <v>96.060834182196331</v>
      </c>
      <c r="N52">
        <v>98.27023336838684</v>
      </c>
      <c r="O52">
        <v>98.27023336838684</v>
      </c>
      <c r="W52" s="4" t="s">
        <v>585</v>
      </c>
      <c r="X52" s="4" t="s">
        <v>3358</v>
      </c>
      <c r="Y52" s="151" t="str">
        <f t="shared" ref="Y52:Y61" si="6">Y51</f>
        <v>E5070</v>
      </c>
      <c r="Z52" s="4" t="s">
        <v>587</v>
      </c>
      <c r="AA52" s="114" t="s">
        <v>588</v>
      </c>
      <c r="AB52" s="4" t="s">
        <v>506</v>
      </c>
      <c r="AC52" s="4" t="s">
        <v>507</v>
      </c>
      <c r="AD52" s="4" t="s">
        <v>508</v>
      </c>
      <c r="AE52" s="4" t="s">
        <v>509</v>
      </c>
      <c r="AF52" s="4" t="s">
        <v>589</v>
      </c>
      <c r="AG52" s="115">
        <f>+VLOOKUP(Y52,B:O,5,FALSE)/1000</f>
        <v>4.7500005608436882E-2</v>
      </c>
      <c r="AI52" s="158"/>
    </row>
    <row r="53" spans="1:35">
      <c r="A53">
        <f t="shared" si="1"/>
        <v>51</v>
      </c>
      <c r="B53" t="s">
        <v>456</v>
      </c>
      <c r="C53" t="s">
        <v>357</v>
      </c>
      <c r="D53">
        <v>96.060834182196331</v>
      </c>
      <c r="E53">
        <v>96.060834182196331</v>
      </c>
      <c r="F53">
        <v>96.060834182196331</v>
      </c>
      <c r="G53">
        <v>96.060834182196331</v>
      </c>
      <c r="H53">
        <v>96.060834182196331</v>
      </c>
      <c r="I53">
        <v>96.060834182196331</v>
      </c>
      <c r="J53">
        <v>96.060834182196331</v>
      </c>
      <c r="K53">
        <v>96.060834182196331</v>
      </c>
      <c r="L53">
        <v>96.060834182196331</v>
      </c>
      <c r="M53">
        <v>96.060834182196331</v>
      </c>
      <c r="N53">
        <v>98.27023336838684</v>
      </c>
      <c r="O53">
        <v>98.27023336838684</v>
      </c>
      <c r="W53" s="4" t="s">
        <v>585</v>
      </c>
      <c r="X53" s="4" t="s">
        <v>3359</v>
      </c>
      <c r="Y53" s="151" t="str">
        <f t="shared" si="6"/>
        <v>E5070</v>
      </c>
      <c r="Z53" s="4" t="s">
        <v>587</v>
      </c>
      <c r="AA53" s="114" t="s">
        <v>588</v>
      </c>
      <c r="AB53" s="4" t="s">
        <v>506</v>
      </c>
      <c r="AC53" s="4" t="s">
        <v>507</v>
      </c>
      <c r="AD53" s="4" t="s">
        <v>508</v>
      </c>
      <c r="AE53" s="4" t="s">
        <v>509</v>
      </c>
      <c r="AF53" s="4" t="s">
        <v>589</v>
      </c>
      <c r="AG53" s="115">
        <f>+VLOOKUP(Y53,B:O,6,FALSE)/1000</f>
        <v>4.7500005608436882E-2</v>
      </c>
      <c r="AI53" s="158"/>
    </row>
    <row r="54" spans="1:35">
      <c r="A54">
        <f t="shared" si="1"/>
        <v>52</v>
      </c>
      <c r="B54" t="s">
        <v>456</v>
      </c>
      <c r="C54" t="s">
        <v>356</v>
      </c>
      <c r="D54">
        <v>96.060834182196331</v>
      </c>
      <c r="E54">
        <v>96.060834182196331</v>
      </c>
      <c r="F54">
        <v>96.060834182196331</v>
      </c>
      <c r="G54">
        <v>96.060834182196331</v>
      </c>
      <c r="H54">
        <v>96.060834182196331</v>
      </c>
      <c r="I54">
        <v>96.060834182196331</v>
      </c>
      <c r="J54">
        <v>96.060834182196331</v>
      </c>
      <c r="K54">
        <v>96.060834182196331</v>
      </c>
      <c r="L54">
        <v>96.060834182196331</v>
      </c>
      <c r="M54">
        <v>96.060834182196331</v>
      </c>
      <c r="N54">
        <v>98.27023336838684</v>
      </c>
      <c r="O54">
        <v>98.27023336838684</v>
      </c>
      <c r="W54" s="4" t="s">
        <v>585</v>
      </c>
      <c r="X54" s="4" t="s">
        <v>3360</v>
      </c>
      <c r="Y54" s="151" t="str">
        <f t="shared" si="6"/>
        <v>E5070</v>
      </c>
      <c r="Z54" s="4" t="s">
        <v>587</v>
      </c>
      <c r="AA54" s="114" t="s">
        <v>588</v>
      </c>
      <c r="AB54" s="4" t="s">
        <v>506</v>
      </c>
      <c r="AC54" s="4" t="s">
        <v>507</v>
      </c>
      <c r="AD54" s="4" t="s">
        <v>508</v>
      </c>
      <c r="AE54" s="4" t="s">
        <v>509</v>
      </c>
      <c r="AF54" s="4" t="s">
        <v>589</v>
      </c>
      <c r="AG54" s="115">
        <f>+VLOOKUP(Y54,B:O,7,FALSE)/1000</f>
        <v>4.7500005608436882E-2</v>
      </c>
      <c r="AI54" s="158"/>
    </row>
    <row r="55" spans="1:35">
      <c r="A55">
        <f t="shared" si="1"/>
        <v>53</v>
      </c>
      <c r="B55" t="s">
        <v>458</v>
      </c>
      <c r="C55" t="s">
        <v>553</v>
      </c>
      <c r="D55">
        <v>95.312818330946868</v>
      </c>
      <c r="E55">
        <v>95.312818330946868</v>
      </c>
      <c r="F55">
        <v>95.312818330946868</v>
      </c>
      <c r="G55">
        <v>95.312818330946868</v>
      </c>
      <c r="H55">
        <v>95.312818330946868</v>
      </c>
      <c r="I55">
        <v>95.312818330946868</v>
      </c>
      <c r="J55">
        <v>95.312818330946868</v>
      </c>
      <c r="K55">
        <v>95.312818330946868</v>
      </c>
      <c r="L55">
        <v>95.312818330946868</v>
      </c>
      <c r="M55">
        <v>95.312818330946868</v>
      </c>
      <c r="N55">
        <v>97.505013152558647</v>
      </c>
      <c r="O55">
        <v>97.505013152558647</v>
      </c>
      <c r="W55" s="4" t="s">
        <v>585</v>
      </c>
      <c r="X55" s="4" t="s">
        <v>3361</v>
      </c>
      <c r="Y55" s="151" t="str">
        <f t="shared" si="6"/>
        <v>E5070</v>
      </c>
      <c r="Z55" s="4" t="s">
        <v>587</v>
      </c>
      <c r="AA55" s="114" t="s">
        <v>588</v>
      </c>
      <c r="AB55" s="4" t="s">
        <v>506</v>
      </c>
      <c r="AC55" s="4" t="s">
        <v>507</v>
      </c>
      <c r="AD55" s="4" t="s">
        <v>508</v>
      </c>
      <c r="AE55" s="4" t="s">
        <v>509</v>
      </c>
      <c r="AF55" s="4" t="s">
        <v>589</v>
      </c>
      <c r="AG55" s="115">
        <f>+VLOOKUP(Y55,B:O,8,FALSE)/1000</f>
        <v>4.7500005608436882E-2</v>
      </c>
      <c r="AI55" s="158"/>
    </row>
    <row r="56" spans="1:35">
      <c r="A56">
        <f t="shared" si="1"/>
        <v>54</v>
      </c>
      <c r="B56" t="s">
        <v>458</v>
      </c>
      <c r="C56" t="s">
        <v>554</v>
      </c>
      <c r="D56">
        <v>95.312818330946868</v>
      </c>
      <c r="E56">
        <v>95.312818330946868</v>
      </c>
      <c r="F56">
        <v>95.312818330946868</v>
      </c>
      <c r="G56">
        <v>95.312818330946868</v>
      </c>
      <c r="H56">
        <v>95.312818330946868</v>
      </c>
      <c r="I56">
        <v>95.312818330946868</v>
      </c>
      <c r="J56">
        <v>95.312818330946868</v>
      </c>
      <c r="K56">
        <v>95.312818330946868</v>
      </c>
      <c r="L56">
        <v>95.312818330946868</v>
      </c>
      <c r="M56">
        <v>95.312818330946868</v>
      </c>
      <c r="N56">
        <v>97.505013152558647</v>
      </c>
      <c r="O56">
        <v>97.505013152558647</v>
      </c>
      <c r="W56" s="4" t="s">
        <v>585</v>
      </c>
      <c r="X56" s="4" t="s">
        <v>3362</v>
      </c>
      <c r="Y56" s="151" t="str">
        <f t="shared" si="6"/>
        <v>E5070</v>
      </c>
      <c r="Z56" s="4" t="s">
        <v>587</v>
      </c>
      <c r="AA56" s="114" t="s">
        <v>588</v>
      </c>
      <c r="AB56" s="4" t="s">
        <v>506</v>
      </c>
      <c r="AC56" s="4" t="s">
        <v>507</v>
      </c>
      <c r="AD56" s="4" t="s">
        <v>508</v>
      </c>
      <c r="AE56" s="4" t="s">
        <v>509</v>
      </c>
      <c r="AF56" s="4" t="s">
        <v>589</v>
      </c>
      <c r="AG56" s="115">
        <f>+VLOOKUP(Y56,B:O,9,FALSE)/1000</f>
        <v>4.7500005608436882E-2</v>
      </c>
      <c r="AI56" s="158"/>
    </row>
    <row r="57" spans="1:35">
      <c r="A57">
        <f t="shared" si="1"/>
        <v>55</v>
      </c>
      <c r="B57" t="s">
        <v>460</v>
      </c>
      <c r="C57" t="s">
        <v>555</v>
      </c>
      <c r="D57">
        <v>91.172076226415101</v>
      </c>
      <c r="E57">
        <v>91.172076226415101</v>
      </c>
      <c r="F57">
        <v>91.172076226415101</v>
      </c>
      <c r="G57">
        <v>91.172076226415101</v>
      </c>
      <c r="H57">
        <v>91.172076226415101</v>
      </c>
      <c r="I57">
        <v>91.172076226415101</v>
      </c>
      <c r="J57">
        <v>91.172076226415101</v>
      </c>
      <c r="K57">
        <v>91.172076226415101</v>
      </c>
      <c r="L57">
        <v>91.172076226415101</v>
      </c>
      <c r="M57">
        <v>91.172076226415101</v>
      </c>
      <c r="N57">
        <v>93.269033979622648</v>
      </c>
      <c r="O57">
        <v>93.269033979622648</v>
      </c>
      <c r="W57" s="4" t="s">
        <v>585</v>
      </c>
      <c r="X57" s="4" t="s">
        <v>3363</v>
      </c>
      <c r="Y57" s="151" t="str">
        <f t="shared" si="6"/>
        <v>E5070</v>
      </c>
      <c r="Z57" s="4" t="s">
        <v>587</v>
      </c>
      <c r="AA57" s="114" t="s">
        <v>588</v>
      </c>
      <c r="AB57" s="4" t="s">
        <v>506</v>
      </c>
      <c r="AC57" s="4" t="s">
        <v>507</v>
      </c>
      <c r="AD57" s="4" t="s">
        <v>508</v>
      </c>
      <c r="AE57" s="4" t="s">
        <v>509</v>
      </c>
      <c r="AF57" s="4" t="s">
        <v>589</v>
      </c>
      <c r="AG57" s="115">
        <f>+VLOOKUP(Y57,B:O,10,FALSE)/1000</f>
        <v>4.7500005608436882E-2</v>
      </c>
      <c r="AI57" s="158"/>
    </row>
    <row r="58" spans="1:35">
      <c r="A58">
        <f t="shared" si="1"/>
        <v>56</v>
      </c>
      <c r="B58" t="s">
        <v>462</v>
      </c>
      <c r="C58" t="s">
        <v>307</v>
      </c>
      <c r="D58">
        <v>91.018083408072755</v>
      </c>
      <c r="E58">
        <v>91.018083408072755</v>
      </c>
      <c r="F58">
        <v>91.018083408072755</v>
      </c>
      <c r="G58">
        <v>91.018083408072755</v>
      </c>
      <c r="H58">
        <v>91.018083408072755</v>
      </c>
      <c r="I58">
        <v>91.018083408072755</v>
      </c>
      <c r="J58">
        <v>91.018083408072755</v>
      </c>
      <c r="K58">
        <v>91.018083408072755</v>
      </c>
      <c r="L58">
        <v>91.018083408072755</v>
      </c>
      <c r="M58">
        <v>91.018083408072755</v>
      </c>
      <c r="N58">
        <v>93.111499326458429</v>
      </c>
      <c r="O58">
        <v>93.111499326458429</v>
      </c>
      <c r="W58" s="4" t="s">
        <v>585</v>
      </c>
      <c r="X58" s="4" t="s">
        <v>3364</v>
      </c>
      <c r="Y58" s="151" t="str">
        <f t="shared" si="6"/>
        <v>E5070</v>
      </c>
      <c r="Z58" s="4" t="s">
        <v>587</v>
      </c>
      <c r="AA58" s="114" t="s">
        <v>588</v>
      </c>
      <c r="AB58" s="4" t="s">
        <v>506</v>
      </c>
      <c r="AC58" s="4" t="s">
        <v>507</v>
      </c>
      <c r="AD58" s="4" t="s">
        <v>508</v>
      </c>
      <c r="AE58" s="4" t="s">
        <v>509</v>
      </c>
      <c r="AF58" s="4" t="s">
        <v>589</v>
      </c>
      <c r="AG58" s="115">
        <f>+VLOOKUP(Y58,B:O,11,FALSE)/1000</f>
        <v>4.7500005608436882E-2</v>
      </c>
      <c r="AI58" s="158"/>
    </row>
    <row r="59" spans="1:35">
      <c r="A59">
        <f t="shared" si="1"/>
        <v>57</v>
      </c>
      <c r="B59" t="s">
        <v>499</v>
      </c>
      <c r="C59" t="s">
        <v>842</v>
      </c>
      <c r="D59">
        <v>88.407889631298303</v>
      </c>
      <c r="E59">
        <v>88.407889631298303</v>
      </c>
      <c r="F59">
        <v>88.407889631298303</v>
      </c>
      <c r="G59">
        <v>88.407889631298303</v>
      </c>
      <c r="H59">
        <v>88.407889631298303</v>
      </c>
      <c r="I59">
        <v>88.407889631298303</v>
      </c>
      <c r="J59">
        <v>88.407889631298303</v>
      </c>
      <c r="K59">
        <v>88.407889631298303</v>
      </c>
      <c r="L59">
        <v>88.407889631298303</v>
      </c>
      <c r="M59">
        <v>88.407889631298303</v>
      </c>
      <c r="N59">
        <v>90.44127109281817</v>
      </c>
      <c r="O59">
        <v>90.44127109281817</v>
      </c>
      <c r="W59" s="4" t="s">
        <v>585</v>
      </c>
      <c r="X59" s="4" t="s">
        <v>3365</v>
      </c>
      <c r="Y59" s="151" t="str">
        <f t="shared" si="6"/>
        <v>E5070</v>
      </c>
      <c r="Z59" s="4" t="s">
        <v>587</v>
      </c>
      <c r="AA59" s="114" t="s">
        <v>588</v>
      </c>
      <c r="AB59" s="4" t="s">
        <v>506</v>
      </c>
      <c r="AC59" s="4" t="s">
        <v>507</v>
      </c>
      <c r="AD59" s="4" t="s">
        <v>508</v>
      </c>
      <c r="AE59" s="4" t="s">
        <v>509</v>
      </c>
      <c r="AF59" s="4" t="s">
        <v>589</v>
      </c>
      <c r="AG59" s="115">
        <f>+VLOOKUP(Y59,B:O,12,FALSE)/1000</f>
        <v>4.7500005608436882E-2</v>
      </c>
      <c r="AI59" s="158"/>
    </row>
    <row r="60" spans="1:35">
      <c r="A60">
        <f t="shared" si="1"/>
        <v>58</v>
      </c>
      <c r="B60" t="s">
        <v>264</v>
      </c>
      <c r="C60" t="s">
        <v>215</v>
      </c>
      <c r="D60">
        <v>90.709420921052953</v>
      </c>
      <c r="E60">
        <v>90.709420921052953</v>
      </c>
      <c r="F60">
        <v>90.709420921052953</v>
      </c>
      <c r="G60">
        <v>90.709420921052953</v>
      </c>
      <c r="H60">
        <v>90.709420921052953</v>
      </c>
      <c r="I60">
        <v>90.709420921052953</v>
      </c>
      <c r="J60">
        <v>90.709420921052953</v>
      </c>
      <c r="K60">
        <v>90.709420921052953</v>
      </c>
      <c r="L60">
        <v>90.709420921052953</v>
      </c>
      <c r="M60">
        <v>90.709420921052953</v>
      </c>
      <c r="N60">
        <v>92.795737602237168</v>
      </c>
      <c r="O60">
        <v>92.795737602237168</v>
      </c>
      <c r="W60" s="4" t="s">
        <v>585</v>
      </c>
      <c r="X60" s="4" t="s">
        <v>3366</v>
      </c>
      <c r="Y60" s="151" t="str">
        <f t="shared" si="6"/>
        <v>E5070</v>
      </c>
      <c r="Z60" s="4" t="s">
        <v>587</v>
      </c>
      <c r="AA60" s="114" t="s">
        <v>588</v>
      </c>
      <c r="AB60" s="4" t="s">
        <v>506</v>
      </c>
      <c r="AC60" s="4" t="s">
        <v>507</v>
      </c>
      <c r="AD60" s="4" t="s">
        <v>508</v>
      </c>
      <c r="AE60" s="4" t="s">
        <v>509</v>
      </c>
      <c r="AF60" s="4" t="s">
        <v>589</v>
      </c>
      <c r="AG60" s="115">
        <f>+VLOOKUP(Y60,B:O,13,FALSE)/1000</f>
        <v>4.7500005608436882E-2</v>
      </c>
      <c r="AI60" s="158"/>
    </row>
    <row r="61" spans="1:35">
      <c r="A61">
        <f t="shared" si="1"/>
        <v>59</v>
      </c>
      <c r="B61" t="s">
        <v>277</v>
      </c>
      <c r="C61" t="s">
        <v>556</v>
      </c>
      <c r="D61">
        <v>90.331639345524536</v>
      </c>
      <c r="E61">
        <v>90.331639345524536</v>
      </c>
      <c r="F61">
        <v>90.331639345524536</v>
      </c>
      <c r="G61">
        <v>90.331639345524536</v>
      </c>
      <c r="H61">
        <v>90.331639345524536</v>
      </c>
      <c r="I61">
        <v>90.331639345524536</v>
      </c>
      <c r="J61">
        <v>90.331639345524536</v>
      </c>
      <c r="K61">
        <v>90.331639345524536</v>
      </c>
      <c r="L61">
        <v>90.331639345524536</v>
      </c>
      <c r="M61">
        <v>90.331639345524536</v>
      </c>
      <c r="N61">
        <v>92.409267050471598</v>
      </c>
      <c r="O61">
        <v>92.409267050471598</v>
      </c>
      <c r="W61" s="4" t="s">
        <v>585</v>
      </c>
      <c r="X61" s="4" t="s">
        <v>3367</v>
      </c>
      <c r="Y61" s="151" t="str">
        <f t="shared" si="6"/>
        <v>E5070</v>
      </c>
      <c r="Z61" s="4" t="s">
        <v>587</v>
      </c>
      <c r="AA61" s="114" t="s">
        <v>588</v>
      </c>
      <c r="AB61" s="4" t="s">
        <v>506</v>
      </c>
      <c r="AC61" s="4" t="s">
        <v>507</v>
      </c>
      <c r="AD61" s="4" t="s">
        <v>508</v>
      </c>
      <c r="AE61" s="4" t="s">
        <v>509</v>
      </c>
      <c r="AF61" s="4" t="s">
        <v>589</v>
      </c>
      <c r="AG61" s="115">
        <f>+VLOOKUP(Y61,B:O,14,FALSE)/1000</f>
        <v>4.7500005608436882E-2</v>
      </c>
      <c r="AI61" s="158"/>
    </row>
    <row r="62" spans="1:35">
      <c r="A62">
        <f t="shared" si="1"/>
        <v>60</v>
      </c>
      <c r="B62" t="s">
        <v>277</v>
      </c>
      <c r="C62" t="s">
        <v>557</v>
      </c>
      <c r="D62">
        <v>90.331639345524536</v>
      </c>
      <c r="E62">
        <v>90.331639345524536</v>
      </c>
      <c r="F62">
        <v>90.331639345524536</v>
      </c>
      <c r="G62">
        <v>90.331639345524536</v>
      </c>
      <c r="H62">
        <v>90.331639345524536</v>
      </c>
      <c r="I62">
        <v>90.331639345524536</v>
      </c>
      <c r="J62">
        <v>90.331639345524536</v>
      </c>
      <c r="K62">
        <v>90.331639345524536</v>
      </c>
      <c r="L62">
        <v>90.331639345524536</v>
      </c>
      <c r="M62">
        <v>90.331639345524536</v>
      </c>
      <c r="N62">
        <v>92.409267050471598</v>
      </c>
      <c r="O62">
        <v>92.409267050471598</v>
      </c>
      <c r="W62" s="4" t="s">
        <v>585</v>
      </c>
      <c r="X62" s="3" t="s">
        <v>3356</v>
      </c>
      <c r="Y62" s="150" t="str">
        <f>INDEX($B$3:$O$110,8,1)</f>
        <v>E5080</v>
      </c>
      <c r="Z62" s="4" t="s">
        <v>587</v>
      </c>
      <c r="AA62" s="114" t="s">
        <v>588</v>
      </c>
      <c r="AB62" s="4" t="s">
        <v>506</v>
      </c>
      <c r="AC62" s="4" t="s">
        <v>507</v>
      </c>
      <c r="AD62" s="4" t="s">
        <v>508</v>
      </c>
      <c r="AE62" s="4" t="s">
        <v>509</v>
      </c>
      <c r="AF62" s="4" t="s">
        <v>589</v>
      </c>
      <c r="AG62" s="115">
        <f>+VLOOKUP(Y62,B:O,3,FALSE)/1000</f>
        <v>4.7499991211189488E-2</v>
      </c>
      <c r="AI62" s="158"/>
    </row>
    <row r="63" spans="1:35">
      <c r="A63">
        <f t="shared" si="1"/>
        <v>61</v>
      </c>
      <c r="B63" t="s">
        <v>820</v>
      </c>
      <c r="C63" t="s">
        <v>819</v>
      </c>
      <c r="D63">
        <v>80.27000000000001</v>
      </c>
      <c r="E63">
        <v>81.240000000000009</v>
      </c>
      <c r="F63">
        <v>69.02000000000001</v>
      </c>
      <c r="G63">
        <v>54.629999999999995</v>
      </c>
      <c r="H63">
        <v>45.309999999999995</v>
      </c>
      <c r="I63">
        <v>50.46</v>
      </c>
      <c r="J63">
        <v>52.519999999999996</v>
      </c>
      <c r="K63">
        <v>48.8</v>
      </c>
      <c r="L63">
        <v>46.68</v>
      </c>
      <c r="M63">
        <v>45.879999999999995</v>
      </c>
      <c r="N63">
        <v>64.67</v>
      </c>
      <c r="O63">
        <v>76.100000000000009</v>
      </c>
      <c r="W63" s="4" t="s">
        <v>585</v>
      </c>
      <c r="X63" s="4" t="s">
        <v>3357</v>
      </c>
      <c r="Y63" s="151" t="str">
        <f>Y62</f>
        <v>E5080</v>
      </c>
      <c r="Z63" s="4" t="s">
        <v>587</v>
      </c>
      <c r="AA63" s="114" t="s">
        <v>588</v>
      </c>
      <c r="AB63" s="4" t="s">
        <v>506</v>
      </c>
      <c r="AC63" s="4" t="s">
        <v>507</v>
      </c>
      <c r="AD63" s="4" t="s">
        <v>508</v>
      </c>
      <c r="AE63" s="4" t="s">
        <v>509</v>
      </c>
      <c r="AF63" s="4" t="s">
        <v>589</v>
      </c>
      <c r="AG63" s="115">
        <f>+VLOOKUP(Y63,B:O,4,FALSE)/1000</f>
        <v>4.7499991211189488E-2</v>
      </c>
      <c r="AI63" s="158"/>
    </row>
    <row r="64" spans="1:35">
      <c r="A64">
        <f t="shared" si="1"/>
        <v>62</v>
      </c>
      <c r="B64" t="s">
        <v>471</v>
      </c>
      <c r="C64" t="s">
        <v>564</v>
      </c>
      <c r="D64">
        <v>85.850000394675476</v>
      </c>
      <c r="E64">
        <v>85.850000394675476</v>
      </c>
      <c r="F64">
        <v>85.850000394675476</v>
      </c>
      <c r="G64">
        <v>85.850000394675476</v>
      </c>
      <c r="H64">
        <v>85.850000394675476</v>
      </c>
      <c r="I64">
        <v>85.850000394675476</v>
      </c>
      <c r="J64">
        <v>85.850000394675476</v>
      </c>
      <c r="K64">
        <v>85.850000394675476</v>
      </c>
      <c r="L64">
        <v>85.850000394675476</v>
      </c>
      <c r="M64">
        <v>85.850000394675476</v>
      </c>
      <c r="N64">
        <v>87.824550403753008</v>
      </c>
      <c r="O64">
        <v>87.824550403753008</v>
      </c>
      <c r="W64" s="4" t="s">
        <v>585</v>
      </c>
      <c r="X64" s="4" t="s">
        <v>3358</v>
      </c>
      <c r="Y64" s="151" t="str">
        <f t="shared" ref="Y64:Y73" si="7">Y63</f>
        <v>E5080</v>
      </c>
      <c r="Z64" s="4" t="s">
        <v>587</v>
      </c>
      <c r="AA64" s="114" t="s">
        <v>588</v>
      </c>
      <c r="AB64" s="4" t="s">
        <v>506</v>
      </c>
      <c r="AC64" s="4" t="s">
        <v>507</v>
      </c>
      <c r="AD64" s="4" t="s">
        <v>508</v>
      </c>
      <c r="AE64" s="4" t="s">
        <v>509</v>
      </c>
      <c r="AF64" s="4" t="s">
        <v>589</v>
      </c>
      <c r="AG64" s="115">
        <f>+VLOOKUP(Y64,B:O,5,FALSE)/1000</f>
        <v>4.7499991211189488E-2</v>
      </c>
      <c r="AI64" s="158"/>
    </row>
    <row r="65" spans="1:35">
      <c r="A65">
        <f t="shared" si="1"/>
        <v>63</v>
      </c>
      <c r="B65" t="s">
        <v>465</v>
      </c>
      <c r="C65" t="s">
        <v>563</v>
      </c>
      <c r="D65">
        <v>88.75548005254096</v>
      </c>
      <c r="E65">
        <v>88.75548005254096</v>
      </c>
      <c r="F65">
        <v>88.75548005254096</v>
      </c>
      <c r="G65">
        <v>88.75548005254096</v>
      </c>
      <c r="H65">
        <v>88.75548005254096</v>
      </c>
      <c r="I65">
        <v>88.75548005254096</v>
      </c>
      <c r="J65">
        <v>88.75548005254096</v>
      </c>
      <c r="K65">
        <v>88.75548005254096</v>
      </c>
      <c r="L65">
        <v>88.75548005254096</v>
      </c>
      <c r="M65">
        <v>88.75548005254096</v>
      </c>
      <c r="N65">
        <v>90.796856093749398</v>
      </c>
      <c r="O65">
        <v>90.796856093749398</v>
      </c>
      <c r="W65" s="4" t="s">
        <v>585</v>
      </c>
      <c r="X65" s="4" t="s">
        <v>3359</v>
      </c>
      <c r="Y65" s="151" t="str">
        <f t="shared" si="7"/>
        <v>E5080</v>
      </c>
      <c r="Z65" s="4" t="s">
        <v>587</v>
      </c>
      <c r="AA65" s="114" t="s">
        <v>588</v>
      </c>
      <c r="AB65" s="4" t="s">
        <v>506</v>
      </c>
      <c r="AC65" s="4" t="s">
        <v>507</v>
      </c>
      <c r="AD65" s="4" t="s">
        <v>508</v>
      </c>
      <c r="AE65" s="4" t="s">
        <v>509</v>
      </c>
      <c r="AF65" s="4" t="s">
        <v>589</v>
      </c>
      <c r="AG65" s="115">
        <f>+VLOOKUP(Y65,B:O,6,FALSE)/1000</f>
        <v>4.7499991211189488E-2</v>
      </c>
      <c r="AI65" s="158"/>
    </row>
    <row r="66" spans="1:35">
      <c r="A66">
        <f t="shared" si="1"/>
        <v>64</v>
      </c>
      <c r="B66" t="s">
        <v>467</v>
      </c>
      <c r="C66" t="s">
        <v>559</v>
      </c>
      <c r="D66">
        <v>89.686419013215854</v>
      </c>
      <c r="E66">
        <v>89.686419013215854</v>
      </c>
      <c r="F66">
        <v>89.686419013215854</v>
      </c>
      <c r="G66">
        <v>89.686419013215854</v>
      </c>
      <c r="H66">
        <v>89.686419013215854</v>
      </c>
      <c r="I66">
        <v>89.686419013215854</v>
      </c>
      <c r="J66">
        <v>89.686419013215854</v>
      </c>
      <c r="K66">
        <v>89.686419013215854</v>
      </c>
      <c r="L66">
        <v>89.686419013215854</v>
      </c>
      <c r="M66">
        <v>89.686419013215854</v>
      </c>
      <c r="N66">
        <v>91.749206650519824</v>
      </c>
      <c r="O66">
        <v>91.749206650519824</v>
      </c>
      <c r="W66" s="4" t="s">
        <v>585</v>
      </c>
      <c r="X66" s="4" t="s">
        <v>3360</v>
      </c>
      <c r="Y66" s="151" t="str">
        <f t="shared" si="7"/>
        <v>E5080</v>
      </c>
      <c r="Z66" s="4" t="s">
        <v>587</v>
      </c>
      <c r="AA66" s="114" t="s">
        <v>588</v>
      </c>
      <c r="AB66" s="4" t="s">
        <v>506</v>
      </c>
      <c r="AC66" s="4" t="s">
        <v>507</v>
      </c>
      <c r="AD66" s="4" t="s">
        <v>508</v>
      </c>
      <c r="AE66" s="4" t="s">
        <v>509</v>
      </c>
      <c r="AF66" s="4" t="s">
        <v>589</v>
      </c>
      <c r="AG66" s="115">
        <f>+VLOOKUP(Y66,B:O,7,FALSE)/1000</f>
        <v>4.7499991211189488E-2</v>
      </c>
      <c r="AI66" s="158"/>
    </row>
    <row r="67" spans="1:35">
      <c r="A67">
        <f t="shared" si="1"/>
        <v>65</v>
      </c>
      <c r="B67" t="s">
        <v>467</v>
      </c>
      <c r="C67" t="s">
        <v>560</v>
      </c>
      <c r="D67">
        <v>89.686419013215854</v>
      </c>
      <c r="E67">
        <v>89.686419013215854</v>
      </c>
      <c r="F67">
        <v>89.686419013215854</v>
      </c>
      <c r="G67">
        <v>89.686419013215854</v>
      </c>
      <c r="H67">
        <v>89.686419013215854</v>
      </c>
      <c r="I67">
        <v>89.686419013215854</v>
      </c>
      <c r="J67">
        <v>89.686419013215854</v>
      </c>
      <c r="K67">
        <v>89.686419013215854</v>
      </c>
      <c r="L67">
        <v>89.686419013215854</v>
      </c>
      <c r="M67">
        <v>89.686419013215854</v>
      </c>
      <c r="N67">
        <v>91.749206650519824</v>
      </c>
      <c r="O67">
        <v>91.749206650519824</v>
      </c>
      <c r="W67" s="4" t="s">
        <v>585</v>
      </c>
      <c r="X67" s="4" t="s">
        <v>3361</v>
      </c>
      <c r="Y67" s="151" t="str">
        <f t="shared" si="7"/>
        <v>E5080</v>
      </c>
      <c r="Z67" s="4" t="s">
        <v>587</v>
      </c>
      <c r="AA67" s="114" t="s">
        <v>588</v>
      </c>
      <c r="AB67" s="4" t="s">
        <v>506</v>
      </c>
      <c r="AC67" s="4" t="s">
        <v>507</v>
      </c>
      <c r="AD67" s="4" t="s">
        <v>508</v>
      </c>
      <c r="AE67" s="4" t="s">
        <v>509</v>
      </c>
      <c r="AF67" s="4" t="s">
        <v>589</v>
      </c>
      <c r="AG67" s="115">
        <f>+VLOOKUP(Y67,B:O,8,FALSE)/1000</f>
        <v>4.7499991211189488E-2</v>
      </c>
      <c r="AI67" s="158"/>
    </row>
    <row r="68" spans="1:35">
      <c r="A68">
        <f t="shared" ref="A68:A97" si="8">A67+1</f>
        <v>66</v>
      </c>
      <c r="B68" t="s">
        <v>470</v>
      </c>
      <c r="C68" t="s">
        <v>561</v>
      </c>
      <c r="D68">
        <v>88.755524756250011</v>
      </c>
      <c r="E68">
        <v>88.755524756250011</v>
      </c>
      <c r="F68">
        <v>88.755524756250011</v>
      </c>
      <c r="G68">
        <v>88.755524756250011</v>
      </c>
      <c r="H68">
        <v>88.755524756250011</v>
      </c>
      <c r="I68">
        <v>88.755524756250011</v>
      </c>
      <c r="J68">
        <v>88.755524756250011</v>
      </c>
      <c r="K68">
        <v>88.755524756250011</v>
      </c>
      <c r="L68">
        <v>88.755524756250011</v>
      </c>
      <c r="M68">
        <v>88.755524756250011</v>
      </c>
      <c r="N68">
        <v>90.796901825643758</v>
      </c>
      <c r="O68">
        <v>90.796901825643758</v>
      </c>
      <c r="W68" s="4" t="s">
        <v>585</v>
      </c>
      <c r="X68" s="4" t="s">
        <v>3362</v>
      </c>
      <c r="Y68" s="151" t="str">
        <f t="shared" si="7"/>
        <v>E5080</v>
      </c>
      <c r="Z68" s="4" t="s">
        <v>587</v>
      </c>
      <c r="AA68" s="114" t="s">
        <v>588</v>
      </c>
      <c r="AB68" s="4" t="s">
        <v>506</v>
      </c>
      <c r="AC68" s="4" t="s">
        <v>507</v>
      </c>
      <c r="AD68" s="4" t="s">
        <v>508</v>
      </c>
      <c r="AE68" s="4" t="s">
        <v>509</v>
      </c>
      <c r="AF68" s="4" t="s">
        <v>589</v>
      </c>
      <c r="AG68" s="115">
        <f>+VLOOKUP(Y68,B:O,9,FALSE)/1000</f>
        <v>4.7499991211189488E-2</v>
      </c>
      <c r="AI68" s="158"/>
    </row>
    <row r="69" spans="1:35">
      <c r="A69">
        <f t="shared" si="8"/>
        <v>67</v>
      </c>
      <c r="B69" t="s">
        <v>470</v>
      </c>
      <c r="C69" t="s">
        <v>562</v>
      </c>
      <c r="D69">
        <v>88.755524756250011</v>
      </c>
      <c r="E69">
        <v>88.755524756250011</v>
      </c>
      <c r="F69">
        <v>88.755524756250011</v>
      </c>
      <c r="G69">
        <v>88.755524756250011</v>
      </c>
      <c r="H69">
        <v>88.755524756250011</v>
      </c>
      <c r="I69">
        <v>88.755524756250011</v>
      </c>
      <c r="J69">
        <v>88.755524756250011</v>
      </c>
      <c r="K69">
        <v>88.755524756250011</v>
      </c>
      <c r="L69">
        <v>88.755524756250011</v>
      </c>
      <c r="M69">
        <v>88.755524756250011</v>
      </c>
      <c r="N69">
        <v>90.796901825643758</v>
      </c>
      <c r="O69">
        <v>90.796901825643758</v>
      </c>
      <c r="W69" s="4" t="s">
        <v>585</v>
      </c>
      <c r="X69" s="4" t="s">
        <v>3363</v>
      </c>
      <c r="Y69" s="151" t="str">
        <f t="shared" si="7"/>
        <v>E5080</v>
      </c>
      <c r="Z69" s="4" t="s">
        <v>587</v>
      </c>
      <c r="AA69" s="114" t="s">
        <v>588</v>
      </c>
      <c r="AB69" s="4" t="s">
        <v>506</v>
      </c>
      <c r="AC69" s="4" t="s">
        <v>507</v>
      </c>
      <c r="AD69" s="4" t="s">
        <v>508</v>
      </c>
      <c r="AE69" s="4" t="s">
        <v>509</v>
      </c>
      <c r="AF69" s="4" t="s">
        <v>589</v>
      </c>
      <c r="AG69" s="115">
        <f>+VLOOKUP(Y69,B:O,10,FALSE)/1000</f>
        <v>4.7499991211189488E-2</v>
      </c>
      <c r="AI69" s="158"/>
    </row>
    <row r="70" spans="1:35">
      <c r="A70">
        <f t="shared" si="8"/>
        <v>68</v>
      </c>
      <c r="B70" t="s">
        <v>822</v>
      </c>
      <c r="C70" t="s">
        <v>821</v>
      </c>
      <c r="D70">
        <v>79.36</v>
      </c>
      <c r="E70">
        <v>80.33</v>
      </c>
      <c r="F70">
        <v>68.11</v>
      </c>
      <c r="G70">
        <v>53.72</v>
      </c>
      <c r="H70">
        <v>44.4</v>
      </c>
      <c r="I70">
        <v>49.550000000000004</v>
      </c>
      <c r="J70">
        <v>51.61</v>
      </c>
      <c r="K70">
        <v>47.89</v>
      </c>
      <c r="L70">
        <v>45.77</v>
      </c>
      <c r="M70">
        <v>44.97</v>
      </c>
      <c r="N70">
        <v>63.76</v>
      </c>
      <c r="O70">
        <v>75.19</v>
      </c>
      <c r="W70" s="4" t="s">
        <v>585</v>
      </c>
      <c r="X70" s="4" t="s">
        <v>3364</v>
      </c>
      <c r="Y70" s="151" t="str">
        <f t="shared" si="7"/>
        <v>E5080</v>
      </c>
      <c r="Z70" s="4" t="s">
        <v>587</v>
      </c>
      <c r="AA70" s="114" t="s">
        <v>588</v>
      </c>
      <c r="AB70" s="4" t="s">
        <v>506</v>
      </c>
      <c r="AC70" s="4" t="s">
        <v>507</v>
      </c>
      <c r="AD70" s="4" t="s">
        <v>508</v>
      </c>
      <c r="AE70" s="4" t="s">
        <v>509</v>
      </c>
      <c r="AF70" s="4" t="s">
        <v>589</v>
      </c>
      <c r="AG70" s="115">
        <f>+VLOOKUP(Y70,B:O,11,FALSE)/1000</f>
        <v>4.7499991211189488E-2</v>
      </c>
      <c r="AI70" s="158"/>
    </row>
    <row r="71" spans="1:35">
      <c r="A71">
        <f t="shared" si="8"/>
        <v>69</v>
      </c>
      <c r="B71" t="s">
        <v>817</v>
      </c>
      <c r="C71" t="s">
        <v>818</v>
      </c>
      <c r="D71">
        <v>80.800000000000011</v>
      </c>
      <c r="E71">
        <v>81.77000000000001</v>
      </c>
      <c r="F71">
        <v>69.550000000000011</v>
      </c>
      <c r="G71">
        <v>55.16</v>
      </c>
      <c r="H71">
        <v>45.839999999999996</v>
      </c>
      <c r="I71">
        <v>50.99</v>
      </c>
      <c r="J71">
        <v>53.05</v>
      </c>
      <c r="K71">
        <v>49.33</v>
      </c>
      <c r="L71">
        <v>47.21</v>
      </c>
      <c r="M71">
        <v>46.41</v>
      </c>
      <c r="N71">
        <v>65.2</v>
      </c>
      <c r="O71">
        <v>76.63000000000001</v>
      </c>
      <c r="W71" s="4" t="s">
        <v>585</v>
      </c>
      <c r="X71" s="4" t="s">
        <v>3365</v>
      </c>
      <c r="Y71" s="151" t="str">
        <f t="shared" si="7"/>
        <v>E5080</v>
      </c>
      <c r="Z71" s="4" t="s">
        <v>587</v>
      </c>
      <c r="AA71" s="114" t="s">
        <v>588</v>
      </c>
      <c r="AB71" s="4" t="s">
        <v>506</v>
      </c>
      <c r="AC71" s="4" t="s">
        <v>507</v>
      </c>
      <c r="AD71" s="4" t="s">
        <v>508</v>
      </c>
      <c r="AE71" s="4" t="s">
        <v>509</v>
      </c>
      <c r="AF71" s="4" t="s">
        <v>589</v>
      </c>
      <c r="AG71" s="115">
        <f>+VLOOKUP(Y71,B:O,12,FALSE)/1000</f>
        <v>4.7499991211189488E-2</v>
      </c>
      <c r="AI71" s="158"/>
    </row>
    <row r="72" spans="1:35">
      <c r="A72">
        <f t="shared" si="8"/>
        <v>70</v>
      </c>
      <c r="B72" t="s">
        <v>473</v>
      </c>
      <c r="C72" t="s">
        <v>558</v>
      </c>
      <c r="D72">
        <v>88.683895317111421</v>
      </c>
      <c r="E72">
        <v>88.683895317111421</v>
      </c>
      <c r="F72">
        <v>88.683895317111421</v>
      </c>
      <c r="G72">
        <v>88.683895317111421</v>
      </c>
      <c r="H72">
        <v>88.683895317111421</v>
      </c>
      <c r="I72">
        <v>88.683895317111421</v>
      </c>
      <c r="J72">
        <v>88.683895317111421</v>
      </c>
      <c r="K72">
        <v>88.683895317111421</v>
      </c>
      <c r="L72">
        <v>88.683895317111421</v>
      </c>
      <c r="M72">
        <v>88.683895317111421</v>
      </c>
      <c r="N72">
        <v>90.72362490940499</v>
      </c>
      <c r="O72">
        <v>90.72362490940499</v>
      </c>
      <c r="W72" s="4" t="s">
        <v>585</v>
      </c>
      <c r="X72" s="4" t="s">
        <v>3366</v>
      </c>
      <c r="Y72" s="151" t="str">
        <f t="shared" si="7"/>
        <v>E5080</v>
      </c>
      <c r="Z72" s="4" t="s">
        <v>587</v>
      </c>
      <c r="AA72" s="114" t="s">
        <v>588</v>
      </c>
      <c r="AB72" s="4" t="s">
        <v>506</v>
      </c>
      <c r="AC72" s="4" t="s">
        <v>507</v>
      </c>
      <c r="AD72" s="4" t="s">
        <v>508</v>
      </c>
      <c r="AE72" s="4" t="s">
        <v>509</v>
      </c>
      <c r="AF72" s="4" t="s">
        <v>589</v>
      </c>
      <c r="AG72" s="115">
        <f>+VLOOKUP(Y72,B:O,13,FALSE)/1000</f>
        <v>4.7499991211189488E-2</v>
      </c>
      <c r="AI72" s="158"/>
    </row>
    <row r="73" spans="1:35">
      <c r="A73">
        <f t="shared" si="8"/>
        <v>71</v>
      </c>
      <c r="B73" t="s">
        <v>468</v>
      </c>
      <c r="C73" t="s">
        <v>565</v>
      </c>
      <c r="D73">
        <v>85.379553147915374</v>
      </c>
      <c r="E73">
        <v>85.379553147915374</v>
      </c>
      <c r="F73">
        <v>85.379553147915374</v>
      </c>
      <c r="G73">
        <v>85.379553147915374</v>
      </c>
      <c r="H73">
        <v>85.379553147915374</v>
      </c>
      <c r="I73">
        <v>85.379553147915374</v>
      </c>
      <c r="J73">
        <v>85.379553147915374</v>
      </c>
      <c r="K73">
        <v>85.379553147915374</v>
      </c>
      <c r="L73">
        <v>85.379553147915374</v>
      </c>
      <c r="M73">
        <v>85.379553147915374</v>
      </c>
      <c r="N73">
        <v>87.343282870317424</v>
      </c>
      <c r="O73">
        <v>87.343282870317424</v>
      </c>
      <c r="W73" s="4" t="s">
        <v>585</v>
      </c>
      <c r="X73" s="4" t="s">
        <v>3367</v>
      </c>
      <c r="Y73" s="151" t="str">
        <f t="shared" si="7"/>
        <v>E5080</v>
      </c>
      <c r="Z73" s="4" t="s">
        <v>587</v>
      </c>
      <c r="AA73" s="114" t="s">
        <v>588</v>
      </c>
      <c r="AB73" s="4" t="s">
        <v>506</v>
      </c>
      <c r="AC73" s="4" t="s">
        <v>507</v>
      </c>
      <c r="AD73" s="4" t="s">
        <v>508</v>
      </c>
      <c r="AE73" s="4" t="s">
        <v>509</v>
      </c>
      <c r="AF73" s="4" t="s">
        <v>589</v>
      </c>
      <c r="AG73" s="115">
        <f>+VLOOKUP(Y73,B:O,14,FALSE)/1000</f>
        <v>4.7499991211189488E-2</v>
      </c>
      <c r="AI73" s="158"/>
    </row>
    <row r="74" spans="1:35">
      <c r="A74">
        <f t="shared" si="8"/>
        <v>72</v>
      </c>
      <c r="B74" t="s">
        <v>826</v>
      </c>
      <c r="C74" t="s">
        <v>839</v>
      </c>
      <c r="D74">
        <v>80.03</v>
      </c>
      <c r="E74">
        <v>81</v>
      </c>
      <c r="F74">
        <v>68.78</v>
      </c>
      <c r="G74">
        <v>54.39</v>
      </c>
      <c r="H74">
        <v>45.07</v>
      </c>
      <c r="I74">
        <v>50.220000000000006</v>
      </c>
      <c r="J74">
        <v>52.28</v>
      </c>
      <c r="K74">
        <v>48.56</v>
      </c>
      <c r="L74">
        <v>46.440000000000005</v>
      </c>
      <c r="M74">
        <v>45.64</v>
      </c>
      <c r="N74">
        <v>64.429999999999993</v>
      </c>
      <c r="O74">
        <v>75.86</v>
      </c>
      <c r="W74" s="4" t="s">
        <v>585</v>
      </c>
      <c r="X74" s="3" t="s">
        <v>3356</v>
      </c>
      <c r="Y74" s="150" t="str">
        <f>INDEX($B$3:$O$110,9,1)</f>
        <v>E5090</v>
      </c>
      <c r="Z74" s="4" t="s">
        <v>587</v>
      </c>
      <c r="AA74" s="114" t="s">
        <v>588</v>
      </c>
      <c r="AB74" s="4" t="s">
        <v>506</v>
      </c>
      <c r="AC74" s="4" t="s">
        <v>507</v>
      </c>
      <c r="AD74" s="4" t="s">
        <v>508</v>
      </c>
      <c r="AE74" s="4" t="s">
        <v>509</v>
      </c>
      <c r="AF74" s="4" t="s">
        <v>589</v>
      </c>
      <c r="AG74" s="115">
        <f>+VLOOKUP(Y74,B:O,3,FALSE)/1000</f>
        <v>4.7500019754985502E-2</v>
      </c>
      <c r="AI74" s="158"/>
    </row>
    <row r="75" spans="1:35">
      <c r="A75">
        <f t="shared" si="8"/>
        <v>73</v>
      </c>
      <c r="B75" t="s">
        <v>826</v>
      </c>
      <c r="C75" t="s">
        <v>840</v>
      </c>
      <c r="D75">
        <v>80.03</v>
      </c>
      <c r="E75">
        <v>81</v>
      </c>
      <c r="F75">
        <v>68.78</v>
      </c>
      <c r="G75">
        <v>54.39</v>
      </c>
      <c r="H75">
        <v>45.07</v>
      </c>
      <c r="I75">
        <v>50.220000000000006</v>
      </c>
      <c r="J75">
        <v>52.28</v>
      </c>
      <c r="K75">
        <v>48.56</v>
      </c>
      <c r="L75">
        <v>46.440000000000005</v>
      </c>
      <c r="M75">
        <v>45.64</v>
      </c>
      <c r="N75">
        <v>64.429999999999993</v>
      </c>
      <c r="O75">
        <v>75.86</v>
      </c>
      <c r="W75" s="4" t="s">
        <v>585</v>
      </c>
      <c r="X75" s="4" t="s">
        <v>3357</v>
      </c>
      <c r="Y75" s="151" t="str">
        <f>Y74</f>
        <v>E5090</v>
      </c>
      <c r="Z75" s="4" t="s">
        <v>587</v>
      </c>
      <c r="AA75" s="114" t="s">
        <v>588</v>
      </c>
      <c r="AB75" s="4" t="s">
        <v>506</v>
      </c>
      <c r="AC75" s="4" t="s">
        <v>507</v>
      </c>
      <c r="AD75" s="4" t="s">
        <v>508</v>
      </c>
      <c r="AE75" s="4" t="s">
        <v>509</v>
      </c>
      <c r="AF75" s="4" t="s">
        <v>589</v>
      </c>
      <c r="AG75" s="115">
        <f>+VLOOKUP(Y75,B:O,4,FALSE)/1000</f>
        <v>4.7500019754985502E-2</v>
      </c>
      <c r="AI75" s="158"/>
    </row>
    <row r="76" spans="1:35">
      <c r="A76">
        <f t="shared" si="8"/>
        <v>74</v>
      </c>
      <c r="B76" t="s">
        <v>824</v>
      </c>
      <c r="C76" t="s">
        <v>837</v>
      </c>
      <c r="D76">
        <v>80.12</v>
      </c>
      <c r="E76">
        <v>81.09</v>
      </c>
      <c r="F76">
        <v>68.87</v>
      </c>
      <c r="G76">
        <v>54.48</v>
      </c>
      <c r="H76">
        <v>45.16</v>
      </c>
      <c r="I76">
        <v>50.31</v>
      </c>
      <c r="J76">
        <v>52.37</v>
      </c>
      <c r="K76">
        <v>48.65</v>
      </c>
      <c r="L76">
        <v>46.53</v>
      </c>
      <c r="M76">
        <v>45.73</v>
      </c>
      <c r="N76">
        <v>64.52</v>
      </c>
      <c r="O76">
        <v>75.95</v>
      </c>
      <c r="W76" s="4" t="s">
        <v>585</v>
      </c>
      <c r="X76" s="4" t="s">
        <v>3358</v>
      </c>
      <c r="Y76" s="151" t="str">
        <f t="shared" ref="Y76:Y85" si="9">Y75</f>
        <v>E5090</v>
      </c>
      <c r="Z76" s="4" t="s">
        <v>587</v>
      </c>
      <c r="AA76" s="114" t="s">
        <v>588</v>
      </c>
      <c r="AB76" s="4" t="s">
        <v>506</v>
      </c>
      <c r="AC76" s="4" t="s">
        <v>507</v>
      </c>
      <c r="AD76" s="4" t="s">
        <v>508</v>
      </c>
      <c r="AE76" s="4" t="s">
        <v>509</v>
      </c>
      <c r="AF76" s="4" t="s">
        <v>589</v>
      </c>
      <c r="AG76" s="115">
        <f>+VLOOKUP(Y76,B:O,5,FALSE)/1000</f>
        <v>4.7500019754985502E-2</v>
      </c>
      <c r="AI76" s="158"/>
    </row>
    <row r="77" spans="1:35">
      <c r="A77">
        <f t="shared" si="8"/>
        <v>75</v>
      </c>
      <c r="B77" t="s">
        <v>824</v>
      </c>
      <c r="C77" t="s">
        <v>838</v>
      </c>
      <c r="D77">
        <v>80.12</v>
      </c>
      <c r="E77">
        <v>81.09</v>
      </c>
      <c r="F77">
        <v>68.87</v>
      </c>
      <c r="G77">
        <v>54.48</v>
      </c>
      <c r="H77">
        <v>45.16</v>
      </c>
      <c r="I77">
        <v>50.31</v>
      </c>
      <c r="J77">
        <v>52.37</v>
      </c>
      <c r="K77">
        <v>48.65</v>
      </c>
      <c r="L77">
        <v>46.53</v>
      </c>
      <c r="M77">
        <v>45.73</v>
      </c>
      <c r="N77">
        <v>64.52</v>
      </c>
      <c r="O77">
        <v>75.95</v>
      </c>
      <c r="W77" s="4" t="s">
        <v>585</v>
      </c>
      <c r="X77" s="4" t="s">
        <v>3359</v>
      </c>
      <c r="Y77" s="151" t="str">
        <f t="shared" si="9"/>
        <v>E5090</v>
      </c>
      <c r="Z77" s="4" t="s">
        <v>587</v>
      </c>
      <c r="AA77" s="114" t="s">
        <v>588</v>
      </c>
      <c r="AB77" s="4" t="s">
        <v>506</v>
      </c>
      <c r="AC77" s="4" t="s">
        <v>507</v>
      </c>
      <c r="AD77" s="4" t="s">
        <v>508</v>
      </c>
      <c r="AE77" s="4" t="s">
        <v>509</v>
      </c>
      <c r="AF77" s="4" t="s">
        <v>589</v>
      </c>
      <c r="AG77" s="115">
        <f>+VLOOKUP(Y77,B:O,6,FALSE)/1000</f>
        <v>4.7500019754985502E-2</v>
      </c>
      <c r="AI77" s="158"/>
    </row>
    <row r="78" spans="1:35">
      <c r="A78">
        <f t="shared" si="8"/>
        <v>76</v>
      </c>
      <c r="B78" t="s">
        <v>474</v>
      </c>
      <c r="C78" t="s">
        <v>566</v>
      </c>
      <c r="D78">
        <v>80.77000000000001</v>
      </c>
      <c r="E78">
        <v>81.740000000000009</v>
      </c>
      <c r="F78">
        <v>69.52000000000001</v>
      </c>
      <c r="G78">
        <v>55.129999999999995</v>
      </c>
      <c r="H78">
        <v>45.809999999999995</v>
      </c>
      <c r="I78">
        <v>50.96</v>
      </c>
      <c r="J78">
        <v>53.019999999999996</v>
      </c>
      <c r="K78">
        <v>49.3</v>
      </c>
      <c r="L78">
        <v>47.18</v>
      </c>
      <c r="M78">
        <v>46.379999999999995</v>
      </c>
      <c r="N78">
        <v>65.17</v>
      </c>
      <c r="O78">
        <v>76.600000000000009</v>
      </c>
      <c r="W78" s="4" t="s">
        <v>585</v>
      </c>
      <c r="X78" s="4" t="s">
        <v>3360</v>
      </c>
      <c r="Y78" s="151" t="str">
        <f t="shared" si="9"/>
        <v>E5090</v>
      </c>
      <c r="Z78" s="4" t="s">
        <v>587</v>
      </c>
      <c r="AA78" s="114" t="s">
        <v>588</v>
      </c>
      <c r="AB78" s="4" t="s">
        <v>506</v>
      </c>
      <c r="AC78" s="4" t="s">
        <v>507</v>
      </c>
      <c r="AD78" s="4" t="s">
        <v>508</v>
      </c>
      <c r="AE78" s="4" t="s">
        <v>509</v>
      </c>
      <c r="AF78" s="4" t="s">
        <v>589</v>
      </c>
      <c r="AG78" s="115">
        <f>+VLOOKUP(Y78,B:O,7,FALSE)/1000</f>
        <v>4.7500019754985502E-2</v>
      </c>
      <c r="AI78" s="158"/>
    </row>
    <row r="79" spans="1:35">
      <c r="A79">
        <f t="shared" si="8"/>
        <v>77</v>
      </c>
      <c r="B79" t="s">
        <v>481</v>
      </c>
      <c r="C79" t="s">
        <v>568</v>
      </c>
      <c r="D79">
        <v>85.379573269736838</v>
      </c>
      <c r="E79">
        <v>85.379573269736838</v>
      </c>
      <c r="F79">
        <v>85.379573269736838</v>
      </c>
      <c r="G79">
        <v>85.379573269736838</v>
      </c>
      <c r="H79">
        <v>85.379573269736838</v>
      </c>
      <c r="I79">
        <v>85.379573269736838</v>
      </c>
      <c r="J79">
        <v>85.379573269736838</v>
      </c>
      <c r="K79">
        <v>85.379573269736838</v>
      </c>
      <c r="L79">
        <v>85.379573269736838</v>
      </c>
      <c r="M79">
        <v>85.379573269736838</v>
      </c>
      <c r="N79">
        <v>87.343303454940781</v>
      </c>
      <c r="O79">
        <v>87.343303454940781</v>
      </c>
      <c r="W79" s="4" t="s">
        <v>585</v>
      </c>
      <c r="X79" s="4" t="s">
        <v>3361</v>
      </c>
      <c r="Y79" s="151" t="str">
        <f t="shared" si="9"/>
        <v>E5090</v>
      </c>
      <c r="Z79" s="4" t="s">
        <v>587</v>
      </c>
      <c r="AA79" s="114" t="s">
        <v>588</v>
      </c>
      <c r="AB79" s="4" t="s">
        <v>506</v>
      </c>
      <c r="AC79" s="4" t="s">
        <v>507</v>
      </c>
      <c r="AD79" s="4" t="s">
        <v>508</v>
      </c>
      <c r="AE79" s="4" t="s">
        <v>509</v>
      </c>
      <c r="AF79" s="4" t="s">
        <v>589</v>
      </c>
      <c r="AG79" s="115">
        <f>+VLOOKUP(Y79,B:O,8,FALSE)/1000</f>
        <v>4.7500019754985502E-2</v>
      </c>
      <c r="AI79" s="158"/>
    </row>
    <row r="80" spans="1:35">
      <c r="A80">
        <f t="shared" si="8"/>
        <v>78</v>
      </c>
      <c r="B80" t="s">
        <v>481</v>
      </c>
      <c r="C80" t="s">
        <v>567</v>
      </c>
      <c r="D80">
        <v>85.379573269736838</v>
      </c>
      <c r="E80">
        <v>85.379573269736838</v>
      </c>
      <c r="F80">
        <v>85.379573269736838</v>
      </c>
      <c r="G80">
        <v>85.379573269736838</v>
      </c>
      <c r="H80">
        <v>85.379573269736838</v>
      </c>
      <c r="I80">
        <v>85.379573269736838</v>
      </c>
      <c r="J80">
        <v>85.379573269736838</v>
      </c>
      <c r="K80">
        <v>85.379573269736838</v>
      </c>
      <c r="L80">
        <v>85.379573269736838</v>
      </c>
      <c r="M80">
        <v>85.379573269736838</v>
      </c>
      <c r="N80">
        <v>87.343303454940781</v>
      </c>
      <c r="O80">
        <v>87.343303454940781</v>
      </c>
      <c r="W80" s="4" t="s">
        <v>585</v>
      </c>
      <c r="X80" s="4" t="s">
        <v>3362</v>
      </c>
      <c r="Y80" s="151" t="str">
        <f t="shared" si="9"/>
        <v>E5090</v>
      </c>
      <c r="Z80" s="4" t="s">
        <v>587</v>
      </c>
      <c r="AA80" s="114" t="s">
        <v>588</v>
      </c>
      <c r="AB80" s="4" t="s">
        <v>506</v>
      </c>
      <c r="AC80" s="4" t="s">
        <v>507</v>
      </c>
      <c r="AD80" s="4" t="s">
        <v>508</v>
      </c>
      <c r="AE80" s="4" t="s">
        <v>509</v>
      </c>
      <c r="AF80" s="4" t="s">
        <v>589</v>
      </c>
      <c r="AG80" s="115">
        <f>+VLOOKUP(Y80,B:O,9,FALSE)/1000</f>
        <v>4.7500019754985502E-2</v>
      </c>
      <c r="AI80" s="158"/>
    </row>
    <row r="81" spans="1:35">
      <c r="A81">
        <f t="shared" si="8"/>
        <v>79</v>
      </c>
      <c r="B81" t="s">
        <v>1808</v>
      </c>
      <c r="C81" t="s">
        <v>3162</v>
      </c>
      <c r="D81">
        <v>79.92</v>
      </c>
      <c r="E81">
        <v>80.89</v>
      </c>
      <c r="F81">
        <v>68.67</v>
      </c>
      <c r="G81">
        <v>54.279999999999994</v>
      </c>
      <c r="H81">
        <v>44.959999999999994</v>
      </c>
      <c r="I81">
        <v>50.11</v>
      </c>
      <c r="J81">
        <v>52.169999999999995</v>
      </c>
      <c r="K81">
        <v>48.449999999999996</v>
      </c>
      <c r="L81">
        <v>46.33</v>
      </c>
      <c r="M81">
        <v>45.529999999999994</v>
      </c>
      <c r="N81">
        <v>64.319999999999993</v>
      </c>
      <c r="O81">
        <v>75.75</v>
      </c>
      <c r="W81" s="4" t="s">
        <v>585</v>
      </c>
      <c r="X81" s="4" t="s">
        <v>3363</v>
      </c>
      <c r="Y81" s="151" t="str">
        <f t="shared" si="9"/>
        <v>E5090</v>
      </c>
      <c r="Z81" s="4" t="s">
        <v>587</v>
      </c>
      <c r="AA81" s="114" t="s">
        <v>588</v>
      </c>
      <c r="AB81" s="4" t="s">
        <v>506</v>
      </c>
      <c r="AC81" s="4" t="s">
        <v>507</v>
      </c>
      <c r="AD81" s="4" t="s">
        <v>508</v>
      </c>
      <c r="AE81" s="4" t="s">
        <v>509</v>
      </c>
      <c r="AF81" s="4" t="s">
        <v>589</v>
      </c>
      <c r="AG81" s="115">
        <f>+VLOOKUP(Y81,B:O,10,FALSE)/1000</f>
        <v>4.7500019754985502E-2</v>
      </c>
      <c r="AI81" s="158"/>
    </row>
    <row r="82" spans="1:35">
      <c r="A82">
        <f t="shared" si="8"/>
        <v>80</v>
      </c>
      <c r="B82" t="s">
        <v>1813</v>
      </c>
      <c r="C82" t="s">
        <v>3395</v>
      </c>
      <c r="D82">
        <v>80.510000000000005</v>
      </c>
      <c r="E82">
        <v>81.48</v>
      </c>
      <c r="F82">
        <v>69.260000000000005</v>
      </c>
      <c r="G82">
        <v>54.87</v>
      </c>
      <c r="H82">
        <v>45.55</v>
      </c>
      <c r="I82">
        <v>50.7</v>
      </c>
      <c r="J82">
        <v>52.76</v>
      </c>
      <c r="K82">
        <v>49.04</v>
      </c>
      <c r="L82">
        <v>46.92</v>
      </c>
      <c r="M82">
        <v>46.12</v>
      </c>
      <c r="N82">
        <v>64.91</v>
      </c>
      <c r="O82">
        <v>76.34</v>
      </c>
      <c r="W82" s="4" t="s">
        <v>585</v>
      </c>
      <c r="X82" s="4" t="s">
        <v>3364</v>
      </c>
      <c r="Y82" s="151" t="str">
        <f t="shared" si="9"/>
        <v>E5090</v>
      </c>
      <c r="Z82" s="4" t="s">
        <v>587</v>
      </c>
      <c r="AA82" s="114" t="s">
        <v>588</v>
      </c>
      <c r="AB82" s="4" t="s">
        <v>506</v>
      </c>
      <c r="AC82" s="4" t="s">
        <v>507</v>
      </c>
      <c r="AD82" s="4" t="s">
        <v>508</v>
      </c>
      <c r="AE82" s="4" t="s">
        <v>509</v>
      </c>
      <c r="AF82" s="4" t="s">
        <v>589</v>
      </c>
      <c r="AG82" s="115">
        <f>+VLOOKUP(Y82,B:O,11,FALSE)/1000</f>
        <v>4.7500019754985502E-2</v>
      </c>
      <c r="AI82" s="158"/>
    </row>
    <row r="83" spans="1:35">
      <c r="A83">
        <f t="shared" si="8"/>
        <v>81</v>
      </c>
      <c r="B83" t="s">
        <v>1833</v>
      </c>
      <c r="C83" t="s">
        <v>3030</v>
      </c>
      <c r="D83">
        <v>80.84</v>
      </c>
      <c r="E83">
        <v>81.81</v>
      </c>
      <c r="F83">
        <v>69.59</v>
      </c>
      <c r="G83">
        <v>55.199999999999996</v>
      </c>
      <c r="H83">
        <v>45.879999999999995</v>
      </c>
      <c r="I83">
        <v>51.03</v>
      </c>
      <c r="J83">
        <v>53.089999999999996</v>
      </c>
      <c r="K83">
        <v>49.37</v>
      </c>
      <c r="L83">
        <v>47.25</v>
      </c>
      <c r="M83">
        <v>46.449999999999996</v>
      </c>
      <c r="N83">
        <v>65.239999999999995</v>
      </c>
      <c r="O83">
        <v>76.67</v>
      </c>
      <c r="W83" s="4" t="s">
        <v>585</v>
      </c>
      <c r="X83" s="4" t="s">
        <v>3365</v>
      </c>
      <c r="Y83" s="151" t="str">
        <f t="shared" si="9"/>
        <v>E5090</v>
      </c>
      <c r="Z83" s="4" t="s">
        <v>587</v>
      </c>
      <c r="AA83" s="114" t="s">
        <v>588</v>
      </c>
      <c r="AB83" s="4" t="s">
        <v>506</v>
      </c>
      <c r="AC83" s="4" t="s">
        <v>507</v>
      </c>
      <c r="AD83" s="4" t="s">
        <v>508</v>
      </c>
      <c r="AE83" s="4" t="s">
        <v>509</v>
      </c>
      <c r="AF83" s="4" t="s">
        <v>589</v>
      </c>
      <c r="AG83" s="115">
        <f>+VLOOKUP(Y83,B:O,12,FALSE)/1000</f>
        <v>4.7500019754985502E-2</v>
      </c>
      <c r="AI83" s="158"/>
    </row>
    <row r="84" spans="1:35">
      <c r="A84">
        <f t="shared" si="8"/>
        <v>82</v>
      </c>
      <c r="B84" t="s">
        <v>1858</v>
      </c>
      <c r="C84" t="s">
        <v>3029</v>
      </c>
      <c r="D84">
        <v>82.58</v>
      </c>
      <c r="E84">
        <v>83.55</v>
      </c>
      <c r="F84">
        <v>71.33</v>
      </c>
      <c r="G84">
        <v>56.94</v>
      </c>
      <c r="H84">
        <v>47.62</v>
      </c>
      <c r="I84">
        <v>52.77</v>
      </c>
      <c r="J84">
        <v>54.83</v>
      </c>
      <c r="K84">
        <v>51.11</v>
      </c>
      <c r="L84">
        <v>48.99</v>
      </c>
      <c r="M84">
        <v>48.19</v>
      </c>
      <c r="N84">
        <v>66.97999999999999</v>
      </c>
      <c r="O84">
        <v>78.41</v>
      </c>
      <c r="W84" s="4" t="s">
        <v>585</v>
      </c>
      <c r="X84" s="4" t="s">
        <v>3366</v>
      </c>
      <c r="Y84" s="151" t="str">
        <f t="shared" si="9"/>
        <v>E5090</v>
      </c>
      <c r="Z84" s="4" t="s">
        <v>587</v>
      </c>
      <c r="AA84" s="114" t="s">
        <v>588</v>
      </c>
      <c r="AB84" s="4" t="s">
        <v>506</v>
      </c>
      <c r="AC84" s="4" t="s">
        <v>507</v>
      </c>
      <c r="AD84" s="4" t="s">
        <v>508</v>
      </c>
      <c r="AE84" s="4" t="s">
        <v>509</v>
      </c>
      <c r="AF84" s="4" t="s">
        <v>589</v>
      </c>
      <c r="AG84" s="115">
        <f>+VLOOKUP(Y84,B:O,13,FALSE)/1000</f>
        <v>4.7500019754985502E-2</v>
      </c>
      <c r="AI84" s="158"/>
    </row>
    <row r="85" spans="1:35">
      <c r="A85">
        <f t="shared" si="8"/>
        <v>83</v>
      </c>
      <c r="B85" t="s">
        <v>2269</v>
      </c>
      <c r="C85" t="s">
        <v>3151</v>
      </c>
      <c r="D85">
        <v>65.589999999999989</v>
      </c>
      <c r="E85">
        <v>70.449999999999989</v>
      </c>
      <c r="F85">
        <v>63.63</v>
      </c>
      <c r="G85">
        <v>51.99</v>
      </c>
      <c r="H85">
        <v>44.620000000000005</v>
      </c>
      <c r="I85">
        <v>48.49</v>
      </c>
      <c r="J85">
        <v>49.36</v>
      </c>
      <c r="K85">
        <v>44.22</v>
      </c>
      <c r="L85">
        <v>42.04</v>
      </c>
      <c r="M85">
        <v>42.59</v>
      </c>
      <c r="N85">
        <v>52.49</v>
      </c>
      <c r="O85">
        <v>59.06</v>
      </c>
      <c r="W85" s="4" t="s">
        <v>585</v>
      </c>
      <c r="X85" s="4" t="s">
        <v>3367</v>
      </c>
      <c r="Y85" s="151" t="str">
        <f t="shared" si="9"/>
        <v>E5090</v>
      </c>
      <c r="Z85" s="4" t="s">
        <v>587</v>
      </c>
      <c r="AA85" s="114" t="s">
        <v>588</v>
      </c>
      <c r="AB85" s="4" t="s">
        <v>506</v>
      </c>
      <c r="AC85" s="4" t="s">
        <v>507</v>
      </c>
      <c r="AD85" s="4" t="s">
        <v>508</v>
      </c>
      <c r="AE85" s="4" t="s">
        <v>509</v>
      </c>
      <c r="AF85" s="4" t="s">
        <v>589</v>
      </c>
      <c r="AG85" s="115">
        <f>+VLOOKUP(Y85,B:O,14,FALSE)/1000</f>
        <v>4.7500019754985502E-2</v>
      </c>
      <c r="AI85" s="158"/>
    </row>
    <row r="86" spans="1:35">
      <c r="A86">
        <f t="shared" si="8"/>
        <v>84</v>
      </c>
      <c r="B86" t="s">
        <v>378</v>
      </c>
      <c r="C86" t="s">
        <v>490</v>
      </c>
      <c r="D86">
        <v>98.238601523446803</v>
      </c>
      <c r="E86">
        <v>98.238601523446803</v>
      </c>
      <c r="F86">
        <v>98.238601523446803</v>
      </c>
      <c r="G86">
        <v>98.238601523446803</v>
      </c>
      <c r="H86">
        <v>98.238601523446803</v>
      </c>
      <c r="I86">
        <v>98.238601523446803</v>
      </c>
      <c r="J86">
        <v>98.238601523446803</v>
      </c>
      <c r="K86">
        <v>98.238601523446803</v>
      </c>
      <c r="L86">
        <v>98.238601523446803</v>
      </c>
      <c r="M86">
        <v>45.35</v>
      </c>
      <c r="N86">
        <v>59.09</v>
      </c>
      <c r="O86">
        <v>64.239999999999995</v>
      </c>
      <c r="W86" s="4" t="s">
        <v>585</v>
      </c>
      <c r="X86" s="3" t="s">
        <v>3356</v>
      </c>
      <c r="Y86" s="150" t="str">
        <f>INDEX($B$3:$O$110,10,1)</f>
        <v>E5100</v>
      </c>
      <c r="Z86" s="4" t="s">
        <v>587</v>
      </c>
      <c r="AA86" s="114" t="s">
        <v>588</v>
      </c>
      <c r="AB86" s="4" t="s">
        <v>506</v>
      </c>
      <c r="AC86" s="4" t="s">
        <v>507</v>
      </c>
      <c r="AD86" s="4" t="s">
        <v>508</v>
      </c>
      <c r="AE86" s="4" t="s">
        <v>509</v>
      </c>
      <c r="AF86" s="4" t="s">
        <v>589</v>
      </c>
      <c r="AG86" s="115">
        <f>+VLOOKUP(Y86,B:O,3,FALSE)/1000</f>
        <v>4.7499994822161974E-2</v>
      </c>
      <c r="AI86" s="158"/>
    </row>
    <row r="87" spans="1:35">
      <c r="A87">
        <f t="shared" si="8"/>
        <v>85</v>
      </c>
      <c r="B87" t="s">
        <v>373</v>
      </c>
      <c r="C87" t="s">
        <v>491</v>
      </c>
      <c r="D87">
        <v>95.282295220588239</v>
      </c>
      <c r="E87">
        <v>95.282295220588239</v>
      </c>
      <c r="F87">
        <v>95.282295220588239</v>
      </c>
      <c r="G87">
        <v>95.282295220588239</v>
      </c>
      <c r="H87">
        <v>95.282295220588239</v>
      </c>
      <c r="I87">
        <v>95.282295220588239</v>
      </c>
      <c r="J87">
        <v>95.282295220588239</v>
      </c>
      <c r="K87">
        <v>95.282295220588239</v>
      </c>
      <c r="L87">
        <v>95.282295220588239</v>
      </c>
      <c r="M87">
        <v>95.282295220588239</v>
      </c>
      <c r="N87">
        <v>97.473788010661764</v>
      </c>
      <c r="O87">
        <v>97.473788010661764</v>
      </c>
      <c r="W87" s="4" t="s">
        <v>585</v>
      </c>
      <c r="X87" s="4" t="s">
        <v>3357</v>
      </c>
      <c r="Y87" s="151" t="str">
        <f>Y86</f>
        <v>E5100</v>
      </c>
      <c r="Z87" s="4" t="s">
        <v>587</v>
      </c>
      <c r="AA87" s="114" t="s">
        <v>588</v>
      </c>
      <c r="AB87" s="4" t="s">
        <v>506</v>
      </c>
      <c r="AC87" s="4" t="s">
        <v>507</v>
      </c>
      <c r="AD87" s="4" t="s">
        <v>508</v>
      </c>
      <c r="AE87" s="4" t="s">
        <v>509</v>
      </c>
      <c r="AF87" s="4" t="s">
        <v>589</v>
      </c>
      <c r="AG87" s="115">
        <f>+VLOOKUP(Y87,B:O,4,FALSE)/1000</f>
        <v>4.7499994822161974E-2</v>
      </c>
      <c r="AI87" s="158"/>
    </row>
    <row r="88" spans="1:35">
      <c r="A88">
        <f t="shared" si="8"/>
        <v>86</v>
      </c>
      <c r="B88" t="s">
        <v>381</v>
      </c>
      <c r="C88" t="s">
        <v>496</v>
      </c>
      <c r="D88">
        <v>98.688882349114508</v>
      </c>
      <c r="E88">
        <v>98.688882349114508</v>
      </c>
      <c r="F88">
        <v>98.688882349114508</v>
      </c>
      <c r="G88">
        <v>98.688882349114508</v>
      </c>
      <c r="H88">
        <v>98.688882349114508</v>
      </c>
      <c r="I88">
        <v>98.688882349114508</v>
      </c>
      <c r="J88" t="s">
        <v>476</v>
      </c>
      <c r="K88" t="s">
        <v>476</v>
      </c>
      <c r="L88" t="s">
        <v>476</v>
      </c>
      <c r="M88" t="s">
        <v>476</v>
      </c>
      <c r="N88" t="s">
        <v>476</v>
      </c>
      <c r="O88" t="s">
        <v>476</v>
      </c>
      <c r="W88" s="4" t="s">
        <v>585</v>
      </c>
      <c r="X88" s="4" t="s">
        <v>3358</v>
      </c>
      <c r="Y88" s="151" t="str">
        <f t="shared" ref="Y88:Y97" si="10">Y87</f>
        <v>E5100</v>
      </c>
      <c r="Z88" s="4" t="s">
        <v>587</v>
      </c>
      <c r="AA88" s="114" t="s">
        <v>588</v>
      </c>
      <c r="AB88" s="4" t="s">
        <v>506</v>
      </c>
      <c r="AC88" s="4" t="s">
        <v>507</v>
      </c>
      <c r="AD88" s="4" t="s">
        <v>508</v>
      </c>
      <c r="AE88" s="4" t="s">
        <v>509</v>
      </c>
      <c r="AF88" s="4" t="s">
        <v>589</v>
      </c>
      <c r="AG88" s="115">
        <f>+VLOOKUP(Y88,B:O,5,FALSE)/1000</f>
        <v>4.7499994822161974E-2</v>
      </c>
      <c r="AI88" s="158"/>
    </row>
    <row r="89" spans="1:35">
      <c r="A89">
        <f t="shared" si="8"/>
        <v>87</v>
      </c>
      <c r="B89" t="s">
        <v>376</v>
      </c>
      <c r="C89" t="s">
        <v>485</v>
      </c>
      <c r="D89">
        <v>99.38436001226394</v>
      </c>
      <c r="E89">
        <v>99.38436001226394</v>
      </c>
      <c r="F89">
        <v>99.38436001226394</v>
      </c>
      <c r="G89">
        <v>99.38436001226394</v>
      </c>
      <c r="H89">
        <v>99.38436001226394</v>
      </c>
      <c r="I89">
        <v>99.38436001226394</v>
      </c>
      <c r="J89">
        <v>99.38436001226394</v>
      </c>
      <c r="K89">
        <v>99.38436001226394</v>
      </c>
      <c r="L89">
        <v>99.38436001226394</v>
      </c>
      <c r="M89">
        <v>99.38436001226394</v>
      </c>
      <c r="N89">
        <v>101.67020029254601</v>
      </c>
      <c r="O89">
        <v>101.67020029254601</v>
      </c>
      <c r="W89" s="4" t="s">
        <v>585</v>
      </c>
      <c r="X89" s="4" t="s">
        <v>3359</v>
      </c>
      <c r="Y89" s="151" t="str">
        <f t="shared" si="10"/>
        <v>E5100</v>
      </c>
      <c r="Z89" s="4" t="s">
        <v>587</v>
      </c>
      <c r="AA89" s="114" t="s">
        <v>588</v>
      </c>
      <c r="AB89" s="4" t="s">
        <v>506</v>
      </c>
      <c r="AC89" s="4" t="s">
        <v>507</v>
      </c>
      <c r="AD89" s="4" t="s">
        <v>508</v>
      </c>
      <c r="AE89" s="4" t="s">
        <v>509</v>
      </c>
      <c r="AF89" s="4" t="s">
        <v>589</v>
      </c>
      <c r="AG89" s="115">
        <f>+VLOOKUP(Y89,B:O,6,FALSE)/1000</f>
        <v>4.7499994822161974E-2</v>
      </c>
      <c r="AI89" s="158"/>
    </row>
    <row r="90" spans="1:35">
      <c r="A90">
        <f t="shared" si="8"/>
        <v>88</v>
      </c>
      <c r="B90" t="s">
        <v>377</v>
      </c>
      <c r="C90" t="s">
        <v>493</v>
      </c>
      <c r="D90">
        <v>99.640170902808862</v>
      </c>
      <c r="E90">
        <v>99.640170902808862</v>
      </c>
      <c r="F90">
        <v>99.640170902808862</v>
      </c>
      <c r="G90">
        <v>99.640170902808862</v>
      </c>
      <c r="H90">
        <v>99.640170902808862</v>
      </c>
      <c r="I90">
        <v>99.640170902808862</v>
      </c>
      <c r="J90">
        <v>99.640170902808862</v>
      </c>
      <c r="K90">
        <v>99.640170902808862</v>
      </c>
      <c r="L90">
        <v>99.640170902808862</v>
      </c>
      <c r="M90">
        <v>99.640170902808862</v>
      </c>
      <c r="N90">
        <v>101.93189483357347</v>
      </c>
      <c r="O90">
        <v>101.93189483357347</v>
      </c>
      <c r="W90" s="4" t="s">
        <v>585</v>
      </c>
      <c r="X90" s="4" t="s">
        <v>3360</v>
      </c>
      <c r="Y90" s="151" t="str">
        <f t="shared" si="10"/>
        <v>E5100</v>
      </c>
      <c r="Z90" s="4" t="s">
        <v>587</v>
      </c>
      <c r="AA90" s="114" t="s">
        <v>588</v>
      </c>
      <c r="AB90" s="4" t="s">
        <v>506</v>
      </c>
      <c r="AC90" s="4" t="s">
        <v>507</v>
      </c>
      <c r="AD90" s="4" t="s">
        <v>508</v>
      </c>
      <c r="AE90" s="4" t="s">
        <v>509</v>
      </c>
      <c r="AF90" s="4" t="s">
        <v>589</v>
      </c>
      <c r="AG90" s="115">
        <f>+VLOOKUP(Y90,B:O,7,FALSE)/1000</f>
        <v>4.7499994822161974E-2</v>
      </c>
      <c r="AI90" s="158"/>
    </row>
    <row r="91" spans="1:35">
      <c r="A91">
        <f t="shared" si="8"/>
        <v>89</v>
      </c>
      <c r="B91" t="s">
        <v>379</v>
      </c>
      <c r="C91" t="s">
        <v>494</v>
      </c>
      <c r="D91">
        <v>98.13759980713597</v>
      </c>
      <c r="E91">
        <v>98.13759980713597</v>
      </c>
      <c r="F91">
        <v>98.13759980713597</v>
      </c>
      <c r="G91">
        <v>98.13759980713597</v>
      </c>
      <c r="H91">
        <v>98.13759980713597</v>
      </c>
      <c r="I91">
        <v>98.13759980713597</v>
      </c>
      <c r="J91">
        <v>98.13759980713597</v>
      </c>
      <c r="K91">
        <v>98.13759980713597</v>
      </c>
      <c r="L91">
        <v>98.13759980713597</v>
      </c>
      <c r="M91">
        <v>98.13759980713597</v>
      </c>
      <c r="N91">
        <v>100.39476460270009</v>
      </c>
      <c r="O91">
        <v>60.16</v>
      </c>
      <c r="W91" s="4" t="s">
        <v>585</v>
      </c>
      <c r="X91" s="4" t="s">
        <v>3361</v>
      </c>
      <c r="Y91" s="151" t="str">
        <f t="shared" si="10"/>
        <v>E5100</v>
      </c>
      <c r="Z91" s="4" t="s">
        <v>587</v>
      </c>
      <c r="AA91" s="114" t="s">
        <v>588</v>
      </c>
      <c r="AB91" s="4" t="s">
        <v>506</v>
      </c>
      <c r="AC91" s="4" t="s">
        <v>507</v>
      </c>
      <c r="AD91" s="4" t="s">
        <v>508</v>
      </c>
      <c r="AE91" s="4" t="s">
        <v>509</v>
      </c>
      <c r="AF91" s="4" t="s">
        <v>589</v>
      </c>
      <c r="AG91" s="115">
        <f>+VLOOKUP(Y91,B:O,8,FALSE)/1000</f>
        <v>4.7499994822161974E-2</v>
      </c>
      <c r="AI91" s="158"/>
    </row>
    <row r="92" spans="1:35">
      <c r="A92">
        <f t="shared" si="8"/>
        <v>90</v>
      </c>
      <c r="B92" t="s">
        <v>375</v>
      </c>
      <c r="C92" t="s">
        <v>483</v>
      </c>
      <c r="D92">
        <v>67.37</v>
      </c>
      <c r="E92" t="s">
        <v>476</v>
      </c>
      <c r="F92" t="s">
        <v>476</v>
      </c>
      <c r="G92" t="s">
        <v>476</v>
      </c>
      <c r="H92" t="s">
        <v>476</v>
      </c>
      <c r="I92" t="s">
        <v>476</v>
      </c>
      <c r="J92" t="s">
        <v>476</v>
      </c>
      <c r="K92" t="s">
        <v>476</v>
      </c>
      <c r="L92" t="s">
        <v>476</v>
      </c>
      <c r="M92" t="s">
        <v>476</v>
      </c>
      <c r="N92" t="s">
        <v>476</v>
      </c>
      <c r="O92" t="s">
        <v>476</v>
      </c>
      <c r="W92" s="4" t="s">
        <v>585</v>
      </c>
      <c r="X92" s="4" t="s">
        <v>3362</v>
      </c>
      <c r="Y92" s="151" t="str">
        <f t="shared" si="10"/>
        <v>E5100</v>
      </c>
      <c r="Z92" s="4" t="s">
        <v>587</v>
      </c>
      <c r="AA92" s="114" t="s">
        <v>588</v>
      </c>
      <c r="AB92" s="4" t="s">
        <v>506</v>
      </c>
      <c r="AC92" s="4" t="s">
        <v>507</v>
      </c>
      <c r="AD92" s="4" t="s">
        <v>508</v>
      </c>
      <c r="AE92" s="4" t="s">
        <v>509</v>
      </c>
      <c r="AF92" s="4" t="s">
        <v>589</v>
      </c>
      <c r="AG92" s="115">
        <f>+VLOOKUP(Y92,B:O,9,FALSE)/1000</f>
        <v>4.7499994822161974E-2</v>
      </c>
      <c r="AI92" s="158"/>
    </row>
    <row r="93" spans="1:35">
      <c r="A93">
        <f t="shared" si="8"/>
        <v>91</v>
      </c>
      <c r="B93" t="s">
        <v>380</v>
      </c>
      <c r="C93" t="s">
        <v>484</v>
      </c>
      <c r="D93" t="s">
        <v>476</v>
      </c>
      <c r="E93" t="s">
        <v>476</v>
      </c>
      <c r="F93" t="s">
        <v>476</v>
      </c>
      <c r="G93" t="s">
        <v>476</v>
      </c>
      <c r="H93" t="s">
        <v>476</v>
      </c>
      <c r="I93" t="s">
        <v>476</v>
      </c>
      <c r="J93" t="s">
        <v>476</v>
      </c>
      <c r="K93" t="s">
        <v>476</v>
      </c>
      <c r="L93" t="s">
        <v>476</v>
      </c>
      <c r="M93" t="s">
        <v>476</v>
      </c>
      <c r="N93" t="s">
        <v>476</v>
      </c>
      <c r="O93" t="s">
        <v>476</v>
      </c>
      <c r="W93" s="4" t="s">
        <v>585</v>
      </c>
      <c r="X93" s="4" t="s">
        <v>3363</v>
      </c>
      <c r="Y93" s="151" t="str">
        <f t="shared" si="10"/>
        <v>E5100</v>
      </c>
      <c r="Z93" s="4" t="s">
        <v>587</v>
      </c>
      <c r="AA93" s="114" t="s">
        <v>588</v>
      </c>
      <c r="AB93" s="4" t="s">
        <v>506</v>
      </c>
      <c r="AC93" s="4" t="s">
        <v>507</v>
      </c>
      <c r="AD93" s="4" t="s">
        <v>508</v>
      </c>
      <c r="AE93" s="4" t="s">
        <v>509</v>
      </c>
      <c r="AF93" s="4" t="s">
        <v>589</v>
      </c>
      <c r="AG93" s="115">
        <f>+VLOOKUP(Y93,B:O,10,FALSE)/1000</f>
        <v>4.7499994822161974E-2</v>
      </c>
      <c r="AI93" s="158"/>
    </row>
    <row r="94" spans="1:35">
      <c r="A94">
        <f t="shared" si="8"/>
        <v>92</v>
      </c>
      <c r="B94" t="s">
        <v>374</v>
      </c>
      <c r="C94" t="s">
        <v>492</v>
      </c>
      <c r="D94">
        <v>97.236185805000005</v>
      </c>
      <c r="E94">
        <v>97.236185805000005</v>
      </c>
      <c r="F94">
        <v>97.236185805000005</v>
      </c>
      <c r="G94">
        <v>97.236185805000005</v>
      </c>
      <c r="H94">
        <v>97.236185805000005</v>
      </c>
      <c r="I94">
        <v>97.236185805000005</v>
      </c>
      <c r="J94">
        <v>97.236185805000005</v>
      </c>
      <c r="K94">
        <v>97.236185805000005</v>
      </c>
      <c r="L94">
        <v>97.236185805000005</v>
      </c>
      <c r="M94">
        <v>97.236185805000005</v>
      </c>
      <c r="N94">
        <v>99.472618078515012</v>
      </c>
      <c r="O94">
        <v>99.472618078515012</v>
      </c>
      <c r="W94" s="4" t="s">
        <v>585</v>
      </c>
      <c r="X94" s="4" t="s">
        <v>3364</v>
      </c>
      <c r="Y94" s="151" t="str">
        <f t="shared" si="10"/>
        <v>E5100</v>
      </c>
      <c r="Z94" s="4" t="s">
        <v>587</v>
      </c>
      <c r="AA94" s="114" t="s">
        <v>588</v>
      </c>
      <c r="AB94" s="4" t="s">
        <v>506</v>
      </c>
      <c r="AC94" s="4" t="s">
        <v>507</v>
      </c>
      <c r="AD94" s="4" t="s">
        <v>508</v>
      </c>
      <c r="AE94" s="4" t="s">
        <v>509</v>
      </c>
      <c r="AF94" s="4" t="s">
        <v>589</v>
      </c>
      <c r="AG94" s="115">
        <f>+VLOOKUP(Y94,B:O,11,FALSE)/1000</f>
        <v>4.7499994822161974E-2</v>
      </c>
      <c r="AI94" s="158"/>
    </row>
    <row r="95" spans="1:35">
      <c r="A95">
        <f t="shared" si="8"/>
        <v>93</v>
      </c>
      <c r="B95" t="s">
        <v>382</v>
      </c>
      <c r="C95" t="s">
        <v>488</v>
      </c>
      <c r="D95">
        <v>69.25</v>
      </c>
      <c r="E95">
        <v>76.61</v>
      </c>
      <c r="F95">
        <v>67.13</v>
      </c>
      <c r="G95">
        <v>46.32</v>
      </c>
      <c r="H95" t="s">
        <v>476</v>
      </c>
      <c r="I95" t="s">
        <v>476</v>
      </c>
      <c r="J95" t="s">
        <v>476</v>
      </c>
      <c r="K95" t="s">
        <v>476</v>
      </c>
      <c r="L95" t="s">
        <v>476</v>
      </c>
      <c r="M95" t="s">
        <v>476</v>
      </c>
      <c r="N95" t="s">
        <v>476</v>
      </c>
      <c r="O95" t="s">
        <v>476</v>
      </c>
      <c r="W95" s="4" t="s">
        <v>585</v>
      </c>
      <c r="X95" s="4" t="s">
        <v>3365</v>
      </c>
      <c r="Y95" s="151" t="str">
        <f t="shared" si="10"/>
        <v>E5100</v>
      </c>
      <c r="Z95" s="4" t="s">
        <v>587</v>
      </c>
      <c r="AA95" s="114" t="s">
        <v>588</v>
      </c>
      <c r="AB95" s="4" t="s">
        <v>506</v>
      </c>
      <c r="AC95" s="4" t="s">
        <v>507</v>
      </c>
      <c r="AD95" s="4" t="s">
        <v>508</v>
      </c>
      <c r="AE95" s="4" t="s">
        <v>509</v>
      </c>
      <c r="AF95" s="4" t="s">
        <v>589</v>
      </c>
      <c r="AG95" s="115">
        <f>+VLOOKUP(Y95,B:O,12,FALSE)/1000</f>
        <v>4.7499994822161974E-2</v>
      </c>
      <c r="AI95" s="158"/>
    </row>
    <row r="96" spans="1:35">
      <c r="A96">
        <f t="shared" si="8"/>
        <v>94</v>
      </c>
      <c r="B96" t="s">
        <v>383</v>
      </c>
      <c r="C96" t="s">
        <v>489</v>
      </c>
      <c r="D96">
        <v>97.307916488794021</v>
      </c>
      <c r="E96">
        <v>97.307916488794021</v>
      </c>
      <c r="F96">
        <v>97.307916488794021</v>
      </c>
      <c r="G96">
        <v>97.307916488794021</v>
      </c>
      <c r="H96">
        <v>97.307916488794021</v>
      </c>
      <c r="I96">
        <v>97.307916488794021</v>
      </c>
      <c r="J96">
        <v>97.307916488794021</v>
      </c>
      <c r="K96">
        <v>97.307916488794021</v>
      </c>
      <c r="L96">
        <v>97.307916488794021</v>
      </c>
      <c r="M96">
        <v>97.307916488794021</v>
      </c>
      <c r="N96">
        <v>99.545998568036282</v>
      </c>
      <c r="O96">
        <v>99.545998568036282</v>
      </c>
      <c r="W96" s="4" t="s">
        <v>585</v>
      </c>
      <c r="X96" s="4" t="s">
        <v>3366</v>
      </c>
      <c r="Y96" s="151" t="str">
        <f t="shared" si="10"/>
        <v>E5100</v>
      </c>
      <c r="Z96" s="4" t="s">
        <v>587</v>
      </c>
      <c r="AA96" s="114" t="s">
        <v>588</v>
      </c>
      <c r="AB96" s="4" t="s">
        <v>506</v>
      </c>
      <c r="AC96" s="4" t="s">
        <v>507</v>
      </c>
      <c r="AD96" s="4" t="s">
        <v>508</v>
      </c>
      <c r="AE96" s="4" t="s">
        <v>509</v>
      </c>
      <c r="AF96" s="4" t="s">
        <v>589</v>
      </c>
      <c r="AG96" s="115">
        <f>+VLOOKUP(Y96,B:O,13,FALSE)/1000</f>
        <v>4.7499994822161974E-2</v>
      </c>
      <c r="AI96" s="158"/>
    </row>
    <row r="97" spans="1:35">
      <c r="A97">
        <f t="shared" si="8"/>
        <v>95</v>
      </c>
      <c r="B97" t="s">
        <v>2074</v>
      </c>
      <c r="C97" t="s">
        <v>3027</v>
      </c>
      <c r="D97">
        <v>80.81</v>
      </c>
      <c r="E97">
        <v>81.78</v>
      </c>
      <c r="F97">
        <v>69.56</v>
      </c>
      <c r="G97">
        <v>55.169999999999995</v>
      </c>
      <c r="H97">
        <v>45.849999999999994</v>
      </c>
      <c r="I97">
        <v>51</v>
      </c>
      <c r="J97">
        <v>53.059999999999995</v>
      </c>
      <c r="K97">
        <v>49.339999999999996</v>
      </c>
      <c r="L97">
        <v>47.22</v>
      </c>
      <c r="M97">
        <v>46.419999999999995</v>
      </c>
      <c r="N97">
        <v>65.209999999999994</v>
      </c>
      <c r="O97">
        <v>76.64</v>
      </c>
      <c r="W97" s="4" t="s">
        <v>585</v>
      </c>
      <c r="X97" s="4" t="s">
        <v>3367</v>
      </c>
      <c r="Y97" s="151" t="str">
        <f t="shared" si="10"/>
        <v>E5100</v>
      </c>
      <c r="Z97" s="4" t="s">
        <v>587</v>
      </c>
      <c r="AA97" s="114" t="s">
        <v>588</v>
      </c>
      <c r="AB97" s="4" t="s">
        <v>506</v>
      </c>
      <c r="AC97" s="4" t="s">
        <v>507</v>
      </c>
      <c r="AD97" s="4" t="s">
        <v>508</v>
      </c>
      <c r="AE97" s="4" t="s">
        <v>509</v>
      </c>
      <c r="AF97" s="4" t="s">
        <v>589</v>
      </c>
      <c r="AG97" s="115">
        <f>+VLOOKUP(Y97,B:O,14,FALSE)/1000</f>
        <v>4.7499994822161974E-2</v>
      </c>
      <c r="AI97" s="158"/>
    </row>
    <row r="98" spans="1:35">
      <c r="A98">
        <v>96</v>
      </c>
      <c r="B98" t="s">
        <v>2079</v>
      </c>
      <c r="C98" t="s">
        <v>3398</v>
      </c>
      <c r="D98" t="s">
        <v>476</v>
      </c>
      <c r="E98" t="s">
        <v>476</v>
      </c>
      <c r="F98" t="s">
        <v>476</v>
      </c>
      <c r="G98" t="s">
        <v>476</v>
      </c>
      <c r="H98" t="s">
        <v>476</v>
      </c>
      <c r="I98">
        <v>49.36</v>
      </c>
      <c r="J98">
        <v>51.419999999999995</v>
      </c>
      <c r="K98">
        <v>47.699999999999996</v>
      </c>
      <c r="L98">
        <v>45.58</v>
      </c>
      <c r="M98">
        <v>44.779999999999994</v>
      </c>
      <c r="N98">
        <v>63.569999999999993</v>
      </c>
      <c r="O98">
        <v>75</v>
      </c>
      <c r="W98" s="4" t="s">
        <v>585</v>
      </c>
      <c r="X98" s="3" t="s">
        <v>3356</v>
      </c>
      <c r="Y98" s="150" t="str">
        <f>INDEX($B$3:$O$110,11,1)</f>
        <v>E5110</v>
      </c>
      <c r="Z98" s="4" t="s">
        <v>587</v>
      </c>
      <c r="AA98" s="114" t="s">
        <v>588</v>
      </c>
      <c r="AB98" s="4" t="s">
        <v>506</v>
      </c>
      <c r="AC98" s="4" t="s">
        <v>507</v>
      </c>
      <c r="AD98" s="4" t="s">
        <v>508</v>
      </c>
      <c r="AE98" s="4" t="s">
        <v>509</v>
      </c>
      <c r="AF98" s="4" t="s">
        <v>589</v>
      </c>
      <c r="AG98" s="743">
        <v>0</v>
      </c>
      <c r="AH98" t="s">
        <v>3273</v>
      </c>
      <c r="AI98" s="158"/>
    </row>
    <row r="99" spans="1:35">
      <c r="A99">
        <v>97</v>
      </c>
      <c r="B99" t="s">
        <v>2089</v>
      </c>
      <c r="C99" t="s">
        <v>3143</v>
      </c>
      <c r="D99">
        <v>81.73</v>
      </c>
      <c r="E99">
        <v>82.7</v>
      </c>
      <c r="F99">
        <v>70.48</v>
      </c>
      <c r="G99">
        <v>56.089999999999996</v>
      </c>
      <c r="H99">
        <v>46.769999999999996</v>
      </c>
      <c r="I99">
        <v>51.92</v>
      </c>
      <c r="J99">
        <v>53.98</v>
      </c>
      <c r="K99">
        <v>50.26</v>
      </c>
      <c r="L99">
        <v>48.14</v>
      </c>
      <c r="M99">
        <v>47.339999999999996</v>
      </c>
      <c r="N99">
        <v>66.13</v>
      </c>
      <c r="O99">
        <v>77.56</v>
      </c>
      <c r="W99" s="4" t="s">
        <v>585</v>
      </c>
      <c r="X99" s="4" t="s">
        <v>3357</v>
      </c>
      <c r="Y99" s="151" t="str">
        <f>Y98</f>
        <v>E5110</v>
      </c>
      <c r="Z99" s="4" t="s">
        <v>587</v>
      </c>
      <c r="AA99" s="114" t="s">
        <v>588</v>
      </c>
      <c r="AB99" s="4" t="s">
        <v>506</v>
      </c>
      <c r="AC99" s="4" t="s">
        <v>507</v>
      </c>
      <c r="AD99" s="4" t="s">
        <v>508</v>
      </c>
      <c r="AE99" s="4" t="s">
        <v>509</v>
      </c>
      <c r="AF99" s="4" t="s">
        <v>589</v>
      </c>
      <c r="AG99" s="743">
        <v>0</v>
      </c>
      <c r="AH99" t="s">
        <v>3273</v>
      </c>
      <c r="AI99" s="158"/>
    </row>
    <row r="100" spans="1:35">
      <c r="A100">
        <v>98</v>
      </c>
      <c r="B100" t="s">
        <v>384</v>
      </c>
      <c r="C100" t="s">
        <v>495</v>
      </c>
      <c r="D100">
        <v>90.422970000000007</v>
      </c>
      <c r="E100">
        <v>90.422970000000007</v>
      </c>
      <c r="F100">
        <v>90.422970000000007</v>
      </c>
      <c r="G100">
        <v>90.422970000000007</v>
      </c>
      <c r="H100">
        <v>90.422970000000007</v>
      </c>
      <c r="I100">
        <v>90.422970000000007</v>
      </c>
      <c r="J100">
        <v>90.422970000000007</v>
      </c>
      <c r="K100">
        <v>90.422970000000007</v>
      </c>
      <c r="L100">
        <v>90.422970000000007</v>
      </c>
      <c r="M100">
        <v>90.422970000000007</v>
      </c>
      <c r="N100">
        <v>92.50269831</v>
      </c>
      <c r="O100">
        <v>92.50269831</v>
      </c>
      <c r="W100" s="4" t="s">
        <v>585</v>
      </c>
      <c r="X100" s="4" t="s">
        <v>3358</v>
      </c>
      <c r="Y100" s="151" t="str">
        <f t="shared" ref="Y100:Y109" si="11">Y99</f>
        <v>E5110</v>
      </c>
      <c r="Z100" s="4" t="s">
        <v>587</v>
      </c>
      <c r="AA100" s="114" t="s">
        <v>588</v>
      </c>
      <c r="AB100" s="4" t="s">
        <v>506</v>
      </c>
      <c r="AC100" s="4" t="s">
        <v>507</v>
      </c>
      <c r="AD100" s="4" t="s">
        <v>508</v>
      </c>
      <c r="AE100" s="4" t="s">
        <v>509</v>
      </c>
      <c r="AF100" s="4" t="s">
        <v>589</v>
      </c>
      <c r="AG100" s="743">
        <v>0</v>
      </c>
      <c r="AH100" t="s">
        <v>3273</v>
      </c>
      <c r="AI100" s="158"/>
    </row>
    <row r="101" spans="1:35">
      <c r="A101">
        <v>99</v>
      </c>
      <c r="B101" t="s">
        <v>387</v>
      </c>
      <c r="C101" t="s">
        <v>486</v>
      </c>
      <c r="D101">
        <v>88.755481249266893</v>
      </c>
      <c r="E101">
        <v>88.755481249266893</v>
      </c>
      <c r="F101">
        <v>88.755481249266893</v>
      </c>
      <c r="G101">
        <v>88.755481249266893</v>
      </c>
      <c r="H101">
        <v>88.755481249266893</v>
      </c>
      <c r="I101">
        <v>88.755481249266893</v>
      </c>
      <c r="J101">
        <v>88.755481249266893</v>
      </c>
      <c r="K101">
        <v>88.755481249266893</v>
      </c>
      <c r="L101">
        <v>88.755481249266893</v>
      </c>
      <c r="M101">
        <v>88.755481249266893</v>
      </c>
      <c r="N101">
        <v>90.796857318000036</v>
      </c>
      <c r="O101">
        <v>90.796857318000036</v>
      </c>
      <c r="W101" s="4" t="s">
        <v>585</v>
      </c>
      <c r="X101" s="4" t="s">
        <v>3359</v>
      </c>
      <c r="Y101" s="151" t="str">
        <f t="shared" si="11"/>
        <v>E5110</v>
      </c>
      <c r="Z101" s="4" t="s">
        <v>587</v>
      </c>
      <c r="AA101" s="114" t="s">
        <v>588</v>
      </c>
      <c r="AB101" s="4" t="s">
        <v>506</v>
      </c>
      <c r="AC101" s="4" t="s">
        <v>507</v>
      </c>
      <c r="AD101" s="4" t="s">
        <v>508</v>
      </c>
      <c r="AE101" s="4" t="s">
        <v>509</v>
      </c>
      <c r="AF101" s="4" t="s">
        <v>589</v>
      </c>
      <c r="AG101" s="743">
        <v>0</v>
      </c>
      <c r="AH101" t="s">
        <v>3273</v>
      </c>
      <c r="AI101" s="158"/>
    </row>
    <row r="102" spans="1:35">
      <c r="A102">
        <v>100</v>
      </c>
      <c r="B102" t="s">
        <v>385</v>
      </c>
      <c r="C102" t="s">
        <v>497</v>
      </c>
      <c r="D102">
        <v>90.422970000000007</v>
      </c>
      <c r="E102">
        <v>90.422970000000007</v>
      </c>
      <c r="F102">
        <v>90.422970000000007</v>
      </c>
      <c r="G102">
        <v>90.422970000000007</v>
      </c>
      <c r="H102">
        <v>90.422970000000007</v>
      </c>
      <c r="I102">
        <v>90.422970000000007</v>
      </c>
      <c r="J102">
        <v>90.422970000000007</v>
      </c>
      <c r="K102">
        <v>90.422970000000007</v>
      </c>
      <c r="L102">
        <v>90.422970000000007</v>
      </c>
      <c r="M102">
        <v>90.422970000000007</v>
      </c>
      <c r="N102">
        <v>92.50269831</v>
      </c>
      <c r="O102">
        <v>92.50269831</v>
      </c>
      <c r="W102" s="4" t="s">
        <v>585</v>
      </c>
      <c r="X102" s="4" t="s">
        <v>3360</v>
      </c>
      <c r="Y102" s="151" t="str">
        <f t="shared" si="11"/>
        <v>E5110</v>
      </c>
      <c r="Z102" s="4" t="s">
        <v>587</v>
      </c>
      <c r="AA102" s="114" t="s">
        <v>588</v>
      </c>
      <c r="AB102" s="4" t="s">
        <v>506</v>
      </c>
      <c r="AC102" s="4" t="s">
        <v>507</v>
      </c>
      <c r="AD102" s="4" t="s">
        <v>508</v>
      </c>
      <c r="AE102" s="4" t="s">
        <v>509</v>
      </c>
      <c r="AF102" s="4" t="s">
        <v>589</v>
      </c>
      <c r="AG102" s="743">
        <v>0</v>
      </c>
      <c r="AH102" t="s">
        <v>3273</v>
      </c>
      <c r="AI102" s="158"/>
    </row>
    <row r="103" spans="1:35">
      <c r="A103">
        <v>101</v>
      </c>
      <c r="B103" t="s">
        <v>816</v>
      </c>
      <c r="C103" t="s">
        <v>815</v>
      </c>
      <c r="D103">
        <v>78.960000000000008</v>
      </c>
      <c r="E103">
        <v>79.930000000000007</v>
      </c>
      <c r="F103">
        <v>67.710000000000008</v>
      </c>
      <c r="G103">
        <v>53.32</v>
      </c>
      <c r="H103">
        <v>44</v>
      </c>
      <c r="I103">
        <v>49.150000000000006</v>
      </c>
      <c r="J103">
        <v>51.21</v>
      </c>
      <c r="K103">
        <v>47.49</v>
      </c>
      <c r="L103">
        <v>45.370000000000005</v>
      </c>
      <c r="M103">
        <v>44.57</v>
      </c>
      <c r="N103">
        <v>63.36</v>
      </c>
      <c r="O103">
        <v>74.790000000000006</v>
      </c>
      <c r="W103" s="4" t="s">
        <v>585</v>
      </c>
      <c r="X103" s="4" t="s">
        <v>3361</v>
      </c>
      <c r="Y103" s="151" t="str">
        <f t="shared" si="11"/>
        <v>E5110</v>
      </c>
      <c r="Z103" s="4" t="s">
        <v>587</v>
      </c>
      <c r="AA103" s="114" t="s">
        <v>588</v>
      </c>
      <c r="AB103" s="4" t="s">
        <v>506</v>
      </c>
      <c r="AC103" s="4" t="s">
        <v>507</v>
      </c>
      <c r="AD103" s="4" t="s">
        <v>508</v>
      </c>
      <c r="AE103" s="4" t="s">
        <v>509</v>
      </c>
      <c r="AF103" s="4" t="s">
        <v>589</v>
      </c>
      <c r="AG103" s="743">
        <v>0</v>
      </c>
      <c r="AH103" t="s">
        <v>3273</v>
      </c>
      <c r="AI103" s="158"/>
    </row>
    <row r="104" spans="1:35">
      <c r="A104">
        <v>102</v>
      </c>
      <c r="B104" t="s">
        <v>386</v>
      </c>
      <c r="C104" t="s">
        <v>569</v>
      </c>
      <c r="D104">
        <v>88.735044764687359</v>
      </c>
      <c r="E104">
        <v>88.735044764687359</v>
      </c>
      <c r="F104">
        <v>88.735044764687359</v>
      </c>
      <c r="G104">
        <v>88.735044764687359</v>
      </c>
      <c r="H104">
        <v>88.735044764687359</v>
      </c>
      <c r="I104">
        <v>88.735044764687359</v>
      </c>
      <c r="J104">
        <v>88.735044764687359</v>
      </c>
      <c r="K104">
        <v>88.735044764687359</v>
      </c>
      <c r="L104">
        <v>88.735044764687359</v>
      </c>
      <c r="M104">
        <v>88.735044764687359</v>
      </c>
      <c r="N104">
        <v>90.775950794275161</v>
      </c>
      <c r="O104">
        <v>90.775950794275161</v>
      </c>
      <c r="W104" s="4" t="s">
        <v>585</v>
      </c>
      <c r="X104" s="4" t="s">
        <v>3362</v>
      </c>
      <c r="Y104" s="151" t="str">
        <f t="shared" si="11"/>
        <v>E5110</v>
      </c>
      <c r="Z104" s="4" t="s">
        <v>587</v>
      </c>
      <c r="AA104" s="114" t="s">
        <v>588</v>
      </c>
      <c r="AB104" s="4" t="s">
        <v>506</v>
      </c>
      <c r="AC104" s="4" t="s">
        <v>507</v>
      </c>
      <c r="AD104" s="4" t="s">
        <v>508</v>
      </c>
      <c r="AE104" s="4" t="s">
        <v>509</v>
      </c>
      <c r="AF104" s="4" t="s">
        <v>589</v>
      </c>
      <c r="AG104" s="743">
        <v>0</v>
      </c>
      <c r="AH104" t="s">
        <v>3273</v>
      </c>
      <c r="AI104" s="158"/>
    </row>
    <row r="105" spans="1:35">
      <c r="A105">
        <v>103</v>
      </c>
      <c r="B105" t="s">
        <v>386</v>
      </c>
      <c r="C105" t="s">
        <v>570</v>
      </c>
      <c r="D105">
        <v>88.735044764687359</v>
      </c>
      <c r="E105">
        <v>88.735044764687359</v>
      </c>
      <c r="F105">
        <v>88.735044764687359</v>
      </c>
      <c r="G105">
        <v>88.735044764687359</v>
      </c>
      <c r="H105">
        <v>88.735044764687359</v>
      </c>
      <c r="I105">
        <v>88.735044764687359</v>
      </c>
      <c r="J105">
        <v>88.735044764687359</v>
      </c>
      <c r="K105">
        <v>88.735044764687359</v>
      </c>
      <c r="L105">
        <v>88.735044764687359</v>
      </c>
      <c r="M105">
        <v>88.735044764687359</v>
      </c>
      <c r="N105">
        <v>90.775950794275161</v>
      </c>
      <c r="O105">
        <v>90.775950794275161</v>
      </c>
      <c r="W105" s="4" t="s">
        <v>585</v>
      </c>
      <c r="X105" s="4" t="s">
        <v>3363</v>
      </c>
      <c r="Y105" s="151" t="str">
        <f t="shared" si="11"/>
        <v>E5110</v>
      </c>
      <c r="Z105" s="4" t="s">
        <v>587</v>
      </c>
      <c r="AA105" s="114" t="s">
        <v>588</v>
      </c>
      <c r="AB105" s="4" t="s">
        <v>506</v>
      </c>
      <c r="AC105" s="4" t="s">
        <v>507</v>
      </c>
      <c r="AD105" s="4" t="s">
        <v>508</v>
      </c>
      <c r="AE105" s="4" t="s">
        <v>509</v>
      </c>
      <c r="AF105" s="4" t="s">
        <v>589</v>
      </c>
      <c r="AG105" s="743">
        <v>0</v>
      </c>
      <c r="AH105" t="s">
        <v>3273</v>
      </c>
      <c r="AI105" s="158"/>
    </row>
    <row r="106" spans="1:35">
      <c r="A106">
        <v>104</v>
      </c>
      <c r="B106" t="s">
        <v>3241</v>
      </c>
      <c r="C106" t="s">
        <v>3272</v>
      </c>
      <c r="D106">
        <v>66.599999999999994</v>
      </c>
      <c r="E106">
        <v>71.459999999999994</v>
      </c>
      <c r="F106">
        <v>64.64</v>
      </c>
      <c r="G106">
        <v>53</v>
      </c>
      <c r="H106">
        <v>45.63</v>
      </c>
      <c r="I106">
        <v>49.5</v>
      </c>
      <c r="J106">
        <v>50.37</v>
      </c>
      <c r="K106">
        <v>45.23</v>
      </c>
      <c r="L106">
        <v>43.05</v>
      </c>
      <c r="M106">
        <v>43.6</v>
      </c>
      <c r="N106">
        <v>53.5</v>
      </c>
      <c r="O106">
        <v>60.07</v>
      </c>
      <c r="W106" s="4" t="s">
        <v>585</v>
      </c>
      <c r="X106" s="4" t="s">
        <v>3364</v>
      </c>
      <c r="Y106" s="151" t="str">
        <f t="shared" si="11"/>
        <v>E5110</v>
      </c>
      <c r="Z106" s="4" t="s">
        <v>587</v>
      </c>
      <c r="AA106" s="114" t="s">
        <v>588</v>
      </c>
      <c r="AB106" s="4" t="s">
        <v>506</v>
      </c>
      <c r="AC106" s="4" t="s">
        <v>507</v>
      </c>
      <c r="AD106" s="4" t="s">
        <v>508</v>
      </c>
      <c r="AE106" s="4" t="s">
        <v>509</v>
      </c>
      <c r="AF106" s="4" t="s">
        <v>589</v>
      </c>
      <c r="AG106" s="743">
        <v>0</v>
      </c>
      <c r="AH106" t="s">
        <v>3273</v>
      </c>
      <c r="AI106" s="158"/>
    </row>
    <row r="107" spans="1:35">
      <c r="A107">
        <v>105</v>
      </c>
      <c r="B107" t="s">
        <v>3400</v>
      </c>
      <c r="C107" t="s">
        <v>3396</v>
      </c>
      <c r="D107" t="s">
        <v>476</v>
      </c>
      <c r="E107" t="s">
        <v>476</v>
      </c>
      <c r="F107" t="s">
        <v>476</v>
      </c>
      <c r="G107" t="s">
        <v>476</v>
      </c>
      <c r="H107" t="s">
        <v>476</v>
      </c>
      <c r="I107" t="s">
        <v>476</v>
      </c>
      <c r="J107" t="s">
        <v>476</v>
      </c>
      <c r="K107">
        <v>48.03</v>
      </c>
      <c r="L107">
        <v>45.910000000000004</v>
      </c>
      <c r="M107">
        <v>45.11</v>
      </c>
      <c r="N107">
        <v>63.9</v>
      </c>
      <c r="O107">
        <v>75.33</v>
      </c>
      <c r="W107" s="4" t="s">
        <v>585</v>
      </c>
      <c r="X107" s="4" t="s">
        <v>3365</v>
      </c>
      <c r="Y107" s="151" t="str">
        <f t="shared" si="11"/>
        <v>E5110</v>
      </c>
      <c r="Z107" s="4" t="s">
        <v>587</v>
      </c>
      <c r="AA107" s="114" t="s">
        <v>588</v>
      </c>
      <c r="AB107" s="4" t="s">
        <v>506</v>
      </c>
      <c r="AC107" s="4" t="s">
        <v>507</v>
      </c>
      <c r="AD107" s="4" t="s">
        <v>508</v>
      </c>
      <c r="AE107" s="4" t="s">
        <v>509</v>
      </c>
      <c r="AF107" s="4" t="s">
        <v>589</v>
      </c>
      <c r="AG107" s="743">
        <v>0</v>
      </c>
      <c r="AH107" t="s">
        <v>3273</v>
      </c>
      <c r="AI107" s="158"/>
    </row>
    <row r="108" spans="1:35">
      <c r="A108">
        <v>106</v>
      </c>
      <c r="B108" t="s">
        <v>3401</v>
      </c>
      <c r="C108" t="s">
        <v>3397</v>
      </c>
      <c r="D108" t="s">
        <v>476</v>
      </c>
      <c r="E108" t="s">
        <v>476</v>
      </c>
      <c r="F108" t="s">
        <v>476</v>
      </c>
      <c r="G108" t="s">
        <v>476</v>
      </c>
      <c r="H108" t="s">
        <v>476</v>
      </c>
      <c r="I108" t="s">
        <v>476</v>
      </c>
      <c r="J108">
        <v>51.75</v>
      </c>
      <c r="K108">
        <v>48.03</v>
      </c>
      <c r="L108">
        <v>45.910000000000004</v>
      </c>
      <c r="M108">
        <v>45.11</v>
      </c>
      <c r="N108">
        <v>63.9</v>
      </c>
      <c r="O108">
        <v>75.33</v>
      </c>
      <c r="W108" s="4" t="s">
        <v>585</v>
      </c>
      <c r="X108" s="4" t="s">
        <v>3366</v>
      </c>
      <c r="Y108" s="151" t="str">
        <f t="shared" si="11"/>
        <v>E5110</v>
      </c>
      <c r="Z108" s="4" t="s">
        <v>587</v>
      </c>
      <c r="AA108" s="114" t="s">
        <v>588</v>
      </c>
      <c r="AB108" s="4" t="s">
        <v>506</v>
      </c>
      <c r="AC108" s="4" t="s">
        <v>507</v>
      </c>
      <c r="AD108" s="4" t="s">
        <v>508</v>
      </c>
      <c r="AE108" s="4" t="s">
        <v>509</v>
      </c>
      <c r="AF108" s="4" t="s">
        <v>589</v>
      </c>
      <c r="AG108" s="743">
        <v>0</v>
      </c>
      <c r="AH108" t="s">
        <v>3273</v>
      </c>
      <c r="AI108" s="158"/>
    </row>
    <row r="109" spans="1:35">
      <c r="A109">
        <v>107</v>
      </c>
      <c r="B109" t="s">
        <v>3402</v>
      </c>
      <c r="C109" t="s">
        <v>3399</v>
      </c>
      <c r="D109" t="s">
        <v>476</v>
      </c>
      <c r="E109" t="s">
        <v>476</v>
      </c>
      <c r="F109" t="s">
        <v>476</v>
      </c>
      <c r="G109" t="s">
        <v>476</v>
      </c>
      <c r="H109" t="s">
        <v>476</v>
      </c>
      <c r="I109" t="s">
        <v>476</v>
      </c>
      <c r="J109" t="s">
        <v>476</v>
      </c>
      <c r="K109" t="s">
        <v>476</v>
      </c>
      <c r="L109" t="s">
        <v>476</v>
      </c>
      <c r="M109" t="s">
        <v>476</v>
      </c>
      <c r="N109">
        <v>65.22999999999999</v>
      </c>
      <c r="O109">
        <v>76.66</v>
      </c>
      <c r="W109" s="4" t="s">
        <v>585</v>
      </c>
      <c r="X109" s="4" t="s">
        <v>3367</v>
      </c>
      <c r="Y109" s="151" t="str">
        <f t="shared" si="11"/>
        <v>E5110</v>
      </c>
      <c r="Z109" s="4" t="s">
        <v>587</v>
      </c>
      <c r="AA109" s="114" t="s">
        <v>588</v>
      </c>
      <c r="AB109" s="4" t="s">
        <v>506</v>
      </c>
      <c r="AC109" s="4" t="s">
        <v>507</v>
      </c>
      <c r="AD109" s="4" t="s">
        <v>508</v>
      </c>
      <c r="AE109" s="4" t="s">
        <v>509</v>
      </c>
      <c r="AF109" s="4" t="s">
        <v>589</v>
      </c>
      <c r="AG109" s="743">
        <v>0</v>
      </c>
      <c r="AH109" t="s">
        <v>3273</v>
      </c>
      <c r="AI109" s="158"/>
    </row>
    <row r="110" spans="1:35">
      <c r="A110">
        <v>108</v>
      </c>
      <c r="B110" t="s">
        <v>476</v>
      </c>
      <c r="C110" t="s">
        <v>476</v>
      </c>
      <c r="D110" t="s">
        <v>476</v>
      </c>
      <c r="E110" t="s">
        <v>476</v>
      </c>
      <c r="F110" t="s">
        <v>476</v>
      </c>
      <c r="G110" t="s">
        <v>476</v>
      </c>
      <c r="H110" t="s">
        <v>476</v>
      </c>
      <c r="I110" t="s">
        <v>476</v>
      </c>
      <c r="J110" t="s">
        <v>476</v>
      </c>
      <c r="K110" t="s">
        <v>476</v>
      </c>
      <c r="L110" t="s">
        <v>476</v>
      </c>
      <c r="M110" t="s">
        <v>476</v>
      </c>
      <c r="N110" t="s">
        <v>476</v>
      </c>
      <c r="O110" t="s">
        <v>476</v>
      </c>
      <c r="W110" s="4" t="s">
        <v>585</v>
      </c>
      <c r="X110" s="3" t="s">
        <v>3356</v>
      </c>
      <c r="Y110" s="150" t="str">
        <f>INDEX($B$3:$O$110,12,1)</f>
        <v>E5120</v>
      </c>
      <c r="Z110" s="4" t="s">
        <v>587</v>
      </c>
      <c r="AA110" s="114" t="s">
        <v>588</v>
      </c>
      <c r="AB110" s="4" t="s">
        <v>506</v>
      </c>
      <c r="AC110" s="4" t="s">
        <v>507</v>
      </c>
      <c r="AD110" s="4" t="s">
        <v>508</v>
      </c>
      <c r="AE110" s="4" t="s">
        <v>509</v>
      </c>
      <c r="AF110" s="4" t="s">
        <v>589</v>
      </c>
      <c r="AG110" s="743">
        <v>0</v>
      </c>
      <c r="AH110" t="s">
        <v>3273</v>
      </c>
      <c r="AI110" s="158"/>
    </row>
    <row r="111" spans="1:35">
      <c r="B111" t="s">
        <v>498</v>
      </c>
      <c r="W111" s="4" t="s">
        <v>585</v>
      </c>
      <c r="X111" s="4" t="s">
        <v>3357</v>
      </c>
      <c r="Y111" s="151" t="str">
        <f>Y110</f>
        <v>E5120</v>
      </c>
      <c r="Z111" s="4" t="s">
        <v>587</v>
      </c>
      <c r="AA111" s="114" t="s">
        <v>588</v>
      </c>
      <c r="AB111" s="4" t="s">
        <v>506</v>
      </c>
      <c r="AC111" s="4" t="s">
        <v>507</v>
      </c>
      <c r="AD111" s="4" t="s">
        <v>508</v>
      </c>
      <c r="AE111" s="4" t="s">
        <v>509</v>
      </c>
      <c r="AF111" s="4" t="s">
        <v>589</v>
      </c>
      <c r="AG111" s="743">
        <v>0</v>
      </c>
      <c r="AH111" t="s">
        <v>3273</v>
      </c>
      <c r="AI111" s="158"/>
    </row>
    <row r="112" spans="1:35">
      <c r="W112" s="4" t="s">
        <v>585</v>
      </c>
      <c r="X112" s="4" t="s">
        <v>3358</v>
      </c>
      <c r="Y112" s="151" t="str">
        <f t="shared" ref="Y112:Y121" si="12">Y111</f>
        <v>E5120</v>
      </c>
      <c r="Z112" s="4" t="s">
        <v>587</v>
      </c>
      <c r="AA112" s="114" t="s">
        <v>588</v>
      </c>
      <c r="AB112" s="4" t="s">
        <v>506</v>
      </c>
      <c r="AC112" s="4" t="s">
        <v>507</v>
      </c>
      <c r="AD112" s="4" t="s">
        <v>508</v>
      </c>
      <c r="AE112" s="4" t="s">
        <v>509</v>
      </c>
      <c r="AF112" s="4" t="s">
        <v>589</v>
      </c>
      <c r="AG112" s="743">
        <v>0</v>
      </c>
      <c r="AH112" t="s">
        <v>3273</v>
      </c>
      <c r="AI112" s="158"/>
    </row>
    <row r="113" spans="4:35">
      <c r="W113" s="4" t="s">
        <v>585</v>
      </c>
      <c r="X113" s="4" t="s">
        <v>3359</v>
      </c>
      <c r="Y113" s="151" t="str">
        <f t="shared" si="12"/>
        <v>E5120</v>
      </c>
      <c r="Z113" s="4" t="s">
        <v>587</v>
      </c>
      <c r="AA113" s="114" t="s">
        <v>588</v>
      </c>
      <c r="AB113" s="4" t="s">
        <v>506</v>
      </c>
      <c r="AC113" s="4" t="s">
        <v>507</v>
      </c>
      <c r="AD113" s="4" t="s">
        <v>508</v>
      </c>
      <c r="AE113" s="4" t="s">
        <v>509</v>
      </c>
      <c r="AF113" s="4" t="s">
        <v>589</v>
      </c>
      <c r="AG113" s="743">
        <v>0</v>
      </c>
      <c r="AH113" t="s">
        <v>3273</v>
      </c>
      <c r="AI113" s="158"/>
    </row>
    <row r="114" spans="4:35">
      <c r="D114">
        <f t="shared" ref="D114:O114" si="13">SUM(D5:D110)-D105-D80-D77-D75-D69-D67-D62-D56-D54-D53-D51-D47-D46-D43-D42-D37-D35-D32-D31-D30-D27-D26-D21-D20</f>
        <v>6465.4532234663966</v>
      </c>
      <c r="E114">
        <f t="shared" si="13"/>
        <v>6428.9832234663972</v>
      </c>
      <c r="F114">
        <f t="shared" si="13"/>
        <v>6244.4732234663979</v>
      </c>
      <c r="G114">
        <f t="shared" si="13"/>
        <v>5992.7132234663959</v>
      </c>
      <c r="H114">
        <f t="shared" si="13"/>
        <v>5805.643223466398</v>
      </c>
      <c r="I114">
        <f t="shared" si="13"/>
        <v>5931.8432234663969</v>
      </c>
      <c r="J114">
        <f t="shared" si="13"/>
        <v>5874.3842531257478</v>
      </c>
      <c r="K114">
        <f t="shared" si="13"/>
        <v>5846.0342531257465</v>
      </c>
      <c r="L114">
        <f t="shared" si="13"/>
        <v>5798.3792531257477</v>
      </c>
      <c r="M114">
        <f t="shared" si="13"/>
        <v>5735.5106516022988</v>
      </c>
      <c r="N114">
        <f t="shared" si="13"/>
        <v>6262.1855106033354</v>
      </c>
      <c r="O114">
        <f t="shared" si="13"/>
        <v>6443.2807460006343</v>
      </c>
      <c r="W114" s="4" t="s">
        <v>585</v>
      </c>
      <c r="X114" s="4" t="s">
        <v>3360</v>
      </c>
      <c r="Y114" s="151" t="str">
        <f t="shared" si="12"/>
        <v>E5120</v>
      </c>
      <c r="Z114" s="4" t="s">
        <v>587</v>
      </c>
      <c r="AA114" s="114" t="s">
        <v>588</v>
      </c>
      <c r="AB114" s="4" t="s">
        <v>506</v>
      </c>
      <c r="AC114" s="4" t="s">
        <v>507</v>
      </c>
      <c r="AD114" s="4" t="s">
        <v>508</v>
      </c>
      <c r="AE114" s="4" t="s">
        <v>509</v>
      </c>
      <c r="AF114" s="4" t="s">
        <v>589</v>
      </c>
      <c r="AG114" s="743">
        <v>0</v>
      </c>
      <c r="AH114" t="s">
        <v>3273</v>
      </c>
      <c r="AI114" s="158"/>
    </row>
    <row r="115" spans="4:35">
      <c r="O115">
        <f>SUM(D114:O114)-SUM(AG:AG)*1000</f>
        <v>-23.035058212655713</v>
      </c>
      <c r="W115" s="4" t="s">
        <v>585</v>
      </c>
      <c r="X115" s="4" t="s">
        <v>3361</v>
      </c>
      <c r="Y115" s="151" t="str">
        <f t="shared" si="12"/>
        <v>E5120</v>
      </c>
      <c r="Z115" s="4" t="s">
        <v>587</v>
      </c>
      <c r="AA115" s="114" t="s">
        <v>588</v>
      </c>
      <c r="AB115" s="4" t="s">
        <v>506</v>
      </c>
      <c r="AC115" s="4" t="s">
        <v>507</v>
      </c>
      <c r="AD115" s="4" t="s">
        <v>508</v>
      </c>
      <c r="AE115" s="4" t="s">
        <v>509</v>
      </c>
      <c r="AF115" s="4" t="s">
        <v>589</v>
      </c>
      <c r="AG115" s="743">
        <v>0</v>
      </c>
      <c r="AH115" t="s">
        <v>3273</v>
      </c>
      <c r="AI115" s="158"/>
    </row>
    <row r="116" spans="4:35">
      <c r="W116" s="4" t="s">
        <v>585</v>
      </c>
      <c r="X116" s="4" t="s">
        <v>3362</v>
      </c>
      <c r="Y116" s="151" t="str">
        <f t="shared" si="12"/>
        <v>E5120</v>
      </c>
      <c r="Z116" s="4" t="s">
        <v>587</v>
      </c>
      <c r="AA116" s="114" t="s">
        <v>588</v>
      </c>
      <c r="AB116" s="4" t="s">
        <v>506</v>
      </c>
      <c r="AC116" s="4" t="s">
        <v>507</v>
      </c>
      <c r="AD116" s="4" t="s">
        <v>508</v>
      </c>
      <c r="AE116" s="4" t="s">
        <v>509</v>
      </c>
      <c r="AF116" s="4" t="s">
        <v>589</v>
      </c>
      <c r="AG116" s="743">
        <v>0</v>
      </c>
      <c r="AH116" t="s">
        <v>3273</v>
      </c>
      <c r="AI116" s="158"/>
    </row>
    <row r="117" spans="4:35">
      <c r="W117" s="4" t="s">
        <v>585</v>
      </c>
      <c r="X117" s="4" t="s">
        <v>3363</v>
      </c>
      <c r="Y117" s="151" t="str">
        <f t="shared" si="12"/>
        <v>E5120</v>
      </c>
      <c r="Z117" s="4" t="s">
        <v>587</v>
      </c>
      <c r="AA117" s="114" t="s">
        <v>588</v>
      </c>
      <c r="AB117" s="4" t="s">
        <v>506</v>
      </c>
      <c r="AC117" s="4" t="s">
        <v>507</v>
      </c>
      <c r="AD117" s="4" t="s">
        <v>508</v>
      </c>
      <c r="AE117" s="4" t="s">
        <v>509</v>
      </c>
      <c r="AF117" s="4" t="s">
        <v>589</v>
      </c>
      <c r="AG117" s="743">
        <v>0</v>
      </c>
      <c r="AH117" t="s">
        <v>3273</v>
      </c>
      <c r="AI117" s="158"/>
    </row>
    <row r="118" spans="4:35">
      <c r="W118" s="4" t="s">
        <v>585</v>
      </c>
      <c r="X118" s="4" t="s">
        <v>3364</v>
      </c>
      <c r="Y118" s="151" t="str">
        <f t="shared" si="12"/>
        <v>E5120</v>
      </c>
      <c r="Z118" s="4" t="s">
        <v>587</v>
      </c>
      <c r="AA118" s="114" t="s">
        <v>588</v>
      </c>
      <c r="AB118" s="4" t="s">
        <v>506</v>
      </c>
      <c r="AC118" s="4" t="s">
        <v>507</v>
      </c>
      <c r="AD118" s="4" t="s">
        <v>508</v>
      </c>
      <c r="AE118" s="4" t="s">
        <v>509</v>
      </c>
      <c r="AF118" s="4" t="s">
        <v>589</v>
      </c>
      <c r="AG118" s="743">
        <v>0</v>
      </c>
      <c r="AH118" t="s">
        <v>3273</v>
      </c>
      <c r="AI118" s="158"/>
    </row>
    <row r="119" spans="4:35">
      <c r="W119" s="4" t="s">
        <v>585</v>
      </c>
      <c r="X119" s="4" t="s">
        <v>3365</v>
      </c>
      <c r="Y119" s="151" t="str">
        <f t="shared" si="12"/>
        <v>E5120</v>
      </c>
      <c r="Z119" s="4" t="s">
        <v>587</v>
      </c>
      <c r="AA119" s="114" t="s">
        <v>588</v>
      </c>
      <c r="AB119" s="4" t="s">
        <v>506</v>
      </c>
      <c r="AC119" s="4" t="s">
        <v>507</v>
      </c>
      <c r="AD119" s="4" t="s">
        <v>508</v>
      </c>
      <c r="AE119" s="4" t="s">
        <v>509</v>
      </c>
      <c r="AF119" s="4" t="s">
        <v>589</v>
      </c>
      <c r="AG119" s="743">
        <v>0</v>
      </c>
      <c r="AH119" t="s">
        <v>3273</v>
      </c>
      <c r="AI119" s="158"/>
    </row>
    <row r="120" spans="4:35">
      <c r="W120" s="4" t="s">
        <v>585</v>
      </c>
      <c r="X120" s="4" t="s">
        <v>3366</v>
      </c>
      <c r="Y120" s="151" t="str">
        <f t="shared" si="12"/>
        <v>E5120</v>
      </c>
      <c r="Z120" s="4" t="s">
        <v>587</v>
      </c>
      <c r="AA120" s="114" t="s">
        <v>588</v>
      </c>
      <c r="AB120" s="4" t="s">
        <v>506</v>
      </c>
      <c r="AC120" s="4" t="s">
        <v>507</v>
      </c>
      <c r="AD120" s="4" t="s">
        <v>508</v>
      </c>
      <c r="AE120" s="4" t="s">
        <v>509</v>
      </c>
      <c r="AF120" s="4" t="s">
        <v>589</v>
      </c>
      <c r="AG120" s="743">
        <v>0</v>
      </c>
      <c r="AH120" t="s">
        <v>3273</v>
      </c>
      <c r="AI120" s="158"/>
    </row>
    <row r="121" spans="4:35">
      <c r="W121" s="4" t="s">
        <v>585</v>
      </c>
      <c r="X121" s="4" t="s">
        <v>3367</v>
      </c>
      <c r="Y121" s="151" t="str">
        <f t="shared" si="12"/>
        <v>E5120</v>
      </c>
      <c r="Z121" s="4" t="s">
        <v>587</v>
      </c>
      <c r="AA121" s="114" t="s">
        <v>588</v>
      </c>
      <c r="AB121" s="4" t="s">
        <v>506</v>
      </c>
      <c r="AC121" s="4" t="s">
        <v>507</v>
      </c>
      <c r="AD121" s="4" t="s">
        <v>508</v>
      </c>
      <c r="AE121" s="4" t="s">
        <v>509</v>
      </c>
      <c r="AF121" s="4" t="s">
        <v>589</v>
      </c>
      <c r="AG121" s="743">
        <v>0</v>
      </c>
      <c r="AH121" t="s">
        <v>3273</v>
      </c>
      <c r="AI121" s="158"/>
    </row>
    <row r="122" spans="4:35">
      <c r="W122" s="4" t="s">
        <v>585</v>
      </c>
      <c r="X122" s="3" t="s">
        <v>3356</v>
      </c>
      <c r="Y122" s="150" t="str">
        <f>INDEX($B$3:$O$110,13,1)</f>
        <v>E5130</v>
      </c>
      <c r="Z122" s="4" t="s">
        <v>587</v>
      </c>
      <c r="AA122" s="114" t="s">
        <v>588</v>
      </c>
      <c r="AB122" s="4" t="s">
        <v>506</v>
      </c>
      <c r="AC122" s="4" t="s">
        <v>507</v>
      </c>
      <c r="AD122" s="4" t="s">
        <v>508</v>
      </c>
      <c r="AE122" s="4" t="s">
        <v>509</v>
      </c>
      <c r="AF122" s="4" t="s">
        <v>589</v>
      </c>
      <c r="AG122" s="115">
        <f>+VLOOKUP(Y122,B:O,3,FALSE)/1000</f>
        <v>4.9000005125550354E-2</v>
      </c>
      <c r="AI122" s="158"/>
    </row>
    <row r="123" spans="4:35">
      <c r="W123" s="4" t="s">
        <v>585</v>
      </c>
      <c r="X123" s="4" t="s">
        <v>3357</v>
      </c>
      <c r="Y123" s="151" t="str">
        <f>Y122</f>
        <v>E5130</v>
      </c>
      <c r="Z123" s="4" t="s">
        <v>587</v>
      </c>
      <c r="AA123" s="114" t="s">
        <v>588</v>
      </c>
      <c r="AB123" s="4" t="s">
        <v>506</v>
      </c>
      <c r="AC123" s="4" t="s">
        <v>507</v>
      </c>
      <c r="AD123" s="4" t="s">
        <v>508</v>
      </c>
      <c r="AE123" s="4" t="s">
        <v>509</v>
      </c>
      <c r="AF123" s="4" t="s">
        <v>589</v>
      </c>
      <c r="AG123" s="115">
        <f>+VLOOKUP(Y123,B:O,4,FALSE)/1000</f>
        <v>4.9000005125550354E-2</v>
      </c>
      <c r="AI123" s="158"/>
    </row>
    <row r="124" spans="4:35">
      <c r="W124" s="4" t="s">
        <v>585</v>
      </c>
      <c r="X124" s="4" t="s">
        <v>3358</v>
      </c>
      <c r="Y124" s="151" t="str">
        <f t="shared" ref="Y124:Y133" si="14">Y123</f>
        <v>E5130</v>
      </c>
      <c r="Z124" s="4" t="s">
        <v>587</v>
      </c>
      <c r="AA124" s="114" t="s">
        <v>588</v>
      </c>
      <c r="AB124" s="4" t="s">
        <v>506</v>
      </c>
      <c r="AC124" s="4" t="s">
        <v>507</v>
      </c>
      <c r="AD124" s="4" t="s">
        <v>508</v>
      </c>
      <c r="AE124" s="4" t="s">
        <v>509</v>
      </c>
      <c r="AF124" s="4" t="s">
        <v>589</v>
      </c>
      <c r="AG124" s="115">
        <f>+VLOOKUP(Y124,B:O,5,FALSE)/1000</f>
        <v>4.9000005125550354E-2</v>
      </c>
      <c r="AI124" s="158"/>
    </row>
    <row r="125" spans="4:35">
      <c r="W125" s="4" t="s">
        <v>585</v>
      </c>
      <c r="X125" s="4" t="s">
        <v>3359</v>
      </c>
      <c r="Y125" s="151" t="str">
        <f t="shared" si="14"/>
        <v>E5130</v>
      </c>
      <c r="Z125" s="4" t="s">
        <v>587</v>
      </c>
      <c r="AA125" s="114" t="s">
        <v>588</v>
      </c>
      <c r="AB125" s="4" t="s">
        <v>506</v>
      </c>
      <c r="AC125" s="4" t="s">
        <v>507</v>
      </c>
      <c r="AD125" s="4" t="s">
        <v>508</v>
      </c>
      <c r="AE125" s="4" t="s">
        <v>509</v>
      </c>
      <c r="AF125" s="4" t="s">
        <v>589</v>
      </c>
      <c r="AG125" s="115">
        <f>+VLOOKUP(Y125,B:O,6,FALSE)/1000</f>
        <v>4.9000005125550354E-2</v>
      </c>
      <c r="AI125" s="158"/>
    </row>
    <row r="126" spans="4:35">
      <c r="W126" s="4" t="s">
        <v>585</v>
      </c>
      <c r="X126" s="4" t="s">
        <v>3360</v>
      </c>
      <c r="Y126" s="151" t="str">
        <f t="shared" si="14"/>
        <v>E5130</v>
      </c>
      <c r="Z126" s="4" t="s">
        <v>587</v>
      </c>
      <c r="AA126" s="114" t="s">
        <v>588</v>
      </c>
      <c r="AB126" s="4" t="s">
        <v>506</v>
      </c>
      <c r="AC126" s="4" t="s">
        <v>507</v>
      </c>
      <c r="AD126" s="4" t="s">
        <v>508</v>
      </c>
      <c r="AE126" s="4" t="s">
        <v>509</v>
      </c>
      <c r="AF126" s="4" t="s">
        <v>589</v>
      </c>
      <c r="AG126" s="115">
        <f>+VLOOKUP(Y126,B:O,7,FALSE)/1000</f>
        <v>4.9000005125550354E-2</v>
      </c>
      <c r="AI126" s="158"/>
    </row>
    <row r="127" spans="4:35">
      <c r="W127" s="4" t="s">
        <v>585</v>
      </c>
      <c r="X127" s="4" t="s">
        <v>3361</v>
      </c>
      <c r="Y127" s="151" t="str">
        <f t="shared" si="14"/>
        <v>E5130</v>
      </c>
      <c r="Z127" s="4" t="s">
        <v>587</v>
      </c>
      <c r="AA127" s="114" t="s">
        <v>588</v>
      </c>
      <c r="AB127" s="4" t="s">
        <v>506</v>
      </c>
      <c r="AC127" s="4" t="s">
        <v>507</v>
      </c>
      <c r="AD127" s="4" t="s">
        <v>508</v>
      </c>
      <c r="AE127" s="4" t="s">
        <v>509</v>
      </c>
      <c r="AF127" s="4" t="s">
        <v>589</v>
      </c>
      <c r="AG127" s="115">
        <f>+VLOOKUP(Y127,B:O,8,FALSE)/1000</f>
        <v>4.9000005125550354E-2</v>
      </c>
      <c r="AI127" s="158"/>
    </row>
    <row r="128" spans="4:35">
      <c r="W128" s="4" t="s">
        <v>585</v>
      </c>
      <c r="X128" s="4" t="s">
        <v>3362</v>
      </c>
      <c r="Y128" s="151" t="str">
        <f t="shared" si="14"/>
        <v>E5130</v>
      </c>
      <c r="Z128" s="4" t="s">
        <v>587</v>
      </c>
      <c r="AA128" s="114" t="s">
        <v>588</v>
      </c>
      <c r="AB128" s="4" t="s">
        <v>506</v>
      </c>
      <c r="AC128" s="4" t="s">
        <v>507</v>
      </c>
      <c r="AD128" s="4" t="s">
        <v>508</v>
      </c>
      <c r="AE128" s="4" t="s">
        <v>509</v>
      </c>
      <c r="AF128" s="4" t="s">
        <v>589</v>
      </c>
      <c r="AG128" s="115">
        <f>+VLOOKUP(Y128,B:O,9,FALSE)/1000</f>
        <v>4.9000005125550354E-2</v>
      </c>
      <c r="AI128" s="158"/>
    </row>
    <row r="129" spans="23:35">
      <c r="W129" s="4" t="s">
        <v>585</v>
      </c>
      <c r="X129" s="4" t="s">
        <v>3363</v>
      </c>
      <c r="Y129" s="151" t="str">
        <f t="shared" si="14"/>
        <v>E5130</v>
      </c>
      <c r="Z129" s="4" t="s">
        <v>587</v>
      </c>
      <c r="AA129" s="114" t="s">
        <v>588</v>
      </c>
      <c r="AB129" s="4" t="s">
        <v>506</v>
      </c>
      <c r="AC129" s="4" t="s">
        <v>507</v>
      </c>
      <c r="AD129" s="4" t="s">
        <v>508</v>
      </c>
      <c r="AE129" s="4" t="s">
        <v>509</v>
      </c>
      <c r="AF129" s="4" t="s">
        <v>589</v>
      </c>
      <c r="AG129" s="115">
        <f>+VLOOKUP(Y129,B:O,10,FALSE)/1000</f>
        <v>4.9000005125550354E-2</v>
      </c>
      <c r="AI129" s="158"/>
    </row>
    <row r="130" spans="23:35">
      <c r="W130" s="4" t="s">
        <v>585</v>
      </c>
      <c r="X130" s="4" t="s">
        <v>3364</v>
      </c>
      <c r="Y130" s="151" t="str">
        <f t="shared" si="14"/>
        <v>E5130</v>
      </c>
      <c r="Z130" s="4" t="s">
        <v>587</v>
      </c>
      <c r="AA130" s="114" t="s">
        <v>588</v>
      </c>
      <c r="AB130" s="4" t="s">
        <v>506</v>
      </c>
      <c r="AC130" s="4" t="s">
        <v>507</v>
      </c>
      <c r="AD130" s="4" t="s">
        <v>508</v>
      </c>
      <c r="AE130" s="4" t="s">
        <v>509</v>
      </c>
      <c r="AF130" s="4" t="s">
        <v>589</v>
      </c>
      <c r="AG130" s="115">
        <f>+VLOOKUP(Y130,B:O,11,FALSE)/1000</f>
        <v>4.9000005125550354E-2</v>
      </c>
      <c r="AI130" s="158"/>
    </row>
    <row r="131" spans="23:35">
      <c r="W131" s="4" t="s">
        <v>585</v>
      </c>
      <c r="X131" s="4" t="s">
        <v>3365</v>
      </c>
      <c r="Y131" s="151" t="str">
        <f t="shared" si="14"/>
        <v>E5130</v>
      </c>
      <c r="Z131" s="4" t="s">
        <v>587</v>
      </c>
      <c r="AA131" s="114" t="s">
        <v>588</v>
      </c>
      <c r="AB131" s="4" t="s">
        <v>506</v>
      </c>
      <c r="AC131" s="4" t="s">
        <v>507</v>
      </c>
      <c r="AD131" s="4" t="s">
        <v>508</v>
      </c>
      <c r="AE131" s="4" t="s">
        <v>509</v>
      </c>
      <c r="AF131" s="4" t="s">
        <v>589</v>
      </c>
      <c r="AG131" s="115">
        <f>+VLOOKUP(Y131,B:O,12,FALSE)/1000</f>
        <v>4.9000005125550354E-2</v>
      </c>
      <c r="AI131" s="158"/>
    </row>
    <row r="132" spans="23:35">
      <c r="W132" s="4" t="s">
        <v>585</v>
      </c>
      <c r="X132" s="4" t="s">
        <v>3366</v>
      </c>
      <c r="Y132" s="151" t="str">
        <f t="shared" si="14"/>
        <v>E5130</v>
      </c>
      <c r="Z132" s="4" t="s">
        <v>587</v>
      </c>
      <c r="AA132" s="114" t="s">
        <v>588</v>
      </c>
      <c r="AB132" s="4" t="s">
        <v>506</v>
      </c>
      <c r="AC132" s="4" t="s">
        <v>507</v>
      </c>
      <c r="AD132" s="4" t="s">
        <v>508</v>
      </c>
      <c r="AE132" s="4" t="s">
        <v>509</v>
      </c>
      <c r="AF132" s="4" t="s">
        <v>589</v>
      </c>
      <c r="AG132" s="115">
        <f>+VLOOKUP(Y132,B:O,13,FALSE)/1000</f>
        <v>4.9000005125550354E-2</v>
      </c>
      <c r="AI132" s="158"/>
    </row>
    <row r="133" spans="23:35">
      <c r="W133" s="4" t="s">
        <v>585</v>
      </c>
      <c r="X133" s="4" t="s">
        <v>3367</v>
      </c>
      <c r="Y133" s="151" t="str">
        <f t="shared" si="14"/>
        <v>E5130</v>
      </c>
      <c r="Z133" s="4" t="s">
        <v>587</v>
      </c>
      <c r="AA133" s="114" t="s">
        <v>588</v>
      </c>
      <c r="AB133" s="4" t="s">
        <v>506</v>
      </c>
      <c r="AC133" s="4" t="s">
        <v>507</v>
      </c>
      <c r="AD133" s="4" t="s">
        <v>508</v>
      </c>
      <c r="AE133" s="4" t="s">
        <v>509</v>
      </c>
      <c r="AF133" s="4" t="s">
        <v>589</v>
      </c>
      <c r="AG133" s="115">
        <f>+VLOOKUP(Y133,B:O,14,FALSE)/1000</f>
        <v>4.9000005125550354E-2</v>
      </c>
      <c r="AI133" s="158"/>
    </row>
    <row r="134" spans="23:35">
      <c r="W134" s="4" t="s">
        <v>585</v>
      </c>
      <c r="X134" s="3" t="s">
        <v>3356</v>
      </c>
      <c r="Y134" s="150" t="str">
        <f>INDEX($B$3:$O$110,14,1)</f>
        <v>E5140</v>
      </c>
      <c r="Z134" s="4" t="s">
        <v>587</v>
      </c>
      <c r="AA134" s="114" t="s">
        <v>588</v>
      </c>
      <c r="AB134" s="4" t="s">
        <v>506</v>
      </c>
      <c r="AC134" s="4" t="s">
        <v>507</v>
      </c>
      <c r="AD134" s="4" t="s">
        <v>508</v>
      </c>
      <c r="AE134" s="4" t="s">
        <v>509</v>
      </c>
      <c r="AF134" s="4" t="s">
        <v>589</v>
      </c>
      <c r="AG134" s="115">
        <f>+VLOOKUP(Y134,B:O,3,FALSE)/1000</f>
        <v>9.8760087991535794E-2</v>
      </c>
      <c r="AI134" s="158"/>
    </row>
    <row r="135" spans="23:35">
      <c r="W135" s="4" t="s">
        <v>585</v>
      </c>
      <c r="X135" s="4" t="s">
        <v>3357</v>
      </c>
      <c r="Y135" s="151" t="str">
        <f>Y134</f>
        <v>E5140</v>
      </c>
      <c r="Z135" s="4" t="s">
        <v>587</v>
      </c>
      <c r="AA135" s="114" t="s">
        <v>588</v>
      </c>
      <c r="AB135" s="4" t="s">
        <v>506</v>
      </c>
      <c r="AC135" s="4" t="s">
        <v>507</v>
      </c>
      <c r="AD135" s="4" t="s">
        <v>508</v>
      </c>
      <c r="AE135" s="4" t="s">
        <v>509</v>
      </c>
      <c r="AF135" s="4" t="s">
        <v>589</v>
      </c>
      <c r="AG135" s="115">
        <f>+VLOOKUP(Y135,B:O,4,FALSE)/1000</f>
        <v>9.8760087991535794E-2</v>
      </c>
      <c r="AI135" s="158"/>
    </row>
    <row r="136" spans="23:35">
      <c r="W136" s="4" t="s">
        <v>585</v>
      </c>
      <c r="X136" s="4" t="s">
        <v>3358</v>
      </c>
      <c r="Y136" s="151" t="str">
        <f t="shared" ref="Y136:Y145" si="15">Y135</f>
        <v>E5140</v>
      </c>
      <c r="Z136" s="4" t="s">
        <v>587</v>
      </c>
      <c r="AA136" s="114" t="s">
        <v>588</v>
      </c>
      <c r="AB136" s="4" t="s">
        <v>506</v>
      </c>
      <c r="AC136" s="4" t="s">
        <v>507</v>
      </c>
      <c r="AD136" s="4" t="s">
        <v>508</v>
      </c>
      <c r="AE136" s="4" t="s">
        <v>509</v>
      </c>
      <c r="AF136" s="4" t="s">
        <v>589</v>
      </c>
      <c r="AG136" s="115">
        <f>+VLOOKUP(Y136,B:O,5,FALSE)/1000</f>
        <v>9.8760087991535794E-2</v>
      </c>
      <c r="AI136" s="158"/>
    </row>
    <row r="137" spans="23:35">
      <c r="W137" s="4" t="s">
        <v>585</v>
      </c>
      <c r="X137" s="4" t="s">
        <v>3359</v>
      </c>
      <c r="Y137" s="151" t="str">
        <f t="shared" si="15"/>
        <v>E5140</v>
      </c>
      <c r="Z137" s="4" t="s">
        <v>587</v>
      </c>
      <c r="AA137" s="114" t="s">
        <v>588</v>
      </c>
      <c r="AB137" s="4" t="s">
        <v>506</v>
      </c>
      <c r="AC137" s="4" t="s">
        <v>507</v>
      </c>
      <c r="AD137" s="4" t="s">
        <v>508</v>
      </c>
      <c r="AE137" s="4" t="s">
        <v>509</v>
      </c>
      <c r="AF137" s="4" t="s">
        <v>589</v>
      </c>
      <c r="AG137" s="115">
        <f>+VLOOKUP(Y137,B:O,6,FALSE)/1000</f>
        <v>9.8760087991535794E-2</v>
      </c>
      <c r="AI137" s="158"/>
    </row>
    <row r="138" spans="23:35">
      <c r="W138" s="4" t="s">
        <v>585</v>
      </c>
      <c r="X138" s="4" t="s">
        <v>3360</v>
      </c>
      <c r="Y138" s="151" t="str">
        <f t="shared" si="15"/>
        <v>E5140</v>
      </c>
      <c r="Z138" s="4" t="s">
        <v>587</v>
      </c>
      <c r="AA138" s="114" t="s">
        <v>588</v>
      </c>
      <c r="AB138" s="4" t="s">
        <v>506</v>
      </c>
      <c r="AC138" s="4" t="s">
        <v>507</v>
      </c>
      <c r="AD138" s="4" t="s">
        <v>508</v>
      </c>
      <c r="AE138" s="4" t="s">
        <v>509</v>
      </c>
      <c r="AF138" s="4" t="s">
        <v>589</v>
      </c>
      <c r="AG138" s="115">
        <f>+VLOOKUP(Y138,B:O,7,FALSE)/1000</f>
        <v>9.8760087991535794E-2</v>
      </c>
      <c r="AI138" s="158"/>
    </row>
    <row r="139" spans="23:35">
      <c r="W139" s="4" t="s">
        <v>585</v>
      </c>
      <c r="X139" s="4" t="s">
        <v>3361</v>
      </c>
      <c r="Y139" s="151" t="str">
        <f t="shared" si="15"/>
        <v>E5140</v>
      </c>
      <c r="Z139" s="4" t="s">
        <v>587</v>
      </c>
      <c r="AA139" s="114" t="s">
        <v>588</v>
      </c>
      <c r="AB139" s="4" t="s">
        <v>506</v>
      </c>
      <c r="AC139" s="4" t="s">
        <v>507</v>
      </c>
      <c r="AD139" s="4" t="s">
        <v>508</v>
      </c>
      <c r="AE139" s="4" t="s">
        <v>509</v>
      </c>
      <c r="AF139" s="4" t="s">
        <v>589</v>
      </c>
      <c r="AG139" s="115">
        <f>+VLOOKUP(Y139,B:O,8,FALSE)/1000</f>
        <v>9.8760087991535794E-2</v>
      </c>
      <c r="AI139" s="158"/>
    </row>
    <row r="140" spans="23:35">
      <c r="W140" s="4" t="s">
        <v>585</v>
      </c>
      <c r="X140" s="4" t="s">
        <v>3362</v>
      </c>
      <c r="Y140" s="151" t="str">
        <f t="shared" si="15"/>
        <v>E5140</v>
      </c>
      <c r="Z140" s="4" t="s">
        <v>587</v>
      </c>
      <c r="AA140" s="114" t="s">
        <v>588</v>
      </c>
      <c r="AB140" s="4" t="s">
        <v>506</v>
      </c>
      <c r="AC140" s="4" t="s">
        <v>507</v>
      </c>
      <c r="AD140" s="4" t="s">
        <v>508</v>
      </c>
      <c r="AE140" s="4" t="s">
        <v>509</v>
      </c>
      <c r="AF140" s="4" t="s">
        <v>589</v>
      </c>
      <c r="AG140" s="115">
        <f>+VLOOKUP(Y140,B:O,9,FALSE)/1000</f>
        <v>5.4920000000000004E-2</v>
      </c>
      <c r="AI140" s="158"/>
    </row>
    <row r="141" spans="23:35">
      <c r="W141" s="4" t="s">
        <v>585</v>
      </c>
      <c r="X141" s="4" t="s">
        <v>3363</v>
      </c>
      <c r="Y141" s="151" t="str">
        <f t="shared" si="15"/>
        <v>E5140</v>
      </c>
      <c r="Z141" s="4" t="s">
        <v>587</v>
      </c>
      <c r="AA141" s="114" t="s">
        <v>588</v>
      </c>
      <c r="AB141" s="4" t="s">
        <v>506</v>
      </c>
      <c r="AC141" s="4" t="s">
        <v>507</v>
      </c>
      <c r="AD141" s="4" t="s">
        <v>508</v>
      </c>
      <c r="AE141" s="4" t="s">
        <v>509</v>
      </c>
      <c r="AF141" s="4" t="s">
        <v>589</v>
      </c>
      <c r="AG141" s="115">
        <f>+VLOOKUP(Y141,B:O,10,FALSE)/1000</f>
        <v>5.2490000000000002E-2</v>
      </c>
      <c r="AI141" s="158"/>
    </row>
    <row r="142" spans="23:35">
      <c r="W142" s="4" t="s">
        <v>585</v>
      </c>
      <c r="X142" s="4" t="s">
        <v>3364</v>
      </c>
      <c r="Y142" s="151" t="str">
        <f t="shared" si="15"/>
        <v>E5140</v>
      </c>
      <c r="Z142" s="4" t="s">
        <v>587</v>
      </c>
      <c r="AA142" s="114" t="s">
        <v>588</v>
      </c>
      <c r="AB142" s="4" t="s">
        <v>506</v>
      </c>
      <c r="AC142" s="4" t="s">
        <v>507</v>
      </c>
      <c r="AD142" s="4" t="s">
        <v>508</v>
      </c>
      <c r="AE142" s="4" t="s">
        <v>509</v>
      </c>
      <c r="AF142" s="4" t="s">
        <v>589</v>
      </c>
      <c r="AG142" s="115">
        <f>+VLOOKUP(Y142,B:O,11,FALSE)/1000</f>
        <v>5.0314999999999999E-2</v>
      </c>
      <c r="AI142" s="158"/>
    </row>
    <row r="143" spans="23:35">
      <c r="W143" s="4" t="s">
        <v>585</v>
      </c>
      <c r="X143" s="4" t="s">
        <v>3365</v>
      </c>
      <c r="Y143" s="151" t="str">
        <f t="shared" si="15"/>
        <v>E5140</v>
      </c>
      <c r="Z143" s="4" t="s">
        <v>587</v>
      </c>
      <c r="AA143" s="114" t="s">
        <v>588</v>
      </c>
      <c r="AB143" s="4" t="s">
        <v>506</v>
      </c>
      <c r="AC143" s="4" t="s">
        <v>507</v>
      </c>
      <c r="AD143" s="4" t="s">
        <v>508</v>
      </c>
      <c r="AE143" s="4" t="s">
        <v>509</v>
      </c>
      <c r="AF143" s="4" t="s">
        <v>589</v>
      </c>
      <c r="AG143" s="115">
        <f>+VLOOKUP(Y143,B:O,12,FALSE)/1000</f>
        <v>5.2565000000000001E-2</v>
      </c>
      <c r="AI143" s="158"/>
    </row>
    <row r="144" spans="23:35">
      <c r="W144" s="4" t="s">
        <v>585</v>
      </c>
      <c r="X144" s="4" t="s">
        <v>3366</v>
      </c>
      <c r="Y144" s="151" t="str">
        <f t="shared" si="15"/>
        <v>E5140</v>
      </c>
      <c r="Z144" s="4" t="s">
        <v>587</v>
      </c>
      <c r="AA144" s="114" t="s">
        <v>588</v>
      </c>
      <c r="AB144" s="4" t="s">
        <v>506</v>
      </c>
      <c r="AC144" s="4" t="s">
        <v>507</v>
      </c>
      <c r="AD144" s="4" t="s">
        <v>508</v>
      </c>
      <c r="AE144" s="4" t="s">
        <v>509</v>
      </c>
      <c r="AF144" s="4" t="s">
        <v>589</v>
      </c>
      <c r="AG144" s="115">
        <f>+VLOOKUP(Y144,B:O,13,FALSE)/1000</f>
        <v>5.7790000000000001E-2</v>
      </c>
      <c r="AI144" s="158"/>
    </row>
    <row r="145" spans="23:44">
      <c r="W145" s="4" t="s">
        <v>585</v>
      </c>
      <c r="X145" s="4" t="s">
        <v>3367</v>
      </c>
      <c r="Y145" s="151" t="str">
        <f t="shared" si="15"/>
        <v>E5140</v>
      </c>
      <c r="Z145" s="4" t="s">
        <v>587</v>
      </c>
      <c r="AA145" s="114" t="s">
        <v>588</v>
      </c>
      <c r="AB145" s="4" t="s">
        <v>506</v>
      </c>
      <c r="AC145" s="4" t="s">
        <v>507</v>
      </c>
      <c r="AD145" s="4" t="s">
        <v>508</v>
      </c>
      <c r="AE145" s="4" t="s">
        <v>509</v>
      </c>
      <c r="AF145" s="4" t="s">
        <v>589</v>
      </c>
      <c r="AG145" s="115">
        <f>+VLOOKUP(Y145,B:O,14,FALSE)/1000</f>
        <v>6.2370000000000002E-2</v>
      </c>
      <c r="AI145" s="158"/>
    </row>
    <row r="146" spans="23:44">
      <c r="W146" s="4" t="s">
        <v>585</v>
      </c>
      <c r="X146" s="3" t="s">
        <v>3356</v>
      </c>
      <c r="Y146" s="150" t="str">
        <f>INDEX($B$3:$O$110,15,1)</f>
        <v>E5150</v>
      </c>
      <c r="Z146" s="4" t="s">
        <v>587</v>
      </c>
      <c r="AA146" s="114" t="s">
        <v>588</v>
      </c>
      <c r="AB146" s="4" t="s">
        <v>506</v>
      </c>
      <c r="AC146" s="4" t="s">
        <v>507</v>
      </c>
      <c r="AD146" s="4" t="s">
        <v>508</v>
      </c>
      <c r="AE146" s="4" t="s">
        <v>509</v>
      </c>
      <c r="AF146" s="4" t="s">
        <v>589</v>
      </c>
      <c r="AG146" s="115">
        <f>+VLOOKUP(Y146,B:O,3,FALSE)/1000</f>
        <v>9.0944762953846153E-2</v>
      </c>
      <c r="AI146" s="158"/>
    </row>
    <row r="147" spans="23:44">
      <c r="W147" s="4" t="s">
        <v>585</v>
      </c>
      <c r="X147" s="4" t="s">
        <v>3357</v>
      </c>
      <c r="Y147" s="151" t="str">
        <f>Y146</f>
        <v>E5150</v>
      </c>
      <c r="Z147" s="4" t="s">
        <v>587</v>
      </c>
      <c r="AA147" s="114" t="s">
        <v>588</v>
      </c>
      <c r="AB147" s="4" t="s">
        <v>506</v>
      </c>
      <c r="AC147" s="4" t="s">
        <v>507</v>
      </c>
      <c r="AD147" s="4" t="s">
        <v>508</v>
      </c>
      <c r="AE147" s="4" t="s">
        <v>509</v>
      </c>
      <c r="AF147" s="4" t="s">
        <v>589</v>
      </c>
      <c r="AG147" s="115">
        <f>+VLOOKUP(Y147,B:O,4,FALSE)/1000</f>
        <v>9.0944762953846153E-2</v>
      </c>
      <c r="AI147" s="158"/>
    </row>
    <row r="148" spans="23:44">
      <c r="W148" s="4" t="s">
        <v>585</v>
      </c>
      <c r="X148" s="4" t="s">
        <v>3358</v>
      </c>
      <c r="Y148" s="151" t="str">
        <f t="shared" ref="Y148:Y157" si="16">Y147</f>
        <v>E5150</v>
      </c>
      <c r="Z148" s="4" t="s">
        <v>587</v>
      </c>
      <c r="AA148" s="114" t="s">
        <v>588</v>
      </c>
      <c r="AB148" s="4" t="s">
        <v>506</v>
      </c>
      <c r="AC148" s="4" t="s">
        <v>507</v>
      </c>
      <c r="AD148" s="4" t="s">
        <v>508</v>
      </c>
      <c r="AE148" s="4" t="s">
        <v>509</v>
      </c>
      <c r="AF148" s="4" t="s">
        <v>589</v>
      </c>
      <c r="AG148" s="115">
        <f>+VLOOKUP(Y148,B:O,5,FALSE)/1000</f>
        <v>9.0944762953846153E-2</v>
      </c>
      <c r="AI148" s="158"/>
    </row>
    <row r="149" spans="23:44">
      <c r="W149" s="4" t="s">
        <v>585</v>
      </c>
      <c r="X149" s="4" t="s">
        <v>3359</v>
      </c>
      <c r="Y149" s="151" t="str">
        <f t="shared" si="16"/>
        <v>E5150</v>
      </c>
      <c r="Z149" s="4" t="s">
        <v>587</v>
      </c>
      <c r="AA149" s="114" t="s">
        <v>588</v>
      </c>
      <c r="AB149" s="4" t="s">
        <v>506</v>
      </c>
      <c r="AC149" s="4" t="s">
        <v>507</v>
      </c>
      <c r="AD149" s="4" t="s">
        <v>508</v>
      </c>
      <c r="AE149" s="4" t="s">
        <v>509</v>
      </c>
      <c r="AF149" s="4" t="s">
        <v>589</v>
      </c>
      <c r="AG149" s="115">
        <f>+VLOOKUP(Y149,B:O,6,FALSE)/1000</f>
        <v>9.0944762953846153E-2</v>
      </c>
      <c r="AI149" s="158"/>
    </row>
    <row r="150" spans="23:44">
      <c r="W150" s="4" t="s">
        <v>585</v>
      </c>
      <c r="X150" s="4" t="s">
        <v>3360</v>
      </c>
      <c r="Y150" s="151" t="str">
        <f t="shared" si="16"/>
        <v>E5150</v>
      </c>
      <c r="Z150" s="4" t="s">
        <v>587</v>
      </c>
      <c r="AA150" s="114" t="s">
        <v>588</v>
      </c>
      <c r="AB150" s="4" t="s">
        <v>506</v>
      </c>
      <c r="AC150" s="4" t="s">
        <v>507</v>
      </c>
      <c r="AD150" s="4" t="s">
        <v>508</v>
      </c>
      <c r="AE150" s="4" t="s">
        <v>509</v>
      </c>
      <c r="AF150" s="4" t="s">
        <v>589</v>
      </c>
      <c r="AG150" s="115">
        <f>+VLOOKUP(Y150,B:O,7,FALSE)/1000</f>
        <v>9.0944762953846153E-2</v>
      </c>
      <c r="AI150" s="158"/>
    </row>
    <row r="151" spans="23:44">
      <c r="W151" s="4" t="s">
        <v>585</v>
      </c>
      <c r="X151" s="4" t="s">
        <v>3361</v>
      </c>
      <c r="Y151" s="151" t="str">
        <f t="shared" si="16"/>
        <v>E5150</v>
      </c>
      <c r="Z151" s="4" t="s">
        <v>587</v>
      </c>
      <c r="AA151" s="114" t="s">
        <v>588</v>
      </c>
      <c r="AB151" s="4" t="s">
        <v>506</v>
      </c>
      <c r="AC151" s="4" t="s">
        <v>507</v>
      </c>
      <c r="AD151" s="4" t="s">
        <v>508</v>
      </c>
      <c r="AE151" s="4" t="s">
        <v>509</v>
      </c>
      <c r="AF151" s="4" t="s">
        <v>589</v>
      </c>
      <c r="AG151" s="115">
        <f>+VLOOKUP(Y151,B:O,8,FALSE)/1000</f>
        <v>9.0944762953846153E-2</v>
      </c>
      <c r="AI151" s="158"/>
    </row>
    <row r="152" spans="23:44">
      <c r="W152" s="4" t="s">
        <v>585</v>
      </c>
      <c r="X152" s="4" t="s">
        <v>3362</v>
      </c>
      <c r="Y152" s="151" t="str">
        <f t="shared" si="16"/>
        <v>E5150</v>
      </c>
      <c r="Z152" s="4" t="s">
        <v>587</v>
      </c>
      <c r="AA152" s="114" t="s">
        <v>588</v>
      </c>
      <c r="AB152" s="4" t="s">
        <v>506</v>
      </c>
      <c r="AC152" s="4" t="s">
        <v>507</v>
      </c>
      <c r="AD152" s="4" t="s">
        <v>508</v>
      </c>
      <c r="AE152" s="4" t="s">
        <v>509</v>
      </c>
      <c r="AF152" s="4" t="s">
        <v>589</v>
      </c>
      <c r="AG152" s="115">
        <f>+VLOOKUP(Y152,B:O,9,FALSE)/1000</f>
        <v>9.0944762953846153E-2</v>
      </c>
      <c r="AI152" s="158"/>
    </row>
    <row r="153" spans="23:44">
      <c r="W153" s="4" t="s">
        <v>585</v>
      </c>
      <c r="X153" s="4" t="s">
        <v>3363</v>
      </c>
      <c r="Y153" s="151" t="str">
        <f t="shared" si="16"/>
        <v>E5150</v>
      </c>
      <c r="Z153" s="4" t="s">
        <v>587</v>
      </c>
      <c r="AA153" s="114" t="s">
        <v>588</v>
      </c>
      <c r="AB153" s="4" t="s">
        <v>506</v>
      </c>
      <c r="AC153" s="4" t="s">
        <v>507</v>
      </c>
      <c r="AD153" s="4" t="s">
        <v>508</v>
      </c>
      <c r="AE153" s="4" t="s">
        <v>509</v>
      </c>
      <c r="AF153" s="4" t="s">
        <v>589</v>
      </c>
      <c r="AG153" s="115">
        <f>+VLOOKUP(Y153,B:O,10,FALSE)/1000</f>
        <v>9.0944762953846153E-2</v>
      </c>
      <c r="AI153" s="158"/>
    </row>
    <row r="154" spans="23:44">
      <c r="W154" s="4" t="s">
        <v>585</v>
      </c>
      <c r="X154" s="4" t="s">
        <v>3364</v>
      </c>
      <c r="Y154" s="151" t="str">
        <f t="shared" si="16"/>
        <v>E5150</v>
      </c>
      <c r="Z154" s="4" t="s">
        <v>587</v>
      </c>
      <c r="AA154" s="114" t="s">
        <v>588</v>
      </c>
      <c r="AB154" s="4" t="s">
        <v>506</v>
      </c>
      <c r="AC154" s="4" t="s">
        <v>507</v>
      </c>
      <c r="AD154" s="4" t="s">
        <v>508</v>
      </c>
      <c r="AE154" s="4" t="s">
        <v>509</v>
      </c>
      <c r="AF154" s="4" t="s">
        <v>589</v>
      </c>
      <c r="AG154" s="115">
        <f>+VLOOKUP(Y154,B:O,11,FALSE)/1000</f>
        <v>9.0944762953846153E-2</v>
      </c>
      <c r="AI154" s="158"/>
    </row>
    <row r="155" spans="23:44">
      <c r="W155" s="4" t="s">
        <v>585</v>
      </c>
      <c r="X155" s="4" t="s">
        <v>3365</v>
      </c>
      <c r="Y155" s="151" t="str">
        <f t="shared" si="16"/>
        <v>E5150</v>
      </c>
      <c r="Z155" s="4" t="s">
        <v>587</v>
      </c>
      <c r="AA155" s="114" t="s">
        <v>588</v>
      </c>
      <c r="AB155" s="4" t="s">
        <v>506</v>
      </c>
      <c r="AC155" s="4" t="s">
        <v>507</v>
      </c>
      <c r="AD155" s="4" t="s">
        <v>508</v>
      </c>
      <c r="AE155" s="4" t="s">
        <v>509</v>
      </c>
      <c r="AF155" s="4" t="s">
        <v>589</v>
      </c>
      <c r="AG155" s="115">
        <f>+VLOOKUP(Y155,B:O,12,FALSE)/1000</f>
        <v>9.0944762953846153E-2</v>
      </c>
      <c r="AI155" s="158"/>
    </row>
    <row r="156" spans="23:44">
      <c r="W156" s="4" t="s">
        <v>585</v>
      </c>
      <c r="X156" s="4" t="s">
        <v>3366</v>
      </c>
      <c r="Y156" s="151" t="str">
        <f t="shared" si="16"/>
        <v>E5150</v>
      </c>
      <c r="Z156" s="4" t="s">
        <v>587</v>
      </c>
      <c r="AA156" s="114" t="s">
        <v>588</v>
      </c>
      <c r="AB156" s="4" t="s">
        <v>506</v>
      </c>
      <c r="AC156" s="4" t="s">
        <v>507</v>
      </c>
      <c r="AD156" s="4" t="s">
        <v>508</v>
      </c>
      <c r="AE156" s="4" t="s">
        <v>509</v>
      </c>
      <c r="AF156" s="4" t="s">
        <v>589</v>
      </c>
      <c r="AG156" s="115">
        <f>+VLOOKUP(Y156,B:O,13,FALSE)/1000</f>
        <v>9.3036492501784612E-2</v>
      </c>
      <c r="AI156" s="158"/>
    </row>
    <row r="157" spans="23:44">
      <c r="W157" s="4" t="s">
        <v>585</v>
      </c>
      <c r="X157" s="4" t="s">
        <v>3367</v>
      </c>
      <c r="Y157" s="151" t="str">
        <f t="shared" si="16"/>
        <v>E5150</v>
      </c>
      <c r="Z157" s="4" t="s">
        <v>587</v>
      </c>
      <c r="AA157" s="114" t="s">
        <v>588</v>
      </c>
      <c r="AB157" s="4" t="s">
        <v>506</v>
      </c>
      <c r="AC157" s="4" t="s">
        <v>507</v>
      </c>
      <c r="AD157" s="4" t="s">
        <v>508</v>
      </c>
      <c r="AE157" s="4" t="s">
        <v>509</v>
      </c>
      <c r="AF157" s="4" t="s">
        <v>589</v>
      </c>
      <c r="AG157" s="115">
        <f>+VLOOKUP(Y157,B:O,14,FALSE)/1000</f>
        <v>9.3036492501784612E-2</v>
      </c>
      <c r="AH157" s="4"/>
      <c r="AI157" s="158"/>
      <c r="AJ157" s="4"/>
      <c r="AK157" s="4"/>
      <c r="AL157" s="4"/>
      <c r="AM157" s="4"/>
      <c r="AN157" s="4"/>
      <c r="AO157" s="4"/>
      <c r="AP157" s="4"/>
      <c r="AQ157" s="4"/>
      <c r="AR157" s="4"/>
    </row>
    <row r="158" spans="23:44">
      <c r="W158" s="4" t="s">
        <v>585</v>
      </c>
      <c r="X158" s="3" t="s">
        <v>3356</v>
      </c>
      <c r="Y158" s="150" t="str">
        <f>INDEX($B$3:$O$110,16,1)</f>
        <v>E5160</v>
      </c>
      <c r="Z158" s="4" t="s">
        <v>587</v>
      </c>
      <c r="AA158" s="114" t="s">
        <v>588</v>
      </c>
      <c r="AB158" s="4" t="s">
        <v>506</v>
      </c>
      <c r="AC158" s="4" t="s">
        <v>507</v>
      </c>
      <c r="AD158" s="4" t="s">
        <v>508</v>
      </c>
      <c r="AE158" s="4" t="s">
        <v>509</v>
      </c>
      <c r="AF158" s="4" t="s">
        <v>589</v>
      </c>
      <c r="AG158" s="115">
        <f>+VLOOKUP(Y158,B:O,3,FALSE)/1000</f>
        <v>9.8633000848255992E-2</v>
      </c>
      <c r="AH158" s="152"/>
      <c r="AI158" s="158"/>
      <c r="AJ158" s="152"/>
      <c r="AK158" s="152"/>
      <c r="AL158" s="152"/>
      <c r="AM158" s="152"/>
      <c r="AN158" s="152"/>
      <c r="AO158" s="152"/>
      <c r="AP158" s="152"/>
      <c r="AQ158" s="152"/>
      <c r="AR158" s="152"/>
    </row>
    <row r="159" spans="23:44">
      <c r="W159" s="4" t="s">
        <v>585</v>
      </c>
      <c r="X159" s="4" t="s">
        <v>3357</v>
      </c>
      <c r="Y159" s="151" t="str">
        <f>Y158</f>
        <v>E5160</v>
      </c>
      <c r="Z159" s="4" t="s">
        <v>587</v>
      </c>
      <c r="AA159" s="114" t="s">
        <v>588</v>
      </c>
      <c r="AB159" s="4" t="s">
        <v>506</v>
      </c>
      <c r="AC159" s="4" t="s">
        <v>507</v>
      </c>
      <c r="AD159" s="4" t="s">
        <v>508</v>
      </c>
      <c r="AE159" s="4" t="s">
        <v>509</v>
      </c>
      <c r="AF159" s="4" t="s">
        <v>589</v>
      </c>
      <c r="AG159" s="115">
        <f>+VLOOKUP(Y159,B:O,4,FALSE)/1000</f>
        <v>9.8633000848255992E-2</v>
      </c>
      <c r="AH159" s="152"/>
      <c r="AI159" s="158"/>
    </row>
    <row r="160" spans="23:44">
      <c r="W160" s="4" t="s">
        <v>585</v>
      </c>
      <c r="X160" s="4" t="s">
        <v>3358</v>
      </c>
      <c r="Y160" s="151" t="str">
        <f t="shared" ref="Y160:Y169" si="17">Y159</f>
        <v>E5160</v>
      </c>
      <c r="Z160" s="4" t="s">
        <v>587</v>
      </c>
      <c r="AA160" s="114" t="s">
        <v>588</v>
      </c>
      <c r="AB160" s="4" t="s">
        <v>506</v>
      </c>
      <c r="AC160" s="4" t="s">
        <v>507</v>
      </c>
      <c r="AD160" s="4" t="s">
        <v>508</v>
      </c>
      <c r="AE160" s="4" t="s">
        <v>509</v>
      </c>
      <c r="AF160" s="4" t="s">
        <v>589</v>
      </c>
      <c r="AG160" s="115">
        <f>+VLOOKUP(Y160,B:O,5,FALSE)/1000</f>
        <v>9.8633000848255992E-2</v>
      </c>
      <c r="AH160" s="152"/>
      <c r="AI160" s="158"/>
    </row>
    <row r="161" spans="23:35">
      <c r="W161" s="4" t="s">
        <v>585</v>
      </c>
      <c r="X161" s="4" t="s">
        <v>3359</v>
      </c>
      <c r="Y161" s="151" t="str">
        <f t="shared" si="17"/>
        <v>E5160</v>
      </c>
      <c r="Z161" s="4" t="s">
        <v>587</v>
      </c>
      <c r="AA161" s="114" t="s">
        <v>588</v>
      </c>
      <c r="AB161" s="4" t="s">
        <v>506</v>
      </c>
      <c r="AC161" s="4" t="s">
        <v>507</v>
      </c>
      <c r="AD161" s="4" t="s">
        <v>508</v>
      </c>
      <c r="AE161" s="4" t="s">
        <v>509</v>
      </c>
      <c r="AF161" s="4" t="s">
        <v>589</v>
      </c>
      <c r="AG161" s="115">
        <f>+VLOOKUP(Y161,B:O,6,FALSE)/1000</f>
        <v>9.8633000848255992E-2</v>
      </c>
      <c r="AH161" s="152"/>
      <c r="AI161" s="158"/>
    </row>
    <row r="162" spans="23:35">
      <c r="W162" s="4" t="s">
        <v>585</v>
      </c>
      <c r="X162" s="4" t="s">
        <v>3360</v>
      </c>
      <c r="Y162" s="151" t="str">
        <f t="shared" si="17"/>
        <v>E5160</v>
      </c>
      <c r="Z162" s="4" t="s">
        <v>587</v>
      </c>
      <c r="AA162" s="114" t="s">
        <v>588</v>
      </c>
      <c r="AB162" s="4" t="s">
        <v>506</v>
      </c>
      <c r="AC162" s="4" t="s">
        <v>507</v>
      </c>
      <c r="AD162" s="4" t="s">
        <v>508</v>
      </c>
      <c r="AE162" s="4" t="s">
        <v>509</v>
      </c>
      <c r="AF162" s="4" t="s">
        <v>589</v>
      </c>
      <c r="AG162" s="115">
        <f>+VLOOKUP(Y162,B:O,7,FALSE)/1000</f>
        <v>9.8633000848255992E-2</v>
      </c>
      <c r="AH162" s="152"/>
      <c r="AI162" s="158"/>
    </row>
    <row r="163" spans="23:35">
      <c r="W163" s="4" t="s">
        <v>585</v>
      </c>
      <c r="X163" s="4" t="s">
        <v>3361</v>
      </c>
      <c r="Y163" s="151" t="str">
        <f t="shared" si="17"/>
        <v>E5160</v>
      </c>
      <c r="Z163" s="4" t="s">
        <v>587</v>
      </c>
      <c r="AA163" s="114" t="s">
        <v>588</v>
      </c>
      <c r="AB163" s="4" t="s">
        <v>506</v>
      </c>
      <c r="AC163" s="4" t="s">
        <v>507</v>
      </c>
      <c r="AD163" s="4" t="s">
        <v>508</v>
      </c>
      <c r="AE163" s="4" t="s">
        <v>509</v>
      </c>
      <c r="AF163" s="4" t="s">
        <v>589</v>
      </c>
      <c r="AG163" s="115">
        <f>+VLOOKUP(Y163,B:O,8,FALSE)/1000</f>
        <v>9.8633000848255992E-2</v>
      </c>
      <c r="AH163" s="152"/>
      <c r="AI163" s="158"/>
    </row>
    <row r="164" spans="23:35">
      <c r="W164" s="4" t="s">
        <v>585</v>
      </c>
      <c r="X164" s="4" t="s">
        <v>3362</v>
      </c>
      <c r="Y164" s="151" t="str">
        <f t="shared" si="17"/>
        <v>E5160</v>
      </c>
      <c r="Z164" s="4" t="s">
        <v>587</v>
      </c>
      <c r="AA164" s="114" t="s">
        <v>588</v>
      </c>
      <c r="AB164" s="4" t="s">
        <v>506</v>
      </c>
      <c r="AC164" s="4" t="s">
        <v>507</v>
      </c>
      <c r="AD164" s="4" t="s">
        <v>508</v>
      </c>
      <c r="AE164" s="4" t="s">
        <v>509</v>
      </c>
      <c r="AF164" s="4" t="s">
        <v>589</v>
      </c>
      <c r="AG164" s="115">
        <f>+VLOOKUP(Y164,B:O,9,FALSE)/1000</f>
        <v>9.8633000848255992E-2</v>
      </c>
      <c r="AH164" s="152"/>
      <c r="AI164" s="158"/>
    </row>
    <row r="165" spans="23:35">
      <c r="W165" s="4" t="s">
        <v>585</v>
      </c>
      <c r="X165" s="4" t="s">
        <v>3363</v>
      </c>
      <c r="Y165" s="151" t="str">
        <f t="shared" si="17"/>
        <v>E5160</v>
      </c>
      <c r="Z165" s="4" t="s">
        <v>587</v>
      </c>
      <c r="AA165" s="114" t="s">
        <v>588</v>
      </c>
      <c r="AB165" s="4" t="s">
        <v>506</v>
      </c>
      <c r="AC165" s="4" t="s">
        <v>507</v>
      </c>
      <c r="AD165" s="4" t="s">
        <v>508</v>
      </c>
      <c r="AE165" s="4" t="s">
        <v>509</v>
      </c>
      <c r="AF165" s="4" t="s">
        <v>589</v>
      </c>
      <c r="AG165" s="115">
        <f>+VLOOKUP(Y165,B:O,10,FALSE)/1000</f>
        <v>9.8633000848255992E-2</v>
      </c>
      <c r="AH165" s="152"/>
      <c r="AI165" s="158"/>
    </row>
    <row r="166" spans="23:35">
      <c r="W166" s="4" t="s">
        <v>585</v>
      </c>
      <c r="X166" s="4" t="s">
        <v>3364</v>
      </c>
      <c r="Y166" s="151" t="str">
        <f t="shared" si="17"/>
        <v>E5160</v>
      </c>
      <c r="Z166" s="4" t="s">
        <v>587</v>
      </c>
      <c r="AA166" s="114" t="s">
        <v>588</v>
      </c>
      <c r="AB166" s="4" t="s">
        <v>506</v>
      </c>
      <c r="AC166" s="4" t="s">
        <v>507</v>
      </c>
      <c r="AD166" s="4" t="s">
        <v>508</v>
      </c>
      <c r="AE166" s="4" t="s">
        <v>509</v>
      </c>
      <c r="AF166" s="4" t="s">
        <v>589</v>
      </c>
      <c r="AG166" s="115">
        <f>+VLOOKUP(Y166,B:O,11,FALSE)/1000</f>
        <v>9.8633000848255992E-2</v>
      </c>
      <c r="AH166" s="152"/>
      <c r="AI166" s="158"/>
    </row>
    <row r="167" spans="23:35">
      <c r="W167" s="4" t="s">
        <v>585</v>
      </c>
      <c r="X167" s="4" t="s">
        <v>3365</v>
      </c>
      <c r="Y167" s="151" t="str">
        <f t="shared" si="17"/>
        <v>E5160</v>
      </c>
      <c r="Z167" s="4" t="s">
        <v>587</v>
      </c>
      <c r="AA167" s="114" t="s">
        <v>588</v>
      </c>
      <c r="AB167" s="4" t="s">
        <v>506</v>
      </c>
      <c r="AC167" s="4" t="s">
        <v>507</v>
      </c>
      <c r="AD167" s="4" t="s">
        <v>508</v>
      </c>
      <c r="AE167" s="4" t="s">
        <v>509</v>
      </c>
      <c r="AF167" s="4" t="s">
        <v>589</v>
      </c>
      <c r="AG167" s="115">
        <f>+VLOOKUP(Y167,B:O,12,FALSE)/1000</f>
        <v>9.8633000848255992E-2</v>
      </c>
      <c r="AH167" s="152"/>
      <c r="AI167" s="158"/>
    </row>
    <row r="168" spans="23:35">
      <c r="W168" s="4" t="s">
        <v>585</v>
      </c>
      <c r="X168" s="4" t="s">
        <v>3366</v>
      </c>
      <c r="Y168" s="151" t="str">
        <f t="shared" si="17"/>
        <v>E5160</v>
      </c>
      <c r="Z168" s="4" t="s">
        <v>587</v>
      </c>
      <c r="AA168" s="114" t="s">
        <v>588</v>
      </c>
      <c r="AB168" s="4" t="s">
        <v>506</v>
      </c>
      <c r="AC168" s="4" t="s">
        <v>507</v>
      </c>
      <c r="AD168" s="4" t="s">
        <v>508</v>
      </c>
      <c r="AE168" s="4" t="s">
        <v>509</v>
      </c>
      <c r="AF168" s="4" t="s">
        <v>589</v>
      </c>
      <c r="AG168" s="115">
        <f>+VLOOKUP(Y168,B:O,13,FALSE)/1000</f>
        <v>0.10090155986776589</v>
      </c>
      <c r="AH168" s="152"/>
      <c r="AI168" s="158"/>
    </row>
    <row r="169" spans="23:35">
      <c r="W169" s="4" t="s">
        <v>585</v>
      </c>
      <c r="X169" s="4" t="s">
        <v>3367</v>
      </c>
      <c r="Y169" s="151" t="str">
        <f t="shared" si="17"/>
        <v>E5160</v>
      </c>
      <c r="Z169" s="4" t="s">
        <v>587</v>
      </c>
      <c r="AA169" s="114" t="s">
        <v>588</v>
      </c>
      <c r="AB169" s="4" t="s">
        <v>506</v>
      </c>
      <c r="AC169" s="4" t="s">
        <v>507</v>
      </c>
      <c r="AD169" s="4" t="s">
        <v>508</v>
      </c>
      <c r="AE169" s="4" t="s">
        <v>509</v>
      </c>
      <c r="AF169" s="4" t="s">
        <v>589</v>
      </c>
      <c r="AG169" s="115">
        <f>+VLOOKUP(Y169,B:O,14,FALSE)/1000</f>
        <v>0.10090155986776589</v>
      </c>
      <c r="AH169" s="152"/>
      <c r="AI169" s="158"/>
    </row>
    <row r="170" spans="23:35">
      <c r="W170" s="4" t="s">
        <v>585</v>
      </c>
      <c r="X170" s="3" t="s">
        <v>3356</v>
      </c>
      <c r="Y170" s="150" t="str">
        <f>INDEX($B$3:$O$110,19,1)</f>
        <v>E5170</v>
      </c>
      <c r="Z170" s="4" t="s">
        <v>587</v>
      </c>
      <c r="AA170" s="114" t="s">
        <v>588</v>
      </c>
      <c r="AB170" s="4" t="s">
        <v>506</v>
      </c>
      <c r="AC170" s="4" t="s">
        <v>507</v>
      </c>
      <c r="AD170" s="4" t="s">
        <v>508</v>
      </c>
      <c r="AE170" s="4" t="s">
        <v>509</v>
      </c>
      <c r="AF170" s="4" t="s">
        <v>589</v>
      </c>
      <c r="AG170" s="742">
        <f>SUM('1-EO_Calcul Reporting'!$CW$26:$CW$28)/SUM('1-EO_Calcul Reporting'!$F$26:$F$28)</f>
        <v>9.8747192336577819E-2</v>
      </c>
      <c r="AH170" s="4" t="s">
        <v>3417</v>
      </c>
      <c r="AI170" s="158"/>
    </row>
    <row r="171" spans="23:35">
      <c r="W171" s="4" t="s">
        <v>585</v>
      </c>
      <c r="X171" s="4" t="s">
        <v>3357</v>
      </c>
      <c r="Y171" s="151" t="str">
        <f>Y170</f>
        <v>E5170</v>
      </c>
      <c r="Z171" s="4" t="s">
        <v>587</v>
      </c>
      <c r="AA171" s="114" t="s">
        <v>588</v>
      </c>
      <c r="AB171" s="4" t="s">
        <v>506</v>
      </c>
      <c r="AC171" s="4" t="s">
        <v>507</v>
      </c>
      <c r="AD171" s="4" t="s">
        <v>508</v>
      </c>
      <c r="AE171" s="4" t="s">
        <v>509</v>
      </c>
      <c r="AF171" s="4" t="s">
        <v>589</v>
      </c>
      <c r="AG171" s="742">
        <f>SUM('1-EO_Calcul Reporting'!$CX$26:$CX$28)/SUM('1-EO_Calcul Reporting'!$G$26:$G$28)</f>
        <v>9.8747192336577819E-2</v>
      </c>
      <c r="AH171" t="s">
        <v>3417</v>
      </c>
      <c r="AI171" s="158"/>
    </row>
    <row r="172" spans="23:35">
      <c r="W172" s="4" t="s">
        <v>585</v>
      </c>
      <c r="X172" s="4" t="s">
        <v>3358</v>
      </c>
      <c r="Y172" s="151" t="str">
        <f t="shared" ref="Y172:Y181" si="18">Y171</f>
        <v>E5170</v>
      </c>
      <c r="Z172" s="4" t="s">
        <v>587</v>
      </c>
      <c r="AA172" s="114" t="s">
        <v>588</v>
      </c>
      <c r="AB172" s="4" t="s">
        <v>506</v>
      </c>
      <c r="AC172" s="4" t="s">
        <v>507</v>
      </c>
      <c r="AD172" s="4" t="s">
        <v>508</v>
      </c>
      <c r="AE172" s="4" t="s">
        <v>509</v>
      </c>
      <c r="AF172" s="4" t="s">
        <v>589</v>
      </c>
      <c r="AG172" s="742">
        <f>SUM('1-EO_Calcul Reporting'!$CY$26:$CY$28)/SUM('1-EO_Calcul Reporting'!$H$26:$H$28)</f>
        <v>9.8747192336577819E-2</v>
      </c>
      <c r="AH172" t="s">
        <v>3417</v>
      </c>
      <c r="AI172" s="158"/>
    </row>
    <row r="173" spans="23:35">
      <c r="W173" s="4" t="s">
        <v>585</v>
      </c>
      <c r="X173" s="4" t="s">
        <v>3359</v>
      </c>
      <c r="Y173" s="151" t="str">
        <f t="shared" si="18"/>
        <v>E5170</v>
      </c>
      <c r="Z173" s="4" t="s">
        <v>587</v>
      </c>
      <c r="AA173" s="114" t="s">
        <v>588</v>
      </c>
      <c r="AB173" s="4" t="s">
        <v>506</v>
      </c>
      <c r="AC173" s="4" t="s">
        <v>507</v>
      </c>
      <c r="AD173" s="4" t="s">
        <v>508</v>
      </c>
      <c r="AE173" s="4" t="s">
        <v>509</v>
      </c>
      <c r="AF173" s="4" t="s">
        <v>589</v>
      </c>
      <c r="AG173" s="742">
        <f>SUM('1-EO_Calcul Reporting'!$CZ$26:$CZ$28)/SUM('1-EO_Calcul Reporting'!$I$26:$I$28)</f>
        <v>9.8747192336577819E-2</v>
      </c>
      <c r="AH173" t="s">
        <v>3417</v>
      </c>
      <c r="AI173" s="158"/>
    </row>
    <row r="174" spans="23:35">
      <c r="W174" s="4" t="s">
        <v>585</v>
      </c>
      <c r="X174" s="4" t="s">
        <v>3360</v>
      </c>
      <c r="Y174" s="151" t="str">
        <f t="shared" si="18"/>
        <v>E5170</v>
      </c>
      <c r="Z174" s="4" t="s">
        <v>587</v>
      </c>
      <c r="AA174" s="114" t="s">
        <v>588</v>
      </c>
      <c r="AB174" s="4" t="s">
        <v>506</v>
      </c>
      <c r="AC174" s="4" t="s">
        <v>507</v>
      </c>
      <c r="AD174" s="4" t="s">
        <v>508</v>
      </c>
      <c r="AE174" s="4" t="s">
        <v>509</v>
      </c>
      <c r="AF174" s="4" t="s">
        <v>589</v>
      </c>
      <c r="AG174" s="742">
        <f>SUM('1-EO_Calcul Reporting'!$DA$26:$DA$28)/SUM('1-EO_Calcul Reporting'!$J$26:$J$28)</f>
        <v>9.8747192336577805E-2</v>
      </c>
      <c r="AH174" t="s">
        <v>3417</v>
      </c>
      <c r="AI174" s="158"/>
    </row>
    <row r="175" spans="23:35">
      <c r="W175" s="4" t="s">
        <v>585</v>
      </c>
      <c r="X175" s="4" t="s">
        <v>3361</v>
      </c>
      <c r="Y175" s="151" t="str">
        <f t="shared" si="18"/>
        <v>E5170</v>
      </c>
      <c r="Z175" s="4" t="s">
        <v>587</v>
      </c>
      <c r="AA175" s="114" t="s">
        <v>588</v>
      </c>
      <c r="AB175" s="4" t="s">
        <v>506</v>
      </c>
      <c r="AC175" s="4" t="s">
        <v>507</v>
      </c>
      <c r="AD175" s="4" t="s">
        <v>508</v>
      </c>
      <c r="AE175" s="4" t="s">
        <v>509</v>
      </c>
      <c r="AF175" s="4" t="s">
        <v>589</v>
      </c>
      <c r="AG175" s="742">
        <f>SUM('1-EO_Calcul Reporting'!$DB$26:$DB$28)/SUM('1-EO_Calcul Reporting'!$K$26:$K$28)</f>
        <v>9.8747192336577819E-2</v>
      </c>
      <c r="AH175" t="s">
        <v>3417</v>
      </c>
      <c r="AI175" s="158"/>
    </row>
    <row r="176" spans="23:35">
      <c r="W176" s="4" t="s">
        <v>585</v>
      </c>
      <c r="X176" s="4" t="s">
        <v>3362</v>
      </c>
      <c r="Y176" s="151" t="str">
        <f t="shared" si="18"/>
        <v>E5170</v>
      </c>
      <c r="Z176" s="4" t="s">
        <v>587</v>
      </c>
      <c r="AA176" s="114" t="s">
        <v>588</v>
      </c>
      <c r="AB176" s="4" t="s">
        <v>506</v>
      </c>
      <c r="AC176" s="4" t="s">
        <v>507</v>
      </c>
      <c r="AD176" s="4" t="s">
        <v>508</v>
      </c>
      <c r="AE176" s="4" t="s">
        <v>509</v>
      </c>
      <c r="AF176" s="4" t="s">
        <v>589</v>
      </c>
      <c r="AG176" s="742">
        <f>SUM('1-EO_Calcul Reporting'!$DC$26:$DC$28)/SUM('1-EO_Calcul Reporting'!$L$26:$L$28)</f>
        <v>9.8747192336577819E-2</v>
      </c>
      <c r="AH176" t="s">
        <v>3417</v>
      </c>
      <c r="AI176" s="158"/>
    </row>
    <row r="177" spans="23:35">
      <c r="W177" s="4" t="s">
        <v>585</v>
      </c>
      <c r="X177" s="4" t="s">
        <v>3363</v>
      </c>
      <c r="Y177" s="151" t="str">
        <f t="shared" si="18"/>
        <v>E5170</v>
      </c>
      <c r="Z177" s="4" t="s">
        <v>587</v>
      </c>
      <c r="AA177" s="114" t="s">
        <v>588</v>
      </c>
      <c r="AB177" s="4" t="s">
        <v>506</v>
      </c>
      <c r="AC177" s="4" t="s">
        <v>507</v>
      </c>
      <c r="AD177" s="4" t="s">
        <v>508</v>
      </c>
      <c r="AE177" s="4" t="s">
        <v>509</v>
      </c>
      <c r="AF177" s="4" t="s">
        <v>589</v>
      </c>
      <c r="AG177" s="742">
        <f>SUM('1-EO_Calcul Reporting'!$DD$26:$DD$28)/SUM('1-EO_Calcul Reporting'!$M$26:$M$28)</f>
        <v>9.8747192336577819E-2</v>
      </c>
      <c r="AH177" t="s">
        <v>3417</v>
      </c>
      <c r="AI177" s="158"/>
    </row>
    <row r="178" spans="23:35">
      <c r="W178" s="4" t="s">
        <v>585</v>
      </c>
      <c r="X178" s="4" t="s">
        <v>3364</v>
      </c>
      <c r="Y178" s="151" t="str">
        <f t="shared" si="18"/>
        <v>E5170</v>
      </c>
      <c r="Z178" s="4" t="s">
        <v>587</v>
      </c>
      <c r="AA178" s="114" t="s">
        <v>588</v>
      </c>
      <c r="AB178" s="4" t="s">
        <v>506</v>
      </c>
      <c r="AC178" s="4" t="s">
        <v>507</v>
      </c>
      <c r="AD178" s="4" t="s">
        <v>508</v>
      </c>
      <c r="AE178" s="4" t="s">
        <v>509</v>
      </c>
      <c r="AF178" s="4" t="s">
        <v>589</v>
      </c>
      <c r="AG178" s="742">
        <f>SUM('1-EO_Calcul Reporting'!$DE$26:$DE$28)/SUM('1-EO_Calcul Reporting'!$N$26:$N$28)</f>
        <v>9.8747192336577805E-2</v>
      </c>
      <c r="AH178" t="s">
        <v>3417</v>
      </c>
      <c r="AI178" s="158"/>
    </row>
    <row r="179" spans="23:35">
      <c r="W179" s="4" t="s">
        <v>585</v>
      </c>
      <c r="X179" s="4" t="s">
        <v>3365</v>
      </c>
      <c r="Y179" s="151" t="str">
        <f t="shared" si="18"/>
        <v>E5170</v>
      </c>
      <c r="Z179" s="4" t="s">
        <v>587</v>
      </c>
      <c r="AA179" s="114" t="s">
        <v>588</v>
      </c>
      <c r="AB179" s="4" t="s">
        <v>506</v>
      </c>
      <c r="AC179" s="4" t="s">
        <v>507</v>
      </c>
      <c r="AD179" s="4" t="s">
        <v>508</v>
      </c>
      <c r="AE179" s="4" t="s">
        <v>509</v>
      </c>
      <c r="AF179" s="4" t="s">
        <v>589</v>
      </c>
      <c r="AG179" s="742">
        <f>SUM('1-EO_Calcul Reporting'!$DF$26:$DF$28)/SUM('1-EO_Calcul Reporting'!$O$26:$O$28)</f>
        <v>9.8747192336577819E-2</v>
      </c>
      <c r="AH179" t="s">
        <v>3417</v>
      </c>
      <c r="AI179" s="158"/>
    </row>
    <row r="180" spans="23:35">
      <c r="W180" s="4" t="s">
        <v>585</v>
      </c>
      <c r="X180" s="4" t="s">
        <v>3366</v>
      </c>
      <c r="Y180" s="151" t="str">
        <f t="shared" si="18"/>
        <v>E5170</v>
      </c>
      <c r="Z180" s="4" t="s">
        <v>587</v>
      </c>
      <c r="AA180" s="114" t="s">
        <v>588</v>
      </c>
      <c r="AB180" s="4" t="s">
        <v>506</v>
      </c>
      <c r="AC180" s="4" t="s">
        <v>507</v>
      </c>
      <c r="AD180" s="4" t="s">
        <v>508</v>
      </c>
      <c r="AE180" s="4" t="s">
        <v>509</v>
      </c>
      <c r="AF180" s="4" t="s">
        <v>589</v>
      </c>
      <c r="AG180" s="742">
        <f>SUM('1-EO_Calcul Reporting'!$DG$26:$DG$28)/SUM('1-EO_Calcul Reporting'!$P$26:$P$28)</f>
        <v>0.10101837776031912</v>
      </c>
      <c r="AH180" t="s">
        <v>3417</v>
      </c>
      <c r="AI180" s="158"/>
    </row>
    <row r="181" spans="23:35">
      <c r="W181" s="4" t="s">
        <v>585</v>
      </c>
      <c r="X181" s="4" t="s">
        <v>3367</v>
      </c>
      <c r="Y181" s="151" t="str">
        <f t="shared" si="18"/>
        <v>E5170</v>
      </c>
      <c r="Z181" s="4" t="s">
        <v>587</v>
      </c>
      <c r="AA181" s="114" t="s">
        <v>588</v>
      </c>
      <c r="AB181" s="4" t="s">
        <v>506</v>
      </c>
      <c r="AC181" s="4" t="s">
        <v>507</v>
      </c>
      <c r="AD181" s="4" t="s">
        <v>508</v>
      </c>
      <c r="AE181" s="4" t="s">
        <v>509</v>
      </c>
      <c r="AF181" s="4" t="s">
        <v>589</v>
      </c>
      <c r="AG181" s="742">
        <f>SUM('1-EO_Calcul Reporting'!$DH$26:$DH$28)/SUM('1-EO_Calcul Reporting'!$Q$26:$Q$28)</f>
        <v>0.10101837776031911</v>
      </c>
      <c r="AH181" t="s">
        <v>3417</v>
      </c>
      <c r="AI181" s="158"/>
    </row>
    <row r="182" spans="23:35">
      <c r="W182" s="4" t="s">
        <v>585</v>
      </c>
      <c r="X182" s="3" t="s">
        <v>3356</v>
      </c>
      <c r="Y182" s="150" t="str">
        <f>INDEX($B$3:$O$110,20,1)</f>
        <v>E5180</v>
      </c>
      <c r="Z182" s="4" t="s">
        <v>587</v>
      </c>
      <c r="AA182" s="114" t="s">
        <v>588</v>
      </c>
      <c r="AB182" s="4" t="s">
        <v>506</v>
      </c>
      <c r="AC182" s="4" t="s">
        <v>507</v>
      </c>
      <c r="AD182" s="4" t="s">
        <v>508</v>
      </c>
      <c r="AE182" s="4" t="s">
        <v>509</v>
      </c>
      <c r="AF182" s="4" t="s">
        <v>589</v>
      </c>
      <c r="AG182" s="115">
        <f>+VLOOKUP(Y182,B:O,3,FALSE)/1000</f>
        <v>9.8649272327684695E-2</v>
      </c>
      <c r="AI182" s="158"/>
    </row>
    <row r="183" spans="23:35">
      <c r="W183" s="4" t="s">
        <v>585</v>
      </c>
      <c r="X183" s="4" t="s">
        <v>3357</v>
      </c>
      <c r="Y183" s="151" t="str">
        <f>Y182</f>
        <v>E5180</v>
      </c>
      <c r="Z183" s="4" t="s">
        <v>587</v>
      </c>
      <c r="AA183" s="114" t="s">
        <v>588</v>
      </c>
      <c r="AB183" s="4" t="s">
        <v>506</v>
      </c>
      <c r="AC183" s="4" t="s">
        <v>507</v>
      </c>
      <c r="AD183" s="4" t="s">
        <v>508</v>
      </c>
      <c r="AE183" s="4" t="s">
        <v>509</v>
      </c>
      <c r="AF183" s="4" t="s">
        <v>589</v>
      </c>
      <c r="AG183" s="115">
        <f>+VLOOKUP(Y183,B:O,4,FALSE)/1000</f>
        <v>9.8649272327684695E-2</v>
      </c>
      <c r="AI183" s="158"/>
    </row>
    <row r="184" spans="23:35">
      <c r="W184" s="4" t="s">
        <v>585</v>
      </c>
      <c r="X184" s="4" t="s">
        <v>3358</v>
      </c>
      <c r="Y184" s="151" t="str">
        <f t="shared" ref="Y184:Y193" si="19">Y183</f>
        <v>E5180</v>
      </c>
      <c r="Z184" s="4" t="s">
        <v>587</v>
      </c>
      <c r="AA184" s="114" t="s">
        <v>588</v>
      </c>
      <c r="AB184" s="4" t="s">
        <v>506</v>
      </c>
      <c r="AC184" s="4" t="s">
        <v>507</v>
      </c>
      <c r="AD184" s="4" t="s">
        <v>508</v>
      </c>
      <c r="AE184" s="4" t="s">
        <v>509</v>
      </c>
      <c r="AF184" s="4" t="s">
        <v>589</v>
      </c>
      <c r="AG184" s="115">
        <f>+VLOOKUP(Y184,B:O,5,FALSE)/1000</f>
        <v>9.8649272327684695E-2</v>
      </c>
      <c r="AI184" s="158"/>
    </row>
    <row r="185" spans="23:35">
      <c r="W185" s="4" t="s">
        <v>585</v>
      </c>
      <c r="X185" s="4" t="s">
        <v>3359</v>
      </c>
      <c r="Y185" s="151" t="str">
        <f t="shared" si="19"/>
        <v>E5180</v>
      </c>
      <c r="Z185" s="4" t="s">
        <v>587</v>
      </c>
      <c r="AA185" s="114" t="s">
        <v>588</v>
      </c>
      <c r="AB185" s="4" t="s">
        <v>506</v>
      </c>
      <c r="AC185" s="4" t="s">
        <v>507</v>
      </c>
      <c r="AD185" s="4" t="s">
        <v>508</v>
      </c>
      <c r="AE185" s="4" t="s">
        <v>509</v>
      </c>
      <c r="AF185" s="4" t="s">
        <v>589</v>
      </c>
      <c r="AG185" s="115">
        <f>+VLOOKUP(Y185,B:O,6,FALSE)/1000</f>
        <v>9.8649272327684695E-2</v>
      </c>
      <c r="AI185" s="158"/>
    </row>
    <row r="186" spans="23:35">
      <c r="W186" s="4" t="s">
        <v>585</v>
      </c>
      <c r="X186" s="4" t="s">
        <v>3360</v>
      </c>
      <c r="Y186" s="151" t="str">
        <f t="shared" si="19"/>
        <v>E5180</v>
      </c>
      <c r="Z186" s="4" t="s">
        <v>587</v>
      </c>
      <c r="AA186" s="114" t="s">
        <v>588</v>
      </c>
      <c r="AB186" s="4" t="s">
        <v>506</v>
      </c>
      <c r="AC186" s="4" t="s">
        <v>507</v>
      </c>
      <c r="AD186" s="4" t="s">
        <v>508</v>
      </c>
      <c r="AE186" s="4" t="s">
        <v>509</v>
      </c>
      <c r="AF186" s="4" t="s">
        <v>589</v>
      </c>
      <c r="AG186" s="115">
        <f>+VLOOKUP(Y186,B:O,7,FALSE)/1000</f>
        <v>9.8649272327684695E-2</v>
      </c>
      <c r="AI186" s="158"/>
    </row>
    <row r="187" spans="23:35">
      <c r="W187" s="4" t="s">
        <v>585</v>
      </c>
      <c r="X187" s="4" t="s">
        <v>3361</v>
      </c>
      <c r="Y187" s="151" t="str">
        <f t="shared" si="19"/>
        <v>E5180</v>
      </c>
      <c r="Z187" s="4" t="s">
        <v>587</v>
      </c>
      <c r="AA187" s="114" t="s">
        <v>588</v>
      </c>
      <c r="AB187" s="4" t="s">
        <v>506</v>
      </c>
      <c r="AC187" s="4" t="s">
        <v>507</v>
      </c>
      <c r="AD187" s="4" t="s">
        <v>508</v>
      </c>
      <c r="AE187" s="4" t="s">
        <v>509</v>
      </c>
      <c r="AF187" s="4" t="s">
        <v>589</v>
      </c>
      <c r="AG187" s="115">
        <f>+VLOOKUP(Y187,B:O,8,FALSE)/1000</f>
        <v>9.8649272327684695E-2</v>
      </c>
      <c r="AI187" s="158"/>
    </row>
    <row r="188" spans="23:35">
      <c r="W188" s="4" t="s">
        <v>585</v>
      </c>
      <c r="X188" s="4" t="s">
        <v>3362</v>
      </c>
      <c r="Y188" s="151" t="str">
        <f t="shared" si="19"/>
        <v>E5180</v>
      </c>
      <c r="Z188" s="4" t="s">
        <v>587</v>
      </c>
      <c r="AA188" s="114" t="s">
        <v>588</v>
      </c>
      <c r="AB188" s="4" t="s">
        <v>506</v>
      </c>
      <c r="AC188" s="4" t="s">
        <v>507</v>
      </c>
      <c r="AD188" s="4" t="s">
        <v>508</v>
      </c>
      <c r="AE188" s="4" t="s">
        <v>509</v>
      </c>
      <c r="AF188" s="4" t="s">
        <v>589</v>
      </c>
      <c r="AG188" s="115">
        <f>+VLOOKUP(Y188,B:O,9,FALSE)/1000</f>
        <v>9.8649272327684695E-2</v>
      </c>
      <c r="AI188" s="158"/>
    </row>
    <row r="189" spans="23:35">
      <c r="W189" s="4" t="s">
        <v>585</v>
      </c>
      <c r="X189" s="4" t="s">
        <v>3363</v>
      </c>
      <c r="Y189" s="151" t="str">
        <f t="shared" si="19"/>
        <v>E5180</v>
      </c>
      <c r="Z189" s="4" t="s">
        <v>587</v>
      </c>
      <c r="AA189" s="114" t="s">
        <v>588</v>
      </c>
      <c r="AB189" s="4" t="s">
        <v>506</v>
      </c>
      <c r="AC189" s="4" t="s">
        <v>507</v>
      </c>
      <c r="AD189" s="4" t="s">
        <v>508</v>
      </c>
      <c r="AE189" s="4" t="s">
        <v>509</v>
      </c>
      <c r="AF189" s="4" t="s">
        <v>589</v>
      </c>
      <c r="AG189" s="115">
        <f>+VLOOKUP(Y189,B:O,10,FALSE)/1000</f>
        <v>9.8649272327684695E-2</v>
      </c>
      <c r="AI189" s="158"/>
    </row>
    <row r="190" spans="23:35">
      <c r="W190" s="4" t="s">
        <v>585</v>
      </c>
      <c r="X190" s="4" t="s">
        <v>3364</v>
      </c>
      <c r="Y190" s="151" t="str">
        <f t="shared" si="19"/>
        <v>E5180</v>
      </c>
      <c r="Z190" s="4" t="s">
        <v>587</v>
      </c>
      <c r="AA190" s="114" t="s">
        <v>588</v>
      </c>
      <c r="AB190" s="4" t="s">
        <v>506</v>
      </c>
      <c r="AC190" s="4" t="s">
        <v>507</v>
      </c>
      <c r="AD190" s="4" t="s">
        <v>508</v>
      </c>
      <c r="AE190" s="4" t="s">
        <v>509</v>
      </c>
      <c r="AF190" s="4" t="s">
        <v>589</v>
      </c>
      <c r="AG190" s="115">
        <f>+VLOOKUP(Y190,B:O,11,FALSE)/1000</f>
        <v>9.8649272327684695E-2</v>
      </c>
      <c r="AI190" s="158"/>
    </row>
    <row r="191" spans="23:35">
      <c r="W191" s="4" t="s">
        <v>585</v>
      </c>
      <c r="X191" s="4" t="s">
        <v>3365</v>
      </c>
      <c r="Y191" s="151" t="str">
        <f t="shared" si="19"/>
        <v>E5180</v>
      </c>
      <c r="Z191" s="4" t="s">
        <v>587</v>
      </c>
      <c r="AA191" s="114" t="s">
        <v>588</v>
      </c>
      <c r="AB191" s="4" t="s">
        <v>506</v>
      </c>
      <c r="AC191" s="4" t="s">
        <v>507</v>
      </c>
      <c r="AD191" s="4" t="s">
        <v>508</v>
      </c>
      <c r="AE191" s="4" t="s">
        <v>509</v>
      </c>
      <c r="AF191" s="4" t="s">
        <v>589</v>
      </c>
      <c r="AG191" s="115">
        <f>+VLOOKUP(Y191,B:O,12,FALSE)/1000</f>
        <v>9.8649272327684695E-2</v>
      </c>
      <c r="AI191" s="158"/>
    </row>
    <row r="192" spans="23:35">
      <c r="W192" s="4" t="s">
        <v>585</v>
      </c>
      <c r="X192" s="4" t="s">
        <v>3366</v>
      </c>
      <c r="Y192" s="151" t="str">
        <f t="shared" si="19"/>
        <v>E5180</v>
      </c>
      <c r="Z192" s="4" t="s">
        <v>587</v>
      </c>
      <c r="AA192" s="114" t="s">
        <v>588</v>
      </c>
      <c r="AB192" s="4" t="s">
        <v>506</v>
      </c>
      <c r="AC192" s="4" t="s">
        <v>507</v>
      </c>
      <c r="AD192" s="4" t="s">
        <v>508</v>
      </c>
      <c r="AE192" s="4" t="s">
        <v>509</v>
      </c>
      <c r="AF192" s="4" t="s">
        <v>589</v>
      </c>
      <c r="AG192" s="115">
        <f>+VLOOKUP(Y192,B:O,13,FALSE)/1000</f>
        <v>0.10091820559122146</v>
      </c>
      <c r="AI192" s="158"/>
    </row>
    <row r="193" spans="23:35">
      <c r="W193" s="4" t="s">
        <v>585</v>
      </c>
      <c r="X193" s="4" t="s">
        <v>3367</v>
      </c>
      <c r="Y193" s="151" t="str">
        <f t="shared" si="19"/>
        <v>E5180</v>
      </c>
      <c r="Z193" s="4" t="s">
        <v>587</v>
      </c>
      <c r="AA193" s="114" t="s">
        <v>588</v>
      </c>
      <c r="AB193" s="4" t="s">
        <v>506</v>
      </c>
      <c r="AC193" s="4" t="s">
        <v>507</v>
      </c>
      <c r="AD193" s="4" t="s">
        <v>508</v>
      </c>
      <c r="AE193" s="4" t="s">
        <v>509</v>
      </c>
      <c r="AF193" s="4" t="s">
        <v>589</v>
      </c>
      <c r="AG193" s="115">
        <f>+VLOOKUP(Y193,B:O,14,FALSE)/1000</f>
        <v>0.10091820559122146</v>
      </c>
      <c r="AI193" s="158"/>
    </row>
    <row r="194" spans="23:35">
      <c r="W194" s="4" t="s">
        <v>585</v>
      </c>
      <c r="X194" s="3" t="s">
        <v>3356</v>
      </c>
      <c r="Y194" s="150" t="str">
        <f>INDEX($B$3:$O$110,21,1)</f>
        <v>E5210</v>
      </c>
      <c r="Z194" s="4" t="s">
        <v>587</v>
      </c>
      <c r="AA194" s="114" t="s">
        <v>588</v>
      </c>
      <c r="AB194" s="4" t="s">
        <v>506</v>
      </c>
      <c r="AC194" s="4" t="s">
        <v>507</v>
      </c>
      <c r="AD194" s="4" t="s">
        <v>508</v>
      </c>
      <c r="AE194" s="4" t="s">
        <v>509</v>
      </c>
      <c r="AF194" s="4" t="s">
        <v>589</v>
      </c>
      <c r="AG194" s="115">
        <f>+VLOOKUP(Y194,B:O,3,FALSE)/1000</f>
        <v>9.528217677464787E-2</v>
      </c>
      <c r="AI194" s="158"/>
    </row>
    <row r="195" spans="23:35">
      <c r="W195" s="4" t="s">
        <v>585</v>
      </c>
      <c r="X195" s="4" t="s">
        <v>3357</v>
      </c>
      <c r="Y195" s="151" t="str">
        <f>Y194</f>
        <v>E5210</v>
      </c>
      <c r="Z195" s="4" t="s">
        <v>587</v>
      </c>
      <c r="AA195" s="114" t="s">
        <v>588</v>
      </c>
      <c r="AB195" s="4" t="s">
        <v>506</v>
      </c>
      <c r="AC195" s="4" t="s">
        <v>507</v>
      </c>
      <c r="AD195" s="4" t="s">
        <v>508</v>
      </c>
      <c r="AE195" s="4" t="s">
        <v>509</v>
      </c>
      <c r="AF195" s="4" t="s">
        <v>589</v>
      </c>
      <c r="AG195" s="115">
        <f>+VLOOKUP(Y195,B:O,4,FALSE)/1000</f>
        <v>9.528217677464787E-2</v>
      </c>
      <c r="AI195" s="158"/>
    </row>
    <row r="196" spans="23:35">
      <c r="W196" s="4" t="s">
        <v>585</v>
      </c>
      <c r="X196" s="4" t="s">
        <v>3358</v>
      </c>
      <c r="Y196" s="151" t="str">
        <f t="shared" ref="Y196:Y205" si="20">Y195</f>
        <v>E5210</v>
      </c>
      <c r="Z196" s="4" t="s">
        <v>587</v>
      </c>
      <c r="AA196" s="114" t="s">
        <v>588</v>
      </c>
      <c r="AB196" s="4" t="s">
        <v>506</v>
      </c>
      <c r="AC196" s="4" t="s">
        <v>507</v>
      </c>
      <c r="AD196" s="4" t="s">
        <v>508</v>
      </c>
      <c r="AE196" s="4" t="s">
        <v>509</v>
      </c>
      <c r="AF196" s="4" t="s">
        <v>589</v>
      </c>
      <c r="AG196" s="115">
        <f>+VLOOKUP(Y196,B:O,5,FALSE)/1000</f>
        <v>9.528217677464787E-2</v>
      </c>
      <c r="AI196" s="158"/>
    </row>
    <row r="197" spans="23:35">
      <c r="W197" s="4" t="s">
        <v>585</v>
      </c>
      <c r="X197" s="4" t="s">
        <v>3359</v>
      </c>
      <c r="Y197" s="151" t="str">
        <f t="shared" si="20"/>
        <v>E5210</v>
      </c>
      <c r="Z197" s="4" t="s">
        <v>587</v>
      </c>
      <c r="AA197" s="114" t="s">
        <v>588</v>
      </c>
      <c r="AB197" s="4" t="s">
        <v>506</v>
      </c>
      <c r="AC197" s="4" t="s">
        <v>507</v>
      </c>
      <c r="AD197" s="4" t="s">
        <v>508</v>
      </c>
      <c r="AE197" s="4" t="s">
        <v>509</v>
      </c>
      <c r="AF197" s="4" t="s">
        <v>589</v>
      </c>
      <c r="AG197" s="115">
        <f>+VLOOKUP(Y197,B:O,6,FALSE)/1000</f>
        <v>9.528217677464787E-2</v>
      </c>
      <c r="AI197" s="158"/>
    </row>
    <row r="198" spans="23:35">
      <c r="W198" s="4" t="s">
        <v>585</v>
      </c>
      <c r="X198" s="4" t="s">
        <v>3360</v>
      </c>
      <c r="Y198" s="151" t="str">
        <f t="shared" si="20"/>
        <v>E5210</v>
      </c>
      <c r="Z198" s="4" t="s">
        <v>587</v>
      </c>
      <c r="AA198" s="114" t="s">
        <v>588</v>
      </c>
      <c r="AB198" s="4" t="s">
        <v>506</v>
      </c>
      <c r="AC198" s="4" t="s">
        <v>507</v>
      </c>
      <c r="AD198" s="4" t="s">
        <v>508</v>
      </c>
      <c r="AE198" s="4" t="s">
        <v>509</v>
      </c>
      <c r="AF198" s="4" t="s">
        <v>589</v>
      </c>
      <c r="AG198" s="115">
        <f>+VLOOKUP(Y198,B:O,7,FALSE)/1000</f>
        <v>9.528217677464787E-2</v>
      </c>
      <c r="AI198" s="158"/>
    </row>
    <row r="199" spans="23:35">
      <c r="W199" s="4" t="s">
        <v>585</v>
      </c>
      <c r="X199" s="4" t="s">
        <v>3361</v>
      </c>
      <c r="Y199" s="151" t="str">
        <f t="shared" si="20"/>
        <v>E5210</v>
      </c>
      <c r="Z199" s="4" t="s">
        <v>587</v>
      </c>
      <c r="AA199" s="114" t="s">
        <v>588</v>
      </c>
      <c r="AB199" s="4" t="s">
        <v>506</v>
      </c>
      <c r="AC199" s="4" t="s">
        <v>507</v>
      </c>
      <c r="AD199" s="4" t="s">
        <v>508</v>
      </c>
      <c r="AE199" s="4" t="s">
        <v>509</v>
      </c>
      <c r="AF199" s="4" t="s">
        <v>589</v>
      </c>
      <c r="AG199" s="115">
        <f>+VLOOKUP(Y199,B:O,8,FALSE)/1000</f>
        <v>9.528217677464787E-2</v>
      </c>
      <c r="AI199" s="158"/>
    </row>
    <row r="200" spans="23:35">
      <c r="W200" s="4" t="s">
        <v>585</v>
      </c>
      <c r="X200" s="4" t="s">
        <v>3362</v>
      </c>
      <c r="Y200" s="151" t="str">
        <f t="shared" si="20"/>
        <v>E5210</v>
      </c>
      <c r="Z200" s="4" t="s">
        <v>587</v>
      </c>
      <c r="AA200" s="114" t="s">
        <v>588</v>
      </c>
      <c r="AB200" s="4" t="s">
        <v>506</v>
      </c>
      <c r="AC200" s="4" t="s">
        <v>507</v>
      </c>
      <c r="AD200" s="4" t="s">
        <v>508</v>
      </c>
      <c r="AE200" s="4" t="s">
        <v>509</v>
      </c>
      <c r="AF200" s="4" t="s">
        <v>589</v>
      </c>
      <c r="AG200" s="115">
        <f>+VLOOKUP(Y200,B:O,9,FALSE)/1000</f>
        <v>9.528217677464787E-2</v>
      </c>
      <c r="AI200" s="158"/>
    </row>
    <row r="201" spans="23:35">
      <c r="W201" s="4" t="s">
        <v>585</v>
      </c>
      <c r="X201" s="4" t="s">
        <v>3363</v>
      </c>
      <c r="Y201" s="151" t="str">
        <f t="shared" si="20"/>
        <v>E5210</v>
      </c>
      <c r="Z201" s="4" t="s">
        <v>587</v>
      </c>
      <c r="AA201" s="114" t="s">
        <v>588</v>
      </c>
      <c r="AB201" s="4" t="s">
        <v>506</v>
      </c>
      <c r="AC201" s="4" t="s">
        <v>507</v>
      </c>
      <c r="AD201" s="4" t="s">
        <v>508</v>
      </c>
      <c r="AE201" s="4" t="s">
        <v>509</v>
      </c>
      <c r="AF201" s="4" t="s">
        <v>589</v>
      </c>
      <c r="AG201" s="115">
        <f>+VLOOKUP(Y201,B:O,10,FALSE)/1000</f>
        <v>9.528217677464787E-2</v>
      </c>
      <c r="AI201" s="158"/>
    </row>
    <row r="202" spans="23:35">
      <c r="W202" s="4" t="s">
        <v>585</v>
      </c>
      <c r="X202" s="4" t="s">
        <v>3364</v>
      </c>
      <c r="Y202" s="151" t="str">
        <f t="shared" si="20"/>
        <v>E5210</v>
      </c>
      <c r="Z202" s="4" t="s">
        <v>587</v>
      </c>
      <c r="AA202" s="114" t="s">
        <v>588</v>
      </c>
      <c r="AB202" s="4" t="s">
        <v>506</v>
      </c>
      <c r="AC202" s="4" t="s">
        <v>507</v>
      </c>
      <c r="AD202" s="4" t="s">
        <v>508</v>
      </c>
      <c r="AE202" s="4" t="s">
        <v>509</v>
      </c>
      <c r="AF202" s="4" t="s">
        <v>589</v>
      </c>
      <c r="AG202" s="115">
        <f>+VLOOKUP(Y202,B:O,11,FALSE)/1000</f>
        <v>9.528217677464787E-2</v>
      </c>
      <c r="AI202" s="158"/>
    </row>
    <row r="203" spans="23:35">
      <c r="W203" s="4" t="s">
        <v>585</v>
      </c>
      <c r="X203" s="4" t="s">
        <v>3365</v>
      </c>
      <c r="Y203" s="151" t="str">
        <f t="shared" si="20"/>
        <v>E5210</v>
      </c>
      <c r="Z203" s="4" t="s">
        <v>587</v>
      </c>
      <c r="AA203" s="114" t="s">
        <v>588</v>
      </c>
      <c r="AB203" s="4" t="s">
        <v>506</v>
      </c>
      <c r="AC203" s="4" t="s">
        <v>507</v>
      </c>
      <c r="AD203" s="4" t="s">
        <v>508</v>
      </c>
      <c r="AE203" s="4" t="s">
        <v>509</v>
      </c>
      <c r="AF203" s="4" t="s">
        <v>589</v>
      </c>
      <c r="AG203" s="115">
        <f>+VLOOKUP(Y203,B:O,12,FALSE)/1000</f>
        <v>9.528217677464787E-2</v>
      </c>
      <c r="AI203" s="158"/>
    </row>
    <row r="204" spans="23:35">
      <c r="W204" s="4" t="s">
        <v>585</v>
      </c>
      <c r="X204" s="4" t="s">
        <v>3366</v>
      </c>
      <c r="Y204" s="151" t="str">
        <f t="shared" si="20"/>
        <v>E5210</v>
      </c>
      <c r="Z204" s="4" t="s">
        <v>587</v>
      </c>
      <c r="AA204" s="114" t="s">
        <v>588</v>
      </c>
      <c r="AB204" s="4" t="s">
        <v>506</v>
      </c>
      <c r="AC204" s="4" t="s">
        <v>507</v>
      </c>
      <c r="AD204" s="4" t="s">
        <v>508</v>
      </c>
      <c r="AE204" s="4" t="s">
        <v>509</v>
      </c>
      <c r="AF204" s="4" t="s">
        <v>589</v>
      </c>
      <c r="AG204" s="115">
        <f>+VLOOKUP(Y204,B:O,13,FALSE)/1000</f>
        <v>9.7473666840464768E-2</v>
      </c>
      <c r="AI204" s="158"/>
    </row>
    <row r="205" spans="23:35">
      <c r="W205" s="4" t="s">
        <v>585</v>
      </c>
      <c r="X205" s="4" t="s">
        <v>3367</v>
      </c>
      <c r="Y205" s="151" t="str">
        <f t="shared" si="20"/>
        <v>E5210</v>
      </c>
      <c r="Z205" s="4" t="s">
        <v>587</v>
      </c>
      <c r="AA205" s="114" t="s">
        <v>588</v>
      </c>
      <c r="AB205" s="4" t="s">
        <v>506</v>
      </c>
      <c r="AC205" s="4" t="s">
        <v>507</v>
      </c>
      <c r="AD205" s="4" t="s">
        <v>508</v>
      </c>
      <c r="AE205" s="4" t="s">
        <v>509</v>
      </c>
      <c r="AF205" s="4" t="s">
        <v>589</v>
      </c>
      <c r="AG205" s="115">
        <f>+VLOOKUP(Y205,B:O,14,FALSE)/1000</f>
        <v>9.7473666840464768E-2</v>
      </c>
      <c r="AI205" s="158"/>
    </row>
    <row r="206" spans="23:35">
      <c r="W206" s="4" t="s">
        <v>585</v>
      </c>
      <c r="X206" s="3" t="s">
        <v>3356</v>
      </c>
      <c r="Y206" s="150" t="str">
        <f>INDEX($B$3:$O$110,22,1)</f>
        <v>E5250</v>
      </c>
      <c r="Z206" s="4" t="s">
        <v>587</v>
      </c>
      <c r="AA206" s="114" t="s">
        <v>588</v>
      </c>
      <c r="AB206" s="4" t="s">
        <v>506</v>
      </c>
      <c r="AC206" s="4" t="s">
        <v>507</v>
      </c>
      <c r="AD206" s="4" t="s">
        <v>508</v>
      </c>
      <c r="AE206" s="4" t="s">
        <v>509</v>
      </c>
      <c r="AF206" s="4" t="s">
        <v>589</v>
      </c>
      <c r="AG206" s="115">
        <f>+VLOOKUP(Y206,B:O,3,FALSE)/1000</f>
        <v>0.34845426177351568</v>
      </c>
      <c r="AH206" s="4"/>
      <c r="AI206" s="158"/>
    </row>
    <row r="207" spans="23:35">
      <c r="W207" s="4" t="s">
        <v>585</v>
      </c>
      <c r="X207" s="4" t="s">
        <v>3357</v>
      </c>
      <c r="Y207" s="151" t="str">
        <f>Y206</f>
        <v>E5250</v>
      </c>
      <c r="Z207" s="4" t="s">
        <v>587</v>
      </c>
      <c r="AA207" s="114" t="s">
        <v>588</v>
      </c>
      <c r="AB207" s="4" t="s">
        <v>506</v>
      </c>
      <c r="AC207" s="4" t="s">
        <v>507</v>
      </c>
      <c r="AD207" s="4" t="s">
        <v>508</v>
      </c>
      <c r="AE207" s="4" t="s">
        <v>509</v>
      </c>
      <c r="AF207" s="4" t="s">
        <v>589</v>
      </c>
      <c r="AG207" s="115">
        <f>+VLOOKUP(Y207,B:O,4,FALSE)/1000</f>
        <v>0.34845426177351568</v>
      </c>
      <c r="AI207" s="158"/>
    </row>
    <row r="208" spans="23:35">
      <c r="W208" s="4" t="s">
        <v>585</v>
      </c>
      <c r="X208" s="4" t="s">
        <v>3358</v>
      </c>
      <c r="Y208" s="151" t="str">
        <f t="shared" ref="Y208:Y217" si="21">Y207</f>
        <v>E5250</v>
      </c>
      <c r="Z208" s="4" t="s">
        <v>587</v>
      </c>
      <c r="AA208" s="114" t="s">
        <v>588</v>
      </c>
      <c r="AB208" s="4" t="s">
        <v>506</v>
      </c>
      <c r="AC208" s="4" t="s">
        <v>507</v>
      </c>
      <c r="AD208" s="4" t="s">
        <v>508</v>
      </c>
      <c r="AE208" s="4" t="s">
        <v>509</v>
      </c>
      <c r="AF208" s="4" t="s">
        <v>589</v>
      </c>
      <c r="AG208" s="115">
        <f>+VLOOKUP(Y208,B:O,5,FALSE)/1000</f>
        <v>0.34845426177351568</v>
      </c>
      <c r="AI208" s="158"/>
    </row>
    <row r="209" spans="23:35">
      <c r="W209" s="4" t="s">
        <v>585</v>
      </c>
      <c r="X209" s="4" t="s">
        <v>3359</v>
      </c>
      <c r="Y209" s="151" t="str">
        <f t="shared" si="21"/>
        <v>E5250</v>
      </c>
      <c r="Z209" s="4" t="s">
        <v>587</v>
      </c>
      <c r="AA209" s="114" t="s">
        <v>588</v>
      </c>
      <c r="AB209" s="4" t="s">
        <v>506</v>
      </c>
      <c r="AC209" s="4" t="s">
        <v>507</v>
      </c>
      <c r="AD209" s="4" t="s">
        <v>508</v>
      </c>
      <c r="AE209" s="4" t="s">
        <v>509</v>
      </c>
      <c r="AF209" s="4" t="s">
        <v>589</v>
      </c>
      <c r="AG209" s="115">
        <f>+VLOOKUP(Y209,B:O,6,FALSE)/1000</f>
        <v>0.34845426177351568</v>
      </c>
      <c r="AI209" s="158"/>
    </row>
    <row r="210" spans="23:35">
      <c r="W210" s="4" t="s">
        <v>585</v>
      </c>
      <c r="X210" s="4" t="s">
        <v>3360</v>
      </c>
      <c r="Y210" s="151" t="str">
        <f t="shared" si="21"/>
        <v>E5250</v>
      </c>
      <c r="Z210" s="4" t="s">
        <v>587</v>
      </c>
      <c r="AA210" s="114" t="s">
        <v>588</v>
      </c>
      <c r="AB210" s="4" t="s">
        <v>506</v>
      </c>
      <c r="AC210" s="4" t="s">
        <v>507</v>
      </c>
      <c r="AD210" s="4" t="s">
        <v>508</v>
      </c>
      <c r="AE210" s="4" t="s">
        <v>509</v>
      </c>
      <c r="AF210" s="4" t="s">
        <v>589</v>
      </c>
      <c r="AG210" s="115">
        <f>+VLOOKUP(Y210,B:O,7,FALSE)/1000</f>
        <v>0.34845426177351568</v>
      </c>
      <c r="AI210" s="158"/>
    </row>
    <row r="211" spans="23:35">
      <c r="W211" s="4" t="s">
        <v>585</v>
      </c>
      <c r="X211" s="4" t="s">
        <v>3361</v>
      </c>
      <c r="Y211" s="151" t="str">
        <f t="shared" si="21"/>
        <v>E5250</v>
      </c>
      <c r="Z211" s="4" t="s">
        <v>587</v>
      </c>
      <c r="AA211" s="114" t="s">
        <v>588</v>
      </c>
      <c r="AB211" s="4" t="s">
        <v>506</v>
      </c>
      <c r="AC211" s="4" t="s">
        <v>507</v>
      </c>
      <c r="AD211" s="4" t="s">
        <v>508</v>
      </c>
      <c r="AE211" s="4" t="s">
        <v>509</v>
      </c>
      <c r="AF211" s="4" t="s">
        <v>589</v>
      </c>
      <c r="AG211" s="115">
        <f>+VLOOKUP(Y211,B:O,8,FALSE)/1000</f>
        <v>0.34845426177351568</v>
      </c>
      <c r="AI211" s="158"/>
    </row>
    <row r="212" spans="23:35">
      <c r="W212" s="4" t="s">
        <v>585</v>
      </c>
      <c r="X212" s="4" t="s">
        <v>3362</v>
      </c>
      <c r="Y212" s="151" t="str">
        <f t="shared" si="21"/>
        <v>E5250</v>
      </c>
      <c r="Z212" s="4" t="s">
        <v>587</v>
      </c>
      <c r="AA212" s="114" t="s">
        <v>588</v>
      </c>
      <c r="AB212" s="4" t="s">
        <v>506</v>
      </c>
      <c r="AC212" s="4" t="s">
        <v>507</v>
      </c>
      <c r="AD212" s="4" t="s">
        <v>508</v>
      </c>
      <c r="AE212" s="4" t="s">
        <v>509</v>
      </c>
      <c r="AF212" s="4" t="s">
        <v>589</v>
      </c>
      <c r="AG212" s="115">
        <f>+VLOOKUP(Y212,B:O,9,FALSE)/1000</f>
        <v>0.34845426177351568</v>
      </c>
      <c r="AI212" s="158"/>
    </row>
    <row r="213" spans="23:35">
      <c r="W213" s="4" t="s">
        <v>585</v>
      </c>
      <c r="X213" s="4" t="s">
        <v>3363</v>
      </c>
      <c r="Y213" s="151" t="str">
        <f t="shared" si="21"/>
        <v>E5250</v>
      </c>
      <c r="Z213" s="4" t="s">
        <v>587</v>
      </c>
      <c r="AA213" s="114" t="s">
        <v>588</v>
      </c>
      <c r="AB213" s="4" t="s">
        <v>506</v>
      </c>
      <c r="AC213" s="4" t="s">
        <v>507</v>
      </c>
      <c r="AD213" s="4" t="s">
        <v>508</v>
      </c>
      <c r="AE213" s="4" t="s">
        <v>509</v>
      </c>
      <c r="AF213" s="4" t="s">
        <v>589</v>
      </c>
      <c r="AG213" s="115">
        <f>+VLOOKUP(Y213,B:O,10,FALSE)/1000</f>
        <v>0.34845426177351568</v>
      </c>
      <c r="AI213" s="158"/>
    </row>
    <row r="214" spans="23:35">
      <c r="W214" s="4" t="s">
        <v>585</v>
      </c>
      <c r="X214" s="4" t="s">
        <v>3364</v>
      </c>
      <c r="Y214" s="151" t="str">
        <f t="shared" si="21"/>
        <v>E5250</v>
      </c>
      <c r="Z214" s="4" t="s">
        <v>587</v>
      </c>
      <c r="AA214" s="114" t="s">
        <v>588</v>
      </c>
      <c r="AB214" s="4" t="s">
        <v>506</v>
      </c>
      <c r="AC214" s="4" t="s">
        <v>507</v>
      </c>
      <c r="AD214" s="4" t="s">
        <v>508</v>
      </c>
      <c r="AE214" s="4" t="s">
        <v>509</v>
      </c>
      <c r="AF214" s="4" t="s">
        <v>589</v>
      </c>
      <c r="AG214" s="115">
        <f>+VLOOKUP(Y214,B:O,11,FALSE)/1000</f>
        <v>0.34845426177351568</v>
      </c>
      <c r="AI214" s="158"/>
    </row>
    <row r="215" spans="23:35">
      <c r="W215" s="4" t="s">
        <v>585</v>
      </c>
      <c r="X215" s="4" t="s">
        <v>3365</v>
      </c>
      <c r="Y215" s="151" t="str">
        <f t="shared" si="21"/>
        <v>E5250</v>
      </c>
      <c r="Z215" s="4" t="s">
        <v>587</v>
      </c>
      <c r="AA215" s="114" t="s">
        <v>588</v>
      </c>
      <c r="AB215" s="4" t="s">
        <v>506</v>
      </c>
      <c r="AC215" s="4" t="s">
        <v>507</v>
      </c>
      <c r="AD215" s="4" t="s">
        <v>508</v>
      </c>
      <c r="AE215" s="4" t="s">
        <v>509</v>
      </c>
      <c r="AF215" s="4" t="s">
        <v>589</v>
      </c>
      <c r="AG215" s="115">
        <f>+VLOOKUP(Y215,B:O,12,FALSE)/1000</f>
        <v>0.34845426177351568</v>
      </c>
      <c r="AI215" s="158"/>
    </row>
    <row r="216" spans="23:35">
      <c r="W216" s="4" t="s">
        <v>585</v>
      </c>
      <c r="X216" s="4" t="s">
        <v>3366</v>
      </c>
      <c r="Y216" s="151" t="str">
        <f t="shared" si="21"/>
        <v>E5250</v>
      </c>
      <c r="Z216" s="4" t="s">
        <v>587</v>
      </c>
      <c r="AA216" s="114" t="s">
        <v>588</v>
      </c>
      <c r="AB216" s="4" t="s">
        <v>506</v>
      </c>
      <c r="AC216" s="4" t="s">
        <v>507</v>
      </c>
      <c r="AD216" s="4" t="s">
        <v>508</v>
      </c>
      <c r="AE216" s="4" t="s">
        <v>509</v>
      </c>
      <c r="AF216" s="4" t="s">
        <v>589</v>
      </c>
      <c r="AG216" s="115">
        <f>+VLOOKUP(Y216,B:O,13,FALSE)/1000</f>
        <v>0.3564687097943065</v>
      </c>
      <c r="AI216" s="158"/>
    </row>
    <row r="217" spans="23:35">
      <c r="W217" s="4" t="s">
        <v>585</v>
      </c>
      <c r="X217" s="4" t="s">
        <v>3367</v>
      </c>
      <c r="Y217" s="151" t="str">
        <f t="shared" si="21"/>
        <v>E5250</v>
      </c>
      <c r="Z217" s="4" t="s">
        <v>587</v>
      </c>
      <c r="AA217" s="114" t="s">
        <v>588</v>
      </c>
      <c r="AB217" s="4" t="s">
        <v>506</v>
      </c>
      <c r="AC217" s="4" t="s">
        <v>507</v>
      </c>
      <c r="AD217" s="4" t="s">
        <v>508</v>
      </c>
      <c r="AE217" s="4" t="s">
        <v>509</v>
      </c>
      <c r="AF217" s="4" t="s">
        <v>589</v>
      </c>
      <c r="AG217" s="115">
        <f>+VLOOKUP(Y217,B:O,14,FALSE)/1000</f>
        <v>0.3564687097943065</v>
      </c>
      <c r="AI217" s="158"/>
    </row>
    <row r="218" spans="23:35">
      <c r="W218" s="4" t="s">
        <v>585</v>
      </c>
      <c r="X218" s="3" t="s">
        <v>3356</v>
      </c>
      <c r="Y218" s="150" t="str">
        <f>INDEX($B$3:$O$110,25,1)</f>
        <v>E5270</v>
      </c>
      <c r="Z218" s="4" t="s">
        <v>587</v>
      </c>
      <c r="AA218" s="114" t="s">
        <v>588</v>
      </c>
      <c r="AB218" s="4" t="s">
        <v>506</v>
      </c>
      <c r="AC218" s="4" t="s">
        <v>507</v>
      </c>
      <c r="AD218" s="4" t="s">
        <v>508</v>
      </c>
      <c r="AE218" s="4" t="s">
        <v>509</v>
      </c>
      <c r="AF218" s="4" t="s">
        <v>589</v>
      </c>
      <c r="AG218" s="115">
        <v>9.1639999999999999E-2</v>
      </c>
      <c r="AH218" s="4"/>
      <c r="AI218" s="158"/>
    </row>
    <row r="219" spans="23:35">
      <c r="W219" s="4" t="s">
        <v>585</v>
      </c>
      <c r="X219" s="4" t="s">
        <v>3357</v>
      </c>
      <c r="Y219" s="151" t="str">
        <f>Y218</f>
        <v>E5270</v>
      </c>
      <c r="Z219" s="4" t="s">
        <v>587</v>
      </c>
      <c r="AA219" s="114" t="s">
        <v>588</v>
      </c>
      <c r="AB219" s="4" t="s">
        <v>506</v>
      </c>
      <c r="AC219" s="4" t="s">
        <v>507</v>
      </c>
      <c r="AD219" s="4" t="s">
        <v>508</v>
      </c>
      <c r="AE219" s="4" t="s">
        <v>509</v>
      </c>
      <c r="AF219" s="4" t="s">
        <v>589</v>
      </c>
      <c r="AG219" s="115">
        <v>9.1639999999999999E-2</v>
      </c>
      <c r="AH219" s="4"/>
      <c r="AI219" s="158"/>
    </row>
    <row r="220" spans="23:35">
      <c r="W220" s="4" t="s">
        <v>585</v>
      </c>
      <c r="X220" s="4" t="s">
        <v>3358</v>
      </c>
      <c r="Y220" s="151" t="str">
        <f t="shared" ref="Y220:Y229" si="22">Y219</f>
        <v>E5270</v>
      </c>
      <c r="Z220" s="4" t="s">
        <v>587</v>
      </c>
      <c r="AA220" s="114" t="s">
        <v>588</v>
      </c>
      <c r="AB220" s="4" t="s">
        <v>506</v>
      </c>
      <c r="AC220" s="4" t="s">
        <v>507</v>
      </c>
      <c r="AD220" s="4" t="s">
        <v>508</v>
      </c>
      <c r="AE220" s="4" t="s">
        <v>509</v>
      </c>
      <c r="AF220" s="4" t="s">
        <v>589</v>
      </c>
      <c r="AG220" s="115">
        <v>9.1639999999999999E-2</v>
      </c>
      <c r="AH220" s="4"/>
      <c r="AI220" s="158"/>
    </row>
    <row r="221" spans="23:35">
      <c r="W221" s="4" t="s">
        <v>585</v>
      </c>
      <c r="X221" s="4" t="s">
        <v>3359</v>
      </c>
      <c r="Y221" s="151" t="str">
        <f t="shared" si="22"/>
        <v>E5270</v>
      </c>
      <c r="Z221" s="4" t="s">
        <v>587</v>
      </c>
      <c r="AA221" s="114" t="s">
        <v>588</v>
      </c>
      <c r="AB221" s="4" t="s">
        <v>506</v>
      </c>
      <c r="AC221" s="4" t="s">
        <v>507</v>
      </c>
      <c r="AD221" s="4" t="s">
        <v>508</v>
      </c>
      <c r="AE221" s="4" t="s">
        <v>509</v>
      </c>
      <c r="AF221" s="4" t="s">
        <v>589</v>
      </c>
      <c r="AG221" s="115">
        <v>9.1639999999999999E-2</v>
      </c>
      <c r="AH221" s="4"/>
      <c r="AI221" s="158"/>
    </row>
    <row r="222" spans="23:35">
      <c r="W222" s="4" t="s">
        <v>585</v>
      </c>
      <c r="X222" s="4" t="s">
        <v>3360</v>
      </c>
      <c r="Y222" s="151" t="str">
        <f t="shared" si="22"/>
        <v>E5270</v>
      </c>
      <c r="Z222" s="4" t="s">
        <v>587</v>
      </c>
      <c r="AA222" s="114" t="s">
        <v>588</v>
      </c>
      <c r="AB222" s="4" t="s">
        <v>506</v>
      </c>
      <c r="AC222" s="4" t="s">
        <v>507</v>
      </c>
      <c r="AD222" s="4" t="s">
        <v>508</v>
      </c>
      <c r="AE222" s="4" t="s">
        <v>509</v>
      </c>
      <c r="AF222" s="4" t="s">
        <v>589</v>
      </c>
      <c r="AG222" s="115">
        <v>9.1639999999999999E-2</v>
      </c>
      <c r="AH222" s="4"/>
      <c r="AI222" s="158"/>
    </row>
    <row r="223" spans="23:35">
      <c r="W223" s="4" t="s">
        <v>585</v>
      </c>
      <c r="X223" s="4" t="s">
        <v>3361</v>
      </c>
      <c r="Y223" s="151" t="str">
        <f t="shared" si="22"/>
        <v>E5270</v>
      </c>
      <c r="Z223" s="4" t="s">
        <v>587</v>
      </c>
      <c r="AA223" s="114" t="s">
        <v>588</v>
      </c>
      <c r="AB223" s="4" t="s">
        <v>506</v>
      </c>
      <c r="AC223" s="4" t="s">
        <v>507</v>
      </c>
      <c r="AD223" s="4" t="s">
        <v>508</v>
      </c>
      <c r="AE223" s="4" t="s">
        <v>509</v>
      </c>
      <c r="AF223" s="4" t="s">
        <v>589</v>
      </c>
      <c r="AG223" s="115">
        <v>9.1639999999999999E-2</v>
      </c>
      <c r="AH223" s="4"/>
      <c r="AI223" s="158"/>
    </row>
    <row r="224" spans="23:35">
      <c r="W224" s="4" t="s">
        <v>585</v>
      </c>
      <c r="X224" s="4" t="s">
        <v>3362</v>
      </c>
      <c r="Y224" s="151" t="str">
        <f t="shared" si="22"/>
        <v>E5270</v>
      </c>
      <c r="Z224" s="4" t="s">
        <v>587</v>
      </c>
      <c r="AA224" s="114" t="s">
        <v>588</v>
      </c>
      <c r="AB224" s="4" t="s">
        <v>506</v>
      </c>
      <c r="AC224" s="4" t="s">
        <v>507</v>
      </c>
      <c r="AD224" s="4" t="s">
        <v>508</v>
      </c>
      <c r="AE224" s="4" t="s">
        <v>509</v>
      </c>
      <c r="AF224" s="4" t="s">
        <v>589</v>
      </c>
      <c r="AG224" s="115">
        <v>9.1639999999999999E-2</v>
      </c>
      <c r="AH224" s="4"/>
      <c r="AI224" s="158"/>
    </row>
    <row r="225" spans="23:38">
      <c r="W225" s="4" t="s">
        <v>585</v>
      </c>
      <c r="X225" s="4" t="s">
        <v>3363</v>
      </c>
      <c r="Y225" s="151" t="str">
        <f t="shared" si="22"/>
        <v>E5270</v>
      </c>
      <c r="Z225" s="4" t="s">
        <v>587</v>
      </c>
      <c r="AA225" s="114" t="s">
        <v>588</v>
      </c>
      <c r="AB225" s="4" t="s">
        <v>506</v>
      </c>
      <c r="AC225" s="4" t="s">
        <v>507</v>
      </c>
      <c r="AD225" s="4" t="s">
        <v>508</v>
      </c>
      <c r="AE225" s="4" t="s">
        <v>509</v>
      </c>
      <c r="AF225" s="4" t="s">
        <v>589</v>
      </c>
      <c r="AG225" s="115">
        <v>9.1639999999999999E-2</v>
      </c>
      <c r="AH225" s="4"/>
      <c r="AI225" s="158"/>
    </row>
    <row r="226" spans="23:38">
      <c r="W226" s="4" t="s">
        <v>585</v>
      </c>
      <c r="X226" s="4" t="s">
        <v>3364</v>
      </c>
      <c r="Y226" s="151" t="str">
        <f t="shared" si="22"/>
        <v>E5270</v>
      </c>
      <c r="Z226" s="4" t="s">
        <v>587</v>
      </c>
      <c r="AA226" s="114" t="s">
        <v>588</v>
      </c>
      <c r="AB226" s="4" t="s">
        <v>506</v>
      </c>
      <c r="AC226" s="4" t="s">
        <v>507</v>
      </c>
      <c r="AD226" s="4" t="s">
        <v>508</v>
      </c>
      <c r="AE226" s="4" t="s">
        <v>509</v>
      </c>
      <c r="AF226" s="4" t="s">
        <v>589</v>
      </c>
      <c r="AG226" s="115">
        <v>9.1639999999999999E-2</v>
      </c>
      <c r="AH226" s="4"/>
      <c r="AI226" s="158"/>
    </row>
    <row r="227" spans="23:38">
      <c r="W227" s="4" t="s">
        <v>585</v>
      </c>
      <c r="X227" s="4" t="s">
        <v>3365</v>
      </c>
      <c r="Y227" s="151" t="str">
        <f t="shared" si="22"/>
        <v>E5270</v>
      </c>
      <c r="Z227" s="4" t="s">
        <v>587</v>
      </c>
      <c r="AA227" s="114" t="s">
        <v>588</v>
      </c>
      <c r="AB227" s="4" t="s">
        <v>506</v>
      </c>
      <c r="AC227" s="4" t="s">
        <v>507</v>
      </c>
      <c r="AD227" s="4" t="s">
        <v>508</v>
      </c>
      <c r="AE227" s="4" t="s">
        <v>509</v>
      </c>
      <c r="AF227" s="4" t="s">
        <v>589</v>
      </c>
      <c r="AG227" s="115">
        <v>9.1639999999999999E-2</v>
      </c>
      <c r="AH227" s="4"/>
      <c r="AI227" s="158"/>
    </row>
    <row r="228" spans="23:38">
      <c r="W228" s="4" t="s">
        <v>585</v>
      </c>
      <c r="X228" s="4" t="s">
        <v>3366</v>
      </c>
      <c r="Y228" s="151" t="str">
        <f t="shared" si="22"/>
        <v>E5270</v>
      </c>
      <c r="Z228" s="4" t="s">
        <v>587</v>
      </c>
      <c r="AA228" s="114" t="s">
        <v>588</v>
      </c>
      <c r="AB228" s="4" t="s">
        <v>506</v>
      </c>
      <c r="AC228" s="4" t="s">
        <v>507</v>
      </c>
      <c r="AD228" s="4" t="s">
        <v>508</v>
      </c>
      <c r="AE228" s="4" t="s">
        <v>509</v>
      </c>
      <c r="AF228" s="4" t="s">
        <v>589</v>
      </c>
      <c r="AG228" s="115">
        <v>9.375E-2</v>
      </c>
      <c r="AH228" s="4"/>
      <c r="AI228" s="158"/>
    </row>
    <row r="229" spans="23:38">
      <c r="W229" s="4" t="s">
        <v>585</v>
      </c>
      <c r="X229" s="4" t="s">
        <v>3367</v>
      </c>
      <c r="Y229" s="151" t="str">
        <f t="shared" si="22"/>
        <v>E5270</v>
      </c>
      <c r="Z229" s="4" t="s">
        <v>587</v>
      </c>
      <c r="AA229" s="114" t="s">
        <v>588</v>
      </c>
      <c r="AB229" s="4" t="s">
        <v>506</v>
      </c>
      <c r="AC229" s="4" t="s">
        <v>507</v>
      </c>
      <c r="AD229" s="4" t="s">
        <v>508</v>
      </c>
      <c r="AE229" s="4" t="s">
        <v>509</v>
      </c>
      <c r="AF229" s="4" t="s">
        <v>589</v>
      </c>
      <c r="AG229" s="115">
        <v>9.375E-2</v>
      </c>
      <c r="AH229" s="4"/>
      <c r="AI229" s="158"/>
    </row>
    <row r="230" spans="23:38">
      <c r="W230" s="4" t="s">
        <v>585</v>
      </c>
      <c r="X230" s="3" t="s">
        <v>3356</v>
      </c>
      <c r="Y230" s="150" t="str">
        <f>INDEX($B$3:$O$110,26,1)</f>
        <v>E5280</v>
      </c>
      <c r="Z230" s="4" t="s">
        <v>587</v>
      </c>
      <c r="AA230" s="114" t="s">
        <v>588</v>
      </c>
      <c r="AB230" s="4" t="s">
        <v>506</v>
      </c>
      <c r="AC230" s="4" t="s">
        <v>507</v>
      </c>
      <c r="AD230" s="4" t="s">
        <v>508</v>
      </c>
      <c r="AE230" s="4" t="s">
        <v>509</v>
      </c>
      <c r="AF230" s="4" t="s">
        <v>589</v>
      </c>
      <c r="AG230" s="115">
        <f>+VLOOKUP(Y230,B:O,3,FALSE)/1000</f>
        <v>9.1637566035137133E-2</v>
      </c>
      <c r="AI230" s="158"/>
      <c r="AK230" s="158"/>
      <c r="AL230" s="158"/>
    </row>
    <row r="231" spans="23:38">
      <c r="W231" s="4" t="s">
        <v>585</v>
      </c>
      <c r="X231" s="4" t="s">
        <v>3357</v>
      </c>
      <c r="Y231" s="151" t="str">
        <f>Y230</f>
        <v>E5280</v>
      </c>
      <c r="Z231" s="4" t="s">
        <v>587</v>
      </c>
      <c r="AA231" s="114" t="s">
        <v>588</v>
      </c>
      <c r="AB231" s="4" t="s">
        <v>506</v>
      </c>
      <c r="AC231" s="4" t="s">
        <v>507</v>
      </c>
      <c r="AD231" s="4" t="s">
        <v>508</v>
      </c>
      <c r="AE231" s="4" t="s">
        <v>509</v>
      </c>
      <c r="AF231" s="4" t="s">
        <v>589</v>
      </c>
      <c r="AG231" s="115">
        <f>+VLOOKUP(Y231,B:O,4,FALSE)/1000</f>
        <v>9.1637566035137133E-2</v>
      </c>
      <c r="AI231" s="158"/>
    </row>
    <row r="232" spans="23:38">
      <c r="W232" s="4" t="s">
        <v>585</v>
      </c>
      <c r="X232" s="4" t="s">
        <v>3358</v>
      </c>
      <c r="Y232" s="151" t="str">
        <f t="shared" ref="Y232:Y241" si="23">Y231</f>
        <v>E5280</v>
      </c>
      <c r="Z232" s="4" t="s">
        <v>587</v>
      </c>
      <c r="AA232" s="114" t="s">
        <v>588</v>
      </c>
      <c r="AB232" s="4" t="s">
        <v>506</v>
      </c>
      <c r="AC232" s="4" t="s">
        <v>507</v>
      </c>
      <c r="AD232" s="4" t="s">
        <v>508</v>
      </c>
      <c r="AE232" s="4" t="s">
        <v>509</v>
      </c>
      <c r="AF232" s="4" t="s">
        <v>589</v>
      </c>
      <c r="AG232" s="115">
        <f>+VLOOKUP(Y232,B:O,5,FALSE)/1000</f>
        <v>9.1637566035137133E-2</v>
      </c>
      <c r="AI232" s="158"/>
    </row>
    <row r="233" spans="23:38">
      <c r="W233" s="4" t="s">
        <v>585</v>
      </c>
      <c r="X233" s="4" t="s">
        <v>3359</v>
      </c>
      <c r="Y233" s="151" t="str">
        <f t="shared" si="23"/>
        <v>E5280</v>
      </c>
      <c r="Z233" s="4" t="s">
        <v>587</v>
      </c>
      <c r="AA233" s="114" t="s">
        <v>588</v>
      </c>
      <c r="AB233" s="4" t="s">
        <v>506</v>
      </c>
      <c r="AC233" s="4" t="s">
        <v>507</v>
      </c>
      <c r="AD233" s="4" t="s">
        <v>508</v>
      </c>
      <c r="AE233" s="4" t="s">
        <v>509</v>
      </c>
      <c r="AF233" s="4" t="s">
        <v>589</v>
      </c>
      <c r="AG233" s="115">
        <f>+VLOOKUP(Y233,B:O,6,FALSE)/1000</f>
        <v>9.1637566035137133E-2</v>
      </c>
      <c r="AI233" s="158"/>
    </row>
    <row r="234" spans="23:38">
      <c r="W234" s="4" t="s">
        <v>585</v>
      </c>
      <c r="X234" s="4" t="s">
        <v>3360</v>
      </c>
      <c r="Y234" s="151" t="str">
        <f t="shared" si="23"/>
        <v>E5280</v>
      </c>
      <c r="Z234" s="4" t="s">
        <v>587</v>
      </c>
      <c r="AA234" s="114" t="s">
        <v>588</v>
      </c>
      <c r="AB234" s="4" t="s">
        <v>506</v>
      </c>
      <c r="AC234" s="4" t="s">
        <v>507</v>
      </c>
      <c r="AD234" s="4" t="s">
        <v>508</v>
      </c>
      <c r="AE234" s="4" t="s">
        <v>509</v>
      </c>
      <c r="AF234" s="4" t="s">
        <v>589</v>
      </c>
      <c r="AG234" s="115">
        <f>+VLOOKUP(Y234,B:O,7,FALSE)/1000</f>
        <v>9.1637566035137133E-2</v>
      </c>
      <c r="AI234" s="158"/>
    </row>
    <row r="235" spans="23:38">
      <c r="W235" s="4" t="s">
        <v>585</v>
      </c>
      <c r="X235" s="4" t="s">
        <v>3361</v>
      </c>
      <c r="Y235" s="151" t="str">
        <f t="shared" si="23"/>
        <v>E5280</v>
      </c>
      <c r="Z235" s="4" t="s">
        <v>587</v>
      </c>
      <c r="AA235" s="114" t="s">
        <v>588</v>
      </c>
      <c r="AB235" s="4" t="s">
        <v>506</v>
      </c>
      <c r="AC235" s="4" t="s">
        <v>507</v>
      </c>
      <c r="AD235" s="4" t="s">
        <v>508</v>
      </c>
      <c r="AE235" s="4" t="s">
        <v>509</v>
      </c>
      <c r="AF235" s="4" t="s">
        <v>589</v>
      </c>
      <c r="AG235" s="115">
        <f>+VLOOKUP(Y235,B:O,8,FALSE)/1000</f>
        <v>9.1637566035137133E-2</v>
      </c>
      <c r="AI235" s="158"/>
    </row>
    <row r="236" spans="23:38">
      <c r="W236" s="4" t="s">
        <v>585</v>
      </c>
      <c r="X236" s="4" t="s">
        <v>3362</v>
      </c>
      <c r="Y236" s="151" t="str">
        <f t="shared" si="23"/>
        <v>E5280</v>
      </c>
      <c r="Z236" s="4" t="s">
        <v>587</v>
      </c>
      <c r="AA236" s="114" t="s">
        <v>588</v>
      </c>
      <c r="AB236" s="4" t="s">
        <v>506</v>
      </c>
      <c r="AC236" s="4" t="s">
        <v>507</v>
      </c>
      <c r="AD236" s="4" t="s">
        <v>508</v>
      </c>
      <c r="AE236" s="4" t="s">
        <v>509</v>
      </c>
      <c r="AF236" s="4" t="s">
        <v>589</v>
      </c>
      <c r="AG236" s="115">
        <f>+VLOOKUP(Y236,B:O,9,FALSE)/1000</f>
        <v>9.1637566035137133E-2</v>
      </c>
      <c r="AI236" s="158"/>
    </row>
    <row r="237" spans="23:38">
      <c r="W237" s="4" t="s">
        <v>585</v>
      </c>
      <c r="X237" s="4" t="s">
        <v>3363</v>
      </c>
      <c r="Y237" s="151" t="str">
        <f t="shared" si="23"/>
        <v>E5280</v>
      </c>
      <c r="Z237" s="4" t="s">
        <v>587</v>
      </c>
      <c r="AA237" s="114" t="s">
        <v>588</v>
      </c>
      <c r="AB237" s="4" t="s">
        <v>506</v>
      </c>
      <c r="AC237" s="4" t="s">
        <v>507</v>
      </c>
      <c r="AD237" s="4" t="s">
        <v>508</v>
      </c>
      <c r="AE237" s="4" t="s">
        <v>509</v>
      </c>
      <c r="AF237" s="4" t="s">
        <v>589</v>
      </c>
      <c r="AG237" s="115">
        <f>+VLOOKUP(Y237,B:O,10,FALSE)/1000</f>
        <v>9.1637566035137133E-2</v>
      </c>
      <c r="AI237" s="158"/>
    </row>
    <row r="238" spans="23:38">
      <c r="W238" s="4" t="s">
        <v>585</v>
      </c>
      <c r="X238" s="4" t="s">
        <v>3364</v>
      </c>
      <c r="Y238" s="151" t="str">
        <f t="shared" si="23"/>
        <v>E5280</v>
      </c>
      <c r="Z238" s="4" t="s">
        <v>587</v>
      </c>
      <c r="AA238" s="114" t="s">
        <v>588</v>
      </c>
      <c r="AB238" s="4" t="s">
        <v>506</v>
      </c>
      <c r="AC238" s="4" t="s">
        <v>507</v>
      </c>
      <c r="AD238" s="4" t="s">
        <v>508</v>
      </c>
      <c r="AE238" s="4" t="s">
        <v>509</v>
      </c>
      <c r="AF238" s="4" t="s">
        <v>589</v>
      </c>
      <c r="AG238" s="115">
        <f>+VLOOKUP(Y238,B:O,11,FALSE)/1000</f>
        <v>9.1637566035137133E-2</v>
      </c>
      <c r="AI238" s="158"/>
    </row>
    <row r="239" spans="23:38">
      <c r="W239" s="4" t="s">
        <v>585</v>
      </c>
      <c r="X239" s="4" t="s">
        <v>3365</v>
      </c>
      <c r="Y239" s="151" t="str">
        <f t="shared" si="23"/>
        <v>E5280</v>
      </c>
      <c r="Z239" s="4" t="s">
        <v>587</v>
      </c>
      <c r="AA239" s="114" t="s">
        <v>588</v>
      </c>
      <c r="AB239" s="4" t="s">
        <v>506</v>
      </c>
      <c r="AC239" s="4" t="s">
        <v>507</v>
      </c>
      <c r="AD239" s="4" t="s">
        <v>508</v>
      </c>
      <c r="AE239" s="4" t="s">
        <v>509</v>
      </c>
      <c r="AF239" s="4" t="s">
        <v>589</v>
      </c>
      <c r="AG239" s="115">
        <f>+VLOOKUP(Y239,B:O,12,FALSE)/1000</f>
        <v>9.1637566035137133E-2</v>
      </c>
      <c r="AI239" s="158"/>
    </row>
    <row r="240" spans="23:38">
      <c r="W240" s="4" t="s">
        <v>585</v>
      </c>
      <c r="X240" s="4" t="s">
        <v>3366</v>
      </c>
      <c r="Y240" s="151" t="str">
        <f t="shared" si="23"/>
        <v>E5280</v>
      </c>
      <c r="Z240" s="4" t="s">
        <v>587</v>
      </c>
      <c r="AA240" s="114" t="s">
        <v>588</v>
      </c>
      <c r="AB240" s="4" t="s">
        <v>506</v>
      </c>
      <c r="AC240" s="4" t="s">
        <v>507</v>
      </c>
      <c r="AD240" s="4" t="s">
        <v>508</v>
      </c>
      <c r="AE240" s="4" t="s">
        <v>509</v>
      </c>
      <c r="AF240" s="4" t="s">
        <v>589</v>
      </c>
      <c r="AG240" s="115">
        <f>+VLOOKUP(Y240,B:O,13,FALSE)/1000</f>
        <v>9.3745230053945278E-2</v>
      </c>
      <c r="AI240" s="158"/>
    </row>
    <row r="241" spans="23:46">
      <c r="W241" s="4" t="s">
        <v>585</v>
      </c>
      <c r="X241" s="4" t="s">
        <v>3367</v>
      </c>
      <c r="Y241" s="151" t="str">
        <f t="shared" si="23"/>
        <v>E5280</v>
      </c>
      <c r="Z241" s="4" t="s">
        <v>587</v>
      </c>
      <c r="AA241" s="114" t="s">
        <v>588</v>
      </c>
      <c r="AB241" s="4" t="s">
        <v>506</v>
      </c>
      <c r="AC241" s="4" t="s">
        <v>507</v>
      </c>
      <c r="AD241" s="4" t="s">
        <v>508</v>
      </c>
      <c r="AE241" s="4" t="s">
        <v>509</v>
      </c>
      <c r="AF241" s="4" t="s">
        <v>589</v>
      </c>
      <c r="AG241" s="115">
        <f>+VLOOKUP(Y241,B:O,14,FALSE)/1000</f>
        <v>9.3745230053945278E-2</v>
      </c>
      <c r="AI241" s="158"/>
    </row>
    <row r="242" spans="23:46">
      <c r="W242" s="4" t="s">
        <v>585</v>
      </c>
      <c r="X242" s="3" t="s">
        <v>3356</v>
      </c>
      <c r="Y242" s="150" t="str">
        <f>INDEX($B$3:$O$110,30,1)</f>
        <v>E5290</v>
      </c>
      <c r="Z242" s="4" t="s">
        <v>587</v>
      </c>
      <c r="AA242" s="114" t="s">
        <v>588</v>
      </c>
      <c r="AB242" s="4" t="s">
        <v>506</v>
      </c>
      <c r="AC242" s="4" t="s">
        <v>507</v>
      </c>
      <c r="AD242" s="4" t="s">
        <v>508</v>
      </c>
      <c r="AE242" s="4" t="s">
        <v>509</v>
      </c>
      <c r="AF242" s="4" t="s">
        <v>589</v>
      </c>
      <c r="AG242" s="742">
        <f>SUM('1-EO_Calcul Reporting'!$CW$30:$CW$33)/SUM('1-EO_Calcul Reporting'!$F$30:$F$33)</f>
        <v>9.2424716579436697E-2</v>
      </c>
      <c r="AH242" s="4" t="s">
        <v>3069</v>
      </c>
      <c r="AI242" s="158"/>
    </row>
    <row r="243" spans="23:46">
      <c r="W243" s="4" t="s">
        <v>585</v>
      </c>
      <c r="X243" s="4" t="s">
        <v>3357</v>
      </c>
      <c r="Y243" s="151" t="str">
        <f>Y242</f>
        <v>E5290</v>
      </c>
      <c r="Z243" s="4" t="s">
        <v>587</v>
      </c>
      <c r="AA243" s="114" t="s">
        <v>588</v>
      </c>
      <c r="AB243" s="4" t="s">
        <v>506</v>
      </c>
      <c r="AC243" s="4" t="s">
        <v>507</v>
      </c>
      <c r="AD243" s="4" t="s">
        <v>508</v>
      </c>
      <c r="AE243" s="4" t="s">
        <v>509</v>
      </c>
      <c r="AF243" s="4" t="s">
        <v>589</v>
      </c>
      <c r="AG243" s="742">
        <f>SUM('1-EO_Calcul Reporting'!$CX$30:$CX$33)/SUM('1-EO_Calcul Reporting'!$G$30:$G$33)</f>
        <v>9.2424716579436683E-2</v>
      </c>
      <c r="AH243" s="4" t="s">
        <v>3069</v>
      </c>
      <c r="AI243" s="158"/>
    </row>
    <row r="244" spans="23:46">
      <c r="W244" s="4" t="s">
        <v>585</v>
      </c>
      <c r="X244" s="4" t="s">
        <v>3358</v>
      </c>
      <c r="Y244" s="151" t="str">
        <f t="shared" ref="Y244:Y253" si="24">Y243</f>
        <v>E5290</v>
      </c>
      <c r="Z244" s="4" t="s">
        <v>587</v>
      </c>
      <c r="AA244" s="114" t="s">
        <v>588</v>
      </c>
      <c r="AB244" s="4" t="s">
        <v>506</v>
      </c>
      <c r="AC244" s="4" t="s">
        <v>507</v>
      </c>
      <c r="AD244" s="4" t="s">
        <v>508</v>
      </c>
      <c r="AE244" s="4" t="s">
        <v>509</v>
      </c>
      <c r="AF244" s="4" t="s">
        <v>589</v>
      </c>
      <c r="AG244" s="742">
        <f>SUM('1-EO_Calcul Reporting'!$CY$30:$CY$33)/SUM('1-EO_Calcul Reporting'!$H$30:$H$33)</f>
        <v>9.2424716579436683E-2</v>
      </c>
      <c r="AH244" s="4" t="s">
        <v>3069</v>
      </c>
      <c r="AI244" s="158"/>
    </row>
    <row r="245" spans="23:46">
      <c r="W245" s="4" t="s">
        <v>585</v>
      </c>
      <c r="X245" s="4" t="s">
        <v>3359</v>
      </c>
      <c r="Y245" s="151" t="str">
        <f t="shared" si="24"/>
        <v>E5290</v>
      </c>
      <c r="Z245" s="4" t="s">
        <v>587</v>
      </c>
      <c r="AA245" s="114" t="s">
        <v>588</v>
      </c>
      <c r="AB245" s="4" t="s">
        <v>506</v>
      </c>
      <c r="AC245" s="4" t="s">
        <v>507</v>
      </c>
      <c r="AD245" s="4" t="s">
        <v>508</v>
      </c>
      <c r="AE245" s="4" t="s">
        <v>509</v>
      </c>
      <c r="AF245" s="4" t="s">
        <v>589</v>
      </c>
      <c r="AG245" s="742">
        <f>SUM('1-EO_Calcul Reporting'!$CZ$30:$CZ$33)/SUM('1-EO_Calcul Reporting'!$I$30:$I$33)</f>
        <v>9.2424716579436697E-2</v>
      </c>
      <c r="AH245" s="4" t="s">
        <v>3069</v>
      </c>
      <c r="AI245" s="158"/>
    </row>
    <row r="246" spans="23:46">
      <c r="W246" s="4" t="s">
        <v>585</v>
      </c>
      <c r="X246" s="4" t="s">
        <v>3360</v>
      </c>
      <c r="Y246" s="151" t="str">
        <f t="shared" si="24"/>
        <v>E5290</v>
      </c>
      <c r="Z246" s="4" t="s">
        <v>587</v>
      </c>
      <c r="AA246" s="114" t="s">
        <v>588</v>
      </c>
      <c r="AB246" s="4" t="s">
        <v>506</v>
      </c>
      <c r="AC246" s="4" t="s">
        <v>507</v>
      </c>
      <c r="AD246" s="4" t="s">
        <v>508</v>
      </c>
      <c r="AE246" s="4" t="s">
        <v>509</v>
      </c>
      <c r="AF246" s="4" t="s">
        <v>589</v>
      </c>
      <c r="AG246" s="742">
        <f>SUM('1-EO_Calcul Reporting'!$DA$30:$DA$33)/SUM('1-EO_Calcul Reporting'!$J$30:$J$33)</f>
        <v>9.2424716579436697E-2</v>
      </c>
      <c r="AH246" s="4" t="s">
        <v>3069</v>
      </c>
      <c r="AI246" s="158"/>
    </row>
    <row r="247" spans="23:46">
      <c r="W247" s="4" t="s">
        <v>585</v>
      </c>
      <c r="X247" s="4" t="s">
        <v>3361</v>
      </c>
      <c r="Y247" s="151" t="str">
        <f t="shared" si="24"/>
        <v>E5290</v>
      </c>
      <c r="Z247" s="4" t="s">
        <v>587</v>
      </c>
      <c r="AA247" s="114" t="s">
        <v>588</v>
      </c>
      <c r="AB247" s="4" t="s">
        <v>506</v>
      </c>
      <c r="AC247" s="4" t="s">
        <v>507</v>
      </c>
      <c r="AD247" s="4" t="s">
        <v>508</v>
      </c>
      <c r="AE247" s="4" t="s">
        <v>509</v>
      </c>
      <c r="AF247" s="4" t="s">
        <v>589</v>
      </c>
      <c r="AG247" s="742">
        <f>SUM('1-EO_Calcul Reporting'!$DB$30:$DB$33)/SUM('1-EO_Calcul Reporting'!$K$30:$K$33)</f>
        <v>9.2424716579436683E-2</v>
      </c>
      <c r="AH247" s="4" t="s">
        <v>3069</v>
      </c>
      <c r="AI247" s="158"/>
    </row>
    <row r="248" spans="23:46">
      <c r="W248" s="4" t="s">
        <v>585</v>
      </c>
      <c r="X248" s="4" t="s">
        <v>3362</v>
      </c>
      <c r="Y248" s="151" t="str">
        <f t="shared" si="24"/>
        <v>E5290</v>
      </c>
      <c r="Z248" s="4" t="s">
        <v>587</v>
      </c>
      <c r="AA248" s="114" t="s">
        <v>588</v>
      </c>
      <c r="AB248" s="4" t="s">
        <v>506</v>
      </c>
      <c r="AC248" s="4" t="s">
        <v>507</v>
      </c>
      <c r="AD248" s="4" t="s">
        <v>508</v>
      </c>
      <c r="AE248" s="4" t="s">
        <v>509</v>
      </c>
      <c r="AF248" s="4" t="s">
        <v>589</v>
      </c>
      <c r="AG248" s="742">
        <f>SUM('1-EO_Calcul Reporting'!$DC$30:$DC$33)/SUM('1-EO_Calcul Reporting'!$L$30:$L$33)</f>
        <v>9.2424716579436711E-2</v>
      </c>
      <c r="AH248" s="4" t="s">
        <v>3069</v>
      </c>
      <c r="AI248" s="158"/>
    </row>
    <row r="249" spans="23:46">
      <c r="W249" s="4" t="s">
        <v>585</v>
      </c>
      <c r="X249" s="4" t="s">
        <v>3363</v>
      </c>
      <c r="Y249" s="151" t="str">
        <f t="shared" si="24"/>
        <v>E5290</v>
      </c>
      <c r="Z249" s="4" t="s">
        <v>587</v>
      </c>
      <c r="AA249" s="114" t="s">
        <v>588</v>
      </c>
      <c r="AB249" s="4" t="s">
        <v>506</v>
      </c>
      <c r="AC249" s="4" t="s">
        <v>507</v>
      </c>
      <c r="AD249" s="4" t="s">
        <v>508</v>
      </c>
      <c r="AE249" s="4" t="s">
        <v>509</v>
      </c>
      <c r="AF249" s="4" t="s">
        <v>589</v>
      </c>
      <c r="AG249" s="742">
        <f>SUM('1-EO_Calcul Reporting'!$DD$30:$DD$33)/SUM('1-EO_Calcul Reporting'!$M$30:$M$33)</f>
        <v>9.2424716579436697E-2</v>
      </c>
      <c r="AH249" s="4" t="s">
        <v>3069</v>
      </c>
      <c r="AI249" s="158"/>
    </row>
    <row r="250" spans="23:46">
      <c r="W250" s="4" t="s">
        <v>585</v>
      </c>
      <c r="X250" s="4" t="s">
        <v>3364</v>
      </c>
      <c r="Y250" s="151" t="str">
        <f t="shared" si="24"/>
        <v>E5290</v>
      </c>
      <c r="Z250" s="4" t="s">
        <v>587</v>
      </c>
      <c r="AA250" s="114" t="s">
        <v>588</v>
      </c>
      <c r="AB250" s="4" t="s">
        <v>506</v>
      </c>
      <c r="AC250" s="4" t="s">
        <v>507</v>
      </c>
      <c r="AD250" s="4" t="s">
        <v>508</v>
      </c>
      <c r="AE250" s="4" t="s">
        <v>509</v>
      </c>
      <c r="AF250" s="4" t="s">
        <v>589</v>
      </c>
      <c r="AG250" s="742">
        <f>SUM('1-EO_Calcul Reporting'!$DE$30:$DE$33)/SUM('1-EO_Calcul Reporting'!$N$30:$N$33)</f>
        <v>9.2424716579436711E-2</v>
      </c>
      <c r="AH250" s="4" t="s">
        <v>3069</v>
      </c>
      <c r="AI250" s="158"/>
    </row>
    <row r="251" spans="23:46">
      <c r="W251" s="4" t="s">
        <v>585</v>
      </c>
      <c r="X251" s="4" t="s">
        <v>3365</v>
      </c>
      <c r="Y251" s="151" t="str">
        <f t="shared" si="24"/>
        <v>E5290</v>
      </c>
      <c r="Z251" s="4" t="s">
        <v>587</v>
      </c>
      <c r="AA251" s="114" t="s">
        <v>588</v>
      </c>
      <c r="AB251" s="4" t="s">
        <v>506</v>
      </c>
      <c r="AC251" s="4" t="s">
        <v>507</v>
      </c>
      <c r="AD251" s="4" t="s">
        <v>508</v>
      </c>
      <c r="AE251" s="4" t="s">
        <v>509</v>
      </c>
      <c r="AF251" s="4" t="s">
        <v>589</v>
      </c>
      <c r="AG251" s="742">
        <f>SUM('1-EO_Calcul Reporting'!$DF$30:$DF$33)/SUM('1-EO_Calcul Reporting'!$O$30:$O$33)</f>
        <v>9.2424716579436683E-2</v>
      </c>
      <c r="AH251" s="4" t="s">
        <v>3069</v>
      </c>
      <c r="AI251" s="158"/>
    </row>
    <row r="252" spans="23:46">
      <c r="W252" s="4" t="s">
        <v>585</v>
      </c>
      <c r="X252" s="4" t="s">
        <v>3366</v>
      </c>
      <c r="Y252" s="151" t="str">
        <f t="shared" si="24"/>
        <v>E5290</v>
      </c>
      <c r="Z252" s="4" t="s">
        <v>587</v>
      </c>
      <c r="AA252" s="114" t="s">
        <v>588</v>
      </c>
      <c r="AB252" s="4" t="s">
        <v>506</v>
      </c>
      <c r="AC252" s="4" t="s">
        <v>507</v>
      </c>
      <c r="AD252" s="4" t="s">
        <v>508</v>
      </c>
      <c r="AE252" s="4" t="s">
        <v>509</v>
      </c>
      <c r="AF252" s="4" t="s">
        <v>589</v>
      </c>
      <c r="AG252" s="742">
        <f>SUM('1-EO_Calcul Reporting'!$DG$30:$DG$33)/SUM('1-EO_Calcul Reporting'!$P$30:$P$33)</f>
        <v>9.4550485060763731E-2</v>
      </c>
      <c r="AH252" s="4" t="s">
        <v>3069</v>
      </c>
      <c r="AI252" s="158"/>
    </row>
    <row r="253" spans="23:46">
      <c r="W253" s="4" t="s">
        <v>585</v>
      </c>
      <c r="X253" s="4" t="s">
        <v>3367</v>
      </c>
      <c r="Y253" s="151" t="str">
        <f t="shared" si="24"/>
        <v>E5290</v>
      </c>
      <c r="Z253" s="4" t="s">
        <v>587</v>
      </c>
      <c r="AA253" s="114" t="s">
        <v>588</v>
      </c>
      <c r="AB253" s="4" t="s">
        <v>506</v>
      </c>
      <c r="AC253" s="4" t="s">
        <v>507</v>
      </c>
      <c r="AD253" s="4" t="s">
        <v>508</v>
      </c>
      <c r="AE253" s="4" t="s">
        <v>509</v>
      </c>
      <c r="AF253" s="4" t="s">
        <v>589</v>
      </c>
      <c r="AG253" s="742">
        <f>SUM('1-EO_Calcul Reporting'!$DH$30:$DH$33)/SUM('1-EO_Calcul Reporting'!$Q$30:$Q$33)</f>
        <v>9.4550485060763731E-2</v>
      </c>
      <c r="AH253" s="4" t="s">
        <v>3069</v>
      </c>
      <c r="AI253" s="158"/>
    </row>
    <row r="254" spans="23:46">
      <c r="W254" s="4" t="s">
        <v>585</v>
      </c>
      <c r="X254" s="3" t="s">
        <v>3356</v>
      </c>
      <c r="Y254" s="150" t="str">
        <f>INDEX($B$3:$O$110,31,1)</f>
        <v>E5300</v>
      </c>
      <c r="Z254" s="4" t="s">
        <v>587</v>
      </c>
      <c r="AA254" s="114" t="s">
        <v>588</v>
      </c>
      <c r="AB254" s="4" t="s">
        <v>506</v>
      </c>
      <c r="AC254" s="4" t="s">
        <v>507</v>
      </c>
      <c r="AD254" s="4" t="s">
        <v>508</v>
      </c>
      <c r="AE254" s="4" t="s">
        <v>509</v>
      </c>
      <c r="AF254" s="4" t="s">
        <v>589</v>
      </c>
      <c r="AG254" s="115">
        <f>+VLOOKUP(Y254,B:O,3,FALSE)/1000</f>
        <v>9.1722257207547161E-2</v>
      </c>
      <c r="AH254" s="152"/>
      <c r="AI254" s="158"/>
      <c r="AJ254" s="152"/>
      <c r="AK254" s="152"/>
      <c r="AL254" s="152"/>
      <c r="AM254" s="152"/>
      <c r="AN254" s="152"/>
      <c r="AO254" s="152"/>
      <c r="AP254" s="152"/>
      <c r="AQ254" s="152"/>
      <c r="AR254" s="152"/>
      <c r="AS254" s="4"/>
      <c r="AT254" s="4"/>
    </row>
    <row r="255" spans="23:46">
      <c r="W255" s="4" t="s">
        <v>585</v>
      </c>
      <c r="X255" s="4" t="s">
        <v>3357</v>
      </c>
      <c r="Y255" s="151" t="str">
        <f>Y254</f>
        <v>E5300</v>
      </c>
      <c r="Z255" s="4" t="s">
        <v>587</v>
      </c>
      <c r="AA255" s="114" t="s">
        <v>588</v>
      </c>
      <c r="AB255" s="4" t="s">
        <v>506</v>
      </c>
      <c r="AC255" s="4" t="s">
        <v>507</v>
      </c>
      <c r="AD255" s="4" t="s">
        <v>508</v>
      </c>
      <c r="AE255" s="4" t="s">
        <v>509</v>
      </c>
      <c r="AF255" s="4" t="s">
        <v>589</v>
      </c>
      <c r="AG255" s="115">
        <f>+VLOOKUP(Y255,B:O,4,FALSE)/1000</f>
        <v>9.1722257207547161E-2</v>
      </c>
      <c r="AI255" s="158"/>
    </row>
    <row r="256" spans="23:46">
      <c r="W256" s="4" t="s">
        <v>585</v>
      </c>
      <c r="X256" s="4" t="s">
        <v>3358</v>
      </c>
      <c r="Y256" s="151" t="str">
        <f t="shared" ref="Y256:Y265" si="25">Y255</f>
        <v>E5300</v>
      </c>
      <c r="Z256" s="4" t="s">
        <v>587</v>
      </c>
      <c r="AA256" s="114" t="s">
        <v>588</v>
      </c>
      <c r="AB256" s="4" t="s">
        <v>506</v>
      </c>
      <c r="AC256" s="4" t="s">
        <v>507</v>
      </c>
      <c r="AD256" s="4" t="s">
        <v>508</v>
      </c>
      <c r="AE256" s="4" t="s">
        <v>509</v>
      </c>
      <c r="AF256" s="4" t="s">
        <v>589</v>
      </c>
      <c r="AG256" s="115">
        <f>+VLOOKUP(Y256,B:O,5,FALSE)/1000</f>
        <v>9.1722257207547161E-2</v>
      </c>
      <c r="AI256" s="158"/>
    </row>
    <row r="257" spans="23:35">
      <c r="W257" s="4" t="s">
        <v>585</v>
      </c>
      <c r="X257" s="4" t="s">
        <v>3359</v>
      </c>
      <c r="Y257" s="151" t="str">
        <f t="shared" si="25"/>
        <v>E5300</v>
      </c>
      <c r="Z257" s="4" t="s">
        <v>587</v>
      </c>
      <c r="AA257" s="114" t="s">
        <v>588</v>
      </c>
      <c r="AB257" s="4" t="s">
        <v>506</v>
      </c>
      <c r="AC257" s="4" t="s">
        <v>507</v>
      </c>
      <c r="AD257" s="4" t="s">
        <v>508</v>
      </c>
      <c r="AE257" s="4" t="s">
        <v>509</v>
      </c>
      <c r="AF257" s="4" t="s">
        <v>589</v>
      </c>
      <c r="AG257" s="115">
        <f>+VLOOKUP(Y257,B:O,6,FALSE)/1000</f>
        <v>9.1722257207547161E-2</v>
      </c>
      <c r="AI257" s="158"/>
    </row>
    <row r="258" spans="23:35">
      <c r="W258" s="4" t="s">
        <v>585</v>
      </c>
      <c r="X258" s="4" t="s">
        <v>3360</v>
      </c>
      <c r="Y258" s="151" t="str">
        <f t="shared" si="25"/>
        <v>E5300</v>
      </c>
      <c r="Z258" s="4" t="s">
        <v>587</v>
      </c>
      <c r="AA258" s="114" t="s">
        <v>588</v>
      </c>
      <c r="AB258" s="4" t="s">
        <v>506</v>
      </c>
      <c r="AC258" s="4" t="s">
        <v>507</v>
      </c>
      <c r="AD258" s="4" t="s">
        <v>508</v>
      </c>
      <c r="AE258" s="4" t="s">
        <v>509</v>
      </c>
      <c r="AF258" s="4" t="s">
        <v>589</v>
      </c>
      <c r="AG258" s="115">
        <f>+VLOOKUP(Y258,B:O,7,FALSE)/1000</f>
        <v>9.1722257207547161E-2</v>
      </c>
      <c r="AI258" s="158"/>
    </row>
    <row r="259" spans="23:35">
      <c r="W259" s="4" t="s">
        <v>585</v>
      </c>
      <c r="X259" s="4" t="s">
        <v>3361</v>
      </c>
      <c r="Y259" s="151" t="str">
        <f t="shared" si="25"/>
        <v>E5300</v>
      </c>
      <c r="Z259" s="4" t="s">
        <v>587</v>
      </c>
      <c r="AA259" s="114" t="s">
        <v>588</v>
      </c>
      <c r="AB259" s="4" t="s">
        <v>506</v>
      </c>
      <c r="AC259" s="4" t="s">
        <v>507</v>
      </c>
      <c r="AD259" s="4" t="s">
        <v>508</v>
      </c>
      <c r="AE259" s="4" t="s">
        <v>509</v>
      </c>
      <c r="AF259" s="4" t="s">
        <v>589</v>
      </c>
      <c r="AG259" s="115">
        <f>+VLOOKUP(Y259,B:O,8,FALSE)/1000</f>
        <v>9.1722257207547161E-2</v>
      </c>
      <c r="AI259" s="158"/>
    </row>
    <row r="260" spans="23:35">
      <c r="W260" s="4" t="s">
        <v>585</v>
      </c>
      <c r="X260" s="4" t="s">
        <v>3362</v>
      </c>
      <c r="Y260" s="151" t="str">
        <f t="shared" si="25"/>
        <v>E5300</v>
      </c>
      <c r="Z260" s="4" t="s">
        <v>587</v>
      </c>
      <c r="AA260" s="114" t="s">
        <v>588</v>
      </c>
      <c r="AB260" s="4" t="s">
        <v>506</v>
      </c>
      <c r="AC260" s="4" t="s">
        <v>507</v>
      </c>
      <c r="AD260" s="4" t="s">
        <v>508</v>
      </c>
      <c r="AE260" s="4" t="s">
        <v>509</v>
      </c>
      <c r="AF260" s="4" t="s">
        <v>589</v>
      </c>
      <c r="AG260" s="115">
        <f>+VLOOKUP(Y260,B:O,9,FALSE)/1000</f>
        <v>9.1722257207547161E-2</v>
      </c>
      <c r="AI260" s="158"/>
    </row>
    <row r="261" spans="23:35">
      <c r="W261" s="4" t="s">
        <v>585</v>
      </c>
      <c r="X261" s="4" t="s">
        <v>3363</v>
      </c>
      <c r="Y261" s="151" t="str">
        <f t="shared" si="25"/>
        <v>E5300</v>
      </c>
      <c r="Z261" s="4" t="s">
        <v>587</v>
      </c>
      <c r="AA261" s="114" t="s">
        <v>588</v>
      </c>
      <c r="AB261" s="4" t="s">
        <v>506</v>
      </c>
      <c r="AC261" s="4" t="s">
        <v>507</v>
      </c>
      <c r="AD261" s="4" t="s">
        <v>508</v>
      </c>
      <c r="AE261" s="4" t="s">
        <v>509</v>
      </c>
      <c r="AF261" s="4" t="s">
        <v>589</v>
      </c>
      <c r="AG261" s="115">
        <f>+VLOOKUP(Y261,B:O,10,FALSE)/1000</f>
        <v>9.1722257207547161E-2</v>
      </c>
      <c r="AI261" s="158"/>
    </row>
    <row r="262" spans="23:35">
      <c r="W262" s="4" t="s">
        <v>585</v>
      </c>
      <c r="X262" s="4" t="s">
        <v>3364</v>
      </c>
      <c r="Y262" s="151" t="str">
        <f t="shared" si="25"/>
        <v>E5300</v>
      </c>
      <c r="Z262" s="4" t="s">
        <v>587</v>
      </c>
      <c r="AA262" s="114" t="s">
        <v>588</v>
      </c>
      <c r="AB262" s="4" t="s">
        <v>506</v>
      </c>
      <c r="AC262" s="4" t="s">
        <v>507</v>
      </c>
      <c r="AD262" s="4" t="s">
        <v>508</v>
      </c>
      <c r="AE262" s="4" t="s">
        <v>509</v>
      </c>
      <c r="AF262" s="4" t="s">
        <v>589</v>
      </c>
      <c r="AG262" s="115">
        <f>+VLOOKUP(Y262,B:O,11,FALSE)/1000</f>
        <v>9.1722257207547161E-2</v>
      </c>
      <c r="AI262" s="158"/>
    </row>
    <row r="263" spans="23:35">
      <c r="W263" s="4" t="s">
        <v>585</v>
      </c>
      <c r="X263" s="4" t="s">
        <v>3365</v>
      </c>
      <c r="Y263" s="151" t="str">
        <f t="shared" si="25"/>
        <v>E5300</v>
      </c>
      <c r="Z263" s="4" t="s">
        <v>587</v>
      </c>
      <c r="AA263" s="114" t="s">
        <v>588</v>
      </c>
      <c r="AB263" s="4" t="s">
        <v>506</v>
      </c>
      <c r="AC263" s="4" t="s">
        <v>507</v>
      </c>
      <c r="AD263" s="4" t="s">
        <v>508</v>
      </c>
      <c r="AE263" s="4" t="s">
        <v>509</v>
      </c>
      <c r="AF263" s="4" t="s">
        <v>589</v>
      </c>
      <c r="AG263" s="115">
        <f>+VLOOKUP(Y263,B:O,12,FALSE)/1000</f>
        <v>9.1722257207547161E-2</v>
      </c>
      <c r="AI263" s="158"/>
    </row>
    <row r="264" spans="23:35">
      <c r="W264" s="4" t="s">
        <v>585</v>
      </c>
      <c r="X264" s="4" t="s">
        <v>3366</v>
      </c>
      <c r="Y264" s="151" t="str">
        <f t="shared" si="25"/>
        <v>E5300</v>
      </c>
      <c r="Z264" s="4" t="s">
        <v>587</v>
      </c>
      <c r="AA264" s="114" t="s">
        <v>588</v>
      </c>
      <c r="AB264" s="4" t="s">
        <v>506</v>
      </c>
      <c r="AC264" s="4" t="s">
        <v>507</v>
      </c>
      <c r="AD264" s="4" t="s">
        <v>508</v>
      </c>
      <c r="AE264" s="4" t="s">
        <v>509</v>
      </c>
      <c r="AF264" s="4" t="s">
        <v>589</v>
      </c>
      <c r="AG264" s="115">
        <f>+VLOOKUP(Y264,B:O,13,FALSE)/1000</f>
        <v>9.3831869123320741E-2</v>
      </c>
      <c r="AI264" s="158"/>
    </row>
    <row r="265" spans="23:35">
      <c r="W265" s="4" t="s">
        <v>585</v>
      </c>
      <c r="X265" s="4" t="s">
        <v>3367</v>
      </c>
      <c r="Y265" s="151" t="str">
        <f t="shared" si="25"/>
        <v>E5300</v>
      </c>
      <c r="Z265" s="4" t="s">
        <v>587</v>
      </c>
      <c r="AA265" s="114" t="s">
        <v>588</v>
      </c>
      <c r="AB265" s="4" t="s">
        <v>506</v>
      </c>
      <c r="AC265" s="4" t="s">
        <v>507</v>
      </c>
      <c r="AD265" s="4" t="s">
        <v>508</v>
      </c>
      <c r="AE265" s="4" t="s">
        <v>509</v>
      </c>
      <c r="AF265" s="4" t="s">
        <v>589</v>
      </c>
      <c r="AG265" s="115">
        <f>+VLOOKUP(Y265,B:O,14,FALSE)/1000</f>
        <v>9.3831869123320741E-2</v>
      </c>
      <c r="AI265" s="158"/>
    </row>
    <row r="266" spans="23:35">
      <c r="W266" s="4" t="s">
        <v>585</v>
      </c>
      <c r="X266" s="3" t="s">
        <v>3356</v>
      </c>
      <c r="Y266" s="150" t="str">
        <f>INDEX($B$3:$O$110,33,1)</f>
        <v>E5310</v>
      </c>
      <c r="Z266" s="4" t="s">
        <v>587</v>
      </c>
      <c r="AA266" s="114" t="s">
        <v>588</v>
      </c>
      <c r="AB266" s="4" t="s">
        <v>506</v>
      </c>
      <c r="AC266" s="4" t="s">
        <v>507</v>
      </c>
      <c r="AD266" s="4" t="s">
        <v>508</v>
      </c>
      <c r="AE266" s="4" t="s">
        <v>509</v>
      </c>
      <c r="AF266" s="4" t="s">
        <v>589</v>
      </c>
      <c r="AG266" s="115">
        <f>+VLOOKUP(Y266,B:O,3,FALSE)/1000</f>
        <v>9.1211617248297766E-2</v>
      </c>
      <c r="AI266" s="158"/>
    </row>
    <row r="267" spans="23:35">
      <c r="W267" s="4" t="s">
        <v>585</v>
      </c>
      <c r="X267" s="4" t="s">
        <v>3357</v>
      </c>
      <c r="Y267" s="151" t="str">
        <f>Y266</f>
        <v>E5310</v>
      </c>
      <c r="Z267" s="4" t="s">
        <v>587</v>
      </c>
      <c r="AA267" s="114" t="s">
        <v>588</v>
      </c>
      <c r="AB267" s="4" t="s">
        <v>506</v>
      </c>
      <c r="AC267" s="4" t="s">
        <v>507</v>
      </c>
      <c r="AD267" s="4" t="s">
        <v>508</v>
      </c>
      <c r="AE267" s="4" t="s">
        <v>509</v>
      </c>
      <c r="AF267" s="4" t="s">
        <v>589</v>
      </c>
      <c r="AG267" s="115">
        <f>+VLOOKUP(Y267,B:O,4,FALSE)/1000</f>
        <v>9.1211617248297766E-2</v>
      </c>
      <c r="AI267" s="158"/>
    </row>
    <row r="268" spans="23:35">
      <c r="W268" s="4" t="s">
        <v>585</v>
      </c>
      <c r="X268" s="4" t="s">
        <v>3358</v>
      </c>
      <c r="Y268" s="151" t="str">
        <f t="shared" ref="Y268:Y277" si="26">Y267</f>
        <v>E5310</v>
      </c>
      <c r="Z268" s="4" t="s">
        <v>587</v>
      </c>
      <c r="AA268" s="114" t="s">
        <v>588</v>
      </c>
      <c r="AB268" s="4" t="s">
        <v>506</v>
      </c>
      <c r="AC268" s="4" t="s">
        <v>507</v>
      </c>
      <c r="AD268" s="4" t="s">
        <v>508</v>
      </c>
      <c r="AE268" s="4" t="s">
        <v>509</v>
      </c>
      <c r="AF268" s="4" t="s">
        <v>589</v>
      </c>
      <c r="AG268" s="115">
        <f>+VLOOKUP(Y268,B:O,5,FALSE)/1000</f>
        <v>9.1211617248297766E-2</v>
      </c>
      <c r="AI268" s="158"/>
    </row>
    <row r="269" spans="23:35">
      <c r="W269" s="4" t="s">
        <v>585</v>
      </c>
      <c r="X269" s="4" t="s">
        <v>3359</v>
      </c>
      <c r="Y269" s="151" t="str">
        <f t="shared" si="26"/>
        <v>E5310</v>
      </c>
      <c r="Z269" s="4" t="s">
        <v>587</v>
      </c>
      <c r="AA269" s="114" t="s">
        <v>588</v>
      </c>
      <c r="AB269" s="4" t="s">
        <v>506</v>
      </c>
      <c r="AC269" s="4" t="s">
        <v>507</v>
      </c>
      <c r="AD269" s="4" t="s">
        <v>508</v>
      </c>
      <c r="AE269" s="4" t="s">
        <v>509</v>
      </c>
      <c r="AF269" s="4" t="s">
        <v>589</v>
      </c>
      <c r="AG269" s="115">
        <f>+VLOOKUP(Y269,B:O,6,FALSE)/1000</f>
        <v>9.1211617248297766E-2</v>
      </c>
      <c r="AI269" s="158"/>
    </row>
    <row r="270" spans="23:35">
      <c r="W270" s="4" t="s">
        <v>585</v>
      </c>
      <c r="X270" s="4" t="s">
        <v>3360</v>
      </c>
      <c r="Y270" s="151" t="str">
        <f t="shared" si="26"/>
        <v>E5310</v>
      </c>
      <c r="Z270" s="4" t="s">
        <v>587</v>
      </c>
      <c r="AA270" s="114" t="s">
        <v>588</v>
      </c>
      <c r="AB270" s="4" t="s">
        <v>506</v>
      </c>
      <c r="AC270" s="4" t="s">
        <v>507</v>
      </c>
      <c r="AD270" s="4" t="s">
        <v>508</v>
      </c>
      <c r="AE270" s="4" t="s">
        <v>509</v>
      </c>
      <c r="AF270" s="4" t="s">
        <v>589</v>
      </c>
      <c r="AG270" s="115">
        <f>+VLOOKUP(Y270,B:O,7,FALSE)/1000</f>
        <v>9.1211617248297766E-2</v>
      </c>
      <c r="AI270" s="158"/>
    </row>
    <row r="271" spans="23:35">
      <c r="W271" s="4" t="s">
        <v>585</v>
      </c>
      <c r="X271" s="4" t="s">
        <v>3361</v>
      </c>
      <c r="Y271" s="151" t="str">
        <f t="shared" si="26"/>
        <v>E5310</v>
      </c>
      <c r="Z271" s="4" t="s">
        <v>587</v>
      </c>
      <c r="AA271" s="114" t="s">
        <v>588</v>
      </c>
      <c r="AB271" s="4" t="s">
        <v>506</v>
      </c>
      <c r="AC271" s="4" t="s">
        <v>507</v>
      </c>
      <c r="AD271" s="4" t="s">
        <v>508</v>
      </c>
      <c r="AE271" s="4" t="s">
        <v>509</v>
      </c>
      <c r="AF271" s="4" t="s">
        <v>589</v>
      </c>
      <c r="AG271" s="115">
        <f>+VLOOKUP(Y271,B:O,8,FALSE)/1000</f>
        <v>9.1211617248297766E-2</v>
      </c>
      <c r="AI271" s="158"/>
    </row>
    <row r="272" spans="23:35">
      <c r="W272" s="4" t="s">
        <v>585</v>
      </c>
      <c r="X272" s="4" t="s">
        <v>3362</v>
      </c>
      <c r="Y272" s="151" t="str">
        <f t="shared" si="26"/>
        <v>E5310</v>
      </c>
      <c r="Z272" s="4" t="s">
        <v>587</v>
      </c>
      <c r="AA272" s="114" t="s">
        <v>588</v>
      </c>
      <c r="AB272" s="4" t="s">
        <v>506</v>
      </c>
      <c r="AC272" s="4" t="s">
        <v>507</v>
      </c>
      <c r="AD272" s="4" t="s">
        <v>508</v>
      </c>
      <c r="AE272" s="4" t="s">
        <v>509</v>
      </c>
      <c r="AF272" s="4" t="s">
        <v>589</v>
      </c>
      <c r="AG272" s="115">
        <f>+VLOOKUP(Y272,B:O,9,FALSE)/1000</f>
        <v>9.1211617248297766E-2</v>
      </c>
      <c r="AI272" s="158"/>
    </row>
    <row r="273" spans="23:35">
      <c r="W273" s="4" t="s">
        <v>585</v>
      </c>
      <c r="X273" s="4" t="s">
        <v>3363</v>
      </c>
      <c r="Y273" s="151" t="str">
        <f t="shared" si="26"/>
        <v>E5310</v>
      </c>
      <c r="Z273" s="4" t="s">
        <v>587</v>
      </c>
      <c r="AA273" s="114" t="s">
        <v>588</v>
      </c>
      <c r="AB273" s="4" t="s">
        <v>506</v>
      </c>
      <c r="AC273" s="4" t="s">
        <v>507</v>
      </c>
      <c r="AD273" s="4" t="s">
        <v>508</v>
      </c>
      <c r="AE273" s="4" t="s">
        <v>509</v>
      </c>
      <c r="AF273" s="4" t="s">
        <v>589</v>
      </c>
      <c r="AG273" s="115">
        <f>+VLOOKUP(Y273,B:O,10,FALSE)/1000</f>
        <v>9.1211617248297766E-2</v>
      </c>
      <c r="AI273" s="158"/>
    </row>
    <row r="274" spans="23:35">
      <c r="W274" s="4" t="s">
        <v>585</v>
      </c>
      <c r="X274" s="4" t="s">
        <v>3364</v>
      </c>
      <c r="Y274" s="151" t="str">
        <f t="shared" si="26"/>
        <v>E5310</v>
      </c>
      <c r="Z274" s="4" t="s">
        <v>587</v>
      </c>
      <c r="AA274" s="114" t="s">
        <v>588</v>
      </c>
      <c r="AB274" s="4" t="s">
        <v>506</v>
      </c>
      <c r="AC274" s="4" t="s">
        <v>507</v>
      </c>
      <c r="AD274" s="4" t="s">
        <v>508</v>
      </c>
      <c r="AE274" s="4" t="s">
        <v>509</v>
      </c>
      <c r="AF274" s="4" t="s">
        <v>589</v>
      </c>
      <c r="AG274" s="115">
        <f>+VLOOKUP(Y274,B:O,11,FALSE)/1000</f>
        <v>9.1211617248297766E-2</v>
      </c>
      <c r="AI274" s="158"/>
    </row>
    <row r="275" spans="23:35">
      <c r="W275" s="4" t="s">
        <v>585</v>
      </c>
      <c r="X275" s="4" t="s">
        <v>3365</v>
      </c>
      <c r="Y275" s="151" t="str">
        <f t="shared" si="26"/>
        <v>E5310</v>
      </c>
      <c r="Z275" s="4" t="s">
        <v>587</v>
      </c>
      <c r="AA275" s="114" t="s">
        <v>588</v>
      </c>
      <c r="AB275" s="4" t="s">
        <v>506</v>
      </c>
      <c r="AC275" s="4" t="s">
        <v>507</v>
      </c>
      <c r="AD275" s="4" t="s">
        <v>508</v>
      </c>
      <c r="AE275" s="4" t="s">
        <v>509</v>
      </c>
      <c r="AF275" s="4" t="s">
        <v>589</v>
      </c>
      <c r="AG275" s="115">
        <f>+VLOOKUP(Y275,B:O,12,FALSE)/1000</f>
        <v>9.1211617248297766E-2</v>
      </c>
      <c r="AI275" s="158"/>
    </row>
    <row r="276" spans="23:35">
      <c r="W276" s="4" t="s">
        <v>585</v>
      </c>
      <c r="X276" s="4" t="s">
        <v>3366</v>
      </c>
      <c r="Y276" s="151" t="str">
        <f t="shared" si="26"/>
        <v>E5310</v>
      </c>
      <c r="Z276" s="4" t="s">
        <v>587</v>
      </c>
      <c r="AA276" s="114" t="s">
        <v>588</v>
      </c>
      <c r="AB276" s="4" t="s">
        <v>506</v>
      </c>
      <c r="AC276" s="4" t="s">
        <v>507</v>
      </c>
      <c r="AD276" s="4" t="s">
        <v>508</v>
      </c>
      <c r="AE276" s="4" t="s">
        <v>509</v>
      </c>
      <c r="AF276" s="4" t="s">
        <v>589</v>
      </c>
      <c r="AG276" s="115">
        <f>+VLOOKUP(Y276,B:O,13,FALSE)/1000</f>
        <v>9.3309484445008625E-2</v>
      </c>
      <c r="AI276" s="158"/>
    </row>
    <row r="277" spans="23:35">
      <c r="W277" s="4" t="s">
        <v>585</v>
      </c>
      <c r="X277" s="4" t="s">
        <v>3367</v>
      </c>
      <c r="Y277" s="151" t="str">
        <f t="shared" si="26"/>
        <v>E5310</v>
      </c>
      <c r="Z277" s="4" t="s">
        <v>587</v>
      </c>
      <c r="AA277" s="114" t="s">
        <v>588</v>
      </c>
      <c r="AB277" s="4" t="s">
        <v>506</v>
      </c>
      <c r="AC277" s="4" t="s">
        <v>507</v>
      </c>
      <c r="AD277" s="4" t="s">
        <v>508</v>
      </c>
      <c r="AE277" s="4" t="s">
        <v>509</v>
      </c>
      <c r="AF277" s="4" t="s">
        <v>589</v>
      </c>
      <c r="AG277" s="115">
        <f>+VLOOKUP(Y277,B:O,14,FALSE)/1000</f>
        <v>9.3309484445008625E-2</v>
      </c>
      <c r="AI277" s="158"/>
    </row>
    <row r="278" spans="23:35">
      <c r="W278" s="4" t="s">
        <v>585</v>
      </c>
      <c r="X278" s="3" t="s">
        <v>3356</v>
      </c>
      <c r="Y278" s="150" t="str">
        <f>INDEX($B$3:$O$110,35,1)</f>
        <v>E5320</v>
      </c>
      <c r="Z278" s="4" t="s">
        <v>587</v>
      </c>
      <c r="AA278" s="114" t="s">
        <v>588</v>
      </c>
      <c r="AB278" s="4" t="s">
        <v>506</v>
      </c>
      <c r="AC278" s="4" t="s">
        <v>507</v>
      </c>
      <c r="AD278" s="4" t="s">
        <v>508</v>
      </c>
      <c r="AE278" s="4" t="s">
        <v>509</v>
      </c>
      <c r="AF278" s="4" t="s">
        <v>589</v>
      </c>
      <c r="AG278" s="115">
        <f>+VLOOKUP(Y278,B:O,3,FALSE)/1000</f>
        <v>9.1041250625698331E-2</v>
      </c>
      <c r="AI278" s="158"/>
    </row>
    <row r="279" spans="23:35">
      <c r="W279" s="4" t="s">
        <v>585</v>
      </c>
      <c r="X279" s="4" t="s">
        <v>3357</v>
      </c>
      <c r="Y279" s="151" t="str">
        <f>Y278</f>
        <v>E5320</v>
      </c>
      <c r="Z279" s="4" t="s">
        <v>587</v>
      </c>
      <c r="AA279" s="114" t="s">
        <v>588</v>
      </c>
      <c r="AB279" s="4" t="s">
        <v>506</v>
      </c>
      <c r="AC279" s="4" t="s">
        <v>507</v>
      </c>
      <c r="AD279" s="4" t="s">
        <v>508</v>
      </c>
      <c r="AE279" s="4" t="s">
        <v>509</v>
      </c>
      <c r="AF279" s="4" t="s">
        <v>589</v>
      </c>
      <c r="AG279" s="115">
        <f>+VLOOKUP(Y279,B:O,4,FALSE)/1000</f>
        <v>9.1041250625698331E-2</v>
      </c>
      <c r="AI279" s="158"/>
    </row>
    <row r="280" spans="23:35">
      <c r="W280" s="4" t="s">
        <v>585</v>
      </c>
      <c r="X280" s="4" t="s">
        <v>3358</v>
      </c>
      <c r="Y280" s="151" t="str">
        <f t="shared" ref="Y280:Y289" si="27">Y279</f>
        <v>E5320</v>
      </c>
      <c r="Z280" s="4" t="s">
        <v>587</v>
      </c>
      <c r="AA280" s="114" t="s">
        <v>588</v>
      </c>
      <c r="AB280" s="4" t="s">
        <v>506</v>
      </c>
      <c r="AC280" s="4" t="s">
        <v>507</v>
      </c>
      <c r="AD280" s="4" t="s">
        <v>508</v>
      </c>
      <c r="AE280" s="4" t="s">
        <v>509</v>
      </c>
      <c r="AF280" s="4" t="s">
        <v>589</v>
      </c>
      <c r="AG280" s="115">
        <f>+VLOOKUP(Y280,B:O,5,FALSE)/1000</f>
        <v>9.1041250625698331E-2</v>
      </c>
      <c r="AI280" s="158"/>
    </row>
    <row r="281" spans="23:35">
      <c r="W281" s="4" t="s">
        <v>585</v>
      </c>
      <c r="X281" s="4" t="s">
        <v>3359</v>
      </c>
      <c r="Y281" s="151" t="str">
        <f t="shared" si="27"/>
        <v>E5320</v>
      </c>
      <c r="Z281" s="4" t="s">
        <v>587</v>
      </c>
      <c r="AA281" s="114" t="s">
        <v>588</v>
      </c>
      <c r="AB281" s="4" t="s">
        <v>506</v>
      </c>
      <c r="AC281" s="4" t="s">
        <v>507</v>
      </c>
      <c r="AD281" s="4" t="s">
        <v>508</v>
      </c>
      <c r="AE281" s="4" t="s">
        <v>509</v>
      </c>
      <c r="AF281" s="4" t="s">
        <v>589</v>
      </c>
      <c r="AG281" s="115">
        <f>+VLOOKUP(Y281,B:O,6,FALSE)/1000</f>
        <v>9.1041250625698331E-2</v>
      </c>
      <c r="AI281" s="158"/>
    </row>
    <row r="282" spans="23:35">
      <c r="W282" s="4" t="s">
        <v>585</v>
      </c>
      <c r="X282" s="4" t="s">
        <v>3360</v>
      </c>
      <c r="Y282" s="151" t="str">
        <f t="shared" si="27"/>
        <v>E5320</v>
      </c>
      <c r="Z282" s="4" t="s">
        <v>587</v>
      </c>
      <c r="AA282" s="114" t="s">
        <v>588</v>
      </c>
      <c r="AB282" s="4" t="s">
        <v>506</v>
      </c>
      <c r="AC282" s="4" t="s">
        <v>507</v>
      </c>
      <c r="AD282" s="4" t="s">
        <v>508</v>
      </c>
      <c r="AE282" s="4" t="s">
        <v>509</v>
      </c>
      <c r="AF282" s="4" t="s">
        <v>589</v>
      </c>
      <c r="AG282" s="115">
        <f>+VLOOKUP(Y282,B:O,7,FALSE)/1000</f>
        <v>9.1041250625698331E-2</v>
      </c>
      <c r="AI282" s="158"/>
    </row>
    <row r="283" spans="23:35">
      <c r="W283" s="4" t="s">
        <v>585</v>
      </c>
      <c r="X283" s="4" t="s">
        <v>3361</v>
      </c>
      <c r="Y283" s="151" t="str">
        <f t="shared" si="27"/>
        <v>E5320</v>
      </c>
      <c r="Z283" s="4" t="s">
        <v>587</v>
      </c>
      <c r="AA283" s="114" t="s">
        <v>588</v>
      </c>
      <c r="AB283" s="4" t="s">
        <v>506</v>
      </c>
      <c r="AC283" s="4" t="s">
        <v>507</v>
      </c>
      <c r="AD283" s="4" t="s">
        <v>508</v>
      </c>
      <c r="AE283" s="4" t="s">
        <v>509</v>
      </c>
      <c r="AF283" s="4" t="s">
        <v>589</v>
      </c>
      <c r="AG283" s="115">
        <f>+VLOOKUP(Y283,B:O,8,FALSE)/1000</f>
        <v>9.1041250625698331E-2</v>
      </c>
      <c r="AI283" s="158"/>
    </row>
    <row r="284" spans="23:35">
      <c r="W284" s="4" t="s">
        <v>585</v>
      </c>
      <c r="X284" s="4" t="s">
        <v>3362</v>
      </c>
      <c r="Y284" s="151" t="str">
        <f t="shared" si="27"/>
        <v>E5320</v>
      </c>
      <c r="Z284" s="4" t="s">
        <v>587</v>
      </c>
      <c r="AA284" s="114" t="s">
        <v>588</v>
      </c>
      <c r="AB284" s="4" t="s">
        <v>506</v>
      </c>
      <c r="AC284" s="4" t="s">
        <v>507</v>
      </c>
      <c r="AD284" s="4" t="s">
        <v>508</v>
      </c>
      <c r="AE284" s="4" t="s">
        <v>509</v>
      </c>
      <c r="AF284" s="4" t="s">
        <v>589</v>
      </c>
      <c r="AG284" s="115">
        <f>+VLOOKUP(Y284,B:O,9,FALSE)/1000</f>
        <v>9.1041250625698331E-2</v>
      </c>
      <c r="AI284" s="158"/>
    </row>
    <row r="285" spans="23:35">
      <c r="W285" s="4" t="s">
        <v>585</v>
      </c>
      <c r="X285" s="4" t="s">
        <v>3363</v>
      </c>
      <c r="Y285" s="151" t="str">
        <f t="shared" si="27"/>
        <v>E5320</v>
      </c>
      <c r="Z285" s="4" t="s">
        <v>587</v>
      </c>
      <c r="AA285" s="114" t="s">
        <v>588</v>
      </c>
      <c r="AB285" s="4" t="s">
        <v>506</v>
      </c>
      <c r="AC285" s="4" t="s">
        <v>507</v>
      </c>
      <c r="AD285" s="4" t="s">
        <v>508</v>
      </c>
      <c r="AE285" s="4" t="s">
        <v>509</v>
      </c>
      <c r="AF285" s="4" t="s">
        <v>589</v>
      </c>
      <c r="AG285" s="115">
        <f>+VLOOKUP(Y285,B:O,10,FALSE)/1000</f>
        <v>9.1041250625698331E-2</v>
      </c>
      <c r="AI285" s="158"/>
    </row>
    <row r="286" spans="23:35">
      <c r="W286" s="4" t="s">
        <v>585</v>
      </c>
      <c r="X286" s="4" t="s">
        <v>3364</v>
      </c>
      <c r="Y286" s="151" t="str">
        <f t="shared" si="27"/>
        <v>E5320</v>
      </c>
      <c r="Z286" s="4" t="s">
        <v>587</v>
      </c>
      <c r="AA286" s="114" t="s">
        <v>588</v>
      </c>
      <c r="AB286" s="4" t="s">
        <v>506</v>
      </c>
      <c r="AC286" s="4" t="s">
        <v>507</v>
      </c>
      <c r="AD286" s="4" t="s">
        <v>508</v>
      </c>
      <c r="AE286" s="4" t="s">
        <v>509</v>
      </c>
      <c r="AF286" s="4" t="s">
        <v>589</v>
      </c>
      <c r="AG286" s="115">
        <f>+VLOOKUP(Y286,B:O,11,FALSE)/1000</f>
        <v>9.1041250625698331E-2</v>
      </c>
      <c r="AI286" s="158"/>
    </row>
    <row r="287" spans="23:35">
      <c r="W287" s="4" t="s">
        <v>585</v>
      </c>
      <c r="X287" s="4" t="s">
        <v>3365</v>
      </c>
      <c r="Y287" s="151" t="str">
        <f t="shared" si="27"/>
        <v>E5320</v>
      </c>
      <c r="Z287" s="4" t="s">
        <v>587</v>
      </c>
      <c r="AA287" s="114" t="s">
        <v>588</v>
      </c>
      <c r="AB287" s="4" t="s">
        <v>506</v>
      </c>
      <c r="AC287" s="4" t="s">
        <v>507</v>
      </c>
      <c r="AD287" s="4" t="s">
        <v>508</v>
      </c>
      <c r="AE287" s="4" t="s">
        <v>509</v>
      </c>
      <c r="AF287" s="4" t="s">
        <v>589</v>
      </c>
      <c r="AG287" s="115">
        <f>+VLOOKUP(Y287,B:O,12,FALSE)/1000</f>
        <v>9.1041250625698331E-2</v>
      </c>
      <c r="AI287" s="158"/>
    </row>
    <row r="288" spans="23:35">
      <c r="W288" s="4" t="s">
        <v>585</v>
      </c>
      <c r="X288" s="4" t="s">
        <v>3366</v>
      </c>
      <c r="Y288" s="151" t="str">
        <f t="shared" si="27"/>
        <v>E5320</v>
      </c>
      <c r="Z288" s="4" t="s">
        <v>587</v>
      </c>
      <c r="AA288" s="114" t="s">
        <v>588</v>
      </c>
      <c r="AB288" s="4" t="s">
        <v>506</v>
      </c>
      <c r="AC288" s="4" t="s">
        <v>507</v>
      </c>
      <c r="AD288" s="4" t="s">
        <v>508</v>
      </c>
      <c r="AE288" s="4" t="s">
        <v>509</v>
      </c>
      <c r="AF288" s="4" t="s">
        <v>589</v>
      </c>
      <c r="AG288" s="115">
        <f>+VLOOKUP(Y288,B:O,13,FALSE)/1000</f>
        <v>9.3135199390089379E-2</v>
      </c>
      <c r="AI288" s="158"/>
    </row>
    <row r="289" spans="23:35">
      <c r="W289" s="4" t="s">
        <v>585</v>
      </c>
      <c r="X289" s="4" t="s">
        <v>3367</v>
      </c>
      <c r="Y289" s="151" t="str">
        <f t="shared" si="27"/>
        <v>E5320</v>
      </c>
      <c r="Z289" s="4" t="s">
        <v>587</v>
      </c>
      <c r="AA289" s="114" t="s">
        <v>588</v>
      </c>
      <c r="AB289" s="4" t="s">
        <v>506</v>
      </c>
      <c r="AC289" s="4" t="s">
        <v>507</v>
      </c>
      <c r="AD289" s="4" t="s">
        <v>508</v>
      </c>
      <c r="AE289" s="4" t="s">
        <v>509</v>
      </c>
      <c r="AF289" s="4" t="s">
        <v>589</v>
      </c>
      <c r="AG289" s="115">
        <f>+VLOOKUP(Y289,B:O,14,FALSE)/1000</f>
        <v>9.3135199390089379E-2</v>
      </c>
      <c r="AI289" s="158"/>
    </row>
    <row r="290" spans="23:35">
      <c r="W290" s="4" t="s">
        <v>585</v>
      </c>
      <c r="X290" s="3" t="s">
        <v>3356</v>
      </c>
      <c r="Y290" s="150" t="str">
        <f>INDEX($B$3:$O$110,36,1)</f>
        <v>E5360</v>
      </c>
      <c r="Z290" s="4" t="s">
        <v>587</v>
      </c>
      <c r="AA290" s="114" t="s">
        <v>588</v>
      </c>
      <c r="AB290" s="4" t="s">
        <v>506</v>
      </c>
      <c r="AC290" s="4" t="s">
        <v>507</v>
      </c>
      <c r="AD290" s="4" t="s">
        <v>508</v>
      </c>
      <c r="AE290" s="4" t="s">
        <v>509</v>
      </c>
      <c r="AF290" s="4" t="s">
        <v>589</v>
      </c>
      <c r="AG290" s="115">
        <f>+VLOOKUP(Y290,B:O,3,FALSE)/1000</f>
        <v>9.0729013460477015E-2</v>
      </c>
      <c r="AI290" s="158"/>
    </row>
    <row r="291" spans="23:35">
      <c r="W291" s="4" t="s">
        <v>585</v>
      </c>
      <c r="X291" s="4" t="s">
        <v>3357</v>
      </c>
      <c r="Y291" s="151" t="str">
        <f>Y290</f>
        <v>E5360</v>
      </c>
      <c r="Z291" s="4" t="s">
        <v>587</v>
      </c>
      <c r="AA291" s="114" t="s">
        <v>588</v>
      </c>
      <c r="AB291" s="4" t="s">
        <v>506</v>
      </c>
      <c r="AC291" s="4" t="s">
        <v>507</v>
      </c>
      <c r="AD291" s="4" t="s">
        <v>508</v>
      </c>
      <c r="AE291" s="4" t="s">
        <v>509</v>
      </c>
      <c r="AF291" s="4" t="s">
        <v>589</v>
      </c>
      <c r="AG291" s="115">
        <f>+VLOOKUP(Y291,B:O,4,FALSE)/1000</f>
        <v>9.0729013460477015E-2</v>
      </c>
      <c r="AI291" s="158"/>
    </row>
    <row r="292" spans="23:35">
      <c r="W292" s="4" t="s">
        <v>585</v>
      </c>
      <c r="X292" s="4" t="s">
        <v>3358</v>
      </c>
      <c r="Y292" s="151" t="str">
        <f t="shared" ref="Y292:Y301" si="28">Y291</f>
        <v>E5360</v>
      </c>
      <c r="Z292" s="4" t="s">
        <v>587</v>
      </c>
      <c r="AA292" s="114" t="s">
        <v>588</v>
      </c>
      <c r="AB292" s="4" t="s">
        <v>506</v>
      </c>
      <c r="AC292" s="4" t="s">
        <v>507</v>
      </c>
      <c r="AD292" s="4" t="s">
        <v>508</v>
      </c>
      <c r="AE292" s="4" t="s">
        <v>509</v>
      </c>
      <c r="AF292" s="4" t="s">
        <v>589</v>
      </c>
      <c r="AG292" s="115">
        <f>+VLOOKUP(Y292,B:O,5,FALSE)/1000</f>
        <v>9.0729013460477015E-2</v>
      </c>
      <c r="AI292" s="158"/>
    </row>
    <row r="293" spans="23:35">
      <c r="W293" s="4" t="s">
        <v>585</v>
      </c>
      <c r="X293" s="4" t="s">
        <v>3359</v>
      </c>
      <c r="Y293" s="151" t="str">
        <f t="shared" si="28"/>
        <v>E5360</v>
      </c>
      <c r="Z293" s="4" t="s">
        <v>587</v>
      </c>
      <c r="AA293" s="114" t="s">
        <v>588</v>
      </c>
      <c r="AB293" s="4" t="s">
        <v>506</v>
      </c>
      <c r="AC293" s="4" t="s">
        <v>507</v>
      </c>
      <c r="AD293" s="4" t="s">
        <v>508</v>
      </c>
      <c r="AE293" s="4" t="s">
        <v>509</v>
      </c>
      <c r="AF293" s="4" t="s">
        <v>589</v>
      </c>
      <c r="AG293" s="115">
        <f>+VLOOKUP(Y293,B:O,6,FALSE)/1000</f>
        <v>9.0729013460477015E-2</v>
      </c>
      <c r="AI293" s="158"/>
    </row>
    <row r="294" spans="23:35">
      <c r="W294" s="4" t="s">
        <v>585</v>
      </c>
      <c r="X294" s="4" t="s">
        <v>3360</v>
      </c>
      <c r="Y294" s="151" t="str">
        <f t="shared" si="28"/>
        <v>E5360</v>
      </c>
      <c r="Z294" s="4" t="s">
        <v>587</v>
      </c>
      <c r="AA294" s="114" t="s">
        <v>588</v>
      </c>
      <c r="AB294" s="4" t="s">
        <v>506</v>
      </c>
      <c r="AC294" s="4" t="s">
        <v>507</v>
      </c>
      <c r="AD294" s="4" t="s">
        <v>508</v>
      </c>
      <c r="AE294" s="4" t="s">
        <v>509</v>
      </c>
      <c r="AF294" s="4" t="s">
        <v>589</v>
      </c>
      <c r="AG294" s="115">
        <f>+VLOOKUP(Y294,B:O,7,FALSE)/1000</f>
        <v>9.0729013460477015E-2</v>
      </c>
      <c r="AI294" s="158"/>
    </row>
    <row r="295" spans="23:35">
      <c r="W295" s="4" t="s">
        <v>585</v>
      </c>
      <c r="X295" s="4" t="s">
        <v>3361</v>
      </c>
      <c r="Y295" s="151" t="str">
        <f t="shared" si="28"/>
        <v>E5360</v>
      </c>
      <c r="Z295" s="4" t="s">
        <v>587</v>
      </c>
      <c r="AA295" s="114" t="s">
        <v>588</v>
      </c>
      <c r="AB295" s="4" t="s">
        <v>506</v>
      </c>
      <c r="AC295" s="4" t="s">
        <v>507</v>
      </c>
      <c r="AD295" s="4" t="s">
        <v>508</v>
      </c>
      <c r="AE295" s="4" t="s">
        <v>509</v>
      </c>
      <c r="AF295" s="4" t="s">
        <v>589</v>
      </c>
      <c r="AG295" s="115">
        <f>+VLOOKUP(Y295,B:O,8,FALSE)/1000</f>
        <v>9.0729013460477015E-2</v>
      </c>
      <c r="AI295" s="158"/>
    </row>
    <row r="296" spans="23:35">
      <c r="W296" s="4" t="s">
        <v>585</v>
      </c>
      <c r="X296" s="4" t="s">
        <v>3362</v>
      </c>
      <c r="Y296" s="151" t="str">
        <f t="shared" si="28"/>
        <v>E5360</v>
      </c>
      <c r="Z296" s="4" t="s">
        <v>587</v>
      </c>
      <c r="AA296" s="114" t="s">
        <v>588</v>
      </c>
      <c r="AB296" s="4" t="s">
        <v>506</v>
      </c>
      <c r="AC296" s="4" t="s">
        <v>507</v>
      </c>
      <c r="AD296" s="4" t="s">
        <v>508</v>
      </c>
      <c r="AE296" s="4" t="s">
        <v>509</v>
      </c>
      <c r="AF296" s="4" t="s">
        <v>589</v>
      </c>
      <c r="AG296" s="115">
        <f>+VLOOKUP(Y296,B:O,9,FALSE)/1000</f>
        <v>9.0729013460477015E-2</v>
      </c>
      <c r="AI296" s="158"/>
    </row>
    <row r="297" spans="23:35">
      <c r="W297" s="4" t="s">
        <v>585</v>
      </c>
      <c r="X297" s="4" t="s">
        <v>3363</v>
      </c>
      <c r="Y297" s="151" t="str">
        <f t="shared" si="28"/>
        <v>E5360</v>
      </c>
      <c r="Z297" s="4" t="s">
        <v>587</v>
      </c>
      <c r="AA297" s="114" t="s">
        <v>588</v>
      </c>
      <c r="AB297" s="4" t="s">
        <v>506</v>
      </c>
      <c r="AC297" s="4" t="s">
        <v>507</v>
      </c>
      <c r="AD297" s="4" t="s">
        <v>508</v>
      </c>
      <c r="AE297" s="4" t="s">
        <v>509</v>
      </c>
      <c r="AF297" s="4" t="s">
        <v>589</v>
      </c>
      <c r="AG297" s="115">
        <f>+VLOOKUP(Y297,B:O,10,FALSE)/1000</f>
        <v>9.0729013460477015E-2</v>
      </c>
      <c r="AI297" s="158"/>
    </row>
    <row r="298" spans="23:35">
      <c r="W298" s="4" t="s">
        <v>585</v>
      </c>
      <c r="X298" s="4" t="s">
        <v>3364</v>
      </c>
      <c r="Y298" s="151" t="str">
        <f t="shared" si="28"/>
        <v>E5360</v>
      </c>
      <c r="Z298" s="4" t="s">
        <v>587</v>
      </c>
      <c r="AA298" s="114" t="s">
        <v>588</v>
      </c>
      <c r="AB298" s="4" t="s">
        <v>506</v>
      </c>
      <c r="AC298" s="4" t="s">
        <v>507</v>
      </c>
      <c r="AD298" s="4" t="s">
        <v>508</v>
      </c>
      <c r="AE298" s="4" t="s">
        <v>509</v>
      </c>
      <c r="AF298" s="4" t="s">
        <v>589</v>
      </c>
      <c r="AG298" s="115">
        <f>+VLOOKUP(Y298,B:O,11,FALSE)/1000</f>
        <v>9.0729013460477015E-2</v>
      </c>
      <c r="AI298" s="158"/>
    </row>
    <row r="299" spans="23:35">
      <c r="W299" s="4" t="s">
        <v>585</v>
      </c>
      <c r="X299" s="4" t="s">
        <v>3365</v>
      </c>
      <c r="Y299" s="151" t="str">
        <f t="shared" si="28"/>
        <v>E5360</v>
      </c>
      <c r="Z299" s="4" t="s">
        <v>587</v>
      </c>
      <c r="AA299" s="114" t="s">
        <v>588</v>
      </c>
      <c r="AB299" s="4" t="s">
        <v>506</v>
      </c>
      <c r="AC299" s="4" t="s">
        <v>507</v>
      </c>
      <c r="AD299" s="4" t="s">
        <v>508</v>
      </c>
      <c r="AE299" s="4" t="s">
        <v>509</v>
      </c>
      <c r="AF299" s="4" t="s">
        <v>589</v>
      </c>
      <c r="AG299" s="115">
        <f>+VLOOKUP(Y299,B:O,12,FALSE)/1000</f>
        <v>9.0729013460477015E-2</v>
      </c>
      <c r="AI299" s="158"/>
    </row>
    <row r="300" spans="23:35">
      <c r="W300" s="4" t="s">
        <v>585</v>
      </c>
      <c r="X300" s="4" t="s">
        <v>3366</v>
      </c>
      <c r="Y300" s="151" t="str">
        <f t="shared" si="28"/>
        <v>E5360</v>
      </c>
      <c r="Z300" s="4" t="s">
        <v>587</v>
      </c>
      <c r="AA300" s="114" t="s">
        <v>588</v>
      </c>
      <c r="AB300" s="4" t="s">
        <v>506</v>
      </c>
      <c r="AC300" s="4" t="s">
        <v>507</v>
      </c>
      <c r="AD300" s="4" t="s">
        <v>508</v>
      </c>
      <c r="AE300" s="4" t="s">
        <v>509</v>
      </c>
      <c r="AF300" s="4" t="s">
        <v>589</v>
      </c>
      <c r="AG300" s="115">
        <f>+VLOOKUP(Y300,B:O,13,FALSE)/1000</f>
        <v>9.2815780770067982E-2</v>
      </c>
      <c r="AI300" s="158"/>
    </row>
    <row r="301" spans="23:35">
      <c r="W301" s="4" t="s">
        <v>585</v>
      </c>
      <c r="X301" s="4" t="s">
        <v>3367</v>
      </c>
      <c r="Y301" s="151" t="str">
        <f t="shared" si="28"/>
        <v>E5360</v>
      </c>
      <c r="Z301" s="4" t="s">
        <v>587</v>
      </c>
      <c r="AA301" s="114" t="s">
        <v>588</v>
      </c>
      <c r="AB301" s="4" t="s">
        <v>506</v>
      </c>
      <c r="AC301" s="4" t="s">
        <v>507</v>
      </c>
      <c r="AD301" s="4" t="s">
        <v>508</v>
      </c>
      <c r="AE301" s="4" t="s">
        <v>509</v>
      </c>
      <c r="AF301" s="4" t="s">
        <v>589</v>
      </c>
      <c r="AG301" s="115">
        <f>+VLOOKUP(Y301,B:O,14,FALSE)/1000</f>
        <v>9.2815780770067982E-2</v>
      </c>
      <c r="AI301" s="158"/>
    </row>
    <row r="302" spans="23:35">
      <c r="W302" s="4" t="s">
        <v>585</v>
      </c>
      <c r="X302" s="3" t="s">
        <v>3356</v>
      </c>
      <c r="Y302" s="150" t="str">
        <f>INDEX($B$3:$O$110,37,1)</f>
        <v>E5391</v>
      </c>
      <c r="Z302" s="4" t="s">
        <v>587</v>
      </c>
      <c r="AA302" s="114" t="s">
        <v>588</v>
      </c>
      <c r="AB302" s="4" t="s">
        <v>506</v>
      </c>
      <c r="AC302" s="4" t="s">
        <v>507</v>
      </c>
      <c r="AD302" s="4" t="s">
        <v>508</v>
      </c>
      <c r="AE302" s="4" t="s">
        <v>509</v>
      </c>
      <c r="AF302" s="4" t="s">
        <v>589</v>
      </c>
      <c r="AG302" s="115">
        <f>+VLOOKUP(Y302,B:O,3,FALSE)/1000</f>
        <v>9.7592121647873412E-2</v>
      </c>
      <c r="AI302" s="158"/>
    </row>
    <row r="303" spans="23:35">
      <c r="W303" s="4" t="s">
        <v>585</v>
      </c>
      <c r="X303" s="4" t="s">
        <v>3357</v>
      </c>
      <c r="Y303" s="151" t="str">
        <f>Y302</f>
        <v>E5391</v>
      </c>
      <c r="Z303" s="4" t="s">
        <v>587</v>
      </c>
      <c r="AA303" s="114" t="s">
        <v>588</v>
      </c>
      <c r="AB303" s="4" t="s">
        <v>506</v>
      </c>
      <c r="AC303" s="4" t="s">
        <v>507</v>
      </c>
      <c r="AD303" s="4" t="s">
        <v>508</v>
      </c>
      <c r="AE303" s="4" t="s">
        <v>509</v>
      </c>
      <c r="AF303" s="4" t="s">
        <v>589</v>
      </c>
      <c r="AG303" s="115">
        <f>+VLOOKUP(Y303,B:O,4,FALSE)/1000</f>
        <v>9.7592121647873412E-2</v>
      </c>
      <c r="AI303" s="158"/>
    </row>
    <row r="304" spans="23:35">
      <c r="W304" s="4" t="s">
        <v>585</v>
      </c>
      <c r="X304" s="4" t="s">
        <v>3358</v>
      </c>
      <c r="Y304" s="151" t="str">
        <f t="shared" ref="Y304:Y313" si="29">Y303</f>
        <v>E5391</v>
      </c>
      <c r="Z304" s="4" t="s">
        <v>587</v>
      </c>
      <c r="AA304" s="114" t="s">
        <v>588</v>
      </c>
      <c r="AB304" s="4" t="s">
        <v>506</v>
      </c>
      <c r="AC304" s="4" t="s">
        <v>507</v>
      </c>
      <c r="AD304" s="4" t="s">
        <v>508</v>
      </c>
      <c r="AE304" s="4" t="s">
        <v>509</v>
      </c>
      <c r="AF304" s="4" t="s">
        <v>589</v>
      </c>
      <c r="AG304" s="115">
        <f>+VLOOKUP(Y304,B:O,5,FALSE)/1000</f>
        <v>9.7592121647873412E-2</v>
      </c>
      <c r="AI304" s="158"/>
    </row>
    <row r="305" spans="23:44">
      <c r="W305" s="4" t="s">
        <v>585</v>
      </c>
      <c r="X305" s="4" t="s">
        <v>3359</v>
      </c>
      <c r="Y305" s="151" t="str">
        <f t="shared" si="29"/>
        <v>E5391</v>
      </c>
      <c r="Z305" s="4" t="s">
        <v>587</v>
      </c>
      <c r="AA305" s="114" t="s">
        <v>588</v>
      </c>
      <c r="AB305" s="4" t="s">
        <v>506</v>
      </c>
      <c r="AC305" s="4" t="s">
        <v>507</v>
      </c>
      <c r="AD305" s="4" t="s">
        <v>508</v>
      </c>
      <c r="AE305" s="4" t="s">
        <v>509</v>
      </c>
      <c r="AF305" s="4" t="s">
        <v>589</v>
      </c>
      <c r="AG305" s="115">
        <f>+VLOOKUP(Y305,B:O,6,FALSE)/1000</f>
        <v>9.7592121647873412E-2</v>
      </c>
      <c r="AI305" s="158"/>
    </row>
    <row r="306" spans="23:44">
      <c r="W306" s="4" t="s">
        <v>585</v>
      </c>
      <c r="X306" s="4" t="s">
        <v>3360</v>
      </c>
      <c r="Y306" s="151" t="str">
        <f t="shared" si="29"/>
        <v>E5391</v>
      </c>
      <c r="Z306" s="4" t="s">
        <v>587</v>
      </c>
      <c r="AA306" s="114" t="s">
        <v>588</v>
      </c>
      <c r="AB306" s="4" t="s">
        <v>506</v>
      </c>
      <c r="AC306" s="4" t="s">
        <v>507</v>
      </c>
      <c r="AD306" s="4" t="s">
        <v>508</v>
      </c>
      <c r="AE306" s="4" t="s">
        <v>509</v>
      </c>
      <c r="AF306" s="4" t="s">
        <v>589</v>
      </c>
      <c r="AG306" s="115">
        <f>+VLOOKUP(Y306,B:O,7,FALSE)/1000</f>
        <v>9.7592121647873412E-2</v>
      </c>
      <c r="AI306" s="158"/>
    </row>
    <row r="307" spans="23:44">
      <c r="W307" s="4" t="s">
        <v>585</v>
      </c>
      <c r="X307" s="4" t="s">
        <v>3361</v>
      </c>
      <c r="Y307" s="151" t="str">
        <f t="shared" si="29"/>
        <v>E5391</v>
      </c>
      <c r="Z307" s="4" t="s">
        <v>587</v>
      </c>
      <c r="AA307" s="114" t="s">
        <v>588</v>
      </c>
      <c r="AB307" s="4" t="s">
        <v>506</v>
      </c>
      <c r="AC307" s="4" t="s">
        <v>507</v>
      </c>
      <c r="AD307" s="4" t="s">
        <v>508</v>
      </c>
      <c r="AE307" s="4" t="s">
        <v>509</v>
      </c>
      <c r="AF307" s="4" t="s">
        <v>589</v>
      </c>
      <c r="AG307" s="115">
        <f>+VLOOKUP(Y307,B:O,8,FALSE)/1000</f>
        <v>9.7592121647873412E-2</v>
      </c>
      <c r="AI307" s="158"/>
    </row>
    <row r="308" spans="23:44">
      <c r="W308" s="4" t="s">
        <v>585</v>
      </c>
      <c r="X308" s="4" t="s">
        <v>3362</v>
      </c>
      <c r="Y308" s="151" t="str">
        <f t="shared" si="29"/>
        <v>E5391</v>
      </c>
      <c r="Z308" s="4" t="s">
        <v>587</v>
      </c>
      <c r="AA308" s="114" t="s">
        <v>588</v>
      </c>
      <c r="AB308" s="4" t="s">
        <v>506</v>
      </c>
      <c r="AC308" s="4" t="s">
        <v>507</v>
      </c>
      <c r="AD308" s="4" t="s">
        <v>508</v>
      </c>
      <c r="AE308" s="4" t="s">
        <v>509</v>
      </c>
      <c r="AF308" s="4" t="s">
        <v>589</v>
      </c>
      <c r="AG308" s="115">
        <f>+VLOOKUP(Y308,B:O,9,FALSE)/1000</f>
        <v>9.7592121647873412E-2</v>
      </c>
      <c r="AI308" s="158"/>
    </row>
    <row r="309" spans="23:44">
      <c r="W309" s="4" t="s">
        <v>585</v>
      </c>
      <c r="X309" s="4" t="s">
        <v>3363</v>
      </c>
      <c r="Y309" s="151" t="str">
        <f t="shared" si="29"/>
        <v>E5391</v>
      </c>
      <c r="Z309" s="4" t="s">
        <v>587</v>
      </c>
      <c r="AA309" s="114" t="s">
        <v>588</v>
      </c>
      <c r="AB309" s="4" t="s">
        <v>506</v>
      </c>
      <c r="AC309" s="4" t="s">
        <v>507</v>
      </c>
      <c r="AD309" s="4" t="s">
        <v>508</v>
      </c>
      <c r="AE309" s="4" t="s">
        <v>509</v>
      </c>
      <c r="AF309" s="4" t="s">
        <v>589</v>
      </c>
      <c r="AG309" s="115">
        <f>+VLOOKUP(Y309,B:O,10,FALSE)/1000</f>
        <v>9.7592121647873412E-2</v>
      </c>
      <c r="AI309" s="158"/>
    </row>
    <row r="310" spans="23:44">
      <c r="W310" s="4" t="s">
        <v>585</v>
      </c>
      <c r="X310" s="4" t="s">
        <v>3364</v>
      </c>
      <c r="Y310" s="151" t="str">
        <f t="shared" si="29"/>
        <v>E5391</v>
      </c>
      <c r="Z310" s="4" t="s">
        <v>587</v>
      </c>
      <c r="AA310" s="114" t="s">
        <v>588</v>
      </c>
      <c r="AB310" s="4" t="s">
        <v>506</v>
      </c>
      <c r="AC310" s="4" t="s">
        <v>507</v>
      </c>
      <c r="AD310" s="4" t="s">
        <v>508</v>
      </c>
      <c r="AE310" s="4" t="s">
        <v>509</v>
      </c>
      <c r="AF310" s="4" t="s">
        <v>589</v>
      </c>
      <c r="AG310" s="115">
        <f>+VLOOKUP(Y310,B:O,11,FALSE)/1000</f>
        <v>9.7592121647873412E-2</v>
      </c>
      <c r="AI310" s="158"/>
    </row>
    <row r="311" spans="23:44">
      <c r="W311" s="4" t="s">
        <v>585</v>
      </c>
      <c r="X311" s="4" t="s">
        <v>3365</v>
      </c>
      <c r="Y311" s="151" t="str">
        <f t="shared" si="29"/>
        <v>E5391</v>
      </c>
      <c r="Z311" s="4" t="s">
        <v>587</v>
      </c>
      <c r="AA311" s="114" t="s">
        <v>588</v>
      </c>
      <c r="AB311" s="4" t="s">
        <v>506</v>
      </c>
      <c r="AC311" s="4" t="s">
        <v>507</v>
      </c>
      <c r="AD311" s="4" t="s">
        <v>508</v>
      </c>
      <c r="AE311" s="4" t="s">
        <v>509</v>
      </c>
      <c r="AF311" s="4" t="s">
        <v>589</v>
      </c>
      <c r="AG311" s="115">
        <f>+VLOOKUP(Y311,B:O,12,FALSE)/1000</f>
        <v>9.7592121647873412E-2</v>
      </c>
      <c r="AI311" s="158"/>
    </row>
    <row r="312" spans="23:44">
      <c r="W312" s="4" t="s">
        <v>585</v>
      </c>
      <c r="X312" s="4" t="s">
        <v>3366</v>
      </c>
      <c r="Y312" s="151" t="str">
        <f t="shared" si="29"/>
        <v>E5391</v>
      </c>
      <c r="Z312" s="4" t="s">
        <v>587</v>
      </c>
      <c r="AA312" s="114" t="s">
        <v>588</v>
      </c>
      <c r="AB312" s="4" t="s">
        <v>506</v>
      </c>
      <c r="AC312" s="4" t="s">
        <v>507</v>
      </c>
      <c r="AD312" s="4" t="s">
        <v>508</v>
      </c>
      <c r="AE312" s="4" t="s">
        <v>509</v>
      </c>
      <c r="AF312" s="4" t="s">
        <v>589</v>
      </c>
      <c r="AG312" s="115">
        <f>+VLOOKUP(Y312,B:O,13,FALSE)/1000</f>
        <v>9.9836740445774494E-2</v>
      </c>
      <c r="AI312" s="158"/>
    </row>
    <row r="313" spans="23:44">
      <c r="W313" s="4" t="s">
        <v>585</v>
      </c>
      <c r="X313" s="4" t="s">
        <v>3367</v>
      </c>
      <c r="Y313" s="151" t="str">
        <f t="shared" si="29"/>
        <v>E5391</v>
      </c>
      <c r="Z313" s="4" t="s">
        <v>587</v>
      </c>
      <c r="AA313" s="114" t="s">
        <v>588</v>
      </c>
      <c r="AB313" s="4" t="s">
        <v>506</v>
      </c>
      <c r="AC313" s="4" t="s">
        <v>507</v>
      </c>
      <c r="AD313" s="4" t="s">
        <v>508</v>
      </c>
      <c r="AE313" s="4" t="s">
        <v>509</v>
      </c>
      <c r="AF313" s="4" t="s">
        <v>589</v>
      </c>
      <c r="AG313" s="115">
        <f>+VLOOKUP(Y313,B:O,14,FALSE)/1000</f>
        <v>9.9836740445774494E-2</v>
      </c>
      <c r="AI313" s="158"/>
    </row>
    <row r="314" spans="23:44">
      <c r="W314" s="4" t="s">
        <v>585</v>
      </c>
      <c r="X314" s="3" t="s">
        <v>3356</v>
      </c>
      <c r="Y314" s="150" t="str">
        <f>INDEX($B$3:$O$110,38,1)</f>
        <v>E5392</v>
      </c>
      <c r="Z314" s="4" t="s">
        <v>587</v>
      </c>
      <c r="AA314" s="114" t="s">
        <v>588</v>
      </c>
      <c r="AB314" s="4" t="s">
        <v>506</v>
      </c>
      <c r="AC314" s="4" t="s">
        <v>507</v>
      </c>
      <c r="AD314" s="4" t="s">
        <v>508</v>
      </c>
      <c r="AE314" s="4" t="s">
        <v>509</v>
      </c>
      <c r="AF314" s="4" t="s">
        <v>589</v>
      </c>
      <c r="AG314" s="115">
        <f>+VLOOKUP(Y314,B:O,3,FALSE)/1000</f>
        <v>9.528027812946413E-2</v>
      </c>
      <c r="AH314" s="152"/>
      <c r="AI314" s="158"/>
      <c r="AJ314" s="152"/>
      <c r="AK314" s="152"/>
      <c r="AL314" s="152"/>
      <c r="AM314" s="152"/>
      <c r="AN314" s="152"/>
      <c r="AO314" s="152"/>
      <c r="AP314" s="152"/>
      <c r="AQ314" s="152"/>
      <c r="AR314" s="152"/>
    </row>
    <row r="315" spans="23:44">
      <c r="W315" s="4" t="s">
        <v>585</v>
      </c>
      <c r="X315" s="4" t="s">
        <v>3357</v>
      </c>
      <c r="Y315" s="151" t="str">
        <f>Y314</f>
        <v>E5392</v>
      </c>
      <c r="Z315" s="4" t="s">
        <v>587</v>
      </c>
      <c r="AA315" s="114" t="s">
        <v>588</v>
      </c>
      <c r="AB315" s="4" t="s">
        <v>506</v>
      </c>
      <c r="AC315" s="4" t="s">
        <v>507</v>
      </c>
      <c r="AD315" s="4" t="s">
        <v>508</v>
      </c>
      <c r="AE315" s="4" t="s">
        <v>509</v>
      </c>
      <c r="AF315" s="4" t="s">
        <v>589</v>
      </c>
      <c r="AG315" s="115">
        <f>+VLOOKUP(Y315,B:O,4,FALSE)/1000</f>
        <v>9.528027812946413E-2</v>
      </c>
      <c r="AI315" s="158"/>
    </row>
    <row r="316" spans="23:44">
      <c r="W316" s="4" t="s">
        <v>585</v>
      </c>
      <c r="X316" s="4" t="s">
        <v>3358</v>
      </c>
      <c r="Y316" s="151" t="str">
        <f t="shared" ref="Y316:Y325" si="30">Y315</f>
        <v>E5392</v>
      </c>
      <c r="Z316" s="4" t="s">
        <v>587</v>
      </c>
      <c r="AA316" s="114" t="s">
        <v>588</v>
      </c>
      <c r="AB316" s="4" t="s">
        <v>506</v>
      </c>
      <c r="AC316" s="4" t="s">
        <v>507</v>
      </c>
      <c r="AD316" s="4" t="s">
        <v>508</v>
      </c>
      <c r="AE316" s="4" t="s">
        <v>509</v>
      </c>
      <c r="AF316" s="4" t="s">
        <v>589</v>
      </c>
      <c r="AG316" s="115">
        <f>+VLOOKUP(Y316,B:O,5,FALSE)/1000</f>
        <v>9.528027812946413E-2</v>
      </c>
      <c r="AI316" s="158"/>
    </row>
    <row r="317" spans="23:44">
      <c r="W317" s="4" t="s">
        <v>585</v>
      </c>
      <c r="X317" s="4" t="s">
        <v>3359</v>
      </c>
      <c r="Y317" s="151" t="str">
        <f t="shared" si="30"/>
        <v>E5392</v>
      </c>
      <c r="Z317" s="4" t="s">
        <v>587</v>
      </c>
      <c r="AA317" s="114" t="s">
        <v>588</v>
      </c>
      <c r="AB317" s="4" t="s">
        <v>506</v>
      </c>
      <c r="AC317" s="4" t="s">
        <v>507</v>
      </c>
      <c r="AD317" s="4" t="s">
        <v>508</v>
      </c>
      <c r="AE317" s="4" t="s">
        <v>509</v>
      </c>
      <c r="AF317" s="4" t="s">
        <v>589</v>
      </c>
      <c r="AG317" s="115">
        <f>+VLOOKUP(Y317,B:O,6,FALSE)/1000</f>
        <v>9.528027812946413E-2</v>
      </c>
      <c r="AI317" s="158"/>
    </row>
    <row r="318" spans="23:44">
      <c r="W318" s="4" t="s">
        <v>585</v>
      </c>
      <c r="X318" s="4" t="s">
        <v>3360</v>
      </c>
      <c r="Y318" s="151" t="str">
        <f t="shared" si="30"/>
        <v>E5392</v>
      </c>
      <c r="Z318" s="4" t="s">
        <v>587</v>
      </c>
      <c r="AA318" s="114" t="s">
        <v>588</v>
      </c>
      <c r="AB318" s="4" t="s">
        <v>506</v>
      </c>
      <c r="AC318" s="4" t="s">
        <v>507</v>
      </c>
      <c r="AD318" s="4" t="s">
        <v>508</v>
      </c>
      <c r="AE318" s="4" t="s">
        <v>509</v>
      </c>
      <c r="AF318" s="4" t="s">
        <v>589</v>
      </c>
      <c r="AG318" s="115">
        <f>+VLOOKUP(Y318,B:O,7,FALSE)/1000</f>
        <v>9.528027812946413E-2</v>
      </c>
      <c r="AI318" s="158"/>
    </row>
    <row r="319" spans="23:44">
      <c r="W319" s="4" t="s">
        <v>585</v>
      </c>
      <c r="X319" s="4" t="s">
        <v>3361</v>
      </c>
      <c r="Y319" s="151" t="str">
        <f t="shared" si="30"/>
        <v>E5392</v>
      </c>
      <c r="Z319" s="4" t="s">
        <v>587</v>
      </c>
      <c r="AA319" s="114" t="s">
        <v>588</v>
      </c>
      <c r="AB319" s="4" t="s">
        <v>506</v>
      </c>
      <c r="AC319" s="4" t="s">
        <v>507</v>
      </c>
      <c r="AD319" s="4" t="s">
        <v>508</v>
      </c>
      <c r="AE319" s="4" t="s">
        <v>509</v>
      </c>
      <c r="AF319" s="4" t="s">
        <v>589</v>
      </c>
      <c r="AG319" s="115">
        <f>+VLOOKUP(Y319,B:O,8,FALSE)/1000</f>
        <v>9.528027812946413E-2</v>
      </c>
      <c r="AI319" s="158"/>
    </row>
    <row r="320" spans="23:44">
      <c r="W320" s="4" t="s">
        <v>585</v>
      </c>
      <c r="X320" s="4" t="s">
        <v>3362</v>
      </c>
      <c r="Y320" s="151" t="str">
        <f t="shared" si="30"/>
        <v>E5392</v>
      </c>
      <c r="Z320" s="4" t="s">
        <v>587</v>
      </c>
      <c r="AA320" s="114" t="s">
        <v>588</v>
      </c>
      <c r="AB320" s="4" t="s">
        <v>506</v>
      </c>
      <c r="AC320" s="4" t="s">
        <v>507</v>
      </c>
      <c r="AD320" s="4" t="s">
        <v>508</v>
      </c>
      <c r="AE320" s="4" t="s">
        <v>509</v>
      </c>
      <c r="AF320" s="4" t="s">
        <v>589</v>
      </c>
      <c r="AG320" s="115">
        <f>+VLOOKUP(Y320,B:O,9,FALSE)/1000</f>
        <v>9.528027812946413E-2</v>
      </c>
      <c r="AI320" s="158"/>
    </row>
    <row r="321" spans="23:35">
      <c r="W321" s="4" t="s">
        <v>585</v>
      </c>
      <c r="X321" s="4" t="s">
        <v>3363</v>
      </c>
      <c r="Y321" s="151" t="str">
        <f t="shared" si="30"/>
        <v>E5392</v>
      </c>
      <c r="Z321" s="4" t="s">
        <v>587</v>
      </c>
      <c r="AA321" s="114" t="s">
        <v>588</v>
      </c>
      <c r="AB321" s="4" t="s">
        <v>506</v>
      </c>
      <c r="AC321" s="4" t="s">
        <v>507</v>
      </c>
      <c r="AD321" s="4" t="s">
        <v>508</v>
      </c>
      <c r="AE321" s="4" t="s">
        <v>509</v>
      </c>
      <c r="AF321" s="4" t="s">
        <v>589</v>
      </c>
      <c r="AG321" s="115">
        <f>+VLOOKUP(Y321,B:O,10,FALSE)/1000</f>
        <v>9.528027812946413E-2</v>
      </c>
      <c r="AI321" s="158"/>
    </row>
    <row r="322" spans="23:35">
      <c r="W322" s="4" t="s">
        <v>585</v>
      </c>
      <c r="X322" s="4" t="s">
        <v>3364</v>
      </c>
      <c r="Y322" s="151" t="str">
        <f t="shared" si="30"/>
        <v>E5392</v>
      </c>
      <c r="Z322" s="4" t="s">
        <v>587</v>
      </c>
      <c r="AA322" s="114" t="s">
        <v>588</v>
      </c>
      <c r="AB322" s="4" t="s">
        <v>506</v>
      </c>
      <c r="AC322" s="4" t="s">
        <v>507</v>
      </c>
      <c r="AD322" s="4" t="s">
        <v>508</v>
      </c>
      <c r="AE322" s="4" t="s">
        <v>509</v>
      </c>
      <c r="AF322" s="4" t="s">
        <v>589</v>
      </c>
      <c r="AG322" s="115">
        <f>+VLOOKUP(Y322,B:O,11,FALSE)/1000</f>
        <v>9.528027812946413E-2</v>
      </c>
      <c r="AI322" s="158"/>
    </row>
    <row r="323" spans="23:35">
      <c r="W323" s="4" t="s">
        <v>585</v>
      </c>
      <c r="X323" s="4" t="s">
        <v>3365</v>
      </c>
      <c r="Y323" s="151" t="str">
        <f t="shared" si="30"/>
        <v>E5392</v>
      </c>
      <c r="Z323" s="4" t="s">
        <v>587</v>
      </c>
      <c r="AA323" s="114" t="s">
        <v>588</v>
      </c>
      <c r="AB323" s="4" t="s">
        <v>506</v>
      </c>
      <c r="AC323" s="4" t="s">
        <v>507</v>
      </c>
      <c r="AD323" s="4" t="s">
        <v>508</v>
      </c>
      <c r="AE323" s="4" t="s">
        <v>509</v>
      </c>
      <c r="AF323" s="4" t="s">
        <v>589</v>
      </c>
      <c r="AG323" s="115">
        <f>+VLOOKUP(Y323,B:O,12,FALSE)/1000</f>
        <v>9.528027812946413E-2</v>
      </c>
      <c r="AI323" s="158"/>
    </row>
    <row r="324" spans="23:35">
      <c r="W324" s="4" t="s">
        <v>585</v>
      </c>
      <c r="X324" s="4" t="s">
        <v>3366</v>
      </c>
      <c r="Y324" s="151" t="str">
        <f t="shared" si="30"/>
        <v>E5392</v>
      </c>
      <c r="Z324" s="4" t="s">
        <v>587</v>
      </c>
      <c r="AA324" s="114" t="s">
        <v>588</v>
      </c>
      <c r="AB324" s="4" t="s">
        <v>506</v>
      </c>
      <c r="AC324" s="4" t="s">
        <v>507</v>
      </c>
      <c r="AD324" s="4" t="s">
        <v>508</v>
      </c>
      <c r="AE324" s="4" t="s">
        <v>509</v>
      </c>
      <c r="AF324" s="4" t="s">
        <v>589</v>
      </c>
      <c r="AG324" s="115">
        <f>+VLOOKUP(Y324,B:O,13,FALSE)/1000</f>
        <v>9.7471724526441816E-2</v>
      </c>
      <c r="AI324" s="158"/>
    </row>
    <row r="325" spans="23:35">
      <c r="W325" s="4" t="s">
        <v>585</v>
      </c>
      <c r="X325" s="4" t="s">
        <v>3367</v>
      </c>
      <c r="Y325" s="151" t="str">
        <f t="shared" si="30"/>
        <v>E5392</v>
      </c>
      <c r="Z325" s="4" t="s">
        <v>587</v>
      </c>
      <c r="AA325" s="114" t="s">
        <v>588</v>
      </c>
      <c r="AB325" s="4" t="s">
        <v>506</v>
      </c>
      <c r="AC325" s="4" t="s">
        <v>507</v>
      </c>
      <c r="AD325" s="4" t="s">
        <v>508</v>
      </c>
      <c r="AE325" s="4" t="s">
        <v>509</v>
      </c>
      <c r="AF325" s="4" t="s">
        <v>589</v>
      </c>
      <c r="AG325" s="115">
        <f>+VLOOKUP(Y325,B:O,14,FALSE)/1000</f>
        <v>9.7471724526441816E-2</v>
      </c>
      <c r="AI325" s="158"/>
    </row>
    <row r="326" spans="23:35">
      <c r="W326" s="4" t="s">
        <v>585</v>
      </c>
      <c r="X326" s="3" t="s">
        <v>3356</v>
      </c>
      <c r="Y326" s="150" t="str">
        <f>INDEX($B$3:$O$110,41,1)</f>
        <v>E5393</v>
      </c>
      <c r="Z326" s="4" t="s">
        <v>587</v>
      </c>
      <c r="AA326" s="114" t="s">
        <v>588</v>
      </c>
      <c r="AB326" s="4" t="s">
        <v>506</v>
      </c>
      <c r="AC326" s="4" t="s">
        <v>507</v>
      </c>
      <c r="AD326" s="4" t="s">
        <v>508</v>
      </c>
      <c r="AE326" s="4" t="s">
        <v>509</v>
      </c>
      <c r="AF326" s="4" t="s">
        <v>589</v>
      </c>
      <c r="AG326" s="742">
        <f>SUM('1-EO_Calcul Reporting'!$CW$49:$CW$51)/SUM('1-EO_Calcul Reporting'!$F$49:$F$51)</f>
        <v>0.10001398553246969</v>
      </c>
      <c r="AH326" s="4" t="s">
        <v>3539</v>
      </c>
      <c r="AI326" s="158"/>
    </row>
    <row r="327" spans="23:35">
      <c r="W327" s="4" t="s">
        <v>585</v>
      </c>
      <c r="X327" s="4" t="s">
        <v>3357</v>
      </c>
      <c r="Y327" s="151" t="str">
        <f>Y326</f>
        <v>E5393</v>
      </c>
      <c r="Z327" s="4" t="s">
        <v>587</v>
      </c>
      <c r="AA327" s="114" t="s">
        <v>588</v>
      </c>
      <c r="AB327" s="4" t="s">
        <v>506</v>
      </c>
      <c r="AC327" s="4" t="s">
        <v>507</v>
      </c>
      <c r="AD327" s="4" t="s">
        <v>508</v>
      </c>
      <c r="AE327" s="4" t="s">
        <v>509</v>
      </c>
      <c r="AF327" s="4" t="s">
        <v>589</v>
      </c>
      <c r="AG327" s="742">
        <f>SUM('1-EO_Calcul Reporting'!$CX$49:$CX$51)/SUM('1-EO_Calcul Reporting'!$G$49:$G$51)</f>
        <v>0.10001398553246971</v>
      </c>
      <c r="AH327" t="s">
        <v>3539</v>
      </c>
      <c r="AI327" s="158"/>
    </row>
    <row r="328" spans="23:35">
      <c r="W328" s="4" t="s">
        <v>585</v>
      </c>
      <c r="X328" s="4" t="s">
        <v>3358</v>
      </c>
      <c r="Y328" s="151" t="str">
        <f t="shared" ref="Y328:Y337" si="31">Y327</f>
        <v>E5393</v>
      </c>
      <c r="Z328" s="4" t="s">
        <v>587</v>
      </c>
      <c r="AA328" s="114" t="s">
        <v>588</v>
      </c>
      <c r="AB328" s="4" t="s">
        <v>506</v>
      </c>
      <c r="AC328" s="4" t="s">
        <v>507</v>
      </c>
      <c r="AD328" s="4" t="s">
        <v>508</v>
      </c>
      <c r="AE328" s="4" t="s">
        <v>509</v>
      </c>
      <c r="AF328" s="4" t="s">
        <v>589</v>
      </c>
      <c r="AG328" s="742">
        <f>SUM('1-EO_Calcul Reporting'!$CY$49:$CY$51)/SUM('1-EO_Calcul Reporting'!$H$49:$H$51)</f>
        <v>0.10001398553246971</v>
      </c>
      <c r="AH328" t="s">
        <v>3539</v>
      </c>
      <c r="AI328" s="158"/>
    </row>
    <row r="329" spans="23:35">
      <c r="W329" s="4" t="s">
        <v>585</v>
      </c>
      <c r="X329" s="4" t="s">
        <v>3359</v>
      </c>
      <c r="Y329" s="151" t="str">
        <f t="shared" si="31"/>
        <v>E5393</v>
      </c>
      <c r="Z329" s="4" t="s">
        <v>587</v>
      </c>
      <c r="AA329" s="114" t="s">
        <v>588</v>
      </c>
      <c r="AB329" s="4" t="s">
        <v>506</v>
      </c>
      <c r="AC329" s="4" t="s">
        <v>507</v>
      </c>
      <c r="AD329" s="4" t="s">
        <v>508</v>
      </c>
      <c r="AE329" s="4" t="s">
        <v>509</v>
      </c>
      <c r="AF329" s="4" t="s">
        <v>589</v>
      </c>
      <c r="AG329" s="742">
        <f>SUM('1-EO_Calcul Reporting'!$CZ$49:$CZ$51)/SUM('1-EO_Calcul Reporting'!$I$49:$I$51)</f>
        <v>0.10001398553246969</v>
      </c>
      <c r="AH329" t="s">
        <v>3539</v>
      </c>
      <c r="AI329" s="158"/>
    </row>
    <row r="330" spans="23:35">
      <c r="W330" s="4" t="s">
        <v>585</v>
      </c>
      <c r="X330" s="4" t="s">
        <v>3360</v>
      </c>
      <c r="Y330" s="151" t="str">
        <f t="shared" si="31"/>
        <v>E5393</v>
      </c>
      <c r="Z330" s="4" t="s">
        <v>587</v>
      </c>
      <c r="AA330" s="114" t="s">
        <v>588</v>
      </c>
      <c r="AB330" s="4" t="s">
        <v>506</v>
      </c>
      <c r="AC330" s="4" t="s">
        <v>507</v>
      </c>
      <c r="AD330" s="4" t="s">
        <v>508</v>
      </c>
      <c r="AE330" s="4" t="s">
        <v>509</v>
      </c>
      <c r="AF330" s="4" t="s">
        <v>589</v>
      </c>
      <c r="AG330" s="742">
        <f>SUM('1-EO_Calcul Reporting'!$DA$49:$DA$51)/SUM('1-EO_Calcul Reporting'!$J$49:$J$51)</f>
        <v>0.10001398553246971</v>
      </c>
      <c r="AH330" t="s">
        <v>3539</v>
      </c>
      <c r="AI330" s="158"/>
    </row>
    <row r="331" spans="23:35">
      <c r="W331" s="4" t="s">
        <v>585</v>
      </c>
      <c r="X331" s="4" t="s">
        <v>3361</v>
      </c>
      <c r="Y331" s="151" t="str">
        <f t="shared" si="31"/>
        <v>E5393</v>
      </c>
      <c r="Z331" s="4" t="s">
        <v>587</v>
      </c>
      <c r="AA331" s="114" t="s">
        <v>588</v>
      </c>
      <c r="AB331" s="4" t="s">
        <v>506</v>
      </c>
      <c r="AC331" s="4" t="s">
        <v>507</v>
      </c>
      <c r="AD331" s="4" t="s">
        <v>508</v>
      </c>
      <c r="AE331" s="4" t="s">
        <v>509</v>
      </c>
      <c r="AF331" s="4" t="s">
        <v>589</v>
      </c>
      <c r="AG331" s="742">
        <f>SUM('1-EO_Calcul Reporting'!$DB$49:$DB$51)/SUM('1-EO_Calcul Reporting'!$K$49:$K$51)</f>
        <v>0.10001398553246971</v>
      </c>
      <c r="AH331" t="s">
        <v>3539</v>
      </c>
      <c r="AI331" s="158"/>
    </row>
    <row r="332" spans="23:35">
      <c r="W332" s="4" t="s">
        <v>585</v>
      </c>
      <c r="X332" s="4" t="s">
        <v>3362</v>
      </c>
      <c r="Y332" s="151" t="str">
        <f t="shared" si="31"/>
        <v>E5393</v>
      </c>
      <c r="Z332" s="4" t="s">
        <v>587</v>
      </c>
      <c r="AA332" s="114" t="s">
        <v>588</v>
      </c>
      <c r="AB332" s="4" t="s">
        <v>506</v>
      </c>
      <c r="AC332" s="4" t="s">
        <v>507</v>
      </c>
      <c r="AD332" s="4" t="s">
        <v>508</v>
      </c>
      <c r="AE332" s="4" t="s">
        <v>509</v>
      </c>
      <c r="AF332" s="4" t="s">
        <v>589</v>
      </c>
      <c r="AG332" s="742">
        <f>SUM('1-EO_Calcul Reporting'!$DC$49:$DC$51)/SUM('1-EO_Calcul Reporting'!$L$49:$L$51)</f>
        <v>0.10001398553246972</v>
      </c>
      <c r="AH332" t="s">
        <v>3539</v>
      </c>
      <c r="AI332" s="158"/>
    </row>
    <row r="333" spans="23:35">
      <c r="W333" s="4" t="s">
        <v>585</v>
      </c>
      <c r="X333" s="4" t="s">
        <v>3363</v>
      </c>
      <c r="Y333" s="151" t="str">
        <f t="shared" si="31"/>
        <v>E5393</v>
      </c>
      <c r="Z333" s="4" t="s">
        <v>587</v>
      </c>
      <c r="AA333" s="114" t="s">
        <v>588</v>
      </c>
      <c r="AB333" s="4" t="s">
        <v>506</v>
      </c>
      <c r="AC333" s="4" t="s">
        <v>507</v>
      </c>
      <c r="AD333" s="4" t="s">
        <v>508</v>
      </c>
      <c r="AE333" s="4" t="s">
        <v>509</v>
      </c>
      <c r="AF333" s="4" t="s">
        <v>589</v>
      </c>
      <c r="AG333" s="742">
        <f>SUM('1-EO_Calcul Reporting'!$DD$49:$DD$51)/SUM('1-EO_Calcul Reporting'!$M$49:$M$51)</f>
        <v>0.10001398553246971</v>
      </c>
      <c r="AH333" t="s">
        <v>3539</v>
      </c>
      <c r="AI333" s="158"/>
    </row>
    <row r="334" spans="23:35">
      <c r="W334" s="4" t="s">
        <v>585</v>
      </c>
      <c r="X334" s="4" t="s">
        <v>3364</v>
      </c>
      <c r="Y334" s="151" t="str">
        <f t="shared" si="31"/>
        <v>E5393</v>
      </c>
      <c r="Z334" s="4" t="s">
        <v>587</v>
      </c>
      <c r="AA334" s="114" t="s">
        <v>588</v>
      </c>
      <c r="AB334" s="4" t="s">
        <v>506</v>
      </c>
      <c r="AC334" s="4" t="s">
        <v>507</v>
      </c>
      <c r="AD334" s="4" t="s">
        <v>508</v>
      </c>
      <c r="AE334" s="4" t="s">
        <v>509</v>
      </c>
      <c r="AF334" s="4" t="s">
        <v>589</v>
      </c>
      <c r="AG334" s="742">
        <f>SUM('1-EO_Calcul Reporting'!$DE$49:$DE$51)/SUM('1-EO_Calcul Reporting'!$N$49:$N$51)</f>
        <v>0.10001398553246972</v>
      </c>
      <c r="AH334" t="s">
        <v>3539</v>
      </c>
      <c r="AI334" s="158"/>
    </row>
    <row r="335" spans="23:35">
      <c r="W335" s="4" t="s">
        <v>585</v>
      </c>
      <c r="X335" s="4" t="s">
        <v>3365</v>
      </c>
      <c r="Y335" s="151" t="str">
        <f t="shared" si="31"/>
        <v>E5393</v>
      </c>
      <c r="Z335" s="4" t="s">
        <v>587</v>
      </c>
      <c r="AA335" s="114" t="s">
        <v>588</v>
      </c>
      <c r="AB335" s="4" t="s">
        <v>506</v>
      </c>
      <c r="AC335" s="4" t="s">
        <v>507</v>
      </c>
      <c r="AD335" s="4" t="s">
        <v>508</v>
      </c>
      <c r="AE335" s="4" t="s">
        <v>509</v>
      </c>
      <c r="AF335" s="4" t="s">
        <v>589</v>
      </c>
      <c r="AG335" s="742">
        <f>SUM('1-EO_Calcul Reporting'!$DF$49:$DF$51)/SUM('1-EO_Calcul Reporting'!$O$49:$O$51)</f>
        <v>0.10001398553246971</v>
      </c>
      <c r="AH335" t="s">
        <v>3539</v>
      </c>
      <c r="AI335" s="158"/>
    </row>
    <row r="336" spans="23:35">
      <c r="W336" s="4" t="s">
        <v>585</v>
      </c>
      <c r="X336" s="4" t="s">
        <v>3366</v>
      </c>
      <c r="Y336" s="151" t="str">
        <f t="shared" si="31"/>
        <v>E5393</v>
      </c>
      <c r="Z336" s="4" t="s">
        <v>587</v>
      </c>
      <c r="AA336" s="114" t="s">
        <v>588</v>
      </c>
      <c r="AB336" s="4" t="s">
        <v>506</v>
      </c>
      <c r="AC336" s="4" t="s">
        <v>507</v>
      </c>
      <c r="AD336" s="4" t="s">
        <v>508</v>
      </c>
      <c r="AE336" s="4" t="s">
        <v>509</v>
      </c>
      <c r="AF336" s="4" t="s">
        <v>589</v>
      </c>
      <c r="AG336" s="742">
        <f>SUM('1-EO_Calcul Reporting'!$DG$49:$DG$51)/SUM('1-EO_Calcul Reporting'!$P$49:$P$51)</f>
        <v>0.10231430719971651</v>
      </c>
      <c r="AH336" t="s">
        <v>3539</v>
      </c>
      <c r="AI336" s="158"/>
    </row>
    <row r="337" spans="23:35">
      <c r="W337" s="4" t="s">
        <v>585</v>
      </c>
      <c r="X337" s="4" t="s">
        <v>3367</v>
      </c>
      <c r="Y337" s="151" t="str">
        <f t="shared" si="31"/>
        <v>E5393</v>
      </c>
      <c r="Z337" s="4" t="s">
        <v>587</v>
      </c>
      <c r="AA337" s="114" t="s">
        <v>588</v>
      </c>
      <c r="AB337" s="4" t="s">
        <v>506</v>
      </c>
      <c r="AC337" s="4" t="s">
        <v>507</v>
      </c>
      <c r="AD337" s="4" t="s">
        <v>508</v>
      </c>
      <c r="AE337" s="4" t="s">
        <v>509</v>
      </c>
      <c r="AF337" s="4" t="s">
        <v>589</v>
      </c>
      <c r="AG337" s="742">
        <f>SUM('1-EO_Calcul Reporting'!$DH$49:$DH$51)/SUM('1-EO_Calcul Reporting'!$Q$49:$Q$51)</f>
        <v>0.1023143071997165</v>
      </c>
      <c r="AH337" t="s">
        <v>3539</v>
      </c>
      <c r="AI337" s="158"/>
    </row>
    <row r="338" spans="23:35">
      <c r="W338" s="4" t="s">
        <v>585</v>
      </c>
      <c r="X338" s="3" t="s">
        <v>3356</v>
      </c>
      <c r="Y338" s="150" t="str">
        <f>INDEX($B$3:$O$110,42,1)</f>
        <v>E5394</v>
      </c>
      <c r="Z338" s="4" t="s">
        <v>587</v>
      </c>
      <c r="AA338" s="114" t="s">
        <v>588</v>
      </c>
      <c r="AB338" s="4" t="s">
        <v>506</v>
      </c>
      <c r="AC338" s="4" t="s">
        <v>507</v>
      </c>
      <c r="AD338" s="4" t="s">
        <v>508</v>
      </c>
      <c r="AE338" s="4" t="s">
        <v>509</v>
      </c>
      <c r="AF338" s="4" t="s">
        <v>589</v>
      </c>
      <c r="AG338" s="115">
        <f>+VLOOKUP(Y338,B:O,3,FALSE)/1000</f>
        <v>9.976364687142858E-2</v>
      </c>
      <c r="AH338" s="4"/>
      <c r="AI338" s="158"/>
    </row>
    <row r="339" spans="23:35">
      <c r="W339" s="4" t="s">
        <v>585</v>
      </c>
      <c r="X339" s="4" t="s">
        <v>3357</v>
      </c>
      <c r="Y339" s="151" t="str">
        <f>Y338</f>
        <v>E5394</v>
      </c>
      <c r="Z339" s="4" t="s">
        <v>587</v>
      </c>
      <c r="AA339" s="114" t="s">
        <v>588</v>
      </c>
      <c r="AB339" s="4" t="s">
        <v>506</v>
      </c>
      <c r="AC339" s="4" t="s">
        <v>507</v>
      </c>
      <c r="AD339" s="4" t="s">
        <v>508</v>
      </c>
      <c r="AE339" s="4" t="s">
        <v>509</v>
      </c>
      <c r="AF339" s="4" t="s">
        <v>589</v>
      </c>
      <c r="AG339" s="115">
        <f>+VLOOKUP(Y339,B:O,4,FALSE)/1000</f>
        <v>9.976364687142858E-2</v>
      </c>
      <c r="AI339" s="158"/>
    </row>
    <row r="340" spans="23:35">
      <c r="W340" s="4" t="s">
        <v>585</v>
      </c>
      <c r="X340" s="4" t="s">
        <v>3358</v>
      </c>
      <c r="Y340" s="151" t="str">
        <f t="shared" ref="Y340:Y349" si="32">Y339</f>
        <v>E5394</v>
      </c>
      <c r="Z340" s="4" t="s">
        <v>587</v>
      </c>
      <c r="AA340" s="114" t="s">
        <v>588</v>
      </c>
      <c r="AB340" s="4" t="s">
        <v>506</v>
      </c>
      <c r="AC340" s="4" t="s">
        <v>507</v>
      </c>
      <c r="AD340" s="4" t="s">
        <v>508</v>
      </c>
      <c r="AE340" s="4" t="s">
        <v>509</v>
      </c>
      <c r="AF340" s="4" t="s">
        <v>589</v>
      </c>
      <c r="AG340" s="115">
        <f>+VLOOKUP(Y340,B:O,5,FALSE)/1000</f>
        <v>9.976364687142858E-2</v>
      </c>
      <c r="AI340" s="158"/>
    </row>
    <row r="341" spans="23:35">
      <c r="W341" s="4" t="s">
        <v>585</v>
      </c>
      <c r="X341" s="4" t="s">
        <v>3359</v>
      </c>
      <c r="Y341" s="151" t="str">
        <f t="shared" si="32"/>
        <v>E5394</v>
      </c>
      <c r="Z341" s="4" t="s">
        <v>587</v>
      </c>
      <c r="AA341" s="114" t="s">
        <v>588</v>
      </c>
      <c r="AB341" s="4" t="s">
        <v>506</v>
      </c>
      <c r="AC341" s="4" t="s">
        <v>507</v>
      </c>
      <c r="AD341" s="4" t="s">
        <v>508</v>
      </c>
      <c r="AE341" s="4" t="s">
        <v>509</v>
      </c>
      <c r="AF341" s="4" t="s">
        <v>589</v>
      </c>
      <c r="AG341" s="115">
        <f>+VLOOKUP(Y341,B:O,6,FALSE)/1000</f>
        <v>9.976364687142858E-2</v>
      </c>
      <c r="AI341" s="158"/>
    </row>
    <row r="342" spans="23:35">
      <c r="W342" s="4" t="s">
        <v>585</v>
      </c>
      <c r="X342" s="4" t="s">
        <v>3360</v>
      </c>
      <c r="Y342" s="151" t="str">
        <f t="shared" si="32"/>
        <v>E5394</v>
      </c>
      <c r="Z342" s="4" t="s">
        <v>587</v>
      </c>
      <c r="AA342" s="114" t="s">
        <v>588</v>
      </c>
      <c r="AB342" s="4" t="s">
        <v>506</v>
      </c>
      <c r="AC342" s="4" t="s">
        <v>507</v>
      </c>
      <c r="AD342" s="4" t="s">
        <v>508</v>
      </c>
      <c r="AE342" s="4" t="s">
        <v>509</v>
      </c>
      <c r="AF342" s="4" t="s">
        <v>589</v>
      </c>
      <c r="AG342" s="115">
        <f>+VLOOKUP(Y342,B:O,7,FALSE)/1000</f>
        <v>9.976364687142858E-2</v>
      </c>
      <c r="AI342" s="158"/>
    </row>
    <row r="343" spans="23:35">
      <c r="W343" s="4" t="s">
        <v>585</v>
      </c>
      <c r="X343" s="4" t="s">
        <v>3361</v>
      </c>
      <c r="Y343" s="151" t="str">
        <f t="shared" si="32"/>
        <v>E5394</v>
      </c>
      <c r="Z343" s="4" t="s">
        <v>587</v>
      </c>
      <c r="AA343" s="114" t="s">
        <v>588</v>
      </c>
      <c r="AB343" s="4" t="s">
        <v>506</v>
      </c>
      <c r="AC343" s="4" t="s">
        <v>507</v>
      </c>
      <c r="AD343" s="4" t="s">
        <v>508</v>
      </c>
      <c r="AE343" s="4" t="s">
        <v>509</v>
      </c>
      <c r="AF343" s="4" t="s">
        <v>589</v>
      </c>
      <c r="AG343" s="115">
        <f>+VLOOKUP(Y343,B:O,8,FALSE)/1000</f>
        <v>9.976364687142858E-2</v>
      </c>
      <c r="AI343" s="158"/>
    </row>
    <row r="344" spans="23:35">
      <c r="W344" s="4" t="s">
        <v>585</v>
      </c>
      <c r="X344" s="4" t="s">
        <v>3362</v>
      </c>
      <c r="Y344" s="151" t="str">
        <f t="shared" si="32"/>
        <v>E5394</v>
      </c>
      <c r="Z344" s="4" t="s">
        <v>587</v>
      </c>
      <c r="AA344" s="114" t="s">
        <v>588</v>
      </c>
      <c r="AB344" s="4" t="s">
        <v>506</v>
      </c>
      <c r="AC344" s="4" t="s">
        <v>507</v>
      </c>
      <c r="AD344" s="4" t="s">
        <v>508</v>
      </c>
      <c r="AE344" s="4" t="s">
        <v>509</v>
      </c>
      <c r="AF344" s="4" t="s">
        <v>589</v>
      </c>
      <c r="AG344" s="115">
        <f>+VLOOKUP(Y344,B:O,9,FALSE)/1000</f>
        <v>9.976364687142858E-2</v>
      </c>
      <c r="AI344" s="158"/>
    </row>
    <row r="345" spans="23:35">
      <c r="W345" s="4" t="s">
        <v>585</v>
      </c>
      <c r="X345" s="4" t="s">
        <v>3363</v>
      </c>
      <c r="Y345" s="151" t="str">
        <f t="shared" si="32"/>
        <v>E5394</v>
      </c>
      <c r="Z345" s="4" t="s">
        <v>587</v>
      </c>
      <c r="AA345" s="114" t="s">
        <v>588</v>
      </c>
      <c r="AB345" s="4" t="s">
        <v>506</v>
      </c>
      <c r="AC345" s="4" t="s">
        <v>507</v>
      </c>
      <c r="AD345" s="4" t="s">
        <v>508</v>
      </c>
      <c r="AE345" s="4" t="s">
        <v>509</v>
      </c>
      <c r="AF345" s="4" t="s">
        <v>589</v>
      </c>
      <c r="AG345" s="115">
        <f>+VLOOKUP(Y345,B:O,10,FALSE)/1000</f>
        <v>9.976364687142858E-2</v>
      </c>
      <c r="AI345" s="158"/>
    </row>
    <row r="346" spans="23:35">
      <c r="W346" s="4" t="s">
        <v>585</v>
      </c>
      <c r="X346" s="4" t="s">
        <v>3364</v>
      </c>
      <c r="Y346" s="151" t="str">
        <f t="shared" si="32"/>
        <v>E5394</v>
      </c>
      <c r="Z346" s="4" t="s">
        <v>587</v>
      </c>
      <c r="AA346" s="114" t="s">
        <v>588</v>
      </c>
      <c r="AB346" s="4" t="s">
        <v>506</v>
      </c>
      <c r="AC346" s="4" t="s">
        <v>507</v>
      </c>
      <c r="AD346" s="4" t="s">
        <v>508</v>
      </c>
      <c r="AE346" s="4" t="s">
        <v>509</v>
      </c>
      <c r="AF346" s="4" t="s">
        <v>589</v>
      </c>
      <c r="AG346" s="115">
        <f>+VLOOKUP(Y346,B:O,11,FALSE)/1000</f>
        <v>9.976364687142858E-2</v>
      </c>
      <c r="AI346" s="158"/>
    </row>
    <row r="347" spans="23:35">
      <c r="W347" s="4" t="s">
        <v>585</v>
      </c>
      <c r="X347" s="4" t="s">
        <v>3365</v>
      </c>
      <c r="Y347" s="151" t="str">
        <f t="shared" si="32"/>
        <v>E5394</v>
      </c>
      <c r="Z347" s="4" t="s">
        <v>587</v>
      </c>
      <c r="AA347" s="114" t="s">
        <v>588</v>
      </c>
      <c r="AB347" s="4" t="s">
        <v>506</v>
      </c>
      <c r="AC347" s="4" t="s">
        <v>507</v>
      </c>
      <c r="AD347" s="4" t="s">
        <v>508</v>
      </c>
      <c r="AE347" s="4" t="s">
        <v>509</v>
      </c>
      <c r="AF347" s="4" t="s">
        <v>589</v>
      </c>
      <c r="AG347" s="115">
        <f>+VLOOKUP(Y347,B:O,12,FALSE)/1000</f>
        <v>9.976364687142858E-2</v>
      </c>
      <c r="AI347" s="158"/>
    </row>
    <row r="348" spans="23:35">
      <c r="W348" s="4" t="s">
        <v>585</v>
      </c>
      <c r="X348" s="4" t="s">
        <v>3366</v>
      </c>
      <c r="Y348" s="151" t="str">
        <f t="shared" si="32"/>
        <v>E5394</v>
      </c>
      <c r="Z348" s="4" t="s">
        <v>587</v>
      </c>
      <c r="AA348" s="114" t="s">
        <v>588</v>
      </c>
      <c r="AB348" s="4" t="s">
        <v>506</v>
      </c>
      <c r="AC348" s="4" t="s">
        <v>507</v>
      </c>
      <c r="AD348" s="4" t="s">
        <v>508</v>
      </c>
      <c r="AE348" s="4" t="s">
        <v>509</v>
      </c>
      <c r="AF348" s="4" t="s">
        <v>589</v>
      </c>
      <c r="AG348" s="115">
        <f>+VLOOKUP(Y348,B:O,13,FALSE)/1000</f>
        <v>0.10205821074947143</v>
      </c>
      <c r="AI348" s="158"/>
    </row>
    <row r="349" spans="23:35">
      <c r="W349" s="4" t="s">
        <v>585</v>
      </c>
      <c r="X349" s="4" t="s">
        <v>3367</v>
      </c>
      <c r="Y349" s="151" t="str">
        <f t="shared" si="32"/>
        <v>E5394</v>
      </c>
      <c r="Z349" s="4" t="s">
        <v>587</v>
      </c>
      <c r="AA349" s="114" t="s">
        <v>588</v>
      </c>
      <c r="AB349" s="4" t="s">
        <v>506</v>
      </c>
      <c r="AC349" s="4" t="s">
        <v>507</v>
      </c>
      <c r="AD349" s="4" t="s">
        <v>508</v>
      </c>
      <c r="AE349" s="4" t="s">
        <v>509</v>
      </c>
      <c r="AF349" s="4" t="s">
        <v>589</v>
      </c>
      <c r="AG349" s="115">
        <f>+VLOOKUP(Y349,B:O,14,FALSE)/1000</f>
        <v>0.10205821074947143</v>
      </c>
      <c r="AI349" s="158"/>
    </row>
    <row r="350" spans="23:35">
      <c r="W350" s="4" t="s">
        <v>585</v>
      </c>
      <c r="X350" s="3" t="s">
        <v>3356</v>
      </c>
      <c r="Y350" s="150" t="str">
        <f>INDEX($B$3:$O$110,45,1)</f>
        <v>E5395</v>
      </c>
      <c r="Z350" s="4" t="s">
        <v>587</v>
      </c>
      <c r="AA350" s="114" t="s">
        <v>588</v>
      </c>
      <c r="AB350" s="4" t="s">
        <v>506</v>
      </c>
      <c r="AC350" s="4" t="s">
        <v>507</v>
      </c>
      <c r="AD350" s="4" t="s">
        <v>508</v>
      </c>
      <c r="AE350" s="4" t="s">
        <v>509</v>
      </c>
      <c r="AF350" s="4" t="s">
        <v>589</v>
      </c>
      <c r="AG350" s="115">
        <f>+VLOOKUP(Y350,B:O,3,FALSE)/1000</f>
        <v>9.789918126042943E-2</v>
      </c>
      <c r="AI350" s="158"/>
    </row>
    <row r="351" spans="23:35">
      <c r="W351" s="4" t="s">
        <v>585</v>
      </c>
      <c r="X351" s="4" t="s">
        <v>3357</v>
      </c>
      <c r="Y351" s="151" t="str">
        <f>Y350</f>
        <v>E5395</v>
      </c>
      <c r="Z351" s="4" t="s">
        <v>587</v>
      </c>
      <c r="AA351" s="114" t="s">
        <v>588</v>
      </c>
      <c r="AB351" s="4" t="s">
        <v>506</v>
      </c>
      <c r="AC351" s="4" t="s">
        <v>507</v>
      </c>
      <c r="AD351" s="4" t="s">
        <v>508</v>
      </c>
      <c r="AE351" s="4" t="s">
        <v>509</v>
      </c>
      <c r="AF351" s="4" t="s">
        <v>589</v>
      </c>
      <c r="AG351" s="115">
        <f>+VLOOKUP(Y351,B:O,4,FALSE)/1000</f>
        <v>9.789918126042943E-2</v>
      </c>
      <c r="AI351" s="158"/>
    </row>
    <row r="352" spans="23:35">
      <c r="W352" s="4" t="s">
        <v>585</v>
      </c>
      <c r="X352" s="4" t="s">
        <v>3358</v>
      </c>
      <c r="Y352" s="151" t="str">
        <f t="shared" ref="Y352:Y361" si="33">Y351</f>
        <v>E5395</v>
      </c>
      <c r="Z352" s="4" t="s">
        <v>587</v>
      </c>
      <c r="AA352" s="114" t="s">
        <v>588</v>
      </c>
      <c r="AB352" s="4" t="s">
        <v>506</v>
      </c>
      <c r="AC352" s="4" t="s">
        <v>507</v>
      </c>
      <c r="AD352" s="4" t="s">
        <v>508</v>
      </c>
      <c r="AE352" s="4" t="s">
        <v>509</v>
      </c>
      <c r="AF352" s="4" t="s">
        <v>589</v>
      </c>
      <c r="AG352" s="115">
        <f>+VLOOKUP(Y352,B:O,5,FALSE)/1000</f>
        <v>9.789918126042943E-2</v>
      </c>
      <c r="AI352" s="158"/>
    </row>
    <row r="353" spans="23:35">
      <c r="W353" s="4" t="s">
        <v>585</v>
      </c>
      <c r="X353" s="4" t="s">
        <v>3359</v>
      </c>
      <c r="Y353" s="151" t="str">
        <f t="shared" si="33"/>
        <v>E5395</v>
      </c>
      <c r="Z353" s="4" t="s">
        <v>587</v>
      </c>
      <c r="AA353" s="114" t="s">
        <v>588</v>
      </c>
      <c r="AB353" s="4" t="s">
        <v>506</v>
      </c>
      <c r="AC353" s="4" t="s">
        <v>507</v>
      </c>
      <c r="AD353" s="4" t="s">
        <v>508</v>
      </c>
      <c r="AE353" s="4" t="s">
        <v>509</v>
      </c>
      <c r="AF353" s="4" t="s">
        <v>589</v>
      </c>
      <c r="AG353" s="115">
        <f>+VLOOKUP(Y353,B:O,6,FALSE)/1000</f>
        <v>9.789918126042943E-2</v>
      </c>
      <c r="AI353" s="158"/>
    </row>
    <row r="354" spans="23:35">
      <c r="W354" s="4" t="s">
        <v>585</v>
      </c>
      <c r="X354" s="4" t="s">
        <v>3360</v>
      </c>
      <c r="Y354" s="151" t="str">
        <f t="shared" si="33"/>
        <v>E5395</v>
      </c>
      <c r="Z354" s="4" t="s">
        <v>587</v>
      </c>
      <c r="AA354" s="114" t="s">
        <v>588</v>
      </c>
      <c r="AB354" s="4" t="s">
        <v>506</v>
      </c>
      <c r="AC354" s="4" t="s">
        <v>507</v>
      </c>
      <c r="AD354" s="4" t="s">
        <v>508</v>
      </c>
      <c r="AE354" s="4" t="s">
        <v>509</v>
      </c>
      <c r="AF354" s="4" t="s">
        <v>589</v>
      </c>
      <c r="AG354" s="115">
        <f>+VLOOKUP(Y354,B:O,7,FALSE)/1000</f>
        <v>9.789918126042943E-2</v>
      </c>
      <c r="AI354" s="158"/>
    </row>
    <row r="355" spans="23:35">
      <c r="W355" s="4" t="s">
        <v>585</v>
      </c>
      <c r="X355" s="4" t="s">
        <v>3361</v>
      </c>
      <c r="Y355" s="151" t="str">
        <f t="shared" si="33"/>
        <v>E5395</v>
      </c>
      <c r="Z355" s="4" t="s">
        <v>587</v>
      </c>
      <c r="AA355" s="114" t="s">
        <v>588</v>
      </c>
      <c r="AB355" s="4" t="s">
        <v>506</v>
      </c>
      <c r="AC355" s="4" t="s">
        <v>507</v>
      </c>
      <c r="AD355" s="4" t="s">
        <v>508</v>
      </c>
      <c r="AE355" s="4" t="s">
        <v>509</v>
      </c>
      <c r="AF355" s="4" t="s">
        <v>589</v>
      </c>
      <c r="AG355" s="115">
        <f>+VLOOKUP(Y355,B:O,8,FALSE)/1000</f>
        <v>9.789918126042943E-2</v>
      </c>
      <c r="AI355" s="158"/>
    </row>
    <row r="356" spans="23:35">
      <c r="W356" s="4" t="s">
        <v>585</v>
      </c>
      <c r="X356" s="4" t="s">
        <v>3362</v>
      </c>
      <c r="Y356" s="151" t="str">
        <f t="shared" si="33"/>
        <v>E5395</v>
      </c>
      <c r="Z356" s="4" t="s">
        <v>587</v>
      </c>
      <c r="AA356" s="114" t="s">
        <v>588</v>
      </c>
      <c r="AB356" s="4" t="s">
        <v>506</v>
      </c>
      <c r="AC356" s="4" t="s">
        <v>507</v>
      </c>
      <c r="AD356" s="4" t="s">
        <v>508</v>
      </c>
      <c r="AE356" s="4" t="s">
        <v>509</v>
      </c>
      <c r="AF356" s="4" t="s">
        <v>589</v>
      </c>
      <c r="AG356" s="115">
        <f>+VLOOKUP(Y356,B:O,9,FALSE)/1000</f>
        <v>9.789918126042943E-2</v>
      </c>
      <c r="AI356" s="158"/>
    </row>
    <row r="357" spans="23:35">
      <c r="W357" s="4" t="s">
        <v>585</v>
      </c>
      <c r="X357" s="4" t="s">
        <v>3363</v>
      </c>
      <c r="Y357" s="151" t="str">
        <f t="shared" si="33"/>
        <v>E5395</v>
      </c>
      <c r="Z357" s="4" t="s">
        <v>587</v>
      </c>
      <c r="AA357" s="114" t="s">
        <v>588</v>
      </c>
      <c r="AB357" s="4" t="s">
        <v>506</v>
      </c>
      <c r="AC357" s="4" t="s">
        <v>507</v>
      </c>
      <c r="AD357" s="4" t="s">
        <v>508</v>
      </c>
      <c r="AE357" s="4" t="s">
        <v>509</v>
      </c>
      <c r="AF357" s="4" t="s">
        <v>589</v>
      </c>
      <c r="AG357" s="115">
        <f>+VLOOKUP(Y357,B:O,10,FALSE)/1000</f>
        <v>9.789918126042943E-2</v>
      </c>
      <c r="AI357" s="158"/>
    </row>
    <row r="358" spans="23:35">
      <c r="W358" s="4" t="s">
        <v>585</v>
      </c>
      <c r="X358" s="4" t="s">
        <v>3364</v>
      </c>
      <c r="Y358" s="151" t="str">
        <f t="shared" si="33"/>
        <v>E5395</v>
      </c>
      <c r="Z358" s="4" t="s">
        <v>587</v>
      </c>
      <c r="AA358" s="114" t="s">
        <v>588</v>
      </c>
      <c r="AB358" s="4" t="s">
        <v>506</v>
      </c>
      <c r="AC358" s="4" t="s">
        <v>507</v>
      </c>
      <c r="AD358" s="4" t="s">
        <v>508</v>
      </c>
      <c r="AE358" s="4" t="s">
        <v>509</v>
      </c>
      <c r="AF358" s="4" t="s">
        <v>589</v>
      </c>
      <c r="AG358" s="115">
        <f>+VLOOKUP(Y358,B:O,11,FALSE)/1000</f>
        <v>9.789918126042943E-2</v>
      </c>
      <c r="AI358" s="158"/>
    </row>
    <row r="359" spans="23:35">
      <c r="W359" s="4" t="s">
        <v>585</v>
      </c>
      <c r="X359" s="4" t="s">
        <v>3365</v>
      </c>
      <c r="Y359" s="151" t="str">
        <f t="shared" si="33"/>
        <v>E5395</v>
      </c>
      <c r="Z359" s="4" t="s">
        <v>587</v>
      </c>
      <c r="AA359" s="114" t="s">
        <v>588</v>
      </c>
      <c r="AB359" s="4" t="s">
        <v>506</v>
      </c>
      <c r="AC359" s="4" t="s">
        <v>507</v>
      </c>
      <c r="AD359" s="4" t="s">
        <v>508</v>
      </c>
      <c r="AE359" s="4" t="s">
        <v>509</v>
      </c>
      <c r="AF359" s="4" t="s">
        <v>589</v>
      </c>
      <c r="AG359" s="115">
        <f>+VLOOKUP(Y359,B:O,12,FALSE)/1000</f>
        <v>9.789918126042943E-2</v>
      </c>
      <c r="AI359" s="158"/>
    </row>
    <row r="360" spans="23:35">
      <c r="W360" s="4" t="s">
        <v>585</v>
      </c>
      <c r="X360" s="4" t="s">
        <v>3366</v>
      </c>
      <c r="Y360" s="151" t="str">
        <f t="shared" si="33"/>
        <v>E5395</v>
      </c>
      <c r="Z360" s="4" t="s">
        <v>587</v>
      </c>
      <c r="AA360" s="114" t="s">
        <v>588</v>
      </c>
      <c r="AB360" s="4" t="s">
        <v>506</v>
      </c>
      <c r="AC360" s="4" t="s">
        <v>507</v>
      </c>
      <c r="AD360" s="4" t="s">
        <v>508</v>
      </c>
      <c r="AE360" s="4" t="s">
        <v>509</v>
      </c>
      <c r="AF360" s="4" t="s">
        <v>589</v>
      </c>
      <c r="AG360" s="115">
        <f>+VLOOKUP(Y360,B:O,13,FALSE)/1000</f>
        <v>0.1001508624294193</v>
      </c>
      <c r="AI360" s="158"/>
    </row>
    <row r="361" spans="23:35">
      <c r="W361" s="4" t="s">
        <v>585</v>
      </c>
      <c r="X361" s="4" t="s">
        <v>3367</v>
      </c>
      <c r="Y361" s="151" t="str">
        <f t="shared" si="33"/>
        <v>E5395</v>
      </c>
      <c r="Z361" s="4" t="s">
        <v>587</v>
      </c>
      <c r="AA361" s="114" t="s">
        <v>588</v>
      </c>
      <c r="AB361" s="4" t="s">
        <v>506</v>
      </c>
      <c r="AC361" s="4" t="s">
        <v>507</v>
      </c>
      <c r="AD361" s="4" t="s">
        <v>508</v>
      </c>
      <c r="AE361" s="4" t="s">
        <v>509</v>
      </c>
      <c r="AF361" s="4" t="s">
        <v>589</v>
      </c>
      <c r="AG361" s="115">
        <f>+VLOOKUP(Y361,B:O,14,FALSE)/1000</f>
        <v>0.1001508624294193</v>
      </c>
      <c r="AI361" s="158"/>
    </row>
    <row r="362" spans="23:35">
      <c r="W362" s="4" t="s">
        <v>585</v>
      </c>
      <c r="X362" s="3" t="s">
        <v>3356</v>
      </c>
      <c r="Y362" s="150" t="str">
        <f>INDEX($B$3:$O$110,46,1)</f>
        <v>E5396</v>
      </c>
      <c r="Z362" s="4" t="s">
        <v>587</v>
      </c>
      <c r="AA362" s="114" t="s">
        <v>588</v>
      </c>
      <c r="AB362" s="4" t="s">
        <v>506</v>
      </c>
      <c r="AC362" s="4" t="s">
        <v>507</v>
      </c>
      <c r="AD362" s="4" t="s">
        <v>508</v>
      </c>
      <c r="AE362" s="4" t="s">
        <v>509</v>
      </c>
      <c r="AF362" s="4" t="s">
        <v>589</v>
      </c>
      <c r="AG362" s="115">
        <f>+VLOOKUP(Y362,B:O,3,FALSE)/1000</f>
        <v>9.5280782857827637E-2</v>
      </c>
      <c r="AI362" s="158"/>
    </row>
    <row r="363" spans="23:35">
      <c r="W363" s="4" t="s">
        <v>585</v>
      </c>
      <c r="X363" s="4" t="s">
        <v>3357</v>
      </c>
      <c r="Y363" s="151" t="str">
        <f>Y362</f>
        <v>E5396</v>
      </c>
      <c r="Z363" s="4" t="s">
        <v>587</v>
      </c>
      <c r="AA363" s="114" t="s">
        <v>588</v>
      </c>
      <c r="AB363" s="4" t="s">
        <v>506</v>
      </c>
      <c r="AC363" s="4" t="s">
        <v>507</v>
      </c>
      <c r="AD363" s="4" t="s">
        <v>508</v>
      </c>
      <c r="AE363" s="4" t="s">
        <v>509</v>
      </c>
      <c r="AF363" s="4" t="s">
        <v>589</v>
      </c>
      <c r="AG363" s="115">
        <f>+VLOOKUP(Y363,B:O,4,FALSE)/1000</f>
        <v>9.5280782857827637E-2</v>
      </c>
      <c r="AI363" s="158"/>
    </row>
    <row r="364" spans="23:35">
      <c r="W364" s="4" t="s">
        <v>585</v>
      </c>
      <c r="X364" s="4" t="s">
        <v>3358</v>
      </c>
      <c r="Y364" s="151" t="str">
        <f t="shared" ref="Y364:Y373" si="34">Y363</f>
        <v>E5396</v>
      </c>
      <c r="Z364" s="4" t="s">
        <v>587</v>
      </c>
      <c r="AA364" s="114" t="s">
        <v>588</v>
      </c>
      <c r="AB364" s="4" t="s">
        <v>506</v>
      </c>
      <c r="AC364" s="4" t="s">
        <v>507</v>
      </c>
      <c r="AD364" s="4" t="s">
        <v>508</v>
      </c>
      <c r="AE364" s="4" t="s">
        <v>509</v>
      </c>
      <c r="AF364" s="4" t="s">
        <v>589</v>
      </c>
      <c r="AG364" s="115">
        <f>+VLOOKUP(Y364,B:O,5,FALSE)/1000</f>
        <v>9.5280782857827637E-2</v>
      </c>
      <c r="AI364" s="158"/>
    </row>
    <row r="365" spans="23:35">
      <c r="W365" s="4" t="s">
        <v>585</v>
      </c>
      <c r="X365" s="4" t="s">
        <v>3359</v>
      </c>
      <c r="Y365" s="151" t="str">
        <f t="shared" si="34"/>
        <v>E5396</v>
      </c>
      <c r="Z365" s="4" t="s">
        <v>587</v>
      </c>
      <c r="AA365" s="114" t="s">
        <v>588</v>
      </c>
      <c r="AB365" s="4" t="s">
        <v>506</v>
      </c>
      <c r="AC365" s="4" t="s">
        <v>507</v>
      </c>
      <c r="AD365" s="4" t="s">
        <v>508</v>
      </c>
      <c r="AE365" s="4" t="s">
        <v>509</v>
      </c>
      <c r="AF365" s="4" t="s">
        <v>589</v>
      </c>
      <c r="AG365" s="115">
        <f>+VLOOKUP(Y365,B:O,6,FALSE)/1000</f>
        <v>9.5280782857827637E-2</v>
      </c>
      <c r="AI365" s="158"/>
    </row>
    <row r="366" spans="23:35">
      <c r="W366" s="4" t="s">
        <v>585</v>
      </c>
      <c r="X366" s="4" t="s">
        <v>3360</v>
      </c>
      <c r="Y366" s="151" t="str">
        <f t="shared" si="34"/>
        <v>E5396</v>
      </c>
      <c r="Z366" s="4" t="s">
        <v>587</v>
      </c>
      <c r="AA366" s="114" t="s">
        <v>588</v>
      </c>
      <c r="AB366" s="4" t="s">
        <v>506</v>
      </c>
      <c r="AC366" s="4" t="s">
        <v>507</v>
      </c>
      <c r="AD366" s="4" t="s">
        <v>508</v>
      </c>
      <c r="AE366" s="4" t="s">
        <v>509</v>
      </c>
      <c r="AF366" s="4" t="s">
        <v>589</v>
      </c>
      <c r="AG366" s="115">
        <f>+VLOOKUP(Y366,B:O,7,FALSE)/1000</f>
        <v>9.5280782857827637E-2</v>
      </c>
      <c r="AI366" s="158"/>
    </row>
    <row r="367" spans="23:35">
      <c r="W367" s="4" t="s">
        <v>585</v>
      </c>
      <c r="X367" s="4" t="s">
        <v>3361</v>
      </c>
      <c r="Y367" s="151" t="str">
        <f t="shared" si="34"/>
        <v>E5396</v>
      </c>
      <c r="Z367" s="4" t="s">
        <v>587</v>
      </c>
      <c r="AA367" s="114" t="s">
        <v>588</v>
      </c>
      <c r="AB367" s="4" t="s">
        <v>506</v>
      </c>
      <c r="AC367" s="4" t="s">
        <v>507</v>
      </c>
      <c r="AD367" s="4" t="s">
        <v>508</v>
      </c>
      <c r="AE367" s="4" t="s">
        <v>509</v>
      </c>
      <c r="AF367" s="4" t="s">
        <v>589</v>
      </c>
      <c r="AG367" s="115">
        <f>+VLOOKUP(Y367,B:O,8,FALSE)/1000</f>
        <v>9.5280782857827637E-2</v>
      </c>
      <c r="AI367" s="158"/>
    </row>
    <row r="368" spans="23:35">
      <c r="W368" s="4" t="s">
        <v>585</v>
      </c>
      <c r="X368" s="4" t="s">
        <v>3362</v>
      </c>
      <c r="Y368" s="151" t="str">
        <f t="shared" si="34"/>
        <v>E5396</v>
      </c>
      <c r="Z368" s="4" t="s">
        <v>587</v>
      </c>
      <c r="AA368" s="114" t="s">
        <v>588</v>
      </c>
      <c r="AB368" s="4" t="s">
        <v>506</v>
      </c>
      <c r="AC368" s="4" t="s">
        <v>507</v>
      </c>
      <c r="AD368" s="4" t="s">
        <v>508</v>
      </c>
      <c r="AE368" s="4" t="s">
        <v>509</v>
      </c>
      <c r="AF368" s="4" t="s">
        <v>589</v>
      </c>
      <c r="AG368" s="115">
        <f>+VLOOKUP(Y368,B:O,9,FALSE)/1000</f>
        <v>9.5280782857827637E-2</v>
      </c>
      <c r="AI368" s="158"/>
    </row>
    <row r="369" spans="23:35">
      <c r="W369" s="4" t="s">
        <v>585</v>
      </c>
      <c r="X369" s="4" t="s">
        <v>3363</v>
      </c>
      <c r="Y369" s="151" t="str">
        <f t="shared" si="34"/>
        <v>E5396</v>
      </c>
      <c r="Z369" s="4" t="s">
        <v>587</v>
      </c>
      <c r="AA369" s="114" t="s">
        <v>588</v>
      </c>
      <c r="AB369" s="4" t="s">
        <v>506</v>
      </c>
      <c r="AC369" s="4" t="s">
        <v>507</v>
      </c>
      <c r="AD369" s="4" t="s">
        <v>508</v>
      </c>
      <c r="AE369" s="4" t="s">
        <v>509</v>
      </c>
      <c r="AF369" s="4" t="s">
        <v>589</v>
      </c>
      <c r="AG369" s="115">
        <f>+VLOOKUP(Y369,B:O,10,FALSE)/1000</f>
        <v>9.5280782857827637E-2</v>
      </c>
      <c r="AI369" s="158"/>
    </row>
    <row r="370" spans="23:35">
      <c r="W370" s="4" t="s">
        <v>585</v>
      </c>
      <c r="X370" s="4" t="s">
        <v>3364</v>
      </c>
      <c r="Y370" s="151" t="str">
        <f t="shared" si="34"/>
        <v>E5396</v>
      </c>
      <c r="Z370" s="4" t="s">
        <v>587</v>
      </c>
      <c r="AA370" s="114" t="s">
        <v>588</v>
      </c>
      <c r="AB370" s="4" t="s">
        <v>506</v>
      </c>
      <c r="AC370" s="4" t="s">
        <v>507</v>
      </c>
      <c r="AD370" s="4" t="s">
        <v>508</v>
      </c>
      <c r="AE370" s="4" t="s">
        <v>509</v>
      </c>
      <c r="AF370" s="4" t="s">
        <v>589</v>
      </c>
      <c r="AG370" s="115">
        <f>+VLOOKUP(Y370,B:O,11,FALSE)/1000</f>
        <v>9.5280782857827637E-2</v>
      </c>
      <c r="AI370" s="158"/>
    </row>
    <row r="371" spans="23:35">
      <c r="W371" s="4" t="s">
        <v>585</v>
      </c>
      <c r="X371" s="4" t="s">
        <v>3365</v>
      </c>
      <c r="Y371" s="151" t="str">
        <f t="shared" si="34"/>
        <v>E5396</v>
      </c>
      <c r="Z371" s="4" t="s">
        <v>587</v>
      </c>
      <c r="AA371" s="114" t="s">
        <v>588</v>
      </c>
      <c r="AB371" s="4" t="s">
        <v>506</v>
      </c>
      <c r="AC371" s="4" t="s">
        <v>507</v>
      </c>
      <c r="AD371" s="4" t="s">
        <v>508</v>
      </c>
      <c r="AE371" s="4" t="s">
        <v>509</v>
      </c>
      <c r="AF371" s="4" t="s">
        <v>589</v>
      </c>
      <c r="AG371" s="115">
        <f>+VLOOKUP(Y371,B:O,12,FALSE)/1000</f>
        <v>9.5280782857827637E-2</v>
      </c>
      <c r="AI371" s="158"/>
    </row>
    <row r="372" spans="23:35">
      <c r="W372" s="4" t="s">
        <v>585</v>
      </c>
      <c r="X372" s="4" t="s">
        <v>3366</v>
      </c>
      <c r="Y372" s="151" t="str">
        <f t="shared" si="34"/>
        <v>E5396</v>
      </c>
      <c r="Z372" s="4" t="s">
        <v>587</v>
      </c>
      <c r="AA372" s="114" t="s">
        <v>588</v>
      </c>
      <c r="AB372" s="4" t="s">
        <v>506</v>
      </c>
      <c r="AC372" s="4" t="s">
        <v>507</v>
      </c>
      <c r="AD372" s="4" t="s">
        <v>508</v>
      </c>
      <c r="AE372" s="4" t="s">
        <v>509</v>
      </c>
      <c r="AF372" s="4" t="s">
        <v>589</v>
      </c>
      <c r="AG372" s="115">
        <f>+VLOOKUP(Y372,B:O,13,FALSE)/1000</f>
        <v>9.7472240863557671E-2</v>
      </c>
      <c r="AI372" s="158"/>
    </row>
    <row r="373" spans="23:35">
      <c r="W373" s="4" t="s">
        <v>585</v>
      </c>
      <c r="X373" s="4" t="s">
        <v>3367</v>
      </c>
      <c r="Y373" s="151" t="str">
        <f t="shared" si="34"/>
        <v>E5396</v>
      </c>
      <c r="Z373" s="4" t="s">
        <v>587</v>
      </c>
      <c r="AA373" s="114" t="s">
        <v>588</v>
      </c>
      <c r="AB373" s="4" t="s">
        <v>506</v>
      </c>
      <c r="AC373" s="4" t="s">
        <v>507</v>
      </c>
      <c r="AD373" s="4" t="s">
        <v>508</v>
      </c>
      <c r="AE373" s="4" t="s">
        <v>509</v>
      </c>
      <c r="AF373" s="4" t="s">
        <v>589</v>
      </c>
      <c r="AG373" s="115">
        <f>+VLOOKUP(Y373,B:O,14,FALSE)/1000</f>
        <v>9.7472240863557671E-2</v>
      </c>
      <c r="AI373" s="158"/>
    </row>
    <row r="374" spans="23:35">
      <c r="W374" s="4" t="s">
        <v>585</v>
      </c>
      <c r="X374" s="3" t="s">
        <v>3356</v>
      </c>
      <c r="Y374" s="150" t="str">
        <f>INDEX($B$3:$O$110,47,1)</f>
        <v>E5397</v>
      </c>
      <c r="Z374" s="4" t="s">
        <v>587</v>
      </c>
      <c r="AA374" s="114" t="s">
        <v>588</v>
      </c>
      <c r="AB374" s="4" t="s">
        <v>506</v>
      </c>
      <c r="AC374" s="4" t="s">
        <v>507</v>
      </c>
      <c r="AD374" s="4" t="s">
        <v>508</v>
      </c>
      <c r="AE374" s="4" t="s">
        <v>509</v>
      </c>
      <c r="AF374" s="4" t="s">
        <v>589</v>
      </c>
      <c r="AG374" s="115">
        <f>+VLOOKUP(Y374,B:O,3,FALSE)/1000</f>
        <v>9.0883345609474309E-2</v>
      </c>
      <c r="AI374" s="158"/>
    </row>
    <row r="375" spans="23:35">
      <c r="W375" s="4" t="s">
        <v>585</v>
      </c>
      <c r="X375" s="4" t="s">
        <v>3357</v>
      </c>
      <c r="Y375" s="151" t="str">
        <f>Y374</f>
        <v>E5397</v>
      </c>
      <c r="Z375" s="4" t="s">
        <v>587</v>
      </c>
      <c r="AA375" s="114" t="s">
        <v>588</v>
      </c>
      <c r="AB375" s="4" t="s">
        <v>506</v>
      </c>
      <c r="AC375" s="4" t="s">
        <v>507</v>
      </c>
      <c r="AD375" s="4" t="s">
        <v>508</v>
      </c>
      <c r="AE375" s="4" t="s">
        <v>509</v>
      </c>
      <c r="AF375" s="4" t="s">
        <v>589</v>
      </c>
      <c r="AG375" s="115">
        <f>+VLOOKUP(Y375,B:O,4,FALSE)/1000</f>
        <v>9.0883345609474309E-2</v>
      </c>
      <c r="AI375" s="158"/>
    </row>
    <row r="376" spans="23:35">
      <c r="W376" s="4" t="s">
        <v>585</v>
      </c>
      <c r="X376" s="4" t="s">
        <v>3358</v>
      </c>
      <c r="Y376" s="151" t="str">
        <f t="shared" ref="Y376:Y385" si="35">Y375</f>
        <v>E5397</v>
      </c>
      <c r="Z376" s="4" t="s">
        <v>587</v>
      </c>
      <c r="AA376" s="114" t="s">
        <v>588</v>
      </c>
      <c r="AB376" s="4" t="s">
        <v>506</v>
      </c>
      <c r="AC376" s="4" t="s">
        <v>507</v>
      </c>
      <c r="AD376" s="4" t="s">
        <v>508</v>
      </c>
      <c r="AE376" s="4" t="s">
        <v>509</v>
      </c>
      <c r="AF376" s="4" t="s">
        <v>589</v>
      </c>
      <c r="AG376" s="115">
        <f>+VLOOKUP(Y376,B:O,5,FALSE)/1000</f>
        <v>9.0883345609474309E-2</v>
      </c>
      <c r="AI376" s="158"/>
    </row>
    <row r="377" spans="23:35">
      <c r="W377" s="4" t="s">
        <v>585</v>
      </c>
      <c r="X377" s="4" t="s">
        <v>3359</v>
      </c>
      <c r="Y377" s="151" t="str">
        <f t="shared" si="35"/>
        <v>E5397</v>
      </c>
      <c r="Z377" s="4" t="s">
        <v>587</v>
      </c>
      <c r="AA377" s="114" t="s">
        <v>588</v>
      </c>
      <c r="AB377" s="4" t="s">
        <v>506</v>
      </c>
      <c r="AC377" s="4" t="s">
        <v>507</v>
      </c>
      <c r="AD377" s="4" t="s">
        <v>508</v>
      </c>
      <c r="AE377" s="4" t="s">
        <v>509</v>
      </c>
      <c r="AF377" s="4" t="s">
        <v>589</v>
      </c>
      <c r="AG377" s="115">
        <f>+VLOOKUP(Y377,B:O,6,FALSE)/1000</f>
        <v>9.0883345609474309E-2</v>
      </c>
      <c r="AI377" s="158"/>
    </row>
    <row r="378" spans="23:35">
      <c r="W378" s="4" t="s">
        <v>585</v>
      </c>
      <c r="X378" s="4" t="s">
        <v>3360</v>
      </c>
      <c r="Y378" s="151" t="str">
        <f t="shared" si="35"/>
        <v>E5397</v>
      </c>
      <c r="Z378" s="4" t="s">
        <v>587</v>
      </c>
      <c r="AA378" s="114" t="s">
        <v>588</v>
      </c>
      <c r="AB378" s="4" t="s">
        <v>506</v>
      </c>
      <c r="AC378" s="4" t="s">
        <v>507</v>
      </c>
      <c r="AD378" s="4" t="s">
        <v>508</v>
      </c>
      <c r="AE378" s="4" t="s">
        <v>509</v>
      </c>
      <c r="AF378" s="4" t="s">
        <v>589</v>
      </c>
      <c r="AG378" s="115">
        <f>+VLOOKUP(Y378,B:O,7,FALSE)/1000</f>
        <v>9.0883345609474309E-2</v>
      </c>
      <c r="AI378" s="158"/>
    </row>
    <row r="379" spans="23:35">
      <c r="W379" s="4" t="s">
        <v>585</v>
      </c>
      <c r="X379" s="4" t="s">
        <v>3361</v>
      </c>
      <c r="Y379" s="151" t="str">
        <f t="shared" si="35"/>
        <v>E5397</v>
      </c>
      <c r="Z379" s="4" t="s">
        <v>587</v>
      </c>
      <c r="AA379" s="114" t="s">
        <v>588</v>
      </c>
      <c r="AB379" s="4" t="s">
        <v>506</v>
      </c>
      <c r="AC379" s="4" t="s">
        <v>507</v>
      </c>
      <c r="AD379" s="4" t="s">
        <v>508</v>
      </c>
      <c r="AE379" s="4" t="s">
        <v>509</v>
      </c>
      <c r="AF379" s="4" t="s">
        <v>589</v>
      </c>
      <c r="AG379" s="115">
        <f>+VLOOKUP(Y379,B:O,8,FALSE)/1000</f>
        <v>9.0883345609474309E-2</v>
      </c>
      <c r="AI379" s="158"/>
    </row>
    <row r="380" spans="23:35">
      <c r="W380" s="4" t="s">
        <v>585</v>
      </c>
      <c r="X380" s="4" t="s">
        <v>3362</v>
      </c>
      <c r="Y380" s="151" t="str">
        <f t="shared" si="35"/>
        <v>E5397</v>
      </c>
      <c r="Z380" s="4" t="s">
        <v>587</v>
      </c>
      <c r="AA380" s="114" t="s">
        <v>588</v>
      </c>
      <c r="AB380" s="4" t="s">
        <v>506</v>
      </c>
      <c r="AC380" s="4" t="s">
        <v>507</v>
      </c>
      <c r="AD380" s="4" t="s">
        <v>508</v>
      </c>
      <c r="AE380" s="4" t="s">
        <v>509</v>
      </c>
      <c r="AF380" s="4" t="s">
        <v>589</v>
      </c>
      <c r="AG380" s="115">
        <f>+VLOOKUP(Y380,B:O,9,FALSE)/1000</f>
        <v>9.0883345609474309E-2</v>
      </c>
      <c r="AI380" s="158"/>
    </row>
    <row r="381" spans="23:35">
      <c r="W381" s="4" t="s">
        <v>585</v>
      </c>
      <c r="X381" s="4" t="s">
        <v>3363</v>
      </c>
      <c r="Y381" s="151" t="str">
        <f t="shared" si="35"/>
        <v>E5397</v>
      </c>
      <c r="Z381" s="4" t="s">
        <v>587</v>
      </c>
      <c r="AA381" s="114" t="s">
        <v>588</v>
      </c>
      <c r="AB381" s="4" t="s">
        <v>506</v>
      </c>
      <c r="AC381" s="4" t="s">
        <v>507</v>
      </c>
      <c r="AD381" s="4" t="s">
        <v>508</v>
      </c>
      <c r="AE381" s="4" t="s">
        <v>509</v>
      </c>
      <c r="AF381" s="4" t="s">
        <v>589</v>
      </c>
      <c r="AG381" s="115">
        <f>+VLOOKUP(Y381,B:O,10,FALSE)/1000</f>
        <v>9.0883345609474309E-2</v>
      </c>
      <c r="AI381" s="158"/>
    </row>
    <row r="382" spans="23:35">
      <c r="W382" s="4" t="s">
        <v>585</v>
      </c>
      <c r="X382" s="4" t="s">
        <v>3364</v>
      </c>
      <c r="Y382" s="151" t="str">
        <f t="shared" si="35"/>
        <v>E5397</v>
      </c>
      <c r="Z382" s="4" t="s">
        <v>587</v>
      </c>
      <c r="AA382" s="114" t="s">
        <v>588</v>
      </c>
      <c r="AB382" s="4" t="s">
        <v>506</v>
      </c>
      <c r="AC382" s="4" t="s">
        <v>507</v>
      </c>
      <c r="AD382" s="4" t="s">
        <v>508</v>
      </c>
      <c r="AE382" s="4" t="s">
        <v>509</v>
      </c>
      <c r="AF382" s="4" t="s">
        <v>589</v>
      </c>
      <c r="AG382" s="115">
        <f>+VLOOKUP(Y382,B:O,11,FALSE)/1000</f>
        <v>9.0883345609474309E-2</v>
      </c>
      <c r="AI382" s="158"/>
    </row>
    <row r="383" spans="23:35">
      <c r="W383" s="4" t="s">
        <v>585</v>
      </c>
      <c r="X383" s="4" t="s">
        <v>3365</v>
      </c>
      <c r="Y383" s="151" t="str">
        <f t="shared" si="35"/>
        <v>E5397</v>
      </c>
      <c r="Z383" s="4" t="s">
        <v>587</v>
      </c>
      <c r="AA383" s="114" t="s">
        <v>588</v>
      </c>
      <c r="AB383" s="4" t="s">
        <v>506</v>
      </c>
      <c r="AC383" s="4" t="s">
        <v>507</v>
      </c>
      <c r="AD383" s="4" t="s">
        <v>508</v>
      </c>
      <c r="AE383" s="4" t="s">
        <v>509</v>
      </c>
      <c r="AF383" s="4" t="s">
        <v>589</v>
      </c>
      <c r="AG383" s="115">
        <f>+VLOOKUP(Y383,B:O,12,FALSE)/1000</f>
        <v>9.0883345609474309E-2</v>
      </c>
      <c r="AI383" s="158"/>
    </row>
    <row r="384" spans="23:35">
      <c r="W384" s="4" t="s">
        <v>585</v>
      </c>
      <c r="X384" s="4" t="s">
        <v>3366</v>
      </c>
      <c r="Y384" s="151" t="str">
        <f t="shared" si="35"/>
        <v>E5397</v>
      </c>
      <c r="Z384" s="4" t="s">
        <v>587</v>
      </c>
      <c r="AA384" s="114" t="s">
        <v>588</v>
      </c>
      <c r="AB384" s="4" t="s">
        <v>506</v>
      </c>
      <c r="AC384" s="4" t="s">
        <v>507</v>
      </c>
      <c r="AD384" s="4" t="s">
        <v>508</v>
      </c>
      <c r="AE384" s="4" t="s">
        <v>509</v>
      </c>
      <c r="AF384" s="4" t="s">
        <v>589</v>
      </c>
      <c r="AG384" s="115">
        <f>+VLOOKUP(Y384,B:O,13,FALSE)/1000</f>
        <v>9.2973662558492209E-2</v>
      </c>
      <c r="AI384" s="158"/>
    </row>
    <row r="385" spans="23:35">
      <c r="W385" s="4" t="s">
        <v>585</v>
      </c>
      <c r="X385" s="4" t="s">
        <v>3367</v>
      </c>
      <c r="Y385" s="151" t="str">
        <f t="shared" si="35"/>
        <v>E5397</v>
      </c>
      <c r="Z385" s="4" t="s">
        <v>587</v>
      </c>
      <c r="AA385" s="114" t="s">
        <v>588</v>
      </c>
      <c r="AB385" s="4" t="s">
        <v>506</v>
      </c>
      <c r="AC385" s="4" t="s">
        <v>507</v>
      </c>
      <c r="AD385" s="4" t="s">
        <v>508</v>
      </c>
      <c r="AE385" s="4" t="s">
        <v>509</v>
      </c>
      <c r="AF385" s="4" t="s">
        <v>589</v>
      </c>
      <c r="AG385" s="115">
        <f>+VLOOKUP(Y385,B:O,14,FALSE)/1000</f>
        <v>9.2973662558492209E-2</v>
      </c>
      <c r="AI385" s="158"/>
    </row>
    <row r="386" spans="23:35">
      <c r="W386" s="4" t="s">
        <v>585</v>
      </c>
      <c r="X386" s="3" t="s">
        <v>3356</v>
      </c>
      <c r="Y386" s="150" t="str">
        <f>INDEX($B$3:$O$110,49,1)</f>
        <v>E5398</v>
      </c>
      <c r="Z386" s="4" t="s">
        <v>587</v>
      </c>
      <c r="AA386" s="114" t="s">
        <v>588</v>
      </c>
      <c r="AB386" s="4" t="s">
        <v>506</v>
      </c>
      <c r="AC386" s="4" t="s">
        <v>507</v>
      </c>
      <c r="AD386" s="4" t="s">
        <v>508</v>
      </c>
      <c r="AE386" s="4" t="s">
        <v>509</v>
      </c>
      <c r="AF386" s="4" t="s">
        <v>589</v>
      </c>
      <c r="AG386" s="115">
        <f>+VLOOKUP(Y386,B:O,3,FALSE)/1000</f>
        <v>9.976885572712503E-2</v>
      </c>
      <c r="AI386" s="158"/>
    </row>
    <row r="387" spans="23:35">
      <c r="W387" s="4" t="s">
        <v>585</v>
      </c>
      <c r="X387" s="4" t="s">
        <v>3357</v>
      </c>
      <c r="Y387" s="151" t="str">
        <f>Y386</f>
        <v>E5398</v>
      </c>
      <c r="Z387" s="4" t="s">
        <v>587</v>
      </c>
      <c r="AA387" s="114" t="s">
        <v>588</v>
      </c>
      <c r="AB387" s="4" t="s">
        <v>506</v>
      </c>
      <c r="AC387" s="4" t="s">
        <v>507</v>
      </c>
      <c r="AD387" s="4" t="s">
        <v>508</v>
      </c>
      <c r="AE387" s="4" t="s">
        <v>509</v>
      </c>
      <c r="AF387" s="4" t="s">
        <v>589</v>
      </c>
      <c r="AG387" s="115">
        <f>+VLOOKUP(Y387,B:O,4,FALSE)/1000</f>
        <v>9.976885572712503E-2</v>
      </c>
      <c r="AI387" s="158"/>
    </row>
    <row r="388" spans="23:35">
      <c r="W388" s="4" t="s">
        <v>585</v>
      </c>
      <c r="X388" s="4" t="s">
        <v>3358</v>
      </c>
      <c r="Y388" s="151" t="str">
        <f t="shared" ref="Y388:Y397" si="36">Y387</f>
        <v>E5398</v>
      </c>
      <c r="Z388" s="4" t="s">
        <v>587</v>
      </c>
      <c r="AA388" s="114" t="s">
        <v>588</v>
      </c>
      <c r="AB388" s="4" t="s">
        <v>506</v>
      </c>
      <c r="AC388" s="4" t="s">
        <v>507</v>
      </c>
      <c r="AD388" s="4" t="s">
        <v>508</v>
      </c>
      <c r="AE388" s="4" t="s">
        <v>509</v>
      </c>
      <c r="AF388" s="4" t="s">
        <v>589</v>
      </c>
      <c r="AG388" s="115">
        <f>+VLOOKUP(Y388,B:O,5,FALSE)/1000</f>
        <v>9.976885572712503E-2</v>
      </c>
      <c r="AI388" s="158"/>
    </row>
    <row r="389" spans="23:35">
      <c r="W389" s="4" t="s">
        <v>585</v>
      </c>
      <c r="X389" s="4" t="s">
        <v>3359</v>
      </c>
      <c r="Y389" s="151" t="str">
        <f t="shared" si="36"/>
        <v>E5398</v>
      </c>
      <c r="Z389" s="4" t="s">
        <v>587</v>
      </c>
      <c r="AA389" s="114" t="s">
        <v>588</v>
      </c>
      <c r="AB389" s="4" t="s">
        <v>506</v>
      </c>
      <c r="AC389" s="4" t="s">
        <v>507</v>
      </c>
      <c r="AD389" s="4" t="s">
        <v>508</v>
      </c>
      <c r="AE389" s="4" t="s">
        <v>509</v>
      </c>
      <c r="AF389" s="4" t="s">
        <v>589</v>
      </c>
      <c r="AG389" s="115">
        <f>+VLOOKUP(Y389,B:O,6,FALSE)/1000</f>
        <v>9.976885572712503E-2</v>
      </c>
      <c r="AI389" s="158"/>
    </row>
    <row r="390" spans="23:35">
      <c r="W390" s="4" t="s">
        <v>585</v>
      </c>
      <c r="X390" s="4" t="s">
        <v>3360</v>
      </c>
      <c r="Y390" s="151" t="str">
        <f t="shared" si="36"/>
        <v>E5398</v>
      </c>
      <c r="Z390" s="4" t="s">
        <v>587</v>
      </c>
      <c r="AA390" s="114" t="s">
        <v>588</v>
      </c>
      <c r="AB390" s="4" t="s">
        <v>506</v>
      </c>
      <c r="AC390" s="4" t="s">
        <v>507</v>
      </c>
      <c r="AD390" s="4" t="s">
        <v>508</v>
      </c>
      <c r="AE390" s="4" t="s">
        <v>509</v>
      </c>
      <c r="AF390" s="4" t="s">
        <v>589</v>
      </c>
      <c r="AG390" s="115">
        <f>+VLOOKUP(Y390,B:O,7,FALSE)/1000</f>
        <v>9.976885572712503E-2</v>
      </c>
      <c r="AI390" s="158"/>
    </row>
    <row r="391" spans="23:35">
      <c r="W391" s="4" t="s">
        <v>585</v>
      </c>
      <c r="X391" s="4" t="s">
        <v>3361</v>
      </c>
      <c r="Y391" s="151" t="str">
        <f t="shared" si="36"/>
        <v>E5398</v>
      </c>
      <c r="Z391" s="4" t="s">
        <v>587</v>
      </c>
      <c r="AA391" s="114" t="s">
        <v>588</v>
      </c>
      <c r="AB391" s="4" t="s">
        <v>506</v>
      </c>
      <c r="AC391" s="4" t="s">
        <v>507</v>
      </c>
      <c r="AD391" s="4" t="s">
        <v>508</v>
      </c>
      <c r="AE391" s="4" t="s">
        <v>509</v>
      </c>
      <c r="AF391" s="4" t="s">
        <v>589</v>
      </c>
      <c r="AG391" s="115">
        <f>+VLOOKUP(Y391,B:O,8,FALSE)/1000</f>
        <v>9.976885572712503E-2</v>
      </c>
      <c r="AI391" s="158"/>
    </row>
    <row r="392" spans="23:35">
      <c r="W392" s="4" t="s">
        <v>585</v>
      </c>
      <c r="X392" s="4" t="s">
        <v>3362</v>
      </c>
      <c r="Y392" s="151" t="str">
        <f t="shared" si="36"/>
        <v>E5398</v>
      </c>
      <c r="Z392" s="4" t="s">
        <v>587</v>
      </c>
      <c r="AA392" s="114" t="s">
        <v>588</v>
      </c>
      <c r="AB392" s="4" t="s">
        <v>506</v>
      </c>
      <c r="AC392" s="4" t="s">
        <v>507</v>
      </c>
      <c r="AD392" s="4" t="s">
        <v>508</v>
      </c>
      <c r="AE392" s="4" t="s">
        <v>509</v>
      </c>
      <c r="AF392" s="4" t="s">
        <v>589</v>
      </c>
      <c r="AG392" s="115">
        <f>+VLOOKUP(Y392,B:O,9,FALSE)/1000</f>
        <v>9.976885572712503E-2</v>
      </c>
      <c r="AI392" s="158"/>
    </row>
    <row r="393" spans="23:35">
      <c r="W393" s="4" t="s">
        <v>585</v>
      </c>
      <c r="X393" s="4" t="s">
        <v>3363</v>
      </c>
      <c r="Y393" s="151" t="str">
        <f t="shared" si="36"/>
        <v>E5398</v>
      </c>
      <c r="Z393" s="4" t="s">
        <v>587</v>
      </c>
      <c r="AA393" s="114" t="s">
        <v>588</v>
      </c>
      <c r="AB393" s="4" t="s">
        <v>506</v>
      </c>
      <c r="AC393" s="4" t="s">
        <v>507</v>
      </c>
      <c r="AD393" s="4" t="s">
        <v>508</v>
      </c>
      <c r="AE393" s="4" t="s">
        <v>509</v>
      </c>
      <c r="AF393" s="4" t="s">
        <v>589</v>
      </c>
      <c r="AG393" s="115">
        <f>+VLOOKUP(Y393,B:O,10,FALSE)/1000</f>
        <v>9.976885572712503E-2</v>
      </c>
      <c r="AI393" s="158"/>
    </row>
    <row r="394" spans="23:35">
      <c r="W394" s="4" t="s">
        <v>585</v>
      </c>
      <c r="X394" s="4" t="s">
        <v>3364</v>
      </c>
      <c r="Y394" s="151" t="str">
        <f t="shared" si="36"/>
        <v>E5398</v>
      </c>
      <c r="Z394" s="4" t="s">
        <v>587</v>
      </c>
      <c r="AA394" s="114" t="s">
        <v>588</v>
      </c>
      <c r="AB394" s="4" t="s">
        <v>506</v>
      </c>
      <c r="AC394" s="4" t="s">
        <v>507</v>
      </c>
      <c r="AD394" s="4" t="s">
        <v>508</v>
      </c>
      <c r="AE394" s="4" t="s">
        <v>509</v>
      </c>
      <c r="AF394" s="4" t="s">
        <v>589</v>
      </c>
      <c r="AG394" s="115">
        <f>+VLOOKUP(Y394,B:O,11,FALSE)/1000</f>
        <v>9.976885572712503E-2</v>
      </c>
      <c r="AI394" s="158"/>
    </row>
    <row r="395" spans="23:35">
      <c r="W395" s="4" t="s">
        <v>585</v>
      </c>
      <c r="X395" s="4" t="s">
        <v>3365</v>
      </c>
      <c r="Y395" s="151" t="str">
        <f t="shared" si="36"/>
        <v>E5398</v>
      </c>
      <c r="Z395" s="4" t="s">
        <v>587</v>
      </c>
      <c r="AA395" s="114" t="s">
        <v>588</v>
      </c>
      <c r="AB395" s="4" t="s">
        <v>506</v>
      </c>
      <c r="AC395" s="4" t="s">
        <v>507</v>
      </c>
      <c r="AD395" s="4" t="s">
        <v>508</v>
      </c>
      <c r="AE395" s="4" t="s">
        <v>509</v>
      </c>
      <c r="AF395" s="4" t="s">
        <v>589</v>
      </c>
      <c r="AG395" s="115">
        <f>+VLOOKUP(Y395,B:O,12,FALSE)/1000</f>
        <v>9.976885572712503E-2</v>
      </c>
      <c r="AI395" s="158"/>
    </row>
    <row r="396" spans="23:35">
      <c r="W396" s="4" t="s">
        <v>585</v>
      </c>
      <c r="X396" s="4" t="s">
        <v>3366</v>
      </c>
      <c r="Y396" s="151" t="str">
        <f t="shared" si="36"/>
        <v>E5398</v>
      </c>
      <c r="Z396" s="4" t="s">
        <v>587</v>
      </c>
      <c r="AA396" s="114" t="s">
        <v>588</v>
      </c>
      <c r="AB396" s="4" t="s">
        <v>506</v>
      </c>
      <c r="AC396" s="4" t="s">
        <v>507</v>
      </c>
      <c r="AD396" s="4" t="s">
        <v>508</v>
      </c>
      <c r="AE396" s="4" t="s">
        <v>509</v>
      </c>
      <c r="AF396" s="4" t="s">
        <v>589</v>
      </c>
      <c r="AG396" s="115">
        <f>+VLOOKUP(Y396,B:O,13,FALSE)/1000</f>
        <v>0.10206353940884891</v>
      </c>
      <c r="AI396" s="158"/>
    </row>
    <row r="397" spans="23:35">
      <c r="W397" s="4" t="s">
        <v>585</v>
      </c>
      <c r="X397" s="4" t="s">
        <v>3367</v>
      </c>
      <c r="Y397" s="151" t="str">
        <f t="shared" si="36"/>
        <v>E5398</v>
      </c>
      <c r="Z397" s="4" t="s">
        <v>587</v>
      </c>
      <c r="AA397" s="114" t="s">
        <v>588</v>
      </c>
      <c r="AB397" s="4" t="s">
        <v>506</v>
      </c>
      <c r="AC397" s="4" t="s">
        <v>507</v>
      </c>
      <c r="AD397" s="4" t="s">
        <v>508</v>
      </c>
      <c r="AE397" s="4" t="s">
        <v>509</v>
      </c>
      <c r="AF397" s="4" t="s">
        <v>589</v>
      </c>
      <c r="AG397" s="115">
        <f>+VLOOKUP(Y397,B:O,14,FALSE)/1000</f>
        <v>0.10206353940884891</v>
      </c>
      <c r="AI397" s="158"/>
    </row>
    <row r="398" spans="23:35">
      <c r="W398" s="4" t="s">
        <v>585</v>
      </c>
      <c r="X398" s="3" t="s">
        <v>3356</v>
      </c>
      <c r="Y398" s="150" t="str">
        <f>INDEX($B$3:$O$110,52,1)</f>
        <v>E5399</v>
      </c>
      <c r="Z398" s="4" t="s">
        <v>587</v>
      </c>
      <c r="AA398" s="114" t="s">
        <v>588</v>
      </c>
      <c r="AB398" s="4" t="s">
        <v>506</v>
      </c>
      <c r="AC398" s="4" t="s">
        <v>507</v>
      </c>
      <c r="AD398" s="4" t="s">
        <v>508</v>
      </c>
      <c r="AE398" s="4" t="s">
        <v>509</v>
      </c>
      <c r="AF398" s="4" t="s">
        <v>589</v>
      </c>
      <c r="AG398" s="115">
        <f>+VLOOKUP(Y398,B:O,3,FALSE)/1000</f>
        <v>9.6060834182196325E-2</v>
      </c>
      <c r="AI398" s="158"/>
    </row>
    <row r="399" spans="23:35">
      <c r="W399" s="4" t="s">
        <v>585</v>
      </c>
      <c r="X399" s="4" t="s">
        <v>3357</v>
      </c>
      <c r="Y399" s="151" t="str">
        <f>Y398</f>
        <v>E5399</v>
      </c>
      <c r="Z399" s="4" t="s">
        <v>587</v>
      </c>
      <c r="AA399" s="114" t="s">
        <v>588</v>
      </c>
      <c r="AB399" s="4" t="s">
        <v>506</v>
      </c>
      <c r="AC399" s="4" t="s">
        <v>507</v>
      </c>
      <c r="AD399" s="4" t="s">
        <v>508</v>
      </c>
      <c r="AE399" s="4" t="s">
        <v>509</v>
      </c>
      <c r="AF399" s="4" t="s">
        <v>589</v>
      </c>
      <c r="AG399" s="115">
        <f>+VLOOKUP(Y399,B:O,4,FALSE)/1000</f>
        <v>9.6060834182196325E-2</v>
      </c>
      <c r="AI399" s="158"/>
    </row>
    <row r="400" spans="23:35">
      <c r="W400" s="4" t="s">
        <v>585</v>
      </c>
      <c r="X400" s="4" t="s">
        <v>3358</v>
      </c>
      <c r="Y400" s="151" t="str">
        <f t="shared" ref="Y400:Y409" si="37">Y399</f>
        <v>E5399</v>
      </c>
      <c r="Z400" s="4" t="s">
        <v>587</v>
      </c>
      <c r="AA400" s="114" t="s">
        <v>588</v>
      </c>
      <c r="AB400" s="4" t="s">
        <v>506</v>
      </c>
      <c r="AC400" s="4" t="s">
        <v>507</v>
      </c>
      <c r="AD400" s="4" t="s">
        <v>508</v>
      </c>
      <c r="AE400" s="4" t="s">
        <v>509</v>
      </c>
      <c r="AF400" s="4" t="s">
        <v>589</v>
      </c>
      <c r="AG400" s="115">
        <f>+VLOOKUP(Y400,B:O,5,FALSE)/1000</f>
        <v>9.6060834182196325E-2</v>
      </c>
      <c r="AI400" s="158"/>
    </row>
    <row r="401" spans="23:35">
      <c r="W401" s="4" t="s">
        <v>585</v>
      </c>
      <c r="X401" s="4" t="s">
        <v>3359</v>
      </c>
      <c r="Y401" s="151" t="str">
        <f t="shared" si="37"/>
        <v>E5399</v>
      </c>
      <c r="Z401" s="4" t="s">
        <v>587</v>
      </c>
      <c r="AA401" s="114" t="s">
        <v>588</v>
      </c>
      <c r="AB401" s="4" t="s">
        <v>506</v>
      </c>
      <c r="AC401" s="4" t="s">
        <v>507</v>
      </c>
      <c r="AD401" s="4" t="s">
        <v>508</v>
      </c>
      <c r="AE401" s="4" t="s">
        <v>509</v>
      </c>
      <c r="AF401" s="4" t="s">
        <v>589</v>
      </c>
      <c r="AG401" s="115">
        <f>+VLOOKUP(Y401,B:O,6,FALSE)/1000</f>
        <v>9.6060834182196325E-2</v>
      </c>
      <c r="AI401" s="158"/>
    </row>
    <row r="402" spans="23:35">
      <c r="W402" s="4" t="s">
        <v>585</v>
      </c>
      <c r="X402" s="4" t="s">
        <v>3360</v>
      </c>
      <c r="Y402" s="151" t="str">
        <f t="shared" si="37"/>
        <v>E5399</v>
      </c>
      <c r="Z402" s="4" t="s">
        <v>587</v>
      </c>
      <c r="AA402" s="114" t="s">
        <v>588</v>
      </c>
      <c r="AB402" s="4" t="s">
        <v>506</v>
      </c>
      <c r="AC402" s="4" t="s">
        <v>507</v>
      </c>
      <c r="AD402" s="4" t="s">
        <v>508</v>
      </c>
      <c r="AE402" s="4" t="s">
        <v>509</v>
      </c>
      <c r="AF402" s="4" t="s">
        <v>589</v>
      </c>
      <c r="AG402" s="115">
        <f>+VLOOKUP(Y402,B:O,7,FALSE)/1000</f>
        <v>9.6060834182196325E-2</v>
      </c>
      <c r="AI402" s="158"/>
    </row>
    <row r="403" spans="23:35">
      <c r="W403" s="4" t="s">
        <v>585</v>
      </c>
      <c r="X403" s="4" t="s">
        <v>3361</v>
      </c>
      <c r="Y403" s="151" t="str">
        <f t="shared" si="37"/>
        <v>E5399</v>
      </c>
      <c r="Z403" s="4" t="s">
        <v>587</v>
      </c>
      <c r="AA403" s="114" t="s">
        <v>588</v>
      </c>
      <c r="AB403" s="4" t="s">
        <v>506</v>
      </c>
      <c r="AC403" s="4" t="s">
        <v>507</v>
      </c>
      <c r="AD403" s="4" t="s">
        <v>508</v>
      </c>
      <c r="AE403" s="4" t="s">
        <v>509</v>
      </c>
      <c r="AF403" s="4" t="s">
        <v>589</v>
      </c>
      <c r="AG403" s="115">
        <f>+VLOOKUP(Y403,B:O,8,FALSE)/1000</f>
        <v>9.6060834182196325E-2</v>
      </c>
      <c r="AI403" s="158"/>
    </row>
    <row r="404" spans="23:35">
      <c r="W404" s="4" t="s">
        <v>585</v>
      </c>
      <c r="X404" s="4" t="s">
        <v>3362</v>
      </c>
      <c r="Y404" s="151" t="str">
        <f t="shared" si="37"/>
        <v>E5399</v>
      </c>
      <c r="Z404" s="4" t="s">
        <v>587</v>
      </c>
      <c r="AA404" s="114" t="s">
        <v>588</v>
      </c>
      <c r="AB404" s="4" t="s">
        <v>506</v>
      </c>
      <c r="AC404" s="4" t="s">
        <v>507</v>
      </c>
      <c r="AD404" s="4" t="s">
        <v>508</v>
      </c>
      <c r="AE404" s="4" t="s">
        <v>509</v>
      </c>
      <c r="AF404" s="4" t="s">
        <v>589</v>
      </c>
      <c r="AG404" s="115">
        <f>+VLOOKUP(Y404,B:O,9,FALSE)/1000</f>
        <v>9.6060834182196325E-2</v>
      </c>
      <c r="AI404" s="158"/>
    </row>
    <row r="405" spans="23:35">
      <c r="W405" s="4" t="s">
        <v>585</v>
      </c>
      <c r="X405" s="4" t="s">
        <v>3363</v>
      </c>
      <c r="Y405" s="151" t="str">
        <f t="shared" si="37"/>
        <v>E5399</v>
      </c>
      <c r="Z405" s="4" t="s">
        <v>587</v>
      </c>
      <c r="AA405" s="114" t="s">
        <v>588</v>
      </c>
      <c r="AB405" s="4" t="s">
        <v>506</v>
      </c>
      <c r="AC405" s="4" t="s">
        <v>507</v>
      </c>
      <c r="AD405" s="4" t="s">
        <v>508</v>
      </c>
      <c r="AE405" s="4" t="s">
        <v>509</v>
      </c>
      <c r="AF405" s="4" t="s">
        <v>589</v>
      </c>
      <c r="AG405" s="115">
        <f>+VLOOKUP(Y405,B:O,10,FALSE)/1000</f>
        <v>9.6060834182196325E-2</v>
      </c>
      <c r="AI405" s="158"/>
    </row>
    <row r="406" spans="23:35">
      <c r="W406" s="4" t="s">
        <v>585</v>
      </c>
      <c r="X406" s="4" t="s">
        <v>3364</v>
      </c>
      <c r="Y406" s="151" t="str">
        <f t="shared" si="37"/>
        <v>E5399</v>
      </c>
      <c r="Z406" s="4" t="s">
        <v>587</v>
      </c>
      <c r="AA406" s="114" t="s">
        <v>588</v>
      </c>
      <c r="AB406" s="4" t="s">
        <v>506</v>
      </c>
      <c r="AC406" s="4" t="s">
        <v>507</v>
      </c>
      <c r="AD406" s="4" t="s">
        <v>508</v>
      </c>
      <c r="AE406" s="4" t="s">
        <v>509</v>
      </c>
      <c r="AF406" s="4" t="s">
        <v>589</v>
      </c>
      <c r="AG406" s="115">
        <f>+VLOOKUP(Y406,B:O,11,FALSE)/1000</f>
        <v>9.6060834182196325E-2</v>
      </c>
      <c r="AI406" s="158"/>
    </row>
    <row r="407" spans="23:35">
      <c r="W407" s="4" t="s">
        <v>585</v>
      </c>
      <c r="X407" s="4" t="s">
        <v>3365</v>
      </c>
      <c r="Y407" s="151" t="str">
        <f t="shared" si="37"/>
        <v>E5399</v>
      </c>
      <c r="Z407" s="4" t="s">
        <v>587</v>
      </c>
      <c r="AA407" s="114" t="s">
        <v>588</v>
      </c>
      <c r="AB407" s="4" t="s">
        <v>506</v>
      </c>
      <c r="AC407" s="4" t="s">
        <v>507</v>
      </c>
      <c r="AD407" s="4" t="s">
        <v>508</v>
      </c>
      <c r="AE407" s="4" t="s">
        <v>509</v>
      </c>
      <c r="AF407" s="4" t="s">
        <v>589</v>
      </c>
      <c r="AG407" s="115">
        <f>+VLOOKUP(Y407,B:O,12,FALSE)/1000</f>
        <v>9.6060834182196325E-2</v>
      </c>
      <c r="AI407" s="158"/>
    </row>
    <row r="408" spans="23:35">
      <c r="W408" s="4" t="s">
        <v>585</v>
      </c>
      <c r="X408" s="4" t="s">
        <v>3366</v>
      </c>
      <c r="Y408" s="151" t="str">
        <f t="shared" si="37"/>
        <v>E5399</v>
      </c>
      <c r="Z408" s="4" t="s">
        <v>587</v>
      </c>
      <c r="AA408" s="114" t="s">
        <v>588</v>
      </c>
      <c r="AB408" s="4" t="s">
        <v>506</v>
      </c>
      <c r="AC408" s="4" t="s">
        <v>507</v>
      </c>
      <c r="AD408" s="4" t="s">
        <v>508</v>
      </c>
      <c r="AE408" s="4" t="s">
        <v>509</v>
      </c>
      <c r="AF408" s="4" t="s">
        <v>589</v>
      </c>
      <c r="AG408" s="115">
        <f>+VLOOKUP(Y408,B:O,13,FALSE)/1000</f>
        <v>9.8270233368386833E-2</v>
      </c>
      <c r="AI408" s="158"/>
    </row>
    <row r="409" spans="23:35">
      <c r="W409" s="4" t="s">
        <v>585</v>
      </c>
      <c r="X409" s="4" t="s">
        <v>3367</v>
      </c>
      <c r="Y409" s="151" t="str">
        <f t="shared" si="37"/>
        <v>E5399</v>
      </c>
      <c r="Z409" s="4" t="s">
        <v>587</v>
      </c>
      <c r="AA409" s="114" t="s">
        <v>588</v>
      </c>
      <c r="AB409" s="4" t="s">
        <v>506</v>
      </c>
      <c r="AC409" s="4" t="s">
        <v>507</v>
      </c>
      <c r="AD409" s="4" t="s">
        <v>508</v>
      </c>
      <c r="AE409" s="4" t="s">
        <v>509</v>
      </c>
      <c r="AF409" s="4" t="s">
        <v>589</v>
      </c>
      <c r="AG409" s="115">
        <f>+VLOOKUP(Y409,B:O,14,FALSE)/1000</f>
        <v>9.8270233368386833E-2</v>
      </c>
      <c r="AI409" s="158"/>
    </row>
    <row r="410" spans="23:35">
      <c r="W410" s="4" t="s">
        <v>585</v>
      </c>
      <c r="X410" s="3" t="s">
        <v>3356</v>
      </c>
      <c r="Y410" s="150" t="str">
        <f>INDEX($B$3:$O$110,54,1)</f>
        <v>E5400</v>
      </c>
      <c r="Z410" s="4" t="s">
        <v>587</v>
      </c>
      <c r="AA410" s="114" t="s">
        <v>588</v>
      </c>
      <c r="AB410" s="4" t="s">
        <v>506</v>
      </c>
      <c r="AC410" s="4" t="s">
        <v>507</v>
      </c>
      <c r="AD410" s="4" t="s">
        <v>508</v>
      </c>
      <c r="AE410" s="4" t="s">
        <v>509</v>
      </c>
      <c r="AF410" s="4" t="s">
        <v>589</v>
      </c>
      <c r="AG410" s="115">
        <f>+VLOOKUP(Y410,B:O,3,FALSE)/1000</f>
        <v>9.5312818330946875E-2</v>
      </c>
      <c r="AI410" s="158"/>
    </row>
    <row r="411" spans="23:35">
      <c r="W411" s="4" t="s">
        <v>585</v>
      </c>
      <c r="X411" s="4" t="s">
        <v>3357</v>
      </c>
      <c r="Y411" s="151" t="str">
        <f>Y410</f>
        <v>E5400</v>
      </c>
      <c r="Z411" s="4" t="s">
        <v>587</v>
      </c>
      <c r="AA411" s="114" t="s">
        <v>588</v>
      </c>
      <c r="AB411" s="4" t="s">
        <v>506</v>
      </c>
      <c r="AC411" s="4" t="s">
        <v>507</v>
      </c>
      <c r="AD411" s="4" t="s">
        <v>508</v>
      </c>
      <c r="AE411" s="4" t="s">
        <v>509</v>
      </c>
      <c r="AF411" s="4" t="s">
        <v>589</v>
      </c>
      <c r="AG411" s="115">
        <f>+VLOOKUP(Y411,B:O,4,FALSE)/1000</f>
        <v>9.5312818330946875E-2</v>
      </c>
      <c r="AI411" s="158"/>
    </row>
    <row r="412" spans="23:35">
      <c r="W412" s="4" t="s">
        <v>585</v>
      </c>
      <c r="X412" s="4" t="s">
        <v>3358</v>
      </c>
      <c r="Y412" s="151" t="str">
        <f t="shared" ref="Y412:Y421" si="38">Y411</f>
        <v>E5400</v>
      </c>
      <c r="Z412" s="4" t="s">
        <v>587</v>
      </c>
      <c r="AA412" s="114" t="s">
        <v>588</v>
      </c>
      <c r="AB412" s="4" t="s">
        <v>506</v>
      </c>
      <c r="AC412" s="4" t="s">
        <v>507</v>
      </c>
      <c r="AD412" s="4" t="s">
        <v>508</v>
      </c>
      <c r="AE412" s="4" t="s">
        <v>509</v>
      </c>
      <c r="AF412" s="4" t="s">
        <v>589</v>
      </c>
      <c r="AG412" s="115">
        <f>+VLOOKUP(Y412,B:O,5,FALSE)/1000</f>
        <v>9.5312818330946875E-2</v>
      </c>
      <c r="AI412" s="158"/>
    </row>
    <row r="413" spans="23:35">
      <c r="W413" s="4" t="s">
        <v>585</v>
      </c>
      <c r="X413" s="4" t="s">
        <v>3359</v>
      </c>
      <c r="Y413" s="151" t="str">
        <f t="shared" si="38"/>
        <v>E5400</v>
      </c>
      <c r="Z413" s="4" t="s">
        <v>587</v>
      </c>
      <c r="AA413" s="114" t="s">
        <v>588</v>
      </c>
      <c r="AB413" s="4" t="s">
        <v>506</v>
      </c>
      <c r="AC413" s="4" t="s">
        <v>507</v>
      </c>
      <c r="AD413" s="4" t="s">
        <v>508</v>
      </c>
      <c r="AE413" s="4" t="s">
        <v>509</v>
      </c>
      <c r="AF413" s="4" t="s">
        <v>589</v>
      </c>
      <c r="AG413" s="115">
        <f>+VLOOKUP(Y413,B:O,6,FALSE)/1000</f>
        <v>9.5312818330946875E-2</v>
      </c>
      <c r="AI413" s="158"/>
    </row>
    <row r="414" spans="23:35">
      <c r="W414" s="4" t="s">
        <v>585</v>
      </c>
      <c r="X414" s="4" t="s">
        <v>3360</v>
      </c>
      <c r="Y414" s="151" t="str">
        <f t="shared" si="38"/>
        <v>E5400</v>
      </c>
      <c r="Z414" s="4" t="s">
        <v>587</v>
      </c>
      <c r="AA414" s="114" t="s">
        <v>588</v>
      </c>
      <c r="AB414" s="4" t="s">
        <v>506</v>
      </c>
      <c r="AC414" s="4" t="s">
        <v>507</v>
      </c>
      <c r="AD414" s="4" t="s">
        <v>508</v>
      </c>
      <c r="AE414" s="4" t="s">
        <v>509</v>
      </c>
      <c r="AF414" s="4" t="s">
        <v>589</v>
      </c>
      <c r="AG414" s="115">
        <f>+VLOOKUP(Y414,B:O,7,FALSE)/1000</f>
        <v>9.5312818330946875E-2</v>
      </c>
      <c r="AI414" s="158"/>
    </row>
    <row r="415" spans="23:35">
      <c r="W415" s="4" t="s">
        <v>585</v>
      </c>
      <c r="X415" s="4" t="s">
        <v>3361</v>
      </c>
      <c r="Y415" s="151" t="str">
        <f t="shared" si="38"/>
        <v>E5400</v>
      </c>
      <c r="Z415" s="4" t="s">
        <v>587</v>
      </c>
      <c r="AA415" s="114" t="s">
        <v>588</v>
      </c>
      <c r="AB415" s="4" t="s">
        <v>506</v>
      </c>
      <c r="AC415" s="4" t="s">
        <v>507</v>
      </c>
      <c r="AD415" s="4" t="s">
        <v>508</v>
      </c>
      <c r="AE415" s="4" t="s">
        <v>509</v>
      </c>
      <c r="AF415" s="4" t="s">
        <v>589</v>
      </c>
      <c r="AG415" s="115">
        <f>+VLOOKUP(Y415,B:O,8,FALSE)/1000</f>
        <v>9.5312818330946875E-2</v>
      </c>
      <c r="AI415" s="158"/>
    </row>
    <row r="416" spans="23:35">
      <c r="W416" s="4" t="s">
        <v>585</v>
      </c>
      <c r="X416" s="4" t="s">
        <v>3362</v>
      </c>
      <c r="Y416" s="151" t="str">
        <f t="shared" si="38"/>
        <v>E5400</v>
      </c>
      <c r="Z416" s="4" t="s">
        <v>587</v>
      </c>
      <c r="AA416" s="114" t="s">
        <v>588</v>
      </c>
      <c r="AB416" s="4" t="s">
        <v>506</v>
      </c>
      <c r="AC416" s="4" t="s">
        <v>507</v>
      </c>
      <c r="AD416" s="4" t="s">
        <v>508</v>
      </c>
      <c r="AE416" s="4" t="s">
        <v>509</v>
      </c>
      <c r="AF416" s="4" t="s">
        <v>589</v>
      </c>
      <c r="AG416" s="115">
        <f>+VLOOKUP(Y416,B:O,9,FALSE)/1000</f>
        <v>9.5312818330946875E-2</v>
      </c>
      <c r="AI416" s="158"/>
    </row>
    <row r="417" spans="23:35">
      <c r="W417" s="4" t="s">
        <v>585</v>
      </c>
      <c r="X417" s="4" t="s">
        <v>3363</v>
      </c>
      <c r="Y417" s="151" t="str">
        <f t="shared" si="38"/>
        <v>E5400</v>
      </c>
      <c r="Z417" s="4" t="s">
        <v>587</v>
      </c>
      <c r="AA417" s="114" t="s">
        <v>588</v>
      </c>
      <c r="AB417" s="4" t="s">
        <v>506</v>
      </c>
      <c r="AC417" s="4" t="s">
        <v>507</v>
      </c>
      <c r="AD417" s="4" t="s">
        <v>508</v>
      </c>
      <c r="AE417" s="4" t="s">
        <v>509</v>
      </c>
      <c r="AF417" s="4" t="s">
        <v>589</v>
      </c>
      <c r="AG417" s="115">
        <f>+VLOOKUP(Y417,B:O,10,FALSE)/1000</f>
        <v>9.5312818330946875E-2</v>
      </c>
      <c r="AI417" s="158"/>
    </row>
    <row r="418" spans="23:35">
      <c r="W418" s="4" t="s">
        <v>585</v>
      </c>
      <c r="X418" s="4" t="s">
        <v>3364</v>
      </c>
      <c r="Y418" s="151" t="str">
        <f t="shared" si="38"/>
        <v>E5400</v>
      </c>
      <c r="Z418" s="4" t="s">
        <v>587</v>
      </c>
      <c r="AA418" s="114" t="s">
        <v>588</v>
      </c>
      <c r="AB418" s="4" t="s">
        <v>506</v>
      </c>
      <c r="AC418" s="4" t="s">
        <v>507</v>
      </c>
      <c r="AD418" s="4" t="s">
        <v>508</v>
      </c>
      <c r="AE418" s="4" t="s">
        <v>509</v>
      </c>
      <c r="AF418" s="4" t="s">
        <v>589</v>
      </c>
      <c r="AG418" s="115">
        <f>+VLOOKUP(Y418,B:O,11,FALSE)/1000</f>
        <v>9.5312818330946875E-2</v>
      </c>
      <c r="AI418" s="158"/>
    </row>
    <row r="419" spans="23:35">
      <c r="W419" s="4" t="s">
        <v>585</v>
      </c>
      <c r="X419" s="4" t="s">
        <v>3365</v>
      </c>
      <c r="Y419" s="151" t="str">
        <f t="shared" si="38"/>
        <v>E5400</v>
      </c>
      <c r="Z419" s="4" t="s">
        <v>587</v>
      </c>
      <c r="AA419" s="114" t="s">
        <v>588</v>
      </c>
      <c r="AB419" s="4" t="s">
        <v>506</v>
      </c>
      <c r="AC419" s="4" t="s">
        <v>507</v>
      </c>
      <c r="AD419" s="4" t="s">
        <v>508</v>
      </c>
      <c r="AE419" s="4" t="s">
        <v>509</v>
      </c>
      <c r="AF419" s="4" t="s">
        <v>589</v>
      </c>
      <c r="AG419" s="115">
        <f>+VLOOKUP(Y419,B:O,12,FALSE)/1000</f>
        <v>9.5312818330946875E-2</v>
      </c>
      <c r="AI419" s="158"/>
    </row>
    <row r="420" spans="23:35">
      <c r="W420" s="4" t="s">
        <v>585</v>
      </c>
      <c r="X420" s="4" t="s">
        <v>3366</v>
      </c>
      <c r="Y420" s="151" t="str">
        <f t="shared" si="38"/>
        <v>E5400</v>
      </c>
      <c r="Z420" s="4" t="s">
        <v>587</v>
      </c>
      <c r="AA420" s="114" t="s">
        <v>588</v>
      </c>
      <c r="AB420" s="4" t="s">
        <v>506</v>
      </c>
      <c r="AC420" s="4" t="s">
        <v>507</v>
      </c>
      <c r="AD420" s="4" t="s">
        <v>508</v>
      </c>
      <c r="AE420" s="4" t="s">
        <v>509</v>
      </c>
      <c r="AF420" s="4" t="s">
        <v>589</v>
      </c>
      <c r="AG420" s="115">
        <f>+VLOOKUP(Y420,B:O,13,FALSE)/1000</f>
        <v>9.7505013152558648E-2</v>
      </c>
      <c r="AI420" s="158"/>
    </row>
    <row r="421" spans="23:35">
      <c r="W421" s="4" t="s">
        <v>585</v>
      </c>
      <c r="X421" s="4" t="s">
        <v>3367</v>
      </c>
      <c r="Y421" s="151" t="str">
        <f t="shared" si="38"/>
        <v>E5400</v>
      </c>
      <c r="Z421" s="4" t="s">
        <v>587</v>
      </c>
      <c r="AA421" s="114" t="s">
        <v>588</v>
      </c>
      <c r="AB421" s="4" t="s">
        <v>506</v>
      </c>
      <c r="AC421" s="4" t="s">
        <v>507</v>
      </c>
      <c r="AD421" s="4" t="s">
        <v>508</v>
      </c>
      <c r="AE421" s="4" t="s">
        <v>509</v>
      </c>
      <c r="AF421" s="4" t="s">
        <v>589</v>
      </c>
      <c r="AG421" s="115">
        <f>+VLOOKUP(Y421,B:O,14,FALSE)/1000</f>
        <v>9.7505013152558648E-2</v>
      </c>
      <c r="AI421" s="158"/>
    </row>
    <row r="422" spans="23:35">
      <c r="W422" s="4" t="s">
        <v>585</v>
      </c>
      <c r="X422" s="3" t="s">
        <v>3356</v>
      </c>
      <c r="Y422" s="150" t="str">
        <f>INDEX($B$3:$O$110,55,1)</f>
        <v>E5401</v>
      </c>
      <c r="Z422" s="4" t="s">
        <v>587</v>
      </c>
      <c r="AA422" s="114" t="s">
        <v>588</v>
      </c>
      <c r="AB422" s="4" t="s">
        <v>506</v>
      </c>
      <c r="AC422" s="4" t="s">
        <v>507</v>
      </c>
      <c r="AD422" s="4" t="s">
        <v>508</v>
      </c>
      <c r="AE422" s="4" t="s">
        <v>509</v>
      </c>
      <c r="AF422" s="4" t="s">
        <v>589</v>
      </c>
      <c r="AG422" s="115">
        <f>+VLOOKUP(Y422,B:O,3,FALSE)/1000</f>
        <v>9.11720762264151E-2</v>
      </c>
      <c r="AI422" s="158"/>
    </row>
    <row r="423" spans="23:35">
      <c r="W423" s="4" t="s">
        <v>585</v>
      </c>
      <c r="X423" s="4" t="s">
        <v>3357</v>
      </c>
      <c r="Y423" s="151" t="str">
        <f>Y422</f>
        <v>E5401</v>
      </c>
      <c r="Z423" s="4" t="s">
        <v>587</v>
      </c>
      <c r="AA423" s="114" t="s">
        <v>588</v>
      </c>
      <c r="AB423" s="4" t="s">
        <v>506</v>
      </c>
      <c r="AC423" s="4" t="s">
        <v>507</v>
      </c>
      <c r="AD423" s="4" t="s">
        <v>508</v>
      </c>
      <c r="AE423" s="4" t="s">
        <v>509</v>
      </c>
      <c r="AF423" s="4" t="s">
        <v>589</v>
      </c>
      <c r="AG423" s="115">
        <f>+VLOOKUP(Y423,B:O,4,FALSE)/1000</f>
        <v>9.11720762264151E-2</v>
      </c>
      <c r="AI423" s="158"/>
    </row>
    <row r="424" spans="23:35">
      <c r="W424" s="4" t="s">
        <v>585</v>
      </c>
      <c r="X424" s="4" t="s">
        <v>3358</v>
      </c>
      <c r="Y424" s="151" t="str">
        <f t="shared" ref="Y424:Y433" si="39">Y423</f>
        <v>E5401</v>
      </c>
      <c r="Z424" s="4" t="s">
        <v>587</v>
      </c>
      <c r="AA424" s="114" t="s">
        <v>588</v>
      </c>
      <c r="AB424" s="4" t="s">
        <v>506</v>
      </c>
      <c r="AC424" s="4" t="s">
        <v>507</v>
      </c>
      <c r="AD424" s="4" t="s">
        <v>508</v>
      </c>
      <c r="AE424" s="4" t="s">
        <v>509</v>
      </c>
      <c r="AF424" s="4" t="s">
        <v>589</v>
      </c>
      <c r="AG424" s="115">
        <f>+VLOOKUP(Y424,B:O,5,FALSE)/1000</f>
        <v>9.11720762264151E-2</v>
      </c>
      <c r="AI424" s="158"/>
    </row>
    <row r="425" spans="23:35">
      <c r="W425" s="4" t="s">
        <v>585</v>
      </c>
      <c r="X425" s="4" t="s">
        <v>3359</v>
      </c>
      <c r="Y425" s="151" t="str">
        <f t="shared" si="39"/>
        <v>E5401</v>
      </c>
      <c r="Z425" s="4" t="s">
        <v>587</v>
      </c>
      <c r="AA425" s="114" t="s">
        <v>588</v>
      </c>
      <c r="AB425" s="4" t="s">
        <v>506</v>
      </c>
      <c r="AC425" s="4" t="s">
        <v>507</v>
      </c>
      <c r="AD425" s="4" t="s">
        <v>508</v>
      </c>
      <c r="AE425" s="4" t="s">
        <v>509</v>
      </c>
      <c r="AF425" s="4" t="s">
        <v>589</v>
      </c>
      <c r="AG425" s="115">
        <f>+VLOOKUP(Y425,B:O,6,FALSE)/1000</f>
        <v>9.11720762264151E-2</v>
      </c>
      <c r="AI425" s="158"/>
    </row>
    <row r="426" spans="23:35">
      <c r="W426" s="4" t="s">
        <v>585</v>
      </c>
      <c r="X426" s="4" t="s">
        <v>3360</v>
      </c>
      <c r="Y426" s="151" t="str">
        <f t="shared" si="39"/>
        <v>E5401</v>
      </c>
      <c r="Z426" s="4" t="s">
        <v>587</v>
      </c>
      <c r="AA426" s="114" t="s">
        <v>588</v>
      </c>
      <c r="AB426" s="4" t="s">
        <v>506</v>
      </c>
      <c r="AC426" s="4" t="s">
        <v>507</v>
      </c>
      <c r="AD426" s="4" t="s">
        <v>508</v>
      </c>
      <c r="AE426" s="4" t="s">
        <v>509</v>
      </c>
      <c r="AF426" s="4" t="s">
        <v>589</v>
      </c>
      <c r="AG426" s="115">
        <f>+VLOOKUP(Y426,B:O,7,FALSE)/1000</f>
        <v>9.11720762264151E-2</v>
      </c>
      <c r="AI426" s="158"/>
    </row>
    <row r="427" spans="23:35">
      <c r="W427" s="4" t="s">
        <v>585</v>
      </c>
      <c r="X427" s="4" t="s">
        <v>3361</v>
      </c>
      <c r="Y427" s="151" t="str">
        <f t="shared" si="39"/>
        <v>E5401</v>
      </c>
      <c r="Z427" s="4" t="s">
        <v>587</v>
      </c>
      <c r="AA427" s="114" t="s">
        <v>588</v>
      </c>
      <c r="AB427" s="4" t="s">
        <v>506</v>
      </c>
      <c r="AC427" s="4" t="s">
        <v>507</v>
      </c>
      <c r="AD427" s="4" t="s">
        <v>508</v>
      </c>
      <c r="AE427" s="4" t="s">
        <v>509</v>
      </c>
      <c r="AF427" s="4" t="s">
        <v>589</v>
      </c>
      <c r="AG427" s="115">
        <f>+VLOOKUP(Y427,B:O,8,FALSE)/1000</f>
        <v>9.11720762264151E-2</v>
      </c>
      <c r="AI427" s="158"/>
    </row>
    <row r="428" spans="23:35">
      <c r="W428" s="4" t="s">
        <v>585</v>
      </c>
      <c r="X428" s="4" t="s">
        <v>3362</v>
      </c>
      <c r="Y428" s="151" t="str">
        <f t="shared" si="39"/>
        <v>E5401</v>
      </c>
      <c r="Z428" s="4" t="s">
        <v>587</v>
      </c>
      <c r="AA428" s="114" t="s">
        <v>588</v>
      </c>
      <c r="AB428" s="4" t="s">
        <v>506</v>
      </c>
      <c r="AC428" s="4" t="s">
        <v>507</v>
      </c>
      <c r="AD428" s="4" t="s">
        <v>508</v>
      </c>
      <c r="AE428" s="4" t="s">
        <v>509</v>
      </c>
      <c r="AF428" s="4" t="s">
        <v>589</v>
      </c>
      <c r="AG428" s="115">
        <f>+VLOOKUP(Y428,B:O,9,FALSE)/1000</f>
        <v>9.11720762264151E-2</v>
      </c>
      <c r="AI428" s="158"/>
    </row>
    <row r="429" spans="23:35">
      <c r="W429" s="4" t="s">
        <v>585</v>
      </c>
      <c r="X429" s="4" t="s">
        <v>3363</v>
      </c>
      <c r="Y429" s="151" t="str">
        <f t="shared" si="39"/>
        <v>E5401</v>
      </c>
      <c r="Z429" s="4" t="s">
        <v>587</v>
      </c>
      <c r="AA429" s="114" t="s">
        <v>588</v>
      </c>
      <c r="AB429" s="4" t="s">
        <v>506</v>
      </c>
      <c r="AC429" s="4" t="s">
        <v>507</v>
      </c>
      <c r="AD429" s="4" t="s">
        <v>508</v>
      </c>
      <c r="AE429" s="4" t="s">
        <v>509</v>
      </c>
      <c r="AF429" s="4" t="s">
        <v>589</v>
      </c>
      <c r="AG429" s="115">
        <f>+VLOOKUP(Y429,B:O,10,FALSE)/1000</f>
        <v>9.11720762264151E-2</v>
      </c>
      <c r="AI429" s="158"/>
    </row>
    <row r="430" spans="23:35">
      <c r="W430" s="4" t="s">
        <v>585</v>
      </c>
      <c r="X430" s="4" t="s">
        <v>3364</v>
      </c>
      <c r="Y430" s="151" t="str">
        <f t="shared" si="39"/>
        <v>E5401</v>
      </c>
      <c r="Z430" s="4" t="s">
        <v>587</v>
      </c>
      <c r="AA430" s="114" t="s">
        <v>588</v>
      </c>
      <c r="AB430" s="4" t="s">
        <v>506</v>
      </c>
      <c r="AC430" s="4" t="s">
        <v>507</v>
      </c>
      <c r="AD430" s="4" t="s">
        <v>508</v>
      </c>
      <c r="AE430" s="4" t="s">
        <v>509</v>
      </c>
      <c r="AF430" s="4" t="s">
        <v>589</v>
      </c>
      <c r="AG430" s="115">
        <f>+VLOOKUP(Y430,B:O,11,FALSE)/1000</f>
        <v>9.11720762264151E-2</v>
      </c>
      <c r="AI430" s="158"/>
    </row>
    <row r="431" spans="23:35">
      <c r="W431" s="4" t="s">
        <v>585</v>
      </c>
      <c r="X431" s="4" t="s">
        <v>3365</v>
      </c>
      <c r="Y431" s="151" t="str">
        <f t="shared" si="39"/>
        <v>E5401</v>
      </c>
      <c r="Z431" s="4" t="s">
        <v>587</v>
      </c>
      <c r="AA431" s="114" t="s">
        <v>588</v>
      </c>
      <c r="AB431" s="4" t="s">
        <v>506</v>
      </c>
      <c r="AC431" s="4" t="s">
        <v>507</v>
      </c>
      <c r="AD431" s="4" t="s">
        <v>508</v>
      </c>
      <c r="AE431" s="4" t="s">
        <v>509</v>
      </c>
      <c r="AF431" s="4" t="s">
        <v>589</v>
      </c>
      <c r="AG431" s="115">
        <f>+VLOOKUP(Y431,B:O,12,FALSE)/1000</f>
        <v>9.11720762264151E-2</v>
      </c>
      <c r="AI431" s="158"/>
    </row>
    <row r="432" spans="23:35">
      <c r="W432" s="4" t="s">
        <v>585</v>
      </c>
      <c r="X432" s="4" t="s">
        <v>3366</v>
      </c>
      <c r="Y432" s="151" t="str">
        <f t="shared" si="39"/>
        <v>E5401</v>
      </c>
      <c r="Z432" s="4" t="s">
        <v>587</v>
      </c>
      <c r="AA432" s="114" t="s">
        <v>588</v>
      </c>
      <c r="AB432" s="4" t="s">
        <v>506</v>
      </c>
      <c r="AC432" s="4" t="s">
        <v>507</v>
      </c>
      <c r="AD432" s="4" t="s">
        <v>508</v>
      </c>
      <c r="AE432" s="4" t="s">
        <v>509</v>
      </c>
      <c r="AF432" s="4" t="s">
        <v>589</v>
      </c>
      <c r="AG432" s="115">
        <f>+VLOOKUP(Y432,B:O,13,FALSE)/1000</f>
        <v>9.3269033979622648E-2</v>
      </c>
      <c r="AI432" s="158"/>
    </row>
    <row r="433" spans="23:35">
      <c r="W433" s="4" t="s">
        <v>585</v>
      </c>
      <c r="X433" s="4" t="s">
        <v>3367</v>
      </c>
      <c r="Y433" s="151" t="str">
        <f t="shared" si="39"/>
        <v>E5401</v>
      </c>
      <c r="Z433" s="4" t="s">
        <v>587</v>
      </c>
      <c r="AA433" s="114" t="s">
        <v>588</v>
      </c>
      <c r="AB433" s="4" t="s">
        <v>506</v>
      </c>
      <c r="AC433" s="4" t="s">
        <v>507</v>
      </c>
      <c r="AD433" s="4" t="s">
        <v>508</v>
      </c>
      <c r="AE433" s="4" t="s">
        <v>509</v>
      </c>
      <c r="AF433" s="4" t="s">
        <v>589</v>
      </c>
      <c r="AG433" s="115">
        <f>+VLOOKUP(Y433,B:O,14,FALSE)/1000</f>
        <v>9.3269033979622648E-2</v>
      </c>
      <c r="AI433" s="158"/>
    </row>
    <row r="434" spans="23:35">
      <c r="W434" s="4" t="s">
        <v>585</v>
      </c>
      <c r="X434" s="3" t="s">
        <v>3356</v>
      </c>
      <c r="Y434" s="150" t="str">
        <f>INDEX($B$3:$O$110,56,1)</f>
        <v>E5402</v>
      </c>
      <c r="Z434" s="4" t="s">
        <v>587</v>
      </c>
      <c r="AA434" s="114" t="s">
        <v>588</v>
      </c>
      <c r="AB434" s="4" t="s">
        <v>506</v>
      </c>
      <c r="AC434" s="4" t="s">
        <v>507</v>
      </c>
      <c r="AD434" s="4" t="s">
        <v>508</v>
      </c>
      <c r="AE434" s="4" t="s">
        <v>509</v>
      </c>
      <c r="AF434" s="4" t="s">
        <v>589</v>
      </c>
      <c r="AG434" s="115">
        <f>+VLOOKUP(Y434,B:O,3,FALSE)/1000</f>
        <v>9.1018083408072756E-2</v>
      </c>
      <c r="AI434" s="158"/>
    </row>
    <row r="435" spans="23:35">
      <c r="W435" s="4" t="s">
        <v>585</v>
      </c>
      <c r="X435" s="4" t="s">
        <v>3357</v>
      </c>
      <c r="Y435" s="151" t="str">
        <f>Y434</f>
        <v>E5402</v>
      </c>
      <c r="Z435" s="4" t="s">
        <v>587</v>
      </c>
      <c r="AA435" s="114" t="s">
        <v>588</v>
      </c>
      <c r="AB435" s="4" t="s">
        <v>506</v>
      </c>
      <c r="AC435" s="4" t="s">
        <v>507</v>
      </c>
      <c r="AD435" s="4" t="s">
        <v>508</v>
      </c>
      <c r="AE435" s="4" t="s">
        <v>509</v>
      </c>
      <c r="AF435" s="4" t="s">
        <v>589</v>
      </c>
      <c r="AG435" s="115">
        <f>+VLOOKUP(Y435,B:O,4,FALSE)/1000</f>
        <v>9.1018083408072756E-2</v>
      </c>
      <c r="AI435" s="158"/>
    </row>
    <row r="436" spans="23:35">
      <c r="W436" s="4" t="s">
        <v>585</v>
      </c>
      <c r="X436" s="4" t="s">
        <v>3358</v>
      </c>
      <c r="Y436" s="151" t="str">
        <f t="shared" ref="Y436:Y445" si="40">Y435</f>
        <v>E5402</v>
      </c>
      <c r="Z436" s="4" t="s">
        <v>587</v>
      </c>
      <c r="AA436" s="114" t="s">
        <v>588</v>
      </c>
      <c r="AB436" s="4" t="s">
        <v>506</v>
      </c>
      <c r="AC436" s="4" t="s">
        <v>507</v>
      </c>
      <c r="AD436" s="4" t="s">
        <v>508</v>
      </c>
      <c r="AE436" s="4" t="s">
        <v>509</v>
      </c>
      <c r="AF436" s="4" t="s">
        <v>589</v>
      </c>
      <c r="AG436" s="115">
        <f>+VLOOKUP(Y436,B:O,5,FALSE)/1000</f>
        <v>9.1018083408072756E-2</v>
      </c>
      <c r="AI436" s="158"/>
    </row>
    <row r="437" spans="23:35">
      <c r="W437" s="4" t="s">
        <v>585</v>
      </c>
      <c r="X437" s="4" t="s">
        <v>3359</v>
      </c>
      <c r="Y437" s="151" t="str">
        <f t="shared" si="40"/>
        <v>E5402</v>
      </c>
      <c r="Z437" s="4" t="s">
        <v>587</v>
      </c>
      <c r="AA437" s="114" t="s">
        <v>588</v>
      </c>
      <c r="AB437" s="4" t="s">
        <v>506</v>
      </c>
      <c r="AC437" s="4" t="s">
        <v>507</v>
      </c>
      <c r="AD437" s="4" t="s">
        <v>508</v>
      </c>
      <c r="AE437" s="4" t="s">
        <v>509</v>
      </c>
      <c r="AF437" s="4" t="s">
        <v>589</v>
      </c>
      <c r="AG437" s="115">
        <f>+VLOOKUP(Y437,B:O,6,FALSE)/1000</f>
        <v>9.1018083408072756E-2</v>
      </c>
      <c r="AI437" s="158"/>
    </row>
    <row r="438" spans="23:35">
      <c r="W438" s="4" t="s">
        <v>585</v>
      </c>
      <c r="X438" s="4" t="s">
        <v>3360</v>
      </c>
      <c r="Y438" s="151" t="str">
        <f t="shared" si="40"/>
        <v>E5402</v>
      </c>
      <c r="Z438" s="4" t="s">
        <v>587</v>
      </c>
      <c r="AA438" s="114" t="s">
        <v>588</v>
      </c>
      <c r="AB438" s="4" t="s">
        <v>506</v>
      </c>
      <c r="AC438" s="4" t="s">
        <v>507</v>
      </c>
      <c r="AD438" s="4" t="s">
        <v>508</v>
      </c>
      <c r="AE438" s="4" t="s">
        <v>509</v>
      </c>
      <c r="AF438" s="4" t="s">
        <v>589</v>
      </c>
      <c r="AG438" s="115">
        <f>+VLOOKUP(Y438,B:O,7,FALSE)/1000</f>
        <v>9.1018083408072756E-2</v>
      </c>
      <c r="AI438" s="158"/>
    </row>
    <row r="439" spans="23:35">
      <c r="W439" s="4" t="s">
        <v>585</v>
      </c>
      <c r="X439" s="4" t="s">
        <v>3361</v>
      </c>
      <c r="Y439" s="151" t="str">
        <f t="shared" si="40"/>
        <v>E5402</v>
      </c>
      <c r="Z439" s="4" t="s">
        <v>587</v>
      </c>
      <c r="AA439" s="114" t="s">
        <v>588</v>
      </c>
      <c r="AB439" s="4" t="s">
        <v>506</v>
      </c>
      <c r="AC439" s="4" t="s">
        <v>507</v>
      </c>
      <c r="AD439" s="4" t="s">
        <v>508</v>
      </c>
      <c r="AE439" s="4" t="s">
        <v>509</v>
      </c>
      <c r="AF439" s="4" t="s">
        <v>589</v>
      </c>
      <c r="AG439" s="115">
        <f>+VLOOKUP(Y439,B:O,8,FALSE)/1000</f>
        <v>9.1018083408072756E-2</v>
      </c>
      <c r="AI439" s="158"/>
    </row>
    <row r="440" spans="23:35">
      <c r="W440" s="4" t="s">
        <v>585</v>
      </c>
      <c r="X440" s="4" t="s">
        <v>3362</v>
      </c>
      <c r="Y440" s="151" t="str">
        <f t="shared" si="40"/>
        <v>E5402</v>
      </c>
      <c r="Z440" s="4" t="s">
        <v>587</v>
      </c>
      <c r="AA440" s="114" t="s">
        <v>588</v>
      </c>
      <c r="AB440" s="4" t="s">
        <v>506</v>
      </c>
      <c r="AC440" s="4" t="s">
        <v>507</v>
      </c>
      <c r="AD440" s="4" t="s">
        <v>508</v>
      </c>
      <c r="AE440" s="4" t="s">
        <v>509</v>
      </c>
      <c r="AF440" s="4" t="s">
        <v>589</v>
      </c>
      <c r="AG440" s="115">
        <f>+VLOOKUP(Y440,B:O,9,FALSE)/1000</f>
        <v>9.1018083408072756E-2</v>
      </c>
      <c r="AI440" s="158"/>
    </row>
    <row r="441" spans="23:35">
      <c r="W441" s="4" t="s">
        <v>585</v>
      </c>
      <c r="X441" s="4" t="s">
        <v>3363</v>
      </c>
      <c r="Y441" s="151" t="str">
        <f t="shared" si="40"/>
        <v>E5402</v>
      </c>
      <c r="Z441" s="4" t="s">
        <v>587</v>
      </c>
      <c r="AA441" s="114" t="s">
        <v>588</v>
      </c>
      <c r="AB441" s="4" t="s">
        <v>506</v>
      </c>
      <c r="AC441" s="4" t="s">
        <v>507</v>
      </c>
      <c r="AD441" s="4" t="s">
        <v>508</v>
      </c>
      <c r="AE441" s="4" t="s">
        <v>509</v>
      </c>
      <c r="AF441" s="4" t="s">
        <v>589</v>
      </c>
      <c r="AG441" s="115">
        <f>+VLOOKUP(Y441,B:O,10,FALSE)/1000</f>
        <v>9.1018083408072756E-2</v>
      </c>
      <c r="AI441" s="158"/>
    </row>
    <row r="442" spans="23:35">
      <c r="W442" s="4" t="s">
        <v>585</v>
      </c>
      <c r="X442" s="4" t="s">
        <v>3364</v>
      </c>
      <c r="Y442" s="151" t="str">
        <f t="shared" si="40"/>
        <v>E5402</v>
      </c>
      <c r="Z442" s="4" t="s">
        <v>587</v>
      </c>
      <c r="AA442" s="114" t="s">
        <v>588</v>
      </c>
      <c r="AB442" s="4" t="s">
        <v>506</v>
      </c>
      <c r="AC442" s="4" t="s">
        <v>507</v>
      </c>
      <c r="AD442" s="4" t="s">
        <v>508</v>
      </c>
      <c r="AE442" s="4" t="s">
        <v>509</v>
      </c>
      <c r="AF442" s="4" t="s">
        <v>589</v>
      </c>
      <c r="AG442" s="115">
        <f>+VLOOKUP(Y442,B:O,11,FALSE)/1000</f>
        <v>9.1018083408072756E-2</v>
      </c>
      <c r="AI442" s="158"/>
    </row>
    <row r="443" spans="23:35">
      <c r="W443" s="4" t="s">
        <v>585</v>
      </c>
      <c r="X443" s="4" t="s">
        <v>3365</v>
      </c>
      <c r="Y443" s="151" t="str">
        <f t="shared" si="40"/>
        <v>E5402</v>
      </c>
      <c r="Z443" s="4" t="s">
        <v>587</v>
      </c>
      <c r="AA443" s="114" t="s">
        <v>588</v>
      </c>
      <c r="AB443" s="4" t="s">
        <v>506</v>
      </c>
      <c r="AC443" s="4" t="s">
        <v>507</v>
      </c>
      <c r="AD443" s="4" t="s">
        <v>508</v>
      </c>
      <c r="AE443" s="4" t="s">
        <v>509</v>
      </c>
      <c r="AF443" s="4" t="s">
        <v>589</v>
      </c>
      <c r="AG443" s="115">
        <f>+VLOOKUP(Y443,B:O,12,FALSE)/1000</f>
        <v>9.1018083408072756E-2</v>
      </c>
      <c r="AI443" s="158"/>
    </row>
    <row r="444" spans="23:35">
      <c r="W444" s="4" t="s">
        <v>585</v>
      </c>
      <c r="X444" s="4" t="s">
        <v>3366</v>
      </c>
      <c r="Y444" s="151" t="str">
        <f t="shared" si="40"/>
        <v>E5402</v>
      </c>
      <c r="Z444" s="4" t="s">
        <v>587</v>
      </c>
      <c r="AA444" s="114" t="s">
        <v>588</v>
      </c>
      <c r="AB444" s="4" t="s">
        <v>506</v>
      </c>
      <c r="AC444" s="4" t="s">
        <v>507</v>
      </c>
      <c r="AD444" s="4" t="s">
        <v>508</v>
      </c>
      <c r="AE444" s="4" t="s">
        <v>509</v>
      </c>
      <c r="AF444" s="4" t="s">
        <v>589</v>
      </c>
      <c r="AG444" s="115">
        <f>+VLOOKUP(Y444,B:O,13,FALSE)/1000</f>
        <v>9.311149932645843E-2</v>
      </c>
      <c r="AI444" s="158"/>
    </row>
    <row r="445" spans="23:35">
      <c r="W445" s="4" t="s">
        <v>585</v>
      </c>
      <c r="X445" s="4" t="s">
        <v>3367</v>
      </c>
      <c r="Y445" s="151" t="str">
        <f t="shared" si="40"/>
        <v>E5402</v>
      </c>
      <c r="Z445" s="4" t="s">
        <v>587</v>
      </c>
      <c r="AA445" s="114" t="s">
        <v>588</v>
      </c>
      <c r="AB445" s="4" t="s">
        <v>506</v>
      </c>
      <c r="AC445" s="4" t="s">
        <v>507</v>
      </c>
      <c r="AD445" s="4" t="s">
        <v>508</v>
      </c>
      <c r="AE445" s="4" t="s">
        <v>509</v>
      </c>
      <c r="AF445" s="4" t="s">
        <v>589</v>
      </c>
      <c r="AG445" s="115">
        <f>+VLOOKUP(Y445,B:O,14,FALSE)/1000</f>
        <v>9.311149932645843E-2</v>
      </c>
      <c r="AI445" s="158"/>
    </row>
    <row r="446" spans="23:35">
      <c r="W446" s="4" t="s">
        <v>585</v>
      </c>
      <c r="X446" s="3" t="s">
        <v>3356</v>
      </c>
      <c r="Y446" s="150" t="str">
        <f>INDEX($B$3:$O$110,57,1)</f>
        <v>E5550</v>
      </c>
      <c r="Z446" s="4" t="s">
        <v>587</v>
      </c>
      <c r="AA446" s="114" t="s">
        <v>588</v>
      </c>
      <c r="AB446" s="4" t="s">
        <v>506</v>
      </c>
      <c r="AC446" s="4" t="s">
        <v>507</v>
      </c>
      <c r="AD446" s="4" t="s">
        <v>508</v>
      </c>
      <c r="AE446" s="4" t="s">
        <v>509</v>
      </c>
      <c r="AF446" s="4" t="s">
        <v>589</v>
      </c>
      <c r="AG446" s="115">
        <f>+VLOOKUP(Y446,B:O,3,FALSE)/1000</f>
        <v>8.8407889631298309E-2</v>
      </c>
      <c r="AI446" s="158"/>
    </row>
    <row r="447" spans="23:35">
      <c r="W447" s="4" t="s">
        <v>585</v>
      </c>
      <c r="X447" s="4" t="s">
        <v>3357</v>
      </c>
      <c r="Y447" s="151" t="str">
        <f>Y446</f>
        <v>E5550</v>
      </c>
      <c r="Z447" s="4" t="s">
        <v>587</v>
      </c>
      <c r="AA447" s="114" t="s">
        <v>588</v>
      </c>
      <c r="AB447" s="4" t="s">
        <v>506</v>
      </c>
      <c r="AC447" s="4" t="s">
        <v>507</v>
      </c>
      <c r="AD447" s="4" t="s">
        <v>508</v>
      </c>
      <c r="AE447" s="4" t="s">
        <v>509</v>
      </c>
      <c r="AF447" s="4" t="s">
        <v>589</v>
      </c>
      <c r="AG447" s="115">
        <f>+VLOOKUP(Y447,B:O,4,FALSE)/1000</f>
        <v>8.8407889631298309E-2</v>
      </c>
      <c r="AI447" s="158"/>
    </row>
    <row r="448" spans="23:35">
      <c r="W448" s="4" t="s">
        <v>585</v>
      </c>
      <c r="X448" s="4" t="s">
        <v>3358</v>
      </c>
      <c r="Y448" s="151" t="str">
        <f t="shared" ref="Y448:Y457" si="41">Y447</f>
        <v>E5550</v>
      </c>
      <c r="Z448" s="4" t="s">
        <v>587</v>
      </c>
      <c r="AA448" s="114" t="s">
        <v>588</v>
      </c>
      <c r="AB448" s="4" t="s">
        <v>506</v>
      </c>
      <c r="AC448" s="4" t="s">
        <v>507</v>
      </c>
      <c r="AD448" s="4" t="s">
        <v>508</v>
      </c>
      <c r="AE448" s="4" t="s">
        <v>509</v>
      </c>
      <c r="AF448" s="4" t="s">
        <v>589</v>
      </c>
      <c r="AG448" s="115">
        <f>+VLOOKUP(Y448,B:O,5,FALSE)/1000</f>
        <v>8.8407889631298309E-2</v>
      </c>
      <c r="AI448" s="158"/>
    </row>
    <row r="449" spans="23:44">
      <c r="W449" s="4" t="s">
        <v>585</v>
      </c>
      <c r="X449" s="4" t="s">
        <v>3359</v>
      </c>
      <c r="Y449" s="151" t="str">
        <f t="shared" si="41"/>
        <v>E5550</v>
      </c>
      <c r="Z449" s="4" t="s">
        <v>587</v>
      </c>
      <c r="AA449" s="114" t="s">
        <v>588</v>
      </c>
      <c r="AB449" s="4" t="s">
        <v>506</v>
      </c>
      <c r="AC449" s="4" t="s">
        <v>507</v>
      </c>
      <c r="AD449" s="4" t="s">
        <v>508</v>
      </c>
      <c r="AE449" s="4" t="s">
        <v>509</v>
      </c>
      <c r="AF449" s="4" t="s">
        <v>589</v>
      </c>
      <c r="AG449" s="115">
        <f>+VLOOKUP(Y449,B:O,6,FALSE)/1000</f>
        <v>8.8407889631298309E-2</v>
      </c>
      <c r="AI449" s="158"/>
    </row>
    <row r="450" spans="23:44">
      <c r="W450" s="4" t="s">
        <v>585</v>
      </c>
      <c r="X450" s="4" t="s">
        <v>3360</v>
      </c>
      <c r="Y450" s="151" t="str">
        <f t="shared" si="41"/>
        <v>E5550</v>
      </c>
      <c r="Z450" s="4" t="s">
        <v>587</v>
      </c>
      <c r="AA450" s="114" t="s">
        <v>588</v>
      </c>
      <c r="AB450" s="4" t="s">
        <v>506</v>
      </c>
      <c r="AC450" s="4" t="s">
        <v>507</v>
      </c>
      <c r="AD450" s="4" t="s">
        <v>508</v>
      </c>
      <c r="AE450" s="4" t="s">
        <v>509</v>
      </c>
      <c r="AF450" s="4" t="s">
        <v>589</v>
      </c>
      <c r="AG450" s="115">
        <f>+VLOOKUP(Y450,B:O,7,FALSE)/1000</f>
        <v>8.8407889631298309E-2</v>
      </c>
      <c r="AI450" s="158"/>
    </row>
    <row r="451" spans="23:44">
      <c r="W451" s="4" t="s">
        <v>585</v>
      </c>
      <c r="X451" s="4" t="s">
        <v>3361</v>
      </c>
      <c r="Y451" s="151" t="str">
        <f t="shared" si="41"/>
        <v>E5550</v>
      </c>
      <c r="Z451" s="4" t="s">
        <v>587</v>
      </c>
      <c r="AA451" s="114" t="s">
        <v>588</v>
      </c>
      <c r="AB451" s="4" t="s">
        <v>506</v>
      </c>
      <c r="AC451" s="4" t="s">
        <v>507</v>
      </c>
      <c r="AD451" s="4" t="s">
        <v>508</v>
      </c>
      <c r="AE451" s="4" t="s">
        <v>509</v>
      </c>
      <c r="AF451" s="4" t="s">
        <v>589</v>
      </c>
      <c r="AG451" s="115">
        <f>+VLOOKUP(Y451,B:O,8,FALSE)/1000</f>
        <v>8.8407889631298309E-2</v>
      </c>
      <c r="AI451" s="158"/>
    </row>
    <row r="452" spans="23:44">
      <c r="W452" s="4" t="s">
        <v>585</v>
      </c>
      <c r="X452" s="4" t="s">
        <v>3362</v>
      </c>
      <c r="Y452" s="151" t="str">
        <f t="shared" si="41"/>
        <v>E5550</v>
      </c>
      <c r="Z452" s="4" t="s">
        <v>587</v>
      </c>
      <c r="AA452" s="114" t="s">
        <v>588</v>
      </c>
      <c r="AB452" s="4" t="s">
        <v>506</v>
      </c>
      <c r="AC452" s="4" t="s">
        <v>507</v>
      </c>
      <c r="AD452" s="4" t="s">
        <v>508</v>
      </c>
      <c r="AE452" s="4" t="s">
        <v>509</v>
      </c>
      <c r="AF452" s="4" t="s">
        <v>589</v>
      </c>
      <c r="AG452" s="115">
        <f>+VLOOKUP(Y452,B:O,9,FALSE)/1000</f>
        <v>8.8407889631298309E-2</v>
      </c>
      <c r="AI452" s="158"/>
    </row>
    <row r="453" spans="23:44">
      <c r="W453" s="4" t="s">
        <v>585</v>
      </c>
      <c r="X453" s="4" t="s">
        <v>3363</v>
      </c>
      <c r="Y453" s="151" t="str">
        <f t="shared" si="41"/>
        <v>E5550</v>
      </c>
      <c r="Z453" s="4" t="s">
        <v>587</v>
      </c>
      <c r="AA453" s="114" t="s">
        <v>588</v>
      </c>
      <c r="AB453" s="4" t="s">
        <v>506</v>
      </c>
      <c r="AC453" s="4" t="s">
        <v>507</v>
      </c>
      <c r="AD453" s="4" t="s">
        <v>508</v>
      </c>
      <c r="AE453" s="4" t="s">
        <v>509</v>
      </c>
      <c r="AF453" s="4" t="s">
        <v>589</v>
      </c>
      <c r="AG453" s="115">
        <f>+VLOOKUP(Y453,B:O,10,FALSE)/1000</f>
        <v>8.8407889631298309E-2</v>
      </c>
      <c r="AI453" s="158"/>
    </row>
    <row r="454" spans="23:44">
      <c r="W454" s="4" t="s">
        <v>585</v>
      </c>
      <c r="X454" s="4" t="s">
        <v>3364</v>
      </c>
      <c r="Y454" s="151" t="str">
        <f t="shared" si="41"/>
        <v>E5550</v>
      </c>
      <c r="Z454" s="4" t="s">
        <v>587</v>
      </c>
      <c r="AA454" s="114" t="s">
        <v>588</v>
      </c>
      <c r="AB454" s="4" t="s">
        <v>506</v>
      </c>
      <c r="AC454" s="4" t="s">
        <v>507</v>
      </c>
      <c r="AD454" s="4" t="s">
        <v>508</v>
      </c>
      <c r="AE454" s="4" t="s">
        <v>509</v>
      </c>
      <c r="AF454" s="4" t="s">
        <v>589</v>
      </c>
      <c r="AG454" s="115">
        <f>+VLOOKUP(Y454,B:O,11,FALSE)/1000</f>
        <v>8.8407889631298309E-2</v>
      </c>
      <c r="AI454" s="158"/>
    </row>
    <row r="455" spans="23:44">
      <c r="W455" s="4" t="s">
        <v>585</v>
      </c>
      <c r="X455" s="4" t="s">
        <v>3365</v>
      </c>
      <c r="Y455" s="151" t="str">
        <f t="shared" si="41"/>
        <v>E5550</v>
      </c>
      <c r="Z455" s="4" t="s">
        <v>587</v>
      </c>
      <c r="AA455" s="114" t="s">
        <v>588</v>
      </c>
      <c r="AB455" s="4" t="s">
        <v>506</v>
      </c>
      <c r="AC455" s="4" t="s">
        <v>507</v>
      </c>
      <c r="AD455" s="4" t="s">
        <v>508</v>
      </c>
      <c r="AE455" s="4" t="s">
        <v>509</v>
      </c>
      <c r="AF455" s="4" t="s">
        <v>589</v>
      </c>
      <c r="AG455" s="115">
        <f>+VLOOKUP(Y455,B:O,12,FALSE)/1000</f>
        <v>8.8407889631298309E-2</v>
      </c>
      <c r="AI455" s="158"/>
    </row>
    <row r="456" spans="23:44">
      <c r="W456" s="4" t="s">
        <v>585</v>
      </c>
      <c r="X456" s="4" t="s">
        <v>3366</v>
      </c>
      <c r="Y456" s="151" t="str">
        <f t="shared" si="41"/>
        <v>E5550</v>
      </c>
      <c r="Z456" s="4" t="s">
        <v>587</v>
      </c>
      <c r="AA456" s="114" t="s">
        <v>588</v>
      </c>
      <c r="AB456" s="4" t="s">
        <v>506</v>
      </c>
      <c r="AC456" s="4" t="s">
        <v>507</v>
      </c>
      <c r="AD456" s="4" t="s">
        <v>508</v>
      </c>
      <c r="AE456" s="4" t="s">
        <v>509</v>
      </c>
      <c r="AF456" s="4" t="s">
        <v>589</v>
      </c>
      <c r="AG456" s="115">
        <f>+VLOOKUP(Y456,B:O,13,FALSE)/1000</f>
        <v>9.0441271092818173E-2</v>
      </c>
      <c r="AI456" s="158"/>
    </row>
    <row r="457" spans="23:44">
      <c r="W457" s="4" t="s">
        <v>585</v>
      </c>
      <c r="X457" s="4" t="s">
        <v>3367</v>
      </c>
      <c r="Y457" s="151" t="str">
        <f t="shared" si="41"/>
        <v>E5550</v>
      </c>
      <c r="Z457" s="4" t="s">
        <v>587</v>
      </c>
      <c r="AA457" s="114" t="s">
        <v>588</v>
      </c>
      <c r="AB457" s="4" t="s">
        <v>506</v>
      </c>
      <c r="AC457" s="4" t="s">
        <v>507</v>
      </c>
      <c r="AD457" s="4" t="s">
        <v>508</v>
      </c>
      <c r="AE457" s="4" t="s">
        <v>509</v>
      </c>
      <c r="AF457" s="4" t="s">
        <v>589</v>
      </c>
      <c r="AG457" s="115">
        <f>+VLOOKUP(Y457,B:O,14,FALSE)/1000</f>
        <v>9.0441271092818173E-2</v>
      </c>
      <c r="AI457" s="158"/>
    </row>
    <row r="458" spans="23:44">
      <c r="W458" s="4" t="s">
        <v>585</v>
      </c>
      <c r="X458" s="3" t="s">
        <v>3356</v>
      </c>
      <c r="Y458" s="150" t="str">
        <f>INDEX($B$3:$O$110,58,1)</f>
        <v>E5560</v>
      </c>
      <c r="Z458" s="4" t="s">
        <v>587</v>
      </c>
      <c r="AA458" s="114" t="s">
        <v>588</v>
      </c>
      <c r="AB458" s="4" t="s">
        <v>506</v>
      </c>
      <c r="AC458" s="4" t="s">
        <v>507</v>
      </c>
      <c r="AD458" s="4" t="s">
        <v>508</v>
      </c>
      <c r="AE458" s="4" t="s">
        <v>509</v>
      </c>
      <c r="AF458" s="4" t="s">
        <v>589</v>
      </c>
      <c r="AG458" s="115">
        <f>+VLOOKUP(Y458,B:O,3,FALSE)/1000</f>
        <v>9.0709420921052955E-2</v>
      </c>
      <c r="AH458" s="152"/>
      <c r="AI458" s="158"/>
      <c r="AJ458" s="152"/>
      <c r="AK458" s="152"/>
      <c r="AL458" s="152"/>
      <c r="AM458" s="152"/>
      <c r="AN458" s="152"/>
      <c r="AO458" s="152"/>
      <c r="AP458" s="152"/>
      <c r="AQ458" s="152"/>
      <c r="AR458" s="152"/>
    </row>
    <row r="459" spans="23:44">
      <c r="W459" s="4" t="s">
        <v>585</v>
      </c>
      <c r="X459" s="4" t="s">
        <v>3357</v>
      </c>
      <c r="Y459" s="151" t="str">
        <f>Y458</f>
        <v>E5560</v>
      </c>
      <c r="Z459" s="4" t="s">
        <v>587</v>
      </c>
      <c r="AA459" s="114" t="s">
        <v>588</v>
      </c>
      <c r="AB459" s="4" t="s">
        <v>506</v>
      </c>
      <c r="AC459" s="4" t="s">
        <v>507</v>
      </c>
      <c r="AD459" s="4" t="s">
        <v>508</v>
      </c>
      <c r="AE459" s="4" t="s">
        <v>509</v>
      </c>
      <c r="AF459" s="4" t="s">
        <v>589</v>
      </c>
      <c r="AG459" s="115">
        <f>+VLOOKUP(Y459,B:O,4,FALSE)/1000</f>
        <v>9.0709420921052955E-2</v>
      </c>
      <c r="AI459" s="158"/>
    </row>
    <row r="460" spans="23:44">
      <c r="W460" s="4" t="s">
        <v>585</v>
      </c>
      <c r="X460" s="4" t="s">
        <v>3358</v>
      </c>
      <c r="Y460" s="151" t="str">
        <f t="shared" ref="Y460:Y469" si="42">Y459</f>
        <v>E5560</v>
      </c>
      <c r="Z460" s="4" t="s">
        <v>587</v>
      </c>
      <c r="AA460" s="114" t="s">
        <v>588</v>
      </c>
      <c r="AB460" s="4" t="s">
        <v>506</v>
      </c>
      <c r="AC460" s="4" t="s">
        <v>507</v>
      </c>
      <c r="AD460" s="4" t="s">
        <v>508</v>
      </c>
      <c r="AE460" s="4" t="s">
        <v>509</v>
      </c>
      <c r="AF460" s="4" t="s">
        <v>589</v>
      </c>
      <c r="AG460" s="115">
        <f>+VLOOKUP(Y460,B:O,5,FALSE)/1000</f>
        <v>9.0709420921052955E-2</v>
      </c>
      <c r="AI460" s="158"/>
    </row>
    <row r="461" spans="23:44">
      <c r="W461" s="4" t="s">
        <v>585</v>
      </c>
      <c r="X461" s="4" t="s">
        <v>3359</v>
      </c>
      <c r="Y461" s="151" t="str">
        <f t="shared" si="42"/>
        <v>E5560</v>
      </c>
      <c r="Z461" s="4" t="s">
        <v>587</v>
      </c>
      <c r="AA461" s="114" t="s">
        <v>588</v>
      </c>
      <c r="AB461" s="4" t="s">
        <v>506</v>
      </c>
      <c r="AC461" s="4" t="s">
        <v>507</v>
      </c>
      <c r="AD461" s="4" t="s">
        <v>508</v>
      </c>
      <c r="AE461" s="4" t="s">
        <v>509</v>
      </c>
      <c r="AF461" s="4" t="s">
        <v>589</v>
      </c>
      <c r="AG461" s="115">
        <f>+VLOOKUP(Y461,B:O,6,FALSE)/1000</f>
        <v>9.0709420921052955E-2</v>
      </c>
      <c r="AI461" s="158"/>
    </row>
    <row r="462" spans="23:44">
      <c r="W462" s="4" t="s">
        <v>585</v>
      </c>
      <c r="X462" s="4" t="s">
        <v>3360</v>
      </c>
      <c r="Y462" s="151" t="str">
        <f t="shared" si="42"/>
        <v>E5560</v>
      </c>
      <c r="Z462" s="4" t="s">
        <v>587</v>
      </c>
      <c r="AA462" s="114" t="s">
        <v>588</v>
      </c>
      <c r="AB462" s="4" t="s">
        <v>506</v>
      </c>
      <c r="AC462" s="4" t="s">
        <v>507</v>
      </c>
      <c r="AD462" s="4" t="s">
        <v>508</v>
      </c>
      <c r="AE462" s="4" t="s">
        <v>509</v>
      </c>
      <c r="AF462" s="4" t="s">
        <v>589</v>
      </c>
      <c r="AG462" s="115">
        <f>+VLOOKUP(Y462,B:O,7,FALSE)/1000</f>
        <v>9.0709420921052955E-2</v>
      </c>
      <c r="AI462" s="158"/>
    </row>
    <row r="463" spans="23:44">
      <c r="W463" s="4" t="s">
        <v>585</v>
      </c>
      <c r="X463" s="4" t="s">
        <v>3361</v>
      </c>
      <c r="Y463" s="151" t="str">
        <f t="shared" si="42"/>
        <v>E5560</v>
      </c>
      <c r="Z463" s="4" t="s">
        <v>587</v>
      </c>
      <c r="AA463" s="114" t="s">
        <v>588</v>
      </c>
      <c r="AB463" s="4" t="s">
        <v>506</v>
      </c>
      <c r="AC463" s="4" t="s">
        <v>507</v>
      </c>
      <c r="AD463" s="4" t="s">
        <v>508</v>
      </c>
      <c r="AE463" s="4" t="s">
        <v>509</v>
      </c>
      <c r="AF463" s="4" t="s">
        <v>589</v>
      </c>
      <c r="AG463" s="115">
        <f>+VLOOKUP(Y463,B:O,8,FALSE)/1000</f>
        <v>9.0709420921052955E-2</v>
      </c>
      <c r="AI463" s="158"/>
    </row>
    <row r="464" spans="23:44">
      <c r="W464" s="4" t="s">
        <v>585</v>
      </c>
      <c r="X464" s="4" t="s">
        <v>3362</v>
      </c>
      <c r="Y464" s="151" t="str">
        <f t="shared" si="42"/>
        <v>E5560</v>
      </c>
      <c r="Z464" s="4" t="s">
        <v>587</v>
      </c>
      <c r="AA464" s="114" t="s">
        <v>588</v>
      </c>
      <c r="AB464" s="4" t="s">
        <v>506</v>
      </c>
      <c r="AC464" s="4" t="s">
        <v>507</v>
      </c>
      <c r="AD464" s="4" t="s">
        <v>508</v>
      </c>
      <c r="AE464" s="4" t="s">
        <v>509</v>
      </c>
      <c r="AF464" s="4" t="s">
        <v>589</v>
      </c>
      <c r="AG464" s="115">
        <f>+VLOOKUP(Y464,B:O,9,FALSE)/1000</f>
        <v>9.0709420921052955E-2</v>
      </c>
      <c r="AI464" s="158"/>
    </row>
    <row r="465" spans="23:35">
      <c r="W465" s="4" t="s">
        <v>585</v>
      </c>
      <c r="X465" s="4" t="s">
        <v>3363</v>
      </c>
      <c r="Y465" s="151" t="str">
        <f t="shared" si="42"/>
        <v>E5560</v>
      </c>
      <c r="Z465" s="4" t="s">
        <v>587</v>
      </c>
      <c r="AA465" s="114" t="s">
        <v>588</v>
      </c>
      <c r="AB465" s="4" t="s">
        <v>506</v>
      </c>
      <c r="AC465" s="4" t="s">
        <v>507</v>
      </c>
      <c r="AD465" s="4" t="s">
        <v>508</v>
      </c>
      <c r="AE465" s="4" t="s">
        <v>509</v>
      </c>
      <c r="AF465" s="4" t="s">
        <v>589</v>
      </c>
      <c r="AG465" s="115">
        <f>+VLOOKUP(Y465,B:O,10,FALSE)/1000</f>
        <v>9.0709420921052955E-2</v>
      </c>
      <c r="AI465" s="158"/>
    </row>
    <row r="466" spans="23:35">
      <c r="W466" s="4" t="s">
        <v>585</v>
      </c>
      <c r="X466" s="4" t="s">
        <v>3364</v>
      </c>
      <c r="Y466" s="151" t="str">
        <f t="shared" si="42"/>
        <v>E5560</v>
      </c>
      <c r="Z466" s="4" t="s">
        <v>587</v>
      </c>
      <c r="AA466" s="114" t="s">
        <v>588</v>
      </c>
      <c r="AB466" s="4" t="s">
        <v>506</v>
      </c>
      <c r="AC466" s="4" t="s">
        <v>507</v>
      </c>
      <c r="AD466" s="4" t="s">
        <v>508</v>
      </c>
      <c r="AE466" s="4" t="s">
        <v>509</v>
      </c>
      <c r="AF466" s="4" t="s">
        <v>589</v>
      </c>
      <c r="AG466" s="115">
        <f>+VLOOKUP(Y466,B:O,11,FALSE)/1000</f>
        <v>9.0709420921052955E-2</v>
      </c>
      <c r="AI466" s="158"/>
    </row>
    <row r="467" spans="23:35">
      <c r="W467" s="4" t="s">
        <v>585</v>
      </c>
      <c r="X467" s="4" t="s">
        <v>3365</v>
      </c>
      <c r="Y467" s="151" t="str">
        <f t="shared" si="42"/>
        <v>E5560</v>
      </c>
      <c r="Z467" s="4" t="s">
        <v>587</v>
      </c>
      <c r="AA467" s="114" t="s">
        <v>588</v>
      </c>
      <c r="AB467" s="4" t="s">
        <v>506</v>
      </c>
      <c r="AC467" s="4" t="s">
        <v>507</v>
      </c>
      <c r="AD467" s="4" t="s">
        <v>508</v>
      </c>
      <c r="AE467" s="4" t="s">
        <v>509</v>
      </c>
      <c r="AF467" s="4" t="s">
        <v>589</v>
      </c>
      <c r="AG467" s="115">
        <f>+VLOOKUP(Y467,B:O,12,FALSE)/1000</f>
        <v>9.0709420921052955E-2</v>
      </c>
      <c r="AI467" s="158"/>
    </row>
    <row r="468" spans="23:35">
      <c r="W468" s="4" t="s">
        <v>585</v>
      </c>
      <c r="X468" s="4" t="s">
        <v>3366</v>
      </c>
      <c r="Y468" s="151" t="str">
        <f t="shared" si="42"/>
        <v>E5560</v>
      </c>
      <c r="Z468" s="4" t="s">
        <v>587</v>
      </c>
      <c r="AA468" s="114" t="s">
        <v>588</v>
      </c>
      <c r="AB468" s="4" t="s">
        <v>506</v>
      </c>
      <c r="AC468" s="4" t="s">
        <v>507</v>
      </c>
      <c r="AD468" s="4" t="s">
        <v>508</v>
      </c>
      <c r="AE468" s="4" t="s">
        <v>509</v>
      </c>
      <c r="AF468" s="4" t="s">
        <v>589</v>
      </c>
      <c r="AG468" s="115">
        <f>+VLOOKUP(Y468,B:O,13,FALSE)/1000</f>
        <v>9.2795737602237166E-2</v>
      </c>
      <c r="AI468" s="158"/>
    </row>
    <row r="469" spans="23:35">
      <c r="W469" s="4" t="s">
        <v>585</v>
      </c>
      <c r="X469" s="4" t="s">
        <v>3367</v>
      </c>
      <c r="Y469" s="151" t="str">
        <f t="shared" si="42"/>
        <v>E5560</v>
      </c>
      <c r="Z469" s="4" t="s">
        <v>587</v>
      </c>
      <c r="AA469" s="114" t="s">
        <v>588</v>
      </c>
      <c r="AB469" s="4" t="s">
        <v>506</v>
      </c>
      <c r="AC469" s="4" t="s">
        <v>507</v>
      </c>
      <c r="AD469" s="4" t="s">
        <v>508</v>
      </c>
      <c r="AE469" s="4" t="s">
        <v>509</v>
      </c>
      <c r="AF469" s="4" t="s">
        <v>589</v>
      </c>
      <c r="AG469" s="115">
        <f>+VLOOKUP(Y469,B:O,14,FALSE)/1000</f>
        <v>9.2795737602237166E-2</v>
      </c>
      <c r="AI469" s="158"/>
    </row>
    <row r="470" spans="23:35">
      <c r="W470" s="4" t="s">
        <v>585</v>
      </c>
      <c r="X470" s="3" t="s">
        <v>3356</v>
      </c>
      <c r="Y470" s="150" t="str">
        <f>INDEX($B$3:$O$110,60,1)</f>
        <v>E5570</v>
      </c>
      <c r="Z470" s="4" t="s">
        <v>587</v>
      </c>
      <c r="AA470" s="114" t="s">
        <v>588</v>
      </c>
      <c r="AB470" s="4" t="s">
        <v>506</v>
      </c>
      <c r="AC470" s="4" t="s">
        <v>507</v>
      </c>
      <c r="AD470" s="4" t="s">
        <v>508</v>
      </c>
      <c r="AE470" s="4" t="s">
        <v>509</v>
      </c>
      <c r="AF470" s="4" t="s">
        <v>589</v>
      </c>
      <c r="AG470" s="115">
        <f>+VLOOKUP(Y470,B:O,3,FALSE)/1000</f>
        <v>9.0331639345524531E-2</v>
      </c>
      <c r="AI470" s="158"/>
    </row>
    <row r="471" spans="23:35">
      <c r="W471" s="4" t="s">
        <v>585</v>
      </c>
      <c r="X471" s="4" t="s">
        <v>3357</v>
      </c>
      <c r="Y471" s="151" t="str">
        <f>Y470</f>
        <v>E5570</v>
      </c>
      <c r="Z471" s="4" t="s">
        <v>587</v>
      </c>
      <c r="AA471" s="114" t="s">
        <v>588</v>
      </c>
      <c r="AB471" s="4" t="s">
        <v>506</v>
      </c>
      <c r="AC471" s="4" t="s">
        <v>507</v>
      </c>
      <c r="AD471" s="4" t="s">
        <v>508</v>
      </c>
      <c r="AE471" s="4" t="s">
        <v>509</v>
      </c>
      <c r="AF471" s="4" t="s">
        <v>589</v>
      </c>
      <c r="AG471" s="115">
        <f>+VLOOKUP(Y471,B:O,4,FALSE)/1000</f>
        <v>9.0331639345524531E-2</v>
      </c>
      <c r="AI471" s="158"/>
    </row>
    <row r="472" spans="23:35">
      <c r="W472" s="4" t="s">
        <v>585</v>
      </c>
      <c r="X472" s="4" t="s">
        <v>3358</v>
      </c>
      <c r="Y472" s="151" t="str">
        <f t="shared" ref="Y472:Y481" si="43">Y471</f>
        <v>E5570</v>
      </c>
      <c r="Z472" s="4" t="s">
        <v>587</v>
      </c>
      <c r="AA472" s="114" t="s">
        <v>588</v>
      </c>
      <c r="AB472" s="4" t="s">
        <v>506</v>
      </c>
      <c r="AC472" s="4" t="s">
        <v>507</v>
      </c>
      <c r="AD472" s="4" t="s">
        <v>508</v>
      </c>
      <c r="AE472" s="4" t="s">
        <v>509</v>
      </c>
      <c r="AF472" s="4" t="s">
        <v>589</v>
      </c>
      <c r="AG472" s="115">
        <f>+VLOOKUP(Y472,B:O,5,FALSE)/1000</f>
        <v>9.0331639345524531E-2</v>
      </c>
      <c r="AI472" s="158"/>
    </row>
    <row r="473" spans="23:35">
      <c r="W473" s="4" t="s">
        <v>585</v>
      </c>
      <c r="X473" s="4" t="s">
        <v>3359</v>
      </c>
      <c r="Y473" s="151" t="str">
        <f t="shared" si="43"/>
        <v>E5570</v>
      </c>
      <c r="Z473" s="4" t="s">
        <v>587</v>
      </c>
      <c r="AA473" s="114" t="s">
        <v>588</v>
      </c>
      <c r="AB473" s="4" t="s">
        <v>506</v>
      </c>
      <c r="AC473" s="4" t="s">
        <v>507</v>
      </c>
      <c r="AD473" s="4" t="s">
        <v>508</v>
      </c>
      <c r="AE473" s="4" t="s">
        <v>509</v>
      </c>
      <c r="AF473" s="4" t="s">
        <v>589</v>
      </c>
      <c r="AG473" s="115">
        <f>+VLOOKUP(Y473,B:O,6,FALSE)/1000</f>
        <v>9.0331639345524531E-2</v>
      </c>
      <c r="AI473" s="158"/>
    </row>
    <row r="474" spans="23:35">
      <c r="W474" s="4" t="s">
        <v>585</v>
      </c>
      <c r="X474" s="4" t="s">
        <v>3360</v>
      </c>
      <c r="Y474" s="151" t="str">
        <f t="shared" si="43"/>
        <v>E5570</v>
      </c>
      <c r="Z474" s="4" t="s">
        <v>587</v>
      </c>
      <c r="AA474" s="114" t="s">
        <v>588</v>
      </c>
      <c r="AB474" s="4" t="s">
        <v>506</v>
      </c>
      <c r="AC474" s="4" t="s">
        <v>507</v>
      </c>
      <c r="AD474" s="4" t="s">
        <v>508</v>
      </c>
      <c r="AE474" s="4" t="s">
        <v>509</v>
      </c>
      <c r="AF474" s="4" t="s">
        <v>589</v>
      </c>
      <c r="AG474" s="115">
        <f>+VLOOKUP(Y474,B:O,7,FALSE)/1000</f>
        <v>9.0331639345524531E-2</v>
      </c>
      <c r="AI474" s="158"/>
    </row>
    <row r="475" spans="23:35">
      <c r="W475" s="4" t="s">
        <v>585</v>
      </c>
      <c r="X475" s="4" t="s">
        <v>3361</v>
      </c>
      <c r="Y475" s="151" t="str">
        <f t="shared" si="43"/>
        <v>E5570</v>
      </c>
      <c r="Z475" s="4" t="s">
        <v>587</v>
      </c>
      <c r="AA475" s="114" t="s">
        <v>588</v>
      </c>
      <c r="AB475" s="4" t="s">
        <v>506</v>
      </c>
      <c r="AC475" s="4" t="s">
        <v>507</v>
      </c>
      <c r="AD475" s="4" t="s">
        <v>508</v>
      </c>
      <c r="AE475" s="4" t="s">
        <v>509</v>
      </c>
      <c r="AF475" s="4" t="s">
        <v>589</v>
      </c>
      <c r="AG475" s="115">
        <f>+VLOOKUP(Y475,B:O,8,FALSE)/1000</f>
        <v>9.0331639345524531E-2</v>
      </c>
      <c r="AI475" s="158"/>
    </row>
    <row r="476" spans="23:35">
      <c r="W476" s="4" t="s">
        <v>585</v>
      </c>
      <c r="X476" s="4" t="s">
        <v>3362</v>
      </c>
      <c r="Y476" s="151" t="str">
        <f t="shared" si="43"/>
        <v>E5570</v>
      </c>
      <c r="Z476" s="4" t="s">
        <v>587</v>
      </c>
      <c r="AA476" s="114" t="s">
        <v>588</v>
      </c>
      <c r="AB476" s="4" t="s">
        <v>506</v>
      </c>
      <c r="AC476" s="4" t="s">
        <v>507</v>
      </c>
      <c r="AD476" s="4" t="s">
        <v>508</v>
      </c>
      <c r="AE476" s="4" t="s">
        <v>509</v>
      </c>
      <c r="AF476" s="4" t="s">
        <v>589</v>
      </c>
      <c r="AG476" s="115">
        <f>+VLOOKUP(Y476,B:O,9,FALSE)/1000</f>
        <v>9.0331639345524531E-2</v>
      </c>
      <c r="AI476" s="158"/>
    </row>
    <row r="477" spans="23:35">
      <c r="W477" s="4" t="s">
        <v>585</v>
      </c>
      <c r="X477" s="4" t="s">
        <v>3363</v>
      </c>
      <c r="Y477" s="151" t="str">
        <f t="shared" si="43"/>
        <v>E5570</v>
      </c>
      <c r="Z477" s="4" t="s">
        <v>587</v>
      </c>
      <c r="AA477" s="114" t="s">
        <v>588</v>
      </c>
      <c r="AB477" s="4" t="s">
        <v>506</v>
      </c>
      <c r="AC477" s="4" t="s">
        <v>507</v>
      </c>
      <c r="AD477" s="4" t="s">
        <v>508</v>
      </c>
      <c r="AE477" s="4" t="s">
        <v>509</v>
      </c>
      <c r="AF477" s="4" t="s">
        <v>589</v>
      </c>
      <c r="AG477" s="115">
        <f>+VLOOKUP(Y477,B:O,10,FALSE)/1000</f>
        <v>9.0331639345524531E-2</v>
      </c>
      <c r="AI477" s="158"/>
    </row>
    <row r="478" spans="23:35">
      <c r="W478" s="4" t="s">
        <v>585</v>
      </c>
      <c r="X478" s="4" t="s">
        <v>3364</v>
      </c>
      <c r="Y478" s="151" t="str">
        <f t="shared" si="43"/>
        <v>E5570</v>
      </c>
      <c r="Z478" s="4" t="s">
        <v>587</v>
      </c>
      <c r="AA478" s="114" t="s">
        <v>588</v>
      </c>
      <c r="AB478" s="4" t="s">
        <v>506</v>
      </c>
      <c r="AC478" s="4" t="s">
        <v>507</v>
      </c>
      <c r="AD478" s="4" t="s">
        <v>508</v>
      </c>
      <c r="AE478" s="4" t="s">
        <v>509</v>
      </c>
      <c r="AF478" s="4" t="s">
        <v>589</v>
      </c>
      <c r="AG478" s="115">
        <f>+VLOOKUP(Y478,B:O,11,FALSE)/1000</f>
        <v>9.0331639345524531E-2</v>
      </c>
      <c r="AI478" s="158"/>
    </row>
    <row r="479" spans="23:35">
      <c r="W479" s="4" t="s">
        <v>585</v>
      </c>
      <c r="X479" s="4" t="s">
        <v>3365</v>
      </c>
      <c r="Y479" s="151" t="str">
        <f t="shared" si="43"/>
        <v>E5570</v>
      </c>
      <c r="Z479" s="4" t="s">
        <v>587</v>
      </c>
      <c r="AA479" s="114" t="s">
        <v>588</v>
      </c>
      <c r="AB479" s="4" t="s">
        <v>506</v>
      </c>
      <c r="AC479" s="4" t="s">
        <v>507</v>
      </c>
      <c r="AD479" s="4" t="s">
        <v>508</v>
      </c>
      <c r="AE479" s="4" t="s">
        <v>509</v>
      </c>
      <c r="AF479" s="4" t="s">
        <v>589</v>
      </c>
      <c r="AG479" s="115">
        <f>+VLOOKUP(Y479,B:O,12,FALSE)/1000</f>
        <v>9.0331639345524531E-2</v>
      </c>
      <c r="AI479" s="158"/>
    </row>
    <row r="480" spans="23:35">
      <c r="W480" s="4" t="s">
        <v>585</v>
      </c>
      <c r="X480" s="4" t="s">
        <v>3366</v>
      </c>
      <c r="Y480" s="151" t="str">
        <f t="shared" si="43"/>
        <v>E5570</v>
      </c>
      <c r="Z480" s="4" t="s">
        <v>587</v>
      </c>
      <c r="AA480" s="114" t="s">
        <v>588</v>
      </c>
      <c r="AB480" s="4" t="s">
        <v>506</v>
      </c>
      <c r="AC480" s="4" t="s">
        <v>507</v>
      </c>
      <c r="AD480" s="4" t="s">
        <v>508</v>
      </c>
      <c r="AE480" s="4" t="s">
        <v>509</v>
      </c>
      <c r="AF480" s="4" t="s">
        <v>589</v>
      </c>
      <c r="AG480" s="115">
        <f>+VLOOKUP(Y480,B:O,13,FALSE)/1000</f>
        <v>9.2409267050471602E-2</v>
      </c>
      <c r="AI480" s="158"/>
    </row>
    <row r="481" spans="23:35">
      <c r="W481" s="4" t="s">
        <v>585</v>
      </c>
      <c r="X481" s="4" t="s">
        <v>3367</v>
      </c>
      <c r="Y481" s="151" t="str">
        <f t="shared" si="43"/>
        <v>E5570</v>
      </c>
      <c r="Z481" s="4" t="s">
        <v>587</v>
      </c>
      <c r="AA481" s="114" t="s">
        <v>588</v>
      </c>
      <c r="AB481" s="4" t="s">
        <v>506</v>
      </c>
      <c r="AC481" s="4" t="s">
        <v>507</v>
      </c>
      <c r="AD481" s="4" t="s">
        <v>508</v>
      </c>
      <c r="AE481" s="4" t="s">
        <v>509</v>
      </c>
      <c r="AF481" s="4" t="s">
        <v>589</v>
      </c>
      <c r="AG481" s="115">
        <f>+VLOOKUP(Y481,B:O,14,FALSE)/1000</f>
        <v>9.2409267050471602E-2</v>
      </c>
      <c r="AI481" s="158"/>
    </row>
    <row r="482" spans="23:35">
      <c r="W482" s="4" t="s">
        <v>585</v>
      </c>
      <c r="X482" s="3" t="s">
        <v>3356</v>
      </c>
      <c r="Y482" s="150" t="str">
        <f>INDEX($B$3:$O$110,61,1)</f>
        <v>E5590</v>
      </c>
      <c r="Z482" s="4" t="s">
        <v>587</v>
      </c>
      <c r="AA482" s="114" t="s">
        <v>588</v>
      </c>
      <c r="AB482" s="4" t="s">
        <v>506</v>
      </c>
      <c r="AC482" s="4" t="s">
        <v>507</v>
      </c>
      <c r="AD482" s="4" t="s">
        <v>508</v>
      </c>
      <c r="AE482" s="4" t="s">
        <v>509</v>
      </c>
      <c r="AF482" s="4" t="s">
        <v>589</v>
      </c>
      <c r="AG482" s="115">
        <f>+VLOOKUP(Y482,B:O,3,FALSE)/1000</f>
        <v>8.0270000000000008E-2</v>
      </c>
      <c r="AI482" s="158"/>
    </row>
    <row r="483" spans="23:35">
      <c r="W483" s="4" t="s">
        <v>585</v>
      </c>
      <c r="X483" s="4" t="s">
        <v>3357</v>
      </c>
      <c r="Y483" s="151" t="str">
        <f>Y482</f>
        <v>E5590</v>
      </c>
      <c r="Z483" s="4" t="s">
        <v>587</v>
      </c>
      <c r="AA483" s="114" t="s">
        <v>588</v>
      </c>
      <c r="AB483" s="4" t="s">
        <v>506</v>
      </c>
      <c r="AC483" s="4" t="s">
        <v>507</v>
      </c>
      <c r="AD483" s="4" t="s">
        <v>508</v>
      </c>
      <c r="AE483" s="4" t="s">
        <v>509</v>
      </c>
      <c r="AF483" s="4" t="s">
        <v>589</v>
      </c>
      <c r="AG483" s="115">
        <f>+VLOOKUP(Y483,B:O,4,FALSE)/1000</f>
        <v>8.1240000000000007E-2</v>
      </c>
      <c r="AI483" s="158"/>
    </row>
    <row r="484" spans="23:35">
      <c r="W484" s="4" t="s">
        <v>585</v>
      </c>
      <c r="X484" s="4" t="s">
        <v>3358</v>
      </c>
      <c r="Y484" s="151" t="str">
        <f t="shared" ref="Y484:Y493" si="44">Y483</f>
        <v>E5590</v>
      </c>
      <c r="Z484" s="4" t="s">
        <v>587</v>
      </c>
      <c r="AA484" s="114" t="s">
        <v>588</v>
      </c>
      <c r="AB484" s="4" t="s">
        <v>506</v>
      </c>
      <c r="AC484" s="4" t="s">
        <v>507</v>
      </c>
      <c r="AD484" s="4" t="s">
        <v>508</v>
      </c>
      <c r="AE484" s="4" t="s">
        <v>509</v>
      </c>
      <c r="AF484" s="4" t="s">
        <v>589</v>
      </c>
      <c r="AG484" s="115">
        <f>+VLOOKUP(Y484,B:O,5,FALSE)/1000</f>
        <v>6.9020000000000012E-2</v>
      </c>
      <c r="AI484" s="158"/>
    </row>
    <row r="485" spans="23:35">
      <c r="W485" s="4" t="s">
        <v>585</v>
      </c>
      <c r="X485" s="4" t="s">
        <v>3359</v>
      </c>
      <c r="Y485" s="151" t="str">
        <f t="shared" si="44"/>
        <v>E5590</v>
      </c>
      <c r="Z485" s="4" t="s">
        <v>587</v>
      </c>
      <c r="AA485" s="114" t="s">
        <v>588</v>
      </c>
      <c r="AB485" s="4" t="s">
        <v>506</v>
      </c>
      <c r="AC485" s="4" t="s">
        <v>507</v>
      </c>
      <c r="AD485" s="4" t="s">
        <v>508</v>
      </c>
      <c r="AE485" s="4" t="s">
        <v>509</v>
      </c>
      <c r="AF485" s="4" t="s">
        <v>589</v>
      </c>
      <c r="AG485" s="115">
        <f>+VLOOKUP(Y485,B:O,6,FALSE)/1000</f>
        <v>5.4629999999999998E-2</v>
      </c>
      <c r="AI485" s="158"/>
    </row>
    <row r="486" spans="23:35">
      <c r="W486" s="4" t="s">
        <v>585</v>
      </c>
      <c r="X486" s="4" t="s">
        <v>3360</v>
      </c>
      <c r="Y486" s="151" t="str">
        <f t="shared" si="44"/>
        <v>E5590</v>
      </c>
      <c r="Z486" s="4" t="s">
        <v>587</v>
      </c>
      <c r="AA486" s="114" t="s">
        <v>588</v>
      </c>
      <c r="AB486" s="4" t="s">
        <v>506</v>
      </c>
      <c r="AC486" s="4" t="s">
        <v>507</v>
      </c>
      <c r="AD486" s="4" t="s">
        <v>508</v>
      </c>
      <c r="AE486" s="4" t="s">
        <v>509</v>
      </c>
      <c r="AF486" s="4" t="s">
        <v>589</v>
      </c>
      <c r="AG486" s="115">
        <f>+VLOOKUP(Y486,B:O,7,FALSE)/1000</f>
        <v>4.5309999999999996E-2</v>
      </c>
      <c r="AI486" s="158"/>
    </row>
    <row r="487" spans="23:35">
      <c r="W487" s="4" t="s">
        <v>585</v>
      </c>
      <c r="X487" s="4" t="s">
        <v>3361</v>
      </c>
      <c r="Y487" s="151" t="str">
        <f t="shared" si="44"/>
        <v>E5590</v>
      </c>
      <c r="Z487" s="4" t="s">
        <v>587</v>
      </c>
      <c r="AA487" s="114" t="s">
        <v>588</v>
      </c>
      <c r="AB487" s="4" t="s">
        <v>506</v>
      </c>
      <c r="AC487" s="4" t="s">
        <v>507</v>
      </c>
      <c r="AD487" s="4" t="s">
        <v>508</v>
      </c>
      <c r="AE487" s="4" t="s">
        <v>509</v>
      </c>
      <c r="AF487" s="4" t="s">
        <v>589</v>
      </c>
      <c r="AG487" s="115">
        <f>+VLOOKUP(Y487,B:O,8,FALSE)/1000</f>
        <v>5.0459999999999998E-2</v>
      </c>
      <c r="AI487" s="158"/>
    </row>
    <row r="488" spans="23:35">
      <c r="W488" s="4" t="s">
        <v>585</v>
      </c>
      <c r="X488" s="4" t="s">
        <v>3362</v>
      </c>
      <c r="Y488" s="151" t="str">
        <f t="shared" si="44"/>
        <v>E5590</v>
      </c>
      <c r="Z488" s="4" t="s">
        <v>587</v>
      </c>
      <c r="AA488" s="114" t="s">
        <v>588</v>
      </c>
      <c r="AB488" s="4" t="s">
        <v>506</v>
      </c>
      <c r="AC488" s="4" t="s">
        <v>507</v>
      </c>
      <c r="AD488" s="4" t="s">
        <v>508</v>
      </c>
      <c r="AE488" s="4" t="s">
        <v>509</v>
      </c>
      <c r="AF488" s="4" t="s">
        <v>589</v>
      </c>
      <c r="AG488" s="115">
        <f>+VLOOKUP(Y488,B:O,9,FALSE)/1000</f>
        <v>5.2519999999999997E-2</v>
      </c>
      <c r="AI488" s="158"/>
    </row>
    <row r="489" spans="23:35">
      <c r="W489" s="4" t="s">
        <v>585</v>
      </c>
      <c r="X489" s="4" t="s">
        <v>3363</v>
      </c>
      <c r="Y489" s="151" t="str">
        <f t="shared" si="44"/>
        <v>E5590</v>
      </c>
      <c r="Z489" s="4" t="s">
        <v>587</v>
      </c>
      <c r="AA489" s="114" t="s">
        <v>588</v>
      </c>
      <c r="AB489" s="4" t="s">
        <v>506</v>
      </c>
      <c r="AC489" s="4" t="s">
        <v>507</v>
      </c>
      <c r="AD489" s="4" t="s">
        <v>508</v>
      </c>
      <c r="AE489" s="4" t="s">
        <v>509</v>
      </c>
      <c r="AF489" s="4" t="s">
        <v>589</v>
      </c>
      <c r="AG489" s="115">
        <f>+VLOOKUP(Y489,B:O,10,FALSE)/1000</f>
        <v>4.8799999999999996E-2</v>
      </c>
      <c r="AI489" s="158"/>
    </row>
    <row r="490" spans="23:35">
      <c r="W490" s="4" t="s">
        <v>585</v>
      </c>
      <c r="X490" s="4" t="s">
        <v>3364</v>
      </c>
      <c r="Y490" s="151" t="str">
        <f t="shared" si="44"/>
        <v>E5590</v>
      </c>
      <c r="Z490" s="4" t="s">
        <v>587</v>
      </c>
      <c r="AA490" s="114" t="s">
        <v>588</v>
      </c>
      <c r="AB490" s="4" t="s">
        <v>506</v>
      </c>
      <c r="AC490" s="4" t="s">
        <v>507</v>
      </c>
      <c r="AD490" s="4" t="s">
        <v>508</v>
      </c>
      <c r="AE490" s="4" t="s">
        <v>509</v>
      </c>
      <c r="AF490" s="4" t="s">
        <v>589</v>
      </c>
      <c r="AG490" s="115">
        <f>+VLOOKUP(Y490,B:O,11,FALSE)/1000</f>
        <v>4.6679999999999999E-2</v>
      </c>
      <c r="AI490" s="158"/>
    </row>
    <row r="491" spans="23:35">
      <c r="W491" s="4" t="s">
        <v>585</v>
      </c>
      <c r="X491" s="4" t="s">
        <v>3365</v>
      </c>
      <c r="Y491" s="151" t="str">
        <f t="shared" si="44"/>
        <v>E5590</v>
      </c>
      <c r="Z491" s="4" t="s">
        <v>587</v>
      </c>
      <c r="AA491" s="114" t="s">
        <v>588</v>
      </c>
      <c r="AB491" s="4" t="s">
        <v>506</v>
      </c>
      <c r="AC491" s="4" t="s">
        <v>507</v>
      </c>
      <c r="AD491" s="4" t="s">
        <v>508</v>
      </c>
      <c r="AE491" s="4" t="s">
        <v>509</v>
      </c>
      <c r="AF491" s="4" t="s">
        <v>589</v>
      </c>
      <c r="AG491" s="115">
        <f>+VLOOKUP(Y491,B:O,12,FALSE)/1000</f>
        <v>4.5879999999999997E-2</v>
      </c>
      <c r="AI491" s="158"/>
    </row>
    <row r="492" spans="23:35">
      <c r="W492" s="4" t="s">
        <v>585</v>
      </c>
      <c r="X492" s="4" t="s">
        <v>3366</v>
      </c>
      <c r="Y492" s="151" t="str">
        <f t="shared" si="44"/>
        <v>E5590</v>
      </c>
      <c r="Z492" s="4" t="s">
        <v>587</v>
      </c>
      <c r="AA492" s="114" t="s">
        <v>588</v>
      </c>
      <c r="AB492" s="4" t="s">
        <v>506</v>
      </c>
      <c r="AC492" s="4" t="s">
        <v>507</v>
      </c>
      <c r="AD492" s="4" t="s">
        <v>508</v>
      </c>
      <c r="AE492" s="4" t="s">
        <v>509</v>
      </c>
      <c r="AF492" s="4" t="s">
        <v>589</v>
      </c>
      <c r="AG492" s="115">
        <f>+VLOOKUP(Y492,B:O,13,FALSE)/1000</f>
        <v>6.4670000000000005E-2</v>
      </c>
      <c r="AI492" s="158"/>
    </row>
    <row r="493" spans="23:35">
      <c r="W493" s="4" t="s">
        <v>585</v>
      </c>
      <c r="X493" s="4" t="s">
        <v>3367</v>
      </c>
      <c r="Y493" s="151" t="str">
        <f t="shared" si="44"/>
        <v>E5590</v>
      </c>
      <c r="Z493" s="4" t="s">
        <v>587</v>
      </c>
      <c r="AA493" s="114" t="s">
        <v>588</v>
      </c>
      <c r="AB493" s="4" t="s">
        <v>506</v>
      </c>
      <c r="AC493" s="4" t="s">
        <v>507</v>
      </c>
      <c r="AD493" s="4" t="s">
        <v>508</v>
      </c>
      <c r="AE493" s="4" t="s">
        <v>509</v>
      </c>
      <c r="AF493" s="4" t="s">
        <v>589</v>
      </c>
      <c r="AG493" s="115">
        <f>+VLOOKUP(Y493,B:O,14,FALSE)/1000</f>
        <v>7.6100000000000015E-2</v>
      </c>
      <c r="AI493" s="158"/>
    </row>
    <row r="494" spans="23:35">
      <c r="W494" s="4" t="s">
        <v>585</v>
      </c>
      <c r="X494" s="3" t="s">
        <v>3356</v>
      </c>
      <c r="Y494" s="150" t="str">
        <f>INDEX($B$3:$O$110,62,1)</f>
        <v>E5600</v>
      </c>
      <c r="Z494" s="4" t="s">
        <v>587</v>
      </c>
      <c r="AA494" s="114" t="s">
        <v>588</v>
      </c>
      <c r="AB494" s="4" t="s">
        <v>506</v>
      </c>
      <c r="AC494" s="4" t="s">
        <v>507</v>
      </c>
      <c r="AD494" s="4" t="s">
        <v>508</v>
      </c>
      <c r="AE494" s="4" t="s">
        <v>509</v>
      </c>
      <c r="AF494" s="4" t="s">
        <v>589</v>
      </c>
      <c r="AG494" s="115">
        <f>+VLOOKUP(Y494,B:O,3,FALSE)/1000</f>
        <v>8.5850000394675482E-2</v>
      </c>
      <c r="AI494" s="158"/>
    </row>
    <row r="495" spans="23:35">
      <c r="W495" s="4" t="s">
        <v>585</v>
      </c>
      <c r="X495" s="4" t="s">
        <v>3357</v>
      </c>
      <c r="Y495" s="151" t="str">
        <f>Y494</f>
        <v>E5600</v>
      </c>
      <c r="Z495" s="4" t="s">
        <v>587</v>
      </c>
      <c r="AA495" s="114" t="s">
        <v>588</v>
      </c>
      <c r="AB495" s="4" t="s">
        <v>506</v>
      </c>
      <c r="AC495" s="4" t="s">
        <v>507</v>
      </c>
      <c r="AD495" s="4" t="s">
        <v>508</v>
      </c>
      <c r="AE495" s="4" t="s">
        <v>509</v>
      </c>
      <c r="AF495" s="4" t="s">
        <v>589</v>
      </c>
      <c r="AG495" s="115">
        <f>+VLOOKUP(Y495,B:O,4,FALSE)/1000</f>
        <v>8.5850000394675482E-2</v>
      </c>
      <c r="AI495" s="158"/>
    </row>
    <row r="496" spans="23:35">
      <c r="W496" s="4" t="s">
        <v>585</v>
      </c>
      <c r="X496" s="4" t="s">
        <v>3358</v>
      </c>
      <c r="Y496" s="151" t="str">
        <f t="shared" ref="Y496:Y505" si="45">Y495</f>
        <v>E5600</v>
      </c>
      <c r="Z496" s="4" t="s">
        <v>587</v>
      </c>
      <c r="AA496" s="114" t="s">
        <v>588</v>
      </c>
      <c r="AB496" s="4" t="s">
        <v>506</v>
      </c>
      <c r="AC496" s="4" t="s">
        <v>507</v>
      </c>
      <c r="AD496" s="4" t="s">
        <v>508</v>
      </c>
      <c r="AE496" s="4" t="s">
        <v>509</v>
      </c>
      <c r="AF496" s="4" t="s">
        <v>589</v>
      </c>
      <c r="AG496" s="115">
        <f>+VLOOKUP(Y496,B:O,5,FALSE)/1000</f>
        <v>8.5850000394675482E-2</v>
      </c>
      <c r="AI496" s="158"/>
    </row>
    <row r="497" spans="23:35">
      <c r="W497" s="4" t="s">
        <v>585</v>
      </c>
      <c r="X497" s="4" t="s">
        <v>3359</v>
      </c>
      <c r="Y497" s="151" t="str">
        <f t="shared" si="45"/>
        <v>E5600</v>
      </c>
      <c r="Z497" s="4" t="s">
        <v>587</v>
      </c>
      <c r="AA497" s="114" t="s">
        <v>588</v>
      </c>
      <c r="AB497" s="4" t="s">
        <v>506</v>
      </c>
      <c r="AC497" s="4" t="s">
        <v>507</v>
      </c>
      <c r="AD497" s="4" t="s">
        <v>508</v>
      </c>
      <c r="AE497" s="4" t="s">
        <v>509</v>
      </c>
      <c r="AF497" s="4" t="s">
        <v>589</v>
      </c>
      <c r="AG497" s="115">
        <f>+VLOOKUP(Y497,B:O,6,FALSE)/1000</f>
        <v>8.5850000394675482E-2</v>
      </c>
      <c r="AI497" s="158"/>
    </row>
    <row r="498" spans="23:35">
      <c r="W498" s="4" t="s">
        <v>585</v>
      </c>
      <c r="X498" s="4" t="s">
        <v>3360</v>
      </c>
      <c r="Y498" s="151" t="str">
        <f t="shared" si="45"/>
        <v>E5600</v>
      </c>
      <c r="Z498" s="4" t="s">
        <v>587</v>
      </c>
      <c r="AA498" s="114" t="s">
        <v>588</v>
      </c>
      <c r="AB498" s="4" t="s">
        <v>506</v>
      </c>
      <c r="AC498" s="4" t="s">
        <v>507</v>
      </c>
      <c r="AD498" s="4" t="s">
        <v>508</v>
      </c>
      <c r="AE498" s="4" t="s">
        <v>509</v>
      </c>
      <c r="AF498" s="4" t="s">
        <v>589</v>
      </c>
      <c r="AG498" s="115">
        <f>+VLOOKUP(Y498,B:O,7,FALSE)/1000</f>
        <v>8.5850000394675482E-2</v>
      </c>
      <c r="AI498" s="158"/>
    </row>
    <row r="499" spans="23:35">
      <c r="W499" s="4" t="s">
        <v>585</v>
      </c>
      <c r="X499" s="4" t="s">
        <v>3361</v>
      </c>
      <c r="Y499" s="151" t="str">
        <f t="shared" si="45"/>
        <v>E5600</v>
      </c>
      <c r="Z499" s="4" t="s">
        <v>587</v>
      </c>
      <c r="AA499" s="114" t="s">
        <v>588</v>
      </c>
      <c r="AB499" s="4" t="s">
        <v>506</v>
      </c>
      <c r="AC499" s="4" t="s">
        <v>507</v>
      </c>
      <c r="AD499" s="4" t="s">
        <v>508</v>
      </c>
      <c r="AE499" s="4" t="s">
        <v>509</v>
      </c>
      <c r="AF499" s="4" t="s">
        <v>589</v>
      </c>
      <c r="AG499" s="115">
        <f>+VLOOKUP(Y499,B:O,8,FALSE)/1000</f>
        <v>8.5850000394675482E-2</v>
      </c>
      <c r="AI499" s="158"/>
    </row>
    <row r="500" spans="23:35">
      <c r="W500" s="4" t="s">
        <v>585</v>
      </c>
      <c r="X500" s="4" t="s">
        <v>3362</v>
      </c>
      <c r="Y500" s="151" t="str">
        <f t="shared" si="45"/>
        <v>E5600</v>
      </c>
      <c r="Z500" s="4" t="s">
        <v>587</v>
      </c>
      <c r="AA500" s="114" t="s">
        <v>588</v>
      </c>
      <c r="AB500" s="4" t="s">
        <v>506</v>
      </c>
      <c r="AC500" s="4" t="s">
        <v>507</v>
      </c>
      <c r="AD500" s="4" t="s">
        <v>508</v>
      </c>
      <c r="AE500" s="4" t="s">
        <v>509</v>
      </c>
      <c r="AF500" s="4" t="s">
        <v>589</v>
      </c>
      <c r="AG500" s="115">
        <f>+VLOOKUP(Y500,B:O,9,FALSE)/1000</f>
        <v>8.5850000394675482E-2</v>
      </c>
      <c r="AI500" s="158"/>
    </row>
    <row r="501" spans="23:35">
      <c r="W501" s="4" t="s">
        <v>585</v>
      </c>
      <c r="X501" s="4" t="s">
        <v>3363</v>
      </c>
      <c r="Y501" s="151" t="str">
        <f t="shared" si="45"/>
        <v>E5600</v>
      </c>
      <c r="Z501" s="4" t="s">
        <v>587</v>
      </c>
      <c r="AA501" s="114" t="s">
        <v>588</v>
      </c>
      <c r="AB501" s="4" t="s">
        <v>506</v>
      </c>
      <c r="AC501" s="4" t="s">
        <v>507</v>
      </c>
      <c r="AD501" s="4" t="s">
        <v>508</v>
      </c>
      <c r="AE501" s="4" t="s">
        <v>509</v>
      </c>
      <c r="AF501" s="4" t="s">
        <v>589</v>
      </c>
      <c r="AG501" s="115">
        <f>+VLOOKUP(Y501,B:O,10,FALSE)/1000</f>
        <v>8.5850000394675482E-2</v>
      </c>
      <c r="AI501" s="158"/>
    </row>
    <row r="502" spans="23:35">
      <c r="W502" s="4" t="s">
        <v>585</v>
      </c>
      <c r="X502" s="4" t="s">
        <v>3364</v>
      </c>
      <c r="Y502" s="151" t="str">
        <f t="shared" si="45"/>
        <v>E5600</v>
      </c>
      <c r="Z502" s="4" t="s">
        <v>587</v>
      </c>
      <c r="AA502" s="114" t="s">
        <v>588</v>
      </c>
      <c r="AB502" s="4" t="s">
        <v>506</v>
      </c>
      <c r="AC502" s="4" t="s">
        <v>507</v>
      </c>
      <c r="AD502" s="4" t="s">
        <v>508</v>
      </c>
      <c r="AE502" s="4" t="s">
        <v>509</v>
      </c>
      <c r="AF502" s="4" t="s">
        <v>589</v>
      </c>
      <c r="AG502" s="115">
        <f>+VLOOKUP(Y502,B:O,11,FALSE)/1000</f>
        <v>8.5850000394675482E-2</v>
      </c>
      <c r="AI502" s="158"/>
    </row>
    <row r="503" spans="23:35">
      <c r="W503" s="4" t="s">
        <v>585</v>
      </c>
      <c r="X503" s="4" t="s">
        <v>3365</v>
      </c>
      <c r="Y503" s="151" t="str">
        <f t="shared" si="45"/>
        <v>E5600</v>
      </c>
      <c r="Z503" s="4" t="s">
        <v>587</v>
      </c>
      <c r="AA503" s="114" t="s">
        <v>588</v>
      </c>
      <c r="AB503" s="4" t="s">
        <v>506</v>
      </c>
      <c r="AC503" s="4" t="s">
        <v>507</v>
      </c>
      <c r="AD503" s="4" t="s">
        <v>508</v>
      </c>
      <c r="AE503" s="4" t="s">
        <v>509</v>
      </c>
      <c r="AF503" s="4" t="s">
        <v>589</v>
      </c>
      <c r="AG503" s="115">
        <f>+VLOOKUP(Y503,B:O,12,FALSE)/1000</f>
        <v>8.5850000394675482E-2</v>
      </c>
      <c r="AI503" s="158"/>
    </row>
    <row r="504" spans="23:35">
      <c r="W504" s="4" t="s">
        <v>585</v>
      </c>
      <c r="X504" s="4" t="s">
        <v>3366</v>
      </c>
      <c r="Y504" s="151" t="str">
        <f t="shared" si="45"/>
        <v>E5600</v>
      </c>
      <c r="Z504" s="4" t="s">
        <v>587</v>
      </c>
      <c r="AA504" s="114" t="s">
        <v>588</v>
      </c>
      <c r="AB504" s="4" t="s">
        <v>506</v>
      </c>
      <c r="AC504" s="4" t="s">
        <v>507</v>
      </c>
      <c r="AD504" s="4" t="s">
        <v>508</v>
      </c>
      <c r="AE504" s="4" t="s">
        <v>509</v>
      </c>
      <c r="AF504" s="4" t="s">
        <v>589</v>
      </c>
      <c r="AG504" s="115">
        <f>+VLOOKUP(Y504,B:O,13,FALSE)/1000</f>
        <v>8.7824550403753004E-2</v>
      </c>
      <c r="AI504" s="158"/>
    </row>
    <row r="505" spans="23:35">
      <c r="W505" s="4" t="s">
        <v>585</v>
      </c>
      <c r="X505" s="4" t="s">
        <v>3367</v>
      </c>
      <c r="Y505" s="151" t="str">
        <f t="shared" si="45"/>
        <v>E5600</v>
      </c>
      <c r="Z505" s="4" t="s">
        <v>587</v>
      </c>
      <c r="AA505" s="114" t="s">
        <v>588</v>
      </c>
      <c r="AB505" s="4" t="s">
        <v>506</v>
      </c>
      <c r="AC505" s="4" t="s">
        <v>507</v>
      </c>
      <c r="AD505" s="4" t="s">
        <v>508</v>
      </c>
      <c r="AE505" s="4" t="s">
        <v>509</v>
      </c>
      <c r="AF505" s="4" t="s">
        <v>589</v>
      </c>
      <c r="AG505" s="115">
        <f>+VLOOKUP(Y505,B:O,14,FALSE)/1000</f>
        <v>8.7824550403753004E-2</v>
      </c>
      <c r="AI505" s="158"/>
    </row>
    <row r="506" spans="23:35">
      <c r="W506" s="4" t="s">
        <v>585</v>
      </c>
      <c r="X506" s="3" t="s">
        <v>3356</v>
      </c>
      <c r="Y506" s="150" t="str">
        <f>INDEX($B$3:$O$110,63,1)</f>
        <v>E5620</v>
      </c>
      <c r="Z506" s="4" t="s">
        <v>587</v>
      </c>
      <c r="AA506" s="114" t="s">
        <v>588</v>
      </c>
      <c r="AB506" s="4" t="s">
        <v>506</v>
      </c>
      <c r="AC506" s="4" t="s">
        <v>507</v>
      </c>
      <c r="AD506" s="4" t="s">
        <v>508</v>
      </c>
      <c r="AE506" s="4" t="s">
        <v>509</v>
      </c>
      <c r="AF506" s="4" t="s">
        <v>589</v>
      </c>
      <c r="AG506" s="115">
        <f>+VLOOKUP(Y506,B:O,3,FALSE)/1000</f>
        <v>8.8755480052540955E-2</v>
      </c>
      <c r="AI506" s="158"/>
    </row>
    <row r="507" spans="23:35">
      <c r="W507" s="4" t="s">
        <v>585</v>
      </c>
      <c r="X507" s="4" t="s">
        <v>3357</v>
      </c>
      <c r="Y507" s="151" t="str">
        <f>Y506</f>
        <v>E5620</v>
      </c>
      <c r="Z507" s="4" t="s">
        <v>587</v>
      </c>
      <c r="AA507" s="114" t="s">
        <v>588</v>
      </c>
      <c r="AB507" s="4" t="s">
        <v>506</v>
      </c>
      <c r="AC507" s="4" t="s">
        <v>507</v>
      </c>
      <c r="AD507" s="4" t="s">
        <v>508</v>
      </c>
      <c r="AE507" s="4" t="s">
        <v>509</v>
      </c>
      <c r="AF507" s="4" t="s">
        <v>589</v>
      </c>
      <c r="AG507" s="115">
        <f>+VLOOKUP(Y507,B:O,4,FALSE)/1000</f>
        <v>8.8755480052540955E-2</v>
      </c>
      <c r="AI507" s="158"/>
    </row>
    <row r="508" spans="23:35">
      <c r="W508" s="4" t="s">
        <v>585</v>
      </c>
      <c r="X508" s="4" t="s">
        <v>3358</v>
      </c>
      <c r="Y508" s="151" t="str">
        <f t="shared" ref="Y508:Y517" si="46">Y507</f>
        <v>E5620</v>
      </c>
      <c r="Z508" s="4" t="s">
        <v>587</v>
      </c>
      <c r="AA508" s="114" t="s">
        <v>588</v>
      </c>
      <c r="AB508" s="4" t="s">
        <v>506</v>
      </c>
      <c r="AC508" s="4" t="s">
        <v>507</v>
      </c>
      <c r="AD508" s="4" t="s">
        <v>508</v>
      </c>
      <c r="AE508" s="4" t="s">
        <v>509</v>
      </c>
      <c r="AF508" s="4" t="s">
        <v>589</v>
      </c>
      <c r="AG508" s="115">
        <f>+VLOOKUP(Y508,B:O,5,FALSE)/1000</f>
        <v>8.8755480052540955E-2</v>
      </c>
      <c r="AI508" s="158"/>
    </row>
    <row r="509" spans="23:35">
      <c r="W509" s="4" t="s">
        <v>585</v>
      </c>
      <c r="X509" s="4" t="s">
        <v>3359</v>
      </c>
      <c r="Y509" s="151" t="str">
        <f t="shared" si="46"/>
        <v>E5620</v>
      </c>
      <c r="Z509" s="4" t="s">
        <v>587</v>
      </c>
      <c r="AA509" s="114" t="s">
        <v>588</v>
      </c>
      <c r="AB509" s="4" t="s">
        <v>506</v>
      </c>
      <c r="AC509" s="4" t="s">
        <v>507</v>
      </c>
      <c r="AD509" s="4" t="s">
        <v>508</v>
      </c>
      <c r="AE509" s="4" t="s">
        <v>509</v>
      </c>
      <c r="AF509" s="4" t="s">
        <v>589</v>
      </c>
      <c r="AG509" s="115">
        <f>+VLOOKUP(Y509,B:O,6,FALSE)/1000</f>
        <v>8.8755480052540955E-2</v>
      </c>
      <c r="AI509" s="158"/>
    </row>
    <row r="510" spans="23:35">
      <c r="W510" s="4" t="s">
        <v>585</v>
      </c>
      <c r="X510" s="4" t="s">
        <v>3360</v>
      </c>
      <c r="Y510" s="151" t="str">
        <f t="shared" si="46"/>
        <v>E5620</v>
      </c>
      <c r="Z510" s="4" t="s">
        <v>587</v>
      </c>
      <c r="AA510" s="114" t="s">
        <v>588</v>
      </c>
      <c r="AB510" s="4" t="s">
        <v>506</v>
      </c>
      <c r="AC510" s="4" t="s">
        <v>507</v>
      </c>
      <c r="AD510" s="4" t="s">
        <v>508</v>
      </c>
      <c r="AE510" s="4" t="s">
        <v>509</v>
      </c>
      <c r="AF510" s="4" t="s">
        <v>589</v>
      </c>
      <c r="AG510" s="115">
        <f>+VLOOKUP(Y510,B:O,7,FALSE)/1000</f>
        <v>8.8755480052540955E-2</v>
      </c>
      <c r="AI510" s="158"/>
    </row>
    <row r="511" spans="23:35">
      <c r="W511" s="4" t="s">
        <v>585</v>
      </c>
      <c r="X511" s="4" t="s">
        <v>3361</v>
      </c>
      <c r="Y511" s="151" t="str">
        <f t="shared" si="46"/>
        <v>E5620</v>
      </c>
      <c r="Z511" s="4" t="s">
        <v>587</v>
      </c>
      <c r="AA511" s="114" t="s">
        <v>588</v>
      </c>
      <c r="AB511" s="4" t="s">
        <v>506</v>
      </c>
      <c r="AC511" s="4" t="s">
        <v>507</v>
      </c>
      <c r="AD511" s="4" t="s">
        <v>508</v>
      </c>
      <c r="AE511" s="4" t="s">
        <v>509</v>
      </c>
      <c r="AF511" s="4" t="s">
        <v>589</v>
      </c>
      <c r="AG511" s="115">
        <f>+VLOOKUP(Y511,B:O,8,FALSE)/1000</f>
        <v>8.8755480052540955E-2</v>
      </c>
      <c r="AI511" s="158"/>
    </row>
    <row r="512" spans="23:35">
      <c r="W512" s="4" t="s">
        <v>585</v>
      </c>
      <c r="X512" s="4" t="s">
        <v>3362</v>
      </c>
      <c r="Y512" s="151" t="str">
        <f t="shared" si="46"/>
        <v>E5620</v>
      </c>
      <c r="Z512" s="4" t="s">
        <v>587</v>
      </c>
      <c r="AA512" s="114" t="s">
        <v>588</v>
      </c>
      <c r="AB512" s="4" t="s">
        <v>506</v>
      </c>
      <c r="AC512" s="4" t="s">
        <v>507</v>
      </c>
      <c r="AD512" s="4" t="s">
        <v>508</v>
      </c>
      <c r="AE512" s="4" t="s">
        <v>509</v>
      </c>
      <c r="AF512" s="4" t="s">
        <v>589</v>
      </c>
      <c r="AG512" s="115">
        <f>+VLOOKUP(Y512,B:O,9,FALSE)/1000</f>
        <v>8.8755480052540955E-2</v>
      </c>
      <c r="AI512" s="158"/>
    </row>
    <row r="513" spans="23:35">
      <c r="W513" s="4" t="s">
        <v>585</v>
      </c>
      <c r="X513" s="4" t="s">
        <v>3363</v>
      </c>
      <c r="Y513" s="151" t="str">
        <f t="shared" si="46"/>
        <v>E5620</v>
      </c>
      <c r="Z513" s="4" t="s">
        <v>587</v>
      </c>
      <c r="AA513" s="114" t="s">
        <v>588</v>
      </c>
      <c r="AB513" s="4" t="s">
        <v>506</v>
      </c>
      <c r="AC513" s="4" t="s">
        <v>507</v>
      </c>
      <c r="AD513" s="4" t="s">
        <v>508</v>
      </c>
      <c r="AE513" s="4" t="s">
        <v>509</v>
      </c>
      <c r="AF513" s="4" t="s">
        <v>589</v>
      </c>
      <c r="AG513" s="115">
        <f>+VLOOKUP(Y513,B:O,10,FALSE)/1000</f>
        <v>8.8755480052540955E-2</v>
      </c>
      <c r="AI513" s="158"/>
    </row>
    <row r="514" spans="23:35">
      <c r="W514" s="4" t="s">
        <v>585</v>
      </c>
      <c r="X514" s="4" t="s">
        <v>3364</v>
      </c>
      <c r="Y514" s="151" t="str">
        <f t="shared" si="46"/>
        <v>E5620</v>
      </c>
      <c r="Z514" s="4" t="s">
        <v>587</v>
      </c>
      <c r="AA514" s="114" t="s">
        <v>588</v>
      </c>
      <c r="AB514" s="4" t="s">
        <v>506</v>
      </c>
      <c r="AC514" s="4" t="s">
        <v>507</v>
      </c>
      <c r="AD514" s="4" t="s">
        <v>508</v>
      </c>
      <c r="AE514" s="4" t="s">
        <v>509</v>
      </c>
      <c r="AF514" s="4" t="s">
        <v>589</v>
      </c>
      <c r="AG514" s="115">
        <f>+VLOOKUP(Y514,B:O,11,FALSE)/1000</f>
        <v>8.8755480052540955E-2</v>
      </c>
      <c r="AI514" s="158"/>
    </row>
    <row r="515" spans="23:35">
      <c r="W515" s="4" t="s">
        <v>585</v>
      </c>
      <c r="X515" s="4" t="s">
        <v>3365</v>
      </c>
      <c r="Y515" s="151" t="str">
        <f t="shared" si="46"/>
        <v>E5620</v>
      </c>
      <c r="Z515" s="4" t="s">
        <v>587</v>
      </c>
      <c r="AA515" s="114" t="s">
        <v>588</v>
      </c>
      <c r="AB515" s="4" t="s">
        <v>506</v>
      </c>
      <c r="AC515" s="4" t="s">
        <v>507</v>
      </c>
      <c r="AD515" s="4" t="s">
        <v>508</v>
      </c>
      <c r="AE515" s="4" t="s">
        <v>509</v>
      </c>
      <c r="AF515" s="4" t="s">
        <v>589</v>
      </c>
      <c r="AG515" s="115">
        <f>+VLOOKUP(Y515,B:O,12,FALSE)/1000</f>
        <v>8.8755480052540955E-2</v>
      </c>
      <c r="AI515" s="158"/>
    </row>
    <row r="516" spans="23:35">
      <c r="W516" s="4" t="s">
        <v>585</v>
      </c>
      <c r="X516" s="4" t="s">
        <v>3366</v>
      </c>
      <c r="Y516" s="151" t="str">
        <f t="shared" si="46"/>
        <v>E5620</v>
      </c>
      <c r="Z516" s="4" t="s">
        <v>587</v>
      </c>
      <c r="AA516" s="114" t="s">
        <v>588</v>
      </c>
      <c r="AB516" s="4" t="s">
        <v>506</v>
      </c>
      <c r="AC516" s="4" t="s">
        <v>507</v>
      </c>
      <c r="AD516" s="4" t="s">
        <v>508</v>
      </c>
      <c r="AE516" s="4" t="s">
        <v>509</v>
      </c>
      <c r="AF516" s="4" t="s">
        <v>589</v>
      </c>
      <c r="AG516" s="115">
        <f>+VLOOKUP(Y516,B:O,13,FALSE)/1000</f>
        <v>9.0796856093749392E-2</v>
      </c>
      <c r="AI516" s="158"/>
    </row>
    <row r="517" spans="23:35">
      <c r="W517" s="4" t="s">
        <v>585</v>
      </c>
      <c r="X517" s="4" t="s">
        <v>3367</v>
      </c>
      <c r="Y517" s="151" t="str">
        <f t="shared" si="46"/>
        <v>E5620</v>
      </c>
      <c r="Z517" s="4" t="s">
        <v>587</v>
      </c>
      <c r="AA517" s="114" t="s">
        <v>588</v>
      </c>
      <c r="AB517" s="4" t="s">
        <v>506</v>
      </c>
      <c r="AC517" s="4" t="s">
        <v>507</v>
      </c>
      <c r="AD517" s="4" t="s">
        <v>508</v>
      </c>
      <c r="AE517" s="4" t="s">
        <v>509</v>
      </c>
      <c r="AF517" s="4" t="s">
        <v>589</v>
      </c>
      <c r="AG517" s="115">
        <f>+VLOOKUP(Y517,B:O,14,FALSE)/1000</f>
        <v>9.0796856093749392E-2</v>
      </c>
      <c r="AI517" s="158"/>
    </row>
    <row r="518" spans="23:35">
      <c r="W518" s="4" t="s">
        <v>585</v>
      </c>
      <c r="X518" s="3" t="s">
        <v>3356</v>
      </c>
      <c r="Y518" s="150" t="str">
        <f>INDEX($B$3:$O$110,65,1)</f>
        <v>E5630</v>
      </c>
      <c r="Z518" s="4" t="s">
        <v>587</v>
      </c>
      <c r="AA518" s="114" t="s">
        <v>588</v>
      </c>
      <c r="AB518" s="4" t="s">
        <v>506</v>
      </c>
      <c r="AC518" s="4" t="s">
        <v>507</v>
      </c>
      <c r="AD518" s="4" t="s">
        <v>508</v>
      </c>
      <c r="AE518" s="4" t="s">
        <v>509</v>
      </c>
      <c r="AF518" s="4" t="s">
        <v>589</v>
      </c>
      <c r="AG518" s="115">
        <f>+VLOOKUP(Y518,B:O,3,FALSE)/1000</f>
        <v>8.9686419013215848E-2</v>
      </c>
      <c r="AI518" s="158"/>
    </row>
    <row r="519" spans="23:35">
      <c r="W519" s="4" t="s">
        <v>585</v>
      </c>
      <c r="X519" s="4" t="s">
        <v>3357</v>
      </c>
      <c r="Y519" s="151" t="str">
        <f>Y518</f>
        <v>E5630</v>
      </c>
      <c r="Z519" s="4" t="s">
        <v>587</v>
      </c>
      <c r="AA519" s="114" t="s">
        <v>588</v>
      </c>
      <c r="AB519" s="4" t="s">
        <v>506</v>
      </c>
      <c r="AC519" s="4" t="s">
        <v>507</v>
      </c>
      <c r="AD519" s="4" t="s">
        <v>508</v>
      </c>
      <c r="AE519" s="4" t="s">
        <v>509</v>
      </c>
      <c r="AF519" s="4" t="s">
        <v>589</v>
      </c>
      <c r="AG519" s="115">
        <f>+VLOOKUP(Y519,B:O,4,FALSE)/1000</f>
        <v>8.9686419013215848E-2</v>
      </c>
      <c r="AI519" s="158"/>
    </row>
    <row r="520" spans="23:35">
      <c r="W520" s="4" t="s">
        <v>585</v>
      </c>
      <c r="X520" s="4" t="s">
        <v>3358</v>
      </c>
      <c r="Y520" s="151" t="str">
        <f t="shared" ref="Y520:Y529" si="47">Y519</f>
        <v>E5630</v>
      </c>
      <c r="Z520" s="4" t="s">
        <v>587</v>
      </c>
      <c r="AA520" s="114" t="s">
        <v>588</v>
      </c>
      <c r="AB520" s="4" t="s">
        <v>506</v>
      </c>
      <c r="AC520" s="4" t="s">
        <v>507</v>
      </c>
      <c r="AD520" s="4" t="s">
        <v>508</v>
      </c>
      <c r="AE520" s="4" t="s">
        <v>509</v>
      </c>
      <c r="AF520" s="4" t="s">
        <v>589</v>
      </c>
      <c r="AG520" s="115">
        <f>+VLOOKUP(Y520,B:O,5,FALSE)/1000</f>
        <v>8.9686419013215848E-2</v>
      </c>
      <c r="AI520" s="158"/>
    </row>
    <row r="521" spans="23:35">
      <c r="W521" s="4" t="s">
        <v>585</v>
      </c>
      <c r="X521" s="4" t="s">
        <v>3359</v>
      </c>
      <c r="Y521" s="151" t="str">
        <f t="shared" si="47"/>
        <v>E5630</v>
      </c>
      <c r="Z521" s="4" t="s">
        <v>587</v>
      </c>
      <c r="AA521" s="114" t="s">
        <v>588</v>
      </c>
      <c r="AB521" s="4" t="s">
        <v>506</v>
      </c>
      <c r="AC521" s="4" t="s">
        <v>507</v>
      </c>
      <c r="AD521" s="4" t="s">
        <v>508</v>
      </c>
      <c r="AE521" s="4" t="s">
        <v>509</v>
      </c>
      <c r="AF521" s="4" t="s">
        <v>589</v>
      </c>
      <c r="AG521" s="115">
        <f>+VLOOKUP(Y521,B:O,6,FALSE)/1000</f>
        <v>8.9686419013215848E-2</v>
      </c>
      <c r="AI521" s="158"/>
    </row>
    <row r="522" spans="23:35">
      <c r="W522" s="4" t="s">
        <v>585</v>
      </c>
      <c r="X522" s="4" t="s">
        <v>3360</v>
      </c>
      <c r="Y522" s="151" t="str">
        <f t="shared" si="47"/>
        <v>E5630</v>
      </c>
      <c r="Z522" s="4" t="s">
        <v>587</v>
      </c>
      <c r="AA522" s="114" t="s">
        <v>588</v>
      </c>
      <c r="AB522" s="4" t="s">
        <v>506</v>
      </c>
      <c r="AC522" s="4" t="s">
        <v>507</v>
      </c>
      <c r="AD522" s="4" t="s">
        <v>508</v>
      </c>
      <c r="AE522" s="4" t="s">
        <v>509</v>
      </c>
      <c r="AF522" s="4" t="s">
        <v>589</v>
      </c>
      <c r="AG522" s="115">
        <f>+VLOOKUP(Y522,B:O,7,FALSE)/1000</f>
        <v>8.9686419013215848E-2</v>
      </c>
      <c r="AI522" s="158"/>
    </row>
    <row r="523" spans="23:35">
      <c r="W523" s="4" t="s">
        <v>585</v>
      </c>
      <c r="X523" s="4" t="s">
        <v>3361</v>
      </c>
      <c r="Y523" s="151" t="str">
        <f t="shared" si="47"/>
        <v>E5630</v>
      </c>
      <c r="Z523" s="4" t="s">
        <v>587</v>
      </c>
      <c r="AA523" s="114" t="s">
        <v>588</v>
      </c>
      <c r="AB523" s="4" t="s">
        <v>506</v>
      </c>
      <c r="AC523" s="4" t="s">
        <v>507</v>
      </c>
      <c r="AD523" s="4" t="s">
        <v>508</v>
      </c>
      <c r="AE523" s="4" t="s">
        <v>509</v>
      </c>
      <c r="AF523" s="4" t="s">
        <v>589</v>
      </c>
      <c r="AG523" s="115">
        <f>+VLOOKUP(Y523,B:O,8,FALSE)/1000</f>
        <v>8.9686419013215848E-2</v>
      </c>
      <c r="AI523" s="158"/>
    </row>
    <row r="524" spans="23:35">
      <c r="W524" s="4" t="s">
        <v>585</v>
      </c>
      <c r="X524" s="4" t="s">
        <v>3362</v>
      </c>
      <c r="Y524" s="151" t="str">
        <f t="shared" si="47"/>
        <v>E5630</v>
      </c>
      <c r="Z524" s="4" t="s">
        <v>587</v>
      </c>
      <c r="AA524" s="114" t="s">
        <v>588</v>
      </c>
      <c r="AB524" s="4" t="s">
        <v>506</v>
      </c>
      <c r="AC524" s="4" t="s">
        <v>507</v>
      </c>
      <c r="AD524" s="4" t="s">
        <v>508</v>
      </c>
      <c r="AE524" s="4" t="s">
        <v>509</v>
      </c>
      <c r="AF524" s="4" t="s">
        <v>589</v>
      </c>
      <c r="AG524" s="115">
        <f>+VLOOKUP(Y524,B:O,9,FALSE)/1000</f>
        <v>8.9686419013215848E-2</v>
      </c>
      <c r="AI524" s="158"/>
    </row>
    <row r="525" spans="23:35">
      <c r="W525" s="4" t="s">
        <v>585</v>
      </c>
      <c r="X525" s="4" t="s">
        <v>3363</v>
      </c>
      <c r="Y525" s="151" t="str">
        <f t="shared" si="47"/>
        <v>E5630</v>
      </c>
      <c r="Z525" s="4" t="s">
        <v>587</v>
      </c>
      <c r="AA525" s="114" t="s">
        <v>588</v>
      </c>
      <c r="AB525" s="4" t="s">
        <v>506</v>
      </c>
      <c r="AC525" s="4" t="s">
        <v>507</v>
      </c>
      <c r="AD525" s="4" t="s">
        <v>508</v>
      </c>
      <c r="AE525" s="4" t="s">
        <v>509</v>
      </c>
      <c r="AF525" s="4" t="s">
        <v>589</v>
      </c>
      <c r="AG525" s="115">
        <f>+VLOOKUP(Y525,B:O,10,FALSE)/1000</f>
        <v>8.9686419013215848E-2</v>
      </c>
      <c r="AI525" s="158"/>
    </row>
    <row r="526" spans="23:35">
      <c r="W526" s="4" t="s">
        <v>585</v>
      </c>
      <c r="X526" s="4" t="s">
        <v>3364</v>
      </c>
      <c r="Y526" s="151" t="str">
        <f t="shared" si="47"/>
        <v>E5630</v>
      </c>
      <c r="Z526" s="4" t="s">
        <v>587</v>
      </c>
      <c r="AA526" s="114" t="s">
        <v>588</v>
      </c>
      <c r="AB526" s="4" t="s">
        <v>506</v>
      </c>
      <c r="AC526" s="4" t="s">
        <v>507</v>
      </c>
      <c r="AD526" s="4" t="s">
        <v>508</v>
      </c>
      <c r="AE526" s="4" t="s">
        <v>509</v>
      </c>
      <c r="AF526" s="4" t="s">
        <v>589</v>
      </c>
      <c r="AG526" s="115">
        <f>+VLOOKUP(Y526,B:O,11,FALSE)/1000</f>
        <v>8.9686419013215848E-2</v>
      </c>
      <c r="AI526" s="158"/>
    </row>
    <row r="527" spans="23:35">
      <c r="W527" s="4" t="s">
        <v>585</v>
      </c>
      <c r="X527" s="4" t="s">
        <v>3365</v>
      </c>
      <c r="Y527" s="151" t="str">
        <f t="shared" si="47"/>
        <v>E5630</v>
      </c>
      <c r="Z527" s="4" t="s">
        <v>587</v>
      </c>
      <c r="AA527" s="114" t="s">
        <v>588</v>
      </c>
      <c r="AB527" s="4" t="s">
        <v>506</v>
      </c>
      <c r="AC527" s="4" t="s">
        <v>507</v>
      </c>
      <c r="AD527" s="4" t="s">
        <v>508</v>
      </c>
      <c r="AE527" s="4" t="s">
        <v>509</v>
      </c>
      <c r="AF527" s="4" t="s">
        <v>589</v>
      </c>
      <c r="AG527" s="115">
        <f>+VLOOKUP(Y527,B:O,12,FALSE)/1000</f>
        <v>8.9686419013215848E-2</v>
      </c>
      <c r="AI527" s="158"/>
    </row>
    <row r="528" spans="23:35">
      <c r="W528" s="4" t="s">
        <v>585</v>
      </c>
      <c r="X528" s="4" t="s">
        <v>3366</v>
      </c>
      <c r="Y528" s="151" t="str">
        <f t="shared" si="47"/>
        <v>E5630</v>
      </c>
      <c r="Z528" s="4" t="s">
        <v>587</v>
      </c>
      <c r="AA528" s="114" t="s">
        <v>588</v>
      </c>
      <c r="AB528" s="4" t="s">
        <v>506</v>
      </c>
      <c r="AC528" s="4" t="s">
        <v>507</v>
      </c>
      <c r="AD528" s="4" t="s">
        <v>508</v>
      </c>
      <c r="AE528" s="4" t="s">
        <v>509</v>
      </c>
      <c r="AF528" s="4" t="s">
        <v>589</v>
      </c>
      <c r="AG528" s="115">
        <f>+VLOOKUP(Y528,B:O,13,FALSE)/1000</f>
        <v>9.1749206650519818E-2</v>
      </c>
      <c r="AI528" s="158"/>
    </row>
    <row r="529" spans="23:35">
      <c r="W529" s="4" t="s">
        <v>585</v>
      </c>
      <c r="X529" s="4" t="s">
        <v>3367</v>
      </c>
      <c r="Y529" s="151" t="str">
        <f t="shared" si="47"/>
        <v>E5630</v>
      </c>
      <c r="Z529" s="4" t="s">
        <v>587</v>
      </c>
      <c r="AA529" s="114" t="s">
        <v>588</v>
      </c>
      <c r="AB529" s="4" t="s">
        <v>506</v>
      </c>
      <c r="AC529" s="4" t="s">
        <v>507</v>
      </c>
      <c r="AD529" s="4" t="s">
        <v>508</v>
      </c>
      <c r="AE529" s="4" t="s">
        <v>509</v>
      </c>
      <c r="AF529" s="4" t="s">
        <v>589</v>
      </c>
      <c r="AG529" s="115">
        <f>+VLOOKUP(Y529,B:O,14,FALSE)/1000</f>
        <v>9.1749206650519818E-2</v>
      </c>
      <c r="AI529" s="158"/>
    </row>
    <row r="530" spans="23:35">
      <c r="W530" s="4" t="s">
        <v>585</v>
      </c>
      <c r="X530" s="3" t="s">
        <v>3356</v>
      </c>
      <c r="Y530" s="150" t="str">
        <f>INDEX($B$3:$O$110,67,1)</f>
        <v>E5640</v>
      </c>
      <c r="Z530" s="4" t="s">
        <v>587</v>
      </c>
      <c r="AA530" s="114" t="s">
        <v>588</v>
      </c>
      <c r="AB530" s="4" t="s">
        <v>506</v>
      </c>
      <c r="AC530" s="4" t="s">
        <v>507</v>
      </c>
      <c r="AD530" s="4" t="s">
        <v>508</v>
      </c>
      <c r="AE530" s="4" t="s">
        <v>509</v>
      </c>
      <c r="AF530" s="4" t="s">
        <v>589</v>
      </c>
      <c r="AG530" s="115">
        <f>+VLOOKUP(Y530,B:O,3,FALSE)/1000</f>
        <v>8.8755524756250009E-2</v>
      </c>
      <c r="AI530" s="158"/>
    </row>
    <row r="531" spans="23:35">
      <c r="W531" s="4" t="s">
        <v>585</v>
      </c>
      <c r="X531" s="4" t="s">
        <v>3357</v>
      </c>
      <c r="Y531" s="151" t="str">
        <f>Y530</f>
        <v>E5640</v>
      </c>
      <c r="Z531" s="4" t="s">
        <v>587</v>
      </c>
      <c r="AA531" s="114" t="s">
        <v>588</v>
      </c>
      <c r="AB531" s="4" t="s">
        <v>506</v>
      </c>
      <c r="AC531" s="4" t="s">
        <v>507</v>
      </c>
      <c r="AD531" s="4" t="s">
        <v>508</v>
      </c>
      <c r="AE531" s="4" t="s">
        <v>509</v>
      </c>
      <c r="AF531" s="4" t="s">
        <v>589</v>
      </c>
      <c r="AG531" s="115">
        <f>+VLOOKUP(Y531,B:O,4,FALSE)/1000</f>
        <v>8.8755524756250009E-2</v>
      </c>
      <c r="AI531" s="158"/>
    </row>
    <row r="532" spans="23:35">
      <c r="W532" s="4" t="s">
        <v>585</v>
      </c>
      <c r="X532" s="4" t="s">
        <v>3358</v>
      </c>
      <c r="Y532" s="151" t="str">
        <f t="shared" ref="Y532:Y541" si="48">Y531</f>
        <v>E5640</v>
      </c>
      <c r="Z532" s="4" t="s">
        <v>587</v>
      </c>
      <c r="AA532" s="114" t="s">
        <v>588</v>
      </c>
      <c r="AB532" s="4" t="s">
        <v>506</v>
      </c>
      <c r="AC532" s="4" t="s">
        <v>507</v>
      </c>
      <c r="AD532" s="4" t="s">
        <v>508</v>
      </c>
      <c r="AE532" s="4" t="s">
        <v>509</v>
      </c>
      <c r="AF532" s="4" t="s">
        <v>589</v>
      </c>
      <c r="AG532" s="115">
        <f>+VLOOKUP(Y532,B:O,5,FALSE)/1000</f>
        <v>8.8755524756250009E-2</v>
      </c>
      <c r="AI532" s="158"/>
    </row>
    <row r="533" spans="23:35">
      <c r="W533" s="4" t="s">
        <v>585</v>
      </c>
      <c r="X533" s="4" t="s">
        <v>3359</v>
      </c>
      <c r="Y533" s="151" t="str">
        <f t="shared" si="48"/>
        <v>E5640</v>
      </c>
      <c r="Z533" s="4" t="s">
        <v>587</v>
      </c>
      <c r="AA533" s="114" t="s">
        <v>588</v>
      </c>
      <c r="AB533" s="4" t="s">
        <v>506</v>
      </c>
      <c r="AC533" s="4" t="s">
        <v>507</v>
      </c>
      <c r="AD533" s="4" t="s">
        <v>508</v>
      </c>
      <c r="AE533" s="4" t="s">
        <v>509</v>
      </c>
      <c r="AF533" s="4" t="s">
        <v>589</v>
      </c>
      <c r="AG533" s="115">
        <f>+VLOOKUP(Y533,B:O,6,FALSE)/1000</f>
        <v>8.8755524756250009E-2</v>
      </c>
      <c r="AI533" s="158"/>
    </row>
    <row r="534" spans="23:35">
      <c r="W534" s="4" t="s">
        <v>585</v>
      </c>
      <c r="X534" s="4" t="s">
        <v>3360</v>
      </c>
      <c r="Y534" s="151" t="str">
        <f t="shared" si="48"/>
        <v>E5640</v>
      </c>
      <c r="Z534" s="4" t="s">
        <v>587</v>
      </c>
      <c r="AA534" s="114" t="s">
        <v>588</v>
      </c>
      <c r="AB534" s="4" t="s">
        <v>506</v>
      </c>
      <c r="AC534" s="4" t="s">
        <v>507</v>
      </c>
      <c r="AD534" s="4" t="s">
        <v>508</v>
      </c>
      <c r="AE534" s="4" t="s">
        <v>509</v>
      </c>
      <c r="AF534" s="4" t="s">
        <v>589</v>
      </c>
      <c r="AG534" s="115">
        <f>+VLOOKUP(Y534,B:O,7,FALSE)/1000</f>
        <v>8.8755524756250009E-2</v>
      </c>
      <c r="AI534" s="158"/>
    </row>
    <row r="535" spans="23:35">
      <c r="W535" s="4" t="s">
        <v>585</v>
      </c>
      <c r="X535" s="4" t="s">
        <v>3361</v>
      </c>
      <c r="Y535" s="151" t="str">
        <f t="shared" si="48"/>
        <v>E5640</v>
      </c>
      <c r="Z535" s="4" t="s">
        <v>587</v>
      </c>
      <c r="AA535" s="114" t="s">
        <v>588</v>
      </c>
      <c r="AB535" s="4" t="s">
        <v>506</v>
      </c>
      <c r="AC535" s="4" t="s">
        <v>507</v>
      </c>
      <c r="AD535" s="4" t="s">
        <v>508</v>
      </c>
      <c r="AE535" s="4" t="s">
        <v>509</v>
      </c>
      <c r="AF535" s="4" t="s">
        <v>589</v>
      </c>
      <c r="AG535" s="115">
        <f>+VLOOKUP(Y535,B:O,8,FALSE)/1000</f>
        <v>8.8755524756250009E-2</v>
      </c>
      <c r="AI535" s="158"/>
    </row>
    <row r="536" spans="23:35">
      <c r="W536" s="4" t="s">
        <v>585</v>
      </c>
      <c r="X536" s="4" t="s">
        <v>3362</v>
      </c>
      <c r="Y536" s="151" t="str">
        <f t="shared" si="48"/>
        <v>E5640</v>
      </c>
      <c r="Z536" s="4" t="s">
        <v>587</v>
      </c>
      <c r="AA536" s="114" t="s">
        <v>588</v>
      </c>
      <c r="AB536" s="4" t="s">
        <v>506</v>
      </c>
      <c r="AC536" s="4" t="s">
        <v>507</v>
      </c>
      <c r="AD536" s="4" t="s">
        <v>508</v>
      </c>
      <c r="AE536" s="4" t="s">
        <v>509</v>
      </c>
      <c r="AF536" s="4" t="s">
        <v>589</v>
      </c>
      <c r="AG536" s="115">
        <f>+VLOOKUP(Y536,B:O,9,FALSE)/1000</f>
        <v>8.8755524756250009E-2</v>
      </c>
      <c r="AI536" s="158"/>
    </row>
    <row r="537" spans="23:35">
      <c r="W537" s="4" t="s">
        <v>585</v>
      </c>
      <c r="X537" s="4" t="s">
        <v>3363</v>
      </c>
      <c r="Y537" s="151" t="str">
        <f t="shared" si="48"/>
        <v>E5640</v>
      </c>
      <c r="Z537" s="4" t="s">
        <v>587</v>
      </c>
      <c r="AA537" s="114" t="s">
        <v>588</v>
      </c>
      <c r="AB537" s="4" t="s">
        <v>506</v>
      </c>
      <c r="AC537" s="4" t="s">
        <v>507</v>
      </c>
      <c r="AD537" s="4" t="s">
        <v>508</v>
      </c>
      <c r="AE537" s="4" t="s">
        <v>509</v>
      </c>
      <c r="AF537" s="4" t="s">
        <v>589</v>
      </c>
      <c r="AG537" s="115">
        <f>+VLOOKUP(Y537,B:O,10,FALSE)/1000</f>
        <v>8.8755524756250009E-2</v>
      </c>
      <c r="AI537" s="158"/>
    </row>
    <row r="538" spans="23:35">
      <c r="W538" s="4" t="s">
        <v>585</v>
      </c>
      <c r="X538" s="4" t="s">
        <v>3364</v>
      </c>
      <c r="Y538" s="151" t="str">
        <f t="shared" si="48"/>
        <v>E5640</v>
      </c>
      <c r="Z538" s="4" t="s">
        <v>587</v>
      </c>
      <c r="AA538" s="114" t="s">
        <v>588</v>
      </c>
      <c r="AB538" s="4" t="s">
        <v>506</v>
      </c>
      <c r="AC538" s="4" t="s">
        <v>507</v>
      </c>
      <c r="AD538" s="4" t="s">
        <v>508</v>
      </c>
      <c r="AE538" s="4" t="s">
        <v>509</v>
      </c>
      <c r="AF538" s="4" t="s">
        <v>589</v>
      </c>
      <c r="AG538" s="115">
        <f>+VLOOKUP(Y538,B:O,11,FALSE)/1000</f>
        <v>8.8755524756250009E-2</v>
      </c>
      <c r="AI538" s="158"/>
    </row>
    <row r="539" spans="23:35">
      <c r="W539" s="4" t="s">
        <v>585</v>
      </c>
      <c r="X539" s="4" t="s">
        <v>3365</v>
      </c>
      <c r="Y539" s="151" t="str">
        <f t="shared" si="48"/>
        <v>E5640</v>
      </c>
      <c r="Z539" s="4" t="s">
        <v>587</v>
      </c>
      <c r="AA539" s="114" t="s">
        <v>588</v>
      </c>
      <c r="AB539" s="4" t="s">
        <v>506</v>
      </c>
      <c r="AC539" s="4" t="s">
        <v>507</v>
      </c>
      <c r="AD539" s="4" t="s">
        <v>508</v>
      </c>
      <c r="AE539" s="4" t="s">
        <v>509</v>
      </c>
      <c r="AF539" s="4" t="s">
        <v>589</v>
      </c>
      <c r="AG539" s="115">
        <f>+VLOOKUP(Y539,B:O,12,FALSE)/1000</f>
        <v>8.8755524756250009E-2</v>
      </c>
      <c r="AI539" s="158"/>
    </row>
    <row r="540" spans="23:35">
      <c r="W540" s="4" t="s">
        <v>585</v>
      </c>
      <c r="X540" s="4" t="s">
        <v>3366</v>
      </c>
      <c r="Y540" s="151" t="str">
        <f t="shared" si="48"/>
        <v>E5640</v>
      </c>
      <c r="Z540" s="4" t="s">
        <v>587</v>
      </c>
      <c r="AA540" s="114" t="s">
        <v>588</v>
      </c>
      <c r="AB540" s="4" t="s">
        <v>506</v>
      </c>
      <c r="AC540" s="4" t="s">
        <v>507</v>
      </c>
      <c r="AD540" s="4" t="s">
        <v>508</v>
      </c>
      <c r="AE540" s="4" t="s">
        <v>509</v>
      </c>
      <c r="AF540" s="4" t="s">
        <v>589</v>
      </c>
      <c r="AG540" s="115">
        <f>+VLOOKUP(Y540,B:O,13,FALSE)/1000</f>
        <v>9.0796901825643761E-2</v>
      </c>
      <c r="AI540" s="158"/>
    </row>
    <row r="541" spans="23:35">
      <c r="W541" s="4" t="s">
        <v>585</v>
      </c>
      <c r="X541" s="4" t="s">
        <v>3367</v>
      </c>
      <c r="Y541" s="151" t="str">
        <f t="shared" si="48"/>
        <v>E5640</v>
      </c>
      <c r="Z541" s="4" t="s">
        <v>587</v>
      </c>
      <c r="AA541" s="114" t="s">
        <v>588</v>
      </c>
      <c r="AB541" s="4" t="s">
        <v>506</v>
      </c>
      <c r="AC541" s="4" t="s">
        <v>507</v>
      </c>
      <c r="AD541" s="4" t="s">
        <v>508</v>
      </c>
      <c r="AE541" s="4" t="s">
        <v>509</v>
      </c>
      <c r="AF541" s="4" t="s">
        <v>589</v>
      </c>
      <c r="AG541" s="115">
        <f>+VLOOKUP(Y541,B:O,14,FALSE)/1000</f>
        <v>9.0796901825643761E-2</v>
      </c>
      <c r="AI541" s="158"/>
    </row>
    <row r="542" spans="23:35">
      <c r="W542" s="4" t="s">
        <v>585</v>
      </c>
      <c r="X542" s="3" t="s">
        <v>3356</v>
      </c>
      <c r="Y542" s="150" t="str">
        <f>INDEX($B$3:$O$110,68,1)</f>
        <v>E5650</v>
      </c>
      <c r="Z542" s="4" t="s">
        <v>587</v>
      </c>
      <c r="AA542" s="114" t="s">
        <v>588</v>
      </c>
      <c r="AB542" s="4" t="s">
        <v>506</v>
      </c>
      <c r="AC542" s="4" t="s">
        <v>507</v>
      </c>
      <c r="AD542" s="4" t="s">
        <v>508</v>
      </c>
      <c r="AE542" s="4" t="s">
        <v>509</v>
      </c>
      <c r="AF542" s="4" t="s">
        <v>589</v>
      </c>
      <c r="AG542" s="115">
        <f>+VLOOKUP(Y542,B:O,3,FALSE)/1000</f>
        <v>7.936E-2</v>
      </c>
      <c r="AI542" s="158"/>
    </row>
    <row r="543" spans="23:35">
      <c r="W543" s="4" t="s">
        <v>585</v>
      </c>
      <c r="X543" s="4" t="s">
        <v>3357</v>
      </c>
      <c r="Y543" s="151" t="str">
        <f>Y542</f>
        <v>E5650</v>
      </c>
      <c r="Z543" s="4" t="s">
        <v>587</v>
      </c>
      <c r="AA543" s="114" t="s">
        <v>588</v>
      </c>
      <c r="AB543" s="4" t="s">
        <v>506</v>
      </c>
      <c r="AC543" s="4" t="s">
        <v>507</v>
      </c>
      <c r="AD543" s="4" t="s">
        <v>508</v>
      </c>
      <c r="AE543" s="4" t="s">
        <v>509</v>
      </c>
      <c r="AF543" s="4" t="s">
        <v>589</v>
      </c>
      <c r="AG543" s="115">
        <f>+VLOOKUP(Y543,B:O,4,FALSE)/1000</f>
        <v>8.0329999999999999E-2</v>
      </c>
      <c r="AI543" s="158"/>
    </row>
    <row r="544" spans="23:35">
      <c r="W544" s="4" t="s">
        <v>585</v>
      </c>
      <c r="X544" s="4" t="s">
        <v>3358</v>
      </c>
      <c r="Y544" s="151" t="str">
        <f t="shared" ref="Y544:Y553" si="49">Y543</f>
        <v>E5650</v>
      </c>
      <c r="Z544" s="4" t="s">
        <v>587</v>
      </c>
      <c r="AA544" s="114" t="s">
        <v>588</v>
      </c>
      <c r="AB544" s="4" t="s">
        <v>506</v>
      </c>
      <c r="AC544" s="4" t="s">
        <v>507</v>
      </c>
      <c r="AD544" s="4" t="s">
        <v>508</v>
      </c>
      <c r="AE544" s="4" t="s">
        <v>509</v>
      </c>
      <c r="AF544" s="4" t="s">
        <v>589</v>
      </c>
      <c r="AG544" s="115">
        <f>+VLOOKUP(Y544,B:O,5,FALSE)/1000</f>
        <v>6.8110000000000004E-2</v>
      </c>
      <c r="AI544" s="158"/>
    </row>
    <row r="545" spans="23:35">
      <c r="W545" s="4" t="s">
        <v>585</v>
      </c>
      <c r="X545" s="4" t="s">
        <v>3359</v>
      </c>
      <c r="Y545" s="151" t="str">
        <f t="shared" si="49"/>
        <v>E5650</v>
      </c>
      <c r="Z545" s="4" t="s">
        <v>587</v>
      </c>
      <c r="AA545" s="114" t="s">
        <v>588</v>
      </c>
      <c r="AB545" s="4" t="s">
        <v>506</v>
      </c>
      <c r="AC545" s="4" t="s">
        <v>507</v>
      </c>
      <c r="AD545" s="4" t="s">
        <v>508</v>
      </c>
      <c r="AE545" s="4" t="s">
        <v>509</v>
      </c>
      <c r="AF545" s="4" t="s">
        <v>589</v>
      </c>
      <c r="AG545" s="115">
        <f>+VLOOKUP(Y545,B:O,6,FALSE)/1000</f>
        <v>5.3719999999999997E-2</v>
      </c>
      <c r="AI545" s="158"/>
    </row>
    <row r="546" spans="23:35">
      <c r="W546" s="4" t="s">
        <v>585</v>
      </c>
      <c r="X546" s="4" t="s">
        <v>3360</v>
      </c>
      <c r="Y546" s="151" t="str">
        <f t="shared" si="49"/>
        <v>E5650</v>
      </c>
      <c r="Z546" s="4" t="s">
        <v>587</v>
      </c>
      <c r="AA546" s="114" t="s">
        <v>588</v>
      </c>
      <c r="AB546" s="4" t="s">
        <v>506</v>
      </c>
      <c r="AC546" s="4" t="s">
        <v>507</v>
      </c>
      <c r="AD546" s="4" t="s">
        <v>508</v>
      </c>
      <c r="AE546" s="4" t="s">
        <v>509</v>
      </c>
      <c r="AF546" s="4" t="s">
        <v>589</v>
      </c>
      <c r="AG546" s="115">
        <f>+VLOOKUP(Y546,B:O,7,FALSE)/1000</f>
        <v>4.4400000000000002E-2</v>
      </c>
      <c r="AI546" s="158"/>
    </row>
    <row r="547" spans="23:35">
      <c r="W547" s="4" t="s">
        <v>585</v>
      </c>
      <c r="X547" s="4" t="s">
        <v>3361</v>
      </c>
      <c r="Y547" s="151" t="str">
        <f t="shared" si="49"/>
        <v>E5650</v>
      </c>
      <c r="Z547" s="4" t="s">
        <v>587</v>
      </c>
      <c r="AA547" s="114" t="s">
        <v>588</v>
      </c>
      <c r="AB547" s="4" t="s">
        <v>506</v>
      </c>
      <c r="AC547" s="4" t="s">
        <v>507</v>
      </c>
      <c r="AD547" s="4" t="s">
        <v>508</v>
      </c>
      <c r="AE547" s="4" t="s">
        <v>509</v>
      </c>
      <c r="AF547" s="4" t="s">
        <v>589</v>
      </c>
      <c r="AG547" s="115">
        <f>+VLOOKUP(Y547,B:O,8,FALSE)/1000</f>
        <v>4.9550000000000004E-2</v>
      </c>
      <c r="AI547" s="158"/>
    </row>
    <row r="548" spans="23:35">
      <c r="W548" s="4" t="s">
        <v>585</v>
      </c>
      <c r="X548" s="4" t="s">
        <v>3362</v>
      </c>
      <c r="Y548" s="151" t="str">
        <f t="shared" si="49"/>
        <v>E5650</v>
      </c>
      <c r="Z548" s="4" t="s">
        <v>587</v>
      </c>
      <c r="AA548" s="114" t="s">
        <v>588</v>
      </c>
      <c r="AB548" s="4" t="s">
        <v>506</v>
      </c>
      <c r="AC548" s="4" t="s">
        <v>507</v>
      </c>
      <c r="AD548" s="4" t="s">
        <v>508</v>
      </c>
      <c r="AE548" s="4" t="s">
        <v>509</v>
      </c>
      <c r="AF548" s="4" t="s">
        <v>589</v>
      </c>
      <c r="AG548" s="115">
        <f>+VLOOKUP(Y548,B:O,9,FALSE)/1000</f>
        <v>5.1609999999999996E-2</v>
      </c>
      <c r="AI548" s="158"/>
    </row>
    <row r="549" spans="23:35">
      <c r="W549" s="4" t="s">
        <v>585</v>
      </c>
      <c r="X549" s="4" t="s">
        <v>3363</v>
      </c>
      <c r="Y549" s="151" t="str">
        <f t="shared" si="49"/>
        <v>E5650</v>
      </c>
      <c r="Z549" s="4" t="s">
        <v>587</v>
      </c>
      <c r="AA549" s="114" t="s">
        <v>588</v>
      </c>
      <c r="AB549" s="4" t="s">
        <v>506</v>
      </c>
      <c r="AC549" s="4" t="s">
        <v>507</v>
      </c>
      <c r="AD549" s="4" t="s">
        <v>508</v>
      </c>
      <c r="AE549" s="4" t="s">
        <v>509</v>
      </c>
      <c r="AF549" s="4" t="s">
        <v>589</v>
      </c>
      <c r="AG549" s="115">
        <f>+VLOOKUP(Y549,B:O,10,FALSE)/1000</f>
        <v>4.7890000000000002E-2</v>
      </c>
      <c r="AI549" s="158"/>
    </row>
    <row r="550" spans="23:35">
      <c r="W550" s="4" t="s">
        <v>585</v>
      </c>
      <c r="X550" s="4" t="s">
        <v>3364</v>
      </c>
      <c r="Y550" s="151" t="str">
        <f t="shared" si="49"/>
        <v>E5650</v>
      </c>
      <c r="Z550" s="4" t="s">
        <v>587</v>
      </c>
      <c r="AA550" s="114" t="s">
        <v>588</v>
      </c>
      <c r="AB550" s="4" t="s">
        <v>506</v>
      </c>
      <c r="AC550" s="4" t="s">
        <v>507</v>
      </c>
      <c r="AD550" s="4" t="s">
        <v>508</v>
      </c>
      <c r="AE550" s="4" t="s">
        <v>509</v>
      </c>
      <c r="AF550" s="4" t="s">
        <v>589</v>
      </c>
      <c r="AG550" s="115">
        <f>+VLOOKUP(Y550,B:O,11,FALSE)/1000</f>
        <v>4.5770000000000005E-2</v>
      </c>
      <c r="AI550" s="158"/>
    </row>
    <row r="551" spans="23:35">
      <c r="W551" s="4" t="s">
        <v>585</v>
      </c>
      <c r="X551" s="4" t="s">
        <v>3365</v>
      </c>
      <c r="Y551" s="151" t="str">
        <f t="shared" si="49"/>
        <v>E5650</v>
      </c>
      <c r="Z551" s="4" t="s">
        <v>587</v>
      </c>
      <c r="AA551" s="114" t="s">
        <v>588</v>
      </c>
      <c r="AB551" s="4" t="s">
        <v>506</v>
      </c>
      <c r="AC551" s="4" t="s">
        <v>507</v>
      </c>
      <c r="AD551" s="4" t="s">
        <v>508</v>
      </c>
      <c r="AE551" s="4" t="s">
        <v>509</v>
      </c>
      <c r="AF551" s="4" t="s">
        <v>589</v>
      </c>
      <c r="AG551" s="115">
        <f>+VLOOKUP(Y551,B:O,12,FALSE)/1000</f>
        <v>4.4969999999999996E-2</v>
      </c>
      <c r="AI551" s="158"/>
    </row>
    <row r="552" spans="23:35">
      <c r="W552" s="4" t="s">
        <v>585</v>
      </c>
      <c r="X552" s="4" t="s">
        <v>3366</v>
      </c>
      <c r="Y552" s="151" t="str">
        <f t="shared" si="49"/>
        <v>E5650</v>
      </c>
      <c r="Z552" s="4" t="s">
        <v>587</v>
      </c>
      <c r="AA552" s="114" t="s">
        <v>588</v>
      </c>
      <c r="AB552" s="4" t="s">
        <v>506</v>
      </c>
      <c r="AC552" s="4" t="s">
        <v>507</v>
      </c>
      <c r="AD552" s="4" t="s">
        <v>508</v>
      </c>
      <c r="AE552" s="4" t="s">
        <v>509</v>
      </c>
      <c r="AF552" s="4" t="s">
        <v>589</v>
      </c>
      <c r="AG552" s="115">
        <f>+VLOOKUP(Y552,B:O,13,FALSE)/1000</f>
        <v>6.3759999999999997E-2</v>
      </c>
      <c r="AI552" s="158"/>
    </row>
    <row r="553" spans="23:35">
      <c r="W553" s="4" t="s">
        <v>585</v>
      </c>
      <c r="X553" s="4" t="s">
        <v>3367</v>
      </c>
      <c r="Y553" s="151" t="str">
        <f t="shared" si="49"/>
        <v>E5650</v>
      </c>
      <c r="Z553" s="4" t="s">
        <v>587</v>
      </c>
      <c r="AA553" s="114" t="s">
        <v>588</v>
      </c>
      <c r="AB553" s="4" t="s">
        <v>506</v>
      </c>
      <c r="AC553" s="4" t="s">
        <v>507</v>
      </c>
      <c r="AD553" s="4" t="s">
        <v>508</v>
      </c>
      <c r="AE553" s="4" t="s">
        <v>509</v>
      </c>
      <c r="AF553" s="4" t="s">
        <v>589</v>
      </c>
      <c r="AG553" s="115">
        <f>+VLOOKUP(Y553,B:O,14,FALSE)/1000</f>
        <v>7.5189999999999993E-2</v>
      </c>
      <c r="AI553" s="158"/>
    </row>
    <row r="554" spans="23:35">
      <c r="W554" s="4" t="s">
        <v>585</v>
      </c>
      <c r="X554" s="3" t="s">
        <v>3356</v>
      </c>
      <c r="Y554" s="150" t="str">
        <f>INDEX($B$3:$O$110,69,1)</f>
        <v>E5660</v>
      </c>
      <c r="Z554" s="4" t="s">
        <v>587</v>
      </c>
      <c r="AA554" s="114" t="s">
        <v>588</v>
      </c>
      <c r="AB554" s="4" t="s">
        <v>506</v>
      </c>
      <c r="AC554" s="4" t="s">
        <v>507</v>
      </c>
      <c r="AD554" s="4" t="s">
        <v>508</v>
      </c>
      <c r="AE554" s="4" t="s">
        <v>509</v>
      </c>
      <c r="AF554" s="4" t="s">
        <v>589</v>
      </c>
      <c r="AG554" s="115">
        <f>+VLOOKUP(Y554,B:O,3,FALSE)/1000</f>
        <v>8.0800000000000011E-2</v>
      </c>
      <c r="AI554" s="158"/>
    </row>
    <row r="555" spans="23:35">
      <c r="W555" s="4" t="s">
        <v>585</v>
      </c>
      <c r="X555" s="4" t="s">
        <v>3357</v>
      </c>
      <c r="Y555" s="151" t="str">
        <f>Y554</f>
        <v>E5660</v>
      </c>
      <c r="Z555" s="4" t="s">
        <v>587</v>
      </c>
      <c r="AA555" s="114" t="s">
        <v>588</v>
      </c>
      <c r="AB555" s="4" t="s">
        <v>506</v>
      </c>
      <c r="AC555" s="4" t="s">
        <v>507</v>
      </c>
      <c r="AD555" s="4" t="s">
        <v>508</v>
      </c>
      <c r="AE555" s="4" t="s">
        <v>509</v>
      </c>
      <c r="AF555" s="4" t="s">
        <v>589</v>
      </c>
      <c r="AG555" s="115">
        <f>+VLOOKUP(Y555,B:O,4,FALSE)/1000</f>
        <v>8.1770000000000009E-2</v>
      </c>
      <c r="AI555" s="158"/>
    </row>
    <row r="556" spans="23:35">
      <c r="W556" s="4" t="s">
        <v>585</v>
      </c>
      <c r="X556" s="4" t="s">
        <v>3358</v>
      </c>
      <c r="Y556" s="151" t="str">
        <f t="shared" ref="Y556:Y565" si="50">Y555</f>
        <v>E5660</v>
      </c>
      <c r="Z556" s="4" t="s">
        <v>587</v>
      </c>
      <c r="AA556" s="114" t="s">
        <v>588</v>
      </c>
      <c r="AB556" s="4" t="s">
        <v>506</v>
      </c>
      <c r="AC556" s="4" t="s">
        <v>507</v>
      </c>
      <c r="AD556" s="4" t="s">
        <v>508</v>
      </c>
      <c r="AE556" s="4" t="s">
        <v>509</v>
      </c>
      <c r="AF556" s="4" t="s">
        <v>589</v>
      </c>
      <c r="AG556" s="115">
        <f>+VLOOKUP(Y556,B:O,5,FALSE)/1000</f>
        <v>6.9550000000000015E-2</v>
      </c>
      <c r="AI556" s="158"/>
    </row>
    <row r="557" spans="23:35">
      <c r="W557" s="4" t="s">
        <v>585</v>
      </c>
      <c r="X557" s="4" t="s">
        <v>3359</v>
      </c>
      <c r="Y557" s="151" t="str">
        <f t="shared" si="50"/>
        <v>E5660</v>
      </c>
      <c r="Z557" s="4" t="s">
        <v>587</v>
      </c>
      <c r="AA557" s="114" t="s">
        <v>588</v>
      </c>
      <c r="AB557" s="4" t="s">
        <v>506</v>
      </c>
      <c r="AC557" s="4" t="s">
        <v>507</v>
      </c>
      <c r="AD557" s="4" t="s">
        <v>508</v>
      </c>
      <c r="AE557" s="4" t="s">
        <v>509</v>
      </c>
      <c r="AF557" s="4" t="s">
        <v>589</v>
      </c>
      <c r="AG557" s="115">
        <f>+VLOOKUP(Y557,B:O,6,FALSE)/1000</f>
        <v>5.5159999999999994E-2</v>
      </c>
      <c r="AI557" s="158"/>
    </row>
    <row r="558" spans="23:35">
      <c r="W558" s="4" t="s">
        <v>585</v>
      </c>
      <c r="X558" s="4" t="s">
        <v>3360</v>
      </c>
      <c r="Y558" s="151" t="str">
        <f t="shared" si="50"/>
        <v>E5660</v>
      </c>
      <c r="Z558" s="4" t="s">
        <v>587</v>
      </c>
      <c r="AA558" s="114" t="s">
        <v>588</v>
      </c>
      <c r="AB558" s="4" t="s">
        <v>506</v>
      </c>
      <c r="AC558" s="4" t="s">
        <v>507</v>
      </c>
      <c r="AD558" s="4" t="s">
        <v>508</v>
      </c>
      <c r="AE558" s="4" t="s">
        <v>509</v>
      </c>
      <c r="AF558" s="4" t="s">
        <v>589</v>
      </c>
      <c r="AG558" s="115">
        <f>+VLOOKUP(Y558,B:O,7,FALSE)/1000</f>
        <v>4.5839999999999999E-2</v>
      </c>
      <c r="AI558" s="158"/>
    </row>
    <row r="559" spans="23:35">
      <c r="W559" s="4" t="s">
        <v>585</v>
      </c>
      <c r="X559" s="4" t="s">
        <v>3361</v>
      </c>
      <c r="Y559" s="151" t="str">
        <f t="shared" si="50"/>
        <v>E5660</v>
      </c>
      <c r="Z559" s="4" t="s">
        <v>587</v>
      </c>
      <c r="AA559" s="114" t="s">
        <v>588</v>
      </c>
      <c r="AB559" s="4" t="s">
        <v>506</v>
      </c>
      <c r="AC559" s="4" t="s">
        <v>507</v>
      </c>
      <c r="AD559" s="4" t="s">
        <v>508</v>
      </c>
      <c r="AE559" s="4" t="s">
        <v>509</v>
      </c>
      <c r="AF559" s="4" t="s">
        <v>589</v>
      </c>
      <c r="AG559" s="115">
        <f>+VLOOKUP(Y559,B:O,8,FALSE)/1000</f>
        <v>5.0990000000000001E-2</v>
      </c>
      <c r="AI559" s="158"/>
    </row>
    <row r="560" spans="23:35">
      <c r="W560" s="4" t="s">
        <v>585</v>
      </c>
      <c r="X560" s="4" t="s">
        <v>3362</v>
      </c>
      <c r="Y560" s="151" t="str">
        <f t="shared" si="50"/>
        <v>E5660</v>
      </c>
      <c r="Z560" s="4" t="s">
        <v>587</v>
      </c>
      <c r="AA560" s="114" t="s">
        <v>588</v>
      </c>
      <c r="AB560" s="4" t="s">
        <v>506</v>
      </c>
      <c r="AC560" s="4" t="s">
        <v>507</v>
      </c>
      <c r="AD560" s="4" t="s">
        <v>508</v>
      </c>
      <c r="AE560" s="4" t="s">
        <v>509</v>
      </c>
      <c r="AF560" s="4" t="s">
        <v>589</v>
      </c>
      <c r="AG560" s="115">
        <f>+VLOOKUP(Y560,B:O,9,FALSE)/1000</f>
        <v>5.305E-2</v>
      </c>
      <c r="AI560" s="158"/>
    </row>
    <row r="561" spans="23:35">
      <c r="W561" s="4" t="s">
        <v>585</v>
      </c>
      <c r="X561" s="4" t="s">
        <v>3363</v>
      </c>
      <c r="Y561" s="151" t="str">
        <f t="shared" si="50"/>
        <v>E5660</v>
      </c>
      <c r="Z561" s="4" t="s">
        <v>587</v>
      </c>
      <c r="AA561" s="114" t="s">
        <v>588</v>
      </c>
      <c r="AB561" s="4" t="s">
        <v>506</v>
      </c>
      <c r="AC561" s="4" t="s">
        <v>507</v>
      </c>
      <c r="AD561" s="4" t="s">
        <v>508</v>
      </c>
      <c r="AE561" s="4" t="s">
        <v>509</v>
      </c>
      <c r="AF561" s="4" t="s">
        <v>589</v>
      </c>
      <c r="AG561" s="115">
        <f>+VLOOKUP(Y561,B:O,10,FALSE)/1000</f>
        <v>4.9329999999999999E-2</v>
      </c>
      <c r="AI561" s="158"/>
    </row>
    <row r="562" spans="23:35">
      <c r="W562" s="4" t="s">
        <v>585</v>
      </c>
      <c r="X562" s="4" t="s">
        <v>3364</v>
      </c>
      <c r="Y562" s="151" t="str">
        <f t="shared" si="50"/>
        <v>E5660</v>
      </c>
      <c r="Z562" s="4" t="s">
        <v>587</v>
      </c>
      <c r="AA562" s="114" t="s">
        <v>588</v>
      </c>
      <c r="AB562" s="4" t="s">
        <v>506</v>
      </c>
      <c r="AC562" s="4" t="s">
        <v>507</v>
      </c>
      <c r="AD562" s="4" t="s">
        <v>508</v>
      </c>
      <c r="AE562" s="4" t="s">
        <v>509</v>
      </c>
      <c r="AF562" s="4" t="s">
        <v>589</v>
      </c>
      <c r="AG562" s="115">
        <f>+VLOOKUP(Y562,B:O,11,FALSE)/1000</f>
        <v>4.7210000000000002E-2</v>
      </c>
      <c r="AI562" s="158"/>
    </row>
    <row r="563" spans="23:35">
      <c r="W563" s="4" t="s">
        <v>585</v>
      </c>
      <c r="X563" s="4" t="s">
        <v>3365</v>
      </c>
      <c r="Y563" s="151" t="str">
        <f t="shared" si="50"/>
        <v>E5660</v>
      </c>
      <c r="Z563" s="4" t="s">
        <v>587</v>
      </c>
      <c r="AA563" s="114" t="s">
        <v>588</v>
      </c>
      <c r="AB563" s="4" t="s">
        <v>506</v>
      </c>
      <c r="AC563" s="4" t="s">
        <v>507</v>
      </c>
      <c r="AD563" s="4" t="s">
        <v>508</v>
      </c>
      <c r="AE563" s="4" t="s">
        <v>509</v>
      </c>
      <c r="AF563" s="4" t="s">
        <v>589</v>
      </c>
      <c r="AG563" s="115">
        <f>+VLOOKUP(Y563,B:O,12,FALSE)/1000</f>
        <v>4.641E-2</v>
      </c>
      <c r="AI563" s="158"/>
    </row>
    <row r="564" spans="23:35">
      <c r="W564" s="4" t="s">
        <v>585</v>
      </c>
      <c r="X564" s="4" t="s">
        <v>3366</v>
      </c>
      <c r="Y564" s="151" t="str">
        <f t="shared" si="50"/>
        <v>E5660</v>
      </c>
      <c r="Z564" s="4" t="s">
        <v>587</v>
      </c>
      <c r="AA564" s="114" t="s">
        <v>588</v>
      </c>
      <c r="AB564" s="4" t="s">
        <v>506</v>
      </c>
      <c r="AC564" s="4" t="s">
        <v>507</v>
      </c>
      <c r="AD564" s="4" t="s">
        <v>508</v>
      </c>
      <c r="AE564" s="4" t="s">
        <v>509</v>
      </c>
      <c r="AF564" s="4" t="s">
        <v>589</v>
      </c>
      <c r="AG564" s="115">
        <f>+VLOOKUP(Y564,B:O,13,FALSE)/1000</f>
        <v>6.5200000000000008E-2</v>
      </c>
      <c r="AI564" s="158"/>
    </row>
    <row r="565" spans="23:35">
      <c r="W565" s="4" t="s">
        <v>585</v>
      </c>
      <c r="X565" s="4" t="s">
        <v>3367</v>
      </c>
      <c r="Y565" s="151" t="str">
        <f t="shared" si="50"/>
        <v>E5660</v>
      </c>
      <c r="Z565" s="4" t="s">
        <v>587</v>
      </c>
      <c r="AA565" s="114" t="s">
        <v>588</v>
      </c>
      <c r="AB565" s="4" t="s">
        <v>506</v>
      </c>
      <c r="AC565" s="4" t="s">
        <v>507</v>
      </c>
      <c r="AD565" s="4" t="s">
        <v>508</v>
      </c>
      <c r="AE565" s="4" t="s">
        <v>509</v>
      </c>
      <c r="AF565" s="4" t="s">
        <v>589</v>
      </c>
      <c r="AG565" s="115">
        <f>+VLOOKUP(Y565,B:O,14,FALSE)/1000</f>
        <v>7.6630000000000004E-2</v>
      </c>
      <c r="AI565" s="158"/>
    </row>
    <row r="566" spans="23:35">
      <c r="W566" s="4" t="s">
        <v>585</v>
      </c>
      <c r="X566" s="3" t="s">
        <v>3356</v>
      </c>
      <c r="Y566" s="150" t="str">
        <f>INDEX($B$3:$O$110,70,1)</f>
        <v>E5690</v>
      </c>
      <c r="Z566" s="4" t="s">
        <v>587</v>
      </c>
      <c r="AA566" s="114" t="s">
        <v>588</v>
      </c>
      <c r="AB566" s="4" t="s">
        <v>506</v>
      </c>
      <c r="AC566" s="4" t="s">
        <v>507</v>
      </c>
      <c r="AD566" s="4" t="s">
        <v>508</v>
      </c>
      <c r="AE566" s="4" t="s">
        <v>509</v>
      </c>
      <c r="AF566" s="4" t="s">
        <v>589</v>
      </c>
      <c r="AG566" s="115">
        <f>+VLOOKUP(Y566,B:O,3,FALSE)/1000</f>
        <v>8.8683895317111419E-2</v>
      </c>
      <c r="AI566" s="158"/>
    </row>
    <row r="567" spans="23:35">
      <c r="W567" s="4" t="s">
        <v>585</v>
      </c>
      <c r="X567" s="4" t="s">
        <v>3357</v>
      </c>
      <c r="Y567" s="151" t="str">
        <f>Y566</f>
        <v>E5690</v>
      </c>
      <c r="Z567" s="4" t="s">
        <v>587</v>
      </c>
      <c r="AA567" s="114" t="s">
        <v>588</v>
      </c>
      <c r="AB567" s="4" t="s">
        <v>506</v>
      </c>
      <c r="AC567" s="4" t="s">
        <v>507</v>
      </c>
      <c r="AD567" s="4" t="s">
        <v>508</v>
      </c>
      <c r="AE567" s="4" t="s">
        <v>509</v>
      </c>
      <c r="AF567" s="4" t="s">
        <v>589</v>
      </c>
      <c r="AG567" s="115">
        <f>+VLOOKUP(Y567,B:O,4,FALSE)/1000</f>
        <v>8.8683895317111419E-2</v>
      </c>
      <c r="AI567" s="158"/>
    </row>
    <row r="568" spans="23:35">
      <c r="W568" s="4" t="s">
        <v>585</v>
      </c>
      <c r="X568" s="4" t="s">
        <v>3358</v>
      </c>
      <c r="Y568" s="151" t="str">
        <f t="shared" ref="Y568:Y577" si="51">Y567</f>
        <v>E5690</v>
      </c>
      <c r="Z568" s="4" t="s">
        <v>587</v>
      </c>
      <c r="AA568" s="114" t="s">
        <v>588</v>
      </c>
      <c r="AB568" s="4" t="s">
        <v>506</v>
      </c>
      <c r="AC568" s="4" t="s">
        <v>507</v>
      </c>
      <c r="AD568" s="4" t="s">
        <v>508</v>
      </c>
      <c r="AE568" s="4" t="s">
        <v>509</v>
      </c>
      <c r="AF568" s="4" t="s">
        <v>589</v>
      </c>
      <c r="AG568" s="115">
        <f>+VLOOKUP(Y568,B:O,5,FALSE)/1000</f>
        <v>8.8683895317111419E-2</v>
      </c>
      <c r="AI568" s="158"/>
    </row>
    <row r="569" spans="23:35">
      <c r="W569" s="4" t="s">
        <v>585</v>
      </c>
      <c r="X569" s="4" t="s">
        <v>3359</v>
      </c>
      <c r="Y569" s="151" t="str">
        <f t="shared" si="51"/>
        <v>E5690</v>
      </c>
      <c r="Z569" s="4" t="s">
        <v>587</v>
      </c>
      <c r="AA569" s="114" t="s">
        <v>588</v>
      </c>
      <c r="AB569" s="4" t="s">
        <v>506</v>
      </c>
      <c r="AC569" s="4" t="s">
        <v>507</v>
      </c>
      <c r="AD569" s="4" t="s">
        <v>508</v>
      </c>
      <c r="AE569" s="4" t="s">
        <v>509</v>
      </c>
      <c r="AF569" s="4" t="s">
        <v>589</v>
      </c>
      <c r="AG569" s="115">
        <f>+VLOOKUP(Y569,B:O,6,FALSE)/1000</f>
        <v>8.8683895317111419E-2</v>
      </c>
      <c r="AI569" s="158"/>
    </row>
    <row r="570" spans="23:35">
      <c r="W570" s="4" t="s">
        <v>585</v>
      </c>
      <c r="X570" s="4" t="s">
        <v>3360</v>
      </c>
      <c r="Y570" s="151" t="str">
        <f t="shared" si="51"/>
        <v>E5690</v>
      </c>
      <c r="Z570" s="4" t="s">
        <v>587</v>
      </c>
      <c r="AA570" s="114" t="s">
        <v>588</v>
      </c>
      <c r="AB570" s="4" t="s">
        <v>506</v>
      </c>
      <c r="AC570" s="4" t="s">
        <v>507</v>
      </c>
      <c r="AD570" s="4" t="s">
        <v>508</v>
      </c>
      <c r="AE570" s="4" t="s">
        <v>509</v>
      </c>
      <c r="AF570" s="4" t="s">
        <v>589</v>
      </c>
      <c r="AG570" s="115">
        <f>+VLOOKUP(Y570,B:O,7,FALSE)/1000</f>
        <v>8.8683895317111419E-2</v>
      </c>
      <c r="AI570" s="158"/>
    </row>
    <row r="571" spans="23:35">
      <c r="W571" s="4" t="s">
        <v>585</v>
      </c>
      <c r="X571" s="4" t="s">
        <v>3361</v>
      </c>
      <c r="Y571" s="151" t="str">
        <f t="shared" si="51"/>
        <v>E5690</v>
      </c>
      <c r="Z571" s="4" t="s">
        <v>587</v>
      </c>
      <c r="AA571" s="114" t="s">
        <v>588</v>
      </c>
      <c r="AB571" s="4" t="s">
        <v>506</v>
      </c>
      <c r="AC571" s="4" t="s">
        <v>507</v>
      </c>
      <c r="AD571" s="4" t="s">
        <v>508</v>
      </c>
      <c r="AE571" s="4" t="s">
        <v>509</v>
      </c>
      <c r="AF571" s="4" t="s">
        <v>589</v>
      </c>
      <c r="AG571" s="115">
        <f>+VLOOKUP(Y571,B:O,8,FALSE)/1000</f>
        <v>8.8683895317111419E-2</v>
      </c>
      <c r="AI571" s="158"/>
    </row>
    <row r="572" spans="23:35">
      <c r="W572" s="4" t="s">
        <v>585</v>
      </c>
      <c r="X572" s="4" t="s">
        <v>3362</v>
      </c>
      <c r="Y572" s="151" t="str">
        <f t="shared" si="51"/>
        <v>E5690</v>
      </c>
      <c r="Z572" s="4" t="s">
        <v>587</v>
      </c>
      <c r="AA572" s="114" t="s">
        <v>588</v>
      </c>
      <c r="AB572" s="4" t="s">
        <v>506</v>
      </c>
      <c r="AC572" s="4" t="s">
        <v>507</v>
      </c>
      <c r="AD572" s="4" t="s">
        <v>508</v>
      </c>
      <c r="AE572" s="4" t="s">
        <v>509</v>
      </c>
      <c r="AF572" s="4" t="s">
        <v>589</v>
      </c>
      <c r="AG572" s="115">
        <f>+VLOOKUP(Y572,B:O,9,FALSE)/1000</f>
        <v>8.8683895317111419E-2</v>
      </c>
      <c r="AI572" s="158"/>
    </row>
    <row r="573" spans="23:35">
      <c r="W573" s="4" t="s">
        <v>585</v>
      </c>
      <c r="X573" s="4" t="s">
        <v>3363</v>
      </c>
      <c r="Y573" s="151" t="str">
        <f t="shared" si="51"/>
        <v>E5690</v>
      </c>
      <c r="Z573" s="4" t="s">
        <v>587</v>
      </c>
      <c r="AA573" s="114" t="s">
        <v>588</v>
      </c>
      <c r="AB573" s="4" t="s">
        <v>506</v>
      </c>
      <c r="AC573" s="4" t="s">
        <v>507</v>
      </c>
      <c r="AD573" s="4" t="s">
        <v>508</v>
      </c>
      <c r="AE573" s="4" t="s">
        <v>509</v>
      </c>
      <c r="AF573" s="4" t="s">
        <v>589</v>
      </c>
      <c r="AG573" s="115">
        <f>+VLOOKUP(Y573,B:O,10,FALSE)/1000</f>
        <v>8.8683895317111419E-2</v>
      </c>
      <c r="AI573" s="158"/>
    </row>
    <row r="574" spans="23:35">
      <c r="W574" s="4" t="s">
        <v>585</v>
      </c>
      <c r="X574" s="4" t="s">
        <v>3364</v>
      </c>
      <c r="Y574" s="151" t="str">
        <f t="shared" si="51"/>
        <v>E5690</v>
      </c>
      <c r="Z574" s="4" t="s">
        <v>587</v>
      </c>
      <c r="AA574" s="114" t="s">
        <v>588</v>
      </c>
      <c r="AB574" s="4" t="s">
        <v>506</v>
      </c>
      <c r="AC574" s="4" t="s">
        <v>507</v>
      </c>
      <c r="AD574" s="4" t="s">
        <v>508</v>
      </c>
      <c r="AE574" s="4" t="s">
        <v>509</v>
      </c>
      <c r="AF574" s="4" t="s">
        <v>589</v>
      </c>
      <c r="AG574" s="115">
        <f>+VLOOKUP(Y574,B:O,11,FALSE)/1000</f>
        <v>8.8683895317111419E-2</v>
      </c>
      <c r="AI574" s="158"/>
    </row>
    <row r="575" spans="23:35">
      <c r="W575" s="4" t="s">
        <v>585</v>
      </c>
      <c r="X575" s="4" t="s">
        <v>3365</v>
      </c>
      <c r="Y575" s="151" t="str">
        <f t="shared" si="51"/>
        <v>E5690</v>
      </c>
      <c r="Z575" s="4" t="s">
        <v>587</v>
      </c>
      <c r="AA575" s="114" t="s">
        <v>588</v>
      </c>
      <c r="AB575" s="4" t="s">
        <v>506</v>
      </c>
      <c r="AC575" s="4" t="s">
        <v>507</v>
      </c>
      <c r="AD575" s="4" t="s">
        <v>508</v>
      </c>
      <c r="AE575" s="4" t="s">
        <v>509</v>
      </c>
      <c r="AF575" s="4" t="s">
        <v>589</v>
      </c>
      <c r="AG575" s="115">
        <f>+VLOOKUP(Y575,B:O,12,FALSE)/1000</f>
        <v>8.8683895317111419E-2</v>
      </c>
      <c r="AI575" s="158"/>
    </row>
    <row r="576" spans="23:35">
      <c r="W576" s="4" t="s">
        <v>585</v>
      </c>
      <c r="X576" s="4" t="s">
        <v>3366</v>
      </c>
      <c r="Y576" s="151" t="str">
        <f t="shared" si="51"/>
        <v>E5690</v>
      </c>
      <c r="Z576" s="4" t="s">
        <v>587</v>
      </c>
      <c r="AA576" s="114" t="s">
        <v>588</v>
      </c>
      <c r="AB576" s="4" t="s">
        <v>506</v>
      </c>
      <c r="AC576" s="4" t="s">
        <v>507</v>
      </c>
      <c r="AD576" s="4" t="s">
        <v>508</v>
      </c>
      <c r="AE576" s="4" t="s">
        <v>509</v>
      </c>
      <c r="AF576" s="4" t="s">
        <v>589</v>
      </c>
      <c r="AG576" s="115">
        <f>+VLOOKUP(Y576,B:O,13,FALSE)/1000</f>
        <v>9.0723624909404985E-2</v>
      </c>
      <c r="AI576" s="158"/>
    </row>
    <row r="577" spans="23:35">
      <c r="W577" s="4" t="s">
        <v>585</v>
      </c>
      <c r="X577" s="4" t="s">
        <v>3367</v>
      </c>
      <c r="Y577" s="151" t="str">
        <f t="shared" si="51"/>
        <v>E5690</v>
      </c>
      <c r="Z577" s="4" t="s">
        <v>587</v>
      </c>
      <c r="AA577" s="114" t="s">
        <v>588</v>
      </c>
      <c r="AB577" s="4" t="s">
        <v>506</v>
      </c>
      <c r="AC577" s="4" t="s">
        <v>507</v>
      </c>
      <c r="AD577" s="4" t="s">
        <v>508</v>
      </c>
      <c r="AE577" s="4" t="s">
        <v>509</v>
      </c>
      <c r="AF577" s="4" t="s">
        <v>589</v>
      </c>
      <c r="AG577" s="115">
        <f>+VLOOKUP(Y577,B:O,14,FALSE)/1000</f>
        <v>9.0723624909404985E-2</v>
      </c>
      <c r="AI577" s="158"/>
    </row>
    <row r="578" spans="23:35">
      <c r="W578" s="4" t="s">
        <v>585</v>
      </c>
      <c r="X578" s="3" t="s">
        <v>3356</v>
      </c>
      <c r="Y578" s="150" t="str">
        <f>INDEX($B$3:$O$110,71,1)</f>
        <v>E5700</v>
      </c>
      <c r="Z578" s="4" t="s">
        <v>587</v>
      </c>
      <c r="AA578" s="114" t="s">
        <v>588</v>
      </c>
      <c r="AB578" s="4" t="s">
        <v>506</v>
      </c>
      <c r="AC578" s="4" t="s">
        <v>507</v>
      </c>
      <c r="AD578" s="4" t="s">
        <v>508</v>
      </c>
      <c r="AE578" s="4" t="s">
        <v>509</v>
      </c>
      <c r="AF578" s="4" t="s">
        <v>589</v>
      </c>
      <c r="AG578" s="115">
        <f>+VLOOKUP(Y578,B:O,3,FALSE)/1000</f>
        <v>8.5379553147915371E-2</v>
      </c>
      <c r="AI578" s="158"/>
    </row>
    <row r="579" spans="23:35">
      <c r="W579" s="4" t="s">
        <v>585</v>
      </c>
      <c r="X579" s="4" t="s">
        <v>3357</v>
      </c>
      <c r="Y579" s="151" t="str">
        <f>Y578</f>
        <v>E5700</v>
      </c>
      <c r="Z579" s="4" t="s">
        <v>587</v>
      </c>
      <c r="AA579" s="114" t="s">
        <v>588</v>
      </c>
      <c r="AB579" s="4" t="s">
        <v>506</v>
      </c>
      <c r="AC579" s="4" t="s">
        <v>507</v>
      </c>
      <c r="AD579" s="4" t="s">
        <v>508</v>
      </c>
      <c r="AE579" s="4" t="s">
        <v>509</v>
      </c>
      <c r="AF579" s="4" t="s">
        <v>589</v>
      </c>
      <c r="AG579" s="115">
        <f>+VLOOKUP(Y579,B:O,4,FALSE)/1000</f>
        <v>8.5379553147915371E-2</v>
      </c>
      <c r="AI579" s="158"/>
    </row>
    <row r="580" spans="23:35">
      <c r="W580" s="4" t="s">
        <v>585</v>
      </c>
      <c r="X580" s="4" t="s">
        <v>3358</v>
      </c>
      <c r="Y580" s="151" t="str">
        <f t="shared" ref="Y580:Y589" si="52">Y579</f>
        <v>E5700</v>
      </c>
      <c r="Z580" s="4" t="s">
        <v>587</v>
      </c>
      <c r="AA580" s="114" t="s">
        <v>588</v>
      </c>
      <c r="AB580" s="4" t="s">
        <v>506</v>
      </c>
      <c r="AC580" s="4" t="s">
        <v>507</v>
      </c>
      <c r="AD580" s="4" t="s">
        <v>508</v>
      </c>
      <c r="AE580" s="4" t="s">
        <v>509</v>
      </c>
      <c r="AF580" s="4" t="s">
        <v>589</v>
      </c>
      <c r="AG580" s="115">
        <f>+VLOOKUP(Y580,B:O,5,FALSE)/1000</f>
        <v>8.5379553147915371E-2</v>
      </c>
      <c r="AI580" s="158"/>
    </row>
    <row r="581" spans="23:35">
      <c r="W581" s="4" t="s">
        <v>585</v>
      </c>
      <c r="X581" s="4" t="s">
        <v>3359</v>
      </c>
      <c r="Y581" s="151" t="str">
        <f t="shared" si="52"/>
        <v>E5700</v>
      </c>
      <c r="Z581" s="4" t="s">
        <v>587</v>
      </c>
      <c r="AA581" s="114" t="s">
        <v>588</v>
      </c>
      <c r="AB581" s="4" t="s">
        <v>506</v>
      </c>
      <c r="AC581" s="4" t="s">
        <v>507</v>
      </c>
      <c r="AD581" s="4" t="s">
        <v>508</v>
      </c>
      <c r="AE581" s="4" t="s">
        <v>509</v>
      </c>
      <c r="AF581" s="4" t="s">
        <v>589</v>
      </c>
      <c r="AG581" s="115">
        <f>+VLOOKUP(Y581,B:O,6,FALSE)/1000</f>
        <v>8.5379553147915371E-2</v>
      </c>
      <c r="AI581" s="158"/>
    </row>
    <row r="582" spans="23:35">
      <c r="W582" s="4" t="s">
        <v>585</v>
      </c>
      <c r="X582" s="4" t="s">
        <v>3360</v>
      </c>
      <c r="Y582" s="151" t="str">
        <f t="shared" si="52"/>
        <v>E5700</v>
      </c>
      <c r="Z582" s="4" t="s">
        <v>587</v>
      </c>
      <c r="AA582" s="114" t="s">
        <v>588</v>
      </c>
      <c r="AB582" s="4" t="s">
        <v>506</v>
      </c>
      <c r="AC582" s="4" t="s">
        <v>507</v>
      </c>
      <c r="AD582" s="4" t="s">
        <v>508</v>
      </c>
      <c r="AE582" s="4" t="s">
        <v>509</v>
      </c>
      <c r="AF582" s="4" t="s">
        <v>589</v>
      </c>
      <c r="AG582" s="115">
        <f>+VLOOKUP(Y582,B:O,7,FALSE)/1000</f>
        <v>8.5379553147915371E-2</v>
      </c>
      <c r="AI582" s="158"/>
    </row>
    <row r="583" spans="23:35">
      <c r="W583" s="4" t="s">
        <v>585</v>
      </c>
      <c r="X583" s="4" t="s">
        <v>3361</v>
      </c>
      <c r="Y583" s="151" t="str">
        <f t="shared" si="52"/>
        <v>E5700</v>
      </c>
      <c r="Z583" s="4" t="s">
        <v>587</v>
      </c>
      <c r="AA583" s="114" t="s">
        <v>588</v>
      </c>
      <c r="AB583" s="4" t="s">
        <v>506</v>
      </c>
      <c r="AC583" s="4" t="s">
        <v>507</v>
      </c>
      <c r="AD583" s="4" t="s">
        <v>508</v>
      </c>
      <c r="AE583" s="4" t="s">
        <v>509</v>
      </c>
      <c r="AF583" s="4" t="s">
        <v>589</v>
      </c>
      <c r="AG583" s="115">
        <f>+VLOOKUP(Y583,B:O,8,FALSE)/1000</f>
        <v>8.5379553147915371E-2</v>
      </c>
      <c r="AI583" s="158"/>
    </row>
    <row r="584" spans="23:35">
      <c r="W584" s="4" t="s">
        <v>585</v>
      </c>
      <c r="X584" s="4" t="s">
        <v>3362</v>
      </c>
      <c r="Y584" s="151" t="str">
        <f t="shared" si="52"/>
        <v>E5700</v>
      </c>
      <c r="Z584" s="4" t="s">
        <v>587</v>
      </c>
      <c r="AA584" s="114" t="s">
        <v>588</v>
      </c>
      <c r="AB584" s="4" t="s">
        <v>506</v>
      </c>
      <c r="AC584" s="4" t="s">
        <v>507</v>
      </c>
      <c r="AD584" s="4" t="s">
        <v>508</v>
      </c>
      <c r="AE584" s="4" t="s">
        <v>509</v>
      </c>
      <c r="AF584" s="4" t="s">
        <v>589</v>
      </c>
      <c r="AG584" s="115">
        <f>+VLOOKUP(Y584,B:O,9,FALSE)/1000</f>
        <v>8.5379553147915371E-2</v>
      </c>
      <c r="AI584" s="158"/>
    </row>
    <row r="585" spans="23:35">
      <c r="W585" s="4" t="s">
        <v>585</v>
      </c>
      <c r="X585" s="4" t="s">
        <v>3363</v>
      </c>
      <c r="Y585" s="151" t="str">
        <f t="shared" si="52"/>
        <v>E5700</v>
      </c>
      <c r="Z585" s="4" t="s">
        <v>587</v>
      </c>
      <c r="AA585" s="114" t="s">
        <v>588</v>
      </c>
      <c r="AB585" s="4" t="s">
        <v>506</v>
      </c>
      <c r="AC585" s="4" t="s">
        <v>507</v>
      </c>
      <c r="AD585" s="4" t="s">
        <v>508</v>
      </c>
      <c r="AE585" s="4" t="s">
        <v>509</v>
      </c>
      <c r="AF585" s="4" t="s">
        <v>589</v>
      </c>
      <c r="AG585" s="115">
        <f>+VLOOKUP(Y585,B:O,10,FALSE)/1000</f>
        <v>8.5379553147915371E-2</v>
      </c>
      <c r="AI585" s="158"/>
    </row>
    <row r="586" spans="23:35">
      <c r="W586" s="4" t="s">
        <v>585</v>
      </c>
      <c r="X586" s="4" t="s">
        <v>3364</v>
      </c>
      <c r="Y586" s="151" t="str">
        <f t="shared" si="52"/>
        <v>E5700</v>
      </c>
      <c r="Z586" s="4" t="s">
        <v>587</v>
      </c>
      <c r="AA586" s="114" t="s">
        <v>588</v>
      </c>
      <c r="AB586" s="4" t="s">
        <v>506</v>
      </c>
      <c r="AC586" s="4" t="s">
        <v>507</v>
      </c>
      <c r="AD586" s="4" t="s">
        <v>508</v>
      </c>
      <c r="AE586" s="4" t="s">
        <v>509</v>
      </c>
      <c r="AF586" s="4" t="s">
        <v>589</v>
      </c>
      <c r="AG586" s="115">
        <f>+VLOOKUP(Y586,B:O,11,FALSE)/1000</f>
        <v>8.5379553147915371E-2</v>
      </c>
      <c r="AI586" s="158"/>
    </row>
    <row r="587" spans="23:35">
      <c r="W587" s="4" t="s">
        <v>585</v>
      </c>
      <c r="X587" s="4" t="s">
        <v>3365</v>
      </c>
      <c r="Y587" s="151" t="str">
        <f t="shared" si="52"/>
        <v>E5700</v>
      </c>
      <c r="Z587" s="4" t="s">
        <v>587</v>
      </c>
      <c r="AA587" s="114" t="s">
        <v>588</v>
      </c>
      <c r="AB587" s="4" t="s">
        <v>506</v>
      </c>
      <c r="AC587" s="4" t="s">
        <v>507</v>
      </c>
      <c r="AD587" s="4" t="s">
        <v>508</v>
      </c>
      <c r="AE587" s="4" t="s">
        <v>509</v>
      </c>
      <c r="AF587" s="4" t="s">
        <v>589</v>
      </c>
      <c r="AG587" s="115">
        <f>+VLOOKUP(Y587,B:O,12,FALSE)/1000</f>
        <v>8.5379553147915371E-2</v>
      </c>
      <c r="AI587" s="158"/>
    </row>
    <row r="588" spans="23:35">
      <c r="W588" s="4" t="s">
        <v>585</v>
      </c>
      <c r="X588" s="4" t="s">
        <v>3366</v>
      </c>
      <c r="Y588" s="151" t="str">
        <f t="shared" si="52"/>
        <v>E5700</v>
      </c>
      <c r="Z588" s="4" t="s">
        <v>587</v>
      </c>
      <c r="AA588" s="114" t="s">
        <v>588</v>
      </c>
      <c r="AB588" s="4" t="s">
        <v>506</v>
      </c>
      <c r="AC588" s="4" t="s">
        <v>507</v>
      </c>
      <c r="AD588" s="4" t="s">
        <v>508</v>
      </c>
      <c r="AE588" s="4" t="s">
        <v>509</v>
      </c>
      <c r="AF588" s="4" t="s">
        <v>589</v>
      </c>
      <c r="AG588" s="115">
        <f>+VLOOKUP(Y588,B:O,13,FALSE)/1000</f>
        <v>8.7343282870317424E-2</v>
      </c>
      <c r="AI588" s="158"/>
    </row>
    <row r="589" spans="23:35">
      <c r="W589" s="4" t="s">
        <v>585</v>
      </c>
      <c r="X589" s="4" t="s">
        <v>3367</v>
      </c>
      <c r="Y589" s="151" t="str">
        <f t="shared" si="52"/>
        <v>E5700</v>
      </c>
      <c r="Z589" s="4" t="s">
        <v>587</v>
      </c>
      <c r="AA589" s="114" t="s">
        <v>588</v>
      </c>
      <c r="AB589" s="4" t="s">
        <v>506</v>
      </c>
      <c r="AC589" s="4" t="s">
        <v>507</v>
      </c>
      <c r="AD589" s="4" t="s">
        <v>508</v>
      </c>
      <c r="AE589" s="4" t="s">
        <v>509</v>
      </c>
      <c r="AF589" s="4" t="s">
        <v>589</v>
      </c>
      <c r="AG589" s="115">
        <f>+VLOOKUP(Y589,B:O,14,FALSE)/1000</f>
        <v>8.7343282870317424E-2</v>
      </c>
      <c r="AI589" s="158"/>
    </row>
    <row r="590" spans="23:35">
      <c r="W590" s="4" t="s">
        <v>585</v>
      </c>
      <c r="X590" s="3" t="s">
        <v>3356</v>
      </c>
      <c r="Y590" s="150" t="str">
        <f>INDEX($B$3:$O$110,73,1)</f>
        <v>E5710</v>
      </c>
      <c r="Z590" s="4" t="s">
        <v>587</v>
      </c>
      <c r="AA590" s="114" t="s">
        <v>588</v>
      </c>
      <c r="AB590" s="4" t="s">
        <v>506</v>
      </c>
      <c r="AC590" s="4" t="s">
        <v>507</v>
      </c>
      <c r="AD590" s="4" t="s">
        <v>508</v>
      </c>
      <c r="AE590" s="4" t="s">
        <v>509</v>
      </c>
      <c r="AF590" s="4" t="s">
        <v>589</v>
      </c>
      <c r="AG590" s="115">
        <f>+VLOOKUP(Y590,B:O,3,FALSE)/1000</f>
        <v>8.0030000000000004E-2</v>
      </c>
      <c r="AI590" s="158"/>
    </row>
    <row r="591" spans="23:35">
      <c r="W591" s="4" t="s">
        <v>585</v>
      </c>
      <c r="X591" s="4" t="s">
        <v>3357</v>
      </c>
      <c r="Y591" s="151" t="str">
        <f>Y590</f>
        <v>E5710</v>
      </c>
      <c r="Z591" s="4" t="s">
        <v>587</v>
      </c>
      <c r="AA591" s="114" t="s">
        <v>588</v>
      </c>
      <c r="AB591" s="4" t="s">
        <v>506</v>
      </c>
      <c r="AC591" s="4" t="s">
        <v>507</v>
      </c>
      <c r="AD591" s="4" t="s">
        <v>508</v>
      </c>
      <c r="AE591" s="4" t="s">
        <v>509</v>
      </c>
      <c r="AF591" s="4" t="s">
        <v>589</v>
      </c>
      <c r="AG591" s="115">
        <f>+VLOOKUP(Y591,B:O,4,FALSE)/1000</f>
        <v>8.1000000000000003E-2</v>
      </c>
      <c r="AI591" s="158"/>
    </row>
    <row r="592" spans="23:35">
      <c r="W592" s="4" t="s">
        <v>585</v>
      </c>
      <c r="X592" s="4" t="s">
        <v>3358</v>
      </c>
      <c r="Y592" s="151" t="str">
        <f t="shared" ref="Y592:Y601" si="53">Y591</f>
        <v>E5710</v>
      </c>
      <c r="Z592" s="4" t="s">
        <v>587</v>
      </c>
      <c r="AA592" s="114" t="s">
        <v>588</v>
      </c>
      <c r="AB592" s="4" t="s">
        <v>506</v>
      </c>
      <c r="AC592" s="4" t="s">
        <v>507</v>
      </c>
      <c r="AD592" s="4" t="s">
        <v>508</v>
      </c>
      <c r="AE592" s="4" t="s">
        <v>509</v>
      </c>
      <c r="AF592" s="4" t="s">
        <v>589</v>
      </c>
      <c r="AG592" s="115">
        <f>+VLOOKUP(Y592,B:O,5,FALSE)/1000</f>
        <v>6.8780000000000008E-2</v>
      </c>
      <c r="AI592" s="158"/>
    </row>
    <row r="593" spans="23:35">
      <c r="W593" s="4" t="s">
        <v>585</v>
      </c>
      <c r="X593" s="4" t="s">
        <v>3359</v>
      </c>
      <c r="Y593" s="151" t="str">
        <f t="shared" si="53"/>
        <v>E5710</v>
      </c>
      <c r="Z593" s="4" t="s">
        <v>587</v>
      </c>
      <c r="AA593" s="114" t="s">
        <v>588</v>
      </c>
      <c r="AB593" s="4" t="s">
        <v>506</v>
      </c>
      <c r="AC593" s="4" t="s">
        <v>507</v>
      </c>
      <c r="AD593" s="4" t="s">
        <v>508</v>
      </c>
      <c r="AE593" s="4" t="s">
        <v>509</v>
      </c>
      <c r="AF593" s="4" t="s">
        <v>589</v>
      </c>
      <c r="AG593" s="115">
        <f>+VLOOKUP(Y593,B:O,6,FALSE)/1000</f>
        <v>5.4390000000000001E-2</v>
      </c>
      <c r="AI593" s="158"/>
    </row>
    <row r="594" spans="23:35">
      <c r="W594" s="4" t="s">
        <v>585</v>
      </c>
      <c r="X594" s="4" t="s">
        <v>3360</v>
      </c>
      <c r="Y594" s="151" t="str">
        <f t="shared" si="53"/>
        <v>E5710</v>
      </c>
      <c r="Z594" s="4" t="s">
        <v>587</v>
      </c>
      <c r="AA594" s="114" t="s">
        <v>588</v>
      </c>
      <c r="AB594" s="4" t="s">
        <v>506</v>
      </c>
      <c r="AC594" s="4" t="s">
        <v>507</v>
      </c>
      <c r="AD594" s="4" t="s">
        <v>508</v>
      </c>
      <c r="AE594" s="4" t="s">
        <v>509</v>
      </c>
      <c r="AF594" s="4" t="s">
        <v>589</v>
      </c>
      <c r="AG594" s="115">
        <f>+VLOOKUP(Y594,B:O,7,FALSE)/1000</f>
        <v>4.5069999999999999E-2</v>
      </c>
      <c r="AI594" s="158"/>
    </row>
    <row r="595" spans="23:35">
      <c r="W595" s="4" t="s">
        <v>585</v>
      </c>
      <c r="X595" s="4" t="s">
        <v>3361</v>
      </c>
      <c r="Y595" s="151" t="str">
        <f t="shared" si="53"/>
        <v>E5710</v>
      </c>
      <c r="Z595" s="4" t="s">
        <v>587</v>
      </c>
      <c r="AA595" s="114" t="s">
        <v>588</v>
      </c>
      <c r="AB595" s="4" t="s">
        <v>506</v>
      </c>
      <c r="AC595" s="4" t="s">
        <v>507</v>
      </c>
      <c r="AD595" s="4" t="s">
        <v>508</v>
      </c>
      <c r="AE595" s="4" t="s">
        <v>509</v>
      </c>
      <c r="AF595" s="4" t="s">
        <v>589</v>
      </c>
      <c r="AG595" s="115">
        <f>+VLOOKUP(Y595,B:O,8,FALSE)/1000</f>
        <v>5.0220000000000008E-2</v>
      </c>
      <c r="AI595" s="158"/>
    </row>
    <row r="596" spans="23:35">
      <c r="W596" s="4" t="s">
        <v>585</v>
      </c>
      <c r="X596" s="4" t="s">
        <v>3362</v>
      </c>
      <c r="Y596" s="151" t="str">
        <f t="shared" si="53"/>
        <v>E5710</v>
      </c>
      <c r="Z596" s="4" t="s">
        <v>587</v>
      </c>
      <c r="AA596" s="114" t="s">
        <v>588</v>
      </c>
      <c r="AB596" s="4" t="s">
        <v>506</v>
      </c>
      <c r="AC596" s="4" t="s">
        <v>507</v>
      </c>
      <c r="AD596" s="4" t="s">
        <v>508</v>
      </c>
      <c r="AE596" s="4" t="s">
        <v>509</v>
      </c>
      <c r="AF596" s="4" t="s">
        <v>589</v>
      </c>
      <c r="AG596" s="115">
        <f>+VLOOKUP(Y596,B:O,9,FALSE)/1000</f>
        <v>5.228E-2</v>
      </c>
      <c r="AI596" s="158"/>
    </row>
    <row r="597" spans="23:35">
      <c r="W597" s="4" t="s">
        <v>585</v>
      </c>
      <c r="X597" s="4" t="s">
        <v>3363</v>
      </c>
      <c r="Y597" s="151" t="str">
        <f t="shared" si="53"/>
        <v>E5710</v>
      </c>
      <c r="Z597" s="4" t="s">
        <v>587</v>
      </c>
      <c r="AA597" s="114" t="s">
        <v>588</v>
      </c>
      <c r="AB597" s="4" t="s">
        <v>506</v>
      </c>
      <c r="AC597" s="4" t="s">
        <v>507</v>
      </c>
      <c r="AD597" s="4" t="s">
        <v>508</v>
      </c>
      <c r="AE597" s="4" t="s">
        <v>509</v>
      </c>
      <c r="AF597" s="4" t="s">
        <v>589</v>
      </c>
      <c r="AG597" s="115">
        <f>+VLOOKUP(Y597,B:O,10,FALSE)/1000</f>
        <v>4.8559999999999999E-2</v>
      </c>
      <c r="AI597" s="158"/>
    </row>
    <row r="598" spans="23:35">
      <c r="W598" s="4" t="s">
        <v>585</v>
      </c>
      <c r="X598" s="4" t="s">
        <v>3364</v>
      </c>
      <c r="Y598" s="151" t="str">
        <f t="shared" si="53"/>
        <v>E5710</v>
      </c>
      <c r="Z598" s="4" t="s">
        <v>587</v>
      </c>
      <c r="AA598" s="114" t="s">
        <v>588</v>
      </c>
      <c r="AB598" s="4" t="s">
        <v>506</v>
      </c>
      <c r="AC598" s="4" t="s">
        <v>507</v>
      </c>
      <c r="AD598" s="4" t="s">
        <v>508</v>
      </c>
      <c r="AE598" s="4" t="s">
        <v>509</v>
      </c>
      <c r="AF598" s="4" t="s">
        <v>589</v>
      </c>
      <c r="AG598" s="115">
        <f>+VLOOKUP(Y598,B:O,11,FALSE)/1000</f>
        <v>4.6440000000000002E-2</v>
      </c>
      <c r="AI598" s="158"/>
    </row>
    <row r="599" spans="23:35">
      <c r="W599" s="4" t="s">
        <v>585</v>
      </c>
      <c r="X599" s="4" t="s">
        <v>3365</v>
      </c>
      <c r="Y599" s="151" t="str">
        <f t="shared" si="53"/>
        <v>E5710</v>
      </c>
      <c r="Z599" s="4" t="s">
        <v>587</v>
      </c>
      <c r="AA599" s="114" t="s">
        <v>588</v>
      </c>
      <c r="AB599" s="4" t="s">
        <v>506</v>
      </c>
      <c r="AC599" s="4" t="s">
        <v>507</v>
      </c>
      <c r="AD599" s="4" t="s">
        <v>508</v>
      </c>
      <c r="AE599" s="4" t="s">
        <v>509</v>
      </c>
      <c r="AF599" s="4" t="s">
        <v>589</v>
      </c>
      <c r="AG599" s="115">
        <f>+VLOOKUP(Y599,B:O,12,FALSE)/1000</f>
        <v>4.564E-2</v>
      </c>
      <c r="AI599" s="158"/>
    </row>
    <row r="600" spans="23:35">
      <c r="W600" s="4" t="s">
        <v>585</v>
      </c>
      <c r="X600" s="4" t="s">
        <v>3366</v>
      </c>
      <c r="Y600" s="151" t="str">
        <f t="shared" si="53"/>
        <v>E5710</v>
      </c>
      <c r="Z600" s="4" t="s">
        <v>587</v>
      </c>
      <c r="AA600" s="114" t="s">
        <v>588</v>
      </c>
      <c r="AB600" s="4" t="s">
        <v>506</v>
      </c>
      <c r="AC600" s="4" t="s">
        <v>507</v>
      </c>
      <c r="AD600" s="4" t="s">
        <v>508</v>
      </c>
      <c r="AE600" s="4" t="s">
        <v>509</v>
      </c>
      <c r="AF600" s="4" t="s">
        <v>589</v>
      </c>
      <c r="AG600" s="115">
        <f>+VLOOKUP(Y600,B:O,13,FALSE)/1000</f>
        <v>6.4429999999999987E-2</v>
      </c>
      <c r="AI600" s="158"/>
    </row>
    <row r="601" spans="23:35">
      <c r="W601" s="4" t="s">
        <v>585</v>
      </c>
      <c r="X601" s="4" t="s">
        <v>3367</v>
      </c>
      <c r="Y601" s="151" t="str">
        <f t="shared" si="53"/>
        <v>E5710</v>
      </c>
      <c r="Z601" s="4" t="s">
        <v>587</v>
      </c>
      <c r="AA601" s="114" t="s">
        <v>588</v>
      </c>
      <c r="AB601" s="4" t="s">
        <v>506</v>
      </c>
      <c r="AC601" s="4" t="s">
        <v>507</v>
      </c>
      <c r="AD601" s="4" t="s">
        <v>508</v>
      </c>
      <c r="AE601" s="4" t="s">
        <v>509</v>
      </c>
      <c r="AF601" s="4" t="s">
        <v>589</v>
      </c>
      <c r="AG601" s="115">
        <f>+VLOOKUP(Y601,B:O,14,FALSE)/1000</f>
        <v>7.5859999999999997E-2</v>
      </c>
      <c r="AI601" s="158"/>
    </row>
    <row r="602" spans="23:35">
      <c r="W602" s="4" t="s">
        <v>585</v>
      </c>
      <c r="X602" s="3" t="s">
        <v>3356</v>
      </c>
      <c r="Y602" s="150" t="str">
        <f>INDEX($B$3:$O$110,75,1)</f>
        <v>E5720</v>
      </c>
      <c r="Z602" s="4" t="s">
        <v>587</v>
      </c>
      <c r="AA602" s="114" t="s">
        <v>588</v>
      </c>
      <c r="AB602" s="4" t="s">
        <v>506</v>
      </c>
      <c r="AC602" s="4" t="s">
        <v>507</v>
      </c>
      <c r="AD602" s="4" t="s">
        <v>508</v>
      </c>
      <c r="AE602" s="4" t="s">
        <v>509</v>
      </c>
      <c r="AF602" s="4" t="s">
        <v>589</v>
      </c>
      <c r="AG602" s="115">
        <f>+VLOOKUP(Y602,B:O,3,FALSE)/1000</f>
        <v>8.0120000000000011E-2</v>
      </c>
      <c r="AI602" s="158"/>
    </row>
    <row r="603" spans="23:35">
      <c r="W603" s="4" t="s">
        <v>585</v>
      </c>
      <c r="X603" s="4" t="s">
        <v>3357</v>
      </c>
      <c r="Y603" s="151" t="str">
        <f>Y602</f>
        <v>E5720</v>
      </c>
      <c r="Z603" s="4" t="s">
        <v>587</v>
      </c>
      <c r="AA603" s="114" t="s">
        <v>588</v>
      </c>
      <c r="AB603" s="4" t="s">
        <v>506</v>
      </c>
      <c r="AC603" s="4" t="s">
        <v>507</v>
      </c>
      <c r="AD603" s="4" t="s">
        <v>508</v>
      </c>
      <c r="AE603" s="4" t="s">
        <v>509</v>
      </c>
      <c r="AF603" s="4" t="s">
        <v>589</v>
      </c>
      <c r="AG603" s="115">
        <f>+VLOOKUP(Y603,B:O,4,FALSE)/1000</f>
        <v>8.1090000000000009E-2</v>
      </c>
      <c r="AI603" s="158"/>
    </row>
    <row r="604" spans="23:35">
      <c r="W604" s="4" t="s">
        <v>585</v>
      </c>
      <c r="X604" s="4" t="s">
        <v>3358</v>
      </c>
      <c r="Y604" s="151" t="str">
        <f t="shared" ref="Y604:Y613" si="54">Y603</f>
        <v>E5720</v>
      </c>
      <c r="Z604" s="4" t="s">
        <v>587</v>
      </c>
      <c r="AA604" s="114" t="s">
        <v>588</v>
      </c>
      <c r="AB604" s="4" t="s">
        <v>506</v>
      </c>
      <c r="AC604" s="4" t="s">
        <v>507</v>
      </c>
      <c r="AD604" s="4" t="s">
        <v>508</v>
      </c>
      <c r="AE604" s="4" t="s">
        <v>509</v>
      </c>
      <c r="AF604" s="4" t="s">
        <v>589</v>
      </c>
      <c r="AG604" s="115">
        <f>+VLOOKUP(Y604,B:O,5,FALSE)/1000</f>
        <v>6.8870000000000001E-2</v>
      </c>
      <c r="AI604" s="158"/>
    </row>
    <row r="605" spans="23:35">
      <c r="W605" s="4" t="s">
        <v>585</v>
      </c>
      <c r="X605" s="4" t="s">
        <v>3359</v>
      </c>
      <c r="Y605" s="151" t="str">
        <f t="shared" si="54"/>
        <v>E5720</v>
      </c>
      <c r="Z605" s="4" t="s">
        <v>587</v>
      </c>
      <c r="AA605" s="114" t="s">
        <v>588</v>
      </c>
      <c r="AB605" s="4" t="s">
        <v>506</v>
      </c>
      <c r="AC605" s="4" t="s">
        <v>507</v>
      </c>
      <c r="AD605" s="4" t="s">
        <v>508</v>
      </c>
      <c r="AE605" s="4" t="s">
        <v>509</v>
      </c>
      <c r="AF605" s="4" t="s">
        <v>589</v>
      </c>
      <c r="AG605" s="115">
        <f>+VLOOKUP(Y605,B:O,6,FALSE)/1000</f>
        <v>5.4479999999999994E-2</v>
      </c>
      <c r="AI605" s="158"/>
    </row>
    <row r="606" spans="23:35">
      <c r="W606" s="4" t="s">
        <v>585</v>
      </c>
      <c r="X606" s="4" t="s">
        <v>3360</v>
      </c>
      <c r="Y606" s="151" t="str">
        <f t="shared" si="54"/>
        <v>E5720</v>
      </c>
      <c r="Z606" s="4" t="s">
        <v>587</v>
      </c>
      <c r="AA606" s="114" t="s">
        <v>588</v>
      </c>
      <c r="AB606" s="4" t="s">
        <v>506</v>
      </c>
      <c r="AC606" s="4" t="s">
        <v>507</v>
      </c>
      <c r="AD606" s="4" t="s">
        <v>508</v>
      </c>
      <c r="AE606" s="4" t="s">
        <v>509</v>
      </c>
      <c r="AF606" s="4" t="s">
        <v>589</v>
      </c>
      <c r="AG606" s="115">
        <f>+VLOOKUP(Y606,B:O,7,FALSE)/1000</f>
        <v>4.5159999999999999E-2</v>
      </c>
      <c r="AI606" s="158"/>
    </row>
    <row r="607" spans="23:35">
      <c r="W607" s="4" t="s">
        <v>585</v>
      </c>
      <c r="X607" s="4" t="s">
        <v>3361</v>
      </c>
      <c r="Y607" s="151" t="str">
        <f t="shared" si="54"/>
        <v>E5720</v>
      </c>
      <c r="Z607" s="4" t="s">
        <v>587</v>
      </c>
      <c r="AA607" s="114" t="s">
        <v>588</v>
      </c>
      <c r="AB607" s="4" t="s">
        <v>506</v>
      </c>
      <c r="AC607" s="4" t="s">
        <v>507</v>
      </c>
      <c r="AD607" s="4" t="s">
        <v>508</v>
      </c>
      <c r="AE607" s="4" t="s">
        <v>509</v>
      </c>
      <c r="AF607" s="4" t="s">
        <v>589</v>
      </c>
      <c r="AG607" s="115">
        <f>+VLOOKUP(Y607,B:O,8,FALSE)/1000</f>
        <v>5.0310000000000001E-2</v>
      </c>
      <c r="AI607" s="158"/>
    </row>
    <row r="608" spans="23:35">
      <c r="W608" s="4" t="s">
        <v>585</v>
      </c>
      <c r="X608" s="4" t="s">
        <v>3362</v>
      </c>
      <c r="Y608" s="151" t="str">
        <f t="shared" si="54"/>
        <v>E5720</v>
      </c>
      <c r="Z608" s="4" t="s">
        <v>587</v>
      </c>
      <c r="AA608" s="114" t="s">
        <v>588</v>
      </c>
      <c r="AB608" s="4" t="s">
        <v>506</v>
      </c>
      <c r="AC608" s="4" t="s">
        <v>507</v>
      </c>
      <c r="AD608" s="4" t="s">
        <v>508</v>
      </c>
      <c r="AE608" s="4" t="s">
        <v>509</v>
      </c>
      <c r="AF608" s="4" t="s">
        <v>589</v>
      </c>
      <c r="AG608" s="115">
        <f>+VLOOKUP(Y608,B:O,9,FALSE)/1000</f>
        <v>5.237E-2</v>
      </c>
      <c r="AI608" s="158"/>
    </row>
    <row r="609" spans="23:35">
      <c r="W609" s="4" t="s">
        <v>585</v>
      </c>
      <c r="X609" s="4" t="s">
        <v>3363</v>
      </c>
      <c r="Y609" s="151" t="str">
        <f t="shared" si="54"/>
        <v>E5720</v>
      </c>
      <c r="Z609" s="4" t="s">
        <v>587</v>
      </c>
      <c r="AA609" s="114" t="s">
        <v>588</v>
      </c>
      <c r="AB609" s="4" t="s">
        <v>506</v>
      </c>
      <c r="AC609" s="4" t="s">
        <v>507</v>
      </c>
      <c r="AD609" s="4" t="s">
        <v>508</v>
      </c>
      <c r="AE609" s="4" t="s">
        <v>509</v>
      </c>
      <c r="AF609" s="4" t="s">
        <v>589</v>
      </c>
      <c r="AG609" s="115">
        <f>+VLOOKUP(Y609,B:O,10,FALSE)/1000</f>
        <v>4.8649999999999999E-2</v>
      </c>
      <c r="AI609" s="158"/>
    </row>
    <row r="610" spans="23:35">
      <c r="W610" s="4" t="s">
        <v>585</v>
      </c>
      <c r="X610" s="4" t="s">
        <v>3364</v>
      </c>
      <c r="Y610" s="151" t="str">
        <f t="shared" si="54"/>
        <v>E5720</v>
      </c>
      <c r="Z610" s="4" t="s">
        <v>587</v>
      </c>
      <c r="AA610" s="114" t="s">
        <v>588</v>
      </c>
      <c r="AB610" s="4" t="s">
        <v>506</v>
      </c>
      <c r="AC610" s="4" t="s">
        <v>507</v>
      </c>
      <c r="AD610" s="4" t="s">
        <v>508</v>
      </c>
      <c r="AE610" s="4" t="s">
        <v>509</v>
      </c>
      <c r="AF610" s="4" t="s">
        <v>589</v>
      </c>
      <c r="AG610" s="115">
        <f>+VLOOKUP(Y610,B:O,11,FALSE)/1000</f>
        <v>4.6530000000000002E-2</v>
      </c>
      <c r="AI610" s="158"/>
    </row>
    <row r="611" spans="23:35">
      <c r="W611" s="4" t="s">
        <v>585</v>
      </c>
      <c r="X611" s="4" t="s">
        <v>3365</v>
      </c>
      <c r="Y611" s="151" t="str">
        <f t="shared" si="54"/>
        <v>E5720</v>
      </c>
      <c r="Z611" s="4" t="s">
        <v>587</v>
      </c>
      <c r="AA611" s="114" t="s">
        <v>588</v>
      </c>
      <c r="AB611" s="4" t="s">
        <v>506</v>
      </c>
      <c r="AC611" s="4" t="s">
        <v>507</v>
      </c>
      <c r="AD611" s="4" t="s">
        <v>508</v>
      </c>
      <c r="AE611" s="4" t="s">
        <v>509</v>
      </c>
      <c r="AF611" s="4" t="s">
        <v>589</v>
      </c>
      <c r="AG611" s="115">
        <f>+VLOOKUP(Y611,B:O,12,FALSE)/1000</f>
        <v>4.573E-2</v>
      </c>
      <c r="AI611" s="158"/>
    </row>
    <row r="612" spans="23:35">
      <c r="W612" s="4" t="s">
        <v>585</v>
      </c>
      <c r="X612" s="4" t="s">
        <v>3366</v>
      </c>
      <c r="Y612" s="151" t="str">
        <f t="shared" si="54"/>
        <v>E5720</v>
      </c>
      <c r="Z612" s="4" t="s">
        <v>587</v>
      </c>
      <c r="AA612" s="114" t="s">
        <v>588</v>
      </c>
      <c r="AB612" s="4" t="s">
        <v>506</v>
      </c>
      <c r="AC612" s="4" t="s">
        <v>507</v>
      </c>
      <c r="AD612" s="4" t="s">
        <v>508</v>
      </c>
      <c r="AE612" s="4" t="s">
        <v>509</v>
      </c>
      <c r="AF612" s="4" t="s">
        <v>589</v>
      </c>
      <c r="AG612" s="115">
        <f>+VLOOKUP(Y612,B:O,13,FALSE)/1000</f>
        <v>6.4519999999999994E-2</v>
      </c>
      <c r="AI612" s="158"/>
    </row>
    <row r="613" spans="23:35">
      <c r="W613" s="4" t="s">
        <v>585</v>
      </c>
      <c r="X613" s="4" t="s">
        <v>3367</v>
      </c>
      <c r="Y613" s="151" t="str">
        <f t="shared" si="54"/>
        <v>E5720</v>
      </c>
      <c r="Z613" s="4" t="s">
        <v>587</v>
      </c>
      <c r="AA613" s="114" t="s">
        <v>588</v>
      </c>
      <c r="AB613" s="4" t="s">
        <v>506</v>
      </c>
      <c r="AC613" s="4" t="s">
        <v>507</v>
      </c>
      <c r="AD613" s="4" t="s">
        <v>508</v>
      </c>
      <c r="AE613" s="4" t="s">
        <v>509</v>
      </c>
      <c r="AF613" s="4" t="s">
        <v>589</v>
      </c>
      <c r="AG613" s="115">
        <f>+VLOOKUP(Y613,B:O,14,FALSE)/1000</f>
        <v>7.5950000000000004E-2</v>
      </c>
      <c r="AI613" s="158"/>
    </row>
    <row r="614" spans="23:35">
      <c r="W614" s="4" t="s">
        <v>585</v>
      </c>
      <c r="X614" s="3" t="s">
        <v>3356</v>
      </c>
      <c r="Y614" s="150" t="str">
        <f>INDEX($B$3:$O$110,76,1)</f>
        <v>E5770</v>
      </c>
      <c r="Z614" s="4" t="s">
        <v>587</v>
      </c>
      <c r="AA614" s="114" t="s">
        <v>588</v>
      </c>
      <c r="AB614" s="4" t="s">
        <v>506</v>
      </c>
      <c r="AC614" s="4" t="s">
        <v>507</v>
      </c>
      <c r="AD614" s="4" t="s">
        <v>508</v>
      </c>
      <c r="AE614" s="4" t="s">
        <v>509</v>
      </c>
      <c r="AF614" s="4" t="s">
        <v>589</v>
      </c>
      <c r="AG614" s="115">
        <f>+VLOOKUP(Y614,B:O,3,FALSE)/1000</f>
        <v>8.0770000000000008E-2</v>
      </c>
      <c r="AI614" s="158"/>
    </row>
    <row r="615" spans="23:35">
      <c r="W615" s="4" t="s">
        <v>585</v>
      </c>
      <c r="X615" s="4" t="s">
        <v>3357</v>
      </c>
      <c r="Y615" s="151" t="str">
        <f>Y614</f>
        <v>E5770</v>
      </c>
      <c r="Z615" s="4" t="s">
        <v>587</v>
      </c>
      <c r="AA615" s="114" t="s">
        <v>588</v>
      </c>
      <c r="AB615" s="4" t="s">
        <v>506</v>
      </c>
      <c r="AC615" s="4" t="s">
        <v>507</v>
      </c>
      <c r="AD615" s="4" t="s">
        <v>508</v>
      </c>
      <c r="AE615" s="4" t="s">
        <v>509</v>
      </c>
      <c r="AF615" s="4" t="s">
        <v>589</v>
      </c>
      <c r="AG615" s="115">
        <f>+VLOOKUP(Y615,B:O,4,FALSE)/1000</f>
        <v>8.1740000000000007E-2</v>
      </c>
      <c r="AI615" s="158"/>
    </row>
    <row r="616" spans="23:35">
      <c r="W616" s="4" t="s">
        <v>585</v>
      </c>
      <c r="X616" s="4" t="s">
        <v>3358</v>
      </c>
      <c r="Y616" s="151" t="str">
        <f t="shared" ref="Y616:Y625" si="55">Y615</f>
        <v>E5770</v>
      </c>
      <c r="Z616" s="4" t="s">
        <v>587</v>
      </c>
      <c r="AA616" s="114" t="s">
        <v>588</v>
      </c>
      <c r="AB616" s="4" t="s">
        <v>506</v>
      </c>
      <c r="AC616" s="4" t="s">
        <v>507</v>
      </c>
      <c r="AD616" s="4" t="s">
        <v>508</v>
      </c>
      <c r="AE616" s="4" t="s">
        <v>509</v>
      </c>
      <c r="AF616" s="4" t="s">
        <v>589</v>
      </c>
      <c r="AG616" s="115">
        <f>+VLOOKUP(Y616,B:O,5,FALSE)/1000</f>
        <v>6.9520000000000012E-2</v>
      </c>
      <c r="AI616" s="158"/>
    </row>
    <row r="617" spans="23:35">
      <c r="W617" s="4" t="s">
        <v>585</v>
      </c>
      <c r="X617" s="4" t="s">
        <v>3359</v>
      </c>
      <c r="Y617" s="151" t="str">
        <f t="shared" si="55"/>
        <v>E5770</v>
      </c>
      <c r="Z617" s="4" t="s">
        <v>587</v>
      </c>
      <c r="AA617" s="114" t="s">
        <v>588</v>
      </c>
      <c r="AB617" s="4" t="s">
        <v>506</v>
      </c>
      <c r="AC617" s="4" t="s">
        <v>507</v>
      </c>
      <c r="AD617" s="4" t="s">
        <v>508</v>
      </c>
      <c r="AE617" s="4" t="s">
        <v>509</v>
      </c>
      <c r="AF617" s="4" t="s">
        <v>589</v>
      </c>
      <c r="AG617" s="115">
        <f>+VLOOKUP(Y617,B:O,6,FALSE)/1000</f>
        <v>5.5129999999999998E-2</v>
      </c>
      <c r="AI617" s="158"/>
    </row>
    <row r="618" spans="23:35">
      <c r="W618" s="4" t="s">
        <v>585</v>
      </c>
      <c r="X618" s="4" t="s">
        <v>3360</v>
      </c>
      <c r="Y618" s="151" t="str">
        <f t="shared" si="55"/>
        <v>E5770</v>
      </c>
      <c r="Z618" s="4" t="s">
        <v>587</v>
      </c>
      <c r="AA618" s="114" t="s">
        <v>588</v>
      </c>
      <c r="AB618" s="4" t="s">
        <v>506</v>
      </c>
      <c r="AC618" s="4" t="s">
        <v>507</v>
      </c>
      <c r="AD618" s="4" t="s">
        <v>508</v>
      </c>
      <c r="AE618" s="4" t="s">
        <v>509</v>
      </c>
      <c r="AF618" s="4" t="s">
        <v>589</v>
      </c>
      <c r="AG618" s="115">
        <f>+VLOOKUP(Y618,B:O,7,FALSE)/1000</f>
        <v>4.5809999999999997E-2</v>
      </c>
      <c r="AI618" s="158"/>
    </row>
    <row r="619" spans="23:35">
      <c r="W619" s="4" t="s">
        <v>585</v>
      </c>
      <c r="X619" s="4" t="s">
        <v>3361</v>
      </c>
      <c r="Y619" s="151" t="str">
        <f t="shared" si="55"/>
        <v>E5770</v>
      </c>
      <c r="Z619" s="4" t="s">
        <v>587</v>
      </c>
      <c r="AA619" s="114" t="s">
        <v>588</v>
      </c>
      <c r="AB619" s="4" t="s">
        <v>506</v>
      </c>
      <c r="AC619" s="4" t="s">
        <v>507</v>
      </c>
      <c r="AD619" s="4" t="s">
        <v>508</v>
      </c>
      <c r="AE619" s="4" t="s">
        <v>509</v>
      </c>
      <c r="AF619" s="4" t="s">
        <v>589</v>
      </c>
      <c r="AG619" s="115">
        <f>+VLOOKUP(Y619,B:O,8,FALSE)/1000</f>
        <v>5.0959999999999998E-2</v>
      </c>
      <c r="AI619" s="158"/>
    </row>
    <row r="620" spans="23:35">
      <c r="W620" s="4" t="s">
        <v>585</v>
      </c>
      <c r="X620" s="4" t="s">
        <v>3362</v>
      </c>
      <c r="Y620" s="151" t="str">
        <f t="shared" si="55"/>
        <v>E5770</v>
      </c>
      <c r="Z620" s="4" t="s">
        <v>587</v>
      </c>
      <c r="AA620" s="114" t="s">
        <v>588</v>
      </c>
      <c r="AB620" s="4" t="s">
        <v>506</v>
      </c>
      <c r="AC620" s="4" t="s">
        <v>507</v>
      </c>
      <c r="AD620" s="4" t="s">
        <v>508</v>
      </c>
      <c r="AE620" s="4" t="s">
        <v>509</v>
      </c>
      <c r="AF620" s="4" t="s">
        <v>589</v>
      </c>
      <c r="AG620" s="115">
        <f>+VLOOKUP(Y620,B:O,9,FALSE)/1000</f>
        <v>5.3019999999999998E-2</v>
      </c>
      <c r="AI620" s="158"/>
    </row>
    <row r="621" spans="23:35">
      <c r="W621" s="4" t="s">
        <v>585</v>
      </c>
      <c r="X621" s="4" t="s">
        <v>3363</v>
      </c>
      <c r="Y621" s="151" t="str">
        <f t="shared" si="55"/>
        <v>E5770</v>
      </c>
      <c r="Z621" s="4" t="s">
        <v>587</v>
      </c>
      <c r="AA621" s="114" t="s">
        <v>588</v>
      </c>
      <c r="AB621" s="4" t="s">
        <v>506</v>
      </c>
      <c r="AC621" s="4" t="s">
        <v>507</v>
      </c>
      <c r="AD621" s="4" t="s">
        <v>508</v>
      </c>
      <c r="AE621" s="4" t="s">
        <v>509</v>
      </c>
      <c r="AF621" s="4" t="s">
        <v>589</v>
      </c>
      <c r="AG621" s="115">
        <f>+VLOOKUP(Y621,B:O,10,FALSE)/1000</f>
        <v>4.9299999999999997E-2</v>
      </c>
      <c r="AI621" s="158"/>
    </row>
    <row r="622" spans="23:35">
      <c r="W622" s="4" t="s">
        <v>585</v>
      </c>
      <c r="X622" s="4" t="s">
        <v>3364</v>
      </c>
      <c r="Y622" s="151" t="str">
        <f t="shared" si="55"/>
        <v>E5770</v>
      </c>
      <c r="Z622" s="4" t="s">
        <v>587</v>
      </c>
      <c r="AA622" s="114" t="s">
        <v>588</v>
      </c>
      <c r="AB622" s="4" t="s">
        <v>506</v>
      </c>
      <c r="AC622" s="4" t="s">
        <v>507</v>
      </c>
      <c r="AD622" s="4" t="s">
        <v>508</v>
      </c>
      <c r="AE622" s="4" t="s">
        <v>509</v>
      </c>
      <c r="AF622" s="4" t="s">
        <v>589</v>
      </c>
      <c r="AG622" s="115">
        <f>+VLOOKUP(Y622,B:O,11,FALSE)/1000</f>
        <v>4.718E-2</v>
      </c>
      <c r="AI622" s="158"/>
    </row>
    <row r="623" spans="23:35">
      <c r="W623" s="4" t="s">
        <v>585</v>
      </c>
      <c r="X623" s="4" t="s">
        <v>3365</v>
      </c>
      <c r="Y623" s="151" t="str">
        <f t="shared" si="55"/>
        <v>E5770</v>
      </c>
      <c r="Z623" s="4" t="s">
        <v>587</v>
      </c>
      <c r="AA623" s="114" t="s">
        <v>588</v>
      </c>
      <c r="AB623" s="4" t="s">
        <v>506</v>
      </c>
      <c r="AC623" s="4" t="s">
        <v>507</v>
      </c>
      <c r="AD623" s="4" t="s">
        <v>508</v>
      </c>
      <c r="AE623" s="4" t="s">
        <v>509</v>
      </c>
      <c r="AF623" s="4" t="s">
        <v>589</v>
      </c>
      <c r="AG623" s="115">
        <f>+VLOOKUP(Y623,B:O,12,FALSE)/1000</f>
        <v>4.6379999999999998E-2</v>
      </c>
      <c r="AI623" s="158"/>
    </row>
    <row r="624" spans="23:35">
      <c r="W624" s="4" t="s">
        <v>585</v>
      </c>
      <c r="X624" s="4" t="s">
        <v>3366</v>
      </c>
      <c r="Y624" s="151" t="str">
        <f t="shared" si="55"/>
        <v>E5770</v>
      </c>
      <c r="Z624" s="4" t="s">
        <v>587</v>
      </c>
      <c r="AA624" s="114" t="s">
        <v>588</v>
      </c>
      <c r="AB624" s="4" t="s">
        <v>506</v>
      </c>
      <c r="AC624" s="4" t="s">
        <v>507</v>
      </c>
      <c r="AD624" s="4" t="s">
        <v>508</v>
      </c>
      <c r="AE624" s="4" t="s">
        <v>509</v>
      </c>
      <c r="AF624" s="4" t="s">
        <v>589</v>
      </c>
      <c r="AG624" s="115">
        <f>+VLOOKUP(Y624,B:O,13,FALSE)/1000</f>
        <v>6.5170000000000006E-2</v>
      </c>
      <c r="AI624" s="158"/>
    </row>
    <row r="625" spans="23:35">
      <c r="W625" s="4" t="s">
        <v>585</v>
      </c>
      <c r="X625" s="4" t="s">
        <v>3367</v>
      </c>
      <c r="Y625" s="151" t="str">
        <f t="shared" si="55"/>
        <v>E5770</v>
      </c>
      <c r="Z625" s="4" t="s">
        <v>587</v>
      </c>
      <c r="AA625" s="114" t="s">
        <v>588</v>
      </c>
      <c r="AB625" s="4" t="s">
        <v>506</v>
      </c>
      <c r="AC625" s="4" t="s">
        <v>507</v>
      </c>
      <c r="AD625" s="4" t="s">
        <v>508</v>
      </c>
      <c r="AE625" s="4" t="s">
        <v>509</v>
      </c>
      <c r="AF625" s="4" t="s">
        <v>589</v>
      </c>
      <c r="AG625" s="115">
        <f>+VLOOKUP(Y625,B:O,14,FALSE)/1000</f>
        <v>7.6600000000000015E-2</v>
      </c>
      <c r="AI625" s="158"/>
    </row>
    <row r="626" spans="23:35">
      <c r="W626" s="4" t="s">
        <v>585</v>
      </c>
      <c r="X626" s="3" t="s">
        <v>3356</v>
      </c>
      <c r="Y626" s="150" t="str">
        <f>INDEX($B$3:$O$110,78,1)</f>
        <v>E5810</v>
      </c>
      <c r="Z626" s="4" t="s">
        <v>587</v>
      </c>
      <c r="AA626" s="114" t="s">
        <v>588</v>
      </c>
      <c r="AB626" s="4" t="s">
        <v>506</v>
      </c>
      <c r="AC626" s="4" t="s">
        <v>507</v>
      </c>
      <c r="AD626" s="4" t="s">
        <v>508</v>
      </c>
      <c r="AE626" s="4" t="s">
        <v>509</v>
      </c>
      <c r="AF626" s="4" t="s">
        <v>589</v>
      </c>
      <c r="AG626" s="115">
        <f>+VLOOKUP(Y626,B:O,3,FALSE)/1000</f>
        <v>8.5379573269736844E-2</v>
      </c>
      <c r="AI626" s="158"/>
    </row>
    <row r="627" spans="23:35">
      <c r="W627" s="4" t="s">
        <v>585</v>
      </c>
      <c r="X627" s="4" t="s">
        <v>3357</v>
      </c>
      <c r="Y627" s="151" t="str">
        <f>Y626</f>
        <v>E5810</v>
      </c>
      <c r="Z627" s="4" t="s">
        <v>587</v>
      </c>
      <c r="AA627" s="114" t="s">
        <v>588</v>
      </c>
      <c r="AB627" s="4" t="s">
        <v>506</v>
      </c>
      <c r="AC627" s="4" t="s">
        <v>507</v>
      </c>
      <c r="AD627" s="4" t="s">
        <v>508</v>
      </c>
      <c r="AE627" s="4" t="s">
        <v>509</v>
      </c>
      <c r="AF627" s="4" t="s">
        <v>589</v>
      </c>
      <c r="AG627" s="115">
        <f>+VLOOKUP(Y627,B:O,4,FALSE)/1000</f>
        <v>8.5379573269736844E-2</v>
      </c>
      <c r="AI627" s="158"/>
    </row>
    <row r="628" spans="23:35">
      <c r="W628" s="4" t="s">
        <v>585</v>
      </c>
      <c r="X628" s="4" t="s">
        <v>3358</v>
      </c>
      <c r="Y628" s="151" t="str">
        <f t="shared" ref="Y628:Y637" si="56">Y627</f>
        <v>E5810</v>
      </c>
      <c r="Z628" s="4" t="s">
        <v>587</v>
      </c>
      <c r="AA628" s="114" t="s">
        <v>588</v>
      </c>
      <c r="AB628" s="4" t="s">
        <v>506</v>
      </c>
      <c r="AC628" s="4" t="s">
        <v>507</v>
      </c>
      <c r="AD628" s="4" t="s">
        <v>508</v>
      </c>
      <c r="AE628" s="4" t="s">
        <v>509</v>
      </c>
      <c r="AF628" s="4" t="s">
        <v>589</v>
      </c>
      <c r="AG628" s="115">
        <f>+VLOOKUP(Y628,B:O,5,FALSE)/1000</f>
        <v>8.5379573269736844E-2</v>
      </c>
      <c r="AI628" s="158"/>
    </row>
    <row r="629" spans="23:35">
      <c r="W629" s="4" t="s">
        <v>585</v>
      </c>
      <c r="X629" s="4" t="s">
        <v>3359</v>
      </c>
      <c r="Y629" s="151" t="str">
        <f t="shared" si="56"/>
        <v>E5810</v>
      </c>
      <c r="Z629" s="4" t="s">
        <v>587</v>
      </c>
      <c r="AA629" s="114" t="s">
        <v>588</v>
      </c>
      <c r="AB629" s="4" t="s">
        <v>506</v>
      </c>
      <c r="AC629" s="4" t="s">
        <v>507</v>
      </c>
      <c r="AD629" s="4" t="s">
        <v>508</v>
      </c>
      <c r="AE629" s="4" t="s">
        <v>509</v>
      </c>
      <c r="AF629" s="4" t="s">
        <v>589</v>
      </c>
      <c r="AG629" s="115">
        <f>+VLOOKUP(Y629,B:O,6,FALSE)/1000</f>
        <v>8.5379573269736844E-2</v>
      </c>
      <c r="AI629" s="158"/>
    </row>
    <row r="630" spans="23:35">
      <c r="W630" s="4" t="s">
        <v>585</v>
      </c>
      <c r="X630" s="4" t="s">
        <v>3360</v>
      </c>
      <c r="Y630" s="151" t="str">
        <f t="shared" si="56"/>
        <v>E5810</v>
      </c>
      <c r="Z630" s="4" t="s">
        <v>587</v>
      </c>
      <c r="AA630" s="114" t="s">
        <v>588</v>
      </c>
      <c r="AB630" s="4" t="s">
        <v>506</v>
      </c>
      <c r="AC630" s="4" t="s">
        <v>507</v>
      </c>
      <c r="AD630" s="4" t="s">
        <v>508</v>
      </c>
      <c r="AE630" s="4" t="s">
        <v>509</v>
      </c>
      <c r="AF630" s="4" t="s">
        <v>589</v>
      </c>
      <c r="AG630" s="115">
        <f>+VLOOKUP(Y630,B:O,7,FALSE)/1000</f>
        <v>8.5379573269736844E-2</v>
      </c>
      <c r="AI630" s="158"/>
    </row>
    <row r="631" spans="23:35">
      <c r="W631" s="4" t="s">
        <v>585</v>
      </c>
      <c r="X631" s="4" t="s">
        <v>3361</v>
      </c>
      <c r="Y631" s="151" t="str">
        <f t="shared" si="56"/>
        <v>E5810</v>
      </c>
      <c r="Z631" s="4" t="s">
        <v>587</v>
      </c>
      <c r="AA631" s="114" t="s">
        <v>588</v>
      </c>
      <c r="AB631" s="4" t="s">
        <v>506</v>
      </c>
      <c r="AC631" s="4" t="s">
        <v>507</v>
      </c>
      <c r="AD631" s="4" t="s">
        <v>508</v>
      </c>
      <c r="AE631" s="4" t="s">
        <v>509</v>
      </c>
      <c r="AF631" s="4" t="s">
        <v>589</v>
      </c>
      <c r="AG631" s="115">
        <f>+VLOOKUP(Y631,B:O,8,FALSE)/1000</f>
        <v>8.5379573269736844E-2</v>
      </c>
      <c r="AI631" s="158"/>
    </row>
    <row r="632" spans="23:35">
      <c r="W632" s="4" t="s">
        <v>585</v>
      </c>
      <c r="X632" s="4" t="s">
        <v>3362</v>
      </c>
      <c r="Y632" s="151" t="str">
        <f t="shared" si="56"/>
        <v>E5810</v>
      </c>
      <c r="Z632" s="4" t="s">
        <v>587</v>
      </c>
      <c r="AA632" s="114" t="s">
        <v>588</v>
      </c>
      <c r="AB632" s="4" t="s">
        <v>506</v>
      </c>
      <c r="AC632" s="4" t="s">
        <v>507</v>
      </c>
      <c r="AD632" s="4" t="s">
        <v>508</v>
      </c>
      <c r="AE632" s="4" t="s">
        <v>509</v>
      </c>
      <c r="AF632" s="4" t="s">
        <v>589</v>
      </c>
      <c r="AG632" s="115">
        <f>+VLOOKUP(Y632,B:O,9,FALSE)/1000</f>
        <v>8.5379573269736844E-2</v>
      </c>
      <c r="AI632" s="158"/>
    </row>
    <row r="633" spans="23:35">
      <c r="W633" s="4" t="s">
        <v>585</v>
      </c>
      <c r="X633" s="4" t="s">
        <v>3363</v>
      </c>
      <c r="Y633" s="151" t="str">
        <f t="shared" si="56"/>
        <v>E5810</v>
      </c>
      <c r="Z633" s="4" t="s">
        <v>587</v>
      </c>
      <c r="AA633" s="114" t="s">
        <v>588</v>
      </c>
      <c r="AB633" s="4" t="s">
        <v>506</v>
      </c>
      <c r="AC633" s="4" t="s">
        <v>507</v>
      </c>
      <c r="AD633" s="4" t="s">
        <v>508</v>
      </c>
      <c r="AE633" s="4" t="s">
        <v>509</v>
      </c>
      <c r="AF633" s="4" t="s">
        <v>589</v>
      </c>
      <c r="AG633" s="115">
        <f>+VLOOKUP(Y633,B:O,10,FALSE)/1000</f>
        <v>8.5379573269736844E-2</v>
      </c>
      <c r="AI633" s="158"/>
    </row>
    <row r="634" spans="23:35">
      <c r="W634" s="4" t="s">
        <v>585</v>
      </c>
      <c r="X634" s="4" t="s">
        <v>3364</v>
      </c>
      <c r="Y634" s="151" t="str">
        <f t="shared" si="56"/>
        <v>E5810</v>
      </c>
      <c r="Z634" s="4" t="s">
        <v>587</v>
      </c>
      <c r="AA634" s="114" t="s">
        <v>588</v>
      </c>
      <c r="AB634" s="4" t="s">
        <v>506</v>
      </c>
      <c r="AC634" s="4" t="s">
        <v>507</v>
      </c>
      <c r="AD634" s="4" t="s">
        <v>508</v>
      </c>
      <c r="AE634" s="4" t="s">
        <v>509</v>
      </c>
      <c r="AF634" s="4" t="s">
        <v>589</v>
      </c>
      <c r="AG634" s="115">
        <f>+VLOOKUP(Y634,B:O,11,FALSE)/1000</f>
        <v>8.5379573269736844E-2</v>
      </c>
      <c r="AI634" s="158"/>
    </row>
    <row r="635" spans="23:35">
      <c r="W635" s="4" t="s">
        <v>585</v>
      </c>
      <c r="X635" s="4" t="s">
        <v>3365</v>
      </c>
      <c r="Y635" s="151" t="str">
        <f t="shared" si="56"/>
        <v>E5810</v>
      </c>
      <c r="Z635" s="4" t="s">
        <v>587</v>
      </c>
      <c r="AA635" s="114" t="s">
        <v>588</v>
      </c>
      <c r="AB635" s="4" t="s">
        <v>506</v>
      </c>
      <c r="AC635" s="4" t="s">
        <v>507</v>
      </c>
      <c r="AD635" s="4" t="s">
        <v>508</v>
      </c>
      <c r="AE635" s="4" t="s">
        <v>509</v>
      </c>
      <c r="AF635" s="4" t="s">
        <v>589</v>
      </c>
      <c r="AG635" s="115">
        <f>+VLOOKUP(Y635,B:O,12,FALSE)/1000</f>
        <v>8.5379573269736844E-2</v>
      </c>
      <c r="AI635" s="158"/>
    </row>
    <row r="636" spans="23:35">
      <c r="W636" s="4" t="s">
        <v>585</v>
      </c>
      <c r="X636" s="4" t="s">
        <v>3366</v>
      </c>
      <c r="Y636" s="151" t="str">
        <f t="shared" si="56"/>
        <v>E5810</v>
      </c>
      <c r="Z636" s="4" t="s">
        <v>587</v>
      </c>
      <c r="AA636" s="114" t="s">
        <v>588</v>
      </c>
      <c r="AB636" s="4" t="s">
        <v>506</v>
      </c>
      <c r="AC636" s="4" t="s">
        <v>507</v>
      </c>
      <c r="AD636" s="4" t="s">
        <v>508</v>
      </c>
      <c r="AE636" s="4" t="s">
        <v>509</v>
      </c>
      <c r="AF636" s="4" t="s">
        <v>589</v>
      </c>
      <c r="AG636" s="115">
        <f>+VLOOKUP(Y636,B:O,13,FALSE)/1000</f>
        <v>8.7343303454940777E-2</v>
      </c>
      <c r="AI636" s="158"/>
    </row>
    <row r="637" spans="23:35">
      <c r="W637" s="4" t="s">
        <v>585</v>
      </c>
      <c r="X637" s="4" t="s">
        <v>3367</v>
      </c>
      <c r="Y637" s="151" t="str">
        <f t="shared" si="56"/>
        <v>E5810</v>
      </c>
      <c r="Z637" s="4" t="s">
        <v>587</v>
      </c>
      <c r="AA637" s="114" t="s">
        <v>588</v>
      </c>
      <c r="AB637" s="4" t="s">
        <v>506</v>
      </c>
      <c r="AC637" s="4" t="s">
        <v>507</v>
      </c>
      <c r="AD637" s="4" t="s">
        <v>508</v>
      </c>
      <c r="AE637" s="4" t="s">
        <v>509</v>
      </c>
      <c r="AF637" s="4" t="s">
        <v>589</v>
      </c>
      <c r="AG637" s="115">
        <f>+VLOOKUP(Y637,B:O,14,FALSE)/1000</f>
        <v>8.7343303454940777E-2</v>
      </c>
      <c r="AI637" s="158"/>
    </row>
    <row r="638" spans="23:35">
      <c r="W638" s="4" t="s">
        <v>585</v>
      </c>
      <c r="X638" s="3" t="s">
        <v>3356</v>
      </c>
      <c r="Y638" s="150" t="str">
        <f>INDEX($B$3:$O$110,79,1)</f>
        <v>E5880</v>
      </c>
      <c r="Z638" s="4" t="s">
        <v>587</v>
      </c>
      <c r="AA638" s="114" t="s">
        <v>588</v>
      </c>
      <c r="AB638" s="4" t="s">
        <v>506</v>
      </c>
      <c r="AC638" s="4" t="s">
        <v>507</v>
      </c>
      <c r="AD638" s="4" t="s">
        <v>508</v>
      </c>
      <c r="AE638" s="4" t="s">
        <v>509</v>
      </c>
      <c r="AF638" s="4" t="s">
        <v>589</v>
      </c>
      <c r="AG638" s="115">
        <f>+VLOOKUP(Y638,B:O,3,FALSE)/1000</f>
        <v>7.9920000000000005E-2</v>
      </c>
      <c r="AI638" s="158"/>
    </row>
    <row r="639" spans="23:35">
      <c r="W639" s="4" t="s">
        <v>585</v>
      </c>
      <c r="X639" s="4" t="s">
        <v>3357</v>
      </c>
      <c r="Y639" s="151" t="str">
        <f>Y638</f>
        <v>E5880</v>
      </c>
      <c r="Z639" s="4" t="s">
        <v>587</v>
      </c>
      <c r="AA639" s="114" t="s">
        <v>588</v>
      </c>
      <c r="AB639" s="4" t="s">
        <v>506</v>
      </c>
      <c r="AC639" s="4" t="s">
        <v>507</v>
      </c>
      <c r="AD639" s="4" t="s">
        <v>508</v>
      </c>
      <c r="AE639" s="4" t="s">
        <v>509</v>
      </c>
      <c r="AF639" s="4" t="s">
        <v>589</v>
      </c>
      <c r="AG639" s="115">
        <f>+VLOOKUP(Y639,B:O,4,FALSE)/1000</f>
        <v>8.0890000000000004E-2</v>
      </c>
      <c r="AI639" s="158"/>
    </row>
    <row r="640" spans="23:35">
      <c r="W640" s="4" t="s">
        <v>585</v>
      </c>
      <c r="X640" s="4" t="s">
        <v>3358</v>
      </c>
      <c r="Y640" s="151" t="str">
        <f t="shared" ref="Y640:Y649" si="57">Y639</f>
        <v>E5880</v>
      </c>
      <c r="Z640" s="4" t="s">
        <v>587</v>
      </c>
      <c r="AA640" s="114" t="s">
        <v>588</v>
      </c>
      <c r="AB640" s="4" t="s">
        <v>506</v>
      </c>
      <c r="AC640" s="4" t="s">
        <v>507</v>
      </c>
      <c r="AD640" s="4" t="s">
        <v>508</v>
      </c>
      <c r="AE640" s="4" t="s">
        <v>509</v>
      </c>
      <c r="AF640" s="4" t="s">
        <v>589</v>
      </c>
      <c r="AG640" s="115">
        <f>+VLOOKUP(Y640,B:O,5,FALSE)/1000</f>
        <v>6.8669999999999995E-2</v>
      </c>
      <c r="AI640" s="158"/>
    </row>
    <row r="641" spans="23:35">
      <c r="W641" s="4" t="s">
        <v>585</v>
      </c>
      <c r="X641" s="4" t="s">
        <v>3359</v>
      </c>
      <c r="Y641" s="151" t="str">
        <f t="shared" si="57"/>
        <v>E5880</v>
      </c>
      <c r="Z641" s="4" t="s">
        <v>587</v>
      </c>
      <c r="AA641" s="114" t="s">
        <v>588</v>
      </c>
      <c r="AB641" s="4" t="s">
        <v>506</v>
      </c>
      <c r="AC641" s="4" t="s">
        <v>507</v>
      </c>
      <c r="AD641" s="4" t="s">
        <v>508</v>
      </c>
      <c r="AE641" s="4" t="s">
        <v>509</v>
      </c>
      <c r="AF641" s="4" t="s">
        <v>589</v>
      </c>
      <c r="AG641" s="115">
        <f>+VLOOKUP(Y641,B:O,6,FALSE)/1000</f>
        <v>5.4279999999999995E-2</v>
      </c>
      <c r="AI641" s="158"/>
    </row>
    <row r="642" spans="23:35">
      <c r="W642" s="4" t="s">
        <v>585</v>
      </c>
      <c r="X642" s="4" t="s">
        <v>3360</v>
      </c>
      <c r="Y642" s="151" t="str">
        <f t="shared" si="57"/>
        <v>E5880</v>
      </c>
      <c r="Z642" s="4" t="s">
        <v>587</v>
      </c>
      <c r="AA642" s="114" t="s">
        <v>588</v>
      </c>
      <c r="AB642" s="4" t="s">
        <v>506</v>
      </c>
      <c r="AC642" s="4" t="s">
        <v>507</v>
      </c>
      <c r="AD642" s="4" t="s">
        <v>508</v>
      </c>
      <c r="AE642" s="4" t="s">
        <v>509</v>
      </c>
      <c r="AF642" s="4" t="s">
        <v>589</v>
      </c>
      <c r="AG642" s="115">
        <f>+VLOOKUP(Y642,B:O,7,FALSE)/1000</f>
        <v>4.4959999999999993E-2</v>
      </c>
      <c r="AI642" s="158"/>
    </row>
    <row r="643" spans="23:35">
      <c r="W643" s="4" t="s">
        <v>585</v>
      </c>
      <c r="X643" s="4" t="s">
        <v>3361</v>
      </c>
      <c r="Y643" s="151" t="str">
        <f t="shared" si="57"/>
        <v>E5880</v>
      </c>
      <c r="Z643" s="4" t="s">
        <v>587</v>
      </c>
      <c r="AA643" s="114" t="s">
        <v>588</v>
      </c>
      <c r="AB643" s="4" t="s">
        <v>506</v>
      </c>
      <c r="AC643" s="4" t="s">
        <v>507</v>
      </c>
      <c r="AD643" s="4" t="s">
        <v>508</v>
      </c>
      <c r="AE643" s="4" t="s">
        <v>509</v>
      </c>
      <c r="AF643" s="4" t="s">
        <v>589</v>
      </c>
      <c r="AG643" s="115">
        <f>+VLOOKUP(Y643,B:O,8,FALSE)/1000</f>
        <v>5.0110000000000002E-2</v>
      </c>
      <c r="AI643" s="158"/>
    </row>
    <row r="644" spans="23:35">
      <c r="W644" s="4" t="s">
        <v>585</v>
      </c>
      <c r="X644" s="4" t="s">
        <v>3362</v>
      </c>
      <c r="Y644" s="151" t="str">
        <f t="shared" si="57"/>
        <v>E5880</v>
      </c>
      <c r="Z644" s="4" t="s">
        <v>587</v>
      </c>
      <c r="AA644" s="114" t="s">
        <v>588</v>
      </c>
      <c r="AB644" s="4" t="s">
        <v>506</v>
      </c>
      <c r="AC644" s="4" t="s">
        <v>507</v>
      </c>
      <c r="AD644" s="4" t="s">
        <v>508</v>
      </c>
      <c r="AE644" s="4" t="s">
        <v>509</v>
      </c>
      <c r="AF644" s="4" t="s">
        <v>589</v>
      </c>
      <c r="AG644" s="115">
        <f>+VLOOKUP(Y644,B:O,9,FALSE)/1000</f>
        <v>5.2169999999999994E-2</v>
      </c>
      <c r="AI644" s="158"/>
    </row>
    <row r="645" spans="23:35">
      <c r="W645" s="4" t="s">
        <v>585</v>
      </c>
      <c r="X645" s="4" t="s">
        <v>3363</v>
      </c>
      <c r="Y645" s="151" t="str">
        <f t="shared" si="57"/>
        <v>E5880</v>
      </c>
      <c r="Z645" s="4" t="s">
        <v>587</v>
      </c>
      <c r="AA645" s="114" t="s">
        <v>588</v>
      </c>
      <c r="AB645" s="4" t="s">
        <v>506</v>
      </c>
      <c r="AC645" s="4" t="s">
        <v>507</v>
      </c>
      <c r="AD645" s="4" t="s">
        <v>508</v>
      </c>
      <c r="AE645" s="4" t="s">
        <v>509</v>
      </c>
      <c r="AF645" s="4" t="s">
        <v>589</v>
      </c>
      <c r="AG645" s="115">
        <f>+VLOOKUP(Y645,B:O,10,FALSE)/1000</f>
        <v>4.8449999999999993E-2</v>
      </c>
      <c r="AI645" s="158"/>
    </row>
    <row r="646" spans="23:35">
      <c r="W646" s="4" t="s">
        <v>585</v>
      </c>
      <c r="X646" s="4" t="s">
        <v>3364</v>
      </c>
      <c r="Y646" s="151" t="str">
        <f t="shared" si="57"/>
        <v>E5880</v>
      </c>
      <c r="Z646" s="4" t="s">
        <v>587</v>
      </c>
      <c r="AA646" s="114" t="s">
        <v>588</v>
      </c>
      <c r="AB646" s="4" t="s">
        <v>506</v>
      </c>
      <c r="AC646" s="4" t="s">
        <v>507</v>
      </c>
      <c r="AD646" s="4" t="s">
        <v>508</v>
      </c>
      <c r="AE646" s="4" t="s">
        <v>509</v>
      </c>
      <c r="AF646" s="4" t="s">
        <v>589</v>
      </c>
      <c r="AG646" s="115">
        <f>+VLOOKUP(Y646,B:O,11,FALSE)/1000</f>
        <v>4.6329999999999996E-2</v>
      </c>
      <c r="AI646" s="158"/>
    </row>
    <row r="647" spans="23:35">
      <c r="W647" s="4" t="s">
        <v>585</v>
      </c>
      <c r="X647" s="4" t="s">
        <v>3365</v>
      </c>
      <c r="Y647" s="151" t="str">
        <f t="shared" si="57"/>
        <v>E5880</v>
      </c>
      <c r="Z647" s="4" t="s">
        <v>587</v>
      </c>
      <c r="AA647" s="114" t="s">
        <v>588</v>
      </c>
      <c r="AB647" s="4" t="s">
        <v>506</v>
      </c>
      <c r="AC647" s="4" t="s">
        <v>507</v>
      </c>
      <c r="AD647" s="4" t="s">
        <v>508</v>
      </c>
      <c r="AE647" s="4" t="s">
        <v>509</v>
      </c>
      <c r="AF647" s="4" t="s">
        <v>589</v>
      </c>
      <c r="AG647" s="115">
        <f>+VLOOKUP(Y647,B:O,12,FALSE)/1000</f>
        <v>4.5529999999999994E-2</v>
      </c>
      <c r="AI647" s="158"/>
    </row>
    <row r="648" spans="23:35">
      <c r="W648" s="4" t="s">
        <v>585</v>
      </c>
      <c r="X648" s="4" t="s">
        <v>3366</v>
      </c>
      <c r="Y648" s="151" t="str">
        <f t="shared" si="57"/>
        <v>E5880</v>
      </c>
      <c r="Z648" s="4" t="s">
        <v>587</v>
      </c>
      <c r="AA648" s="114" t="s">
        <v>588</v>
      </c>
      <c r="AB648" s="4" t="s">
        <v>506</v>
      </c>
      <c r="AC648" s="4" t="s">
        <v>507</v>
      </c>
      <c r="AD648" s="4" t="s">
        <v>508</v>
      </c>
      <c r="AE648" s="4" t="s">
        <v>509</v>
      </c>
      <c r="AF648" s="4" t="s">
        <v>589</v>
      </c>
      <c r="AG648" s="115">
        <f>+VLOOKUP(Y648,B:O,13,FALSE)/1000</f>
        <v>6.4319999999999988E-2</v>
      </c>
      <c r="AI648" s="158"/>
    </row>
    <row r="649" spans="23:35">
      <c r="W649" s="4" t="s">
        <v>585</v>
      </c>
      <c r="X649" s="4" t="s">
        <v>3367</v>
      </c>
      <c r="Y649" s="151" t="str">
        <f t="shared" si="57"/>
        <v>E5880</v>
      </c>
      <c r="Z649" s="4" t="s">
        <v>587</v>
      </c>
      <c r="AA649" s="114" t="s">
        <v>588</v>
      </c>
      <c r="AB649" s="4" t="s">
        <v>506</v>
      </c>
      <c r="AC649" s="4" t="s">
        <v>507</v>
      </c>
      <c r="AD649" s="4" t="s">
        <v>508</v>
      </c>
      <c r="AE649" s="4" t="s">
        <v>509</v>
      </c>
      <c r="AF649" s="4" t="s">
        <v>589</v>
      </c>
      <c r="AG649" s="115">
        <f>+VLOOKUP(Y649,B:O,14,FALSE)/1000</f>
        <v>7.5749999999999998E-2</v>
      </c>
      <c r="AI649" s="158"/>
    </row>
    <row r="650" spans="23:35">
      <c r="W650" s="4" t="s">
        <v>585</v>
      </c>
      <c r="X650" s="3" t="s">
        <v>3356</v>
      </c>
      <c r="Y650" s="150" t="str">
        <f>INDEX($B$3:$O$110,80,1)</f>
        <v>E5890</v>
      </c>
      <c r="Z650" s="4" t="s">
        <v>587</v>
      </c>
      <c r="AA650" s="114" t="s">
        <v>588</v>
      </c>
      <c r="AB650" s="4" t="s">
        <v>506</v>
      </c>
      <c r="AC650" s="4" t="s">
        <v>507</v>
      </c>
      <c r="AD650" s="4" t="s">
        <v>508</v>
      </c>
      <c r="AE650" s="4" t="s">
        <v>509</v>
      </c>
      <c r="AF650" s="4" t="s">
        <v>589</v>
      </c>
      <c r="AG650" s="115">
        <f>+VLOOKUP(Y650,B:O,3,FALSE)/1000</f>
        <v>8.0509999999999998E-2</v>
      </c>
      <c r="AI650" s="158"/>
    </row>
    <row r="651" spans="23:35">
      <c r="W651" s="4" t="s">
        <v>585</v>
      </c>
      <c r="X651" s="4" t="s">
        <v>3357</v>
      </c>
      <c r="Y651" s="151" t="str">
        <f>Y650</f>
        <v>E5890</v>
      </c>
      <c r="Z651" s="4" t="s">
        <v>587</v>
      </c>
      <c r="AA651" s="114" t="s">
        <v>588</v>
      </c>
      <c r="AB651" s="4" t="s">
        <v>506</v>
      </c>
      <c r="AC651" s="4" t="s">
        <v>507</v>
      </c>
      <c r="AD651" s="4" t="s">
        <v>508</v>
      </c>
      <c r="AE651" s="4" t="s">
        <v>509</v>
      </c>
      <c r="AF651" s="4" t="s">
        <v>589</v>
      </c>
      <c r="AG651" s="115">
        <f>+VLOOKUP(Y651,B:O,4,FALSE)/1000</f>
        <v>8.1480000000000011E-2</v>
      </c>
      <c r="AI651" s="158"/>
    </row>
    <row r="652" spans="23:35">
      <c r="W652" s="4" t="s">
        <v>585</v>
      </c>
      <c r="X652" s="4" t="s">
        <v>3358</v>
      </c>
      <c r="Y652" s="151" t="str">
        <f t="shared" ref="Y652:Y661" si="58">Y651</f>
        <v>E5890</v>
      </c>
      <c r="Z652" s="4" t="s">
        <v>587</v>
      </c>
      <c r="AA652" s="114" t="s">
        <v>588</v>
      </c>
      <c r="AB652" s="4" t="s">
        <v>506</v>
      </c>
      <c r="AC652" s="4" t="s">
        <v>507</v>
      </c>
      <c r="AD652" s="4" t="s">
        <v>508</v>
      </c>
      <c r="AE652" s="4" t="s">
        <v>509</v>
      </c>
      <c r="AF652" s="4" t="s">
        <v>589</v>
      </c>
      <c r="AG652" s="115">
        <f>+VLOOKUP(Y652,B:O,5,FALSE)/1000</f>
        <v>6.9260000000000002E-2</v>
      </c>
      <c r="AI652" s="158"/>
    </row>
    <row r="653" spans="23:35">
      <c r="W653" s="4" t="s">
        <v>585</v>
      </c>
      <c r="X653" s="4" t="s">
        <v>3359</v>
      </c>
      <c r="Y653" s="151" t="str">
        <f t="shared" si="58"/>
        <v>E5890</v>
      </c>
      <c r="Z653" s="4" t="s">
        <v>587</v>
      </c>
      <c r="AA653" s="114" t="s">
        <v>588</v>
      </c>
      <c r="AB653" s="4" t="s">
        <v>506</v>
      </c>
      <c r="AC653" s="4" t="s">
        <v>507</v>
      </c>
      <c r="AD653" s="4" t="s">
        <v>508</v>
      </c>
      <c r="AE653" s="4" t="s">
        <v>509</v>
      </c>
      <c r="AF653" s="4" t="s">
        <v>589</v>
      </c>
      <c r="AG653" s="115">
        <f>+VLOOKUP(Y653,B:O,6,FALSE)/1000</f>
        <v>5.4869999999999995E-2</v>
      </c>
      <c r="AI653" s="158"/>
    </row>
    <row r="654" spans="23:35">
      <c r="W654" s="4" t="s">
        <v>585</v>
      </c>
      <c r="X654" s="4" t="s">
        <v>3360</v>
      </c>
      <c r="Y654" s="151" t="str">
        <f t="shared" si="58"/>
        <v>E5890</v>
      </c>
      <c r="Z654" s="4" t="s">
        <v>587</v>
      </c>
      <c r="AA654" s="114" t="s">
        <v>588</v>
      </c>
      <c r="AB654" s="4" t="s">
        <v>506</v>
      </c>
      <c r="AC654" s="4" t="s">
        <v>507</v>
      </c>
      <c r="AD654" s="4" t="s">
        <v>508</v>
      </c>
      <c r="AE654" s="4" t="s">
        <v>509</v>
      </c>
      <c r="AF654" s="4" t="s">
        <v>589</v>
      </c>
      <c r="AG654" s="115">
        <f>+VLOOKUP(Y654,B:O,7,FALSE)/1000</f>
        <v>4.555E-2</v>
      </c>
      <c r="AI654" s="158"/>
    </row>
    <row r="655" spans="23:35">
      <c r="W655" s="4" t="s">
        <v>585</v>
      </c>
      <c r="X655" s="4" t="s">
        <v>3361</v>
      </c>
      <c r="Y655" s="151" t="str">
        <f t="shared" si="58"/>
        <v>E5890</v>
      </c>
      <c r="Z655" s="4" t="s">
        <v>587</v>
      </c>
      <c r="AA655" s="114" t="s">
        <v>588</v>
      </c>
      <c r="AB655" s="4" t="s">
        <v>506</v>
      </c>
      <c r="AC655" s="4" t="s">
        <v>507</v>
      </c>
      <c r="AD655" s="4" t="s">
        <v>508</v>
      </c>
      <c r="AE655" s="4" t="s">
        <v>509</v>
      </c>
      <c r="AF655" s="4" t="s">
        <v>589</v>
      </c>
      <c r="AG655" s="115">
        <f>+VLOOKUP(Y655,B:O,8,FALSE)/1000</f>
        <v>5.0700000000000002E-2</v>
      </c>
      <c r="AI655" s="158"/>
    </row>
    <row r="656" spans="23:35">
      <c r="W656" s="4" t="s">
        <v>585</v>
      </c>
      <c r="X656" s="4" t="s">
        <v>3362</v>
      </c>
      <c r="Y656" s="151" t="str">
        <f t="shared" si="58"/>
        <v>E5890</v>
      </c>
      <c r="Z656" s="4" t="s">
        <v>587</v>
      </c>
      <c r="AA656" s="114" t="s">
        <v>588</v>
      </c>
      <c r="AB656" s="4" t="s">
        <v>506</v>
      </c>
      <c r="AC656" s="4" t="s">
        <v>507</v>
      </c>
      <c r="AD656" s="4" t="s">
        <v>508</v>
      </c>
      <c r="AE656" s="4" t="s">
        <v>509</v>
      </c>
      <c r="AF656" s="4" t="s">
        <v>589</v>
      </c>
      <c r="AG656" s="115">
        <f>+VLOOKUP(Y656,B:O,9,FALSE)/1000</f>
        <v>5.2760000000000001E-2</v>
      </c>
      <c r="AI656" s="158"/>
    </row>
    <row r="657" spans="23:35">
      <c r="W657" s="4" t="s">
        <v>585</v>
      </c>
      <c r="X657" s="4" t="s">
        <v>3363</v>
      </c>
      <c r="Y657" s="151" t="str">
        <f t="shared" si="58"/>
        <v>E5890</v>
      </c>
      <c r="Z657" s="4" t="s">
        <v>587</v>
      </c>
      <c r="AA657" s="114" t="s">
        <v>588</v>
      </c>
      <c r="AB657" s="4" t="s">
        <v>506</v>
      </c>
      <c r="AC657" s="4" t="s">
        <v>507</v>
      </c>
      <c r="AD657" s="4" t="s">
        <v>508</v>
      </c>
      <c r="AE657" s="4" t="s">
        <v>509</v>
      </c>
      <c r="AF657" s="4" t="s">
        <v>589</v>
      </c>
      <c r="AG657" s="115">
        <f>+VLOOKUP(Y657,B:O,10,FALSE)/1000</f>
        <v>4.904E-2</v>
      </c>
      <c r="AI657" s="158"/>
    </row>
    <row r="658" spans="23:35">
      <c r="W658" s="4" t="s">
        <v>585</v>
      </c>
      <c r="X658" s="4" t="s">
        <v>3364</v>
      </c>
      <c r="Y658" s="151" t="str">
        <f t="shared" si="58"/>
        <v>E5890</v>
      </c>
      <c r="Z658" s="4" t="s">
        <v>587</v>
      </c>
      <c r="AA658" s="114" t="s">
        <v>588</v>
      </c>
      <c r="AB658" s="4" t="s">
        <v>506</v>
      </c>
      <c r="AC658" s="4" t="s">
        <v>507</v>
      </c>
      <c r="AD658" s="4" t="s">
        <v>508</v>
      </c>
      <c r="AE658" s="4" t="s">
        <v>509</v>
      </c>
      <c r="AF658" s="4" t="s">
        <v>589</v>
      </c>
      <c r="AG658" s="115">
        <f>+VLOOKUP(Y658,B:O,11,FALSE)/1000</f>
        <v>4.6920000000000003E-2</v>
      </c>
      <c r="AI658" s="158"/>
    </row>
    <row r="659" spans="23:35">
      <c r="W659" s="4" t="s">
        <v>585</v>
      </c>
      <c r="X659" s="4" t="s">
        <v>3365</v>
      </c>
      <c r="Y659" s="151" t="str">
        <f t="shared" si="58"/>
        <v>E5890</v>
      </c>
      <c r="Z659" s="4" t="s">
        <v>587</v>
      </c>
      <c r="AA659" s="114" t="s">
        <v>588</v>
      </c>
      <c r="AB659" s="4" t="s">
        <v>506</v>
      </c>
      <c r="AC659" s="4" t="s">
        <v>507</v>
      </c>
      <c r="AD659" s="4" t="s">
        <v>508</v>
      </c>
      <c r="AE659" s="4" t="s">
        <v>509</v>
      </c>
      <c r="AF659" s="4" t="s">
        <v>589</v>
      </c>
      <c r="AG659" s="115">
        <f>+VLOOKUP(Y659,B:O,12,FALSE)/1000</f>
        <v>4.6119999999999994E-2</v>
      </c>
      <c r="AI659" s="158"/>
    </row>
    <row r="660" spans="23:35">
      <c r="W660" s="4" t="s">
        <v>585</v>
      </c>
      <c r="X660" s="4" t="s">
        <v>3366</v>
      </c>
      <c r="Y660" s="151" t="str">
        <f t="shared" si="58"/>
        <v>E5890</v>
      </c>
      <c r="Z660" s="4" t="s">
        <v>587</v>
      </c>
      <c r="AA660" s="114" t="s">
        <v>588</v>
      </c>
      <c r="AB660" s="4" t="s">
        <v>506</v>
      </c>
      <c r="AC660" s="4" t="s">
        <v>507</v>
      </c>
      <c r="AD660" s="4" t="s">
        <v>508</v>
      </c>
      <c r="AE660" s="4" t="s">
        <v>509</v>
      </c>
      <c r="AF660" s="4" t="s">
        <v>589</v>
      </c>
      <c r="AG660" s="115">
        <f>+VLOOKUP(Y660,B:O,13,FALSE)/1000</f>
        <v>6.4909999999999995E-2</v>
      </c>
      <c r="AI660" s="158"/>
    </row>
    <row r="661" spans="23:35">
      <c r="W661" s="4" t="s">
        <v>585</v>
      </c>
      <c r="X661" s="4" t="s">
        <v>3367</v>
      </c>
      <c r="Y661" s="151" t="str">
        <f t="shared" si="58"/>
        <v>E5890</v>
      </c>
      <c r="Z661" s="4" t="s">
        <v>587</v>
      </c>
      <c r="AA661" s="114" t="s">
        <v>588</v>
      </c>
      <c r="AB661" s="4" t="s">
        <v>506</v>
      </c>
      <c r="AC661" s="4" t="s">
        <v>507</v>
      </c>
      <c r="AD661" s="4" t="s">
        <v>508</v>
      </c>
      <c r="AE661" s="4" t="s">
        <v>509</v>
      </c>
      <c r="AF661" s="4" t="s">
        <v>589</v>
      </c>
      <c r="AG661" s="115">
        <f>+VLOOKUP(Y661,B:O,14,FALSE)/1000</f>
        <v>7.6340000000000005E-2</v>
      </c>
      <c r="AI661" s="158"/>
    </row>
    <row r="662" spans="23:35">
      <c r="W662" s="4" t="s">
        <v>585</v>
      </c>
      <c r="X662" s="3" t="s">
        <v>3356</v>
      </c>
      <c r="Y662" s="150" t="str">
        <f>INDEX($B$3:$O$110,81,1)</f>
        <v>E5930</v>
      </c>
      <c r="Z662" s="4" t="s">
        <v>587</v>
      </c>
      <c r="AA662" s="114" t="s">
        <v>588</v>
      </c>
      <c r="AB662" s="4" t="s">
        <v>506</v>
      </c>
      <c r="AC662" s="4" t="s">
        <v>507</v>
      </c>
      <c r="AD662" s="4" t="s">
        <v>508</v>
      </c>
      <c r="AE662" s="4" t="s">
        <v>509</v>
      </c>
      <c r="AF662" s="4" t="s">
        <v>589</v>
      </c>
      <c r="AG662" s="115">
        <f>+VLOOKUP(Y662,B:O,3,FALSE)/1000</f>
        <v>8.0840000000000009E-2</v>
      </c>
      <c r="AI662" s="158"/>
    </row>
    <row r="663" spans="23:35">
      <c r="W663" s="4" t="s">
        <v>585</v>
      </c>
      <c r="X663" s="4" t="s">
        <v>3357</v>
      </c>
      <c r="Y663" s="151" t="str">
        <f>Y662</f>
        <v>E5930</v>
      </c>
      <c r="Z663" s="4" t="s">
        <v>587</v>
      </c>
      <c r="AA663" s="114" t="s">
        <v>588</v>
      </c>
      <c r="AB663" s="4" t="s">
        <v>506</v>
      </c>
      <c r="AC663" s="4" t="s">
        <v>507</v>
      </c>
      <c r="AD663" s="4" t="s">
        <v>508</v>
      </c>
      <c r="AE663" s="4" t="s">
        <v>509</v>
      </c>
      <c r="AF663" s="4" t="s">
        <v>589</v>
      </c>
      <c r="AG663" s="115">
        <f>+VLOOKUP(Y663,B:O,4,FALSE)/1000</f>
        <v>8.1810000000000008E-2</v>
      </c>
      <c r="AI663" s="158"/>
    </row>
    <row r="664" spans="23:35">
      <c r="W664" s="4" t="s">
        <v>585</v>
      </c>
      <c r="X664" s="4" t="s">
        <v>3358</v>
      </c>
      <c r="Y664" s="151" t="str">
        <f t="shared" ref="Y664:Y673" si="59">Y663</f>
        <v>E5930</v>
      </c>
      <c r="Z664" s="4" t="s">
        <v>587</v>
      </c>
      <c r="AA664" s="114" t="s">
        <v>588</v>
      </c>
      <c r="AB664" s="4" t="s">
        <v>506</v>
      </c>
      <c r="AC664" s="4" t="s">
        <v>507</v>
      </c>
      <c r="AD664" s="4" t="s">
        <v>508</v>
      </c>
      <c r="AE664" s="4" t="s">
        <v>509</v>
      </c>
      <c r="AF664" s="4" t="s">
        <v>589</v>
      </c>
      <c r="AG664" s="115">
        <f>+VLOOKUP(Y664,B:O,5,FALSE)/1000</f>
        <v>6.9589999999999999E-2</v>
      </c>
      <c r="AI664" s="158"/>
    </row>
    <row r="665" spans="23:35">
      <c r="W665" s="4" t="s">
        <v>585</v>
      </c>
      <c r="X665" s="4" t="s">
        <v>3359</v>
      </c>
      <c r="Y665" s="151" t="str">
        <f t="shared" si="59"/>
        <v>E5930</v>
      </c>
      <c r="Z665" s="4" t="s">
        <v>587</v>
      </c>
      <c r="AA665" s="114" t="s">
        <v>588</v>
      </c>
      <c r="AB665" s="4" t="s">
        <v>506</v>
      </c>
      <c r="AC665" s="4" t="s">
        <v>507</v>
      </c>
      <c r="AD665" s="4" t="s">
        <v>508</v>
      </c>
      <c r="AE665" s="4" t="s">
        <v>509</v>
      </c>
      <c r="AF665" s="4" t="s">
        <v>589</v>
      </c>
      <c r="AG665" s="115">
        <f>+VLOOKUP(Y665,B:O,6,FALSE)/1000</f>
        <v>5.5199999999999999E-2</v>
      </c>
      <c r="AI665" s="158"/>
    </row>
    <row r="666" spans="23:35">
      <c r="W666" s="4" t="s">
        <v>585</v>
      </c>
      <c r="X666" s="4" t="s">
        <v>3360</v>
      </c>
      <c r="Y666" s="151" t="str">
        <f t="shared" si="59"/>
        <v>E5930</v>
      </c>
      <c r="Z666" s="4" t="s">
        <v>587</v>
      </c>
      <c r="AA666" s="114" t="s">
        <v>588</v>
      </c>
      <c r="AB666" s="4" t="s">
        <v>506</v>
      </c>
      <c r="AC666" s="4" t="s">
        <v>507</v>
      </c>
      <c r="AD666" s="4" t="s">
        <v>508</v>
      </c>
      <c r="AE666" s="4" t="s">
        <v>509</v>
      </c>
      <c r="AF666" s="4" t="s">
        <v>589</v>
      </c>
      <c r="AG666" s="115">
        <f>+VLOOKUP(Y666,B:O,7,FALSE)/1000</f>
        <v>4.5879999999999997E-2</v>
      </c>
      <c r="AI666" s="158"/>
    </row>
    <row r="667" spans="23:35">
      <c r="W667" s="4" t="s">
        <v>585</v>
      </c>
      <c r="X667" s="4" t="s">
        <v>3361</v>
      </c>
      <c r="Y667" s="151" t="str">
        <f t="shared" si="59"/>
        <v>E5930</v>
      </c>
      <c r="Z667" s="4" t="s">
        <v>587</v>
      </c>
      <c r="AA667" s="114" t="s">
        <v>588</v>
      </c>
      <c r="AB667" s="4" t="s">
        <v>506</v>
      </c>
      <c r="AC667" s="4" t="s">
        <v>507</v>
      </c>
      <c r="AD667" s="4" t="s">
        <v>508</v>
      </c>
      <c r="AE667" s="4" t="s">
        <v>509</v>
      </c>
      <c r="AF667" s="4" t="s">
        <v>589</v>
      </c>
      <c r="AG667" s="115">
        <f>+VLOOKUP(Y667,B:O,8,FALSE)/1000</f>
        <v>5.1029999999999999E-2</v>
      </c>
      <c r="AI667" s="158"/>
    </row>
    <row r="668" spans="23:35">
      <c r="W668" s="4" t="s">
        <v>585</v>
      </c>
      <c r="X668" s="4" t="s">
        <v>3362</v>
      </c>
      <c r="Y668" s="151" t="str">
        <f t="shared" si="59"/>
        <v>E5930</v>
      </c>
      <c r="Z668" s="4" t="s">
        <v>587</v>
      </c>
      <c r="AA668" s="114" t="s">
        <v>588</v>
      </c>
      <c r="AB668" s="4" t="s">
        <v>506</v>
      </c>
      <c r="AC668" s="4" t="s">
        <v>507</v>
      </c>
      <c r="AD668" s="4" t="s">
        <v>508</v>
      </c>
      <c r="AE668" s="4" t="s">
        <v>509</v>
      </c>
      <c r="AF668" s="4" t="s">
        <v>589</v>
      </c>
      <c r="AG668" s="115">
        <f>+VLOOKUP(Y668,B:O,9,FALSE)/1000</f>
        <v>5.3089999999999998E-2</v>
      </c>
      <c r="AI668" s="158"/>
    </row>
    <row r="669" spans="23:35">
      <c r="W669" s="4" t="s">
        <v>585</v>
      </c>
      <c r="X669" s="4" t="s">
        <v>3363</v>
      </c>
      <c r="Y669" s="151" t="str">
        <f t="shared" si="59"/>
        <v>E5930</v>
      </c>
      <c r="Z669" s="4" t="s">
        <v>587</v>
      </c>
      <c r="AA669" s="114" t="s">
        <v>588</v>
      </c>
      <c r="AB669" s="4" t="s">
        <v>506</v>
      </c>
      <c r="AC669" s="4" t="s">
        <v>507</v>
      </c>
      <c r="AD669" s="4" t="s">
        <v>508</v>
      </c>
      <c r="AE669" s="4" t="s">
        <v>509</v>
      </c>
      <c r="AF669" s="4" t="s">
        <v>589</v>
      </c>
      <c r="AG669" s="115">
        <f>+VLOOKUP(Y669,B:O,10,FALSE)/1000</f>
        <v>4.9369999999999997E-2</v>
      </c>
      <c r="AI669" s="158"/>
    </row>
    <row r="670" spans="23:35">
      <c r="W670" s="4" t="s">
        <v>585</v>
      </c>
      <c r="X670" s="4" t="s">
        <v>3364</v>
      </c>
      <c r="Y670" s="151" t="str">
        <f t="shared" si="59"/>
        <v>E5930</v>
      </c>
      <c r="Z670" s="4" t="s">
        <v>587</v>
      </c>
      <c r="AA670" s="114" t="s">
        <v>588</v>
      </c>
      <c r="AB670" s="4" t="s">
        <v>506</v>
      </c>
      <c r="AC670" s="4" t="s">
        <v>507</v>
      </c>
      <c r="AD670" s="4" t="s">
        <v>508</v>
      </c>
      <c r="AE670" s="4" t="s">
        <v>509</v>
      </c>
      <c r="AF670" s="4" t="s">
        <v>589</v>
      </c>
      <c r="AG670" s="115">
        <f>+VLOOKUP(Y670,B:O,11,FALSE)/1000</f>
        <v>4.725E-2</v>
      </c>
      <c r="AI670" s="158"/>
    </row>
    <row r="671" spans="23:35">
      <c r="W671" s="4" t="s">
        <v>585</v>
      </c>
      <c r="X671" s="4" t="s">
        <v>3365</v>
      </c>
      <c r="Y671" s="151" t="str">
        <f t="shared" si="59"/>
        <v>E5930</v>
      </c>
      <c r="Z671" s="4" t="s">
        <v>587</v>
      </c>
      <c r="AA671" s="114" t="s">
        <v>588</v>
      </c>
      <c r="AB671" s="4" t="s">
        <v>506</v>
      </c>
      <c r="AC671" s="4" t="s">
        <v>507</v>
      </c>
      <c r="AD671" s="4" t="s">
        <v>508</v>
      </c>
      <c r="AE671" s="4" t="s">
        <v>509</v>
      </c>
      <c r="AF671" s="4" t="s">
        <v>589</v>
      </c>
      <c r="AG671" s="115">
        <f>+VLOOKUP(Y671,B:O,12,FALSE)/1000</f>
        <v>4.6449999999999998E-2</v>
      </c>
      <c r="AI671" s="158"/>
    </row>
    <row r="672" spans="23:35">
      <c r="W672" s="4" t="s">
        <v>585</v>
      </c>
      <c r="X672" s="4" t="s">
        <v>3366</v>
      </c>
      <c r="Y672" s="151" t="str">
        <f t="shared" si="59"/>
        <v>E5930</v>
      </c>
      <c r="Z672" s="4" t="s">
        <v>587</v>
      </c>
      <c r="AA672" s="114" t="s">
        <v>588</v>
      </c>
      <c r="AB672" s="4" t="s">
        <v>506</v>
      </c>
      <c r="AC672" s="4" t="s">
        <v>507</v>
      </c>
      <c r="AD672" s="4" t="s">
        <v>508</v>
      </c>
      <c r="AE672" s="4" t="s">
        <v>509</v>
      </c>
      <c r="AF672" s="4" t="s">
        <v>589</v>
      </c>
      <c r="AG672" s="115">
        <f>+VLOOKUP(Y672,B:O,13,FALSE)/1000</f>
        <v>6.5239999999999992E-2</v>
      </c>
      <c r="AI672" s="158"/>
    </row>
    <row r="673" spans="23:35">
      <c r="W673" s="4" t="s">
        <v>585</v>
      </c>
      <c r="X673" s="4" t="s">
        <v>3367</v>
      </c>
      <c r="Y673" s="151" t="str">
        <f t="shared" si="59"/>
        <v>E5930</v>
      </c>
      <c r="Z673" s="4" t="s">
        <v>587</v>
      </c>
      <c r="AA673" s="114" t="s">
        <v>588</v>
      </c>
      <c r="AB673" s="4" t="s">
        <v>506</v>
      </c>
      <c r="AC673" s="4" t="s">
        <v>507</v>
      </c>
      <c r="AD673" s="4" t="s">
        <v>508</v>
      </c>
      <c r="AE673" s="4" t="s">
        <v>509</v>
      </c>
      <c r="AF673" s="4" t="s">
        <v>589</v>
      </c>
      <c r="AG673" s="115">
        <f>+VLOOKUP(Y673,B:O,14,FALSE)/1000</f>
        <v>7.6670000000000002E-2</v>
      </c>
      <c r="AI673" s="158"/>
    </row>
    <row r="674" spans="23:35">
      <c r="W674" s="4" t="s">
        <v>585</v>
      </c>
      <c r="X674" s="3" t="s">
        <v>3356</v>
      </c>
      <c r="Y674" s="150" t="str">
        <f>INDEX($B$3:$O$110,82,1)</f>
        <v>E6010</v>
      </c>
      <c r="Z674" s="4" t="s">
        <v>587</v>
      </c>
      <c r="AA674" s="114" t="s">
        <v>588</v>
      </c>
      <c r="AB674" s="4" t="s">
        <v>506</v>
      </c>
      <c r="AC674" s="4" t="s">
        <v>507</v>
      </c>
      <c r="AD674" s="4" t="s">
        <v>508</v>
      </c>
      <c r="AE674" s="4" t="s">
        <v>509</v>
      </c>
      <c r="AF674" s="4" t="s">
        <v>589</v>
      </c>
      <c r="AG674" s="115">
        <f>+VLOOKUP(Y674,B:O,3,FALSE)/1000</f>
        <v>8.2580000000000001E-2</v>
      </c>
      <c r="AI674" s="158"/>
    </row>
    <row r="675" spans="23:35">
      <c r="W675" s="4" t="s">
        <v>585</v>
      </c>
      <c r="X675" s="4" t="s">
        <v>3357</v>
      </c>
      <c r="Y675" s="151" t="str">
        <f>Y674</f>
        <v>E6010</v>
      </c>
      <c r="Z675" s="4" t="s">
        <v>587</v>
      </c>
      <c r="AA675" s="114" t="s">
        <v>588</v>
      </c>
      <c r="AB675" s="4" t="s">
        <v>506</v>
      </c>
      <c r="AC675" s="4" t="s">
        <v>507</v>
      </c>
      <c r="AD675" s="4" t="s">
        <v>508</v>
      </c>
      <c r="AE675" s="4" t="s">
        <v>509</v>
      </c>
      <c r="AF675" s="4" t="s">
        <v>589</v>
      </c>
      <c r="AG675" s="115">
        <f>+VLOOKUP(Y675,B:O,4,FALSE)/1000</f>
        <v>8.3549999999999999E-2</v>
      </c>
      <c r="AI675" s="158"/>
    </row>
    <row r="676" spans="23:35">
      <c r="W676" s="4" t="s">
        <v>585</v>
      </c>
      <c r="X676" s="4" t="s">
        <v>3358</v>
      </c>
      <c r="Y676" s="151" t="str">
        <f t="shared" ref="Y676:Y685" si="60">Y675</f>
        <v>E6010</v>
      </c>
      <c r="Z676" s="4" t="s">
        <v>587</v>
      </c>
      <c r="AA676" s="114" t="s">
        <v>588</v>
      </c>
      <c r="AB676" s="4" t="s">
        <v>506</v>
      </c>
      <c r="AC676" s="4" t="s">
        <v>507</v>
      </c>
      <c r="AD676" s="4" t="s">
        <v>508</v>
      </c>
      <c r="AE676" s="4" t="s">
        <v>509</v>
      </c>
      <c r="AF676" s="4" t="s">
        <v>589</v>
      </c>
      <c r="AG676" s="115">
        <f>+VLOOKUP(Y676,B:O,5,FALSE)/1000</f>
        <v>7.1330000000000005E-2</v>
      </c>
      <c r="AI676" s="158"/>
    </row>
    <row r="677" spans="23:35">
      <c r="W677" s="4" t="s">
        <v>585</v>
      </c>
      <c r="X677" s="4" t="s">
        <v>3359</v>
      </c>
      <c r="Y677" s="151" t="str">
        <f t="shared" si="60"/>
        <v>E6010</v>
      </c>
      <c r="Z677" s="4" t="s">
        <v>587</v>
      </c>
      <c r="AA677" s="114" t="s">
        <v>588</v>
      </c>
      <c r="AB677" s="4" t="s">
        <v>506</v>
      </c>
      <c r="AC677" s="4" t="s">
        <v>507</v>
      </c>
      <c r="AD677" s="4" t="s">
        <v>508</v>
      </c>
      <c r="AE677" s="4" t="s">
        <v>509</v>
      </c>
      <c r="AF677" s="4" t="s">
        <v>589</v>
      </c>
      <c r="AG677" s="115">
        <f>+VLOOKUP(Y677,B:O,6,FALSE)/1000</f>
        <v>5.6939999999999998E-2</v>
      </c>
      <c r="AI677" s="158"/>
    </row>
    <row r="678" spans="23:35">
      <c r="W678" s="4" t="s">
        <v>585</v>
      </c>
      <c r="X678" s="4" t="s">
        <v>3360</v>
      </c>
      <c r="Y678" s="151" t="str">
        <f t="shared" si="60"/>
        <v>E6010</v>
      </c>
      <c r="Z678" s="4" t="s">
        <v>587</v>
      </c>
      <c r="AA678" s="114" t="s">
        <v>588</v>
      </c>
      <c r="AB678" s="4" t="s">
        <v>506</v>
      </c>
      <c r="AC678" s="4" t="s">
        <v>507</v>
      </c>
      <c r="AD678" s="4" t="s">
        <v>508</v>
      </c>
      <c r="AE678" s="4" t="s">
        <v>509</v>
      </c>
      <c r="AF678" s="4" t="s">
        <v>589</v>
      </c>
      <c r="AG678" s="115">
        <f>+VLOOKUP(Y678,B:O,7,FALSE)/1000</f>
        <v>4.7619999999999996E-2</v>
      </c>
      <c r="AI678" s="158"/>
    </row>
    <row r="679" spans="23:35">
      <c r="W679" s="4" t="s">
        <v>585</v>
      </c>
      <c r="X679" s="4" t="s">
        <v>3361</v>
      </c>
      <c r="Y679" s="151" t="str">
        <f t="shared" si="60"/>
        <v>E6010</v>
      </c>
      <c r="Z679" s="4" t="s">
        <v>587</v>
      </c>
      <c r="AA679" s="114" t="s">
        <v>588</v>
      </c>
      <c r="AB679" s="4" t="s">
        <v>506</v>
      </c>
      <c r="AC679" s="4" t="s">
        <v>507</v>
      </c>
      <c r="AD679" s="4" t="s">
        <v>508</v>
      </c>
      <c r="AE679" s="4" t="s">
        <v>509</v>
      </c>
      <c r="AF679" s="4" t="s">
        <v>589</v>
      </c>
      <c r="AG679" s="115">
        <f>+VLOOKUP(Y679,B:O,8,FALSE)/1000</f>
        <v>5.2770000000000004E-2</v>
      </c>
      <c r="AI679" s="158"/>
    </row>
    <row r="680" spans="23:35">
      <c r="W680" s="4" t="s">
        <v>585</v>
      </c>
      <c r="X680" s="4" t="s">
        <v>3362</v>
      </c>
      <c r="Y680" s="151" t="str">
        <f t="shared" si="60"/>
        <v>E6010</v>
      </c>
      <c r="Z680" s="4" t="s">
        <v>587</v>
      </c>
      <c r="AA680" s="114" t="s">
        <v>588</v>
      </c>
      <c r="AB680" s="4" t="s">
        <v>506</v>
      </c>
      <c r="AC680" s="4" t="s">
        <v>507</v>
      </c>
      <c r="AD680" s="4" t="s">
        <v>508</v>
      </c>
      <c r="AE680" s="4" t="s">
        <v>509</v>
      </c>
      <c r="AF680" s="4" t="s">
        <v>589</v>
      </c>
      <c r="AG680" s="115">
        <f>+VLOOKUP(Y680,B:O,9,FALSE)/1000</f>
        <v>5.4829999999999997E-2</v>
      </c>
      <c r="AI680" s="158"/>
    </row>
    <row r="681" spans="23:35">
      <c r="W681" s="4" t="s">
        <v>585</v>
      </c>
      <c r="X681" s="4" t="s">
        <v>3363</v>
      </c>
      <c r="Y681" s="151" t="str">
        <f t="shared" si="60"/>
        <v>E6010</v>
      </c>
      <c r="Z681" s="4" t="s">
        <v>587</v>
      </c>
      <c r="AA681" s="114" t="s">
        <v>588</v>
      </c>
      <c r="AB681" s="4" t="s">
        <v>506</v>
      </c>
      <c r="AC681" s="4" t="s">
        <v>507</v>
      </c>
      <c r="AD681" s="4" t="s">
        <v>508</v>
      </c>
      <c r="AE681" s="4" t="s">
        <v>509</v>
      </c>
      <c r="AF681" s="4" t="s">
        <v>589</v>
      </c>
      <c r="AG681" s="115">
        <f>+VLOOKUP(Y681,B:O,10,FALSE)/1000</f>
        <v>5.1110000000000003E-2</v>
      </c>
      <c r="AI681" s="158"/>
    </row>
    <row r="682" spans="23:35">
      <c r="W682" s="4" t="s">
        <v>585</v>
      </c>
      <c r="X682" s="4" t="s">
        <v>3364</v>
      </c>
      <c r="Y682" s="151" t="str">
        <f t="shared" si="60"/>
        <v>E6010</v>
      </c>
      <c r="Z682" s="4" t="s">
        <v>587</v>
      </c>
      <c r="AA682" s="114" t="s">
        <v>588</v>
      </c>
      <c r="AB682" s="4" t="s">
        <v>506</v>
      </c>
      <c r="AC682" s="4" t="s">
        <v>507</v>
      </c>
      <c r="AD682" s="4" t="s">
        <v>508</v>
      </c>
      <c r="AE682" s="4" t="s">
        <v>509</v>
      </c>
      <c r="AF682" s="4" t="s">
        <v>589</v>
      </c>
      <c r="AG682" s="115">
        <f>+VLOOKUP(Y682,B:O,11,FALSE)/1000</f>
        <v>4.8989999999999999E-2</v>
      </c>
      <c r="AI682" s="158"/>
    </row>
    <row r="683" spans="23:35">
      <c r="W683" s="4" t="s">
        <v>585</v>
      </c>
      <c r="X683" s="4" t="s">
        <v>3365</v>
      </c>
      <c r="Y683" s="151" t="str">
        <f t="shared" si="60"/>
        <v>E6010</v>
      </c>
      <c r="Z683" s="4" t="s">
        <v>587</v>
      </c>
      <c r="AA683" s="114" t="s">
        <v>588</v>
      </c>
      <c r="AB683" s="4" t="s">
        <v>506</v>
      </c>
      <c r="AC683" s="4" t="s">
        <v>507</v>
      </c>
      <c r="AD683" s="4" t="s">
        <v>508</v>
      </c>
      <c r="AE683" s="4" t="s">
        <v>509</v>
      </c>
      <c r="AF683" s="4" t="s">
        <v>589</v>
      </c>
      <c r="AG683" s="115">
        <f>+VLOOKUP(Y683,B:O,12,FALSE)/1000</f>
        <v>4.8189999999999997E-2</v>
      </c>
      <c r="AI683" s="158"/>
    </row>
    <row r="684" spans="23:35">
      <c r="W684" s="4" t="s">
        <v>585</v>
      </c>
      <c r="X684" s="4" t="s">
        <v>3366</v>
      </c>
      <c r="Y684" s="151" t="str">
        <f t="shared" si="60"/>
        <v>E6010</v>
      </c>
      <c r="Z684" s="4" t="s">
        <v>587</v>
      </c>
      <c r="AA684" s="114" t="s">
        <v>588</v>
      </c>
      <c r="AB684" s="4" t="s">
        <v>506</v>
      </c>
      <c r="AC684" s="4" t="s">
        <v>507</v>
      </c>
      <c r="AD684" s="4" t="s">
        <v>508</v>
      </c>
      <c r="AE684" s="4" t="s">
        <v>509</v>
      </c>
      <c r="AF684" s="4" t="s">
        <v>589</v>
      </c>
      <c r="AG684" s="115">
        <f>+VLOOKUP(Y684,B:O,13,FALSE)/1000</f>
        <v>6.6979999999999984E-2</v>
      </c>
      <c r="AI684" s="158"/>
    </row>
    <row r="685" spans="23:35">
      <c r="W685" s="4" t="s">
        <v>585</v>
      </c>
      <c r="X685" s="4" t="s">
        <v>3367</v>
      </c>
      <c r="Y685" s="151" t="str">
        <f t="shared" si="60"/>
        <v>E6010</v>
      </c>
      <c r="Z685" s="4" t="s">
        <v>587</v>
      </c>
      <c r="AA685" s="114" t="s">
        <v>588</v>
      </c>
      <c r="AB685" s="4" t="s">
        <v>506</v>
      </c>
      <c r="AC685" s="4" t="s">
        <v>507</v>
      </c>
      <c r="AD685" s="4" t="s">
        <v>508</v>
      </c>
      <c r="AE685" s="4" t="s">
        <v>509</v>
      </c>
      <c r="AF685" s="4" t="s">
        <v>589</v>
      </c>
      <c r="AG685" s="115">
        <f>+VLOOKUP(Y685,B:O,14,FALSE)/1000</f>
        <v>7.8409999999999994E-2</v>
      </c>
      <c r="AI685" s="158"/>
    </row>
    <row r="686" spans="23:35">
      <c r="W686" s="4" t="s">
        <v>585</v>
      </c>
      <c r="X686" s="3" t="s">
        <v>3356</v>
      </c>
      <c r="Y686" s="150" t="str">
        <f>INDEX($B$3:$O$110,83,1)</f>
        <v>E6040</v>
      </c>
      <c r="Z686" s="4" t="s">
        <v>587</v>
      </c>
      <c r="AA686" s="114" t="s">
        <v>588</v>
      </c>
      <c r="AB686" s="4" t="s">
        <v>506</v>
      </c>
      <c r="AC686" s="4" t="s">
        <v>507</v>
      </c>
      <c r="AD686" s="4" t="s">
        <v>508</v>
      </c>
      <c r="AE686" s="4" t="s">
        <v>509</v>
      </c>
      <c r="AF686" s="4" t="s">
        <v>589</v>
      </c>
      <c r="AG686" s="115">
        <f>+VLOOKUP(Y686,B:O,3,FALSE)/1000</f>
        <v>6.5589999999999996E-2</v>
      </c>
      <c r="AI686" s="158"/>
    </row>
    <row r="687" spans="23:35">
      <c r="W687" s="4" t="s">
        <v>585</v>
      </c>
      <c r="X687" s="4" t="s">
        <v>3357</v>
      </c>
      <c r="Y687" s="151" t="str">
        <f>Y686</f>
        <v>E6040</v>
      </c>
      <c r="Z687" s="4" t="s">
        <v>587</v>
      </c>
      <c r="AA687" s="114" t="s">
        <v>588</v>
      </c>
      <c r="AB687" s="4" t="s">
        <v>506</v>
      </c>
      <c r="AC687" s="4" t="s">
        <v>507</v>
      </c>
      <c r="AD687" s="4" t="s">
        <v>508</v>
      </c>
      <c r="AE687" s="4" t="s">
        <v>509</v>
      </c>
      <c r="AF687" s="4" t="s">
        <v>589</v>
      </c>
      <c r="AG687" s="115">
        <f>+VLOOKUP(Y687,B:O,4,FALSE)/1000</f>
        <v>7.0449999999999985E-2</v>
      </c>
      <c r="AI687" s="158"/>
    </row>
    <row r="688" spans="23:35">
      <c r="W688" s="4" t="s">
        <v>585</v>
      </c>
      <c r="X688" s="4" t="s">
        <v>3358</v>
      </c>
      <c r="Y688" s="151" t="str">
        <f t="shared" ref="Y688:Y697" si="61">Y687</f>
        <v>E6040</v>
      </c>
      <c r="Z688" s="4" t="s">
        <v>587</v>
      </c>
      <c r="AA688" s="114" t="s">
        <v>588</v>
      </c>
      <c r="AB688" s="4" t="s">
        <v>506</v>
      </c>
      <c r="AC688" s="4" t="s">
        <v>507</v>
      </c>
      <c r="AD688" s="4" t="s">
        <v>508</v>
      </c>
      <c r="AE688" s="4" t="s">
        <v>509</v>
      </c>
      <c r="AF688" s="4" t="s">
        <v>589</v>
      </c>
      <c r="AG688" s="115">
        <f>+VLOOKUP(Y688,B:O,5,FALSE)/1000</f>
        <v>6.3630000000000006E-2</v>
      </c>
      <c r="AI688" s="158"/>
    </row>
    <row r="689" spans="23:35">
      <c r="W689" s="4" t="s">
        <v>585</v>
      </c>
      <c r="X689" s="4" t="s">
        <v>3359</v>
      </c>
      <c r="Y689" s="151" t="str">
        <f t="shared" si="61"/>
        <v>E6040</v>
      </c>
      <c r="Z689" s="4" t="s">
        <v>587</v>
      </c>
      <c r="AA689" s="114" t="s">
        <v>588</v>
      </c>
      <c r="AB689" s="4" t="s">
        <v>506</v>
      </c>
      <c r="AC689" s="4" t="s">
        <v>507</v>
      </c>
      <c r="AD689" s="4" t="s">
        <v>508</v>
      </c>
      <c r="AE689" s="4" t="s">
        <v>509</v>
      </c>
      <c r="AF689" s="4" t="s">
        <v>589</v>
      </c>
      <c r="AG689" s="115">
        <f>+VLOOKUP(Y689,B:O,6,FALSE)/1000</f>
        <v>5.1990000000000001E-2</v>
      </c>
      <c r="AI689" s="158"/>
    </row>
    <row r="690" spans="23:35">
      <c r="W690" s="4" t="s">
        <v>585</v>
      </c>
      <c r="X690" s="4" t="s">
        <v>3360</v>
      </c>
      <c r="Y690" s="151" t="str">
        <f t="shared" si="61"/>
        <v>E6040</v>
      </c>
      <c r="Z690" s="4" t="s">
        <v>587</v>
      </c>
      <c r="AA690" s="114" t="s">
        <v>588</v>
      </c>
      <c r="AB690" s="4" t="s">
        <v>506</v>
      </c>
      <c r="AC690" s="4" t="s">
        <v>507</v>
      </c>
      <c r="AD690" s="4" t="s">
        <v>508</v>
      </c>
      <c r="AE690" s="4" t="s">
        <v>509</v>
      </c>
      <c r="AF690" s="4" t="s">
        <v>589</v>
      </c>
      <c r="AG690" s="115">
        <f>+VLOOKUP(Y690,B:O,7,FALSE)/1000</f>
        <v>4.4620000000000007E-2</v>
      </c>
      <c r="AI690" s="158"/>
    </row>
    <row r="691" spans="23:35">
      <c r="W691" s="4" t="s">
        <v>585</v>
      </c>
      <c r="X691" s="4" t="s">
        <v>3361</v>
      </c>
      <c r="Y691" s="151" t="str">
        <f t="shared" si="61"/>
        <v>E6040</v>
      </c>
      <c r="Z691" s="4" t="s">
        <v>587</v>
      </c>
      <c r="AA691" s="114" t="s">
        <v>588</v>
      </c>
      <c r="AB691" s="4" t="s">
        <v>506</v>
      </c>
      <c r="AC691" s="4" t="s">
        <v>507</v>
      </c>
      <c r="AD691" s="4" t="s">
        <v>508</v>
      </c>
      <c r="AE691" s="4" t="s">
        <v>509</v>
      </c>
      <c r="AF691" s="4" t="s">
        <v>589</v>
      </c>
      <c r="AG691" s="115">
        <f>+VLOOKUP(Y691,B:O,8,FALSE)/1000</f>
        <v>4.8490000000000005E-2</v>
      </c>
      <c r="AI691" s="158"/>
    </row>
    <row r="692" spans="23:35">
      <c r="W692" s="4" t="s">
        <v>585</v>
      </c>
      <c r="X692" s="4" t="s">
        <v>3362</v>
      </c>
      <c r="Y692" s="151" t="str">
        <f t="shared" si="61"/>
        <v>E6040</v>
      </c>
      <c r="Z692" s="4" t="s">
        <v>587</v>
      </c>
      <c r="AA692" s="114" t="s">
        <v>588</v>
      </c>
      <c r="AB692" s="4" t="s">
        <v>506</v>
      </c>
      <c r="AC692" s="4" t="s">
        <v>507</v>
      </c>
      <c r="AD692" s="4" t="s">
        <v>508</v>
      </c>
      <c r="AE692" s="4" t="s">
        <v>509</v>
      </c>
      <c r="AF692" s="4" t="s">
        <v>589</v>
      </c>
      <c r="AG692" s="115">
        <f>+VLOOKUP(Y692,B:O,9,FALSE)/1000</f>
        <v>4.9360000000000001E-2</v>
      </c>
      <c r="AI692" s="158"/>
    </row>
    <row r="693" spans="23:35">
      <c r="W693" s="4" t="s">
        <v>585</v>
      </c>
      <c r="X693" s="4" t="s">
        <v>3363</v>
      </c>
      <c r="Y693" s="151" t="str">
        <f t="shared" si="61"/>
        <v>E6040</v>
      </c>
      <c r="Z693" s="4" t="s">
        <v>587</v>
      </c>
      <c r="AA693" s="114" t="s">
        <v>588</v>
      </c>
      <c r="AB693" s="4" t="s">
        <v>506</v>
      </c>
      <c r="AC693" s="4" t="s">
        <v>507</v>
      </c>
      <c r="AD693" s="4" t="s">
        <v>508</v>
      </c>
      <c r="AE693" s="4" t="s">
        <v>509</v>
      </c>
      <c r="AF693" s="4" t="s">
        <v>589</v>
      </c>
      <c r="AG693" s="115">
        <f>+VLOOKUP(Y693,B:O,10,FALSE)/1000</f>
        <v>4.4219999999999995E-2</v>
      </c>
      <c r="AI693" s="158"/>
    </row>
    <row r="694" spans="23:35">
      <c r="W694" s="4" t="s">
        <v>585</v>
      </c>
      <c r="X694" s="4" t="s">
        <v>3364</v>
      </c>
      <c r="Y694" s="151" t="str">
        <f t="shared" si="61"/>
        <v>E6040</v>
      </c>
      <c r="Z694" s="4" t="s">
        <v>587</v>
      </c>
      <c r="AA694" s="114" t="s">
        <v>588</v>
      </c>
      <c r="AB694" s="4" t="s">
        <v>506</v>
      </c>
      <c r="AC694" s="4" t="s">
        <v>507</v>
      </c>
      <c r="AD694" s="4" t="s">
        <v>508</v>
      </c>
      <c r="AE694" s="4" t="s">
        <v>509</v>
      </c>
      <c r="AF694" s="4" t="s">
        <v>589</v>
      </c>
      <c r="AG694" s="115">
        <f>+VLOOKUP(Y694,B:O,11,FALSE)/1000</f>
        <v>4.2040000000000001E-2</v>
      </c>
      <c r="AI694" s="158"/>
    </row>
    <row r="695" spans="23:35">
      <c r="W695" s="4" t="s">
        <v>585</v>
      </c>
      <c r="X695" s="4" t="s">
        <v>3365</v>
      </c>
      <c r="Y695" s="151" t="str">
        <f t="shared" si="61"/>
        <v>E6040</v>
      </c>
      <c r="Z695" s="4" t="s">
        <v>587</v>
      </c>
      <c r="AA695" s="114" t="s">
        <v>588</v>
      </c>
      <c r="AB695" s="4" t="s">
        <v>506</v>
      </c>
      <c r="AC695" s="4" t="s">
        <v>507</v>
      </c>
      <c r="AD695" s="4" t="s">
        <v>508</v>
      </c>
      <c r="AE695" s="4" t="s">
        <v>509</v>
      </c>
      <c r="AF695" s="4" t="s">
        <v>589</v>
      </c>
      <c r="AG695" s="115">
        <f>+VLOOKUP(Y695,B:O,12,FALSE)/1000</f>
        <v>4.2590000000000003E-2</v>
      </c>
      <c r="AI695" s="158"/>
    </row>
    <row r="696" spans="23:35">
      <c r="W696" s="4" t="s">
        <v>585</v>
      </c>
      <c r="X696" s="4" t="s">
        <v>3366</v>
      </c>
      <c r="Y696" s="151" t="str">
        <f t="shared" si="61"/>
        <v>E6040</v>
      </c>
      <c r="Z696" s="4" t="s">
        <v>587</v>
      </c>
      <c r="AA696" s="114" t="s">
        <v>588</v>
      </c>
      <c r="AB696" s="4" t="s">
        <v>506</v>
      </c>
      <c r="AC696" s="4" t="s">
        <v>507</v>
      </c>
      <c r="AD696" s="4" t="s">
        <v>508</v>
      </c>
      <c r="AE696" s="4" t="s">
        <v>509</v>
      </c>
      <c r="AF696" s="4" t="s">
        <v>589</v>
      </c>
      <c r="AG696" s="115">
        <f>+VLOOKUP(Y696,B:O,13,FALSE)/1000</f>
        <v>5.2490000000000002E-2</v>
      </c>
      <c r="AI696" s="158"/>
    </row>
    <row r="697" spans="23:35">
      <c r="W697" s="4" t="s">
        <v>585</v>
      </c>
      <c r="X697" s="4" t="s">
        <v>3367</v>
      </c>
      <c r="Y697" s="151" t="str">
        <f t="shared" si="61"/>
        <v>E6040</v>
      </c>
      <c r="Z697" s="4" t="s">
        <v>587</v>
      </c>
      <c r="AA697" s="114" t="s">
        <v>588</v>
      </c>
      <c r="AB697" s="4" t="s">
        <v>506</v>
      </c>
      <c r="AC697" s="4" t="s">
        <v>507</v>
      </c>
      <c r="AD697" s="4" t="s">
        <v>508</v>
      </c>
      <c r="AE697" s="4" t="s">
        <v>509</v>
      </c>
      <c r="AF697" s="4" t="s">
        <v>589</v>
      </c>
      <c r="AG697" s="115">
        <f>+VLOOKUP(Y697,B:O,14,FALSE)/1000</f>
        <v>5.9060000000000001E-2</v>
      </c>
      <c r="AI697" s="158"/>
    </row>
    <row r="698" spans="23:35">
      <c r="W698" s="4" t="s">
        <v>585</v>
      </c>
      <c r="X698" s="3" t="s">
        <v>3356</v>
      </c>
      <c r="Y698" s="150" t="str">
        <f>INDEX($B$3:$O$110,84,1)</f>
        <v>E6120</v>
      </c>
      <c r="Z698" s="4" t="s">
        <v>587</v>
      </c>
      <c r="AA698" s="114" t="s">
        <v>588</v>
      </c>
      <c r="AB698" s="4" t="s">
        <v>506</v>
      </c>
      <c r="AC698" s="4" t="s">
        <v>507</v>
      </c>
      <c r="AD698" s="4" t="s">
        <v>508</v>
      </c>
      <c r="AE698" s="4" t="s">
        <v>509</v>
      </c>
      <c r="AF698" s="4" t="s">
        <v>589</v>
      </c>
      <c r="AG698" s="115">
        <f>+VLOOKUP(Y698,B:O,3,FALSE)/1000</f>
        <v>9.8238601523446809E-2</v>
      </c>
      <c r="AI698" s="158"/>
    </row>
    <row r="699" spans="23:35">
      <c r="W699" s="4" t="s">
        <v>585</v>
      </c>
      <c r="X699" s="4" t="s">
        <v>3357</v>
      </c>
      <c r="Y699" s="151" t="str">
        <f>Y698</f>
        <v>E6120</v>
      </c>
      <c r="Z699" s="4" t="s">
        <v>587</v>
      </c>
      <c r="AA699" s="114" t="s">
        <v>588</v>
      </c>
      <c r="AB699" s="4" t="s">
        <v>506</v>
      </c>
      <c r="AC699" s="4" t="s">
        <v>507</v>
      </c>
      <c r="AD699" s="4" t="s">
        <v>508</v>
      </c>
      <c r="AE699" s="4" t="s">
        <v>509</v>
      </c>
      <c r="AF699" s="4" t="s">
        <v>589</v>
      </c>
      <c r="AG699" s="115">
        <f>+VLOOKUP(Y699,B:O,4,FALSE)/1000</f>
        <v>9.8238601523446809E-2</v>
      </c>
      <c r="AI699" s="158"/>
    </row>
    <row r="700" spans="23:35">
      <c r="W700" s="4" t="s">
        <v>585</v>
      </c>
      <c r="X700" s="4" t="s">
        <v>3358</v>
      </c>
      <c r="Y700" s="151" t="str">
        <f t="shared" ref="Y700:Y709" si="62">Y699</f>
        <v>E6120</v>
      </c>
      <c r="Z700" s="4" t="s">
        <v>587</v>
      </c>
      <c r="AA700" s="114" t="s">
        <v>588</v>
      </c>
      <c r="AB700" s="4" t="s">
        <v>506</v>
      </c>
      <c r="AC700" s="4" t="s">
        <v>507</v>
      </c>
      <c r="AD700" s="4" t="s">
        <v>508</v>
      </c>
      <c r="AE700" s="4" t="s">
        <v>509</v>
      </c>
      <c r="AF700" s="4" t="s">
        <v>589</v>
      </c>
      <c r="AG700" s="115">
        <f>+VLOOKUP(Y700,B:O,5,FALSE)/1000</f>
        <v>9.8238601523446809E-2</v>
      </c>
      <c r="AI700" s="158"/>
    </row>
    <row r="701" spans="23:35">
      <c r="W701" s="4" t="s">
        <v>585</v>
      </c>
      <c r="X701" s="4" t="s">
        <v>3359</v>
      </c>
      <c r="Y701" s="151" t="str">
        <f t="shared" si="62"/>
        <v>E6120</v>
      </c>
      <c r="Z701" s="4" t="s">
        <v>587</v>
      </c>
      <c r="AA701" s="114" t="s">
        <v>588</v>
      </c>
      <c r="AB701" s="4" t="s">
        <v>506</v>
      </c>
      <c r="AC701" s="4" t="s">
        <v>507</v>
      </c>
      <c r="AD701" s="4" t="s">
        <v>508</v>
      </c>
      <c r="AE701" s="4" t="s">
        <v>509</v>
      </c>
      <c r="AF701" s="4" t="s">
        <v>589</v>
      </c>
      <c r="AG701" s="115">
        <f>+VLOOKUP(Y701,B:O,6,FALSE)/1000</f>
        <v>9.8238601523446809E-2</v>
      </c>
      <c r="AI701" s="158"/>
    </row>
    <row r="702" spans="23:35">
      <c r="W702" s="4" t="s">
        <v>585</v>
      </c>
      <c r="X702" s="4" t="s">
        <v>3360</v>
      </c>
      <c r="Y702" s="151" t="str">
        <f t="shared" si="62"/>
        <v>E6120</v>
      </c>
      <c r="Z702" s="4" t="s">
        <v>587</v>
      </c>
      <c r="AA702" s="114" t="s">
        <v>588</v>
      </c>
      <c r="AB702" s="4" t="s">
        <v>506</v>
      </c>
      <c r="AC702" s="4" t="s">
        <v>507</v>
      </c>
      <c r="AD702" s="4" t="s">
        <v>508</v>
      </c>
      <c r="AE702" s="4" t="s">
        <v>509</v>
      </c>
      <c r="AF702" s="4" t="s">
        <v>589</v>
      </c>
      <c r="AG702" s="115">
        <f>+VLOOKUP(Y702,B:O,7,FALSE)/1000</f>
        <v>9.8238601523446809E-2</v>
      </c>
      <c r="AI702" s="158"/>
    </row>
    <row r="703" spans="23:35">
      <c r="W703" s="4" t="s">
        <v>585</v>
      </c>
      <c r="X703" s="4" t="s">
        <v>3361</v>
      </c>
      <c r="Y703" s="151" t="str">
        <f t="shared" si="62"/>
        <v>E6120</v>
      </c>
      <c r="Z703" s="4" t="s">
        <v>587</v>
      </c>
      <c r="AA703" s="114" t="s">
        <v>588</v>
      </c>
      <c r="AB703" s="4" t="s">
        <v>506</v>
      </c>
      <c r="AC703" s="4" t="s">
        <v>507</v>
      </c>
      <c r="AD703" s="4" t="s">
        <v>508</v>
      </c>
      <c r="AE703" s="4" t="s">
        <v>509</v>
      </c>
      <c r="AF703" s="4" t="s">
        <v>589</v>
      </c>
      <c r="AG703" s="115">
        <f>+VLOOKUP(Y703,B:O,8,FALSE)/1000</f>
        <v>9.8238601523446809E-2</v>
      </c>
      <c r="AI703" s="158"/>
    </row>
    <row r="704" spans="23:35">
      <c r="W704" s="4" t="s">
        <v>585</v>
      </c>
      <c r="X704" s="4" t="s">
        <v>3362</v>
      </c>
      <c r="Y704" s="151" t="str">
        <f t="shared" si="62"/>
        <v>E6120</v>
      </c>
      <c r="Z704" s="4" t="s">
        <v>587</v>
      </c>
      <c r="AA704" s="114" t="s">
        <v>588</v>
      </c>
      <c r="AB704" s="4" t="s">
        <v>506</v>
      </c>
      <c r="AC704" s="4" t="s">
        <v>507</v>
      </c>
      <c r="AD704" s="4" t="s">
        <v>508</v>
      </c>
      <c r="AE704" s="4" t="s">
        <v>509</v>
      </c>
      <c r="AF704" s="4" t="s">
        <v>589</v>
      </c>
      <c r="AG704" s="115">
        <f>+VLOOKUP(Y704,B:O,9,FALSE)/1000</f>
        <v>9.8238601523446809E-2</v>
      </c>
      <c r="AI704" s="158"/>
    </row>
    <row r="705" spans="23:35">
      <c r="W705" s="4" t="s">
        <v>585</v>
      </c>
      <c r="X705" s="4" t="s">
        <v>3363</v>
      </c>
      <c r="Y705" s="151" t="str">
        <f t="shared" si="62"/>
        <v>E6120</v>
      </c>
      <c r="Z705" s="4" t="s">
        <v>587</v>
      </c>
      <c r="AA705" s="114" t="s">
        <v>588</v>
      </c>
      <c r="AB705" s="4" t="s">
        <v>506</v>
      </c>
      <c r="AC705" s="4" t="s">
        <v>507</v>
      </c>
      <c r="AD705" s="4" t="s">
        <v>508</v>
      </c>
      <c r="AE705" s="4" t="s">
        <v>509</v>
      </c>
      <c r="AF705" s="4" t="s">
        <v>589</v>
      </c>
      <c r="AG705" s="115">
        <f>+VLOOKUP(Y705,B:O,10,FALSE)/1000</f>
        <v>9.8238601523446809E-2</v>
      </c>
      <c r="AI705" s="158"/>
    </row>
    <row r="706" spans="23:35">
      <c r="W706" s="4" t="s">
        <v>585</v>
      </c>
      <c r="X706" s="4" t="s">
        <v>3364</v>
      </c>
      <c r="Y706" s="151" t="str">
        <f t="shared" si="62"/>
        <v>E6120</v>
      </c>
      <c r="Z706" s="4" t="s">
        <v>587</v>
      </c>
      <c r="AA706" s="114" t="s">
        <v>588</v>
      </c>
      <c r="AB706" s="4" t="s">
        <v>506</v>
      </c>
      <c r="AC706" s="4" t="s">
        <v>507</v>
      </c>
      <c r="AD706" s="4" t="s">
        <v>508</v>
      </c>
      <c r="AE706" s="4" t="s">
        <v>509</v>
      </c>
      <c r="AF706" s="4" t="s">
        <v>589</v>
      </c>
      <c r="AG706" s="115">
        <f>+VLOOKUP(Y706,B:O,11,FALSE)/1000</f>
        <v>9.8238601523446809E-2</v>
      </c>
      <c r="AI706" s="158"/>
    </row>
    <row r="707" spans="23:35">
      <c r="W707" s="4" t="s">
        <v>585</v>
      </c>
      <c r="X707" s="4" t="s">
        <v>3365</v>
      </c>
      <c r="Y707" s="151" t="str">
        <f t="shared" si="62"/>
        <v>E6120</v>
      </c>
      <c r="Z707" s="4" t="s">
        <v>587</v>
      </c>
      <c r="AA707" s="114" t="s">
        <v>588</v>
      </c>
      <c r="AB707" s="4" t="s">
        <v>506</v>
      </c>
      <c r="AC707" s="4" t="s">
        <v>507</v>
      </c>
      <c r="AD707" s="4" t="s">
        <v>508</v>
      </c>
      <c r="AE707" s="4" t="s">
        <v>509</v>
      </c>
      <c r="AF707" s="4" t="s">
        <v>589</v>
      </c>
      <c r="AG707" s="115">
        <f>+VLOOKUP(Y707,B:O,12,FALSE)/1000</f>
        <v>4.5350000000000001E-2</v>
      </c>
      <c r="AI707" s="158"/>
    </row>
    <row r="708" spans="23:35">
      <c r="W708" s="4" t="s">
        <v>585</v>
      </c>
      <c r="X708" s="4" t="s">
        <v>3366</v>
      </c>
      <c r="Y708" s="151" t="str">
        <f t="shared" si="62"/>
        <v>E6120</v>
      </c>
      <c r="Z708" s="4" t="s">
        <v>587</v>
      </c>
      <c r="AA708" s="114" t="s">
        <v>588</v>
      </c>
      <c r="AB708" s="4" t="s">
        <v>506</v>
      </c>
      <c r="AC708" s="4" t="s">
        <v>507</v>
      </c>
      <c r="AD708" s="4" t="s">
        <v>508</v>
      </c>
      <c r="AE708" s="4" t="s">
        <v>509</v>
      </c>
      <c r="AF708" s="4" t="s">
        <v>589</v>
      </c>
      <c r="AG708" s="115">
        <f>+VLOOKUP(Y708,B:O,13,FALSE)/1000</f>
        <v>5.9090000000000004E-2</v>
      </c>
      <c r="AI708" s="158"/>
    </row>
    <row r="709" spans="23:35">
      <c r="W709" s="4" t="s">
        <v>585</v>
      </c>
      <c r="X709" s="4" t="s">
        <v>3367</v>
      </c>
      <c r="Y709" s="151" t="str">
        <f t="shared" si="62"/>
        <v>E6120</v>
      </c>
      <c r="Z709" s="4" t="s">
        <v>587</v>
      </c>
      <c r="AA709" s="114" t="s">
        <v>588</v>
      </c>
      <c r="AB709" s="4" t="s">
        <v>506</v>
      </c>
      <c r="AC709" s="4" t="s">
        <v>507</v>
      </c>
      <c r="AD709" s="4" t="s">
        <v>508</v>
      </c>
      <c r="AE709" s="4" t="s">
        <v>509</v>
      </c>
      <c r="AF709" s="4" t="s">
        <v>589</v>
      </c>
      <c r="AG709" s="115">
        <f>+VLOOKUP(Y709,B:O,14,FALSE)/1000</f>
        <v>6.4239999999999992E-2</v>
      </c>
      <c r="AI709" s="158"/>
    </row>
    <row r="710" spans="23:35">
      <c r="W710" s="4" t="s">
        <v>585</v>
      </c>
      <c r="X710" s="3" t="s">
        <v>3356</v>
      </c>
      <c r="Y710" s="150" t="str">
        <f>INDEX($B$3:$O$110,85,1)</f>
        <v>E6130</v>
      </c>
      <c r="Z710" s="4" t="s">
        <v>587</v>
      </c>
      <c r="AA710" s="114" t="s">
        <v>588</v>
      </c>
      <c r="AB710" s="4" t="s">
        <v>506</v>
      </c>
      <c r="AC710" s="4" t="s">
        <v>507</v>
      </c>
      <c r="AD710" s="4" t="s">
        <v>508</v>
      </c>
      <c r="AE710" s="4" t="s">
        <v>509</v>
      </c>
      <c r="AF710" s="4" t="s">
        <v>589</v>
      </c>
      <c r="AG710" s="115">
        <f>+VLOOKUP(Y710,B:O,3,FALSE)/1000</f>
        <v>9.5282295220588245E-2</v>
      </c>
      <c r="AI710" s="158"/>
    </row>
    <row r="711" spans="23:35">
      <c r="W711" s="4" t="s">
        <v>585</v>
      </c>
      <c r="X711" s="4" t="s">
        <v>3357</v>
      </c>
      <c r="Y711" s="151" t="str">
        <f>Y710</f>
        <v>E6130</v>
      </c>
      <c r="Z711" s="4" t="s">
        <v>587</v>
      </c>
      <c r="AA711" s="114" t="s">
        <v>588</v>
      </c>
      <c r="AB711" s="4" t="s">
        <v>506</v>
      </c>
      <c r="AC711" s="4" t="s">
        <v>507</v>
      </c>
      <c r="AD711" s="4" t="s">
        <v>508</v>
      </c>
      <c r="AE711" s="4" t="s">
        <v>509</v>
      </c>
      <c r="AF711" s="4" t="s">
        <v>589</v>
      </c>
      <c r="AG711" s="115">
        <f>+VLOOKUP(Y711,B:O,4,FALSE)/1000</f>
        <v>9.5282295220588245E-2</v>
      </c>
      <c r="AI711" s="158"/>
    </row>
    <row r="712" spans="23:35">
      <c r="W712" s="4" t="s">
        <v>585</v>
      </c>
      <c r="X712" s="4" t="s">
        <v>3358</v>
      </c>
      <c r="Y712" s="151" t="str">
        <f t="shared" ref="Y712:Y721" si="63">Y711</f>
        <v>E6130</v>
      </c>
      <c r="Z712" s="4" t="s">
        <v>587</v>
      </c>
      <c r="AA712" s="114" t="s">
        <v>588</v>
      </c>
      <c r="AB712" s="4" t="s">
        <v>506</v>
      </c>
      <c r="AC712" s="4" t="s">
        <v>507</v>
      </c>
      <c r="AD712" s="4" t="s">
        <v>508</v>
      </c>
      <c r="AE712" s="4" t="s">
        <v>509</v>
      </c>
      <c r="AF712" s="4" t="s">
        <v>589</v>
      </c>
      <c r="AG712" s="115">
        <f>+VLOOKUP(Y712,B:O,5,FALSE)/1000</f>
        <v>9.5282295220588245E-2</v>
      </c>
      <c r="AI712" s="158"/>
    </row>
    <row r="713" spans="23:35">
      <c r="W713" s="4" t="s">
        <v>585</v>
      </c>
      <c r="X713" s="4" t="s">
        <v>3359</v>
      </c>
      <c r="Y713" s="151" t="str">
        <f t="shared" si="63"/>
        <v>E6130</v>
      </c>
      <c r="Z713" s="4" t="s">
        <v>587</v>
      </c>
      <c r="AA713" s="114" t="s">
        <v>588</v>
      </c>
      <c r="AB713" s="4" t="s">
        <v>506</v>
      </c>
      <c r="AC713" s="4" t="s">
        <v>507</v>
      </c>
      <c r="AD713" s="4" t="s">
        <v>508</v>
      </c>
      <c r="AE713" s="4" t="s">
        <v>509</v>
      </c>
      <c r="AF713" s="4" t="s">
        <v>589</v>
      </c>
      <c r="AG713" s="115">
        <f>+VLOOKUP(Y713,B:O,6,FALSE)/1000</f>
        <v>9.5282295220588245E-2</v>
      </c>
      <c r="AI713" s="158"/>
    </row>
    <row r="714" spans="23:35">
      <c r="W714" s="4" t="s">
        <v>585</v>
      </c>
      <c r="X714" s="4" t="s">
        <v>3360</v>
      </c>
      <c r="Y714" s="151" t="str">
        <f t="shared" si="63"/>
        <v>E6130</v>
      </c>
      <c r="Z714" s="4" t="s">
        <v>587</v>
      </c>
      <c r="AA714" s="114" t="s">
        <v>588</v>
      </c>
      <c r="AB714" s="4" t="s">
        <v>506</v>
      </c>
      <c r="AC714" s="4" t="s">
        <v>507</v>
      </c>
      <c r="AD714" s="4" t="s">
        <v>508</v>
      </c>
      <c r="AE714" s="4" t="s">
        <v>509</v>
      </c>
      <c r="AF714" s="4" t="s">
        <v>589</v>
      </c>
      <c r="AG714" s="115">
        <f>+VLOOKUP(Y714,B:O,7,FALSE)/1000</f>
        <v>9.5282295220588245E-2</v>
      </c>
      <c r="AI714" s="158"/>
    </row>
    <row r="715" spans="23:35">
      <c r="W715" s="4" t="s">
        <v>585</v>
      </c>
      <c r="X715" s="4" t="s">
        <v>3361</v>
      </c>
      <c r="Y715" s="151" t="str">
        <f t="shared" si="63"/>
        <v>E6130</v>
      </c>
      <c r="Z715" s="4" t="s">
        <v>587</v>
      </c>
      <c r="AA715" s="114" t="s">
        <v>588</v>
      </c>
      <c r="AB715" s="4" t="s">
        <v>506</v>
      </c>
      <c r="AC715" s="4" t="s">
        <v>507</v>
      </c>
      <c r="AD715" s="4" t="s">
        <v>508</v>
      </c>
      <c r="AE715" s="4" t="s">
        <v>509</v>
      </c>
      <c r="AF715" s="4" t="s">
        <v>589</v>
      </c>
      <c r="AG715" s="115">
        <f>+VLOOKUP(Y715,B:O,8,FALSE)/1000</f>
        <v>9.5282295220588245E-2</v>
      </c>
      <c r="AI715" s="158"/>
    </row>
    <row r="716" spans="23:35">
      <c r="W716" s="4" t="s">
        <v>585</v>
      </c>
      <c r="X716" s="4" t="s">
        <v>3362</v>
      </c>
      <c r="Y716" s="151" t="str">
        <f t="shared" si="63"/>
        <v>E6130</v>
      </c>
      <c r="Z716" s="4" t="s">
        <v>587</v>
      </c>
      <c r="AA716" s="114" t="s">
        <v>588</v>
      </c>
      <c r="AB716" s="4" t="s">
        <v>506</v>
      </c>
      <c r="AC716" s="4" t="s">
        <v>507</v>
      </c>
      <c r="AD716" s="4" t="s">
        <v>508</v>
      </c>
      <c r="AE716" s="4" t="s">
        <v>509</v>
      </c>
      <c r="AF716" s="4" t="s">
        <v>589</v>
      </c>
      <c r="AG716" s="115">
        <f>+VLOOKUP(Y716,B:O,9,FALSE)/1000</f>
        <v>9.5282295220588245E-2</v>
      </c>
      <c r="AI716" s="158"/>
    </row>
    <row r="717" spans="23:35">
      <c r="W717" s="4" t="s">
        <v>585</v>
      </c>
      <c r="X717" s="4" t="s">
        <v>3363</v>
      </c>
      <c r="Y717" s="151" t="str">
        <f t="shared" si="63"/>
        <v>E6130</v>
      </c>
      <c r="Z717" s="4" t="s">
        <v>587</v>
      </c>
      <c r="AA717" s="114" t="s">
        <v>588</v>
      </c>
      <c r="AB717" s="4" t="s">
        <v>506</v>
      </c>
      <c r="AC717" s="4" t="s">
        <v>507</v>
      </c>
      <c r="AD717" s="4" t="s">
        <v>508</v>
      </c>
      <c r="AE717" s="4" t="s">
        <v>509</v>
      </c>
      <c r="AF717" s="4" t="s">
        <v>589</v>
      </c>
      <c r="AG717" s="115">
        <f>+VLOOKUP(Y717,B:O,10,FALSE)/1000</f>
        <v>9.5282295220588245E-2</v>
      </c>
      <c r="AI717" s="158"/>
    </row>
    <row r="718" spans="23:35">
      <c r="W718" s="4" t="s">
        <v>585</v>
      </c>
      <c r="X718" s="4" t="s">
        <v>3364</v>
      </c>
      <c r="Y718" s="151" t="str">
        <f t="shared" si="63"/>
        <v>E6130</v>
      </c>
      <c r="Z718" s="4" t="s">
        <v>587</v>
      </c>
      <c r="AA718" s="114" t="s">
        <v>588</v>
      </c>
      <c r="AB718" s="4" t="s">
        <v>506</v>
      </c>
      <c r="AC718" s="4" t="s">
        <v>507</v>
      </c>
      <c r="AD718" s="4" t="s">
        <v>508</v>
      </c>
      <c r="AE718" s="4" t="s">
        <v>509</v>
      </c>
      <c r="AF718" s="4" t="s">
        <v>589</v>
      </c>
      <c r="AG718" s="115">
        <f>+VLOOKUP(Y718,B:O,11,FALSE)/1000</f>
        <v>9.5282295220588245E-2</v>
      </c>
      <c r="AI718" s="158"/>
    </row>
    <row r="719" spans="23:35">
      <c r="W719" s="4" t="s">
        <v>585</v>
      </c>
      <c r="X719" s="4" t="s">
        <v>3365</v>
      </c>
      <c r="Y719" s="151" t="str">
        <f t="shared" si="63"/>
        <v>E6130</v>
      </c>
      <c r="Z719" s="4" t="s">
        <v>587</v>
      </c>
      <c r="AA719" s="114" t="s">
        <v>588</v>
      </c>
      <c r="AB719" s="4" t="s">
        <v>506</v>
      </c>
      <c r="AC719" s="4" t="s">
        <v>507</v>
      </c>
      <c r="AD719" s="4" t="s">
        <v>508</v>
      </c>
      <c r="AE719" s="4" t="s">
        <v>509</v>
      </c>
      <c r="AF719" s="4" t="s">
        <v>589</v>
      </c>
      <c r="AG719" s="115">
        <f>+VLOOKUP(Y719,B:O,12,FALSE)/1000</f>
        <v>9.5282295220588245E-2</v>
      </c>
      <c r="AI719" s="158"/>
    </row>
    <row r="720" spans="23:35">
      <c r="W720" s="4" t="s">
        <v>585</v>
      </c>
      <c r="X720" s="4" t="s">
        <v>3366</v>
      </c>
      <c r="Y720" s="151" t="str">
        <f t="shared" si="63"/>
        <v>E6130</v>
      </c>
      <c r="Z720" s="4" t="s">
        <v>587</v>
      </c>
      <c r="AA720" s="114" t="s">
        <v>588</v>
      </c>
      <c r="AB720" s="4" t="s">
        <v>506</v>
      </c>
      <c r="AC720" s="4" t="s">
        <v>507</v>
      </c>
      <c r="AD720" s="4" t="s">
        <v>508</v>
      </c>
      <c r="AE720" s="4" t="s">
        <v>509</v>
      </c>
      <c r="AF720" s="4" t="s">
        <v>589</v>
      </c>
      <c r="AG720" s="115">
        <f>+VLOOKUP(Y720,B:O,13,FALSE)/1000</f>
        <v>9.7473788010661769E-2</v>
      </c>
      <c r="AI720" s="158"/>
    </row>
    <row r="721" spans="23:35">
      <c r="W721" s="4" t="s">
        <v>585</v>
      </c>
      <c r="X721" s="4" t="s">
        <v>3367</v>
      </c>
      <c r="Y721" s="151" t="str">
        <f t="shared" si="63"/>
        <v>E6130</v>
      </c>
      <c r="Z721" s="4" t="s">
        <v>587</v>
      </c>
      <c r="AA721" s="114" t="s">
        <v>588</v>
      </c>
      <c r="AB721" s="4" t="s">
        <v>506</v>
      </c>
      <c r="AC721" s="4" t="s">
        <v>507</v>
      </c>
      <c r="AD721" s="4" t="s">
        <v>508</v>
      </c>
      <c r="AE721" s="4" t="s">
        <v>509</v>
      </c>
      <c r="AF721" s="4" t="s">
        <v>589</v>
      </c>
      <c r="AG721" s="115">
        <f>+VLOOKUP(Y721,B:O,14,FALSE)/1000</f>
        <v>9.7473788010661769E-2</v>
      </c>
      <c r="AI721" s="158"/>
    </row>
    <row r="722" spans="23:35">
      <c r="W722" s="4" t="s">
        <v>585</v>
      </c>
      <c r="X722" s="3" t="s">
        <v>3356</v>
      </c>
      <c r="Y722" s="150" t="str">
        <f>INDEX($B$3:$O$110,86,1)</f>
        <v>E6140</v>
      </c>
      <c r="Z722" s="4" t="s">
        <v>587</v>
      </c>
      <c r="AA722" s="114" t="s">
        <v>588</v>
      </c>
      <c r="AB722" s="4" t="s">
        <v>506</v>
      </c>
      <c r="AC722" s="4" t="s">
        <v>507</v>
      </c>
      <c r="AD722" s="4" t="s">
        <v>508</v>
      </c>
      <c r="AE722" s="4" t="s">
        <v>509</v>
      </c>
      <c r="AF722" s="4" t="s">
        <v>589</v>
      </c>
      <c r="AG722" s="115">
        <f>+VLOOKUP(Y722,B:O,3,FALSE)/1000</f>
        <v>9.8688882349114507E-2</v>
      </c>
      <c r="AI722" s="158"/>
    </row>
    <row r="723" spans="23:35">
      <c r="W723" s="4" t="s">
        <v>585</v>
      </c>
      <c r="X723" s="4" t="s">
        <v>3357</v>
      </c>
      <c r="Y723" s="151" t="str">
        <f>Y722</f>
        <v>E6140</v>
      </c>
      <c r="Z723" s="4" t="s">
        <v>587</v>
      </c>
      <c r="AA723" s="114" t="s">
        <v>588</v>
      </c>
      <c r="AB723" s="4" t="s">
        <v>506</v>
      </c>
      <c r="AC723" s="4" t="s">
        <v>507</v>
      </c>
      <c r="AD723" s="4" t="s">
        <v>508</v>
      </c>
      <c r="AE723" s="4" t="s">
        <v>509</v>
      </c>
      <c r="AF723" s="4" t="s">
        <v>589</v>
      </c>
      <c r="AG723" s="115">
        <f>+VLOOKUP(Y723,B:O,4,FALSE)/1000</f>
        <v>9.8688882349114507E-2</v>
      </c>
      <c r="AI723" s="158"/>
    </row>
    <row r="724" spans="23:35">
      <c r="W724" s="4" t="s">
        <v>585</v>
      </c>
      <c r="X724" s="4" t="s">
        <v>3358</v>
      </c>
      <c r="Y724" s="151" t="str">
        <f t="shared" ref="Y724:Y733" si="64">Y723</f>
        <v>E6140</v>
      </c>
      <c r="Z724" s="4" t="s">
        <v>587</v>
      </c>
      <c r="AA724" s="114" t="s">
        <v>588</v>
      </c>
      <c r="AB724" s="4" t="s">
        <v>506</v>
      </c>
      <c r="AC724" s="4" t="s">
        <v>507</v>
      </c>
      <c r="AD724" s="4" t="s">
        <v>508</v>
      </c>
      <c r="AE724" s="4" t="s">
        <v>509</v>
      </c>
      <c r="AF724" s="4" t="s">
        <v>589</v>
      </c>
      <c r="AG724" s="115">
        <f>+VLOOKUP(Y724,B:O,5,FALSE)/1000</f>
        <v>9.8688882349114507E-2</v>
      </c>
      <c r="AI724" s="158"/>
    </row>
    <row r="725" spans="23:35">
      <c r="W725" s="4" t="s">
        <v>585</v>
      </c>
      <c r="X725" s="4" t="s">
        <v>3359</v>
      </c>
      <c r="Y725" s="151" t="str">
        <f t="shared" si="64"/>
        <v>E6140</v>
      </c>
      <c r="Z725" s="4" t="s">
        <v>587</v>
      </c>
      <c r="AA725" s="114" t="s">
        <v>588</v>
      </c>
      <c r="AB725" s="4" t="s">
        <v>506</v>
      </c>
      <c r="AC725" s="4" t="s">
        <v>507</v>
      </c>
      <c r="AD725" s="4" t="s">
        <v>508</v>
      </c>
      <c r="AE725" s="4" t="s">
        <v>509</v>
      </c>
      <c r="AF725" s="4" t="s">
        <v>589</v>
      </c>
      <c r="AG725" s="115">
        <f>+VLOOKUP(Y725,B:O,6,FALSE)/1000</f>
        <v>9.8688882349114507E-2</v>
      </c>
      <c r="AI725" s="158"/>
    </row>
    <row r="726" spans="23:35">
      <c r="W726" s="4" t="s">
        <v>585</v>
      </c>
      <c r="X726" s="4" t="s">
        <v>3360</v>
      </c>
      <c r="Y726" s="151" t="str">
        <f t="shared" si="64"/>
        <v>E6140</v>
      </c>
      <c r="Z726" s="4" t="s">
        <v>587</v>
      </c>
      <c r="AA726" s="114" t="s">
        <v>588</v>
      </c>
      <c r="AB726" s="4" t="s">
        <v>506</v>
      </c>
      <c r="AC726" s="4" t="s">
        <v>507</v>
      </c>
      <c r="AD726" s="4" t="s">
        <v>508</v>
      </c>
      <c r="AE726" s="4" t="s">
        <v>509</v>
      </c>
      <c r="AF726" s="4" t="s">
        <v>589</v>
      </c>
      <c r="AG726" s="115">
        <f>+VLOOKUP(Y726,B:O,7,FALSE)/1000</f>
        <v>9.8688882349114507E-2</v>
      </c>
      <c r="AI726" s="158"/>
    </row>
    <row r="727" spans="23:35">
      <c r="W727" s="4" t="s">
        <v>585</v>
      </c>
      <c r="X727" s="4" t="s">
        <v>3361</v>
      </c>
      <c r="Y727" s="151" t="str">
        <f t="shared" si="64"/>
        <v>E6140</v>
      </c>
      <c r="Z727" s="4" t="s">
        <v>587</v>
      </c>
      <c r="AA727" s="114" t="s">
        <v>588</v>
      </c>
      <c r="AB727" s="4" t="s">
        <v>506</v>
      </c>
      <c r="AC727" s="4" t="s">
        <v>507</v>
      </c>
      <c r="AD727" s="4" t="s">
        <v>508</v>
      </c>
      <c r="AE727" s="4" t="s">
        <v>509</v>
      </c>
      <c r="AF727" s="4" t="s">
        <v>589</v>
      </c>
      <c r="AG727" s="115">
        <f>+VLOOKUP(Y727,B:O,8,FALSE)/1000</f>
        <v>9.8688882349114507E-2</v>
      </c>
      <c r="AI727" s="158"/>
    </row>
    <row r="728" spans="23:35">
      <c r="W728" s="4" t="s">
        <v>585</v>
      </c>
      <c r="X728" s="4" t="s">
        <v>3362</v>
      </c>
      <c r="Y728" s="151" t="str">
        <f t="shared" si="64"/>
        <v>E6140</v>
      </c>
      <c r="Z728" s="4" t="s">
        <v>587</v>
      </c>
      <c r="AA728" s="114" t="s">
        <v>588</v>
      </c>
      <c r="AB728" s="4" t="s">
        <v>506</v>
      </c>
      <c r="AC728" s="4" t="s">
        <v>507</v>
      </c>
      <c r="AD728" s="4" t="s">
        <v>508</v>
      </c>
      <c r="AE728" s="4" t="s">
        <v>509</v>
      </c>
      <c r="AF728" s="4" t="s">
        <v>589</v>
      </c>
      <c r="AG728" s="743">
        <v>0</v>
      </c>
      <c r="AH728" s="4" t="s">
        <v>3540</v>
      </c>
      <c r="AI728" s="158"/>
    </row>
    <row r="729" spans="23:35">
      <c r="W729" s="4" t="s">
        <v>585</v>
      </c>
      <c r="X729" s="4" t="s">
        <v>3363</v>
      </c>
      <c r="Y729" s="151" t="str">
        <f t="shared" si="64"/>
        <v>E6140</v>
      </c>
      <c r="Z729" s="4" t="s">
        <v>587</v>
      </c>
      <c r="AA729" s="114" t="s">
        <v>588</v>
      </c>
      <c r="AB729" s="4" t="s">
        <v>506</v>
      </c>
      <c r="AC729" s="4" t="s">
        <v>507</v>
      </c>
      <c r="AD729" s="4" t="s">
        <v>508</v>
      </c>
      <c r="AE729" s="4" t="s">
        <v>509</v>
      </c>
      <c r="AF729" s="4" t="s">
        <v>589</v>
      </c>
      <c r="AG729" s="743">
        <v>0</v>
      </c>
      <c r="AH729" t="s">
        <v>3540</v>
      </c>
      <c r="AI729" s="158"/>
    </row>
    <row r="730" spans="23:35">
      <c r="W730" s="4" t="s">
        <v>585</v>
      </c>
      <c r="X730" s="4" t="s">
        <v>3364</v>
      </c>
      <c r="Y730" s="151" t="str">
        <f t="shared" si="64"/>
        <v>E6140</v>
      </c>
      <c r="Z730" s="4" t="s">
        <v>587</v>
      </c>
      <c r="AA730" s="114" t="s">
        <v>588</v>
      </c>
      <c r="AB730" s="4" t="s">
        <v>506</v>
      </c>
      <c r="AC730" s="4" t="s">
        <v>507</v>
      </c>
      <c r="AD730" s="4" t="s">
        <v>508</v>
      </c>
      <c r="AE730" s="4" t="s">
        <v>509</v>
      </c>
      <c r="AF730" s="4" t="s">
        <v>589</v>
      </c>
      <c r="AG730" s="743">
        <v>0</v>
      </c>
      <c r="AH730" t="s">
        <v>3540</v>
      </c>
      <c r="AI730" s="158"/>
    </row>
    <row r="731" spans="23:35">
      <c r="W731" s="4" t="s">
        <v>585</v>
      </c>
      <c r="X731" s="4" t="s">
        <v>3365</v>
      </c>
      <c r="Y731" s="151" t="str">
        <f t="shared" si="64"/>
        <v>E6140</v>
      </c>
      <c r="Z731" s="4" t="s">
        <v>587</v>
      </c>
      <c r="AA731" s="114" t="s">
        <v>588</v>
      </c>
      <c r="AB731" s="4" t="s">
        <v>506</v>
      </c>
      <c r="AC731" s="4" t="s">
        <v>507</v>
      </c>
      <c r="AD731" s="4" t="s">
        <v>508</v>
      </c>
      <c r="AE731" s="4" t="s">
        <v>509</v>
      </c>
      <c r="AF731" s="4" t="s">
        <v>589</v>
      </c>
      <c r="AG731" s="743">
        <v>0</v>
      </c>
      <c r="AH731" t="s">
        <v>3540</v>
      </c>
      <c r="AI731" s="158"/>
    </row>
    <row r="732" spans="23:35">
      <c r="W732" s="4" t="s">
        <v>585</v>
      </c>
      <c r="X732" s="4" t="s">
        <v>3366</v>
      </c>
      <c r="Y732" s="151" t="str">
        <f t="shared" si="64"/>
        <v>E6140</v>
      </c>
      <c r="Z732" s="4" t="s">
        <v>587</v>
      </c>
      <c r="AA732" s="114" t="s">
        <v>588</v>
      </c>
      <c r="AB732" s="4" t="s">
        <v>506</v>
      </c>
      <c r="AC732" s="4" t="s">
        <v>507</v>
      </c>
      <c r="AD732" s="4" t="s">
        <v>508</v>
      </c>
      <c r="AE732" s="4" t="s">
        <v>509</v>
      </c>
      <c r="AF732" s="4" t="s">
        <v>589</v>
      </c>
      <c r="AG732" s="743">
        <v>0</v>
      </c>
      <c r="AH732" t="s">
        <v>3540</v>
      </c>
      <c r="AI732" s="158"/>
    </row>
    <row r="733" spans="23:35">
      <c r="W733" s="4" t="s">
        <v>585</v>
      </c>
      <c r="X733" s="4" t="s">
        <v>3367</v>
      </c>
      <c r="Y733" s="151" t="str">
        <f t="shared" si="64"/>
        <v>E6140</v>
      </c>
      <c r="Z733" s="4" t="s">
        <v>587</v>
      </c>
      <c r="AA733" s="114" t="s">
        <v>588</v>
      </c>
      <c r="AB733" s="4" t="s">
        <v>506</v>
      </c>
      <c r="AC733" s="4" t="s">
        <v>507</v>
      </c>
      <c r="AD733" s="4" t="s">
        <v>508</v>
      </c>
      <c r="AE733" s="4" t="s">
        <v>509</v>
      </c>
      <c r="AF733" s="4" t="s">
        <v>589</v>
      </c>
      <c r="AG733" s="743">
        <v>0</v>
      </c>
      <c r="AH733" t="s">
        <v>3540</v>
      </c>
      <c r="AI733" s="158"/>
    </row>
    <row r="734" spans="23:35">
      <c r="W734" s="4" t="s">
        <v>585</v>
      </c>
      <c r="X734" s="3" t="s">
        <v>3356</v>
      </c>
      <c r="Y734" s="150" t="str">
        <f>INDEX($B$3:$O$110,87,1)</f>
        <v>E6150</v>
      </c>
      <c r="Z734" s="4" t="s">
        <v>587</v>
      </c>
      <c r="AA734" s="114" t="s">
        <v>588</v>
      </c>
      <c r="AB734" s="4" t="s">
        <v>506</v>
      </c>
      <c r="AC734" s="4" t="s">
        <v>507</v>
      </c>
      <c r="AD734" s="4" t="s">
        <v>508</v>
      </c>
      <c r="AE734" s="4" t="s">
        <v>509</v>
      </c>
      <c r="AF734" s="4" t="s">
        <v>589</v>
      </c>
      <c r="AG734" s="115">
        <f>+VLOOKUP(Y734,B:O,3,FALSE)/1000</f>
        <v>9.9384360012263945E-2</v>
      </c>
      <c r="AI734" s="158"/>
    </row>
    <row r="735" spans="23:35">
      <c r="W735" s="4" t="s">
        <v>585</v>
      </c>
      <c r="X735" s="4" t="s">
        <v>3357</v>
      </c>
      <c r="Y735" s="151" t="str">
        <f>Y734</f>
        <v>E6150</v>
      </c>
      <c r="Z735" s="4" t="s">
        <v>587</v>
      </c>
      <c r="AA735" s="114" t="s">
        <v>588</v>
      </c>
      <c r="AB735" s="4" t="s">
        <v>506</v>
      </c>
      <c r="AC735" s="4" t="s">
        <v>507</v>
      </c>
      <c r="AD735" s="4" t="s">
        <v>508</v>
      </c>
      <c r="AE735" s="4" t="s">
        <v>509</v>
      </c>
      <c r="AF735" s="4" t="s">
        <v>589</v>
      </c>
      <c r="AG735" s="115">
        <f>+VLOOKUP(Y735,B:O,4,FALSE)/1000</f>
        <v>9.9384360012263945E-2</v>
      </c>
      <c r="AI735" s="158"/>
    </row>
    <row r="736" spans="23:35">
      <c r="W736" s="4" t="s">
        <v>585</v>
      </c>
      <c r="X736" s="4" t="s">
        <v>3358</v>
      </c>
      <c r="Y736" s="151" t="str">
        <f t="shared" ref="Y736:Y745" si="65">Y735</f>
        <v>E6150</v>
      </c>
      <c r="Z736" s="4" t="s">
        <v>587</v>
      </c>
      <c r="AA736" s="114" t="s">
        <v>588</v>
      </c>
      <c r="AB736" s="4" t="s">
        <v>506</v>
      </c>
      <c r="AC736" s="4" t="s">
        <v>507</v>
      </c>
      <c r="AD736" s="4" t="s">
        <v>508</v>
      </c>
      <c r="AE736" s="4" t="s">
        <v>509</v>
      </c>
      <c r="AF736" s="4" t="s">
        <v>589</v>
      </c>
      <c r="AG736" s="115">
        <f>+VLOOKUP(Y736,B:O,5,FALSE)/1000</f>
        <v>9.9384360012263945E-2</v>
      </c>
      <c r="AI736" s="158"/>
    </row>
    <row r="737" spans="23:35">
      <c r="W737" s="4" t="s">
        <v>585</v>
      </c>
      <c r="X737" s="4" t="s">
        <v>3359</v>
      </c>
      <c r="Y737" s="151" t="str">
        <f t="shared" si="65"/>
        <v>E6150</v>
      </c>
      <c r="Z737" s="4" t="s">
        <v>587</v>
      </c>
      <c r="AA737" s="114" t="s">
        <v>588</v>
      </c>
      <c r="AB737" s="4" t="s">
        <v>506</v>
      </c>
      <c r="AC737" s="4" t="s">
        <v>507</v>
      </c>
      <c r="AD737" s="4" t="s">
        <v>508</v>
      </c>
      <c r="AE737" s="4" t="s">
        <v>509</v>
      </c>
      <c r="AF737" s="4" t="s">
        <v>589</v>
      </c>
      <c r="AG737" s="115">
        <f>+VLOOKUP(Y737,B:O,6,FALSE)/1000</f>
        <v>9.9384360012263945E-2</v>
      </c>
      <c r="AI737" s="158"/>
    </row>
    <row r="738" spans="23:35">
      <c r="W738" s="4" t="s">
        <v>585</v>
      </c>
      <c r="X738" s="4" t="s">
        <v>3360</v>
      </c>
      <c r="Y738" s="151" t="str">
        <f t="shared" si="65"/>
        <v>E6150</v>
      </c>
      <c r="Z738" s="4" t="s">
        <v>587</v>
      </c>
      <c r="AA738" s="114" t="s">
        <v>588</v>
      </c>
      <c r="AB738" s="4" t="s">
        <v>506</v>
      </c>
      <c r="AC738" s="4" t="s">
        <v>507</v>
      </c>
      <c r="AD738" s="4" t="s">
        <v>508</v>
      </c>
      <c r="AE738" s="4" t="s">
        <v>509</v>
      </c>
      <c r="AF738" s="4" t="s">
        <v>589</v>
      </c>
      <c r="AG738" s="115">
        <f>+VLOOKUP(Y738,B:O,7,FALSE)/1000</f>
        <v>9.9384360012263945E-2</v>
      </c>
      <c r="AI738" s="158"/>
    </row>
    <row r="739" spans="23:35">
      <c r="W739" s="4" t="s">
        <v>585</v>
      </c>
      <c r="X739" s="4" t="s">
        <v>3361</v>
      </c>
      <c r="Y739" s="151" t="str">
        <f t="shared" si="65"/>
        <v>E6150</v>
      </c>
      <c r="Z739" s="4" t="s">
        <v>587</v>
      </c>
      <c r="AA739" s="114" t="s">
        <v>588</v>
      </c>
      <c r="AB739" s="4" t="s">
        <v>506</v>
      </c>
      <c r="AC739" s="4" t="s">
        <v>507</v>
      </c>
      <c r="AD739" s="4" t="s">
        <v>508</v>
      </c>
      <c r="AE739" s="4" t="s">
        <v>509</v>
      </c>
      <c r="AF739" s="4" t="s">
        <v>589</v>
      </c>
      <c r="AG739" s="115">
        <f>+VLOOKUP(Y739,B:O,8,FALSE)/1000</f>
        <v>9.9384360012263945E-2</v>
      </c>
      <c r="AI739" s="158"/>
    </row>
    <row r="740" spans="23:35">
      <c r="W740" s="4" t="s">
        <v>585</v>
      </c>
      <c r="X740" s="4" t="s">
        <v>3362</v>
      </c>
      <c r="Y740" s="151" t="str">
        <f t="shared" si="65"/>
        <v>E6150</v>
      </c>
      <c r="Z740" s="4" t="s">
        <v>587</v>
      </c>
      <c r="AA740" s="114" t="s">
        <v>588</v>
      </c>
      <c r="AB740" s="4" t="s">
        <v>506</v>
      </c>
      <c r="AC740" s="4" t="s">
        <v>507</v>
      </c>
      <c r="AD740" s="4" t="s">
        <v>508</v>
      </c>
      <c r="AE740" s="4" t="s">
        <v>509</v>
      </c>
      <c r="AF740" s="4" t="s">
        <v>589</v>
      </c>
      <c r="AG740" s="115">
        <f>+VLOOKUP(Y740,B:O,9,FALSE)/1000</f>
        <v>9.9384360012263945E-2</v>
      </c>
      <c r="AI740" s="158"/>
    </row>
    <row r="741" spans="23:35">
      <c r="W741" s="4" t="s">
        <v>585</v>
      </c>
      <c r="X741" s="4" t="s">
        <v>3363</v>
      </c>
      <c r="Y741" s="151" t="str">
        <f t="shared" si="65"/>
        <v>E6150</v>
      </c>
      <c r="Z741" s="4" t="s">
        <v>587</v>
      </c>
      <c r="AA741" s="114" t="s">
        <v>588</v>
      </c>
      <c r="AB741" s="4" t="s">
        <v>506</v>
      </c>
      <c r="AC741" s="4" t="s">
        <v>507</v>
      </c>
      <c r="AD741" s="4" t="s">
        <v>508</v>
      </c>
      <c r="AE741" s="4" t="s">
        <v>509</v>
      </c>
      <c r="AF741" s="4" t="s">
        <v>589</v>
      </c>
      <c r="AG741" s="115">
        <f>+VLOOKUP(Y741,B:O,10,FALSE)/1000</f>
        <v>9.9384360012263945E-2</v>
      </c>
      <c r="AI741" s="158"/>
    </row>
    <row r="742" spans="23:35">
      <c r="W742" s="4" t="s">
        <v>585</v>
      </c>
      <c r="X742" s="4" t="s">
        <v>3364</v>
      </c>
      <c r="Y742" s="151" t="str">
        <f t="shared" si="65"/>
        <v>E6150</v>
      </c>
      <c r="Z742" s="4" t="s">
        <v>587</v>
      </c>
      <c r="AA742" s="114" t="s">
        <v>588</v>
      </c>
      <c r="AB742" s="4" t="s">
        <v>506</v>
      </c>
      <c r="AC742" s="4" t="s">
        <v>507</v>
      </c>
      <c r="AD742" s="4" t="s">
        <v>508</v>
      </c>
      <c r="AE742" s="4" t="s">
        <v>509</v>
      </c>
      <c r="AF742" s="4" t="s">
        <v>589</v>
      </c>
      <c r="AG742" s="115">
        <f>+VLOOKUP(Y742,B:O,11,FALSE)/1000</f>
        <v>9.9384360012263945E-2</v>
      </c>
      <c r="AI742" s="158"/>
    </row>
    <row r="743" spans="23:35">
      <c r="W743" s="4" t="s">
        <v>585</v>
      </c>
      <c r="X743" s="4" t="s">
        <v>3365</v>
      </c>
      <c r="Y743" s="151" t="str">
        <f t="shared" si="65"/>
        <v>E6150</v>
      </c>
      <c r="Z743" s="4" t="s">
        <v>587</v>
      </c>
      <c r="AA743" s="114" t="s">
        <v>588</v>
      </c>
      <c r="AB743" s="4" t="s">
        <v>506</v>
      </c>
      <c r="AC743" s="4" t="s">
        <v>507</v>
      </c>
      <c r="AD743" s="4" t="s">
        <v>508</v>
      </c>
      <c r="AE743" s="4" t="s">
        <v>509</v>
      </c>
      <c r="AF743" s="4" t="s">
        <v>589</v>
      </c>
      <c r="AG743" s="115">
        <f>+VLOOKUP(Y743,B:O,12,FALSE)/1000</f>
        <v>9.9384360012263945E-2</v>
      </c>
      <c r="AI743" s="158"/>
    </row>
    <row r="744" spans="23:35">
      <c r="W744" s="4" t="s">
        <v>585</v>
      </c>
      <c r="X744" s="4" t="s">
        <v>3366</v>
      </c>
      <c r="Y744" s="151" t="str">
        <f t="shared" si="65"/>
        <v>E6150</v>
      </c>
      <c r="Z744" s="4" t="s">
        <v>587</v>
      </c>
      <c r="AA744" s="114" t="s">
        <v>588</v>
      </c>
      <c r="AB744" s="4" t="s">
        <v>506</v>
      </c>
      <c r="AC744" s="4" t="s">
        <v>507</v>
      </c>
      <c r="AD744" s="4" t="s">
        <v>508</v>
      </c>
      <c r="AE744" s="4" t="s">
        <v>509</v>
      </c>
      <c r="AF744" s="4" t="s">
        <v>589</v>
      </c>
      <c r="AG744" s="115">
        <f>+VLOOKUP(Y744,B:O,13,FALSE)/1000</f>
        <v>0.10167020029254602</v>
      </c>
      <c r="AI744" s="158"/>
    </row>
    <row r="745" spans="23:35">
      <c r="W745" s="4" t="s">
        <v>585</v>
      </c>
      <c r="X745" s="4" t="s">
        <v>3367</v>
      </c>
      <c r="Y745" s="151" t="str">
        <f t="shared" si="65"/>
        <v>E6150</v>
      </c>
      <c r="Z745" s="4" t="s">
        <v>587</v>
      </c>
      <c r="AA745" s="114" t="s">
        <v>588</v>
      </c>
      <c r="AB745" s="4" t="s">
        <v>506</v>
      </c>
      <c r="AC745" s="4" t="s">
        <v>507</v>
      </c>
      <c r="AD745" s="4" t="s">
        <v>508</v>
      </c>
      <c r="AE745" s="4" t="s">
        <v>509</v>
      </c>
      <c r="AF745" s="4" t="s">
        <v>589</v>
      </c>
      <c r="AG745" s="115">
        <f>+VLOOKUP(Y745,B:O,14,FALSE)/1000</f>
        <v>0.10167020029254602</v>
      </c>
      <c r="AI745" s="158"/>
    </row>
    <row r="746" spans="23:35">
      <c r="W746" s="4" t="s">
        <v>585</v>
      </c>
      <c r="X746" s="3" t="s">
        <v>3356</v>
      </c>
      <c r="Y746" s="150" t="str">
        <f>INDEX($B$3:$O$110,88,1)</f>
        <v>E6160</v>
      </c>
      <c r="Z746" s="4" t="s">
        <v>587</v>
      </c>
      <c r="AA746" s="114" t="s">
        <v>588</v>
      </c>
      <c r="AB746" s="4" t="s">
        <v>506</v>
      </c>
      <c r="AC746" s="4" t="s">
        <v>507</v>
      </c>
      <c r="AD746" s="4" t="s">
        <v>508</v>
      </c>
      <c r="AE746" s="4" t="s">
        <v>509</v>
      </c>
      <c r="AF746" s="4" t="s">
        <v>589</v>
      </c>
      <c r="AG746" s="115">
        <f>+VLOOKUP(Y746,B:O,3,FALSE)/1000</f>
        <v>9.9640170902808856E-2</v>
      </c>
      <c r="AI746" s="158"/>
    </row>
    <row r="747" spans="23:35">
      <c r="W747" s="4" t="s">
        <v>585</v>
      </c>
      <c r="X747" s="4" t="s">
        <v>3357</v>
      </c>
      <c r="Y747" s="151" t="str">
        <f>Y746</f>
        <v>E6160</v>
      </c>
      <c r="Z747" s="4" t="s">
        <v>587</v>
      </c>
      <c r="AA747" s="114" t="s">
        <v>588</v>
      </c>
      <c r="AB747" s="4" t="s">
        <v>506</v>
      </c>
      <c r="AC747" s="4" t="s">
        <v>507</v>
      </c>
      <c r="AD747" s="4" t="s">
        <v>508</v>
      </c>
      <c r="AE747" s="4" t="s">
        <v>509</v>
      </c>
      <c r="AF747" s="4" t="s">
        <v>589</v>
      </c>
      <c r="AG747" s="115">
        <f>+VLOOKUP(Y747,B:O,4,FALSE)/1000</f>
        <v>9.9640170902808856E-2</v>
      </c>
      <c r="AI747" s="158"/>
    </row>
    <row r="748" spans="23:35">
      <c r="W748" s="4" t="s">
        <v>585</v>
      </c>
      <c r="X748" s="4" t="s">
        <v>3358</v>
      </c>
      <c r="Y748" s="151" t="str">
        <f t="shared" ref="Y748:Y757" si="66">Y747</f>
        <v>E6160</v>
      </c>
      <c r="Z748" s="4" t="s">
        <v>587</v>
      </c>
      <c r="AA748" s="114" t="s">
        <v>588</v>
      </c>
      <c r="AB748" s="4" t="s">
        <v>506</v>
      </c>
      <c r="AC748" s="4" t="s">
        <v>507</v>
      </c>
      <c r="AD748" s="4" t="s">
        <v>508</v>
      </c>
      <c r="AE748" s="4" t="s">
        <v>509</v>
      </c>
      <c r="AF748" s="4" t="s">
        <v>589</v>
      </c>
      <c r="AG748" s="115">
        <f>+VLOOKUP(Y748,B:O,5,FALSE)/1000</f>
        <v>9.9640170902808856E-2</v>
      </c>
      <c r="AI748" s="158"/>
    </row>
    <row r="749" spans="23:35">
      <c r="W749" s="4" t="s">
        <v>585</v>
      </c>
      <c r="X749" s="4" t="s">
        <v>3359</v>
      </c>
      <c r="Y749" s="151" t="str">
        <f t="shared" si="66"/>
        <v>E6160</v>
      </c>
      <c r="Z749" s="4" t="s">
        <v>587</v>
      </c>
      <c r="AA749" s="114" t="s">
        <v>588</v>
      </c>
      <c r="AB749" s="4" t="s">
        <v>506</v>
      </c>
      <c r="AC749" s="4" t="s">
        <v>507</v>
      </c>
      <c r="AD749" s="4" t="s">
        <v>508</v>
      </c>
      <c r="AE749" s="4" t="s">
        <v>509</v>
      </c>
      <c r="AF749" s="4" t="s">
        <v>589</v>
      </c>
      <c r="AG749" s="115">
        <f>+VLOOKUP(Y749,B:O,6,FALSE)/1000</f>
        <v>9.9640170902808856E-2</v>
      </c>
      <c r="AI749" s="158"/>
    </row>
    <row r="750" spans="23:35">
      <c r="W750" s="4" t="s">
        <v>585</v>
      </c>
      <c r="X750" s="4" t="s">
        <v>3360</v>
      </c>
      <c r="Y750" s="151" t="str">
        <f t="shared" si="66"/>
        <v>E6160</v>
      </c>
      <c r="Z750" s="4" t="s">
        <v>587</v>
      </c>
      <c r="AA750" s="114" t="s">
        <v>588</v>
      </c>
      <c r="AB750" s="4" t="s">
        <v>506</v>
      </c>
      <c r="AC750" s="4" t="s">
        <v>507</v>
      </c>
      <c r="AD750" s="4" t="s">
        <v>508</v>
      </c>
      <c r="AE750" s="4" t="s">
        <v>509</v>
      </c>
      <c r="AF750" s="4" t="s">
        <v>589</v>
      </c>
      <c r="AG750" s="115">
        <f>+VLOOKUP(Y750,B:O,7,FALSE)/1000</f>
        <v>9.9640170902808856E-2</v>
      </c>
      <c r="AI750" s="158"/>
    </row>
    <row r="751" spans="23:35">
      <c r="W751" s="4" t="s">
        <v>585</v>
      </c>
      <c r="X751" s="4" t="s">
        <v>3361</v>
      </c>
      <c r="Y751" s="151" t="str">
        <f t="shared" si="66"/>
        <v>E6160</v>
      </c>
      <c r="Z751" s="4" t="s">
        <v>587</v>
      </c>
      <c r="AA751" s="114" t="s">
        <v>588</v>
      </c>
      <c r="AB751" s="4" t="s">
        <v>506</v>
      </c>
      <c r="AC751" s="4" t="s">
        <v>507</v>
      </c>
      <c r="AD751" s="4" t="s">
        <v>508</v>
      </c>
      <c r="AE751" s="4" t="s">
        <v>509</v>
      </c>
      <c r="AF751" s="4" t="s">
        <v>589</v>
      </c>
      <c r="AG751" s="115">
        <f>+VLOOKUP(Y751,B:O,8,FALSE)/1000</f>
        <v>9.9640170902808856E-2</v>
      </c>
      <c r="AI751" s="158"/>
    </row>
    <row r="752" spans="23:35">
      <c r="W752" s="4" t="s">
        <v>585</v>
      </c>
      <c r="X752" s="4" t="s">
        <v>3362</v>
      </c>
      <c r="Y752" s="151" t="str">
        <f t="shared" si="66"/>
        <v>E6160</v>
      </c>
      <c r="Z752" s="4" t="s">
        <v>587</v>
      </c>
      <c r="AA752" s="114" t="s">
        <v>588</v>
      </c>
      <c r="AB752" s="4" t="s">
        <v>506</v>
      </c>
      <c r="AC752" s="4" t="s">
        <v>507</v>
      </c>
      <c r="AD752" s="4" t="s">
        <v>508</v>
      </c>
      <c r="AE752" s="4" t="s">
        <v>509</v>
      </c>
      <c r="AF752" s="4" t="s">
        <v>589</v>
      </c>
      <c r="AG752" s="115">
        <f>+VLOOKUP(Y752,B:O,9,FALSE)/1000</f>
        <v>9.9640170902808856E-2</v>
      </c>
      <c r="AI752" s="158"/>
    </row>
    <row r="753" spans="23:35">
      <c r="W753" s="4" t="s">
        <v>585</v>
      </c>
      <c r="X753" s="4" t="s">
        <v>3363</v>
      </c>
      <c r="Y753" s="151" t="str">
        <f t="shared" si="66"/>
        <v>E6160</v>
      </c>
      <c r="Z753" s="4" t="s">
        <v>587</v>
      </c>
      <c r="AA753" s="114" t="s">
        <v>588</v>
      </c>
      <c r="AB753" s="4" t="s">
        <v>506</v>
      </c>
      <c r="AC753" s="4" t="s">
        <v>507</v>
      </c>
      <c r="AD753" s="4" t="s">
        <v>508</v>
      </c>
      <c r="AE753" s="4" t="s">
        <v>509</v>
      </c>
      <c r="AF753" s="4" t="s">
        <v>589</v>
      </c>
      <c r="AG753" s="115">
        <f>+VLOOKUP(Y753,B:O,10,FALSE)/1000</f>
        <v>9.9640170902808856E-2</v>
      </c>
      <c r="AI753" s="158"/>
    </row>
    <row r="754" spans="23:35">
      <c r="W754" s="4" t="s">
        <v>585</v>
      </c>
      <c r="X754" s="4" t="s">
        <v>3364</v>
      </c>
      <c r="Y754" s="151" t="str">
        <f t="shared" si="66"/>
        <v>E6160</v>
      </c>
      <c r="Z754" s="4" t="s">
        <v>587</v>
      </c>
      <c r="AA754" s="114" t="s">
        <v>588</v>
      </c>
      <c r="AB754" s="4" t="s">
        <v>506</v>
      </c>
      <c r="AC754" s="4" t="s">
        <v>507</v>
      </c>
      <c r="AD754" s="4" t="s">
        <v>508</v>
      </c>
      <c r="AE754" s="4" t="s">
        <v>509</v>
      </c>
      <c r="AF754" s="4" t="s">
        <v>589</v>
      </c>
      <c r="AG754" s="115">
        <f>+VLOOKUP(Y754,B:O,11,FALSE)/1000</f>
        <v>9.9640170902808856E-2</v>
      </c>
      <c r="AI754" s="158"/>
    </row>
    <row r="755" spans="23:35">
      <c r="W755" s="4" t="s">
        <v>585</v>
      </c>
      <c r="X755" s="4" t="s">
        <v>3365</v>
      </c>
      <c r="Y755" s="151" t="str">
        <f t="shared" si="66"/>
        <v>E6160</v>
      </c>
      <c r="Z755" s="4" t="s">
        <v>587</v>
      </c>
      <c r="AA755" s="114" t="s">
        <v>588</v>
      </c>
      <c r="AB755" s="4" t="s">
        <v>506</v>
      </c>
      <c r="AC755" s="4" t="s">
        <v>507</v>
      </c>
      <c r="AD755" s="4" t="s">
        <v>508</v>
      </c>
      <c r="AE755" s="4" t="s">
        <v>509</v>
      </c>
      <c r="AF755" s="4" t="s">
        <v>589</v>
      </c>
      <c r="AG755" s="115">
        <f>+VLOOKUP(Y755,B:O,12,FALSE)/1000</f>
        <v>9.9640170902808856E-2</v>
      </c>
      <c r="AI755" s="158"/>
    </row>
    <row r="756" spans="23:35">
      <c r="W756" s="4" t="s">
        <v>585</v>
      </c>
      <c r="X756" s="4" t="s">
        <v>3366</v>
      </c>
      <c r="Y756" s="151" t="str">
        <f t="shared" si="66"/>
        <v>E6160</v>
      </c>
      <c r="Z756" s="4" t="s">
        <v>587</v>
      </c>
      <c r="AA756" s="114" t="s">
        <v>588</v>
      </c>
      <c r="AB756" s="4" t="s">
        <v>506</v>
      </c>
      <c r="AC756" s="4" t="s">
        <v>507</v>
      </c>
      <c r="AD756" s="4" t="s">
        <v>508</v>
      </c>
      <c r="AE756" s="4" t="s">
        <v>509</v>
      </c>
      <c r="AF756" s="4" t="s">
        <v>589</v>
      </c>
      <c r="AG756" s="115">
        <f>+VLOOKUP(Y756,B:O,13,FALSE)/1000</f>
        <v>0.10193189483357347</v>
      </c>
      <c r="AI756" s="158"/>
    </row>
    <row r="757" spans="23:35">
      <c r="W757" s="4" t="s">
        <v>585</v>
      </c>
      <c r="X757" s="4" t="s">
        <v>3367</v>
      </c>
      <c r="Y757" s="151" t="str">
        <f t="shared" si="66"/>
        <v>E6160</v>
      </c>
      <c r="Z757" s="4" t="s">
        <v>587</v>
      </c>
      <c r="AA757" s="114" t="s">
        <v>588</v>
      </c>
      <c r="AB757" s="4" t="s">
        <v>506</v>
      </c>
      <c r="AC757" s="4" t="s">
        <v>507</v>
      </c>
      <c r="AD757" s="4" t="s">
        <v>508</v>
      </c>
      <c r="AE757" s="4" t="s">
        <v>509</v>
      </c>
      <c r="AF757" s="4" t="s">
        <v>589</v>
      </c>
      <c r="AG757" s="115">
        <f>+VLOOKUP(Y757,B:O,14,FALSE)/1000</f>
        <v>0.10193189483357347</v>
      </c>
      <c r="AI757" s="158"/>
    </row>
    <row r="758" spans="23:35">
      <c r="W758" s="4" t="s">
        <v>585</v>
      </c>
      <c r="X758" s="3" t="s">
        <v>3356</v>
      </c>
      <c r="Y758" s="150" t="str">
        <f>INDEX($B$3:$O$110,89,1)</f>
        <v>E6170</v>
      </c>
      <c r="Z758" s="4" t="s">
        <v>587</v>
      </c>
      <c r="AA758" s="114" t="s">
        <v>588</v>
      </c>
      <c r="AB758" s="4" t="s">
        <v>506</v>
      </c>
      <c r="AC758" s="4" t="s">
        <v>507</v>
      </c>
      <c r="AD758" s="4" t="s">
        <v>508</v>
      </c>
      <c r="AE758" s="4" t="s">
        <v>509</v>
      </c>
      <c r="AF758" s="4" t="s">
        <v>589</v>
      </c>
      <c r="AG758" s="115">
        <f>+VLOOKUP(Y758,B:O,3,FALSE)/1000</f>
        <v>9.8137599807135975E-2</v>
      </c>
      <c r="AI758" s="158"/>
    </row>
    <row r="759" spans="23:35">
      <c r="W759" s="4" t="s">
        <v>585</v>
      </c>
      <c r="X759" s="4" t="s">
        <v>3357</v>
      </c>
      <c r="Y759" s="151" t="str">
        <f>Y758</f>
        <v>E6170</v>
      </c>
      <c r="Z759" s="4" t="s">
        <v>587</v>
      </c>
      <c r="AA759" s="114" t="s">
        <v>588</v>
      </c>
      <c r="AB759" s="4" t="s">
        <v>506</v>
      </c>
      <c r="AC759" s="4" t="s">
        <v>507</v>
      </c>
      <c r="AD759" s="4" t="s">
        <v>508</v>
      </c>
      <c r="AE759" s="4" t="s">
        <v>509</v>
      </c>
      <c r="AF759" s="4" t="s">
        <v>589</v>
      </c>
      <c r="AG759" s="115">
        <f>+VLOOKUP(Y759,B:O,4,FALSE)/1000</f>
        <v>9.8137599807135975E-2</v>
      </c>
      <c r="AI759" s="158"/>
    </row>
    <row r="760" spans="23:35">
      <c r="W760" s="4" t="s">
        <v>585</v>
      </c>
      <c r="X760" s="4" t="s">
        <v>3358</v>
      </c>
      <c r="Y760" s="151" t="str">
        <f t="shared" ref="Y760:Y769" si="67">Y759</f>
        <v>E6170</v>
      </c>
      <c r="Z760" s="4" t="s">
        <v>587</v>
      </c>
      <c r="AA760" s="114" t="s">
        <v>588</v>
      </c>
      <c r="AB760" s="4" t="s">
        <v>506</v>
      </c>
      <c r="AC760" s="4" t="s">
        <v>507</v>
      </c>
      <c r="AD760" s="4" t="s">
        <v>508</v>
      </c>
      <c r="AE760" s="4" t="s">
        <v>509</v>
      </c>
      <c r="AF760" s="4" t="s">
        <v>589</v>
      </c>
      <c r="AG760" s="115">
        <f>+VLOOKUP(Y760,B:O,5,FALSE)/1000</f>
        <v>9.8137599807135975E-2</v>
      </c>
      <c r="AI760" s="158"/>
    </row>
    <row r="761" spans="23:35">
      <c r="W761" s="4" t="s">
        <v>585</v>
      </c>
      <c r="X761" s="4" t="s">
        <v>3359</v>
      </c>
      <c r="Y761" s="151" t="str">
        <f t="shared" si="67"/>
        <v>E6170</v>
      </c>
      <c r="Z761" s="4" t="s">
        <v>587</v>
      </c>
      <c r="AA761" s="114" t="s">
        <v>588</v>
      </c>
      <c r="AB761" s="4" t="s">
        <v>506</v>
      </c>
      <c r="AC761" s="4" t="s">
        <v>507</v>
      </c>
      <c r="AD761" s="4" t="s">
        <v>508</v>
      </c>
      <c r="AE761" s="4" t="s">
        <v>509</v>
      </c>
      <c r="AF761" s="4" t="s">
        <v>589</v>
      </c>
      <c r="AG761" s="115">
        <f>+VLOOKUP(Y761,B:O,6,FALSE)/1000</f>
        <v>9.8137599807135975E-2</v>
      </c>
      <c r="AI761" s="158"/>
    </row>
    <row r="762" spans="23:35">
      <c r="W762" s="4" t="s">
        <v>585</v>
      </c>
      <c r="X762" s="4" t="s">
        <v>3360</v>
      </c>
      <c r="Y762" s="151" t="str">
        <f t="shared" si="67"/>
        <v>E6170</v>
      </c>
      <c r="Z762" s="4" t="s">
        <v>587</v>
      </c>
      <c r="AA762" s="114" t="s">
        <v>588</v>
      </c>
      <c r="AB762" s="4" t="s">
        <v>506</v>
      </c>
      <c r="AC762" s="4" t="s">
        <v>507</v>
      </c>
      <c r="AD762" s="4" t="s">
        <v>508</v>
      </c>
      <c r="AE762" s="4" t="s">
        <v>509</v>
      </c>
      <c r="AF762" s="4" t="s">
        <v>589</v>
      </c>
      <c r="AG762" s="115">
        <f>+VLOOKUP(Y762,B:O,7,FALSE)/1000</f>
        <v>9.8137599807135975E-2</v>
      </c>
      <c r="AI762" s="158"/>
    </row>
    <row r="763" spans="23:35">
      <c r="W763" s="4" t="s">
        <v>585</v>
      </c>
      <c r="X763" s="4" t="s">
        <v>3361</v>
      </c>
      <c r="Y763" s="151" t="str">
        <f t="shared" si="67"/>
        <v>E6170</v>
      </c>
      <c r="Z763" s="4" t="s">
        <v>587</v>
      </c>
      <c r="AA763" s="114" t="s">
        <v>588</v>
      </c>
      <c r="AB763" s="4" t="s">
        <v>506</v>
      </c>
      <c r="AC763" s="4" t="s">
        <v>507</v>
      </c>
      <c r="AD763" s="4" t="s">
        <v>508</v>
      </c>
      <c r="AE763" s="4" t="s">
        <v>509</v>
      </c>
      <c r="AF763" s="4" t="s">
        <v>589</v>
      </c>
      <c r="AG763" s="115">
        <f>+VLOOKUP(Y763,B:O,8,FALSE)/1000</f>
        <v>9.8137599807135975E-2</v>
      </c>
      <c r="AI763" s="158"/>
    </row>
    <row r="764" spans="23:35">
      <c r="W764" s="4" t="s">
        <v>585</v>
      </c>
      <c r="X764" s="4" t="s">
        <v>3362</v>
      </c>
      <c r="Y764" s="151" t="str">
        <f t="shared" si="67"/>
        <v>E6170</v>
      </c>
      <c r="Z764" s="4" t="s">
        <v>587</v>
      </c>
      <c r="AA764" s="114" t="s">
        <v>588</v>
      </c>
      <c r="AB764" s="4" t="s">
        <v>506</v>
      </c>
      <c r="AC764" s="4" t="s">
        <v>507</v>
      </c>
      <c r="AD764" s="4" t="s">
        <v>508</v>
      </c>
      <c r="AE764" s="4" t="s">
        <v>509</v>
      </c>
      <c r="AF764" s="4" t="s">
        <v>589</v>
      </c>
      <c r="AG764" s="115">
        <f>+VLOOKUP(Y764,B:O,9,FALSE)/1000</f>
        <v>9.8137599807135975E-2</v>
      </c>
      <c r="AI764" s="158"/>
    </row>
    <row r="765" spans="23:35">
      <c r="W765" s="4" t="s">
        <v>585</v>
      </c>
      <c r="X765" s="4" t="s">
        <v>3363</v>
      </c>
      <c r="Y765" s="151" t="str">
        <f t="shared" si="67"/>
        <v>E6170</v>
      </c>
      <c r="Z765" s="4" t="s">
        <v>587</v>
      </c>
      <c r="AA765" s="114" t="s">
        <v>588</v>
      </c>
      <c r="AB765" s="4" t="s">
        <v>506</v>
      </c>
      <c r="AC765" s="4" t="s">
        <v>507</v>
      </c>
      <c r="AD765" s="4" t="s">
        <v>508</v>
      </c>
      <c r="AE765" s="4" t="s">
        <v>509</v>
      </c>
      <c r="AF765" s="4" t="s">
        <v>589</v>
      </c>
      <c r="AG765" s="115">
        <f>+VLOOKUP(Y765,B:O,10,FALSE)/1000</f>
        <v>9.8137599807135975E-2</v>
      </c>
      <c r="AI765" s="158"/>
    </row>
    <row r="766" spans="23:35">
      <c r="W766" s="4" t="s">
        <v>585</v>
      </c>
      <c r="X766" s="4" t="s">
        <v>3364</v>
      </c>
      <c r="Y766" s="151" t="str">
        <f t="shared" si="67"/>
        <v>E6170</v>
      </c>
      <c r="Z766" s="4" t="s">
        <v>587</v>
      </c>
      <c r="AA766" s="114" t="s">
        <v>588</v>
      </c>
      <c r="AB766" s="4" t="s">
        <v>506</v>
      </c>
      <c r="AC766" s="4" t="s">
        <v>507</v>
      </c>
      <c r="AD766" s="4" t="s">
        <v>508</v>
      </c>
      <c r="AE766" s="4" t="s">
        <v>509</v>
      </c>
      <c r="AF766" s="4" t="s">
        <v>589</v>
      </c>
      <c r="AG766" s="115">
        <f>+VLOOKUP(Y766,B:O,11,FALSE)/1000</f>
        <v>9.8137599807135975E-2</v>
      </c>
      <c r="AI766" s="158"/>
    </row>
    <row r="767" spans="23:35">
      <c r="W767" s="4" t="s">
        <v>585</v>
      </c>
      <c r="X767" s="4" t="s">
        <v>3365</v>
      </c>
      <c r="Y767" s="151" t="str">
        <f t="shared" si="67"/>
        <v>E6170</v>
      </c>
      <c r="Z767" s="4" t="s">
        <v>587</v>
      </c>
      <c r="AA767" s="114" t="s">
        <v>588</v>
      </c>
      <c r="AB767" s="4" t="s">
        <v>506</v>
      </c>
      <c r="AC767" s="4" t="s">
        <v>507</v>
      </c>
      <c r="AD767" s="4" t="s">
        <v>508</v>
      </c>
      <c r="AE767" s="4" t="s">
        <v>509</v>
      </c>
      <c r="AF767" s="4" t="s">
        <v>589</v>
      </c>
      <c r="AG767" s="115">
        <f>+VLOOKUP(Y767,B:O,12,FALSE)/1000</f>
        <v>9.8137599807135975E-2</v>
      </c>
      <c r="AI767" s="158"/>
    </row>
    <row r="768" spans="23:35">
      <c r="W768" s="4" t="s">
        <v>585</v>
      </c>
      <c r="X768" s="4" t="s">
        <v>3366</v>
      </c>
      <c r="Y768" s="151" t="str">
        <f t="shared" si="67"/>
        <v>E6170</v>
      </c>
      <c r="Z768" s="4" t="s">
        <v>587</v>
      </c>
      <c r="AA768" s="114" t="s">
        <v>588</v>
      </c>
      <c r="AB768" s="4" t="s">
        <v>506</v>
      </c>
      <c r="AC768" s="4" t="s">
        <v>507</v>
      </c>
      <c r="AD768" s="4" t="s">
        <v>508</v>
      </c>
      <c r="AE768" s="4" t="s">
        <v>509</v>
      </c>
      <c r="AF768" s="4" t="s">
        <v>589</v>
      </c>
      <c r="AG768" s="115">
        <f>+VLOOKUP(Y768,B:O,13,FALSE)/1000</f>
        <v>0.1003947646027001</v>
      </c>
      <c r="AI768" s="158"/>
    </row>
    <row r="769" spans="23:35">
      <c r="W769" s="4" t="s">
        <v>585</v>
      </c>
      <c r="X769" s="4" t="s">
        <v>3367</v>
      </c>
      <c r="Y769" s="151" t="str">
        <f t="shared" si="67"/>
        <v>E6170</v>
      </c>
      <c r="Z769" s="4" t="s">
        <v>587</v>
      </c>
      <c r="AA769" s="114" t="s">
        <v>588</v>
      </c>
      <c r="AB769" s="4" t="s">
        <v>506</v>
      </c>
      <c r="AC769" s="4" t="s">
        <v>507</v>
      </c>
      <c r="AD769" s="4" t="s">
        <v>508</v>
      </c>
      <c r="AE769" s="4" t="s">
        <v>509</v>
      </c>
      <c r="AF769" s="4" t="s">
        <v>589</v>
      </c>
      <c r="AG769" s="115">
        <f>+VLOOKUP(Y769,B:O,14,FALSE)/1000</f>
        <v>6.0159999999999998E-2</v>
      </c>
      <c r="AI769" s="158"/>
    </row>
    <row r="770" spans="23:35">
      <c r="W770" s="4" t="s">
        <v>585</v>
      </c>
      <c r="X770" s="3" t="s">
        <v>3356</v>
      </c>
      <c r="Y770" s="150" t="str">
        <f>INDEX($B$3:$O$110,90,1)</f>
        <v>E6190</v>
      </c>
      <c r="Z770" s="4" t="s">
        <v>587</v>
      </c>
      <c r="AA770" s="114" t="s">
        <v>588</v>
      </c>
      <c r="AB770" s="4" t="s">
        <v>506</v>
      </c>
      <c r="AC770" s="4" t="s">
        <v>507</v>
      </c>
      <c r="AD770" s="4" t="s">
        <v>508</v>
      </c>
      <c r="AE770" s="4" t="s">
        <v>509</v>
      </c>
      <c r="AF770" s="4" t="s">
        <v>589</v>
      </c>
      <c r="AG770" s="115">
        <f>+VLOOKUP(Y770,B:O,3,FALSE)/1000</f>
        <v>6.7369999999999999E-2</v>
      </c>
      <c r="AI770" s="158"/>
    </row>
    <row r="771" spans="23:35">
      <c r="W771" s="4" t="s">
        <v>585</v>
      </c>
      <c r="X771" s="4" t="s">
        <v>3357</v>
      </c>
      <c r="Y771" s="151" t="str">
        <f>Y770</f>
        <v>E6190</v>
      </c>
      <c r="Z771" s="4" t="s">
        <v>587</v>
      </c>
      <c r="AA771" s="114" t="s">
        <v>588</v>
      </c>
      <c r="AB771" s="4" t="s">
        <v>506</v>
      </c>
      <c r="AC771" s="4" t="s">
        <v>507</v>
      </c>
      <c r="AD771" s="4" t="s">
        <v>508</v>
      </c>
      <c r="AE771" s="4" t="s">
        <v>509</v>
      </c>
      <c r="AF771" s="4" t="s">
        <v>589</v>
      </c>
      <c r="AG771" s="743">
        <v>0</v>
      </c>
      <c r="AH771" s="4" t="s">
        <v>360</v>
      </c>
      <c r="AI771" s="158"/>
    </row>
    <row r="772" spans="23:35">
      <c r="W772" s="4" t="s">
        <v>585</v>
      </c>
      <c r="X772" s="4" t="s">
        <v>3358</v>
      </c>
      <c r="Y772" s="151" t="str">
        <f t="shared" ref="Y772:Y781" si="68">Y771</f>
        <v>E6190</v>
      </c>
      <c r="Z772" s="4" t="s">
        <v>587</v>
      </c>
      <c r="AA772" s="114" t="s">
        <v>588</v>
      </c>
      <c r="AB772" s="4" t="s">
        <v>506</v>
      </c>
      <c r="AC772" s="4" t="s">
        <v>507</v>
      </c>
      <c r="AD772" s="4" t="s">
        <v>508</v>
      </c>
      <c r="AE772" s="4" t="s">
        <v>509</v>
      </c>
      <c r="AF772" s="4" t="s">
        <v>589</v>
      </c>
      <c r="AG772" s="743">
        <v>0</v>
      </c>
      <c r="AH772" t="s">
        <v>360</v>
      </c>
      <c r="AI772" s="158"/>
    </row>
    <row r="773" spans="23:35">
      <c r="W773" s="4" t="s">
        <v>585</v>
      </c>
      <c r="X773" s="4" t="s">
        <v>3359</v>
      </c>
      <c r="Y773" s="151" t="str">
        <f t="shared" si="68"/>
        <v>E6190</v>
      </c>
      <c r="Z773" s="4" t="s">
        <v>587</v>
      </c>
      <c r="AA773" s="114" t="s">
        <v>588</v>
      </c>
      <c r="AB773" s="4" t="s">
        <v>506</v>
      </c>
      <c r="AC773" s="4" t="s">
        <v>507</v>
      </c>
      <c r="AD773" s="4" t="s">
        <v>508</v>
      </c>
      <c r="AE773" s="4" t="s">
        <v>509</v>
      </c>
      <c r="AF773" s="4" t="s">
        <v>589</v>
      </c>
      <c r="AG773" s="743">
        <v>0</v>
      </c>
      <c r="AH773" t="s">
        <v>360</v>
      </c>
      <c r="AI773" s="158"/>
    </row>
    <row r="774" spans="23:35">
      <c r="W774" s="4" t="s">
        <v>585</v>
      </c>
      <c r="X774" s="4" t="s">
        <v>3360</v>
      </c>
      <c r="Y774" s="151" t="str">
        <f t="shared" si="68"/>
        <v>E6190</v>
      </c>
      <c r="Z774" s="4" t="s">
        <v>587</v>
      </c>
      <c r="AA774" s="114" t="s">
        <v>588</v>
      </c>
      <c r="AB774" s="4" t="s">
        <v>506</v>
      </c>
      <c r="AC774" s="4" t="s">
        <v>507</v>
      </c>
      <c r="AD774" s="4" t="s">
        <v>508</v>
      </c>
      <c r="AE774" s="4" t="s">
        <v>509</v>
      </c>
      <c r="AF774" s="4" t="s">
        <v>589</v>
      </c>
      <c r="AG774" s="743">
        <v>0</v>
      </c>
      <c r="AH774" t="s">
        <v>360</v>
      </c>
      <c r="AI774" s="158"/>
    </row>
    <row r="775" spans="23:35">
      <c r="W775" s="4" t="s">
        <v>585</v>
      </c>
      <c r="X775" s="4" t="s">
        <v>3361</v>
      </c>
      <c r="Y775" s="151" t="str">
        <f t="shared" si="68"/>
        <v>E6190</v>
      </c>
      <c r="Z775" s="4" t="s">
        <v>587</v>
      </c>
      <c r="AA775" s="114" t="s">
        <v>588</v>
      </c>
      <c r="AB775" s="4" t="s">
        <v>506</v>
      </c>
      <c r="AC775" s="4" t="s">
        <v>507</v>
      </c>
      <c r="AD775" s="4" t="s">
        <v>508</v>
      </c>
      <c r="AE775" s="4" t="s">
        <v>509</v>
      </c>
      <c r="AF775" s="4" t="s">
        <v>589</v>
      </c>
      <c r="AG775" s="743">
        <v>0</v>
      </c>
      <c r="AH775" t="s">
        <v>360</v>
      </c>
      <c r="AI775" s="158"/>
    </row>
    <row r="776" spans="23:35">
      <c r="W776" s="4" t="s">
        <v>585</v>
      </c>
      <c r="X776" s="4" t="s">
        <v>3362</v>
      </c>
      <c r="Y776" s="151" t="str">
        <f t="shared" si="68"/>
        <v>E6190</v>
      </c>
      <c r="Z776" s="4" t="s">
        <v>587</v>
      </c>
      <c r="AA776" s="114" t="s">
        <v>588</v>
      </c>
      <c r="AB776" s="4" t="s">
        <v>506</v>
      </c>
      <c r="AC776" s="4" t="s">
        <v>507</v>
      </c>
      <c r="AD776" s="4" t="s">
        <v>508</v>
      </c>
      <c r="AE776" s="4" t="s">
        <v>509</v>
      </c>
      <c r="AF776" s="4" t="s">
        <v>589</v>
      </c>
      <c r="AG776" s="743">
        <v>0</v>
      </c>
      <c r="AH776" t="s">
        <v>360</v>
      </c>
      <c r="AI776" s="158"/>
    </row>
    <row r="777" spans="23:35">
      <c r="W777" s="4" t="s">
        <v>585</v>
      </c>
      <c r="X777" s="4" t="s">
        <v>3363</v>
      </c>
      <c r="Y777" s="151" t="str">
        <f t="shared" si="68"/>
        <v>E6190</v>
      </c>
      <c r="Z777" s="4" t="s">
        <v>587</v>
      </c>
      <c r="AA777" s="114" t="s">
        <v>588</v>
      </c>
      <c r="AB777" s="4" t="s">
        <v>506</v>
      </c>
      <c r="AC777" s="4" t="s">
        <v>507</v>
      </c>
      <c r="AD777" s="4" t="s">
        <v>508</v>
      </c>
      <c r="AE777" s="4" t="s">
        <v>509</v>
      </c>
      <c r="AF777" s="4" t="s">
        <v>589</v>
      </c>
      <c r="AG777" s="743">
        <v>0</v>
      </c>
      <c r="AH777" t="s">
        <v>360</v>
      </c>
      <c r="AI777" s="158"/>
    </row>
    <row r="778" spans="23:35">
      <c r="W778" s="4" t="s">
        <v>585</v>
      </c>
      <c r="X778" s="4" t="s">
        <v>3364</v>
      </c>
      <c r="Y778" s="151" t="str">
        <f t="shared" si="68"/>
        <v>E6190</v>
      </c>
      <c r="Z778" s="4" t="s">
        <v>587</v>
      </c>
      <c r="AA778" s="114" t="s">
        <v>588</v>
      </c>
      <c r="AB778" s="4" t="s">
        <v>506</v>
      </c>
      <c r="AC778" s="4" t="s">
        <v>507</v>
      </c>
      <c r="AD778" s="4" t="s">
        <v>508</v>
      </c>
      <c r="AE778" s="4" t="s">
        <v>509</v>
      </c>
      <c r="AF778" s="4" t="s">
        <v>589</v>
      </c>
      <c r="AG778" s="743">
        <v>0</v>
      </c>
      <c r="AH778" t="s">
        <v>360</v>
      </c>
      <c r="AI778" s="158"/>
    </row>
    <row r="779" spans="23:35">
      <c r="W779" s="4" t="s">
        <v>585</v>
      </c>
      <c r="X779" s="4" t="s">
        <v>3365</v>
      </c>
      <c r="Y779" s="151" t="str">
        <f t="shared" si="68"/>
        <v>E6190</v>
      </c>
      <c r="Z779" s="4" t="s">
        <v>587</v>
      </c>
      <c r="AA779" s="114" t="s">
        <v>588</v>
      </c>
      <c r="AB779" s="4" t="s">
        <v>506</v>
      </c>
      <c r="AC779" s="4" t="s">
        <v>507</v>
      </c>
      <c r="AD779" s="4" t="s">
        <v>508</v>
      </c>
      <c r="AE779" s="4" t="s">
        <v>509</v>
      </c>
      <c r="AF779" s="4" t="s">
        <v>589</v>
      </c>
      <c r="AG779" s="743">
        <v>0</v>
      </c>
      <c r="AH779" t="s">
        <v>360</v>
      </c>
      <c r="AI779" s="158"/>
    </row>
    <row r="780" spans="23:35">
      <c r="W780" s="4" t="s">
        <v>585</v>
      </c>
      <c r="X780" s="4" t="s">
        <v>3366</v>
      </c>
      <c r="Y780" s="151" t="str">
        <f t="shared" si="68"/>
        <v>E6190</v>
      </c>
      <c r="Z780" s="4" t="s">
        <v>587</v>
      </c>
      <c r="AA780" s="114" t="s">
        <v>588</v>
      </c>
      <c r="AB780" s="4" t="s">
        <v>506</v>
      </c>
      <c r="AC780" s="4" t="s">
        <v>507</v>
      </c>
      <c r="AD780" s="4" t="s">
        <v>508</v>
      </c>
      <c r="AE780" s="4" t="s">
        <v>509</v>
      </c>
      <c r="AF780" s="4" t="s">
        <v>589</v>
      </c>
      <c r="AG780" s="743">
        <v>0</v>
      </c>
      <c r="AH780" t="s">
        <v>360</v>
      </c>
      <c r="AI780" s="158"/>
    </row>
    <row r="781" spans="23:35">
      <c r="W781" s="4" t="s">
        <v>585</v>
      </c>
      <c r="X781" s="4" t="s">
        <v>3367</v>
      </c>
      <c r="Y781" s="151" t="str">
        <f t="shared" si="68"/>
        <v>E6190</v>
      </c>
      <c r="Z781" s="4" t="s">
        <v>587</v>
      </c>
      <c r="AA781" s="114" t="s">
        <v>588</v>
      </c>
      <c r="AB781" s="4" t="s">
        <v>506</v>
      </c>
      <c r="AC781" s="4" t="s">
        <v>507</v>
      </c>
      <c r="AD781" s="4" t="s">
        <v>508</v>
      </c>
      <c r="AE781" s="4" t="s">
        <v>509</v>
      </c>
      <c r="AF781" s="4" t="s">
        <v>589</v>
      </c>
      <c r="AG781" s="743">
        <v>0</v>
      </c>
      <c r="AH781" t="s">
        <v>360</v>
      </c>
      <c r="AI781" s="158"/>
    </row>
    <row r="782" spans="23:35">
      <c r="W782" s="4" t="s">
        <v>585</v>
      </c>
      <c r="X782" s="3" t="s">
        <v>3356</v>
      </c>
      <c r="Y782" s="150" t="str">
        <f>INDEX($B$3:$O$110,91,1)</f>
        <v>E6200</v>
      </c>
      <c r="Z782" s="4" t="s">
        <v>587</v>
      </c>
      <c r="AA782" s="114" t="s">
        <v>588</v>
      </c>
      <c r="AB782" s="4" t="s">
        <v>506</v>
      </c>
      <c r="AC782" s="4" t="s">
        <v>507</v>
      </c>
      <c r="AD782" s="4" t="s">
        <v>508</v>
      </c>
      <c r="AE782" s="4" t="s">
        <v>509</v>
      </c>
      <c r="AF782" s="4" t="s">
        <v>589</v>
      </c>
      <c r="AG782" s="743">
        <v>0</v>
      </c>
      <c r="AH782" s="4" t="s">
        <v>365</v>
      </c>
      <c r="AI782" s="158"/>
    </row>
    <row r="783" spans="23:35">
      <c r="W783" s="4" t="s">
        <v>585</v>
      </c>
      <c r="X783" s="4" t="s">
        <v>3357</v>
      </c>
      <c r="Y783" s="151" t="str">
        <f>Y782</f>
        <v>E6200</v>
      </c>
      <c r="Z783" s="4" t="s">
        <v>587</v>
      </c>
      <c r="AA783" s="114" t="s">
        <v>588</v>
      </c>
      <c r="AB783" s="4" t="s">
        <v>506</v>
      </c>
      <c r="AC783" s="4" t="s">
        <v>507</v>
      </c>
      <c r="AD783" s="4" t="s">
        <v>508</v>
      </c>
      <c r="AE783" s="4" t="s">
        <v>509</v>
      </c>
      <c r="AF783" s="4" t="s">
        <v>589</v>
      </c>
      <c r="AG783" s="743">
        <v>0</v>
      </c>
      <c r="AH783" t="s">
        <v>365</v>
      </c>
      <c r="AI783" s="158"/>
    </row>
    <row r="784" spans="23:35">
      <c r="W784" s="4" t="s">
        <v>585</v>
      </c>
      <c r="X784" s="4" t="s">
        <v>3358</v>
      </c>
      <c r="Y784" s="151" t="str">
        <f t="shared" ref="Y784:Y793" si="69">Y783</f>
        <v>E6200</v>
      </c>
      <c r="Z784" s="4" t="s">
        <v>587</v>
      </c>
      <c r="AA784" s="114" t="s">
        <v>588</v>
      </c>
      <c r="AB784" s="4" t="s">
        <v>506</v>
      </c>
      <c r="AC784" s="4" t="s">
        <v>507</v>
      </c>
      <c r="AD784" s="4" t="s">
        <v>508</v>
      </c>
      <c r="AE784" s="4" t="s">
        <v>509</v>
      </c>
      <c r="AF784" s="4" t="s">
        <v>589</v>
      </c>
      <c r="AG784" s="743">
        <v>0</v>
      </c>
      <c r="AH784" t="s">
        <v>365</v>
      </c>
      <c r="AI784" s="158"/>
    </row>
    <row r="785" spans="23:35">
      <c r="W785" s="4" t="s">
        <v>585</v>
      </c>
      <c r="X785" s="4" t="s">
        <v>3359</v>
      </c>
      <c r="Y785" s="151" t="str">
        <f t="shared" si="69"/>
        <v>E6200</v>
      </c>
      <c r="Z785" s="4" t="s">
        <v>587</v>
      </c>
      <c r="AA785" s="114" t="s">
        <v>588</v>
      </c>
      <c r="AB785" s="4" t="s">
        <v>506</v>
      </c>
      <c r="AC785" s="4" t="s">
        <v>507</v>
      </c>
      <c r="AD785" s="4" t="s">
        <v>508</v>
      </c>
      <c r="AE785" s="4" t="s">
        <v>509</v>
      </c>
      <c r="AF785" s="4" t="s">
        <v>589</v>
      </c>
      <c r="AG785" s="743">
        <v>0</v>
      </c>
      <c r="AH785" t="s">
        <v>365</v>
      </c>
      <c r="AI785" s="158"/>
    </row>
    <row r="786" spans="23:35">
      <c r="W786" s="4" t="s">
        <v>585</v>
      </c>
      <c r="X786" s="4" t="s">
        <v>3360</v>
      </c>
      <c r="Y786" s="151" t="str">
        <f t="shared" si="69"/>
        <v>E6200</v>
      </c>
      <c r="Z786" s="4" t="s">
        <v>587</v>
      </c>
      <c r="AA786" s="114" t="s">
        <v>588</v>
      </c>
      <c r="AB786" s="4" t="s">
        <v>506</v>
      </c>
      <c r="AC786" s="4" t="s">
        <v>507</v>
      </c>
      <c r="AD786" s="4" t="s">
        <v>508</v>
      </c>
      <c r="AE786" s="4" t="s">
        <v>509</v>
      </c>
      <c r="AF786" s="4" t="s">
        <v>589</v>
      </c>
      <c r="AG786" s="743">
        <v>0</v>
      </c>
      <c r="AH786" t="s">
        <v>365</v>
      </c>
      <c r="AI786" s="158"/>
    </row>
    <row r="787" spans="23:35">
      <c r="W787" s="4" t="s">
        <v>585</v>
      </c>
      <c r="X787" s="4" t="s">
        <v>3361</v>
      </c>
      <c r="Y787" s="151" t="str">
        <f t="shared" si="69"/>
        <v>E6200</v>
      </c>
      <c r="Z787" s="4" t="s">
        <v>587</v>
      </c>
      <c r="AA787" s="114" t="s">
        <v>588</v>
      </c>
      <c r="AB787" s="4" t="s">
        <v>506</v>
      </c>
      <c r="AC787" s="4" t="s">
        <v>507</v>
      </c>
      <c r="AD787" s="4" t="s">
        <v>508</v>
      </c>
      <c r="AE787" s="4" t="s">
        <v>509</v>
      </c>
      <c r="AF787" s="4" t="s">
        <v>589</v>
      </c>
      <c r="AG787" s="743">
        <v>0</v>
      </c>
      <c r="AH787" t="s">
        <v>365</v>
      </c>
      <c r="AI787" s="158"/>
    </row>
    <row r="788" spans="23:35">
      <c r="W788" s="4" t="s">
        <v>585</v>
      </c>
      <c r="X788" s="4" t="s">
        <v>3362</v>
      </c>
      <c r="Y788" s="151" t="str">
        <f t="shared" si="69"/>
        <v>E6200</v>
      </c>
      <c r="Z788" s="4" t="s">
        <v>587</v>
      </c>
      <c r="AA788" s="114" t="s">
        <v>588</v>
      </c>
      <c r="AB788" s="4" t="s">
        <v>506</v>
      </c>
      <c r="AC788" s="4" t="s">
        <v>507</v>
      </c>
      <c r="AD788" s="4" t="s">
        <v>508</v>
      </c>
      <c r="AE788" s="4" t="s">
        <v>509</v>
      </c>
      <c r="AF788" s="4" t="s">
        <v>589</v>
      </c>
      <c r="AG788" s="743">
        <v>0</v>
      </c>
      <c r="AH788" t="s">
        <v>365</v>
      </c>
      <c r="AI788" s="158"/>
    </row>
    <row r="789" spans="23:35">
      <c r="W789" s="4" t="s">
        <v>585</v>
      </c>
      <c r="X789" s="4" t="s">
        <v>3363</v>
      </c>
      <c r="Y789" s="151" t="str">
        <f t="shared" si="69"/>
        <v>E6200</v>
      </c>
      <c r="Z789" s="4" t="s">
        <v>587</v>
      </c>
      <c r="AA789" s="114" t="s">
        <v>588</v>
      </c>
      <c r="AB789" s="4" t="s">
        <v>506</v>
      </c>
      <c r="AC789" s="4" t="s">
        <v>507</v>
      </c>
      <c r="AD789" s="4" t="s">
        <v>508</v>
      </c>
      <c r="AE789" s="4" t="s">
        <v>509</v>
      </c>
      <c r="AF789" s="4" t="s">
        <v>589</v>
      </c>
      <c r="AG789" s="743">
        <v>0</v>
      </c>
      <c r="AH789" t="s">
        <v>365</v>
      </c>
      <c r="AI789" s="158"/>
    </row>
    <row r="790" spans="23:35">
      <c r="W790" s="4" t="s">
        <v>585</v>
      </c>
      <c r="X790" s="4" t="s">
        <v>3364</v>
      </c>
      <c r="Y790" s="151" t="str">
        <f t="shared" si="69"/>
        <v>E6200</v>
      </c>
      <c r="Z790" s="4" t="s">
        <v>587</v>
      </c>
      <c r="AA790" s="114" t="s">
        <v>588</v>
      </c>
      <c r="AB790" s="4" t="s">
        <v>506</v>
      </c>
      <c r="AC790" s="4" t="s">
        <v>507</v>
      </c>
      <c r="AD790" s="4" t="s">
        <v>508</v>
      </c>
      <c r="AE790" s="4" t="s">
        <v>509</v>
      </c>
      <c r="AF790" s="4" t="s">
        <v>589</v>
      </c>
      <c r="AG790" s="743">
        <v>0</v>
      </c>
      <c r="AH790" t="s">
        <v>365</v>
      </c>
      <c r="AI790" s="158"/>
    </row>
    <row r="791" spans="23:35">
      <c r="W791" s="4" t="s">
        <v>585</v>
      </c>
      <c r="X791" s="4" t="s">
        <v>3365</v>
      </c>
      <c r="Y791" s="151" t="str">
        <f t="shared" si="69"/>
        <v>E6200</v>
      </c>
      <c r="Z791" s="4" t="s">
        <v>587</v>
      </c>
      <c r="AA791" s="114" t="s">
        <v>588</v>
      </c>
      <c r="AB791" s="4" t="s">
        <v>506</v>
      </c>
      <c r="AC791" s="4" t="s">
        <v>507</v>
      </c>
      <c r="AD791" s="4" t="s">
        <v>508</v>
      </c>
      <c r="AE791" s="4" t="s">
        <v>509</v>
      </c>
      <c r="AF791" s="4" t="s">
        <v>589</v>
      </c>
      <c r="AG791" s="743">
        <v>0</v>
      </c>
      <c r="AH791" t="s">
        <v>365</v>
      </c>
      <c r="AI791" s="158"/>
    </row>
    <row r="792" spans="23:35">
      <c r="W792" s="4" t="s">
        <v>585</v>
      </c>
      <c r="X792" s="4" t="s">
        <v>3366</v>
      </c>
      <c r="Y792" s="151" t="str">
        <f t="shared" si="69"/>
        <v>E6200</v>
      </c>
      <c r="Z792" s="4" t="s">
        <v>587</v>
      </c>
      <c r="AA792" s="114" t="s">
        <v>588</v>
      </c>
      <c r="AB792" s="4" t="s">
        <v>506</v>
      </c>
      <c r="AC792" s="4" t="s">
        <v>507</v>
      </c>
      <c r="AD792" s="4" t="s">
        <v>508</v>
      </c>
      <c r="AE792" s="4" t="s">
        <v>509</v>
      </c>
      <c r="AF792" s="4" t="s">
        <v>589</v>
      </c>
      <c r="AG792" s="743">
        <v>0</v>
      </c>
      <c r="AH792" t="s">
        <v>365</v>
      </c>
      <c r="AI792" s="158"/>
    </row>
    <row r="793" spans="23:35">
      <c r="W793" s="4" t="s">
        <v>585</v>
      </c>
      <c r="X793" s="4" t="s">
        <v>3367</v>
      </c>
      <c r="Y793" s="151" t="str">
        <f t="shared" si="69"/>
        <v>E6200</v>
      </c>
      <c r="Z793" s="4" t="s">
        <v>587</v>
      </c>
      <c r="AA793" s="114" t="s">
        <v>588</v>
      </c>
      <c r="AB793" s="4" t="s">
        <v>506</v>
      </c>
      <c r="AC793" s="4" t="s">
        <v>507</v>
      </c>
      <c r="AD793" s="4" t="s">
        <v>508</v>
      </c>
      <c r="AE793" s="4" t="s">
        <v>509</v>
      </c>
      <c r="AF793" s="4" t="s">
        <v>589</v>
      </c>
      <c r="AG793" s="743">
        <v>0</v>
      </c>
      <c r="AH793" t="s">
        <v>365</v>
      </c>
      <c r="AI793" s="158"/>
    </row>
    <row r="794" spans="23:35">
      <c r="W794" s="4" t="s">
        <v>585</v>
      </c>
      <c r="X794" s="3" t="s">
        <v>3356</v>
      </c>
      <c r="Y794" s="150" t="str">
        <f>INDEX($B$3:$O$110,92,1)</f>
        <v>E6210</v>
      </c>
      <c r="Z794" s="4" t="s">
        <v>587</v>
      </c>
      <c r="AA794" s="114" t="s">
        <v>588</v>
      </c>
      <c r="AB794" s="4" t="s">
        <v>506</v>
      </c>
      <c r="AC794" s="4" t="s">
        <v>507</v>
      </c>
      <c r="AD794" s="4" t="s">
        <v>508</v>
      </c>
      <c r="AE794" s="4" t="s">
        <v>509</v>
      </c>
      <c r="AF794" s="4" t="s">
        <v>589</v>
      </c>
      <c r="AG794" s="115">
        <f>+VLOOKUP(Y794,B:O,3,FALSE)/1000</f>
        <v>9.7236185805E-2</v>
      </c>
      <c r="AI794" s="158"/>
    </row>
    <row r="795" spans="23:35">
      <c r="W795" s="4" t="s">
        <v>585</v>
      </c>
      <c r="X795" s="4" t="s">
        <v>3357</v>
      </c>
      <c r="Y795" s="151" t="str">
        <f>Y794</f>
        <v>E6210</v>
      </c>
      <c r="Z795" s="4" t="s">
        <v>587</v>
      </c>
      <c r="AA795" s="114" t="s">
        <v>588</v>
      </c>
      <c r="AB795" s="4" t="s">
        <v>506</v>
      </c>
      <c r="AC795" s="4" t="s">
        <v>507</v>
      </c>
      <c r="AD795" s="4" t="s">
        <v>508</v>
      </c>
      <c r="AE795" s="4" t="s">
        <v>509</v>
      </c>
      <c r="AF795" s="4" t="s">
        <v>589</v>
      </c>
      <c r="AG795" s="115">
        <f>+VLOOKUP(Y795,B:O,4,FALSE)/1000</f>
        <v>9.7236185805E-2</v>
      </c>
      <c r="AI795" s="158"/>
    </row>
    <row r="796" spans="23:35">
      <c r="W796" s="4" t="s">
        <v>585</v>
      </c>
      <c r="X796" s="4" t="s">
        <v>3358</v>
      </c>
      <c r="Y796" s="151" t="str">
        <f t="shared" ref="Y796:Y805" si="70">Y795</f>
        <v>E6210</v>
      </c>
      <c r="Z796" s="4" t="s">
        <v>587</v>
      </c>
      <c r="AA796" s="114" t="s">
        <v>588</v>
      </c>
      <c r="AB796" s="4" t="s">
        <v>506</v>
      </c>
      <c r="AC796" s="4" t="s">
        <v>507</v>
      </c>
      <c r="AD796" s="4" t="s">
        <v>508</v>
      </c>
      <c r="AE796" s="4" t="s">
        <v>509</v>
      </c>
      <c r="AF796" s="4" t="s">
        <v>589</v>
      </c>
      <c r="AG796" s="115">
        <f>+VLOOKUP(Y796,B:O,5,FALSE)/1000</f>
        <v>9.7236185805E-2</v>
      </c>
      <c r="AI796" s="158"/>
    </row>
    <row r="797" spans="23:35">
      <c r="W797" s="4" t="s">
        <v>585</v>
      </c>
      <c r="X797" s="4" t="s">
        <v>3359</v>
      </c>
      <c r="Y797" s="151" t="str">
        <f t="shared" si="70"/>
        <v>E6210</v>
      </c>
      <c r="Z797" s="4" t="s">
        <v>587</v>
      </c>
      <c r="AA797" s="114" t="s">
        <v>588</v>
      </c>
      <c r="AB797" s="4" t="s">
        <v>506</v>
      </c>
      <c r="AC797" s="4" t="s">
        <v>507</v>
      </c>
      <c r="AD797" s="4" t="s">
        <v>508</v>
      </c>
      <c r="AE797" s="4" t="s">
        <v>509</v>
      </c>
      <c r="AF797" s="4" t="s">
        <v>589</v>
      </c>
      <c r="AG797" s="115">
        <f>+VLOOKUP(Y797,B:O,6,FALSE)/1000</f>
        <v>9.7236185805E-2</v>
      </c>
      <c r="AI797" s="158"/>
    </row>
    <row r="798" spans="23:35">
      <c r="W798" s="4" t="s">
        <v>585</v>
      </c>
      <c r="X798" s="4" t="s">
        <v>3360</v>
      </c>
      <c r="Y798" s="151" t="str">
        <f t="shared" si="70"/>
        <v>E6210</v>
      </c>
      <c r="Z798" s="4" t="s">
        <v>587</v>
      </c>
      <c r="AA798" s="114" t="s">
        <v>588</v>
      </c>
      <c r="AB798" s="4" t="s">
        <v>506</v>
      </c>
      <c r="AC798" s="4" t="s">
        <v>507</v>
      </c>
      <c r="AD798" s="4" t="s">
        <v>508</v>
      </c>
      <c r="AE798" s="4" t="s">
        <v>509</v>
      </c>
      <c r="AF798" s="4" t="s">
        <v>589</v>
      </c>
      <c r="AG798" s="115">
        <f>+VLOOKUP(Y798,B:O,7,FALSE)/1000</f>
        <v>9.7236185805E-2</v>
      </c>
      <c r="AI798" s="158"/>
    </row>
    <row r="799" spans="23:35">
      <c r="W799" s="4" t="s">
        <v>585</v>
      </c>
      <c r="X799" s="4" t="s">
        <v>3361</v>
      </c>
      <c r="Y799" s="151" t="str">
        <f t="shared" si="70"/>
        <v>E6210</v>
      </c>
      <c r="Z799" s="4" t="s">
        <v>587</v>
      </c>
      <c r="AA799" s="114" t="s">
        <v>588</v>
      </c>
      <c r="AB799" s="4" t="s">
        <v>506</v>
      </c>
      <c r="AC799" s="4" t="s">
        <v>507</v>
      </c>
      <c r="AD799" s="4" t="s">
        <v>508</v>
      </c>
      <c r="AE799" s="4" t="s">
        <v>509</v>
      </c>
      <c r="AF799" s="4" t="s">
        <v>589</v>
      </c>
      <c r="AG799" s="115">
        <f>+VLOOKUP(Y799,B:O,8,FALSE)/1000</f>
        <v>9.7236185805E-2</v>
      </c>
      <c r="AI799" s="158"/>
    </row>
    <row r="800" spans="23:35">
      <c r="W800" s="4" t="s">
        <v>585</v>
      </c>
      <c r="X800" s="4" t="s">
        <v>3362</v>
      </c>
      <c r="Y800" s="151" t="str">
        <f t="shared" si="70"/>
        <v>E6210</v>
      </c>
      <c r="Z800" s="4" t="s">
        <v>587</v>
      </c>
      <c r="AA800" s="114" t="s">
        <v>588</v>
      </c>
      <c r="AB800" s="4" t="s">
        <v>506</v>
      </c>
      <c r="AC800" s="4" t="s">
        <v>507</v>
      </c>
      <c r="AD800" s="4" t="s">
        <v>508</v>
      </c>
      <c r="AE800" s="4" t="s">
        <v>509</v>
      </c>
      <c r="AF800" s="4" t="s">
        <v>589</v>
      </c>
      <c r="AG800" s="115">
        <f>+VLOOKUP(Y800,B:O,9,FALSE)/1000</f>
        <v>9.7236185805E-2</v>
      </c>
      <c r="AI800" s="158"/>
    </row>
    <row r="801" spans="23:35">
      <c r="W801" s="4" t="s">
        <v>585</v>
      </c>
      <c r="X801" s="4" t="s">
        <v>3363</v>
      </c>
      <c r="Y801" s="151" t="str">
        <f t="shared" si="70"/>
        <v>E6210</v>
      </c>
      <c r="Z801" s="4" t="s">
        <v>587</v>
      </c>
      <c r="AA801" s="114" t="s">
        <v>588</v>
      </c>
      <c r="AB801" s="4" t="s">
        <v>506</v>
      </c>
      <c r="AC801" s="4" t="s">
        <v>507</v>
      </c>
      <c r="AD801" s="4" t="s">
        <v>508</v>
      </c>
      <c r="AE801" s="4" t="s">
        <v>509</v>
      </c>
      <c r="AF801" s="4" t="s">
        <v>589</v>
      </c>
      <c r="AG801" s="115">
        <f>+VLOOKUP(Y801,B:O,10,FALSE)/1000</f>
        <v>9.7236185805E-2</v>
      </c>
      <c r="AI801" s="158"/>
    </row>
    <row r="802" spans="23:35">
      <c r="W802" s="4" t="s">
        <v>585</v>
      </c>
      <c r="X802" s="4" t="s">
        <v>3364</v>
      </c>
      <c r="Y802" s="151" t="str">
        <f t="shared" si="70"/>
        <v>E6210</v>
      </c>
      <c r="Z802" s="4" t="s">
        <v>587</v>
      </c>
      <c r="AA802" s="114" t="s">
        <v>588</v>
      </c>
      <c r="AB802" s="4" t="s">
        <v>506</v>
      </c>
      <c r="AC802" s="4" t="s">
        <v>507</v>
      </c>
      <c r="AD802" s="4" t="s">
        <v>508</v>
      </c>
      <c r="AE802" s="4" t="s">
        <v>509</v>
      </c>
      <c r="AF802" s="4" t="s">
        <v>589</v>
      </c>
      <c r="AG802" s="115">
        <f>+VLOOKUP(Y802,B:O,11,FALSE)/1000</f>
        <v>9.7236185805E-2</v>
      </c>
      <c r="AI802" s="158"/>
    </row>
    <row r="803" spans="23:35">
      <c r="W803" s="4" t="s">
        <v>585</v>
      </c>
      <c r="X803" s="4" t="s">
        <v>3365</v>
      </c>
      <c r="Y803" s="151" t="str">
        <f t="shared" si="70"/>
        <v>E6210</v>
      </c>
      <c r="Z803" s="4" t="s">
        <v>587</v>
      </c>
      <c r="AA803" s="114" t="s">
        <v>588</v>
      </c>
      <c r="AB803" s="4" t="s">
        <v>506</v>
      </c>
      <c r="AC803" s="4" t="s">
        <v>507</v>
      </c>
      <c r="AD803" s="4" t="s">
        <v>508</v>
      </c>
      <c r="AE803" s="4" t="s">
        <v>509</v>
      </c>
      <c r="AF803" s="4" t="s">
        <v>589</v>
      </c>
      <c r="AG803" s="115">
        <f>+VLOOKUP(Y803,B:O,12,FALSE)/1000</f>
        <v>9.7236185805E-2</v>
      </c>
      <c r="AI803" s="158"/>
    </row>
    <row r="804" spans="23:35">
      <c r="W804" s="4" t="s">
        <v>585</v>
      </c>
      <c r="X804" s="4" t="s">
        <v>3366</v>
      </c>
      <c r="Y804" s="151" t="str">
        <f t="shared" si="70"/>
        <v>E6210</v>
      </c>
      <c r="Z804" s="4" t="s">
        <v>587</v>
      </c>
      <c r="AA804" s="114" t="s">
        <v>588</v>
      </c>
      <c r="AB804" s="4" t="s">
        <v>506</v>
      </c>
      <c r="AC804" s="4" t="s">
        <v>507</v>
      </c>
      <c r="AD804" s="4" t="s">
        <v>508</v>
      </c>
      <c r="AE804" s="4" t="s">
        <v>509</v>
      </c>
      <c r="AF804" s="4" t="s">
        <v>589</v>
      </c>
      <c r="AG804" s="115">
        <f>+VLOOKUP(Y804,B:O,13,FALSE)/1000</f>
        <v>9.9472618078515013E-2</v>
      </c>
      <c r="AI804" s="158"/>
    </row>
    <row r="805" spans="23:35">
      <c r="W805" s="4" t="s">
        <v>585</v>
      </c>
      <c r="X805" s="4" t="s">
        <v>3367</v>
      </c>
      <c r="Y805" s="151" t="str">
        <f t="shared" si="70"/>
        <v>E6210</v>
      </c>
      <c r="Z805" s="4" t="s">
        <v>587</v>
      </c>
      <c r="AA805" s="114" t="s">
        <v>588</v>
      </c>
      <c r="AB805" s="4" t="s">
        <v>506</v>
      </c>
      <c r="AC805" s="4" t="s">
        <v>507</v>
      </c>
      <c r="AD805" s="4" t="s">
        <v>508</v>
      </c>
      <c r="AE805" s="4" t="s">
        <v>509</v>
      </c>
      <c r="AF805" s="4" t="s">
        <v>589</v>
      </c>
      <c r="AG805" s="115">
        <f>+VLOOKUP(Y805,B:O,14,FALSE)/1000</f>
        <v>9.9472618078515013E-2</v>
      </c>
      <c r="AI805" s="158"/>
    </row>
    <row r="806" spans="23:35">
      <c r="W806" s="4" t="s">
        <v>585</v>
      </c>
      <c r="X806" s="3" t="s">
        <v>3356</v>
      </c>
      <c r="Y806" s="150" t="str">
        <f>INDEX($B$3:$O$110,93,1)</f>
        <v>E6250</v>
      </c>
      <c r="Z806" s="4" t="s">
        <v>587</v>
      </c>
      <c r="AA806" s="114" t="s">
        <v>588</v>
      </c>
      <c r="AB806" s="4" t="s">
        <v>506</v>
      </c>
      <c r="AC806" s="4" t="s">
        <v>507</v>
      </c>
      <c r="AD806" s="4" t="s">
        <v>508</v>
      </c>
      <c r="AE806" s="4" t="s">
        <v>509</v>
      </c>
      <c r="AF806" s="4" t="s">
        <v>589</v>
      </c>
      <c r="AG806" s="115">
        <f>+VLOOKUP(Y806,B:O,3,FALSE)/1000</f>
        <v>6.9250000000000006E-2</v>
      </c>
      <c r="AI806" s="158"/>
    </row>
    <row r="807" spans="23:35">
      <c r="W807" s="4" t="s">
        <v>585</v>
      </c>
      <c r="X807" s="4" t="s">
        <v>3357</v>
      </c>
      <c r="Y807" s="151" t="str">
        <f>Y806</f>
        <v>E6250</v>
      </c>
      <c r="Z807" s="4" t="s">
        <v>587</v>
      </c>
      <c r="AA807" s="114" t="s">
        <v>588</v>
      </c>
      <c r="AB807" s="4" t="s">
        <v>506</v>
      </c>
      <c r="AC807" s="4" t="s">
        <v>507</v>
      </c>
      <c r="AD807" s="4" t="s">
        <v>508</v>
      </c>
      <c r="AE807" s="4" t="s">
        <v>509</v>
      </c>
      <c r="AF807" s="4" t="s">
        <v>589</v>
      </c>
      <c r="AG807" s="115">
        <f>+VLOOKUP(Y807,B:O,4,FALSE)/1000</f>
        <v>7.6609999999999998E-2</v>
      </c>
      <c r="AI807" s="158"/>
    </row>
    <row r="808" spans="23:35">
      <c r="W808" s="4" t="s">
        <v>585</v>
      </c>
      <c r="X808" s="4" t="s">
        <v>3358</v>
      </c>
      <c r="Y808" s="151" t="str">
        <f t="shared" ref="Y808:Y817" si="71">Y807</f>
        <v>E6250</v>
      </c>
      <c r="Z808" s="4" t="s">
        <v>587</v>
      </c>
      <c r="AA808" s="114" t="s">
        <v>588</v>
      </c>
      <c r="AB808" s="4" t="s">
        <v>506</v>
      </c>
      <c r="AC808" s="4" t="s">
        <v>507</v>
      </c>
      <c r="AD808" s="4" t="s">
        <v>508</v>
      </c>
      <c r="AE808" s="4" t="s">
        <v>509</v>
      </c>
      <c r="AF808" s="4" t="s">
        <v>589</v>
      </c>
      <c r="AG808" s="115">
        <f>+VLOOKUP(Y808,B:O,5,FALSE)/1000</f>
        <v>6.7129999999999995E-2</v>
      </c>
      <c r="AI808" s="158"/>
    </row>
    <row r="809" spans="23:35">
      <c r="W809" s="4" t="s">
        <v>585</v>
      </c>
      <c r="X809" s="4" t="s">
        <v>3359</v>
      </c>
      <c r="Y809" s="151" t="str">
        <f t="shared" si="71"/>
        <v>E6250</v>
      </c>
      <c r="Z809" s="4" t="s">
        <v>587</v>
      </c>
      <c r="AA809" s="114" t="s">
        <v>588</v>
      </c>
      <c r="AB809" s="4" t="s">
        <v>506</v>
      </c>
      <c r="AC809" s="4" t="s">
        <v>507</v>
      </c>
      <c r="AD809" s="4" t="s">
        <v>508</v>
      </c>
      <c r="AE809" s="4" t="s">
        <v>509</v>
      </c>
      <c r="AF809" s="4" t="s">
        <v>589</v>
      </c>
      <c r="AG809" s="115">
        <f>+VLOOKUP(Y809,B:O,6,FALSE)/1000</f>
        <v>4.632E-2</v>
      </c>
      <c r="AI809" s="158"/>
    </row>
    <row r="810" spans="23:35">
      <c r="W810" s="4" t="s">
        <v>585</v>
      </c>
      <c r="X810" s="4" t="s">
        <v>3360</v>
      </c>
      <c r="Y810" s="151" t="str">
        <f t="shared" si="71"/>
        <v>E6250</v>
      </c>
      <c r="Z810" s="4" t="s">
        <v>587</v>
      </c>
      <c r="AA810" s="114" t="s">
        <v>588</v>
      </c>
      <c r="AB810" s="4" t="s">
        <v>506</v>
      </c>
      <c r="AC810" s="4" t="s">
        <v>507</v>
      </c>
      <c r="AD810" s="4" t="s">
        <v>508</v>
      </c>
      <c r="AE810" s="4" t="s">
        <v>509</v>
      </c>
      <c r="AF810" s="4" t="s">
        <v>589</v>
      </c>
      <c r="AG810" s="743">
        <v>0</v>
      </c>
      <c r="AH810" s="4" t="s">
        <v>488</v>
      </c>
      <c r="AI810" s="158"/>
    </row>
    <row r="811" spans="23:35">
      <c r="W811" s="4" t="s">
        <v>585</v>
      </c>
      <c r="X811" s="4" t="s">
        <v>3361</v>
      </c>
      <c r="Y811" s="151" t="str">
        <f t="shared" si="71"/>
        <v>E6250</v>
      </c>
      <c r="Z811" s="4" t="s">
        <v>587</v>
      </c>
      <c r="AA811" s="114" t="s">
        <v>588</v>
      </c>
      <c r="AB811" s="4" t="s">
        <v>506</v>
      </c>
      <c r="AC811" s="4" t="s">
        <v>507</v>
      </c>
      <c r="AD811" s="4" t="s">
        <v>508</v>
      </c>
      <c r="AE811" s="4" t="s">
        <v>509</v>
      </c>
      <c r="AF811" s="4" t="s">
        <v>589</v>
      </c>
      <c r="AG811" s="743">
        <v>0</v>
      </c>
      <c r="AH811" t="s">
        <v>488</v>
      </c>
      <c r="AI811" s="158"/>
    </row>
    <row r="812" spans="23:35">
      <c r="W812" s="4" t="s">
        <v>585</v>
      </c>
      <c r="X812" s="4" t="s">
        <v>3362</v>
      </c>
      <c r="Y812" s="151" t="str">
        <f t="shared" si="71"/>
        <v>E6250</v>
      </c>
      <c r="Z812" s="4" t="s">
        <v>587</v>
      </c>
      <c r="AA812" s="114" t="s">
        <v>588</v>
      </c>
      <c r="AB812" s="4" t="s">
        <v>506</v>
      </c>
      <c r="AC812" s="4" t="s">
        <v>507</v>
      </c>
      <c r="AD812" s="4" t="s">
        <v>508</v>
      </c>
      <c r="AE812" s="4" t="s">
        <v>509</v>
      </c>
      <c r="AF812" s="4" t="s">
        <v>589</v>
      </c>
      <c r="AG812" s="743">
        <v>0</v>
      </c>
      <c r="AH812" t="s">
        <v>488</v>
      </c>
      <c r="AI812" s="158"/>
    </row>
    <row r="813" spans="23:35">
      <c r="W813" s="4" t="s">
        <v>585</v>
      </c>
      <c r="X813" s="4" t="s">
        <v>3363</v>
      </c>
      <c r="Y813" s="151" t="str">
        <f t="shared" si="71"/>
        <v>E6250</v>
      </c>
      <c r="Z813" s="4" t="s">
        <v>587</v>
      </c>
      <c r="AA813" s="114" t="s">
        <v>588</v>
      </c>
      <c r="AB813" s="4" t="s">
        <v>506</v>
      </c>
      <c r="AC813" s="4" t="s">
        <v>507</v>
      </c>
      <c r="AD813" s="4" t="s">
        <v>508</v>
      </c>
      <c r="AE813" s="4" t="s">
        <v>509</v>
      </c>
      <c r="AF813" s="4" t="s">
        <v>589</v>
      </c>
      <c r="AG813" s="743">
        <v>0</v>
      </c>
      <c r="AH813" t="s">
        <v>488</v>
      </c>
      <c r="AI813" s="158"/>
    </row>
    <row r="814" spans="23:35">
      <c r="W814" s="4" t="s">
        <v>585</v>
      </c>
      <c r="X814" s="4" t="s">
        <v>3364</v>
      </c>
      <c r="Y814" s="151" t="str">
        <f t="shared" si="71"/>
        <v>E6250</v>
      </c>
      <c r="Z814" s="4" t="s">
        <v>587</v>
      </c>
      <c r="AA814" s="114" t="s">
        <v>588</v>
      </c>
      <c r="AB814" s="4" t="s">
        <v>506</v>
      </c>
      <c r="AC814" s="4" t="s">
        <v>507</v>
      </c>
      <c r="AD814" s="4" t="s">
        <v>508</v>
      </c>
      <c r="AE814" s="4" t="s">
        <v>509</v>
      </c>
      <c r="AF814" s="4" t="s">
        <v>589</v>
      </c>
      <c r="AG814" s="743">
        <v>0</v>
      </c>
      <c r="AH814" t="s">
        <v>488</v>
      </c>
      <c r="AI814" s="158"/>
    </row>
    <row r="815" spans="23:35">
      <c r="W815" s="4" t="s">
        <v>585</v>
      </c>
      <c r="X815" s="4" t="s">
        <v>3365</v>
      </c>
      <c r="Y815" s="151" t="str">
        <f t="shared" si="71"/>
        <v>E6250</v>
      </c>
      <c r="Z815" s="4" t="s">
        <v>587</v>
      </c>
      <c r="AA815" s="114" t="s">
        <v>588</v>
      </c>
      <c r="AB815" s="4" t="s">
        <v>506</v>
      </c>
      <c r="AC815" s="4" t="s">
        <v>507</v>
      </c>
      <c r="AD815" s="4" t="s">
        <v>508</v>
      </c>
      <c r="AE815" s="4" t="s">
        <v>509</v>
      </c>
      <c r="AF815" s="4" t="s">
        <v>589</v>
      </c>
      <c r="AG815" s="743">
        <v>0</v>
      </c>
      <c r="AH815" t="s">
        <v>488</v>
      </c>
      <c r="AI815" s="158"/>
    </row>
    <row r="816" spans="23:35">
      <c r="W816" s="4" t="s">
        <v>585</v>
      </c>
      <c r="X816" s="4" t="s">
        <v>3366</v>
      </c>
      <c r="Y816" s="151" t="str">
        <f t="shared" si="71"/>
        <v>E6250</v>
      </c>
      <c r="Z816" s="4" t="s">
        <v>587</v>
      </c>
      <c r="AA816" s="114" t="s">
        <v>588</v>
      </c>
      <c r="AB816" s="4" t="s">
        <v>506</v>
      </c>
      <c r="AC816" s="4" t="s">
        <v>507</v>
      </c>
      <c r="AD816" s="4" t="s">
        <v>508</v>
      </c>
      <c r="AE816" s="4" t="s">
        <v>509</v>
      </c>
      <c r="AF816" s="4" t="s">
        <v>589</v>
      </c>
      <c r="AG816" s="743">
        <v>0</v>
      </c>
      <c r="AH816" t="s">
        <v>488</v>
      </c>
      <c r="AI816" s="158"/>
    </row>
    <row r="817" spans="23:35">
      <c r="W817" s="4" t="s">
        <v>585</v>
      </c>
      <c r="X817" s="4" t="s">
        <v>3367</v>
      </c>
      <c r="Y817" s="151" t="str">
        <f t="shared" si="71"/>
        <v>E6250</v>
      </c>
      <c r="Z817" s="4" t="s">
        <v>587</v>
      </c>
      <c r="AA817" s="114" t="s">
        <v>588</v>
      </c>
      <c r="AB817" s="4" t="s">
        <v>506</v>
      </c>
      <c r="AC817" s="4" t="s">
        <v>507</v>
      </c>
      <c r="AD817" s="4" t="s">
        <v>508</v>
      </c>
      <c r="AE817" s="4" t="s">
        <v>509</v>
      </c>
      <c r="AF817" s="4" t="s">
        <v>589</v>
      </c>
      <c r="AG817" s="743">
        <v>0</v>
      </c>
      <c r="AH817" t="s">
        <v>488</v>
      </c>
      <c r="AI817" s="158"/>
    </row>
    <row r="818" spans="23:35">
      <c r="W818" s="4" t="s">
        <v>585</v>
      </c>
      <c r="X818" s="3" t="s">
        <v>3356</v>
      </c>
      <c r="Y818" s="150" t="str">
        <f>INDEX($B$3:$O$110,94,1)</f>
        <v>E6260</v>
      </c>
      <c r="Z818" s="4" t="s">
        <v>587</v>
      </c>
      <c r="AA818" s="114" t="s">
        <v>588</v>
      </c>
      <c r="AB818" s="4" t="s">
        <v>506</v>
      </c>
      <c r="AC818" s="4" t="s">
        <v>507</v>
      </c>
      <c r="AD818" s="4" t="s">
        <v>508</v>
      </c>
      <c r="AE818" s="4" t="s">
        <v>509</v>
      </c>
      <c r="AF818" s="4" t="s">
        <v>589</v>
      </c>
      <c r="AG818" s="115">
        <f>+VLOOKUP(Y818,B:O,3,FALSE)/1000</f>
        <v>9.7307916488794027E-2</v>
      </c>
      <c r="AI818" s="158"/>
    </row>
    <row r="819" spans="23:35">
      <c r="W819" s="4" t="s">
        <v>585</v>
      </c>
      <c r="X819" s="4" t="s">
        <v>3357</v>
      </c>
      <c r="Y819" s="151" t="str">
        <f>Y818</f>
        <v>E6260</v>
      </c>
      <c r="Z819" s="4" t="s">
        <v>587</v>
      </c>
      <c r="AA819" s="114" t="s">
        <v>588</v>
      </c>
      <c r="AB819" s="4" t="s">
        <v>506</v>
      </c>
      <c r="AC819" s="4" t="s">
        <v>507</v>
      </c>
      <c r="AD819" s="4" t="s">
        <v>508</v>
      </c>
      <c r="AE819" s="4" t="s">
        <v>509</v>
      </c>
      <c r="AF819" s="4" t="s">
        <v>589</v>
      </c>
      <c r="AG819" s="115">
        <f>+VLOOKUP(Y819,B:O,4,FALSE)/1000</f>
        <v>9.7307916488794027E-2</v>
      </c>
      <c r="AI819" s="158"/>
    </row>
    <row r="820" spans="23:35">
      <c r="W820" s="4" t="s">
        <v>585</v>
      </c>
      <c r="X820" s="4" t="s">
        <v>3358</v>
      </c>
      <c r="Y820" s="151" t="str">
        <f t="shared" ref="Y820:Y829" si="72">Y819</f>
        <v>E6260</v>
      </c>
      <c r="Z820" s="4" t="s">
        <v>587</v>
      </c>
      <c r="AA820" s="114" t="s">
        <v>588</v>
      </c>
      <c r="AB820" s="4" t="s">
        <v>506</v>
      </c>
      <c r="AC820" s="4" t="s">
        <v>507</v>
      </c>
      <c r="AD820" s="4" t="s">
        <v>508</v>
      </c>
      <c r="AE820" s="4" t="s">
        <v>509</v>
      </c>
      <c r="AF820" s="4" t="s">
        <v>589</v>
      </c>
      <c r="AG820" s="115">
        <f>+VLOOKUP(Y820,B:O,5,FALSE)/1000</f>
        <v>9.7307916488794027E-2</v>
      </c>
      <c r="AI820" s="158"/>
    </row>
    <row r="821" spans="23:35">
      <c r="W821" s="4" t="s">
        <v>585</v>
      </c>
      <c r="X821" s="4" t="s">
        <v>3359</v>
      </c>
      <c r="Y821" s="151" t="str">
        <f t="shared" si="72"/>
        <v>E6260</v>
      </c>
      <c r="Z821" s="4" t="s">
        <v>587</v>
      </c>
      <c r="AA821" s="114" t="s">
        <v>588</v>
      </c>
      <c r="AB821" s="4" t="s">
        <v>506</v>
      </c>
      <c r="AC821" s="4" t="s">
        <v>507</v>
      </c>
      <c r="AD821" s="4" t="s">
        <v>508</v>
      </c>
      <c r="AE821" s="4" t="s">
        <v>509</v>
      </c>
      <c r="AF821" s="4" t="s">
        <v>589</v>
      </c>
      <c r="AG821" s="115">
        <f>+VLOOKUP(Y821,B:O,6,FALSE)/1000</f>
        <v>9.7307916488794027E-2</v>
      </c>
      <c r="AI821" s="158"/>
    </row>
    <row r="822" spans="23:35">
      <c r="W822" s="4" t="s">
        <v>585</v>
      </c>
      <c r="X822" s="4" t="s">
        <v>3360</v>
      </c>
      <c r="Y822" s="151" t="str">
        <f t="shared" si="72"/>
        <v>E6260</v>
      </c>
      <c r="Z822" s="4" t="s">
        <v>587</v>
      </c>
      <c r="AA822" s="114" t="s">
        <v>588</v>
      </c>
      <c r="AB822" s="4" t="s">
        <v>506</v>
      </c>
      <c r="AC822" s="4" t="s">
        <v>507</v>
      </c>
      <c r="AD822" s="4" t="s">
        <v>508</v>
      </c>
      <c r="AE822" s="4" t="s">
        <v>509</v>
      </c>
      <c r="AF822" s="4" t="s">
        <v>589</v>
      </c>
      <c r="AG822" s="115">
        <f>+VLOOKUP(Y822,B:O,7,FALSE)/1000</f>
        <v>9.7307916488794027E-2</v>
      </c>
      <c r="AI822" s="158"/>
    </row>
    <row r="823" spans="23:35">
      <c r="W823" s="4" t="s">
        <v>585</v>
      </c>
      <c r="X823" s="4" t="s">
        <v>3361</v>
      </c>
      <c r="Y823" s="151" t="str">
        <f t="shared" si="72"/>
        <v>E6260</v>
      </c>
      <c r="Z823" s="4" t="s">
        <v>587</v>
      </c>
      <c r="AA823" s="114" t="s">
        <v>588</v>
      </c>
      <c r="AB823" s="4" t="s">
        <v>506</v>
      </c>
      <c r="AC823" s="4" t="s">
        <v>507</v>
      </c>
      <c r="AD823" s="4" t="s">
        <v>508</v>
      </c>
      <c r="AE823" s="4" t="s">
        <v>509</v>
      </c>
      <c r="AF823" s="4" t="s">
        <v>589</v>
      </c>
      <c r="AG823" s="115">
        <f>+VLOOKUP(Y823,B:O,8,FALSE)/1000</f>
        <v>9.7307916488794027E-2</v>
      </c>
      <c r="AI823" s="158"/>
    </row>
    <row r="824" spans="23:35">
      <c r="W824" s="4" t="s">
        <v>585</v>
      </c>
      <c r="X824" s="4" t="s">
        <v>3362</v>
      </c>
      <c r="Y824" s="151" t="str">
        <f t="shared" si="72"/>
        <v>E6260</v>
      </c>
      <c r="Z824" s="4" t="s">
        <v>587</v>
      </c>
      <c r="AA824" s="114" t="s">
        <v>588</v>
      </c>
      <c r="AB824" s="4" t="s">
        <v>506</v>
      </c>
      <c r="AC824" s="4" t="s">
        <v>507</v>
      </c>
      <c r="AD824" s="4" t="s">
        <v>508</v>
      </c>
      <c r="AE824" s="4" t="s">
        <v>509</v>
      </c>
      <c r="AF824" s="4" t="s">
        <v>589</v>
      </c>
      <c r="AG824" s="115">
        <f>+VLOOKUP(Y824,B:O,9,FALSE)/1000</f>
        <v>9.7307916488794027E-2</v>
      </c>
      <c r="AI824" s="158"/>
    </row>
    <row r="825" spans="23:35">
      <c r="W825" s="4" t="s">
        <v>585</v>
      </c>
      <c r="X825" s="4" t="s">
        <v>3363</v>
      </c>
      <c r="Y825" s="151" t="str">
        <f t="shared" si="72"/>
        <v>E6260</v>
      </c>
      <c r="Z825" s="4" t="s">
        <v>587</v>
      </c>
      <c r="AA825" s="114" t="s">
        <v>588</v>
      </c>
      <c r="AB825" s="4" t="s">
        <v>506</v>
      </c>
      <c r="AC825" s="4" t="s">
        <v>507</v>
      </c>
      <c r="AD825" s="4" t="s">
        <v>508</v>
      </c>
      <c r="AE825" s="4" t="s">
        <v>509</v>
      </c>
      <c r="AF825" s="4" t="s">
        <v>589</v>
      </c>
      <c r="AG825" s="115">
        <f>+VLOOKUP(Y825,B:O,10,FALSE)/1000</f>
        <v>9.7307916488794027E-2</v>
      </c>
      <c r="AI825" s="158"/>
    </row>
    <row r="826" spans="23:35">
      <c r="W826" s="4" t="s">
        <v>585</v>
      </c>
      <c r="X826" s="4" t="s">
        <v>3364</v>
      </c>
      <c r="Y826" s="151" t="str">
        <f t="shared" si="72"/>
        <v>E6260</v>
      </c>
      <c r="Z826" s="4" t="s">
        <v>587</v>
      </c>
      <c r="AA826" s="114" t="s">
        <v>588</v>
      </c>
      <c r="AB826" s="4" t="s">
        <v>506</v>
      </c>
      <c r="AC826" s="4" t="s">
        <v>507</v>
      </c>
      <c r="AD826" s="4" t="s">
        <v>508</v>
      </c>
      <c r="AE826" s="4" t="s">
        <v>509</v>
      </c>
      <c r="AF826" s="4" t="s">
        <v>589</v>
      </c>
      <c r="AG826" s="115">
        <f>+VLOOKUP(Y826,B:O,11,FALSE)/1000</f>
        <v>9.7307916488794027E-2</v>
      </c>
      <c r="AI826" s="158"/>
    </row>
    <row r="827" spans="23:35">
      <c r="W827" s="4" t="s">
        <v>585</v>
      </c>
      <c r="X827" s="4" t="s">
        <v>3365</v>
      </c>
      <c r="Y827" s="151" t="str">
        <f t="shared" si="72"/>
        <v>E6260</v>
      </c>
      <c r="Z827" s="4" t="s">
        <v>587</v>
      </c>
      <c r="AA827" s="114" t="s">
        <v>588</v>
      </c>
      <c r="AB827" s="4" t="s">
        <v>506</v>
      </c>
      <c r="AC827" s="4" t="s">
        <v>507</v>
      </c>
      <c r="AD827" s="4" t="s">
        <v>508</v>
      </c>
      <c r="AE827" s="4" t="s">
        <v>509</v>
      </c>
      <c r="AF827" s="4" t="s">
        <v>589</v>
      </c>
      <c r="AG827" s="115">
        <f>+VLOOKUP(Y827,B:O,12,FALSE)/1000</f>
        <v>9.7307916488794027E-2</v>
      </c>
      <c r="AI827" s="158"/>
    </row>
    <row r="828" spans="23:35">
      <c r="W828" s="4" t="s">
        <v>585</v>
      </c>
      <c r="X828" s="4" t="s">
        <v>3366</v>
      </c>
      <c r="Y828" s="151" t="str">
        <f t="shared" si="72"/>
        <v>E6260</v>
      </c>
      <c r="Z828" s="4" t="s">
        <v>587</v>
      </c>
      <c r="AA828" s="114" t="s">
        <v>588</v>
      </c>
      <c r="AB828" s="4" t="s">
        <v>506</v>
      </c>
      <c r="AC828" s="4" t="s">
        <v>507</v>
      </c>
      <c r="AD828" s="4" t="s">
        <v>508</v>
      </c>
      <c r="AE828" s="4" t="s">
        <v>509</v>
      </c>
      <c r="AF828" s="4" t="s">
        <v>589</v>
      </c>
      <c r="AG828" s="115">
        <f>+VLOOKUP(Y828,B:O,13,FALSE)/1000</f>
        <v>9.9545998568036281E-2</v>
      </c>
      <c r="AI828" s="158"/>
    </row>
    <row r="829" spans="23:35">
      <c r="W829" s="4" t="s">
        <v>585</v>
      </c>
      <c r="X829" s="4" t="s">
        <v>3367</v>
      </c>
      <c r="Y829" s="151" t="str">
        <f t="shared" si="72"/>
        <v>E6260</v>
      </c>
      <c r="Z829" s="4" t="s">
        <v>587</v>
      </c>
      <c r="AA829" s="114" t="s">
        <v>588</v>
      </c>
      <c r="AB829" s="4" t="s">
        <v>506</v>
      </c>
      <c r="AC829" s="4" t="s">
        <v>507</v>
      </c>
      <c r="AD829" s="4" t="s">
        <v>508</v>
      </c>
      <c r="AE829" s="4" t="s">
        <v>509</v>
      </c>
      <c r="AF829" s="4" t="s">
        <v>589</v>
      </c>
      <c r="AG829" s="115">
        <f>+VLOOKUP(Y829,B:O,14,FALSE)/1000</f>
        <v>9.9545998568036281E-2</v>
      </c>
      <c r="AI829" s="158"/>
    </row>
    <row r="830" spans="23:35">
      <c r="W830" s="4" t="s">
        <v>585</v>
      </c>
      <c r="X830" s="3" t="s">
        <v>3356</v>
      </c>
      <c r="Y830" s="150" t="str">
        <f>INDEX($B$3:$O$110,95,1)</f>
        <v>E6280</v>
      </c>
      <c r="Z830" s="4" t="s">
        <v>587</v>
      </c>
      <c r="AA830" s="114" t="s">
        <v>588</v>
      </c>
      <c r="AB830" s="4" t="s">
        <v>506</v>
      </c>
      <c r="AC830" s="4" t="s">
        <v>507</v>
      </c>
      <c r="AD830" s="4" t="s">
        <v>508</v>
      </c>
      <c r="AE830" s="4" t="s">
        <v>509</v>
      </c>
      <c r="AF830" s="4" t="s">
        <v>589</v>
      </c>
      <c r="AG830" s="115">
        <f>+VLOOKUP(Y830,B:O,3,FALSE)/1000</f>
        <v>8.0810000000000007E-2</v>
      </c>
      <c r="AI830" s="158"/>
    </row>
    <row r="831" spans="23:35">
      <c r="W831" s="4" t="s">
        <v>585</v>
      </c>
      <c r="X831" s="4" t="s">
        <v>3357</v>
      </c>
      <c r="Y831" s="151" t="str">
        <f>Y830</f>
        <v>E6280</v>
      </c>
      <c r="Z831" s="4" t="s">
        <v>587</v>
      </c>
      <c r="AA831" s="114" t="s">
        <v>588</v>
      </c>
      <c r="AB831" s="4" t="s">
        <v>506</v>
      </c>
      <c r="AC831" s="4" t="s">
        <v>507</v>
      </c>
      <c r="AD831" s="4" t="s">
        <v>508</v>
      </c>
      <c r="AE831" s="4" t="s">
        <v>509</v>
      </c>
      <c r="AF831" s="4" t="s">
        <v>589</v>
      </c>
      <c r="AG831" s="115">
        <f>+VLOOKUP(Y831,B:O,4,FALSE)/1000</f>
        <v>8.1780000000000005E-2</v>
      </c>
      <c r="AI831" s="158"/>
    </row>
    <row r="832" spans="23:35">
      <c r="W832" s="4" t="s">
        <v>585</v>
      </c>
      <c r="X832" s="4" t="s">
        <v>3358</v>
      </c>
      <c r="Y832" s="151" t="str">
        <f t="shared" ref="Y832:Y841" si="73">Y831</f>
        <v>E6280</v>
      </c>
      <c r="Z832" s="4" t="s">
        <v>587</v>
      </c>
      <c r="AA832" s="114" t="s">
        <v>588</v>
      </c>
      <c r="AB832" s="4" t="s">
        <v>506</v>
      </c>
      <c r="AC832" s="4" t="s">
        <v>507</v>
      </c>
      <c r="AD832" s="4" t="s">
        <v>508</v>
      </c>
      <c r="AE832" s="4" t="s">
        <v>509</v>
      </c>
      <c r="AF832" s="4" t="s">
        <v>589</v>
      </c>
      <c r="AG832" s="115">
        <f>+VLOOKUP(Y832,B:O,5,FALSE)/1000</f>
        <v>6.9559999999999997E-2</v>
      </c>
      <c r="AI832" s="158"/>
    </row>
    <row r="833" spans="23:35">
      <c r="W833" s="4" t="s">
        <v>585</v>
      </c>
      <c r="X833" s="4" t="s">
        <v>3359</v>
      </c>
      <c r="Y833" s="151" t="str">
        <f t="shared" si="73"/>
        <v>E6280</v>
      </c>
      <c r="Z833" s="4" t="s">
        <v>587</v>
      </c>
      <c r="AA833" s="114" t="s">
        <v>588</v>
      </c>
      <c r="AB833" s="4" t="s">
        <v>506</v>
      </c>
      <c r="AC833" s="4" t="s">
        <v>507</v>
      </c>
      <c r="AD833" s="4" t="s">
        <v>508</v>
      </c>
      <c r="AE833" s="4" t="s">
        <v>509</v>
      </c>
      <c r="AF833" s="4" t="s">
        <v>589</v>
      </c>
      <c r="AG833" s="115">
        <f>+VLOOKUP(Y833,B:O,6,FALSE)/1000</f>
        <v>5.5169999999999997E-2</v>
      </c>
      <c r="AI833" s="158"/>
    </row>
    <row r="834" spans="23:35">
      <c r="W834" s="4" t="s">
        <v>585</v>
      </c>
      <c r="X834" s="4" t="s">
        <v>3360</v>
      </c>
      <c r="Y834" s="151" t="str">
        <f t="shared" si="73"/>
        <v>E6280</v>
      </c>
      <c r="Z834" s="4" t="s">
        <v>587</v>
      </c>
      <c r="AA834" s="114" t="s">
        <v>588</v>
      </c>
      <c r="AB834" s="4" t="s">
        <v>506</v>
      </c>
      <c r="AC834" s="4" t="s">
        <v>507</v>
      </c>
      <c r="AD834" s="4" t="s">
        <v>508</v>
      </c>
      <c r="AE834" s="4" t="s">
        <v>509</v>
      </c>
      <c r="AF834" s="4" t="s">
        <v>589</v>
      </c>
      <c r="AG834" s="115">
        <f>+VLOOKUP(Y834,B:O,7,FALSE)/1000</f>
        <v>4.5849999999999995E-2</v>
      </c>
      <c r="AI834" s="158"/>
    </row>
    <row r="835" spans="23:35">
      <c r="W835" s="4" t="s">
        <v>585</v>
      </c>
      <c r="X835" s="4" t="s">
        <v>3361</v>
      </c>
      <c r="Y835" s="151" t="str">
        <f t="shared" si="73"/>
        <v>E6280</v>
      </c>
      <c r="Z835" s="4" t="s">
        <v>587</v>
      </c>
      <c r="AA835" s="114" t="s">
        <v>588</v>
      </c>
      <c r="AB835" s="4" t="s">
        <v>506</v>
      </c>
      <c r="AC835" s="4" t="s">
        <v>507</v>
      </c>
      <c r="AD835" s="4" t="s">
        <v>508</v>
      </c>
      <c r="AE835" s="4" t="s">
        <v>509</v>
      </c>
      <c r="AF835" s="4" t="s">
        <v>589</v>
      </c>
      <c r="AG835" s="115">
        <f>+VLOOKUP(Y835,B:O,8,FALSE)/1000</f>
        <v>5.0999999999999997E-2</v>
      </c>
      <c r="AI835" s="158"/>
    </row>
    <row r="836" spans="23:35">
      <c r="W836" s="4" t="s">
        <v>585</v>
      </c>
      <c r="X836" s="4" t="s">
        <v>3362</v>
      </c>
      <c r="Y836" s="151" t="str">
        <f t="shared" si="73"/>
        <v>E6280</v>
      </c>
      <c r="Z836" s="4" t="s">
        <v>587</v>
      </c>
      <c r="AA836" s="114" t="s">
        <v>588</v>
      </c>
      <c r="AB836" s="4" t="s">
        <v>506</v>
      </c>
      <c r="AC836" s="4" t="s">
        <v>507</v>
      </c>
      <c r="AD836" s="4" t="s">
        <v>508</v>
      </c>
      <c r="AE836" s="4" t="s">
        <v>509</v>
      </c>
      <c r="AF836" s="4" t="s">
        <v>589</v>
      </c>
      <c r="AG836" s="115">
        <f>+VLOOKUP(Y836,B:O,9,FALSE)/1000</f>
        <v>5.3059999999999996E-2</v>
      </c>
      <c r="AI836" s="158"/>
    </row>
    <row r="837" spans="23:35">
      <c r="W837" s="4" t="s">
        <v>585</v>
      </c>
      <c r="X837" s="4" t="s">
        <v>3363</v>
      </c>
      <c r="Y837" s="151" t="str">
        <f t="shared" si="73"/>
        <v>E6280</v>
      </c>
      <c r="Z837" s="4" t="s">
        <v>587</v>
      </c>
      <c r="AA837" s="114" t="s">
        <v>588</v>
      </c>
      <c r="AB837" s="4" t="s">
        <v>506</v>
      </c>
      <c r="AC837" s="4" t="s">
        <v>507</v>
      </c>
      <c r="AD837" s="4" t="s">
        <v>508</v>
      </c>
      <c r="AE837" s="4" t="s">
        <v>509</v>
      </c>
      <c r="AF837" s="4" t="s">
        <v>589</v>
      </c>
      <c r="AG837" s="115">
        <f>+VLOOKUP(Y837,B:O,10,FALSE)/1000</f>
        <v>4.9339999999999995E-2</v>
      </c>
      <c r="AI837" s="158"/>
    </row>
    <row r="838" spans="23:35">
      <c r="W838" s="4" t="s">
        <v>585</v>
      </c>
      <c r="X838" s="4" t="s">
        <v>3364</v>
      </c>
      <c r="Y838" s="151" t="str">
        <f t="shared" si="73"/>
        <v>E6280</v>
      </c>
      <c r="Z838" s="4" t="s">
        <v>587</v>
      </c>
      <c r="AA838" s="114" t="s">
        <v>588</v>
      </c>
      <c r="AB838" s="4" t="s">
        <v>506</v>
      </c>
      <c r="AC838" s="4" t="s">
        <v>507</v>
      </c>
      <c r="AD838" s="4" t="s">
        <v>508</v>
      </c>
      <c r="AE838" s="4" t="s">
        <v>509</v>
      </c>
      <c r="AF838" s="4" t="s">
        <v>589</v>
      </c>
      <c r="AG838" s="115">
        <f>+VLOOKUP(Y838,B:O,11,FALSE)/1000</f>
        <v>4.7219999999999998E-2</v>
      </c>
      <c r="AI838" s="158"/>
    </row>
    <row r="839" spans="23:35">
      <c r="W839" s="4" t="s">
        <v>585</v>
      </c>
      <c r="X839" s="4" t="s">
        <v>3365</v>
      </c>
      <c r="Y839" s="151" t="str">
        <f t="shared" si="73"/>
        <v>E6280</v>
      </c>
      <c r="Z839" s="4" t="s">
        <v>587</v>
      </c>
      <c r="AA839" s="114" t="s">
        <v>588</v>
      </c>
      <c r="AB839" s="4" t="s">
        <v>506</v>
      </c>
      <c r="AC839" s="4" t="s">
        <v>507</v>
      </c>
      <c r="AD839" s="4" t="s">
        <v>508</v>
      </c>
      <c r="AE839" s="4" t="s">
        <v>509</v>
      </c>
      <c r="AF839" s="4" t="s">
        <v>589</v>
      </c>
      <c r="AG839" s="115">
        <f>+VLOOKUP(Y839,B:O,12,FALSE)/1000</f>
        <v>4.6419999999999996E-2</v>
      </c>
      <c r="AI839" s="158"/>
    </row>
    <row r="840" spans="23:35">
      <c r="W840" s="4" t="s">
        <v>585</v>
      </c>
      <c r="X840" s="4" t="s">
        <v>3366</v>
      </c>
      <c r="Y840" s="151" t="str">
        <f t="shared" si="73"/>
        <v>E6280</v>
      </c>
      <c r="Z840" s="4" t="s">
        <v>587</v>
      </c>
      <c r="AA840" s="114" t="s">
        <v>588</v>
      </c>
      <c r="AB840" s="4" t="s">
        <v>506</v>
      </c>
      <c r="AC840" s="4" t="s">
        <v>507</v>
      </c>
      <c r="AD840" s="4" t="s">
        <v>508</v>
      </c>
      <c r="AE840" s="4" t="s">
        <v>509</v>
      </c>
      <c r="AF840" s="4" t="s">
        <v>589</v>
      </c>
      <c r="AG840" s="115">
        <f>+VLOOKUP(Y840,B:O,13,FALSE)/1000</f>
        <v>6.520999999999999E-2</v>
      </c>
      <c r="AI840" s="158"/>
    </row>
    <row r="841" spans="23:35">
      <c r="W841" s="4" t="s">
        <v>585</v>
      </c>
      <c r="X841" s="4" t="s">
        <v>3367</v>
      </c>
      <c r="Y841" s="151" t="str">
        <f t="shared" si="73"/>
        <v>E6280</v>
      </c>
      <c r="Z841" s="4" t="s">
        <v>587</v>
      </c>
      <c r="AA841" s="114" t="s">
        <v>588</v>
      </c>
      <c r="AB841" s="4" t="s">
        <v>506</v>
      </c>
      <c r="AC841" s="4" t="s">
        <v>507</v>
      </c>
      <c r="AD841" s="4" t="s">
        <v>508</v>
      </c>
      <c r="AE841" s="4" t="s">
        <v>509</v>
      </c>
      <c r="AF841" s="4" t="s">
        <v>589</v>
      </c>
      <c r="AG841" s="115">
        <f>+VLOOKUP(Y841,B:O,14,FALSE)/1000</f>
        <v>7.664E-2</v>
      </c>
      <c r="AI841" s="158"/>
    </row>
    <row r="842" spans="23:35">
      <c r="W842" s="4" t="s">
        <v>585</v>
      </c>
      <c r="X842" s="3" t="s">
        <v>3356</v>
      </c>
      <c r="Y842" s="150" t="str">
        <f>INDEX($B$3:$O$110,96,1)</f>
        <v>E6290</v>
      </c>
      <c r="Z842" s="4" t="s">
        <v>587</v>
      </c>
      <c r="AA842" s="114" t="s">
        <v>588</v>
      </c>
      <c r="AB842" s="4" t="s">
        <v>506</v>
      </c>
      <c r="AC842" s="4" t="s">
        <v>507</v>
      </c>
      <c r="AD842" s="4" t="s">
        <v>508</v>
      </c>
      <c r="AE842" s="4" t="s">
        <v>509</v>
      </c>
      <c r="AF842" s="4" t="s">
        <v>589</v>
      </c>
      <c r="AG842" s="743">
        <v>0</v>
      </c>
      <c r="AH842" s="4" t="s">
        <v>3398</v>
      </c>
      <c r="AI842" s="158"/>
    </row>
    <row r="843" spans="23:35">
      <c r="W843" s="4" t="s">
        <v>585</v>
      </c>
      <c r="X843" s="4" t="s">
        <v>3357</v>
      </c>
      <c r="Y843" s="151" t="str">
        <f>Y842</f>
        <v>E6290</v>
      </c>
      <c r="Z843" s="4" t="s">
        <v>587</v>
      </c>
      <c r="AA843" s="114" t="s">
        <v>588</v>
      </c>
      <c r="AB843" s="4" t="s">
        <v>506</v>
      </c>
      <c r="AC843" s="4" t="s">
        <v>507</v>
      </c>
      <c r="AD843" s="4" t="s">
        <v>508</v>
      </c>
      <c r="AE843" s="4" t="s">
        <v>509</v>
      </c>
      <c r="AF843" s="4" t="s">
        <v>589</v>
      </c>
      <c r="AG843" s="743">
        <v>0</v>
      </c>
      <c r="AH843" t="s">
        <v>3398</v>
      </c>
      <c r="AI843" s="158"/>
    </row>
    <row r="844" spans="23:35">
      <c r="W844" s="4" t="s">
        <v>585</v>
      </c>
      <c r="X844" s="4" t="s">
        <v>3358</v>
      </c>
      <c r="Y844" s="151" t="str">
        <f t="shared" ref="Y844:Y853" si="74">Y843</f>
        <v>E6290</v>
      </c>
      <c r="Z844" s="4" t="s">
        <v>587</v>
      </c>
      <c r="AA844" s="114" t="s">
        <v>588</v>
      </c>
      <c r="AB844" s="4" t="s">
        <v>506</v>
      </c>
      <c r="AC844" s="4" t="s">
        <v>507</v>
      </c>
      <c r="AD844" s="4" t="s">
        <v>508</v>
      </c>
      <c r="AE844" s="4" t="s">
        <v>509</v>
      </c>
      <c r="AF844" s="4" t="s">
        <v>589</v>
      </c>
      <c r="AG844" s="743">
        <v>0</v>
      </c>
      <c r="AH844" t="s">
        <v>3398</v>
      </c>
      <c r="AI844" s="158"/>
    </row>
    <row r="845" spans="23:35">
      <c r="W845" s="4" t="s">
        <v>585</v>
      </c>
      <c r="X845" s="4" t="s">
        <v>3359</v>
      </c>
      <c r="Y845" s="151" t="str">
        <f t="shared" si="74"/>
        <v>E6290</v>
      </c>
      <c r="Z845" s="4" t="s">
        <v>587</v>
      </c>
      <c r="AA845" s="114" t="s">
        <v>588</v>
      </c>
      <c r="AB845" s="4" t="s">
        <v>506</v>
      </c>
      <c r="AC845" s="4" t="s">
        <v>507</v>
      </c>
      <c r="AD845" s="4" t="s">
        <v>508</v>
      </c>
      <c r="AE845" s="4" t="s">
        <v>509</v>
      </c>
      <c r="AF845" s="4" t="s">
        <v>589</v>
      </c>
      <c r="AG845" s="743">
        <v>0</v>
      </c>
      <c r="AH845" t="s">
        <v>3398</v>
      </c>
      <c r="AI845" s="158"/>
    </row>
    <row r="846" spans="23:35">
      <c r="W846" s="4" t="s">
        <v>585</v>
      </c>
      <c r="X846" s="4" t="s">
        <v>3360</v>
      </c>
      <c r="Y846" s="151" t="str">
        <f t="shared" si="74"/>
        <v>E6290</v>
      </c>
      <c r="Z846" s="4" t="s">
        <v>587</v>
      </c>
      <c r="AA846" s="114" t="s">
        <v>588</v>
      </c>
      <c r="AB846" s="4" t="s">
        <v>506</v>
      </c>
      <c r="AC846" s="4" t="s">
        <v>507</v>
      </c>
      <c r="AD846" s="4" t="s">
        <v>508</v>
      </c>
      <c r="AE846" s="4" t="s">
        <v>509</v>
      </c>
      <c r="AF846" s="4" t="s">
        <v>589</v>
      </c>
      <c r="AG846" s="743">
        <v>0</v>
      </c>
      <c r="AH846" t="s">
        <v>3398</v>
      </c>
      <c r="AI846" s="158"/>
    </row>
    <row r="847" spans="23:35">
      <c r="W847" s="4" t="s">
        <v>585</v>
      </c>
      <c r="X847" s="4" t="s">
        <v>3361</v>
      </c>
      <c r="Y847" s="151" t="str">
        <f t="shared" si="74"/>
        <v>E6290</v>
      </c>
      <c r="Z847" s="4" t="s">
        <v>587</v>
      </c>
      <c r="AA847" s="114" t="s">
        <v>588</v>
      </c>
      <c r="AB847" s="4" t="s">
        <v>506</v>
      </c>
      <c r="AC847" s="4" t="s">
        <v>507</v>
      </c>
      <c r="AD847" s="4" t="s">
        <v>508</v>
      </c>
      <c r="AE847" s="4" t="s">
        <v>509</v>
      </c>
      <c r="AF847" s="4" t="s">
        <v>589</v>
      </c>
      <c r="AG847" s="115">
        <f>+VLOOKUP(Y847,B:O,8,FALSE)/1000</f>
        <v>4.9360000000000001E-2</v>
      </c>
      <c r="AI847" s="158"/>
    </row>
    <row r="848" spans="23:35">
      <c r="W848" s="4" t="s">
        <v>585</v>
      </c>
      <c r="X848" s="4" t="s">
        <v>3362</v>
      </c>
      <c r="Y848" s="151" t="str">
        <f t="shared" si="74"/>
        <v>E6290</v>
      </c>
      <c r="Z848" s="4" t="s">
        <v>587</v>
      </c>
      <c r="AA848" s="114" t="s">
        <v>588</v>
      </c>
      <c r="AB848" s="4" t="s">
        <v>506</v>
      </c>
      <c r="AC848" s="4" t="s">
        <v>507</v>
      </c>
      <c r="AD848" s="4" t="s">
        <v>508</v>
      </c>
      <c r="AE848" s="4" t="s">
        <v>509</v>
      </c>
      <c r="AF848" s="4" t="s">
        <v>589</v>
      </c>
      <c r="AG848" s="115">
        <f>+VLOOKUP(Y848,B:O,9,FALSE)/1000</f>
        <v>5.1419999999999993E-2</v>
      </c>
      <c r="AI848" s="158"/>
    </row>
    <row r="849" spans="23:35">
      <c r="W849" s="4" t="s">
        <v>585</v>
      </c>
      <c r="X849" s="4" t="s">
        <v>3363</v>
      </c>
      <c r="Y849" s="151" t="str">
        <f t="shared" si="74"/>
        <v>E6290</v>
      </c>
      <c r="Z849" s="4" t="s">
        <v>587</v>
      </c>
      <c r="AA849" s="114" t="s">
        <v>588</v>
      </c>
      <c r="AB849" s="4" t="s">
        <v>506</v>
      </c>
      <c r="AC849" s="4" t="s">
        <v>507</v>
      </c>
      <c r="AD849" s="4" t="s">
        <v>508</v>
      </c>
      <c r="AE849" s="4" t="s">
        <v>509</v>
      </c>
      <c r="AF849" s="4" t="s">
        <v>589</v>
      </c>
      <c r="AG849" s="115">
        <f>+VLOOKUP(Y849,B:O,10,FALSE)/1000</f>
        <v>4.7699999999999992E-2</v>
      </c>
      <c r="AI849" s="158"/>
    </row>
    <row r="850" spans="23:35">
      <c r="W850" s="4" t="s">
        <v>585</v>
      </c>
      <c r="X850" s="4" t="s">
        <v>3364</v>
      </c>
      <c r="Y850" s="151" t="str">
        <f t="shared" si="74"/>
        <v>E6290</v>
      </c>
      <c r="Z850" s="4" t="s">
        <v>587</v>
      </c>
      <c r="AA850" s="114" t="s">
        <v>588</v>
      </c>
      <c r="AB850" s="4" t="s">
        <v>506</v>
      </c>
      <c r="AC850" s="4" t="s">
        <v>507</v>
      </c>
      <c r="AD850" s="4" t="s">
        <v>508</v>
      </c>
      <c r="AE850" s="4" t="s">
        <v>509</v>
      </c>
      <c r="AF850" s="4" t="s">
        <v>589</v>
      </c>
      <c r="AG850" s="115">
        <f>+VLOOKUP(Y850,B:O,11,FALSE)/1000</f>
        <v>4.5579999999999996E-2</v>
      </c>
      <c r="AI850" s="158"/>
    </row>
    <row r="851" spans="23:35">
      <c r="W851" s="4" t="s">
        <v>585</v>
      </c>
      <c r="X851" s="4" t="s">
        <v>3365</v>
      </c>
      <c r="Y851" s="151" t="str">
        <f t="shared" si="74"/>
        <v>E6290</v>
      </c>
      <c r="Z851" s="4" t="s">
        <v>587</v>
      </c>
      <c r="AA851" s="114" t="s">
        <v>588</v>
      </c>
      <c r="AB851" s="4" t="s">
        <v>506</v>
      </c>
      <c r="AC851" s="4" t="s">
        <v>507</v>
      </c>
      <c r="AD851" s="4" t="s">
        <v>508</v>
      </c>
      <c r="AE851" s="4" t="s">
        <v>509</v>
      </c>
      <c r="AF851" s="4" t="s">
        <v>589</v>
      </c>
      <c r="AG851" s="115">
        <f>+VLOOKUP(Y851,B:O,12,FALSE)/1000</f>
        <v>4.4779999999999993E-2</v>
      </c>
      <c r="AI851" s="158"/>
    </row>
    <row r="852" spans="23:35">
      <c r="W852" s="4" t="s">
        <v>585</v>
      </c>
      <c r="X852" s="4" t="s">
        <v>3366</v>
      </c>
      <c r="Y852" s="151" t="str">
        <f t="shared" si="74"/>
        <v>E6290</v>
      </c>
      <c r="Z852" s="4" t="s">
        <v>587</v>
      </c>
      <c r="AA852" s="114" t="s">
        <v>588</v>
      </c>
      <c r="AB852" s="4" t="s">
        <v>506</v>
      </c>
      <c r="AC852" s="4" t="s">
        <v>507</v>
      </c>
      <c r="AD852" s="4" t="s">
        <v>508</v>
      </c>
      <c r="AE852" s="4" t="s">
        <v>509</v>
      </c>
      <c r="AF852" s="4" t="s">
        <v>589</v>
      </c>
      <c r="AG852" s="115">
        <f>+VLOOKUP(Y852,B:O,13,FALSE)/1000</f>
        <v>6.3569999999999988E-2</v>
      </c>
      <c r="AI852" s="158"/>
    </row>
    <row r="853" spans="23:35">
      <c r="W853" s="4" t="s">
        <v>585</v>
      </c>
      <c r="X853" s="4" t="s">
        <v>3367</v>
      </c>
      <c r="Y853" s="151" t="str">
        <f t="shared" si="74"/>
        <v>E6290</v>
      </c>
      <c r="Z853" s="4" t="s">
        <v>587</v>
      </c>
      <c r="AA853" s="114" t="s">
        <v>588</v>
      </c>
      <c r="AB853" s="4" t="s">
        <v>506</v>
      </c>
      <c r="AC853" s="4" t="s">
        <v>507</v>
      </c>
      <c r="AD853" s="4" t="s">
        <v>508</v>
      </c>
      <c r="AE853" s="4" t="s">
        <v>509</v>
      </c>
      <c r="AF853" s="4" t="s">
        <v>589</v>
      </c>
      <c r="AG853" s="115">
        <f>+VLOOKUP(Y853,B:O,14,FALSE)/1000</f>
        <v>7.4999999999999997E-2</v>
      </c>
      <c r="AI853" s="158"/>
    </row>
    <row r="854" spans="23:35">
      <c r="W854" s="4" t="s">
        <v>585</v>
      </c>
      <c r="X854" s="3" t="s">
        <v>3356</v>
      </c>
      <c r="Y854" s="150" t="str">
        <f>INDEX($B$3:$O$110,97,1)</f>
        <v>E6310</v>
      </c>
      <c r="Z854" s="4" t="s">
        <v>587</v>
      </c>
      <c r="AA854" s="114" t="s">
        <v>588</v>
      </c>
      <c r="AB854" s="4" t="s">
        <v>506</v>
      </c>
      <c r="AC854" s="4" t="s">
        <v>507</v>
      </c>
      <c r="AD854" s="4" t="s">
        <v>508</v>
      </c>
      <c r="AE854" s="4" t="s">
        <v>509</v>
      </c>
      <c r="AF854" s="4" t="s">
        <v>589</v>
      </c>
      <c r="AG854" s="115">
        <f>+VLOOKUP(Y854,B:O,3,FALSE)/1000</f>
        <v>8.1729999999999997E-2</v>
      </c>
      <c r="AI854" s="158"/>
    </row>
    <row r="855" spans="23:35">
      <c r="W855" s="4" t="s">
        <v>585</v>
      </c>
      <c r="X855" s="4" t="s">
        <v>3357</v>
      </c>
      <c r="Y855" s="151" t="str">
        <f>Y854</f>
        <v>E6310</v>
      </c>
      <c r="Z855" s="4" t="s">
        <v>587</v>
      </c>
      <c r="AA855" s="114" t="s">
        <v>588</v>
      </c>
      <c r="AB855" s="4" t="s">
        <v>506</v>
      </c>
      <c r="AC855" s="4" t="s">
        <v>507</v>
      </c>
      <c r="AD855" s="4" t="s">
        <v>508</v>
      </c>
      <c r="AE855" s="4" t="s">
        <v>509</v>
      </c>
      <c r="AF855" s="4" t="s">
        <v>589</v>
      </c>
      <c r="AG855" s="115">
        <f>+VLOOKUP(Y855,B:O,4,FALSE)/1000</f>
        <v>8.270000000000001E-2</v>
      </c>
      <c r="AI855" s="158"/>
    </row>
    <row r="856" spans="23:35">
      <c r="W856" s="4" t="s">
        <v>585</v>
      </c>
      <c r="X856" s="4" t="s">
        <v>3358</v>
      </c>
      <c r="Y856" s="151" t="str">
        <f t="shared" ref="Y856:Y865" si="75">Y855</f>
        <v>E6310</v>
      </c>
      <c r="Z856" s="4" t="s">
        <v>587</v>
      </c>
      <c r="AA856" s="114" t="s">
        <v>588</v>
      </c>
      <c r="AB856" s="4" t="s">
        <v>506</v>
      </c>
      <c r="AC856" s="4" t="s">
        <v>507</v>
      </c>
      <c r="AD856" s="4" t="s">
        <v>508</v>
      </c>
      <c r="AE856" s="4" t="s">
        <v>509</v>
      </c>
      <c r="AF856" s="4" t="s">
        <v>589</v>
      </c>
      <c r="AG856" s="115">
        <f>+VLOOKUP(Y856,B:O,5,FALSE)/1000</f>
        <v>7.0480000000000001E-2</v>
      </c>
      <c r="AI856" s="158"/>
    </row>
    <row r="857" spans="23:35">
      <c r="W857" s="4" t="s">
        <v>585</v>
      </c>
      <c r="X857" s="4" t="s">
        <v>3359</v>
      </c>
      <c r="Y857" s="151" t="str">
        <f t="shared" si="75"/>
        <v>E6310</v>
      </c>
      <c r="Z857" s="4" t="s">
        <v>587</v>
      </c>
      <c r="AA857" s="114" t="s">
        <v>588</v>
      </c>
      <c r="AB857" s="4" t="s">
        <v>506</v>
      </c>
      <c r="AC857" s="4" t="s">
        <v>507</v>
      </c>
      <c r="AD857" s="4" t="s">
        <v>508</v>
      </c>
      <c r="AE857" s="4" t="s">
        <v>509</v>
      </c>
      <c r="AF857" s="4" t="s">
        <v>589</v>
      </c>
      <c r="AG857" s="115">
        <f>+VLOOKUP(Y857,B:O,6,FALSE)/1000</f>
        <v>5.6089999999999994E-2</v>
      </c>
      <c r="AI857" s="158"/>
    </row>
    <row r="858" spans="23:35">
      <c r="W858" s="4" t="s">
        <v>585</v>
      </c>
      <c r="X858" s="4" t="s">
        <v>3360</v>
      </c>
      <c r="Y858" s="151" t="str">
        <f t="shared" si="75"/>
        <v>E6310</v>
      </c>
      <c r="Z858" s="4" t="s">
        <v>587</v>
      </c>
      <c r="AA858" s="114" t="s">
        <v>588</v>
      </c>
      <c r="AB858" s="4" t="s">
        <v>506</v>
      </c>
      <c r="AC858" s="4" t="s">
        <v>507</v>
      </c>
      <c r="AD858" s="4" t="s">
        <v>508</v>
      </c>
      <c r="AE858" s="4" t="s">
        <v>509</v>
      </c>
      <c r="AF858" s="4" t="s">
        <v>589</v>
      </c>
      <c r="AG858" s="115">
        <f>+VLOOKUP(Y858,B:O,7,FALSE)/1000</f>
        <v>4.6769999999999999E-2</v>
      </c>
      <c r="AI858" s="158"/>
    </row>
    <row r="859" spans="23:35">
      <c r="W859" s="4" t="s">
        <v>585</v>
      </c>
      <c r="X859" s="4" t="s">
        <v>3361</v>
      </c>
      <c r="Y859" s="151" t="str">
        <f t="shared" si="75"/>
        <v>E6310</v>
      </c>
      <c r="Z859" s="4" t="s">
        <v>587</v>
      </c>
      <c r="AA859" s="114" t="s">
        <v>588</v>
      </c>
      <c r="AB859" s="4" t="s">
        <v>506</v>
      </c>
      <c r="AC859" s="4" t="s">
        <v>507</v>
      </c>
      <c r="AD859" s="4" t="s">
        <v>508</v>
      </c>
      <c r="AE859" s="4" t="s">
        <v>509</v>
      </c>
      <c r="AF859" s="4" t="s">
        <v>589</v>
      </c>
      <c r="AG859" s="115">
        <f>+VLOOKUP(Y859,B:O,8,FALSE)/1000</f>
        <v>5.1920000000000001E-2</v>
      </c>
      <c r="AI859" s="158"/>
    </row>
    <row r="860" spans="23:35">
      <c r="W860" s="4" t="s">
        <v>585</v>
      </c>
      <c r="X860" s="4" t="s">
        <v>3362</v>
      </c>
      <c r="Y860" s="151" t="str">
        <f t="shared" si="75"/>
        <v>E6310</v>
      </c>
      <c r="Z860" s="4" t="s">
        <v>587</v>
      </c>
      <c r="AA860" s="114" t="s">
        <v>588</v>
      </c>
      <c r="AB860" s="4" t="s">
        <v>506</v>
      </c>
      <c r="AC860" s="4" t="s">
        <v>507</v>
      </c>
      <c r="AD860" s="4" t="s">
        <v>508</v>
      </c>
      <c r="AE860" s="4" t="s">
        <v>509</v>
      </c>
      <c r="AF860" s="4" t="s">
        <v>589</v>
      </c>
      <c r="AG860" s="115">
        <f>+VLOOKUP(Y860,B:O,9,FALSE)/1000</f>
        <v>5.398E-2</v>
      </c>
      <c r="AI860" s="158"/>
    </row>
    <row r="861" spans="23:35">
      <c r="W861" s="4" t="s">
        <v>585</v>
      </c>
      <c r="X861" s="4" t="s">
        <v>3363</v>
      </c>
      <c r="Y861" s="151" t="str">
        <f t="shared" si="75"/>
        <v>E6310</v>
      </c>
      <c r="Z861" s="4" t="s">
        <v>587</v>
      </c>
      <c r="AA861" s="114" t="s">
        <v>588</v>
      </c>
      <c r="AB861" s="4" t="s">
        <v>506</v>
      </c>
      <c r="AC861" s="4" t="s">
        <v>507</v>
      </c>
      <c r="AD861" s="4" t="s">
        <v>508</v>
      </c>
      <c r="AE861" s="4" t="s">
        <v>509</v>
      </c>
      <c r="AF861" s="4" t="s">
        <v>589</v>
      </c>
      <c r="AG861" s="115">
        <f>+VLOOKUP(Y861,B:O,10,FALSE)/1000</f>
        <v>5.0259999999999999E-2</v>
      </c>
      <c r="AI861" s="158"/>
    </row>
    <row r="862" spans="23:35">
      <c r="W862" s="4" t="s">
        <v>585</v>
      </c>
      <c r="X862" s="4" t="s">
        <v>3364</v>
      </c>
      <c r="Y862" s="151" t="str">
        <f t="shared" si="75"/>
        <v>E6310</v>
      </c>
      <c r="Z862" s="4" t="s">
        <v>587</v>
      </c>
      <c r="AA862" s="114" t="s">
        <v>588</v>
      </c>
      <c r="AB862" s="4" t="s">
        <v>506</v>
      </c>
      <c r="AC862" s="4" t="s">
        <v>507</v>
      </c>
      <c r="AD862" s="4" t="s">
        <v>508</v>
      </c>
      <c r="AE862" s="4" t="s">
        <v>509</v>
      </c>
      <c r="AF862" s="4" t="s">
        <v>589</v>
      </c>
      <c r="AG862" s="115">
        <f>+VLOOKUP(Y862,B:O,11,FALSE)/1000</f>
        <v>4.8140000000000002E-2</v>
      </c>
      <c r="AI862" s="158"/>
    </row>
    <row r="863" spans="23:35">
      <c r="W863" s="4" t="s">
        <v>585</v>
      </c>
      <c r="X863" s="4" t="s">
        <v>3365</v>
      </c>
      <c r="Y863" s="151" t="str">
        <f t="shared" si="75"/>
        <v>E6310</v>
      </c>
      <c r="Z863" s="4" t="s">
        <v>587</v>
      </c>
      <c r="AA863" s="114" t="s">
        <v>588</v>
      </c>
      <c r="AB863" s="4" t="s">
        <v>506</v>
      </c>
      <c r="AC863" s="4" t="s">
        <v>507</v>
      </c>
      <c r="AD863" s="4" t="s">
        <v>508</v>
      </c>
      <c r="AE863" s="4" t="s">
        <v>509</v>
      </c>
      <c r="AF863" s="4" t="s">
        <v>589</v>
      </c>
      <c r="AG863" s="115">
        <f>+VLOOKUP(Y863,B:O,12,FALSE)/1000</f>
        <v>4.7339999999999993E-2</v>
      </c>
      <c r="AI863" s="158"/>
    </row>
    <row r="864" spans="23:35">
      <c r="W864" s="4" t="s">
        <v>585</v>
      </c>
      <c r="X864" s="4" t="s">
        <v>3366</v>
      </c>
      <c r="Y864" s="151" t="str">
        <f t="shared" si="75"/>
        <v>E6310</v>
      </c>
      <c r="Z864" s="4" t="s">
        <v>587</v>
      </c>
      <c r="AA864" s="114" t="s">
        <v>588</v>
      </c>
      <c r="AB864" s="4" t="s">
        <v>506</v>
      </c>
      <c r="AC864" s="4" t="s">
        <v>507</v>
      </c>
      <c r="AD864" s="4" t="s">
        <v>508</v>
      </c>
      <c r="AE864" s="4" t="s">
        <v>509</v>
      </c>
      <c r="AF864" s="4" t="s">
        <v>589</v>
      </c>
      <c r="AG864" s="115">
        <f>+VLOOKUP(Y864,B:O,13,FALSE)/1000</f>
        <v>6.6129999999999994E-2</v>
      </c>
      <c r="AI864" s="158"/>
    </row>
    <row r="865" spans="23:35">
      <c r="W865" s="4" t="s">
        <v>585</v>
      </c>
      <c r="X865" s="4" t="s">
        <v>3367</v>
      </c>
      <c r="Y865" s="151" t="str">
        <f t="shared" si="75"/>
        <v>E6310</v>
      </c>
      <c r="Z865" s="4" t="s">
        <v>587</v>
      </c>
      <c r="AA865" s="114" t="s">
        <v>588</v>
      </c>
      <c r="AB865" s="4" t="s">
        <v>506</v>
      </c>
      <c r="AC865" s="4" t="s">
        <v>507</v>
      </c>
      <c r="AD865" s="4" t="s">
        <v>508</v>
      </c>
      <c r="AE865" s="4" t="s">
        <v>509</v>
      </c>
      <c r="AF865" s="4" t="s">
        <v>589</v>
      </c>
      <c r="AG865" s="115">
        <f>+VLOOKUP(Y865,B:O,14,FALSE)/1000</f>
        <v>7.7560000000000004E-2</v>
      </c>
      <c r="AI865" s="158"/>
    </row>
    <row r="866" spans="23:35">
      <c r="W866" s="4" t="s">
        <v>585</v>
      </c>
      <c r="X866" s="3" t="s">
        <v>3356</v>
      </c>
      <c r="Y866" s="150" t="str">
        <f>INDEX($B$3:$O$110,98,1)</f>
        <v>E6330</v>
      </c>
      <c r="Z866" s="4" t="s">
        <v>587</v>
      </c>
      <c r="AA866" s="114" t="s">
        <v>588</v>
      </c>
      <c r="AB866" s="4" t="s">
        <v>506</v>
      </c>
      <c r="AC866" s="4" t="s">
        <v>507</v>
      </c>
      <c r="AD866" s="4" t="s">
        <v>508</v>
      </c>
      <c r="AE866" s="4" t="s">
        <v>509</v>
      </c>
      <c r="AF866" s="4" t="s">
        <v>589</v>
      </c>
      <c r="AG866" s="115">
        <f>+VLOOKUP(Y866,B:O,3,FALSE)/1000</f>
        <v>9.0422970000000005E-2</v>
      </c>
      <c r="AI866" s="158"/>
    </row>
    <row r="867" spans="23:35">
      <c r="W867" s="4" t="s">
        <v>585</v>
      </c>
      <c r="X867" s="4" t="s">
        <v>3357</v>
      </c>
      <c r="Y867" s="151" t="str">
        <f>Y866</f>
        <v>E6330</v>
      </c>
      <c r="Z867" s="4" t="s">
        <v>587</v>
      </c>
      <c r="AA867" s="114" t="s">
        <v>588</v>
      </c>
      <c r="AB867" s="4" t="s">
        <v>506</v>
      </c>
      <c r="AC867" s="4" t="s">
        <v>507</v>
      </c>
      <c r="AD867" s="4" t="s">
        <v>508</v>
      </c>
      <c r="AE867" s="4" t="s">
        <v>509</v>
      </c>
      <c r="AF867" s="4" t="s">
        <v>589</v>
      </c>
      <c r="AG867" s="115">
        <f>+VLOOKUP(Y867,B:O,4,FALSE)/1000</f>
        <v>9.0422970000000005E-2</v>
      </c>
      <c r="AI867" s="158"/>
    </row>
    <row r="868" spans="23:35">
      <c r="W868" s="4" t="s">
        <v>585</v>
      </c>
      <c r="X868" s="4" t="s">
        <v>3358</v>
      </c>
      <c r="Y868" s="151" t="str">
        <f t="shared" ref="Y868:Y877" si="76">Y867</f>
        <v>E6330</v>
      </c>
      <c r="Z868" s="4" t="s">
        <v>587</v>
      </c>
      <c r="AA868" s="114" t="s">
        <v>588</v>
      </c>
      <c r="AB868" s="4" t="s">
        <v>506</v>
      </c>
      <c r="AC868" s="4" t="s">
        <v>507</v>
      </c>
      <c r="AD868" s="4" t="s">
        <v>508</v>
      </c>
      <c r="AE868" s="4" t="s">
        <v>509</v>
      </c>
      <c r="AF868" s="4" t="s">
        <v>589</v>
      </c>
      <c r="AG868" s="115">
        <f>+VLOOKUP(Y868,B:O,5,FALSE)/1000</f>
        <v>9.0422970000000005E-2</v>
      </c>
      <c r="AI868" s="158"/>
    </row>
    <row r="869" spans="23:35">
      <c r="W869" s="4" t="s">
        <v>585</v>
      </c>
      <c r="X869" s="4" t="s">
        <v>3359</v>
      </c>
      <c r="Y869" s="151" t="str">
        <f t="shared" si="76"/>
        <v>E6330</v>
      </c>
      <c r="Z869" s="4" t="s">
        <v>587</v>
      </c>
      <c r="AA869" s="114" t="s">
        <v>588</v>
      </c>
      <c r="AB869" s="4" t="s">
        <v>506</v>
      </c>
      <c r="AC869" s="4" t="s">
        <v>507</v>
      </c>
      <c r="AD869" s="4" t="s">
        <v>508</v>
      </c>
      <c r="AE869" s="4" t="s">
        <v>509</v>
      </c>
      <c r="AF869" s="4" t="s">
        <v>589</v>
      </c>
      <c r="AG869" s="115">
        <f>+VLOOKUP(Y869,B:O,6,FALSE)/1000</f>
        <v>9.0422970000000005E-2</v>
      </c>
      <c r="AI869" s="158"/>
    </row>
    <row r="870" spans="23:35">
      <c r="W870" s="4" t="s">
        <v>585</v>
      </c>
      <c r="X870" s="4" t="s">
        <v>3360</v>
      </c>
      <c r="Y870" s="151" t="str">
        <f t="shared" si="76"/>
        <v>E6330</v>
      </c>
      <c r="Z870" s="4" t="s">
        <v>587</v>
      </c>
      <c r="AA870" s="114" t="s">
        <v>588</v>
      </c>
      <c r="AB870" s="4" t="s">
        <v>506</v>
      </c>
      <c r="AC870" s="4" t="s">
        <v>507</v>
      </c>
      <c r="AD870" s="4" t="s">
        <v>508</v>
      </c>
      <c r="AE870" s="4" t="s">
        <v>509</v>
      </c>
      <c r="AF870" s="4" t="s">
        <v>589</v>
      </c>
      <c r="AG870" s="115">
        <f>+VLOOKUP(Y870,B:O,7,FALSE)/1000</f>
        <v>9.0422970000000005E-2</v>
      </c>
      <c r="AI870" s="158"/>
    </row>
    <row r="871" spans="23:35">
      <c r="W871" s="4" t="s">
        <v>585</v>
      </c>
      <c r="X871" s="4" t="s">
        <v>3361</v>
      </c>
      <c r="Y871" s="151" t="str">
        <f t="shared" si="76"/>
        <v>E6330</v>
      </c>
      <c r="Z871" s="4" t="s">
        <v>587</v>
      </c>
      <c r="AA871" s="114" t="s">
        <v>588</v>
      </c>
      <c r="AB871" s="4" t="s">
        <v>506</v>
      </c>
      <c r="AC871" s="4" t="s">
        <v>507</v>
      </c>
      <c r="AD871" s="4" t="s">
        <v>508</v>
      </c>
      <c r="AE871" s="4" t="s">
        <v>509</v>
      </c>
      <c r="AF871" s="4" t="s">
        <v>589</v>
      </c>
      <c r="AG871" s="115">
        <f>+VLOOKUP(Y871,B:O,8,FALSE)/1000</f>
        <v>9.0422970000000005E-2</v>
      </c>
      <c r="AI871" s="158"/>
    </row>
    <row r="872" spans="23:35">
      <c r="W872" s="4" t="s">
        <v>585</v>
      </c>
      <c r="X872" s="4" t="s">
        <v>3362</v>
      </c>
      <c r="Y872" s="151" t="str">
        <f t="shared" si="76"/>
        <v>E6330</v>
      </c>
      <c r="Z872" s="4" t="s">
        <v>587</v>
      </c>
      <c r="AA872" s="114" t="s">
        <v>588</v>
      </c>
      <c r="AB872" s="4" t="s">
        <v>506</v>
      </c>
      <c r="AC872" s="4" t="s">
        <v>507</v>
      </c>
      <c r="AD872" s="4" t="s">
        <v>508</v>
      </c>
      <c r="AE872" s="4" t="s">
        <v>509</v>
      </c>
      <c r="AF872" s="4" t="s">
        <v>589</v>
      </c>
      <c r="AG872" s="115">
        <f>+VLOOKUP(Y872,B:O,9,FALSE)/1000</f>
        <v>9.0422970000000005E-2</v>
      </c>
      <c r="AI872" s="158"/>
    </row>
    <row r="873" spans="23:35">
      <c r="W873" s="4" t="s">
        <v>585</v>
      </c>
      <c r="X873" s="4" t="s">
        <v>3363</v>
      </c>
      <c r="Y873" s="151" t="str">
        <f t="shared" si="76"/>
        <v>E6330</v>
      </c>
      <c r="Z873" s="4" t="s">
        <v>587</v>
      </c>
      <c r="AA873" s="114" t="s">
        <v>588</v>
      </c>
      <c r="AB873" s="4" t="s">
        <v>506</v>
      </c>
      <c r="AC873" s="4" t="s">
        <v>507</v>
      </c>
      <c r="AD873" s="4" t="s">
        <v>508</v>
      </c>
      <c r="AE873" s="4" t="s">
        <v>509</v>
      </c>
      <c r="AF873" s="4" t="s">
        <v>589</v>
      </c>
      <c r="AG873" s="115">
        <f>+VLOOKUP(Y873,B:O,10,FALSE)/1000</f>
        <v>9.0422970000000005E-2</v>
      </c>
      <c r="AI873" s="158"/>
    </row>
    <row r="874" spans="23:35">
      <c r="W874" s="4" t="s">
        <v>585</v>
      </c>
      <c r="X874" s="4" t="s">
        <v>3364</v>
      </c>
      <c r="Y874" s="151" t="str">
        <f t="shared" si="76"/>
        <v>E6330</v>
      </c>
      <c r="Z874" s="4" t="s">
        <v>587</v>
      </c>
      <c r="AA874" s="114" t="s">
        <v>588</v>
      </c>
      <c r="AB874" s="4" t="s">
        <v>506</v>
      </c>
      <c r="AC874" s="4" t="s">
        <v>507</v>
      </c>
      <c r="AD874" s="4" t="s">
        <v>508</v>
      </c>
      <c r="AE874" s="4" t="s">
        <v>509</v>
      </c>
      <c r="AF874" s="4" t="s">
        <v>589</v>
      </c>
      <c r="AG874" s="115">
        <f>+VLOOKUP(Y874,B:O,11,FALSE)/1000</f>
        <v>9.0422970000000005E-2</v>
      </c>
      <c r="AI874" s="158"/>
    </row>
    <row r="875" spans="23:35">
      <c r="W875" s="4" t="s">
        <v>585</v>
      </c>
      <c r="X875" s="4" t="s">
        <v>3365</v>
      </c>
      <c r="Y875" s="151" t="str">
        <f t="shared" si="76"/>
        <v>E6330</v>
      </c>
      <c r="Z875" s="4" t="s">
        <v>587</v>
      </c>
      <c r="AA875" s="114" t="s">
        <v>588</v>
      </c>
      <c r="AB875" s="4" t="s">
        <v>506</v>
      </c>
      <c r="AC875" s="4" t="s">
        <v>507</v>
      </c>
      <c r="AD875" s="4" t="s">
        <v>508</v>
      </c>
      <c r="AE875" s="4" t="s">
        <v>509</v>
      </c>
      <c r="AF875" s="4" t="s">
        <v>589</v>
      </c>
      <c r="AG875" s="115">
        <f>+VLOOKUP(Y875,B:O,12,FALSE)/1000</f>
        <v>9.0422970000000005E-2</v>
      </c>
      <c r="AI875" s="158"/>
    </row>
    <row r="876" spans="23:35">
      <c r="W876" s="4" t="s">
        <v>585</v>
      </c>
      <c r="X876" s="4" t="s">
        <v>3366</v>
      </c>
      <c r="Y876" s="151" t="str">
        <f t="shared" si="76"/>
        <v>E6330</v>
      </c>
      <c r="Z876" s="4" t="s">
        <v>587</v>
      </c>
      <c r="AA876" s="114" t="s">
        <v>588</v>
      </c>
      <c r="AB876" s="4" t="s">
        <v>506</v>
      </c>
      <c r="AC876" s="4" t="s">
        <v>507</v>
      </c>
      <c r="AD876" s="4" t="s">
        <v>508</v>
      </c>
      <c r="AE876" s="4" t="s">
        <v>509</v>
      </c>
      <c r="AF876" s="4" t="s">
        <v>589</v>
      </c>
      <c r="AG876" s="115">
        <f>+VLOOKUP(Y876,B:O,13,FALSE)/1000</f>
        <v>9.2502698310000006E-2</v>
      </c>
      <c r="AI876" s="158"/>
    </row>
    <row r="877" spans="23:35">
      <c r="W877" s="4" t="s">
        <v>585</v>
      </c>
      <c r="X877" s="4" t="s">
        <v>3367</v>
      </c>
      <c r="Y877" s="151" t="str">
        <f t="shared" si="76"/>
        <v>E6330</v>
      </c>
      <c r="Z877" s="4" t="s">
        <v>587</v>
      </c>
      <c r="AA877" s="114" t="s">
        <v>588</v>
      </c>
      <c r="AB877" s="4" t="s">
        <v>506</v>
      </c>
      <c r="AC877" s="4" t="s">
        <v>507</v>
      </c>
      <c r="AD877" s="4" t="s">
        <v>508</v>
      </c>
      <c r="AE877" s="4" t="s">
        <v>509</v>
      </c>
      <c r="AF877" s="4" t="s">
        <v>589</v>
      </c>
      <c r="AG877" s="115">
        <f>+VLOOKUP(Y877,B:O,14,FALSE)/1000</f>
        <v>9.2502698310000006E-2</v>
      </c>
      <c r="AI877" s="158"/>
    </row>
    <row r="878" spans="23:35">
      <c r="W878" s="4" t="s">
        <v>585</v>
      </c>
      <c r="X878" s="3" t="s">
        <v>3356</v>
      </c>
      <c r="Y878" s="3" t="str">
        <f>INDEX($B$3:$O$110,99,1)</f>
        <v>E6340</v>
      </c>
      <c r="Z878" t="s">
        <v>587</v>
      </c>
      <c r="AA878" t="s">
        <v>588</v>
      </c>
      <c r="AB878" t="s">
        <v>506</v>
      </c>
      <c r="AC878" t="s">
        <v>507</v>
      </c>
      <c r="AD878" t="s">
        <v>508</v>
      </c>
      <c r="AE878" t="s">
        <v>509</v>
      </c>
      <c r="AF878" t="s">
        <v>589</v>
      </c>
      <c r="AG878" s="115">
        <f>+VLOOKUP(Y878,B:O,3,FALSE)/1000</f>
        <v>8.8755481249266896E-2</v>
      </c>
      <c r="AI878" s="158"/>
    </row>
    <row r="879" spans="23:35">
      <c r="W879" s="4" t="s">
        <v>585</v>
      </c>
      <c r="X879" s="4" t="s">
        <v>3357</v>
      </c>
      <c r="Y879" s="4" t="str">
        <f>Y878</f>
        <v>E6340</v>
      </c>
      <c r="Z879" t="s">
        <v>587</v>
      </c>
      <c r="AA879" t="s">
        <v>588</v>
      </c>
      <c r="AB879" t="s">
        <v>506</v>
      </c>
      <c r="AC879" t="s">
        <v>507</v>
      </c>
      <c r="AD879" t="s">
        <v>508</v>
      </c>
      <c r="AE879" t="s">
        <v>509</v>
      </c>
      <c r="AF879" t="s">
        <v>589</v>
      </c>
      <c r="AG879" s="115">
        <f>+VLOOKUP(Y879,B:O,4,FALSE)/1000</f>
        <v>8.8755481249266896E-2</v>
      </c>
      <c r="AI879" s="158"/>
    </row>
    <row r="880" spans="23:35">
      <c r="W880" s="4" t="s">
        <v>585</v>
      </c>
      <c r="X880" s="4" t="s">
        <v>3358</v>
      </c>
      <c r="Y880" s="4" t="str">
        <f t="shared" ref="Y880:Y889" si="77">Y879</f>
        <v>E6340</v>
      </c>
      <c r="Z880" t="s">
        <v>587</v>
      </c>
      <c r="AA880" t="s">
        <v>588</v>
      </c>
      <c r="AB880" t="s">
        <v>506</v>
      </c>
      <c r="AC880" t="s">
        <v>507</v>
      </c>
      <c r="AD880" t="s">
        <v>508</v>
      </c>
      <c r="AE880" t="s">
        <v>509</v>
      </c>
      <c r="AF880" t="s">
        <v>589</v>
      </c>
      <c r="AG880" s="115">
        <f>+VLOOKUP(Y880,B:O,5,FALSE)/1000</f>
        <v>8.8755481249266896E-2</v>
      </c>
      <c r="AI880" s="158"/>
    </row>
    <row r="881" spans="23:35">
      <c r="W881" s="4" t="s">
        <v>585</v>
      </c>
      <c r="X881" s="4" t="s">
        <v>3359</v>
      </c>
      <c r="Y881" s="4" t="str">
        <f t="shared" si="77"/>
        <v>E6340</v>
      </c>
      <c r="Z881" t="s">
        <v>587</v>
      </c>
      <c r="AA881" t="s">
        <v>588</v>
      </c>
      <c r="AB881" t="s">
        <v>506</v>
      </c>
      <c r="AC881" t="s">
        <v>507</v>
      </c>
      <c r="AD881" t="s">
        <v>508</v>
      </c>
      <c r="AE881" t="s">
        <v>509</v>
      </c>
      <c r="AF881" t="s">
        <v>589</v>
      </c>
      <c r="AG881" s="115">
        <f>+VLOOKUP(Y881,B:O,6,FALSE)/1000</f>
        <v>8.8755481249266896E-2</v>
      </c>
      <c r="AI881" s="158"/>
    </row>
    <row r="882" spans="23:35">
      <c r="W882" s="4" t="s">
        <v>585</v>
      </c>
      <c r="X882" s="4" t="s">
        <v>3360</v>
      </c>
      <c r="Y882" s="4" t="str">
        <f t="shared" si="77"/>
        <v>E6340</v>
      </c>
      <c r="Z882" t="s">
        <v>587</v>
      </c>
      <c r="AA882" t="s">
        <v>588</v>
      </c>
      <c r="AB882" t="s">
        <v>506</v>
      </c>
      <c r="AC882" t="s">
        <v>507</v>
      </c>
      <c r="AD882" t="s">
        <v>508</v>
      </c>
      <c r="AE882" t="s">
        <v>509</v>
      </c>
      <c r="AF882" t="s">
        <v>589</v>
      </c>
      <c r="AG882" s="115">
        <f>+VLOOKUP(Y882,B:O,7,FALSE)/1000</f>
        <v>8.8755481249266896E-2</v>
      </c>
      <c r="AI882" s="158"/>
    </row>
    <row r="883" spans="23:35">
      <c r="W883" s="4" t="s">
        <v>585</v>
      </c>
      <c r="X883" s="4" t="s">
        <v>3361</v>
      </c>
      <c r="Y883" s="4" t="str">
        <f t="shared" si="77"/>
        <v>E6340</v>
      </c>
      <c r="Z883" t="s">
        <v>587</v>
      </c>
      <c r="AA883" t="s">
        <v>588</v>
      </c>
      <c r="AB883" t="s">
        <v>506</v>
      </c>
      <c r="AC883" t="s">
        <v>507</v>
      </c>
      <c r="AD883" t="s">
        <v>508</v>
      </c>
      <c r="AE883" t="s">
        <v>509</v>
      </c>
      <c r="AF883" t="s">
        <v>589</v>
      </c>
      <c r="AG883" s="115">
        <f>+VLOOKUP(Y883,B:O,8,FALSE)/1000</f>
        <v>8.8755481249266896E-2</v>
      </c>
      <c r="AI883" s="158"/>
    </row>
    <row r="884" spans="23:35">
      <c r="W884" s="4" t="s">
        <v>585</v>
      </c>
      <c r="X884" s="4" t="s">
        <v>3362</v>
      </c>
      <c r="Y884" s="4" t="str">
        <f t="shared" si="77"/>
        <v>E6340</v>
      </c>
      <c r="Z884" t="s">
        <v>587</v>
      </c>
      <c r="AA884" t="s">
        <v>588</v>
      </c>
      <c r="AB884" t="s">
        <v>506</v>
      </c>
      <c r="AC884" t="s">
        <v>507</v>
      </c>
      <c r="AD884" t="s">
        <v>508</v>
      </c>
      <c r="AE884" t="s">
        <v>509</v>
      </c>
      <c r="AF884" t="s">
        <v>589</v>
      </c>
      <c r="AG884" s="115">
        <f>+VLOOKUP(Y884,B:O,9,FALSE)/1000</f>
        <v>8.8755481249266896E-2</v>
      </c>
      <c r="AI884" s="158"/>
    </row>
    <row r="885" spans="23:35">
      <c r="W885" s="4" t="s">
        <v>585</v>
      </c>
      <c r="X885" s="4" t="s">
        <v>3363</v>
      </c>
      <c r="Y885" s="4" t="str">
        <f t="shared" si="77"/>
        <v>E6340</v>
      </c>
      <c r="Z885" t="s">
        <v>587</v>
      </c>
      <c r="AA885" t="s">
        <v>588</v>
      </c>
      <c r="AB885" t="s">
        <v>506</v>
      </c>
      <c r="AC885" t="s">
        <v>507</v>
      </c>
      <c r="AD885" t="s">
        <v>508</v>
      </c>
      <c r="AE885" t="s">
        <v>509</v>
      </c>
      <c r="AF885" t="s">
        <v>589</v>
      </c>
      <c r="AG885" s="115">
        <f>+VLOOKUP(Y885,B:O,10,FALSE)/1000</f>
        <v>8.8755481249266896E-2</v>
      </c>
      <c r="AI885" s="158"/>
    </row>
    <row r="886" spans="23:35">
      <c r="W886" s="4" t="s">
        <v>585</v>
      </c>
      <c r="X886" s="4" t="s">
        <v>3364</v>
      </c>
      <c r="Y886" s="4" t="str">
        <f t="shared" si="77"/>
        <v>E6340</v>
      </c>
      <c r="Z886" t="s">
        <v>587</v>
      </c>
      <c r="AA886" t="s">
        <v>588</v>
      </c>
      <c r="AB886" t="s">
        <v>506</v>
      </c>
      <c r="AC886" t="s">
        <v>507</v>
      </c>
      <c r="AD886" t="s">
        <v>508</v>
      </c>
      <c r="AE886" t="s">
        <v>509</v>
      </c>
      <c r="AF886" t="s">
        <v>589</v>
      </c>
      <c r="AG886" s="115">
        <f>+VLOOKUP(Y886,B:O,11,FALSE)/1000</f>
        <v>8.8755481249266896E-2</v>
      </c>
      <c r="AI886" s="158"/>
    </row>
    <row r="887" spans="23:35">
      <c r="W887" s="4" t="s">
        <v>585</v>
      </c>
      <c r="X887" s="4" t="s">
        <v>3365</v>
      </c>
      <c r="Y887" s="4" t="str">
        <f t="shared" si="77"/>
        <v>E6340</v>
      </c>
      <c r="Z887" t="s">
        <v>587</v>
      </c>
      <c r="AA887" t="s">
        <v>588</v>
      </c>
      <c r="AB887" t="s">
        <v>506</v>
      </c>
      <c r="AC887" t="s">
        <v>507</v>
      </c>
      <c r="AD887" t="s">
        <v>508</v>
      </c>
      <c r="AE887" t="s">
        <v>509</v>
      </c>
      <c r="AF887" t="s">
        <v>589</v>
      </c>
      <c r="AG887" s="115">
        <f>+VLOOKUP(Y887,B:O,12,FALSE)/1000</f>
        <v>8.8755481249266896E-2</v>
      </c>
      <c r="AI887" s="158"/>
    </row>
    <row r="888" spans="23:35">
      <c r="W888" s="4" t="s">
        <v>585</v>
      </c>
      <c r="X888" s="4" t="s">
        <v>3366</v>
      </c>
      <c r="Y888" s="4" t="str">
        <f t="shared" si="77"/>
        <v>E6340</v>
      </c>
      <c r="Z888" t="s">
        <v>587</v>
      </c>
      <c r="AA888" t="s">
        <v>588</v>
      </c>
      <c r="AB888" t="s">
        <v>506</v>
      </c>
      <c r="AC888" t="s">
        <v>507</v>
      </c>
      <c r="AD888" t="s">
        <v>508</v>
      </c>
      <c r="AE888" t="s">
        <v>509</v>
      </c>
      <c r="AF888" t="s">
        <v>589</v>
      </c>
      <c r="AG888" s="115">
        <f>+VLOOKUP(Y888,B:O,13,FALSE)/1000</f>
        <v>9.0796857318000038E-2</v>
      </c>
      <c r="AI888" s="158"/>
    </row>
    <row r="889" spans="23:35">
      <c r="W889" s="4" t="s">
        <v>585</v>
      </c>
      <c r="X889" s="4" t="s">
        <v>3367</v>
      </c>
      <c r="Y889" s="4" t="str">
        <f t="shared" si="77"/>
        <v>E6340</v>
      </c>
      <c r="Z889" t="s">
        <v>587</v>
      </c>
      <c r="AA889" t="s">
        <v>588</v>
      </c>
      <c r="AB889" t="s">
        <v>506</v>
      </c>
      <c r="AC889" t="s">
        <v>507</v>
      </c>
      <c r="AD889" t="s">
        <v>508</v>
      </c>
      <c r="AE889" t="s">
        <v>509</v>
      </c>
      <c r="AF889" t="s">
        <v>589</v>
      </c>
      <c r="AG889" s="115">
        <f>+VLOOKUP(Y889,B:O,14,FALSE)/1000</f>
        <v>9.0796857318000038E-2</v>
      </c>
      <c r="AI889" s="158"/>
    </row>
    <row r="890" spans="23:35">
      <c r="W890" s="4" t="s">
        <v>585</v>
      </c>
      <c r="X890" s="4" t="s">
        <v>3356</v>
      </c>
      <c r="Y890" s="150" t="str">
        <f>INDEX($B$3:$O$110,100,1)</f>
        <v>E6350</v>
      </c>
      <c r="Z890" t="s">
        <v>587</v>
      </c>
      <c r="AA890" t="s">
        <v>588</v>
      </c>
      <c r="AB890" t="s">
        <v>506</v>
      </c>
      <c r="AC890" t="s">
        <v>507</v>
      </c>
      <c r="AD890" t="s">
        <v>508</v>
      </c>
      <c r="AE890" t="s">
        <v>509</v>
      </c>
      <c r="AF890" t="s">
        <v>589</v>
      </c>
      <c r="AG890" s="115">
        <f>+VLOOKUP(Y890,B:O,3,FALSE)/1000</f>
        <v>9.0422970000000005E-2</v>
      </c>
      <c r="AI890" s="158"/>
    </row>
    <row r="891" spans="23:35">
      <c r="W891" s="4" t="s">
        <v>585</v>
      </c>
      <c r="X891" s="4" t="s">
        <v>3357</v>
      </c>
      <c r="Y891" s="4" t="str">
        <f>Y890</f>
        <v>E6350</v>
      </c>
      <c r="Z891" t="s">
        <v>587</v>
      </c>
      <c r="AA891" t="s">
        <v>588</v>
      </c>
      <c r="AB891" t="s">
        <v>506</v>
      </c>
      <c r="AC891" t="s">
        <v>507</v>
      </c>
      <c r="AD891" t="s">
        <v>508</v>
      </c>
      <c r="AE891" t="s">
        <v>509</v>
      </c>
      <c r="AF891" t="s">
        <v>589</v>
      </c>
      <c r="AG891" s="115">
        <f>+VLOOKUP(Y891,B:O,4,FALSE)/1000</f>
        <v>9.0422970000000005E-2</v>
      </c>
      <c r="AI891" s="158"/>
    </row>
    <row r="892" spans="23:35">
      <c r="W892" s="4" t="s">
        <v>585</v>
      </c>
      <c r="X892" s="4" t="s">
        <v>3358</v>
      </c>
      <c r="Y892" s="4" t="str">
        <f t="shared" ref="Y892:Y901" si="78">Y891</f>
        <v>E6350</v>
      </c>
      <c r="Z892" t="s">
        <v>587</v>
      </c>
      <c r="AA892" t="s">
        <v>588</v>
      </c>
      <c r="AB892" t="s">
        <v>506</v>
      </c>
      <c r="AC892" t="s">
        <v>507</v>
      </c>
      <c r="AD892" t="s">
        <v>508</v>
      </c>
      <c r="AE892" t="s">
        <v>509</v>
      </c>
      <c r="AF892" t="s">
        <v>589</v>
      </c>
      <c r="AG892" s="115">
        <f>+VLOOKUP(Y892,B:O,5,FALSE)/1000</f>
        <v>9.0422970000000005E-2</v>
      </c>
      <c r="AI892" s="158"/>
    </row>
    <row r="893" spans="23:35">
      <c r="W893" s="4" t="s">
        <v>585</v>
      </c>
      <c r="X893" s="4" t="s">
        <v>3359</v>
      </c>
      <c r="Y893" s="4" t="str">
        <f t="shared" si="78"/>
        <v>E6350</v>
      </c>
      <c r="Z893" t="s">
        <v>587</v>
      </c>
      <c r="AA893" t="s">
        <v>588</v>
      </c>
      <c r="AB893" t="s">
        <v>506</v>
      </c>
      <c r="AC893" t="s">
        <v>507</v>
      </c>
      <c r="AD893" t="s">
        <v>508</v>
      </c>
      <c r="AE893" t="s">
        <v>509</v>
      </c>
      <c r="AF893" t="s">
        <v>589</v>
      </c>
      <c r="AG893" s="115">
        <f>+VLOOKUP(Y893,B:O,6,FALSE)/1000</f>
        <v>9.0422970000000005E-2</v>
      </c>
      <c r="AI893" s="158"/>
    </row>
    <row r="894" spans="23:35">
      <c r="W894" s="4" t="s">
        <v>585</v>
      </c>
      <c r="X894" s="4" t="s">
        <v>3360</v>
      </c>
      <c r="Y894" s="4" t="str">
        <f t="shared" si="78"/>
        <v>E6350</v>
      </c>
      <c r="Z894" t="s">
        <v>587</v>
      </c>
      <c r="AA894" t="s">
        <v>588</v>
      </c>
      <c r="AB894" t="s">
        <v>506</v>
      </c>
      <c r="AC894" t="s">
        <v>507</v>
      </c>
      <c r="AD894" t="s">
        <v>508</v>
      </c>
      <c r="AE894" t="s">
        <v>509</v>
      </c>
      <c r="AF894" t="s">
        <v>589</v>
      </c>
      <c r="AG894" s="115">
        <f>+VLOOKUP(Y894,B:O,7,FALSE)/1000</f>
        <v>9.0422970000000005E-2</v>
      </c>
      <c r="AI894" s="158"/>
    </row>
    <row r="895" spans="23:35">
      <c r="W895" s="4" t="s">
        <v>585</v>
      </c>
      <c r="X895" s="4" t="s">
        <v>3361</v>
      </c>
      <c r="Y895" s="4" t="str">
        <f t="shared" si="78"/>
        <v>E6350</v>
      </c>
      <c r="Z895" t="s">
        <v>587</v>
      </c>
      <c r="AA895" t="s">
        <v>588</v>
      </c>
      <c r="AB895" t="s">
        <v>506</v>
      </c>
      <c r="AC895" t="s">
        <v>507</v>
      </c>
      <c r="AD895" t="s">
        <v>508</v>
      </c>
      <c r="AE895" t="s">
        <v>509</v>
      </c>
      <c r="AF895" t="s">
        <v>589</v>
      </c>
      <c r="AG895" s="115">
        <f>+VLOOKUP(Y895,B:O,8,FALSE)/1000</f>
        <v>9.0422970000000005E-2</v>
      </c>
      <c r="AI895" s="158"/>
    </row>
    <row r="896" spans="23:35">
      <c r="W896" s="4" t="s">
        <v>585</v>
      </c>
      <c r="X896" s="4" t="s">
        <v>3362</v>
      </c>
      <c r="Y896" s="4" t="str">
        <f t="shared" si="78"/>
        <v>E6350</v>
      </c>
      <c r="Z896" t="s">
        <v>587</v>
      </c>
      <c r="AA896" t="s">
        <v>588</v>
      </c>
      <c r="AB896" t="s">
        <v>506</v>
      </c>
      <c r="AC896" t="s">
        <v>507</v>
      </c>
      <c r="AD896" t="s">
        <v>508</v>
      </c>
      <c r="AE896" t="s">
        <v>509</v>
      </c>
      <c r="AF896" t="s">
        <v>589</v>
      </c>
      <c r="AG896" s="115">
        <f>+VLOOKUP(Y896,B:O,9,FALSE)/1000</f>
        <v>9.0422970000000005E-2</v>
      </c>
      <c r="AI896" s="158"/>
    </row>
    <row r="897" spans="23:35">
      <c r="W897" s="4" t="s">
        <v>585</v>
      </c>
      <c r="X897" s="4" t="s">
        <v>3363</v>
      </c>
      <c r="Y897" s="4" t="str">
        <f t="shared" si="78"/>
        <v>E6350</v>
      </c>
      <c r="Z897" t="s">
        <v>587</v>
      </c>
      <c r="AA897" t="s">
        <v>588</v>
      </c>
      <c r="AB897" t="s">
        <v>506</v>
      </c>
      <c r="AC897" t="s">
        <v>507</v>
      </c>
      <c r="AD897" t="s">
        <v>508</v>
      </c>
      <c r="AE897" t="s">
        <v>509</v>
      </c>
      <c r="AF897" t="s">
        <v>589</v>
      </c>
      <c r="AG897" s="115">
        <f>+VLOOKUP(Y897,B:O,10,FALSE)/1000</f>
        <v>9.0422970000000005E-2</v>
      </c>
      <c r="AI897" s="158"/>
    </row>
    <row r="898" spans="23:35">
      <c r="W898" s="4" t="s">
        <v>585</v>
      </c>
      <c r="X898" s="4" t="s">
        <v>3364</v>
      </c>
      <c r="Y898" s="4" t="str">
        <f t="shared" si="78"/>
        <v>E6350</v>
      </c>
      <c r="Z898" t="s">
        <v>587</v>
      </c>
      <c r="AA898" t="s">
        <v>588</v>
      </c>
      <c r="AB898" t="s">
        <v>506</v>
      </c>
      <c r="AC898" t="s">
        <v>507</v>
      </c>
      <c r="AD898" t="s">
        <v>508</v>
      </c>
      <c r="AE898" t="s">
        <v>509</v>
      </c>
      <c r="AF898" t="s">
        <v>589</v>
      </c>
      <c r="AG898" s="115">
        <f>+VLOOKUP(Y898,B:O,11,FALSE)/1000</f>
        <v>9.0422970000000005E-2</v>
      </c>
      <c r="AI898" s="158"/>
    </row>
    <row r="899" spans="23:35">
      <c r="W899" s="4" t="s">
        <v>585</v>
      </c>
      <c r="X899" s="4" t="s">
        <v>3365</v>
      </c>
      <c r="Y899" s="4" t="str">
        <f t="shared" si="78"/>
        <v>E6350</v>
      </c>
      <c r="Z899" t="s">
        <v>587</v>
      </c>
      <c r="AA899" t="s">
        <v>588</v>
      </c>
      <c r="AB899" t="s">
        <v>506</v>
      </c>
      <c r="AC899" t="s">
        <v>507</v>
      </c>
      <c r="AD899" t="s">
        <v>508</v>
      </c>
      <c r="AE899" t="s">
        <v>509</v>
      </c>
      <c r="AF899" t="s">
        <v>589</v>
      </c>
      <c r="AG899" s="115">
        <f>+VLOOKUP(Y899,B:O,12,FALSE)/1000</f>
        <v>9.0422970000000005E-2</v>
      </c>
      <c r="AI899" s="158"/>
    </row>
    <row r="900" spans="23:35">
      <c r="W900" s="4" t="s">
        <v>585</v>
      </c>
      <c r="X900" s="4" t="s">
        <v>3366</v>
      </c>
      <c r="Y900" s="4" t="str">
        <f t="shared" si="78"/>
        <v>E6350</v>
      </c>
      <c r="Z900" t="s">
        <v>587</v>
      </c>
      <c r="AA900" t="s">
        <v>588</v>
      </c>
      <c r="AB900" t="s">
        <v>506</v>
      </c>
      <c r="AC900" t="s">
        <v>507</v>
      </c>
      <c r="AD900" t="s">
        <v>508</v>
      </c>
      <c r="AE900" t="s">
        <v>509</v>
      </c>
      <c r="AF900" t="s">
        <v>589</v>
      </c>
      <c r="AG900" s="115">
        <f>+VLOOKUP(Y900,B:O,13,FALSE)/1000</f>
        <v>9.2502698310000006E-2</v>
      </c>
      <c r="AI900" s="158"/>
    </row>
    <row r="901" spans="23:35">
      <c r="W901" s="4" t="s">
        <v>585</v>
      </c>
      <c r="X901" s="4" t="s">
        <v>3367</v>
      </c>
      <c r="Y901" s="4" t="str">
        <f t="shared" si="78"/>
        <v>E6350</v>
      </c>
      <c r="Z901" t="s">
        <v>587</v>
      </c>
      <c r="AA901" t="s">
        <v>588</v>
      </c>
      <c r="AB901" t="s">
        <v>506</v>
      </c>
      <c r="AC901" t="s">
        <v>507</v>
      </c>
      <c r="AD901" t="s">
        <v>508</v>
      </c>
      <c r="AE901" t="s">
        <v>509</v>
      </c>
      <c r="AF901" t="s">
        <v>589</v>
      </c>
      <c r="AG901" s="115">
        <f>+VLOOKUP(Y901,B:O,14,FALSE)/1000</f>
        <v>9.2502698310000006E-2</v>
      </c>
      <c r="AI901" s="158"/>
    </row>
    <row r="902" spans="23:35">
      <c r="W902" s="4" t="s">
        <v>585</v>
      </c>
      <c r="X902" s="4" t="s">
        <v>3356</v>
      </c>
      <c r="Y902" s="150" t="str">
        <f>INDEX($B$3:$O$110,101,1)</f>
        <v>E6360</v>
      </c>
      <c r="Z902" t="s">
        <v>587</v>
      </c>
      <c r="AA902" t="s">
        <v>588</v>
      </c>
      <c r="AB902" t="s">
        <v>506</v>
      </c>
      <c r="AC902" t="s">
        <v>507</v>
      </c>
      <c r="AD902" t="s">
        <v>508</v>
      </c>
      <c r="AE902" t="s">
        <v>509</v>
      </c>
      <c r="AF902" t="s">
        <v>589</v>
      </c>
      <c r="AG902" s="115">
        <f>+VLOOKUP(Y902,B:O,3,FALSE)/1000</f>
        <v>7.8960000000000002E-2</v>
      </c>
      <c r="AI902" s="158"/>
    </row>
    <row r="903" spans="23:35">
      <c r="W903" s="4" t="s">
        <v>585</v>
      </c>
      <c r="X903" s="4" t="s">
        <v>3357</v>
      </c>
      <c r="Y903" s="4" t="str">
        <f>Y902</f>
        <v>E6360</v>
      </c>
      <c r="Z903" t="s">
        <v>587</v>
      </c>
      <c r="AA903" t="s">
        <v>588</v>
      </c>
      <c r="AB903" t="s">
        <v>506</v>
      </c>
      <c r="AC903" t="s">
        <v>507</v>
      </c>
      <c r="AD903" t="s">
        <v>508</v>
      </c>
      <c r="AE903" t="s">
        <v>509</v>
      </c>
      <c r="AF903" t="s">
        <v>589</v>
      </c>
      <c r="AG903" s="115">
        <f>+VLOOKUP(Y903,B:O,4,FALSE)/1000</f>
        <v>7.9930000000000001E-2</v>
      </c>
      <c r="AI903" s="158"/>
    </row>
    <row r="904" spans="23:35">
      <c r="W904" s="4" t="s">
        <v>585</v>
      </c>
      <c r="X904" s="4" t="s">
        <v>3358</v>
      </c>
      <c r="Y904" s="4" t="str">
        <f t="shared" ref="Y904:Y913" si="79">Y903</f>
        <v>E6360</v>
      </c>
      <c r="Z904" t="s">
        <v>587</v>
      </c>
      <c r="AA904" t="s">
        <v>588</v>
      </c>
      <c r="AB904" t="s">
        <v>506</v>
      </c>
      <c r="AC904" t="s">
        <v>507</v>
      </c>
      <c r="AD904" t="s">
        <v>508</v>
      </c>
      <c r="AE904" t="s">
        <v>509</v>
      </c>
      <c r="AF904" t="s">
        <v>589</v>
      </c>
      <c r="AG904" s="115">
        <f>+VLOOKUP(Y904,B:O,5,FALSE)/1000</f>
        <v>6.7710000000000006E-2</v>
      </c>
      <c r="AI904" s="158"/>
    </row>
    <row r="905" spans="23:35">
      <c r="W905" s="4" t="s">
        <v>585</v>
      </c>
      <c r="X905" s="4" t="s">
        <v>3359</v>
      </c>
      <c r="Y905" s="4" t="str">
        <f t="shared" si="79"/>
        <v>E6360</v>
      </c>
      <c r="Z905" t="s">
        <v>587</v>
      </c>
      <c r="AA905" t="s">
        <v>588</v>
      </c>
      <c r="AB905" t="s">
        <v>506</v>
      </c>
      <c r="AC905" t="s">
        <v>507</v>
      </c>
      <c r="AD905" t="s">
        <v>508</v>
      </c>
      <c r="AE905" t="s">
        <v>509</v>
      </c>
      <c r="AF905" t="s">
        <v>589</v>
      </c>
      <c r="AG905" s="115">
        <f>+VLOOKUP(Y905,B:O,6,FALSE)/1000</f>
        <v>5.3319999999999999E-2</v>
      </c>
      <c r="AI905" s="158"/>
    </row>
    <row r="906" spans="23:35">
      <c r="W906" s="4" t="s">
        <v>585</v>
      </c>
      <c r="X906" s="4" t="s">
        <v>3360</v>
      </c>
      <c r="Y906" s="4" t="str">
        <f t="shared" si="79"/>
        <v>E6360</v>
      </c>
      <c r="Z906" t="s">
        <v>587</v>
      </c>
      <c r="AA906" t="s">
        <v>588</v>
      </c>
      <c r="AB906" t="s">
        <v>506</v>
      </c>
      <c r="AC906" t="s">
        <v>507</v>
      </c>
      <c r="AD906" t="s">
        <v>508</v>
      </c>
      <c r="AE906" t="s">
        <v>509</v>
      </c>
      <c r="AF906" t="s">
        <v>589</v>
      </c>
      <c r="AG906" s="115">
        <f>+VLOOKUP(Y906,B:O,7,FALSE)/1000</f>
        <v>4.3999999999999997E-2</v>
      </c>
      <c r="AI906" s="158"/>
    </row>
    <row r="907" spans="23:35">
      <c r="W907" s="4" t="s">
        <v>585</v>
      </c>
      <c r="X907" s="4" t="s">
        <v>3361</v>
      </c>
      <c r="Y907" s="4" t="str">
        <f t="shared" si="79"/>
        <v>E6360</v>
      </c>
      <c r="Z907" t="s">
        <v>587</v>
      </c>
      <c r="AA907" t="s">
        <v>588</v>
      </c>
      <c r="AB907" t="s">
        <v>506</v>
      </c>
      <c r="AC907" t="s">
        <v>507</v>
      </c>
      <c r="AD907" t="s">
        <v>508</v>
      </c>
      <c r="AE907" t="s">
        <v>509</v>
      </c>
      <c r="AF907" t="s">
        <v>589</v>
      </c>
      <c r="AG907" s="115">
        <f>+VLOOKUP(Y907,B:O,8,FALSE)/1000</f>
        <v>4.9150000000000006E-2</v>
      </c>
      <c r="AI907" s="158"/>
    </row>
    <row r="908" spans="23:35">
      <c r="W908" s="4" t="s">
        <v>585</v>
      </c>
      <c r="X908" s="4" t="s">
        <v>3362</v>
      </c>
      <c r="Y908" s="4" t="str">
        <f t="shared" si="79"/>
        <v>E6360</v>
      </c>
      <c r="Z908" t="s">
        <v>587</v>
      </c>
      <c r="AA908" t="s">
        <v>588</v>
      </c>
      <c r="AB908" t="s">
        <v>506</v>
      </c>
      <c r="AC908" t="s">
        <v>507</v>
      </c>
      <c r="AD908" t="s">
        <v>508</v>
      </c>
      <c r="AE908" t="s">
        <v>509</v>
      </c>
      <c r="AF908" t="s">
        <v>589</v>
      </c>
      <c r="AG908" s="115">
        <f>+VLOOKUP(Y908,B:O,9,FALSE)/1000</f>
        <v>5.1209999999999999E-2</v>
      </c>
      <c r="AI908" s="158"/>
    </row>
    <row r="909" spans="23:35">
      <c r="W909" s="4" t="s">
        <v>585</v>
      </c>
      <c r="X909" s="4" t="s">
        <v>3363</v>
      </c>
      <c r="Y909" s="4" t="str">
        <f t="shared" si="79"/>
        <v>E6360</v>
      </c>
      <c r="Z909" t="s">
        <v>587</v>
      </c>
      <c r="AA909" t="s">
        <v>588</v>
      </c>
      <c r="AB909" t="s">
        <v>506</v>
      </c>
      <c r="AC909" t="s">
        <v>507</v>
      </c>
      <c r="AD909" t="s">
        <v>508</v>
      </c>
      <c r="AE909" t="s">
        <v>509</v>
      </c>
      <c r="AF909" t="s">
        <v>589</v>
      </c>
      <c r="AG909" s="115">
        <f>+VLOOKUP(Y909,B:O,10,FALSE)/1000</f>
        <v>4.7490000000000004E-2</v>
      </c>
      <c r="AI909" s="158"/>
    </row>
    <row r="910" spans="23:35">
      <c r="W910" s="4" t="s">
        <v>585</v>
      </c>
      <c r="X910" s="4" t="s">
        <v>3364</v>
      </c>
      <c r="Y910" s="4" t="str">
        <f t="shared" si="79"/>
        <v>E6360</v>
      </c>
      <c r="Z910" t="s">
        <v>587</v>
      </c>
      <c r="AA910" t="s">
        <v>588</v>
      </c>
      <c r="AB910" t="s">
        <v>506</v>
      </c>
      <c r="AC910" t="s">
        <v>507</v>
      </c>
      <c r="AD910" t="s">
        <v>508</v>
      </c>
      <c r="AE910" t="s">
        <v>509</v>
      </c>
      <c r="AF910" t="s">
        <v>589</v>
      </c>
      <c r="AG910" s="115">
        <f>+VLOOKUP(Y910,B:O,11,FALSE)/1000</f>
        <v>4.5370000000000008E-2</v>
      </c>
      <c r="AI910" s="158"/>
    </row>
    <row r="911" spans="23:35">
      <c r="W911" s="4" t="s">
        <v>585</v>
      </c>
      <c r="X911" s="4" t="s">
        <v>3365</v>
      </c>
      <c r="Y911" s="4" t="str">
        <f t="shared" si="79"/>
        <v>E6360</v>
      </c>
      <c r="Z911" t="s">
        <v>587</v>
      </c>
      <c r="AA911" t="s">
        <v>588</v>
      </c>
      <c r="AB911" t="s">
        <v>506</v>
      </c>
      <c r="AC911" t="s">
        <v>507</v>
      </c>
      <c r="AD911" t="s">
        <v>508</v>
      </c>
      <c r="AE911" t="s">
        <v>509</v>
      </c>
      <c r="AF911" t="s">
        <v>589</v>
      </c>
      <c r="AG911" s="115">
        <f>+VLOOKUP(Y911,B:O,12,FALSE)/1000</f>
        <v>4.4569999999999999E-2</v>
      </c>
      <c r="AI911" s="158"/>
    </row>
    <row r="912" spans="23:35">
      <c r="W912" s="4" t="s">
        <v>585</v>
      </c>
      <c r="X912" s="4" t="s">
        <v>3366</v>
      </c>
      <c r="Y912" s="4" t="str">
        <f t="shared" si="79"/>
        <v>E6360</v>
      </c>
      <c r="Z912" t="s">
        <v>587</v>
      </c>
      <c r="AA912" t="s">
        <v>588</v>
      </c>
      <c r="AB912" t="s">
        <v>506</v>
      </c>
      <c r="AC912" t="s">
        <v>507</v>
      </c>
      <c r="AD912" t="s">
        <v>508</v>
      </c>
      <c r="AE912" t="s">
        <v>509</v>
      </c>
      <c r="AF912" t="s">
        <v>589</v>
      </c>
      <c r="AG912" s="115">
        <f>+VLOOKUP(Y912,B:O,13,FALSE)/1000</f>
        <v>6.336E-2</v>
      </c>
      <c r="AI912" s="158"/>
    </row>
    <row r="913" spans="23:35">
      <c r="W913" s="4" t="s">
        <v>585</v>
      </c>
      <c r="X913" s="4" t="s">
        <v>3367</v>
      </c>
      <c r="Y913" s="4" t="str">
        <f t="shared" si="79"/>
        <v>E6360</v>
      </c>
      <c r="Z913" t="s">
        <v>587</v>
      </c>
      <c r="AA913" t="s">
        <v>588</v>
      </c>
      <c r="AB913" t="s">
        <v>506</v>
      </c>
      <c r="AC913" t="s">
        <v>507</v>
      </c>
      <c r="AD913" t="s">
        <v>508</v>
      </c>
      <c r="AE913" t="s">
        <v>509</v>
      </c>
      <c r="AF913" t="s">
        <v>589</v>
      </c>
      <c r="AG913" s="115">
        <f>+VLOOKUP(Y913,B:O,14,FALSE)/1000</f>
        <v>7.4790000000000009E-2</v>
      </c>
      <c r="AI913" s="158"/>
    </row>
    <row r="914" spans="23:35">
      <c r="W914" s="4" t="s">
        <v>585</v>
      </c>
      <c r="X914" s="4" t="s">
        <v>3356</v>
      </c>
      <c r="Y914" s="150" t="str">
        <f>INDEX($B$3:$O$110,103,1)</f>
        <v>E6370</v>
      </c>
      <c r="Z914" t="s">
        <v>587</v>
      </c>
      <c r="AA914" t="s">
        <v>588</v>
      </c>
      <c r="AB914" t="s">
        <v>506</v>
      </c>
      <c r="AC914" t="s">
        <v>507</v>
      </c>
      <c r="AD914" t="s">
        <v>508</v>
      </c>
      <c r="AE914" t="s">
        <v>509</v>
      </c>
      <c r="AF914" t="s">
        <v>589</v>
      </c>
      <c r="AG914" s="115">
        <f>+VLOOKUP(Y914,B:O,3,FALSE)/1000</f>
        <v>8.8735044764687354E-2</v>
      </c>
    </row>
    <row r="915" spans="23:35">
      <c r="W915" s="4" t="s">
        <v>585</v>
      </c>
      <c r="X915" s="4" t="s">
        <v>3357</v>
      </c>
      <c r="Y915" s="4" t="str">
        <f>Y914</f>
        <v>E6370</v>
      </c>
      <c r="Z915" t="s">
        <v>587</v>
      </c>
      <c r="AA915" t="s">
        <v>588</v>
      </c>
      <c r="AB915" t="s">
        <v>506</v>
      </c>
      <c r="AC915" t="s">
        <v>507</v>
      </c>
      <c r="AD915" t="s">
        <v>508</v>
      </c>
      <c r="AE915" t="s">
        <v>509</v>
      </c>
      <c r="AF915" t="s">
        <v>589</v>
      </c>
      <c r="AG915" s="115">
        <f>+VLOOKUP(Y915,B:O,4,FALSE)/1000</f>
        <v>8.8735044764687354E-2</v>
      </c>
    </row>
    <row r="916" spans="23:35">
      <c r="W916" s="4" t="s">
        <v>585</v>
      </c>
      <c r="X916" s="4" t="s">
        <v>3358</v>
      </c>
      <c r="Y916" s="4" t="str">
        <f t="shared" ref="Y916:Y925" si="80">Y915</f>
        <v>E6370</v>
      </c>
      <c r="Z916" t="s">
        <v>587</v>
      </c>
      <c r="AA916" t="s">
        <v>588</v>
      </c>
      <c r="AB916" t="s">
        <v>506</v>
      </c>
      <c r="AC916" t="s">
        <v>507</v>
      </c>
      <c r="AD916" t="s">
        <v>508</v>
      </c>
      <c r="AE916" t="s">
        <v>509</v>
      </c>
      <c r="AF916" t="s">
        <v>589</v>
      </c>
      <c r="AG916" s="115">
        <f>+VLOOKUP(Y916,B:O,5,FALSE)/1000</f>
        <v>8.8735044764687354E-2</v>
      </c>
    </row>
    <row r="917" spans="23:35">
      <c r="W917" s="4" t="s">
        <v>585</v>
      </c>
      <c r="X917" s="4" t="s">
        <v>3359</v>
      </c>
      <c r="Y917" s="4" t="str">
        <f t="shared" si="80"/>
        <v>E6370</v>
      </c>
      <c r="Z917" t="s">
        <v>587</v>
      </c>
      <c r="AA917" t="s">
        <v>588</v>
      </c>
      <c r="AB917" t="s">
        <v>506</v>
      </c>
      <c r="AC917" t="s">
        <v>507</v>
      </c>
      <c r="AD917" t="s">
        <v>508</v>
      </c>
      <c r="AE917" t="s">
        <v>509</v>
      </c>
      <c r="AF917" t="s">
        <v>589</v>
      </c>
      <c r="AG917" s="115">
        <f>+VLOOKUP(Y917,B:O,6,FALSE)/1000</f>
        <v>8.8735044764687354E-2</v>
      </c>
    </row>
    <row r="918" spans="23:35">
      <c r="W918" s="4" t="s">
        <v>585</v>
      </c>
      <c r="X918" s="4" t="s">
        <v>3360</v>
      </c>
      <c r="Y918" s="4" t="str">
        <f t="shared" si="80"/>
        <v>E6370</v>
      </c>
      <c r="Z918" t="s">
        <v>587</v>
      </c>
      <c r="AA918" t="s">
        <v>588</v>
      </c>
      <c r="AB918" t="s">
        <v>506</v>
      </c>
      <c r="AC918" t="s">
        <v>507</v>
      </c>
      <c r="AD918" t="s">
        <v>508</v>
      </c>
      <c r="AE918" t="s">
        <v>509</v>
      </c>
      <c r="AF918" t="s">
        <v>589</v>
      </c>
      <c r="AG918" s="115">
        <f>+VLOOKUP(Y918,B:O,7,FALSE)/1000</f>
        <v>8.8735044764687354E-2</v>
      </c>
    </row>
    <row r="919" spans="23:35">
      <c r="W919" s="4" t="s">
        <v>585</v>
      </c>
      <c r="X919" s="4" t="s">
        <v>3361</v>
      </c>
      <c r="Y919" s="4" t="str">
        <f t="shared" si="80"/>
        <v>E6370</v>
      </c>
      <c r="Z919" t="s">
        <v>587</v>
      </c>
      <c r="AA919" t="s">
        <v>588</v>
      </c>
      <c r="AB919" t="s">
        <v>506</v>
      </c>
      <c r="AC919" t="s">
        <v>507</v>
      </c>
      <c r="AD919" t="s">
        <v>508</v>
      </c>
      <c r="AE919" t="s">
        <v>509</v>
      </c>
      <c r="AF919" t="s">
        <v>589</v>
      </c>
      <c r="AG919" s="115">
        <f>+VLOOKUP(Y919,B:O,8,FALSE)/1000</f>
        <v>8.8735044764687354E-2</v>
      </c>
    </row>
    <row r="920" spans="23:35">
      <c r="W920" s="4" t="s">
        <v>585</v>
      </c>
      <c r="X920" s="4" t="s">
        <v>3362</v>
      </c>
      <c r="Y920" s="4" t="str">
        <f t="shared" si="80"/>
        <v>E6370</v>
      </c>
      <c r="Z920" t="s">
        <v>587</v>
      </c>
      <c r="AA920" t="s">
        <v>588</v>
      </c>
      <c r="AB920" t="s">
        <v>506</v>
      </c>
      <c r="AC920" t="s">
        <v>507</v>
      </c>
      <c r="AD920" t="s">
        <v>508</v>
      </c>
      <c r="AE920" t="s">
        <v>509</v>
      </c>
      <c r="AF920" t="s">
        <v>589</v>
      </c>
      <c r="AG920" s="115">
        <f>+VLOOKUP(Y920,B:O,9,FALSE)/1000</f>
        <v>8.8735044764687354E-2</v>
      </c>
    </row>
    <row r="921" spans="23:35">
      <c r="W921" s="4" t="s">
        <v>585</v>
      </c>
      <c r="X921" s="4" t="s">
        <v>3363</v>
      </c>
      <c r="Y921" s="4" t="str">
        <f t="shared" si="80"/>
        <v>E6370</v>
      </c>
      <c r="Z921" t="s">
        <v>587</v>
      </c>
      <c r="AA921" t="s">
        <v>588</v>
      </c>
      <c r="AB921" t="s">
        <v>506</v>
      </c>
      <c r="AC921" t="s">
        <v>507</v>
      </c>
      <c r="AD921" t="s">
        <v>508</v>
      </c>
      <c r="AE921" t="s">
        <v>509</v>
      </c>
      <c r="AF921" t="s">
        <v>589</v>
      </c>
      <c r="AG921" s="115">
        <f>+VLOOKUP(Y921,B:O,10,FALSE)/1000</f>
        <v>8.8735044764687354E-2</v>
      </c>
    </row>
    <row r="922" spans="23:35">
      <c r="W922" s="4" t="s">
        <v>585</v>
      </c>
      <c r="X922" s="4" t="s">
        <v>3364</v>
      </c>
      <c r="Y922" s="4" t="str">
        <f t="shared" si="80"/>
        <v>E6370</v>
      </c>
      <c r="Z922" t="s">
        <v>587</v>
      </c>
      <c r="AA922" t="s">
        <v>588</v>
      </c>
      <c r="AB922" t="s">
        <v>506</v>
      </c>
      <c r="AC922" t="s">
        <v>507</v>
      </c>
      <c r="AD922" t="s">
        <v>508</v>
      </c>
      <c r="AE922" t="s">
        <v>509</v>
      </c>
      <c r="AF922" t="s">
        <v>589</v>
      </c>
      <c r="AG922" s="115">
        <f>+VLOOKUP(Y922,B:O,11,FALSE)/1000</f>
        <v>8.8735044764687354E-2</v>
      </c>
    </row>
    <row r="923" spans="23:35">
      <c r="W923" s="4" t="s">
        <v>585</v>
      </c>
      <c r="X923" s="4" t="s">
        <v>3365</v>
      </c>
      <c r="Y923" s="4" t="str">
        <f t="shared" si="80"/>
        <v>E6370</v>
      </c>
      <c r="Z923" t="s">
        <v>587</v>
      </c>
      <c r="AA923" t="s">
        <v>588</v>
      </c>
      <c r="AB923" t="s">
        <v>506</v>
      </c>
      <c r="AC923" t="s">
        <v>507</v>
      </c>
      <c r="AD923" t="s">
        <v>508</v>
      </c>
      <c r="AE923" t="s">
        <v>509</v>
      </c>
      <c r="AF923" t="s">
        <v>589</v>
      </c>
      <c r="AG923" s="115">
        <f>+VLOOKUP(Y923,B:O,12,FALSE)/1000</f>
        <v>8.8735044764687354E-2</v>
      </c>
    </row>
    <row r="924" spans="23:35">
      <c r="W924" s="4" t="s">
        <v>585</v>
      </c>
      <c r="X924" s="4" t="s">
        <v>3366</v>
      </c>
      <c r="Y924" s="4" t="str">
        <f t="shared" si="80"/>
        <v>E6370</v>
      </c>
      <c r="Z924" t="s">
        <v>587</v>
      </c>
      <c r="AA924" t="s">
        <v>588</v>
      </c>
      <c r="AB924" t="s">
        <v>506</v>
      </c>
      <c r="AC924" t="s">
        <v>507</v>
      </c>
      <c r="AD924" t="s">
        <v>508</v>
      </c>
      <c r="AE924" t="s">
        <v>509</v>
      </c>
      <c r="AF924" t="s">
        <v>589</v>
      </c>
      <c r="AG924" s="115">
        <f>+VLOOKUP(Y924,B:O,13,FALSE)/1000</f>
        <v>9.0775950794275168E-2</v>
      </c>
    </row>
    <row r="925" spans="23:35">
      <c r="W925" s="4" t="s">
        <v>585</v>
      </c>
      <c r="X925" s="4" t="s">
        <v>3367</v>
      </c>
      <c r="Y925" s="4" t="str">
        <f t="shared" si="80"/>
        <v>E6370</v>
      </c>
      <c r="Z925" t="s">
        <v>587</v>
      </c>
      <c r="AA925" t="s">
        <v>588</v>
      </c>
      <c r="AB925" t="s">
        <v>506</v>
      </c>
      <c r="AC925" t="s">
        <v>507</v>
      </c>
      <c r="AD925" t="s">
        <v>508</v>
      </c>
      <c r="AE925" t="s">
        <v>509</v>
      </c>
      <c r="AF925" t="s">
        <v>589</v>
      </c>
      <c r="AG925" s="115">
        <f>+VLOOKUP(Y925,B:O,14,FALSE)/1000</f>
        <v>9.0775950794275168E-2</v>
      </c>
    </row>
    <row r="926" spans="23:35">
      <c r="W926" s="4" t="s">
        <v>585</v>
      </c>
      <c r="X926" s="4" t="s">
        <v>3356</v>
      </c>
      <c r="Y926" s="150" t="str">
        <f>INDEX($B$3:$O$110,104,1)</f>
        <v>E6720</v>
      </c>
      <c r="Z926" t="s">
        <v>587</v>
      </c>
      <c r="AA926" t="s">
        <v>588</v>
      </c>
      <c r="AB926" t="s">
        <v>506</v>
      </c>
      <c r="AC926" t="s">
        <v>507</v>
      </c>
      <c r="AD926" t="s">
        <v>508</v>
      </c>
      <c r="AE926" t="s">
        <v>509</v>
      </c>
      <c r="AF926" t="s">
        <v>589</v>
      </c>
      <c r="AG926" s="115">
        <f>+VLOOKUP(Y926,B:O,3,FALSE)/1000</f>
        <v>6.6599999999999993E-2</v>
      </c>
    </row>
    <row r="927" spans="23:35">
      <c r="W927" s="4" t="s">
        <v>585</v>
      </c>
      <c r="X927" s="4" t="s">
        <v>3357</v>
      </c>
      <c r="Y927" s="4" t="str">
        <f>Y926</f>
        <v>E6720</v>
      </c>
      <c r="Z927" t="s">
        <v>587</v>
      </c>
      <c r="AA927" t="s">
        <v>588</v>
      </c>
      <c r="AB927" t="s">
        <v>506</v>
      </c>
      <c r="AC927" t="s">
        <v>507</v>
      </c>
      <c r="AD927" t="s">
        <v>508</v>
      </c>
      <c r="AE927" t="s">
        <v>509</v>
      </c>
      <c r="AF927" t="s">
        <v>589</v>
      </c>
      <c r="AG927" s="115">
        <f>+VLOOKUP(Y927,B:O,4,FALSE)/1000</f>
        <v>7.1459999999999996E-2</v>
      </c>
    </row>
    <row r="928" spans="23:35">
      <c r="W928" s="4" t="s">
        <v>585</v>
      </c>
      <c r="X928" s="4" t="s">
        <v>3358</v>
      </c>
      <c r="Y928" s="4" t="str">
        <f t="shared" ref="Y928:Y937" si="81">Y927</f>
        <v>E6720</v>
      </c>
      <c r="Z928" t="s">
        <v>587</v>
      </c>
      <c r="AA928" t="s">
        <v>588</v>
      </c>
      <c r="AB928" t="s">
        <v>506</v>
      </c>
      <c r="AC928" t="s">
        <v>507</v>
      </c>
      <c r="AD928" t="s">
        <v>508</v>
      </c>
      <c r="AE928" t="s">
        <v>509</v>
      </c>
      <c r="AF928" t="s">
        <v>589</v>
      </c>
      <c r="AG928" s="115">
        <f>+VLOOKUP(Y928,B:O,5,FALSE)/1000</f>
        <v>6.4640000000000003E-2</v>
      </c>
    </row>
    <row r="929" spans="23:34">
      <c r="W929" s="4" t="s">
        <v>585</v>
      </c>
      <c r="X929" s="4" t="s">
        <v>3359</v>
      </c>
      <c r="Y929" s="4" t="str">
        <f t="shared" si="81"/>
        <v>E6720</v>
      </c>
      <c r="Z929" t="s">
        <v>587</v>
      </c>
      <c r="AA929" t="s">
        <v>588</v>
      </c>
      <c r="AB929" t="s">
        <v>506</v>
      </c>
      <c r="AC929" t="s">
        <v>507</v>
      </c>
      <c r="AD929" t="s">
        <v>508</v>
      </c>
      <c r="AE929" t="s">
        <v>509</v>
      </c>
      <c r="AF929" t="s">
        <v>589</v>
      </c>
      <c r="AG929" s="115">
        <f>+VLOOKUP(Y929,B:O,6,FALSE)/1000</f>
        <v>5.2999999999999999E-2</v>
      </c>
    </row>
    <row r="930" spans="23:34">
      <c r="W930" s="4" t="s">
        <v>585</v>
      </c>
      <c r="X930" s="4" t="s">
        <v>3360</v>
      </c>
      <c r="Y930" s="4" t="str">
        <f t="shared" si="81"/>
        <v>E6720</v>
      </c>
      <c r="Z930" t="s">
        <v>587</v>
      </c>
      <c r="AA930" t="s">
        <v>588</v>
      </c>
      <c r="AB930" t="s">
        <v>506</v>
      </c>
      <c r="AC930" t="s">
        <v>507</v>
      </c>
      <c r="AD930" t="s">
        <v>508</v>
      </c>
      <c r="AE930" t="s">
        <v>509</v>
      </c>
      <c r="AF930" t="s">
        <v>589</v>
      </c>
      <c r="AG930" s="115">
        <f>+VLOOKUP(Y930,B:O,7,FALSE)/1000</f>
        <v>4.5630000000000004E-2</v>
      </c>
    </row>
    <row r="931" spans="23:34">
      <c r="W931" s="4" t="s">
        <v>585</v>
      </c>
      <c r="X931" s="4" t="s">
        <v>3361</v>
      </c>
      <c r="Y931" s="4" t="str">
        <f t="shared" si="81"/>
        <v>E6720</v>
      </c>
      <c r="Z931" t="s">
        <v>587</v>
      </c>
      <c r="AA931" t="s">
        <v>588</v>
      </c>
      <c r="AB931" t="s">
        <v>506</v>
      </c>
      <c r="AC931" t="s">
        <v>507</v>
      </c>
      <c r="AD931" t="s">
        <v>508</v>
      </c>
      <c r="AE931" t="s">
        <v>509</v>
      </c>
      <c r="AF931" t="s">
        <v>589</v>
      </c>
      <c r="AG931" s="115">
        <f>+VLOOKUP(Y931,B:O,8,FALSE)/1000</f>
        <v>4.9500000000000002E-2</v>
      </c>
    </row>
    <row r="932" spans="23:34">
      <c r="W932" s="4" t="s">
        <v>585</v>
      </c>
      <c r="X932" s="4" t="s">
        <v>3362</v>
      </c>
      <c r="Y932" s="4" t="str">
        <f t="shared" si="81"/>
        <v>E6720</v>
      </c>
      <c r="Z932" t="s">
        <v>587</v>
      </c>
      <c r="AA932" t="s">
        <v>588</v>
      </c>
      <c r="AB932" t="s">
        <v>506</v>
      </c>
      <c r="AC932" t="s">
        <v>507</v>
      </c>
      <c r="AD932" t="s">
        <v>508</v>
      </c>
      <c r="AE932" t="s">
        <v>509</v>
      </c>
      <c r="AF932" t="s">
        <v>589</v>
      </c>
      <c r="AG932" s="115">
        <f>+VLOOKUP(Y932,B:O,9,FALSE)/1000</f>
        <v>5.0369999999999998E-2</v>
      </c>
    </row>
    <row r="933" spans="23:34">
      <c r="W933" s="4" t="s">
        <v>585</v>
      </c>
      <c r="X933" s="4" t="s">
        <v>3363</v>
      </c>
      <c r="Y933" s="4" t="str">
        <f t="shared" si="81"/>
        <v>E6720</v>
      </c>
      <c r="Z933" t="s">
        <v>587</v>
      </c>
      <c r="AA933" t="s">
        <v>588</v>
      </c>
      <c r="AB933" t="s">
        <v>506</v>
      </c>
      <c r="AC933" t="s">
        <v>507</v>
      </c>
      <c r="AD933" t="s">
        <v>508</v>
      </c>
      <c r="AE933" t="s">
        <v>509</v>
      </c>
      <c r="AF933" t="s">
        <v>589</v>
      </c>
      <c r="AG933" s="115">
        <f>+VLOOKUP(Y933,B:O,10,FALSE)/1000</f>
        <v>4.5229999999999999E-2</v>
      </c>
    </row>
    <row r="934" spans="23:34">
      <c r="W934" s="4" t="s">
        <v>585</v>
      </c>
      <c r="X934" s="4" t="s">
        <v>3364</v>
      </c>
      <c r="Y934" s="4" t="str">
        <f t="shared" si="81"/>
        <v>E6720</v>
      </c>
      <c r="Z934" t="s">
        <v>587</v>
      </c>
      <c r="AA934" t="s">
        <v>588</v>
      </c>
      <c r="AB934" t="s">
        <v>506</v>
      </c>
      <c r="AC934" t="s">
        <v>507</v>
      </c>
      <c r="AD934" t="s">
        <v>508</v>
      </c>
      <c r="AE934" t="s">
        <v>509</v>
      </c>
      <c r="AF934" t="s">
        <v>589</v>
      </c>
      <c r="AG934" s="115">
        <f>+VLOOKUP(Y934,B:O,11,FALSE)/1000</f>
        <v>4.3049999999999998E-2</v>
      </c>
    </row>
    <row r="935" spans="23:34">
      <c r="W935" s="4" t="s">
        <v>585</v>
      </c>
      <c r="X935" s="4" t="s">
        <v>3365</v>
      </c>
      <c r="Y935" s="4" t="str">
        <f t="shared" si="81"/>
        <v>E6720</v>
      </c>
      <c r="Z935" t="s">
        <v>587</v>
      </c>
      <c r="AA935" t="s">
        <v>588</v>
      </c>
      <c r="AB935" t="s">
        <v>506</v>
      </c>
      <c r="AC935" t="s">
        <v>507</v>
      </c>
      <c r="AD935" t="s">
        <v>508</v>
      </c>
      <c r="AE935" t="s">
        <v>509</v>
      </c>
      <c r="AF935" t="s">
        <v>589</v>
      </c>
      <c r="AG935" s="115">
        <f>+VLOOKUP(Y935,B:O,12,FALSE)/1000</f>
        <v>4.36E-2</v>
      </c>
    </row>
    <row r="936" spans="23:34">
      <c r="W936" s="4" t="s">
        <v>585</v>
      </c>
      <c r="X936" s="4" t="s">
        <v>3366</v>
      </c>
      <c r="Y936" s="4" t="str">
        <f t="shared" si="81"/>
        <v>E6720</v>
      </c>
      <c r="Z936" t="s">
        <v>587</v>
      </c>
      <c r="AA936" t="s">
        <v>588</v>
      </c>
      <c r="AB936" t="s">
        <v>506</v>
      </c>
      <c r="AC936" t="s">
        <v>507</v>
      </c>
      <c r="AD936" t="s">
        <v>508</v>
      </c>
      <c r="AE936" t="s">
        <v>509</v>
      </c>
      <c r="AF936" t="s">
        <v>589</v>
      </c>
      <c r="AG936" s="115">
        <f>+VLOOKUP(Y936,B:O,13,FALSE)/1000</f>
        <v>5.3499999999999999E-2</v>
      </c>
    </row>
    <row r="937" spans="23:34">
      <c r="W937" s="4" t="s">
        <v>585</v>
      </c>
      <c r="X937" s="4" t="s">
        <v>3367</v>
      </c>
      <c r="Y937" s="4" t="str">
        <f t="shared" si="81"/>
        <v>E6720</v>
      </c>
      <c r="Z937" t="s">
        <v>587</v>
      </c>
      <c r="AA937" t="s">
        <v>588</v>
      </c>
      <c r="AB937" t="s">
        <v>506</v>
      </c>
      <c r="AC937" t="s">
        <v>507</v>
      </c>
      <c r="AD937" t="s">
        <v>508</v>
      </c>
      <c r="AE937" t="s">
        <v>509</v>
      </c>
      <c r="AF937" t="s">
        <v>589</v>
      </c>
      <c r="AG937" s="115">
        <f>+VLOOKUP(Y937,B:O,14,FALSE)/1000</f>
        <v>6.0069999999999998E-2</v>
      </c>
    </row>
    <row r="938" spans="23:34">
      <c r="W938" s="4" t="s">
        <v>585</v>
      </c>
      <c r="X938" s="4" t="s">
        <v>3356</v>
      </c>
      <c r="Y938" s="150" t="str">
        <f>INDEX($B$3:$O$110,105,1)</f>
        <v>E6730</v>
      </c>
      <c r="Z938" t="s">
        <v>587</v>
      </c>
      <c r="AA938" t="s">
        <v>588</v>
      </c>
      <c r="AB938" t="s">
        <v>506</v>
      </c>
      <c r="AC938" t="s">
        <v>507</v>
      </c>
      <c r="AD938" t="s">
        <v>508</v>
      </c>
      <c r="AE938" t="s">
        <v>509</v>
      </c>
      <c r="AF938" t="s">
        <v>589</v>
      </c>
      <c r="AG938" s="743">
        <v>0</v>
      </c>
      <c r="AH938" t="s">
        <v>3541</v>
      </c>
    </row>
    <row r="939" spans="23:34">
      <c r="W939" s="4" t="s">
        <v>585</v>
      </c>
      <c r="X939" s="4" t="s">
        <v>3357</v>
      </c>
      <c r="Y939" s="4" t="str">
        <f>Y938</f>
        <v>E6730</v>
      </c>
      <c r="Z939" t="s">
        <v>587</v>
      </c>
      <c r="AA939" t="s">
        <v>588</v>
      </c>
      <c r="AB939" t="s">
        <v>506</v>
      </c>
      <c r="AC939" t="s">
        <v>507</v>
      </c>
      <c r="AD939" t="s">
        <v>508</v>
      </c>
      <c r="AE939" t="s">
        <v>509</v>
      </c>
      <c r="AF939" t="s">
        <v>589</v>
      </c>
      <c r="AG939" s="743">
        <v>0</v>
      </c>
      <c r="AH939" t="s">
        <v>3541</v>
      </c>
    </row>
    <row r="940" spans="23:34">
      <c r="W940" s="4" t="s">
        <v>585</v>
      </c>
      <c r="X940" s="4" t="s">
        <v>3358</v>
      </c>
      <c r="Y940" s="4" t="str">
        <f t="shared" ref="Y940:Y949" si="82">Y939</f>
        <v>E6730</v>
      </c>
      <c r="Z940" t="s">
        <v>587</v>
      </c>
      <c r="AA940" t="s">
        <v>588</v>
      </c>
      <c r="AB940" t="s">
        <v>506</v>
      </c>
      <c r="AC940" t="s">
        <v>507</v>
      </c>
      <c r="AD940" t="s">
        <v>508</v>
      </c>
      <c r="AE940" t="s">
        <v>509</v>
      </c>
      <c r="AF940" t="s">
        <v>589</v>
      </c>
      <c r="AG940" s="743">
        <v>0</v>
      </c>
      <c r="AH940" t="s">
        <v>3541</v>
      </c>
    </row>
    <row r="941" spans="23:34">
      <c r="W941" s="4" t="s">
        <v>585</v>
      </c>
      <c r="X941" s="4" t="s">
        <v>3359</v>
      </c>
      <c r="Y941" s="4" t="str">
        <f t="shared" si="82"/>
        <v>E6730</v>
      </c>
      <c r="Z941" t="s">
        <v>587</v>
      </c>
      <c r="AA941" t="s">
        <v>588</v>
      </c>
      <c r="AB941" t="s">
        <v>506</v>
      </c>
      <c r="AC941" t="s">
        <v>507</v>
      </c>
      <c r="AD941" t="s">
        <v>508</v>
      </c>
      <c r="AE941" t="s">
        <v>509</v>
      </c>
      <c r="AF941" t="s">
        <v>589</v>
      </c>
      <c r="AG941" s="743">
        <v>0</v>
      </c>
      <c r="AH941" t="s">
        <v>3541</v>
      </c>
    </row>
    <row r="942" spans="23:34">
      <c r="W942" s="4" t="s">
        <v>585</v>
      </c>
      <c r="X942" s="4" t="s">
        <v>3360</v>
      </c>
      <c r="Y942" s="4" t="str">
        <f t="shared" si="82"/>
        <v>E6730</v>
      </c>
      <c r="Z942" t="s">
        <v>587</v>
      </c>
      <c r="AA942" t="s">
        <v>588</v>
      </c>
      <c r="AB942" t="s">
        <v>506</v>
      </c>
      <c r="AC942" t="s">
        <v>507</v>
      </c>
      <c r="AD942" t="s">
        <v>508</v>
      </c>
      <c r="AE942" t="s">
        <v>509</v>
      </c>
      <c r="AF942" t="s">
        <v>589</v>
      </c>
      <c r="AG942" s="743">
        <v>0</v>
      </c>
      <c r="AH942" t="s">
        <v>3541</v>
      </c>
    </row>
    <row r="943" spans="23:34">
      <c r="W943" s="4" t="s">
        <v>585</v>
      </c>
      <c r="X943" s="4" t="s">
        <v>3361</v>
      </c>
      <c r="Y943" s="4" t="str">
        <f t="shared" si="82"/>
        <v>E6730</v>
      </c>
      <c r="Z943" t="s">
        <v>587</v>
      </c>
      <c r="AA943" t="s">
        <v>588</v>
      </c>
      <c r="AB943" t="s">
        <v>506</v>
      </c>
      <c r="AC943" t="s">
        <v>507</v>
      </c>
      <c r="AD943" t="s">
        <v>508</v>
      </c>
      <c r="AE943" t="s">
        <v>509</v>
      </c>
      <c r="AF943" t="s">
        <v>589</v>
      </c>
      <c r="AG943" s="743">
        <v>0</v>
      </c>
      <c r="AH943" t="s">
        <v>3541</v>
      </c>
    </row>
    <row r="944" spans="23:34">
      <c r="W944" s="4" t="s">
        <v>585</v>
      </c>
      <c r="X944" s="4" t="s">
        <v>3362</v>
      </c>
      <c r="Y944" s="4" t="str">
        <f t="shared" si="82"/>
        <v>E6730</v>
      </c>
      <c r="Z944" t="s">
        <v>587</v>
      </c>
      <c r="AA944" t="s">
        <v>588</v>
      </c>
      <c r="AB944" t="s">
        <v>506</v>
      </c>
      <c r="AC944" t="s">
        <v>507</v>
      </c>
      <c r="AD944" t="s">
        <v>508</v>
      </c>
      <c r="AE944" t="s">
        <v>509</v>
      </c>
      <c r="AF944" t="s">
        <v>589</v>
      </c>
      <c r="AG944" s="743">
        <v>0</v>
      </c>
      <c r="AH944" t="s">
        <v>3541</v>
      </c>
    </row>
    <row r="945" spans="23:34">
      <c r="W945" s="4" t="s">
        <v>585</v>
      </c>
      <c r="X945" s="4" t="s">
        <v>3363</v>
      </c>
      <c r="Y945" s="4" t="str">
        <f t="shared" si="82"/>
        <v>E6730</v>
      </c>
      <c r="Z945" t="s">
        <v>587</v>
      </c>
      <c r="AA945" t="s">
        <v>588</v>
      </c>
      <c r="AB945" t="s">
        <v>506</v>
      </c>
      <c r="AC945" t="s">
        <v>507</v>
      </c>
      <c r="AD945" t="s">
        <v>508</v>
      </c>
      <c r="AE945" t="s">
        <v>509</v>
      </c>
      <c r="AF945" t="s">
        <v>589</v>
      </c>
      <c r="AG945" s="115">
        <f>+VLOOKUP(Y945,B:O,10,FALSE)/1000</f>
        <v>4.8030000000000003E-2</v>
      </c>
    </row>
    <row r="946" spans="23:34">
      <c r="W946" s="4" t="s">
        <v>585</v>
      </c>
      <c r="X946" s="4" t="s">
        <v>3364</v>
      </c>
      <c r="Y946" s="4" t="str">
        <f t="shared" si="82"/>
        <v>E6730</v>
      </c>
      <c r="Z946" t="s">
        <v>587</v>
      </c>
      <c r="AA946" t="s">
        <v>588</v>
      </c>
      <c r="AB946" t="s">
        <v>506</v>
      </c>
      <c r="AC946" t="s">
        <v>507</v>
      </c>
      <c r="AD946" t="s">
        <v>508</v>
      </c>
      <c r="AE946" t="s">
        <v>509</v>
      </c>
      <c r="AF946" t="s">
        <v>589</v>
      </c>
      <c r="AG946" s="115">
        <f>+VLOOKUP(Y946,B:O,11,FALSE)/1000</f>
        <v>4.5910000000000006E-2</v>
      </c>
    </row>
    <row r="947" spans="23:34">
      <c r="W947" s="4" t="s">
        <v>585</v>
      </c>
      <c r="X947" s="4" t="s">
        <v>3365</v>
      </c>
      <c r="Y947" s="4" t="str">
        <f t="shared" si="82"/>
        <v>E6730</v>
      </c>
      <c r="Z947" t="s">
        <v>587</v>
      </c>
      <c r="AA947" t="s">
        <v>588</v>
      </c>
      <c r="AB947" t="s">
        <v>506</v>
      </c>
      <c r="AC947" t="s">
        <v>507</v>
      </c>
      <c r="AD947" t="s">
        <v>508</v>
      </c>
      <c r="AE947" t="s">
        <v>509</v>
      </c>
      <c r="AF947" t="s">
        <v>589</v>
      </c>
      <c r="AG947" s="115">
        <f>+VLOOKUP(Y947,B:O,12,FALSE)/1000</f>
        <v>4.5109999999999997E-2</v>
      </c>
    </row>
    <row r="948" spans="23:34">
      <c r="W948" s="4" t="s">
        <v>585</v>
      </c>
      <c r="X948" s="4" t="s">
        <v>3366</v>
      </c>
      <c r="Y948" s="4" t="str">
        <f t="shared" si="82"/>
        <v>E6730</v>
      </c>
      <c r="Z948" t="s">
        <v>587</v>
      </c>
      <c r="AA948" t="s">
        <v>588</v>
      </c>
      <c r="AB948" t="s">
        <v>506</v>
      </c>
      <c r="AC948" t="s">
        <v>507</v>
      </c>
      <c r="AD948" t="s">
        <v>508</v>
      </c>
      <c r="AE948" t="s">
        <v>509</v>
      </c>
      <c r="AF948" t="s">
        <v>589</v>
      </c>
      <c r="AG948" s="115">
        <f>+VLOOKUP(Y948,B:O,13,FALSE)/1000</f>
        <v>6.3899999999999998E-2</v>
      </c>
    </row>
    <row r="949" spans="23:34">
      <c r="W949" s="4" t="s">
        <v>585</v>
      </c>
      <c r="X949" s="4" t="s">
        <v>3367</v>
      </c>
      <c r="Y949" s="4" t="str">
        <f t="shared" si="82"/>
        <v>E6730</v>
      </c>
      <c r="Z949" t="s">
        <v>587</v>
      </c>
      <c r="AA949" t="s">
        <v>588</v>
      </c>
      <c r="AB949" t="s">
        <v>506</v>
      </c>
      <c r="AC949" t="s">
        <v>507</v>
      </c>
      <c r="AD949" t="s">
        <v>508</v>
      </c>
      <c r="AE949" t="s">
        <v>509</v>
      </c>
      <c r="AF949" t="s">
        <v>589</v>
      </c>
      <c r="AG949" s="115">
        <f>+VLOOKUP(Y949,B:O,14,FALSE)/1000</f>
        <v>7.5329999999999994E-2</v>
      </c>
    </row>
    <row r="950" spans="23:34">
      <c r="W950" s="4" t="s">
        <v>585</v>
      </c>
      <c r="X950" s="4" t="s">
        <v>3356</v>
      </c>
      <c r="Y950" s="150" t="str">
        <f>INDEX($B$3:$O$110,106,1)</f>
        <v>E6740</v>
      </c>
      <c r="Z950" t="s">
        <v>587</v>
      </c>
      <c r="AA950" t="s">
        <v>588</v>
      </c>
      <c r="AB950" t="s">
        <v>506</v>
      </c>
      <c r="AC950" t="s">
        <v>507</v>
      </c>
      <c r="AD950" t="s">
        <v>508</v>
      </c>
      <c r="AE950" t="s">
        <v>509</v>
      </c>
      <c r="AF950" t="s">
        <v>589</v>
      </c>
      <c r="AG950" s="743">
        <v>0</v>
      </c>
      <c r="AH950" t="s">
        <v>3542</v>
      </c>
    </row>
    <row r="951" spans="23:34">
      <c r="W951" s="4" t="s">
        <v>585</v>
      </c>
      <c r="X951" s="4" t="s">
        <v>3357</v>
      </c>
      <c r="Y951" s="4" t="str">
        <f>Y950</f>
        <v>E6740</v>
      </c>
      <c r="Z951" t="s">
        <v>587</v>
      </c>
      <c r="AA951" t="s">
        <v>588</v>
      </c>
      <c r="AB951" t="s">
        <v>506</v>
      </c>
      <c r="AC951" t="s">
        <v>507</v>
      </c>
      <c r="AD951" t="s">
        <v>508</v>
      </c>
      <c r="AE951" t="s">
        <v>509</v>
      </c>
      <c r="AF951" t="s">
        <v>589</v>
      </c>
      <c r="AG951" s="743">
        <v>0</v>
      </c>
      <c r="AH951" t="s">
        <v>3542</v>
      </c>
    </row>
    <row r="952" spans="23:34">
      <c r="W952" s="4" t="s">
        <v>585</v>
      </c>
      <c r="X952" s="4" t="s">
        <v>3358</v>
      </c>
      <c r="Y952" s="4" t="str">
        <f t="shared" ref="Y952:Y961" si="83">Y951</f>
        <v>E6740</v>
      </c>
      <c r="Z952" t="s">
        <v>587</v>
      </c>
      <c r="AA952" t="s">
        <v>588</v>
      </c>
      <c r="AB952" t="s">
        <v>506</v>
      </c>
      <c r="AC952" t="s">
        <v>507</v>
      </c>
      <c r="AD952" t="s">
        <v>508</v>
      </c>
      <c r="AE952" t="s">
        <v>509</v>
      </c>
      <c r="AF952" t="s">
        <v>589</v>
      </c>
      <c r="AG952" s="743">
        <v>0</v>
      </c>
      <c r="AH952" t="s">
        <v>3542</v>
      </c>
    </row>
    <row r="953" spans="23:34">
      <c r="W953" s="4" t="s">
        <v>585</v>
      </c>
      <c r="X953" s="4" t="s">
        <v>3359</v>
      </c>
      <c r="Y953" s="4" t="str">
        <f t="shared" si="83"/>
        <v>E6740</v>
      </c>
      <c r="Z953" t="s">
        <v>587</v>
      </c>
      <c r="AA953" t="s">
        <v>588</v>
      </c>
      <c r="AB953" t="s">
        <v>506</v>
      </c>
      <c r="AC953" t="s">
        <v>507</v>
      </c>
      <c r="AD953" t="s">
        <v>508</v>
      </c>
      <c r="AE953" t="s">
        <v>509</v>
      </c>
      <c r="AF953" t="s">
        <v>589</v>
      </c>
      <c r="AG953" s="743">
        <v>0</v>
      </c>
      <c r="AH953" t="s">
        <v>3542</v>
      </c>
    </row>
    <row r="954" spans="23:34">
      <c r="W954" s="4" t="s">
        <v>585</v>
      </c>
      <c r="X954" s="4" t="s">
        <v>3360</v>
      </c>
      <c r="Y954" s="4" t="str">
        <f t="shared" si="83"/>
        <v>E6740</v>
      </c>
      <c r="Z954" t="s">
        <v>587</v>
      </c>
      <c r="AA954" t="s">
        <v>588</v>
      </c>
      <c r="AB954" t="s">
        <v>506</v>
      </c>
      <c r="AC954" t="s">
        <v>507</v>
      </c>
      <c r="AD954" t="s">
        <v>508</v>
      </c>
      <c r="AE954" t="s">
        <v>509</v>
      </c>
      <c r="AF954" t="s">
        <v>589</v>
      </c>
      <c r="AG954" s="743">
        <v>0</v>
      </c>
      <c r="AH954" t="s">
        <v>3542</v>
      </c>
    </row>
    <row r="955" spans="23:34">
      <c r="W955" s="4" t="s">
        <v>585</v>
      </c>
      <c r="X955" s="4" t="s">
        <v>3361</v>
      </c>
      <c r="Y955" s="4" t="str">
        <f t="shared" si="83"/>
        <v>E6740</v>
      </c>
      <c r="Z955" t="s">
        <v>587</v>
      </c>
      <c r="AA955" t="s">
        <v>588</v>
      </c>
      <c r="AB955" t="s">
        <v>506</v>
      </c>
      <c r="AC955" t="s">
        <v>507</v>
      </c>
      <c r="AD955" t="s">
        <v>508</v>
      </c>
      <c r="AE955" t="s">
        <v>509</v>
      </c>
      <c r="AF955" t="s">
        <v>589</v>
      </c>
      <c r="AG955" s="743">
        <v>0</v>
      </c>
      <c r="AH955" t="s">
        <v>3542</v>
      </c>
    </row>
    <row r="956" spans="23:34">
      <c r="W956" s="4" t="s">
        <v>585</v>
      </c>
      <c r="X956" s="4" t="s">
        <v>3362</v>
      </c>
      <c r="Y956" s="4" t="str">
        <f t="shared" si="83"/>
        <v>E6740</v>
      </c>
      <c r="Z956" t="s">
        <v>587</v>
      </c>
      <c r="AA956" t="s">
        <v>588</v>
      </c>
      <c r="AB956" t="s">
        <v>506</v>
      </c>
      <c r="AC956" t="s">
        <v>507</v>
      </c>
      <c r="AD956" t="s">
        <v>508</v>
      </c>
      <c r="AE956" t="s">
        <v>509</v>
      </c>
      <c r="AF956" t="s">
        <v>589</v>
      </c>
      <c r="AG956" s="115">
        <f>+VLOOKUP(Y956,B:O,9,FALSE)/1000</f>
        <v>5.1749999999999997E-2</v>
      </c>
    </row>
    <row r="957" spans="23:34">
      <c r="W957" s="4" t="s">
        <v>585</v>
      </c>
      <c r="X957" s="4" t="s">
        <v>3363</v>
      </c>
      <c r="Y957" s="4" t="str">
        <f t="shared" si="83"/>
        <v>E6740</v>
      </c>
      <c r="Z957" t="s">
        <v>587</v>
      </c>
      <c r="AA957" t="s">
        <v>588</v>
      </c>
      <c r="AB957" t="s">
        <v>506</v>
      </c>
      <c r="AC957" t="s">
        <v>507</v>
      </c>
      <c r="AD957" t="s">
        <v>508</v>
      </c>
      <c r="AE957" t="s">
        <v>509</v>
      </c>
      <c r="AF957" t="s">
        <v>589</v>
      </c>
      <c r="AG957" s="115">
        <f>+VLOOKUP(Y957,B:O,10,FALSE)/1000</f>
        <v>4.8030000000000003E-2</v>
      </c>
    </row>
    <row r="958" spans="23:34">
      <c r="W958" s="4" t="s">
        <v>585</v>
      </c>
      <c r="X958" s="4" t="s">
        <v>3364</v>
      </c>
      <c r="Y958" s="4" t="str">
        <f t="shared" si="83"/>
        <v>E6740</v>
      </c>
      <c r="Z958" t="s">
        <v>587</v>
      </c>
      <c r="AA958" t="s">
        <v>588</v>
      </c>
      <c r="AB958" t="s">
        <v>506</v>
      </c>
      <c r="AC958" t="s">
        <v>507</v>
      </c>
      <c r="AD958" t="s">
        <v>508</v>
      </c>
      <c r="AE958" t="s">
        <v>509</v>
      </c>
      <c r="AF958" t="s">
        <v>589</v>
      </c>
      <c r="AG958" s="115">
        <f>+VLOOKUP(Y958,B:O,11,FALSE)/1000</f>
        <v>4.5910000000000006E-2</v>
      </c>
    </row>
    <row r="959" spans="23:34">
      <c r="W959" s="4" t="s">
        <v>585</v>
      </c>
      <c r="X959" s="4" t="s">
        <v>3365</v>
      </c>
      <c r="Y959" s="4" t="str">
        <f t="shared" si="83"/>
        <v>E6740</v>
      </c>
      <c r="Z959" t="s">
        <v>587</v>
      </c>
      <c r="AA959" t="s">
        <v>588</v>
      </c>
      <c r="AB959" t="s">
        <v>506</v>
      </c>
      <c r="AC959" t="s">
        <v>507</v>
      </c>
      <c r="AD959" t="s">
        <v>508</v>
      </c>
      <c r="AE959" t="s">
        <v>509</v>
      </c>
      <c r="AF959" t="s">
        <v>589</v>
      </c>
      <c r="AG959" s="115">
        <f>+VLOOKUP(Y959,B:O,12,FALSE)/1000</f>
        <v>4.5109999999999997E-2</v>
      </c>
    </row>
    <row r="960" spans="23:34">
      <c r="W960" s="4" t="s">
        <v>585</v>
      </c>
      <c r="X960" s="4" t="s">
        <v>3366</v>
      </c>
      <c r="Y960" s="4" t="str">
        <f t="shared" si="83"/>
        <v>E6740</v>
      </c>
      <c r="Z960" t="s">
        <v>587</v>
      </c>
      <c r="AA960" t="s">
        <v>588</v>
      </c>
      <c r="AB960" t="s">
        <v>506</v>
      </c>
      <c r="AC960" t="s">
        <v>507</v>
      </c>
      <c r="AD960" t="s">
        <v>508</v>
      </c>
      <c r="AE960" t="s">
        <v>509</v>
      </c>
      <c r="AF960" t="s">
        <v>589</v>
      </c>
      <c r="AG960" s="115">
        <f>+VLOOKUP(Y960,B:O,13,FALSE)/1000</f>
        <v>6.3899999999999998E-2</v>
      </c>
    </row>
    <row r="961" spans="23:34">
      <c r="W961" s="4" t="s">
        <v>585</v>
      </c>
      <c r="X961" s="4" t="s">
        <v>3367</v>
      </c>
      <c r="Y961" s="4" t="str">
        <f t="shared" si="83"/>
        <v>E6740</v>
      </c>
      <c r="Z961" t="s">
        <v>587</v>
      </c>
      <c r="AA961" t="s">
        <v>588</v>
      </c>
      <c r="AB961" t="s">
        <v>506</v>
      </c>
      <c r="AC961" t="s">
        <v>507</v>
      </c>
      <c r="AD961" t="s">
        <v>508</v>
      </c>
      <c r="AE961" t="s">
        <v>509</v>
      </c>
      <c r="AF961" t="s">
        <v>589</v>
      </c>
      <c r="AG961" s="115">
        <f>+VLOOKUP(Y961,B:O,14,FALSE)/1000</f>
        <v>7.5329999999999994E-2</v>
      </c>
    </row>
    <row r="962" spans="23:34">
      <c r="W962" s="4" t="s">
        <v>585</v>
      </c>
      <c r="X962" s="4" t="s">
        <v>3356</v>
      </c>
      <c r="Y962" s="150" t="str">
        <f>INDEX($B$3:$O$110,107,1)</f>
        <v>E6760</v>
      </c>
      <c r="Z962" t="s">
        <v>587</v>
      </c>
      <c r="AA962" t="s">
        <v>588</v>
      </c>
      <c r="AB962" t="s">
        <v>506</v>
      </c>
      <c r="AC962" t="s">
        <v>507</v>
      </c>
      <c r="AD962" t="s">
        <v>508</v>
      </c>
      <c r="AE962" t="s">
        <v>509</v>
      </c>
      <c r="AF962" t="s">
        <v>589</v>
      </c>
      <c r="AG962" s="743">
        <v>0</v>
      </c>
      <c r="AH962" t="s">
        <v>3543</v>
      </c>
    </row>
    <row r="963" spans="23:34">
      <c r="W963" s="4" t="s">
        <v>585</v>
      </c>
      <c r="X963" s="4" t="s">
        <v>3357</v>
      </c>
      <c r="Y963" s="4" t="str">
        <f>Y962</f>
        <v>E6760</v>
      </c>
      <c r="Z963" t="s">
        <v>587</v>
      </c>
      <c r="AA963" t="s">
        <v>588</v>
      </c>
      <c r="AB963" t="s">
        <v>506</v>
      </c>
      <c r="AC963" t="s">
        <v>507</v>
      </c>
      <c r="AD963" t="s">
        <v>508</v>
      </c>
      <c r="AE963" t="s">
        <v>509</v>
      </c>
      <c r="AF963" t="s">
        <v>589</v>
      </c>
      <c r="AG963" s="743">
        <v>0</v>
      </c>
      <c r="AH963" t="s">
        <v>3543</v>
      </c>
    </row>
    <row r="964" spans="23:34">
      <c r="W964" s="4" t="s">
        <v>585</v>
      </c>
      <c r="X964" s="4" t="s">
        <v>3358</v>
      </c>
      <c r="Y964" s="4" t="str">
        <f t="shared" ref="Y964:Y973" si="84">Y963</f>
        <v>E6760</v>
      </c>
      <c r="Z964" t="s">
        <v>587</v>
      </c>
      <c r="AA964" t="s">
        <v>588</v>
      </c>
      <c r="AB964" t="s">
        <v>506</v>
      </c>
      <c r="AC964" t="s">
        <v>507</v>
      </c>
      <c r="AD964" t="s">
        <v>508</v>
      </c>
      <c r="AE964" t="s">
        <v>509</v>
      </c>
      <c r="AF964" t="s">
        <v>589</v>
      </c>
      <c r="AG964" s="743">
        <v>0</v>
      </c>
      <c r="AH964" t="s">
        <v>3543</v>
      </c>
    </row>
    <row r="965" spans="23:34">
      <c r="W965" s="4" t="s">
        <v>585</v>
      </c>
      <c r="X965" s="4" t="s">
        <v>3359</v>
      </c>
      <c r="Y965" s="4" t="str">
        <f t="shared" si="84"/>
        <v>E6760</v>
      </c>
      <c r="Z965" t="s">
        <v>587</v>
      </c>
      <c r="AA965" t="s">
        <v>588</v>
      </c>
      <c r="AB965" t="s">
        <v>506</v>
      </c>
      <c r="AC965" t="s">
        <v>507</v>
      </c>
      <c r="AD965" t="s">
        <v>508</v>
      </c>
      <c r="AE965" t="s">
        <v>509</v>
      </c>
      <c r="AF965" t="s">
        <v>589</v>
      </c>
      <c r="AG965" s="743">
        <v>0</v>
      </c>
      <c r="AH965" t="s">
        <v>3543</v>
      </c>
    </row>
    <row r="966" spans="23:34">
      <c r="W966" s="4" t="s">
        <v>585</v>
      </c>
      <c r="X966" s="4" t="s">
        <v>3360</v>
      </c>
      <c r="Y966" s="4" t="str">
        <f t="shared" si="84"/>
        <v>E6760</v>
      </c>
      <c r="Z966" t="s">
        <v>587</v>
      </c>
      <c r="AA966" t="s">
        <v>588</v>
      </c>
      <c r="AB966" t="s">
        <v>506</v>
      </c>
      <c r="AC966" t="s">
        <v>507</v>
      </c>
      <c r="AD966" t="s">
        <v>508</v>
      </c>
      <c r="AE966" t="s">
        <v>509</v>
      </c>
      <c r="AF966" t="s">
        <v>589</v>
      </c>
      <c r="AG966" s="743">
        <v>0</v>
      </c>
      <c r="AH966" t="s">
        <v>3543</v>
      </c>
    </row>
    <row r="967" spans="23:34">
      <c r="W967" s="4" t="s">
        <v>585</v>
      </c>
      <c r="X967" s="4" t="s">
        <v>3361</v>
      </c>
      <c r="Y967" s="4" t="str">
        <f t="shared" si="84"/>
        <v>E6760</v>
      </c>
      <c r="Z967" t="s">
        <v>587</v>
      </c>
      <c r="AA967" t="s">
        <v>588</v>
      </c>
      <c r="AB967" t="s">
        <v>506</v>
      </c>
      <c r="AC967" t="s">
        <v>507</v>
      </c>
      <c r="AD967" t="s">
        <v>508</v>
      </c>
      <c r="AE967" t="s">
        <v>509</v>
      </c>
      <c r="AF967" t="s">
        <v>589</v>
      </c>
      <c r="AG967" s="743">
        <v>0</v>
      </c>
      <c r="AH967" t="s">
        <v>3543</v>
      </c>
    </row>
    <row r="968" spans="23:34">
      <c r="W968" s="4" t="s">
        <v>585</v>
      </c>
      <c r="X968" s="4" t="s">
        <v>3362</v>
      </c>
      <c r="Y968" s="4" t="str">
        <f t="shared" si="84"/>
        <v>E6760</v>
      </c>
      <c r="Z968" t="s">
        <v>587</v>
      </c>
      <c r="AA968" t="s">
        <v>588</v>
      </c>
      <c r="AB968" t="s">
        <v>506</v>
      </c>
      <c r="AC968" t="s">
        <v>507</v>
      </c>
      <c r="AD968" t="s">
        <v>508</v>
      </c>
      <c r="AE968" t="s">
        <v>509</v>
      </c>
      <c r="AF968" t="s">
        <v>589</v>
      </c>
      <c r="AG968" s="743">
        <v>0</v>
      </c>
      <c r="AH968" t="s">
        <v>3543</v>
      </c>
    </row>
    <row r="969" spans="23:34">
      <c r="W969" s="4" t="s">
        <v>585</v>
      </c>
      <c r="X969" s="4" t="s">
        <v>3363</v>
      </c>
      <c r="Y969" s="4" t="str">
        <f t="shared" si="84"/>
        <v>E6760</v>
      </c>
      <c r="Z969" t="s">
        <v>587</v>
      </c>
      <c r="AA969" t="s">
        <v>588</v>
      </c>
      <c r="AB969" t="s">
        <v>506</v>
      </c>
      <c r="AC969" t="s">
        <v>507</v>
      </c>
      <c r="AD969" t="s">
        <v>508</v>
      </c>
      <c r="AE969" t="s">
        <v>509</v>
      </c>
      <c r="AF969" t="s">
        <v>589</v>
      </c>
      <c r="AG969" s="743">
        <v>0</v>
      </c>
      <c r="AH969" t="s">
        <v>3543</v>
      </c>
    </row>
    <row r="970" spans="23:34">
      <c r="W970" s="4" t="s">
        <v>585</v>
      </c>
      <c r="X970" s="4" t="s">
        <v>3364</v>
      </c>
      <c r="Y970" s="4" t="str">
        <f t="shared" si="84"/>
        <v>E6760</v>
      </c>
      <c r="Z970" t="s">
        <v>587</v>
      </c>
      <c r="AA970" t="s">
        <v>588</v>
      </c>
      <c r="AB970" t="s">
        <v>506</v>
      </c>
      <c r="AC970" t="s">
        <v>507</v>
      </c>
      <c r="AD970" t="s">
        <v>508</v>
      </c>
      <c r="AE970" t="s">
        <v>509</v>
      </c>
      <c r="AF970" t="s">
        <v>589</v>
      </c>
      <c r="AG970" s="743">
        <v>0</v>
      </c>
      <c r="AH970" t="s">
        <v>3543</v>
      </c>
    </row>
    <row r="971" spans="23:34">
      <c r="W971" s="4" t="s">
        <v>585</v>
      </c>
      <c r="X971" s="4" t="s">
        <v>3365</v>
      </c>
      <c r="Y971" s="4" t="str">
        <f t="shared" si="84"/>
        <v>E6760</v>
      </c>
      <c r="Z971" t="s">
        <v>587</v>
      </c>
      <c r="AA971" t="s">
        <v>588</v>
      </c>
      <c r="AB971" t="s">
        <v>506</v>
      </c>
      <c r="AC971" t="s">
        <v>507</v>
      </c>
      <c r="AD971" t="s">
        <v>508</v>
      </c>
      <c r="AE971" t="s">
        <v>509</v>
      </c>
      <c r="AF971" t="s">
        <v>589</v>
      </c>
      <c r="AG971" s="743">
        <v>0</v>
      </c>
      <c r="AH971" t="s">
        <v>3543</v>
      </c>
    </row>
    <row r="972" spans="23:34">
      <c r="W972" s="4" t="s">
        <v>585</v>
      </c>
      <c r="X972" s="4" t="s">
        <v>3366</v>
      </c>
      <c r="Y972" s="4" t="str">
        <f t="shared" si="84"/>
        <v>E6760</v>
      </c>
      <c r="Z972" t="s">
        <v>587</v>
      </c>
      <c r="AA972" t="s">
        <v>588</v>
      </c>
      <c r="AB972" t="s">
        <v>506</v>
      </c>
      <c r="AC972" t="s">
        <v>507</v>
      </c>
      <c r="AD972" t="s">
        <v>508</v>
      </c>
      <c r="AE972" t="s">
        <v>509</v>
      </c>
      <c r="AF972" t="s">
        <v>589</v>
      </c>
      <c r="AG972" s="115">
        <f>+VLOOKUP(Y972,B:O,13,FALSE)/1000</f>
        <v>6.5229999999999996E-2</v>
      </c>
    </row>
    <row r="973" spans="23:34">
      <c r="W973" s="4" t="s">
        <v>585</v>
      </c>
      <c r="X973" s="4" t="s">
        <v>3367</v>
      </c>
      <c r="Y973" s="4" t="str">
        <f t="shared" si="84"/>
        <v>E6760</v>
      </c>
      <c r="Z973" t="s">
        <v>587</v>
      </c>
      <c r="AA973" t="s">
        <v>588</v>
      </c>
      <c r="AB973" t="s">
        <v>506</v>
      </c>
      <c r="AC973" t="s">
        <v>507</v>
      </c>
      <c r="AD973" t="s">
        <v>508</v>
      </c>
      <c r="AE973" t="s">
        <v>509</v>
      </c>
      <c r="AF973" t="s">
        <v>589</v>
      </c>
      <c r="AG973" s="115">
        <f>+VLOOKUP(Y973,B:O,14,FALSE)/1000</f>
        <v>7.6659999999999992E-2</v>
      </c>
    </row>
    <row r="974" spans="23:34">
      <c r="W974" s="4"/>
      <c r="Y974" s="151"/>
      <c r="Z974" s="4"/>
      <c r="AA974" s="4"/>
      <c r="AB974" s="4"/>
      <c r="AC974" s="4"/>
      <c r="AD974" s="4"/>
      <c r="AE974" s="4"/>
      <c r="AF974" s="4"/>
      <c r="AG974" s="4"/>
    </row>
    <row r="975" spans="23:34">
      <c r="W975" s="4"/>
      <c r="Z975" s="4"/>
      <c r="AA975" s="4"/>
      <c r="AB975" s="4"/>
      <c r="AC975" s="4"/>
      <c r="AD975" s="4"/>
      <c r="AE975" s="4"/>
      <c r="AF975" s="4"/>
      <c r="AG975" s="4"/>
    </row>
    <row r="976" spans="23:34">
      <c r="W976" s="4"/>
      <c r="Z976" s="4"/>
      <c r="AA976" s="4"/>
      <c r="AB976" s="4"/>
      <c r="AC976" s="4"/>
      <c r="AD976" s="4"/>
      <c r="AE976" s="4"/>
      <c r="AF976" s="4"/>
      <c r="AG976" s="4"/>
    </row>
    <row r="977" spans="23:33">
      <c r="W977" s="4"/>
      <c r="Z977" s="4"/>
      <c r="AA977" s="4"/>
      <c r="AB977" s="4"/>
      <c r="AC977" s="4"/>
      <c r="AD977" s="4"/>
      <c r="AE977" s="4"/>
      <c r="AF977" s="4"/>
      <c r="AG977" s="4"/>
    </row>
    <row r="978" spans="23:33">
      <c r="W978" s="4"/>
      <c r="Z978" s="4"/>
      <c r="AA978" s="4"/>
      <c r="AB978" s="4"/>
      <c r="AC978" s="4"/>
      <c r="AD978" s="4"/>
      <c r="AE978" s="4"/>
      <c r="AF978" s="4"/>
      <c r="AG978" s="4"/>
    </row>
    <row r="979" spans="23:33">
      <c r="W979" s="4"/>
      <c r="Z979" s="4"/>
      <c r="AA979" s="4"/>
      <c r="AB979" s="4"/>
      <c r="AC979" s="4"/>
      <c r="AD979" s="4"/>
      <c r="AE979" s="4"/>
      <c r="AF979" s="4"/>
      <c r="AG979" s="4"/>
    </row>
    <row r="980" spans="23:33">
      <c r="W980" s="4"/>
      <c r="Z980" s="4"/>
      <c r="AA980" s="4"/>
      <c r="AB980" s="4"/>
      <c r="AC980" s="4"/>
      <c r="AD980" s="4"/>
      <c r="AE980" s="4"/>
      <c r="AF980" s="4"/>
      <c r="AG980" s="4"/>
    </row>
    <row r="981" spans="23:33">
      <c r="W981" s="4"/>
      <c r="Z981" s="4"/>
      <c r="AA981" s="4"/>
      <c r="AB981" s="4"/>
      <c r="AC981" s="4"/>
      <c r="AD981" s="4"/>
      <c r="AE981" s="4"/>
      <c r="AF981" s="4"/>
      <c r="AG981" s="4"/>
    </row>
    <row r="982" spans="23:33">
      <c r="W982" s="4"/>
      <c r="Z982" s="4"/>
      <c r="AA982" s="4"/>
      <c r="AB982" s="4"/>
      <c r="AC982" s="4"/>
      <c r="AD982" s="4"/>
      <c r="AE982" s="4"/>
      <c r="AF982" s="4"/>
      <c r="AG982" s="4"/>
    </row>
    <row r="983" spans="23:33">
      <c r="W983" s="4"/>
      <c r="Z983" s="4"/>
      <c r="AA983" s="4"/>
      <c r="AB983" s="4"/>
      <c r="AC983" s="4"/>
      <c r="AD983" s="4"/>
      <c r="AE983" s="4"/>
      <c r="AF983" s="4"/>
      <c r="AG983" s="4"/>
    </row>
    <row r="984" spans="23:33">
      <c r="W984" s="4"/>
      <c r="Z984" s="4"/>
      <c r="AA984" s="4"/>
      <c r="AB984" s="4"/>
      <c r="AC984" s="4"/>
      <c r="AD984" s="4"/>
      <c r="AE984" s="4"/>
      <c r="AF984" s="4"/>
      <c r="AG984" s="4"/>
    </row>
    <row r="985" spans="23:33">
      <c r="W985" s="4"/>
      <c r="Z985" s="4"/>
      <c r="AA985" s="4"/>
      <c r="AB985" s="4"/>
      <c r="AC985" s="4"/>
      <c r="AD985" s="4"/>
      <c r="AE985" s="4"/>
      <c r="AF985" s="4"/>
      <c r="AG985" s="4"/>
    </row>
    <row r="986" spans="23:33">
      <c r="W986" s="4"/>
      <c r="Z986" s="4"/>
      <c r="AA986" s="4"/>
      <c r="AB986" s="4"/>
      <c r="AC986" s="4"/>
      <c r="AD986" s="4"/>
      <c r="AE986" s="4"/>
      <c r="AF986" s="4"/>
      <c r="AG986" s="4"/>
    </row>
  </sheetData>
  <autoFilter ref="A1:AG101" xr:uid="{CC5BFE30-FD87-4507-B266-62310ECE91CC}"/>
  <conditionalFormatting sqref="B1:B1048576">
    <cfRule type="duplicateValues" dxfId="110" priority="1"/>
  </conditionalFormatting>
  <pageMargins left="0.7" right="0.7" top="0.75" bottom="0.75" header="0.3" footer="0.3"/>
  <pageSetup paperSize="9" orientation="portrait" r:id="rId2"/>
  <customProperties>
    <customPr name="Longview.RefreshTimestamp" r:id="rId3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EFE15-59A6-4BE2-AEB6-5792F3B08862}">
  <dimension ref="A1:E3"/>
  <sheetViews>
    <sheetView workbookViewId="0">
      <selection activeCell="F9" sqref="F9"/>
    </sheetView>
  </sheetViews>
  <sheetFormatPr baseColWidth="10" defaultRowHeight="15"/>
  <cols>
    <col min="1" max="1" width="15" bestFit="1" customWidth="1"/>
    <col min="2" max="2" width="13.7109375" bestFit="1" customWidth="1"/>
    <col min="3" max="3" width="13.7109375" customWidth="1"/>
  </cols>
  <sheetData>
    <row r="1" spans="1:5">
      <c r="A1" t="s">
        <v>3444</v>
      </c>
      <c r="B1" t="s">
        <v>3446</v>
      </c>
      <c r="C1" t="s">
        <v>3447</v>
      </c>
      <c r="D1" t="s">
        <v>3445</v>
      </c>
      <c r="E1" t="s">
        <v>3448</v>
      </c>
    </row>
    <row r="2" spans="1:5">
      <c r="A2" t="s">
        <v>289</v>
      </c>
      <c r="B2" s="577">
        <v>44927</v>
      </c>
      <c r="C2" s="577">
        <v>45291</v>
      </c>
      <c r="D2" s="578">
        <v>59</v>
      </c>
      <c r="E2" s="579">
        <v>0.5</v>
      </c>
    </row>
    <row r="3" spans="1:5">
      <c r="A3" t="s">
        <v>289</v>
      </c>
      <c r="B3" s="577">
        <v>44927</v>
      </c>
      <c r="C3" s="577">
        <v>45291</v>
      </c>
      <c r="D3" s="578">
        <v>54</v>
      </c>
      <c r="E3" s="579">
        <v>0.5</v>
      </c>
    </row>
  </sheetData>
  <pageMargins left="0.7" right="0.7" top="0.75" bottom="0.75" header="0.3" footer="0.3"/>
  <customProperties>
    <customPr name="Longview.RefreshTimestamp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F0596-DA60-431E-AB9C-ECF9EA1B4BE7}">
  <sheetPr>
    <tabColor theme="7" tint="0.79998168889431442"/>
  </sheetPr>
  <dimension ref="A1:AD960"/>
  <sheetViews>
    <sheetView topLeftCell="A925" zoomScale="85" zoomScaleNormal="85" workbookViewId="0">
      <selection activeCell="A931" sqref="A931:XFD931"/>
    </sheetView>
  </sheetViews>
  <sheetFormatPr baseColWidth="10" defaultRowHeight="15"/>
  <cols>
    <col min="1" max="1" width="14.85546875" bestFit="1" customWidth="1"/>
    <col min="3" max="3" width="8.85546875" bestFit="1" customWidth="1"/>
    <col min="4" max="4" width="18" bestFit="1" customWidth="1"/>
    <col min="5" max="5" width="20.42578125" bestFit="1" customWidth="1"/>
    <col min="6" max="6" width="18.28515625" bestFit="1" customWidth="1"/>
    <col min="7" max="7" width="14.7109375" bestFit="1" customWidth="1"/>
    <col min="8" max="8" width="14.5703125" bestFit="1" customWidth="1"/>
    <col min="9" max="9" width="17.28515625" bestFit="1" customWidth="1"/>
    <col min="10" max="10" width="18.28515625" bestFit="1" customWidth="1"/>
    <col min="11" max="11" width="10.28515625" style="502" bestFit="1" customWidth="1"/>
    <col min="12" max="12" width="39" bestFit="1" customWidth="1"/>
  </cols>
  <sheetData>
    <row r="1" spans="1:30">
      <c r="A1" t="s">
        <v>3145</v>
      </c>
      <c r="B1" t="s">
        <v>3356</v>
      </c>
      <c r="C1" s="3" t="str">
        <f>+'2-Préparation saisie LV PROD'!B5</f>
        <v>E5030</v>
      </c>
      <c r="D1" t="s">
        <v>587</v>
      </c>
      <c r="E1" t="s">
        <v>588</v>
      </c>
      <c r="F1" t="s">
        <v>506</v>
      </c>
      <c r="G1" t="s">
        <v>507</v>
      </c>
      <c r="H1" t="s">
        <v>508</v>
      </c>
      <c r="I1" t="s">
        <v>509</v>
      </c>
      <c r="J1" t="s">
        <v>589</v>
      </c>
      <c r="K1" s="502">
        <v>10</v>
      </c>
      <c r="L1" t="s">
        <v>3271</v>
      </c>
      <c r="M1" s="501"/>
      <c r="N1" s="501"/>
      <c r="O1" s="501"/>
      <c r="P1" s="501"/>
      <c r="Q1" s="501"/>
      <c r="R1" s="501"/>
      <c r="S1" s="501"/>
      <c r="T1" s="501"/>
      <c r="U1" s="501"/>
      <c r="V1" s="501"/>
      <c r="W1" s="501"/>
      <c r="X1" s="501"/>
      <c r="Y1" s="501"/>
      <c r="Z1" s="501"/>
      <c r="AA1" s="501"/>
      <c r="AB1" s="501"/>
      <c r="AC1" s="501"/>
      <c r="AD1" s="501"/>
    </row>
    <row r="2" spans="1:30">
      <c r="A2" t="s">
        <v>3145</v>
      </c>
      <c r="B2" t="s">
        <v>3357</v>
      </c>
      <c r="C2" s="60" t="str">
        <f>+C1</f>
        <v>E5030</v>
      </c>
      <c r="D2" t="s">
        <v>587</v>
      </c>
      <c r="E2" t="s">
        <v>588</v>
      </c>
      <c r="F2" t="s">
        <v>506</v>
      </c>
      <c r="G2" t="s">
        <v>507</v>
      </c>
      <c r="H2" t="s">
        <v>508</v>
      </c>
      <c r="I2" t="s">
        <v>509</v>
      </c>
      <c r="J2" t="s">
        <v>589</v>
      </c>
      <c r="K2" s="502">
        <v>10</v>
      </c>
      <c r="L2" t="s">
        <v>3271</v>
      </c>
      <c r="M2" s="501"/>
      <c r="N2" s="501"/>
      <c r="O2" s="501"/>
      <c r="P2" s="501"/>
      <c r="Q2" s="501"/>
      <c r="R2" s="501"/>
      <c r="S2" s="501"/>
      <c r="T2" s="501"/>
      <c r="U2" s="501"/>
      <c r="V2" s="501"/>
      <c r="W2" s="501"/>
      <c r="X2" s="501"/>
      <c r="Y2" s="501"/>
      <c r="Z2" s="501"/>
      <c r="AA2" s="501"/>
      <c r="AB2" s="501"/>
      <c r="AC2" s="501"/>
      <c r="AD2" s="501"/>
    </row>
    <row r="3" spans="1:30">
      <c r="A3" t="s">
        <v>3145</v>
      </c>
      <c r="B3" t="s">
        <v>3358</v>
      </c>
      <c r="C3" s="60" t="str">
        <f t="shared" ref="C3:C12" si="0">+C2</f>
        <v>E5030</v>
      </c>
      <c r="D3" t="s">
        <v>587</v>
      </c>
      <c r="E3" t="s">
        <v>588</v>
      </c>
      <c r="F3" t="s">
        <v>506</v>
      </c>
      <c r="G3" t="s">
        <v>507</v>
      </c>
      <c r="H3" t="s">
        <v>508</v>
      </c>
      <c r="I3" t="s">
        <v>509</v>
      </c>
      <c r="J3" t="s">
        <v>589</v>
      </c>
      <c r="K3" s="502">
        <v>10</v>
      </c>
      <c r="L3" t="s">
        <v>3271</v>
      </c>
      <c r="M3" s="501"/>
      <c r="N3" s="501"/>
      <c r="O3" s="501"/>
      <c r="P3" s="501"/>
      <c r="Q3" s="501"/>
      <c r="R3" s="501"/>
      <c r="S3" s="501"/>
      <c r="T3" s="501"/>
      <c r="U3" s="501"/>
      <c r="V3" s="501"/>
      <c r="W3" s="501"/>
      <c r="X3" s="501"/>
      <c r="Y3" s="501"/>
      <c r="Z3" s="501"/>
      <c r="AA3" s="501"/>
      <c r="AB3" s="501"/>
      <c r="AC3" s="501"/>
      <c r="AD3" s="501"/>
    </row>
    <row r="4" spans="1:30">
      <c r="A4" t="s">
        <v>3145</v>
      </c>
      <c r="B4" t="s">
        <v>3359</v>
      </c>
      <c r="C4" s="60" t="str">
        <f t="shared" si="0"/>
        <v>E5030</v>
      </c>
      <c r="D4" t="s">
        <v>587</v>
      </c>
      <c r="E4" t="s">
        <v>588</v>
      </c>
      <c r="F4" t="s">
        <v>506</v>
      </c>
      <c r="G4" t="s">
        <v>507</v>
      </c>
      <c r="H4" t="s">
        <v>508</v>
      </c>
      <c r="I4" t="s">
        <v>509</v>
      </c>
      <c r="J4" t="s">
        <v>589</v>
      </c>
      <c r="K4" s="502">
        <v>10</v>
      </c>
      <c r="L4" t="s">
        <v>3271</v>
      </c>
      <c r="M4" s="501"/>
      <c r="N4" s="501"/>
      <c r="O4" s="501"/>
      <c r="P4" s="501"/>
      <c r="Q4" s="501"/>
      <c r="R4" s="501"/>
      <c r="S4" s="501"/>
      <c r="T4" s="501"/>
      <c r="U4" s="501"/>
      <c r="V4" s="501"/>
      <c r="W4" s="501"/>
      <c r="X4" s="501"/>
      <c r="Y4" s="501"/>
      <c r="Z4" s="501"/>
      <c r="AA4" s="501"/>
      <c r="AB4" s="501"/>
      <c r="AC4" s="501"/>
      <c r="AD4" s="501"/>
    </row>
    <row r="5" spans="1:30" ht="21">
      <c r="A5" t="s">
        <v>3145</v>
      </c>
      <c r="B5" t="s">
        <v>3360</v>
      </c>
      <c r="C5" s="60" t="str">
        <f t="shared" si="0"/>
        <v>E5030</v>
      </c>
      <c r="D5" t="s">
        <v>587</v>
      </c>
      <c r="E5" t="s">
        <v>588</v>
      </c>
      <c r="F5" t="s">
        <v>506</v>
      </c>
      <c r="G5" t="s">
        <v>507</v>
      </c>
      <c r="H5" t="s">
        <v>508</v>
      </c>
      <c r="I5" t="s">
        <v>509</v>
      </c>
      <c r="J5" t="s">
        <v>589</v>
      </c>
      <c r="K5" s="502">
        <v>10</v>
      </c>
      <c r="L5" t="s">
        <v>3271</v>
      </c>
      <c r="M5" s="499"/>
      <c r="N5" s="499"/>
      <c r="O5" s="499"/>
      <c r="P5" s="4"/>
      <c r="Q5" s="4"/>
      <c r="R5" s="4"/>
      <c r="S5" s="4"/>
      <c r="T5" s="4"/>
    </row>
    <row r="6" spans="1:30" ht="21">
      <c r="A6" t="s">
        <v>3145</v>
      </c>
      <c r="B6" t="s">
        <v>3361</v>
      </c>
      <c r="C6" s="60" t="str">
        <f t="shared" si="0"/>
        <v>E5030</v>
      </c>
      <c r="D6" t="s">
        <v>587</v>
      </c>
      <c r="E6" t="s">
        <v>588</v>
      </c>
      <c r="F6" t="s">
        <v>506</v>
      </c>
      <c r="G6" t="s">
        <v>507</v>
      </c>
      <c r="H6" t="s">
        <v>508</v>
      </c>
      <c r="I6" t="s">
        <v>509</v>
      </c>
      <c r="J6" t="s">
        <v>589</v>
      </c>
      <c r="K6" s="502">
        <v>10</v>
      </c>
      <c r="L6" t="s">
        <v>3271</v>
      </c>
      <c r="M6" s="500"/>
      <c r="N6" s="4"/>
      <c r="O6" s="4"/>
      <c r="P6" s="4"/>
      <c r="Q6" s="4"/>
      <c r="R6" s="4"/>
      <c r="S6" s="4"/>
      <c r="T6" s="4"/>
    </row>
    <row r="7" spans="1:30">
      <c r="A7" t="s">
        <v>3145</v>
      </c>
      <c r="B7" t="s">
        <v>3362</v>
      </c>
      <c r="C7" s="60" t="str">
        <f t="shared" si="0"/>
        <v>E5030</v>
      </c>
      <c r="D7" t="s">
        <v>587</v>
      </c>
      <c r="E7" t="s">
        <v>588</v>
      </c>
      <c r="F7" t="s">
        <v>506</v>
      </c>
      <c r="G7" t="s">
        <v>507</v>
      </c>
      <c r="H7" t="s">
        <v>508</v>
      </c>
      <c r="I7" t="s">
        <v>509</v>
      </c>
      <c r="J7" t="s">
        <v>589</v>
      </c>
      <c r="K7" s="502">
        <v>10</v>
      </c>
      <c r="L7" t="s">
        <v>3271</v>
      </c>
    </row>
    <row r="8" spans="1:30">
      <c r="A8" t="s">
        <v>3145</v>
      </c>
      <c r="B8" t="s">
        <v>3363</v>
      </c>
      <c r="C8" s="60" t="str">
        <f t="shared" si="0"/>
        <v>E5030</v>
      </c>
      <c r="D8" t="s">
        <v>587</v>
      </c>
      <c r="E8" t="s">
        <v>588</v>
      </c>
      <c r="F8" t="s">
        <v>506</v>
      </c>
      <c r="G8" t="s">
        <v>507</v>
      </c>
      <c r="H8" t="s">
        <v>508</v>
      </c>
      <c r="I8" t="s">
        <v>509</v>
      </c>
      <c r="J8" t="s">
        <v>589</v>
      </c>
      <c r="K8" s="502">
        <v>10</v>
      </c>
      <c r="L8" t="s">
        <v>3271</v>
      </c>
    </row>
    <row r="9" spans="1:30">
      <c r="A9" t="s">
        <v>3145</v>
      </c>
      <c r="B9" t="s">
        <v>3364</v>
      </c>
      <c r="C9" s="60" t="str">
        <f t="shared" si="0"/>
        <v>E5030</v>
      </c>
      <c r="D9" t="s">
        <v>587</v>
      </c>
      <c r="E9" t="s">
        <v>588</v>
      </c>
      <c r="F9" t="s">
        <v>506</v>
      </c>
      <c r="G9" t="s">
        <v>507</v>
      </c>
      <c r="H9" t="s">
        <v>508</v>
      </c>
      <c r="I9" t="s">
        <v>509</v>
      </c>
      <c r="J9" t="s">
        <v>589</v>
      </c>
      <c r="K9" s="502">
        <v>10</v>
      </c>
      <c r="L9" t="s">
        <v>3271</v>
      </c>
    </row>
    <row r="10" spans="1:30">
      <c r="A10" t="s">
        <v>3145</v>
      </c>
      <c r="B10" t="s">
        <v>3365</v>
      </c>
      <c r="C10" s="60" t="str">
        <f t="shared" si="0"/>
        <v>E5030</v>
      </c>
      <c r="D10" t="s">
        <v>587</v>
      </c>
      <c r="E10" t="s">
        <v>588</v>
      </c>
      <c r="F10" t="s">
        <v>506</v>
      </c>
      <c r="G10" t="s">
        <v>507</v>
      </c>
      <c r="H10" t="s">
        <v>508</v>
      </c>
      <c r="I10" t="s">
        <v>509</v>
      </c>
      <c r="J10" t="s">
        <v>589</v>
      </c>
      <c r="K10" s="502">
        <v>10</v>
      </c>
      <c r="L10" t="s">
        <v>3271</v>
      </c>
    </row>
    <row r="11" spans="1:30">
      <c r="A11" t="s">
        <v>3145</v>
      </c>
      <c r="B11" t="s">
        <v>3366</v>
      </c>
      <c r="C11" s="60" t="str">
        <f t="shared" si="0"/>
        <v>E5030</v>
      </c>
      <c r="D11" t="s">
        <v>587</v>
      </c>
      <c r="E11" t="s">
        <v>588</v>
      </c>
      <c r="F11" t="s">
        <v>506</v>
      </c>
      <c r="G11" t="s">
        <v>507</v>
      </c>
      <c r="H11" t="s">
        <v>508</v>
      </c>
      <c r="I11" t="s">
        <v>509</v>
      </c>
      <c r="J11" t="s">
        <v>589</v>
      </c>
      <c r="K11" s="502">
        <v>10</v>
      </c>
      <c r="L11" t="s">
        <v>3271</v>
      </c>
    </row>
    <row r="12" spans="1:30">
      <c r="A12" t="s">
        <v>3145</v>
      </c>
      <c r="B12" t="s">
        <v>3367</v>
      </c>
      <c r="C12" s="60" t="str">
        <f t="shared" si="0"/>
        <v>E5030</v>
      </c>
      <c r="D12" t="s">
        <v>587</v>
      </c>
      <c r="E12" t="s">
        <v>588</v>
      </c>
      <c r="F12" t="s">
        <v>506</v>
      </c>
      <c r="G12" t="s">
        <v>507</v>
      </c>
      <c r="H12" t="s">
        <v>508</v>
      </c>
      <c r="I12" t="s">
        <v>509</v>
      </c>
      <c r="J12" t="s">
        <v>589</v>
      </c>
      <c r="K12" s="502">
        <v>10</v>
      </c>
      <c r="L12" t="s">
        <v>3271</v>
      </c>
    </row>
    <row r="13" spans="1:30">
      <c r="A13" t="s">
        <v>3145</v>
      </c>
      <c r="B13" t="s">
        <v>3356</v>
      </c>
      <c r="C13" s="3" t="str">
        <f>+'2-Préparation saisie LV PROD'!B6</f>
        <v>E5040</v>
      </c>
      <c r="D13" t="s">
        <v>587</v>
      </c>
      <c r="E13" t="s">
        <v>588</v>
      </c>
      <c r="F13" t="s">
        <v>506</v>
      </c>
      <c r="G13" t="s">
        <v>507</v>
      </c>
      <c r="H13" t="s">
        <v>508</v>
      </c>
      <c r="I13" t="s">
        <v>509</v>
      </c>
      <c r="J13" t="s">
        <v>589</v>
      </c>
      <c r="K13" s="502">
        <v>2</v>
      </c>
      <c r="L13" t="s">
        <v>284</v>
      </c>
    </row>
    <row r="14" spans="1:30">
      <c r="A14" t="s">
        <v>3145</v>
      </c>
      <c r="B14" t="s">
        <v>3357</v>
      </c>
      <c r="C14" s="60" t="str">
        <f>C13</f>
        <v>E5040</v>
      </c>
      <c r="D14" t="s">
        <v>587</v>
      </c>
      <c r="E14" t="s">
        <v>588</v>
      </c>
      <c r="F14" t="s">
        <v>506</v>
      </c>
      <c r="G14" t="s">
        <v>507</v>
      </c>
      <c r="H14" t="s">
        <v>508</v>
      </c>
      <c r="I14" t="s">
        <v>509</v>
      </c>
      <c r="J14" t="s">
        <v>589</v>
      </c>
      <c r="K14" s="502">
        <v>2</v>
      </c>
      <c r="L14" t="s">
        <v>284</v>
      </c>
    </row>
    <row r="15" spans="1:30">
      <c r="A15" t="s">
        <v>3145</v>
      </c>
      <c r="B15" t="s">
        <v>3358</v>
      </c>
      <c r="C15" s="60" t="str">
        <f t="shared" ref="C15:C24" si="1">+C14</f>
        <v>E5040</v>
      </c>
      <c r="D15" t="s">
        <v>587</v>
      </c>
      <c r="E15" t="s">
        <v>588</v>
      </c>
      <c r="F15" t="s">
        <v>506</v>
      </c>
      <c r="G15" t="s">
        <v>507</v>
      </c>
      <c r="H15" t="s">
        <v>508</v>
      </c>
      <c r="I15" t="s">
        <v>509</v>
      </c>
      <c r="J15" t="s">
        <v>589</v>
      </c>
      <c r="K15" s="502">
        <v>2</v>
      </c>
      <c r="L15" t="s">
        <v>284</v>
      </c>
    </row>
    <row r="16" spans="1:30">
      <c r="A16" t="s">
        <v>3145</v>
      </c>
      <c r="B16" t="s">
        <v>3359</v>
      </c>
      <c r="C16" s="60" t="str">
        <f t="shared" si="1"/>
        <v>E5040</v>
      </c>
      <c r="D16" t="s">
        <v>587</v>
      </c>
      <c r="E16" t="s">
        <v>588</v>
      </c>
      <c r="F16" t="s">
        <v>506</v>
      </c>
      <c r="G16" t="s">
        <v>507</v>
      </c>
      <c r="H16" t="s">
        <v>508</v>
      </c>
      <c r="I16" t="s">
        <v>509</v>
      </c>
      <c r="J16" t="s">
        <v>589</v>
      </c>
      <c r="K16" s="502">
        <v>2</v>
      </c>
      <c r="L16" t="s">
        <v>284</v>
      </c>
    </row>
    <row r="17" spans="1:12">
      <c r="A17" t="s">
        <v>3145</v>
      </c>
      <c r="B17" t="s">
        <v>3360</v>
      </c>
      <c r="C17" s="60" t="str">
        <f t="shared" si="1"/>
        <v>E5040</v>
      </c>
      <c r="D17" t="s">
        <v>587</v>
      </c>
      <c r="E17" t="s">
        <v>588</v>
      </c>
      <c r="F17" t="s">
        <v>506</v>
      </c>
      <c r="G17" t="s">
        <v>507</v>
      </c>
      <c r="H17" t="s">
        <v>508</v>
      </c>
      <c r="I17" t="s">
        <v>509</v>
      </c>
      <c r="J17" t="s">
        <v>589</v>
      </c>
      <c r="K17" s="502">
        <v>2</v>
      </c>
      <c r="L17" t="s">
        <v>284</v>
      </c>
    </row>
    <row r="18" spans="1:12">
      <c r="A18" t="s">
        <v>3145</v>
      </c>
      <c r="B18" t="s">
        <v>3361</v>
      </c>
      <c r="C18" s="60" t="str">
        <f t="shared" si="1"/>
        <v>E5040</v>
      </c>
      <c r="D18" t="s">
        <v>587</v>
      </c>
      <c r="E18" t="s">
        <v>588</v>
      </c>
      <c r="F18" t="s">
        <v>506</v>
      </c>
      <c r="G18" t="s">
        <v>507</v>
      </c>
      <c r="H18" t="s">
        <v>508</v>
      </c>
      <c r="I18" t="s">
        <v>509</v>
      </c>
      <c r="J18" t="s">
        <v>589</v>
      </c>
      <c r="K18" s="502">
        <v>2</v>
      </c>
      <c r="L18" t="s">
        <v>284</v>
      </c>
    </row>
    <row r="19" spans="1:12">
      <c r="A19" t="s">
        <v>3145</v>
      </c>
      <c r="B19" t="s">
        <v>3362</v>
      </c>
      <c r="C19" s="60" t="str">
        <f t="shared" si="1"/>
        <v>E5040</v>
      </c>
      <c r="D19" t="s">
        <v>587</v>
      </c>
      <c r="E19" t="s">
        <v>588</v>
      </c>
      <c r="F19" t="s">
        <v>506</v>
      </c>
      <c r="G19" t="s">
        <v>507</v>
      </c>
      <c r="H19" t="s">
        <v>508</v>
      </c>
      <c r="I19" t="s">
        <v>509</v>
      </c>
      <c r="J19" t="s">
        <v>589</v>
      </c>
      <c r="K19" s="502">
        <v>2</v>
      </c>
      <c r="L19" t="s">
        <v>284</v>
      </c>
    </row>
    <row r="20" spans="1:12">
      <c r="A20" t="s">
        <v>3145</v>
      </c>
      <c r="B20" t="s">
        <v>3363</v>
      </c>
      <c r="C20" s="60" t="str">
        <f t="shared" si="1"/>
        <v>E5040</v>
      </c>
      <c r="D20" t="s">
        <v>587</v>
      </c>
      <c r="E20" t="s">
        <v>588</v>
      </c>
      <c r="F20" t="s">
        <v>506</v>
      </c>
      <c r="G20" t="s">
        <v>507</v>
      </c>
      <c r="H20" t="s">
        <v>508</v>
      </c>
      <c r="I20" t="s">
        <v>509</v>
      </c>
      <c r="J20" t="s">
        <v>589</v>
      </c>
      <c r="K20" s="502">
        <v>2</v>
      </c>
      <c r="L20" t="s">
        <v>284</v>
      </c>
    </row>
    <row r="21" spans="1:12">
      <c r="A21" t="s">
        <v>3145</v>
      </c>
      <c r="B21" t="s">
        <v>3364</v>
      </c>
      <c r="C21" s="60" t="str">
        <f t="shared" si="1"/>
        <v>E5040</v>
      </c>
      <c r="D21" t="s">
        <v>587</v>
      </c>
      <c r="E21" t="s">
        <v>588</v>
      </c>
      <c r="F21" t="s">
        <v>506</v>
      </c>
      <c r="G21" t="s">
        <v>507</v>
      </c>
      <c r="H21" t="s">
        <v>508</v>
      </c>
      <c r="I21" t="s">
        <v>509</v>
      </c>
      <c r="J21" t="s">
        <v>589</v>
      </c>
      <c r="K21" s="502">
        <v>2</v>
      </c>
      <c r="L21" t="s">
        <v>284</v>
      </c>
    </row>
    <row r="22" spans="1:12">
      <c r="A22" t="s">
        <v>3145</v>
      </c>
      <c r="B22" t="s">
        <v>3365</v>
      </c>
      <c r="C22" s="60" t="str">
        <f t="shared" si="1"/>
        <v>E5040</v>
      </c>
      <c r="D22" t="s">
        <v>587</v>
      </c>
      <c r="E22" t="s">
        <v>588</v>
      </c>
      <c r="F22" t="s">
        <v>506</v>
      </c>
      <c r="G22" t="s">
        <v>507</v>
      </c>
      <c r="H22" t="s">
        <v>508</v>
      </c>
      <c r="I22" t="s">
        <v>509</v>
      </c>
      <c r="J22" t="s">
        <v>589</v>
      </c>
      <c r="K22" s="502">
        <v>2</v>
      </c>
      <c r="L22" t="s">
        <v>284</v>
      </c>
    </row>
    <row r="23" spans="1:12">
      <c r="A23" t="s">
        <v>3145</v>
      </c>
      <c r="B23" t="s">
        <v>3366</v>
      </c>
      <c r="C23" s="60" t="str">
        <f t="shared" si="1"/>
        <v>E5040</v>
      </c>
      <c r="D23" t="s">
        <v>587</v>
      </c>
      <c r="E23" t="s">
        <v>588</v>
      </c>
      <c r="F23" t="s">
        <v>506</v>
      </c>
      <c r="G23" t="s">
        <v>507</v>
      </c>
      <c r="H23" t="s">
        <v>508</v>
      </c>
      <c r="I23" t="s">
        <v>509</v>
      </c>
      <c r="J23" t="s">
        <v>589</v>
      </c>
      <c r="K23" s="502">
        <v>2</v>
      </c>
      <c r="L23" t="s">
        <v>284</v>
      </c>
    </row>
    <row r="24" spans="1:12">
      <c r="A24" t="s">
        <v>3145</v>
      </c>
      <c r="B24" t="s">
        <v>3367</v>
      </c>
      <c r="C24" s="60" t="str">
        <f t="shared" si="1"/>
        <v>E5040</v>
      </c>
      <c r="D24" t="s">
        <v>587</v>
      </c>
      <c r="E24" t="s">
        <v>588</v>
      </c>
      <c r="F24" t="s">
        <v>506</v>
      </c>
      <c r="G24" t="s">
        <v>507</v>
      </c>
      <c r="H24" t="s">
        <v>508</v>
      </c>
      <c r="I24" t="s">
        <v>509</v>
      </c>
      <c r="J24" t="s">
        <v>589</v>
      </c>
      <c r="K24" s="502">
        <v>2</v>
      </c>
      <c r="L24" t="s">
        <v>284</v>
      </c>
    </row>
    <row r="25" spans="1:12">
      <c r="A25" t="s">
        <v>3145</v>
      </c>
      <c r="B25" t="s">
        <v>3356</v>
      </c>
      <c r="C25" s="3" t="str">
        <f>+'2-Préparation saisie LV PROD'!B7</f>
        <v>E5050</v>
      </c>
      <c r="D25" t="s">
        <v>587</v>
      </c>
      <c r="E25" t="s">
        <v>588</v>
      </c>
      <c r="F25" t="s">
        <v>506</v>
      </c>
      <c r="G25" t="s">
        <v>507</v>
      </c>
      <c r="H25" t="s">
        <v>508</v>
      </c>
      <c r="I25" t="s">
        <v>509</v>
      </c>
      <c r="J25" t="s">
        <v>589</v>
      </c>
      <c r="K25" s="502">
        <v>6</v>
      </c>
      <c r="L25" t="s">
        <v>285</v>
      </c>
    </row>
    <row r="26" spans="1:12">
      <c r="A26" t="s">
        <v>3145</v>
      </c>
      <c r="B26" t="s">
        <v>3357</v>
      </c>
      <c r="C26" s="60" t="str">
        <f>C25</f>
        <v>E5050</v>
      </c>
      <c r="D26" t="s">
        <v>587</v>
      </c>
      <c r="E26" t="s">
        <v>588</v>
      </c>
      <c r="F26" t="s">
        <v>506</v>
      </c>
      <c r="G26" t="s">
        <v>507</v>
      </c>
      <c r="H26" t="s">
        <v>508</v>
      </c>
      <c r="I26" t="s">
        <v>509</v>
      </c>
      <c r="J26" t="s">
        <v>589</v>
      </c>
      <c r="K26" s="502">
        <v>6</v>
      </c>
      <c r="L26" t="s">
        <v>285</v>
      </c>
    </row>
    <row r="27" spans="1:12">
      <c r="A27" t="s">
        <v>3145</v>
      </c>
      <c r="B27" t="s">
        <v>3358</v>
      </c>
      <c r="C27" s="60" t="str">
        <f t="shared" ref="C27:C36" si="2">+C26</f>
        <v>E5050</v>
      </c>
      <c r="D27" t="s">
        <v>587</v>
      </c>
      <c r="E27" t="s">
        <v>588</v>
      </c>
      <c r="F27" t="s">
        <v>506</v>
      </c>
      <c r="G27" t="s">
        <v>507</v>
      </c>
      <c r="H27" t="s">
        <v>508</v>
      </c>
      <c r="I27" t="s">
        <v>509</v>
      </c>
      <c r="J27" t="s">
        <v>589</v>
      </c>
      <c r="K27" s="502">
        <v>6</v>
      </c>
      <c r="L27" t="s">
        <v>285</v>
      </c>
    </row>
    <row r="28" spans="1:12">
      <c r="A28" t="s">
        <v>3145</v>
      </c>
      <c r="B28" t="s">
        <v>3359</v>
      </c>
      <c r="C28" s="60" t="str">
        <f t="shared" si="2"/>
        <v>E5050</v>
      </c>
      <c r="D28" t="s">
        <v>587</v>
      </c>
      <c r="E28" t="s">
        <v>588</v>
      </c>
      <c r="F28" t="s">
        <v>506</v>
      </c>
      <c r="G28" t="s">
        <v>507</v>
      </c>
      <c r="H28" t="s">
        <v>508</v>
      </c>
      <c r="I28" t="s">
        <v>509</v>
      </c>
      <c r="J28" t="s">
        <v>589</v>
      </c>
      <c r="K28" s="502">
        <v>6</v>
      </c>
      <c r="L28" t="s">
        <v>285</v>
      </c>
    </row>
    <row r="29" spans="1:12">
      <c r="A29" t="s">
        <v>3145</v>
      </c>
      <c r="B29" t="s">
        <v>3360</v>
      </c>
      <c r="C29" s="60" t="str">
        <f t="shared" si="2"/>
        <v>E5050</v>
      </c>
      <c r="D29" t="s">
        <v>587</v>
      </c>
      <c r="E29" t="s">
        <v>588</v>
      </c>
      <c r="F29" t="s">
        <v>506</v>
      </c>
      <c r="G29" t="s">
        <v>507</v>
      </c>
      <c r="H29" t="s">
        <v>508</v>
      </c>
      <c r="I29" t="s">
        <v>509</v>
      </c>
      <c r="J29" t="s">
        <v>589</v>
      </c>
      <c r="K29" s="502">
        <v>6</v>
      </c>
      <c r="L29" t="s">
        <v>285</v>
      </c>
    </row>
    <row r="30" spans="1:12">
      <c r="A30" t="s">
        <v>3145</v>
      </c>
      <c r="B30" t="s">
        <v>3361</v>
      </c>
      <c r="C30" s="60" t="str">
        <f t="shared" si="2"/>
        <v>E5050</v>
      </c>
      <c r="D30" t="s">
        <v>587</v>
      </c>
      <c r="E30" t="s">
        <v>588</v>
      </c>
      <c r="F30" t="s">
        <v>506</v>
      </c>
      <c r="G30" t="s">
        <v>507</v>
      </c>
      <c r="H30" t="s">
        <v>508</v>
      </c>
      <c r="I30" t="s">
        <v>509</v>
      </c>
      <c r="J30" t="s">
        <v>589</v>
      </c>
      <c r="K30" s="502">
        <v>6</v>
      </c>
      <c r="L30" t="s">
        <v>285</v>
      </c>
    </row>
    <row r="31" spans="1:12">
      <c r="A31" t="s">
        <v>3145</v>
      </c>
      <c r="B31" t="s">
        <v>3362</v>
      </c>
      <c r="C31" s="60" t="str">
        <f t="shared" si="2"/>
        <v>E5050</v>
      </c>
      <c r="D31" t="s">
        <v>587</v>
      </c>
      <c r="E31" t="s">
        <v>588</v>
      </c>
      <c r="F31" t="s">
        <v>506</v>
      </c>
      <c r="G31" t="s">
        <v>507</v>
      </c>
      <c r="H31" t="s">
        <v>508</v>
      </c>
      <c r="I31" t="s">
        <v>509</v>
      </c>
      <c r="J31" t="s">
        <v>589</v>
      </c>
      <c r="K31" s="502">
        <v>6</v>
      </c>
      <c r="L31" t="s">
        <v>285</v>
      </c>
    </row>
    <row r="32" spans="1:12">
      <c r="A32" t="s">
        <v>3145</v>
      </c>
      <c r="B32" t="s">
        <v>3363</v>
      </c>
      <c r="C32" s="60" t="str">
        <f t="shared" si="2"/>
        <v>E5050</v>
      </c>
      <c r="D32" t="s">
        <v>587</v>
      </c>
      <c r="E32" t="s">
        <v>588</v>
      </c>
      <c r="F32" t="s">
        <v>506</v>
      </c>
      <c r="G32" t="s">
        <v>507</v>
      </c>
      <c r="H32" t="s">
        <v>508</v>
      </c>
      <c r="I32" t="s">
        <v>509</v>
      </c>
      <c r="J32" t="s">
        <v>589</v>
      </c>
      <c r="K32" s="502">
        <v>6</v>
      </c>
      <c r="L32" t="s">
        <v>285</v>
      </c>
    </row>
    <row r="33" spans="1:12">
      <c r="A33" t="s">
        <v>3145</v>
      </c>
      <c r="B33" t="s">
        <v>3364</v>
      </c>
      <c r="C33" s="60" t="str">
        <f t="shared" si="2"/>
        <v>E5050</v>
      </c>
      <c r="D33" t="s">
        <v>587</v>
      </c>
      <c r="E33" t="s">
        <v>588</v>
      </c>
      <c r="F33" t="s">
        <v>506</v>
      </c>
      <c r="G33" t="s">
        <v>507</v>
      </c>
      <c r="H33" t="s">
        <v>508</v>
      </c>
      <c r="I33" t="s">
        <v>509</v>
      </c>
      <c r="J33" t="s">
        <v>589</v>
      </c>
      <c r="K33" s="502">
        <v>6</v>
      </c>
      <c r="L33" t="s">
        <v>285</v>
      </c>
    </row>
    <row r="34" spans="1:12">
      <c r="A34" t="s">
        <v>3145</v>
      </c>
      <c r="B34" t="s">
        <v>3365</v>
      </c>
      <c r="C34" s="60" t="str">
        <f t="shared" si="2"/>
        <v>E5050</v>
      </c>
      <c r="D34" t="s">
        <v>587</v>
      </c>
      <c r="E34" t="s">
        <v>588</v>
      </c>
      <c r="F34" t="s">
        <v>506</v>
      </c>
      <c r="G34" t="s">
        <v>507</v>
      </c>
      <c r="H34" t="s">
        <v>508</v>
      </c>
      <c r="I34" t="s">
        <v>509</v>
      </c>
      <c r="J34" t="s">
        <v>589</v>
      </c>
      <c r="K34" s="502">
        <v>6</v>
      </c>
      <c r="L34" t="s">
        <v>285</v>
      </c>
    </row>
    <row r="35" spans="1:12">
      <c r="A35" t="s">
        <v>3145</v>
      </c>
      <c r="B35" t="s">
        <v>3366</v>
      </c>
      <c r="C35" s="60" t="str">
        <f t="shared" si="2"/>
        <v>E5050</v>
      </c>
      <c r="D35" t="s">
        <v>587</v>
      </c>
      <c r="E35" t="s">
        <v>588</v>
      </c>
      <c r="F35" t="s">
        <v>506</v>
      </c>
      <c r="G35" t="s">
        <v>507</v>
      </c>
      <c r="H35" t="s">
        <v>508</v>
      </c>
      <c r="I35" t="s">
        <v>509</v>
      </c>
      <c r="J35" t="s">
        <v>589</v>
      </c>
      <c r="K35" s="502">
        <v>6</v>
      </c>
      <c r="L35" t="s">
        <v>285</v>
      </c>
    </row>
    <row r="36" spans="1:12">
      <c r="A36" t="s">
        <v>3145</v>
      </c>
      <c r="B36" t="s">
        <v>3367</v>
      </c>
      <c r="C36" s="60" t="str">
        <f t="shared" si="2"/>
        <v>E5050</v>
      </c>
      <c r="D36" t="s">
        <v>587</v>
      </c>
      <c r="E36" t="s">
        <v>588</v>
      </c>
      <c r="F36" t="s">
        <v>506</v>
      </c>
      <c r="G36" t="s">
        <v>507</v>
      </c>
      <c r="H36" t="s">
        <v>508</v>
      </c>
      <c r="I36" t="s">
        <v>509</v>
      </c>
      <c r="J36" t="s">
        <v>589</v>
      </c>
      <c r="K36" s="502">
        <v>6</v>
      </c>
      <c r="L36" t="s">
        <v>285</v>
      </c>
    </row>
    <row r="37" spans="1:12">
      <c r="A37" t="s">
        <v>3145</v>
      </c>
      <c r="B37" t="s">
        <v>3356</v>
      </c>
      <c r="C37" s="3" t="str">
        <f>+'2-Préparation saisie LV PROD'!B8</f>
        <v>E5070</v>
      </c>
      <c r="D37" t="s">
        <v>587</v>
      </c>
      <c r="E37" t="s">
        <v>588</v>
      </c>
      <c r="F37" t="s">
        <v>506</v>
      </c>
      <c r="G37" t="s">
        <v>507</v>
      </c>
      <c r="H37" t="s">
        <v>508</v>
      </c>
      <c r="I37" t="s">
        <v>509</v>
      </c>
      <c r="J37" t="s">
        <v>589</v>
      </c>
      <c r="K37" s="502">
        <v>7</v>
      </c>
      <c r="L37" t="s">
        <v>528</v>
      </c>
    </row>
    <row r="38" spans="1:12">
      <c r="A38" t="s">
        <v>3145</v>
      </c>
      <c r="B38" t="s">
        <v>3357</v>
      </c>
      <c r="C38" s="60" t="str">
        <f>C37</f>
        <v>E5070</v>
      </c>
      <c r="D38" t="s">
        <v>587</v>
      </c>
      <c r="E38" t="s">
        <v>588</v>
      </c>
      <c r="F38" t="s">
        <v>506</v>
      </c>
      <c r="G38" t="s">
        <v>507</v>
      </c>
      <c r="H38" t="s">
        <v>508</v>
      </c>
      <c r="I38" t="s">
        <v>509</v>
      </c>
      <c r="J38" t="s">
        <v>589</v>
      </c>
      <c r="K38" s="502">
        <v>7</v>
      </c>
      <c r="L38" t="s">
        <v>528</v>
      </c>
    </row>
    <row r="39" spans="1:12">
      <c r="A39" t="s">
        <v>3145</v>
      </c>
      <c r="B39" t="s">
        <v>3358</v>
      </c>
      <c r="C39" s="60" t="str">
        <f t="shared" ref="C39:C48" si="3">+C38</f>
        <v>E5070</v>
      </c>
      <c r="D39" t="s">
        <v>587</v>
      </c>
      <c r="E39" t="s">
        <v>588</v>
      </c>
      <c r="F39" t="s">
        <v>506</v>
      </c>
      <c r="G39" t="s">
        <v>507</v>
      </c>
      <c r="H39" t="s">
        <v>508</v>
      </c>
      <c r="I39" t="s">
        <v>509</v>
      </c>
      <c r="J39" t="s">
        <v>589</v>
      </c>
      <c r="K39" s="502">
        <v>7</v>
      </c>
      <c r="L39" t="s">
        <v>528</v>
      </c>
    </row>
    <row r="40" spans="1:12">
      <c r="A40" t="s">
        <v>3145</v>
      </c>
      <c r="B40" t="s">
        <v>3359</v>
      </c>
      <c r="C40" s="60" t="str">
        <f t="shared" si="3"/>
        <v>E5070</v>
      </c>
      <c r="D40" t="s">
        <v>587</v>
      </c>
      <c r="E40" t="s">
        <v>588</v>
      </c>
      <c r="F40" t="s">
        <v>506</v>
      </c>
      <c r="G40" t="s">
        <v>507</v>
      </c>
      <c r="H40" t="s">
        <v>508</v>
      </c>
      <c r="I40" t="s">
        <v>509</v>
      </c>
      <c r="J40" t="s">
        <v>589</v>
      </c>
      <c r="K40" s="502">
        <v>7</v>
      </c>
      <c r="L40" t="s">
        <v>528</v>
      </c>
    </row>
    <row r="41" spans="1:12">
      <c r="A41" t="s">
        <v>3145</v>
      </c>
      <c r="B41" t="s">
        <v>3360</v>
      </c>
      <c r="C41" s="60" t="str">
        <f t="shared" si="3"/>
        <v>E5070</v>
      </c>
      <c r="D41" t="s">
        <v>587</v>
      </c>
      <c r="E41" t="s">
        <v>588</v>
      </c>
      <c r="F41" t="s">
        <v>506</v>
      </c>
      <c r="G41" t="s">
        <v>507</v>
      </c>
      <c r="H41" t="s">
        <v>508</v>
      </c>
      <c r="I41" t="s">
        <v>509</v>
      </c>
      <c r="J41" t="s">
        <v>589</v>
      </c>
      <c r="K41" s="502">
        <v>7</v>
      </c>
      <c r="L41" t="s">
        <v>528</v>
      </c>
    </row>
    <row r="42" spans="1:12">
      <c r="A42" t="s">
        <v>3145</v>
      </c>
      <c r="B42" t="s">
        <v>3361</v>
      </c>
      <c r="C42" s="60" t="str">
        <f t="shared" si="3"/>
        <v>E5070</v>
      </c>
      <c r="D42" t="s">
        <v>587</v>
      </c>
      <c r="E42" t="s">
        <v>588</v>
      </c>
      <c r="F42" t="s">
        <v>506</v>
      </c>
      <c r="G42" t="s">
        <v>507</v>
      </c>
      <c r="H42" t="s">
        <v>508</v>
      </c>
      <c r="I42" t="s">
        <v>509</v>
      </c>
      <c r="J42" t="s">
        <v>589</v>
      </c>
      <c r="K42" s="502">
        <v>7</v>
      </c>
      <c r="L42" t="s">
        <v>528</v>
      </c>
    </row>
    <row r="43" spans="1:12">
      <c r="A43" t="s">
        <v>3145</v>
      </c>
      <c r="B43" t="s">
        <v>3362</v>
      </c>
      <c r="C43" s="60" t="str">
        <f t="shared" si="3"/>
        <v>E5070</v>
      </c>
      <c r="D43" t="s">
        <v>587</v>
      </c>
      <c r="E43" t="s">
        <v>588</v>
      </c>
      <c r="F43" t="s">
        <v>506</v>
      </c>
      <c r="G43" t="s">
        <v>507</v>
      </c>
      <c r="H43" t="s">
        <v>508</v>
      </c>
      <c r="I43" t="s">
        <v>509</v>
      </c>
      <c r="J43" t="s">
        <v>589</v>
      </c>
      <c r="K43" s="502">
        <v>7</v>
      </c>
      <c r="L43" t="s">
        <v>528</v>
      </c>
    </row>
    <row r="44" spans="1:12">
      <c r="A44" t="s">
        <v>3145</v>
      </c>
      <c r="B44" t="s">
        <v>3363</v>
      </c>
      <c r="C44" s="60" t="str">
        <f t="shared" si="3"/>
        <v>E5070</v>
      </c>
      <c r="D44" t="s">
        <v>587</v>
      </c>
      <c r="E44" t="s">
        <v>588</v>
      </c>
      <c r="F44" t="s">
        <v>506</v>
      </c>
      <c r="G44" t="s">
        <v>507</v>
      </c>
      <c r="H44" t="s">
        <v>508</v>
      </c>
      <c r="I44" t="s">
        <v>509</v>
      </c>
      <c r="J44" t="s">
        <v>589</v>
      </c>
      <c r="K44" s="502">
        <v>7</v>
      </c>
      <c r="L44" t="s">
        <v>528</v>
      </c>
    </row>
    <row r="45" spans="1:12">
      <c r="A45" t="s">
        <v>3145</v>
      </c>
      <c r="B45" t="s">
        <v>3364</v>
      </c>
      <c r="C45" s="60" t="str">
        <f t="shared" si="3"/>
        <v>E5070</v>
      </c>
      <c r="D45" t="s">
        <v>587</v>
      </c>
      <c r="E45" t="s">
        <v>588</v>
      </c>
      <c r="F45" t="s">
        <v>506</v>
      </c>
      <c r="G45" t="s">
        <v>507</v>
      </c>
      <c r="H45" t="s">
        <v>508</v>
      </c>
      <c r="I45" t="s">
        <v>509</v>
      </c>
      <c r="J45" t="s">
        <v>589</v>
      </c>
      <c r="K45" s="502">
        <v>7</v>
      </c>
      <c r="L45" t="s">
        <v>528</v>
      </c>
    </row>
    <row r="46" spans="1:12">
      <c r="A46" t="s">
        <v>3145</v>
      </c>
      <c r="B46" t="s">
        <v>3365</v>
      </c>
      <c r="C46" s="60" t="str">
        <f t="shared" si="3"/>
        <v>E5070</v>
      </c>
      <c r="D46" t="s">
        <v>587</v>
      </c>
      <c r="E46" t="s">
        <v>588</v>
      </c>
      <c r="F46" t="s">
        <v>506</v>
      </c>
      <c r="G46" t="s">
        <v>507</v>
      </c>
      <c r="H46" t="s">
        <v>508</v>
      </c>
      <c r="I46" t="s">
        <v>509</v>
      </c>
      <c r="J46" t="s">
        <v>589</v>
      </c>
      <c r="K46" s="502">
        <v>7</v>
      </c>
      <c r="L46" t="s">
        <v>528</v>
      </c>
    </row>
    <row r="47" spans="1:12">
      <c r="A47" t="s">
        <v>3145</v>
      </c>
      <c r="B47" t="s">
        <v>3366</v>
      </c>
      <c r="C47" s="60" t="str">
        <f t="shared" si="3"/>
        <v>E5070</v>
      </c>
      <c r="D47" t="s">
        <v>587</v>
      </c>
      <c r="E47" t="s">
        <v>588</v>
      </c>
      <c r="F47" t="s">
        <v>506</v>
      </c>
      <c r="G47" t="s">
        <v>507</v>
      </c>
      <c r="H47" t="s">
        <v>508</v>
      </c>
      <c r="I47" t="s">
        <v>509</v>
      </c>
      <c r="J47" t="s">
        <v>589</v>
      </c>
      <c r="K47" s="502">
        <v>7</v>
      </c>
      <c r="L47" t="s">
        <v>528</v>
      </c>
    </row>
    <row r="48" spans="1:12">
      <c r="A48" t="s">
        <v>3145</v>
      </c>
      <c r="B48" t="s">
        <v>3367</v>
      </c>
      <c r="C48" s="60" t="str">
        <f t="shared" si="3"/>
        <v>E5070</v>
      </c>
      <c r="D48" t="s">
        <v>587</v>
      </c>
      <c r="E48" t="s">
        <v>588</v>
      </c>
      <c r="F48" t="s">
        <v>506</v>
      </c>
      <c r="G48" t="s">
        <v>507</v>
      </c>
      <c r="H48" t="s">
        <v>508</v>
      </c>
      <c r="I48" t="s">
        <v>509</v>
      </c>
      <c r="J48" t="s">
        <v>589</v>
      </c>
      <c r="K48" s="502">
        <v>7</v>
      </c>
      <c r="L48" t="s">
        <v>528</v>
      </c>
    </row>
    <row r="49" spans="1:12">
      <c r="A49" t="s">
        <v>3145</v>
      </c>
      <c r="B49" t="s">
        <v>3356</v>
      </c>
      <c r="C49" s="3" t="str">
        <f>+'2-Préparation saisie LV PROD'!B9</f>
        <v>E5080</v>
      </c>
      <c r="D49" t="s">
        <v>587</v>
      </c>
      <c r="E49" t="s">
        <v>588</v>
      </c>
      <c r="F49" t="s">
        <v>506</v>
      </c>
      <c r="G49" t="s">
        <v>507</v>
      </c>
      <c r="H49" t="s">
        <v>508</v>
      </c>
      <c r="I49" t="s">
        <v>509</v>
      </c>
      <c r="J49" t="s">
        <v>589</v>
      </c>
      <c r="K49" s="502">
        <v>5</v>
      </c>
      <c r="L49" t="s">
        <v>529</v>
      </c>
    </row>
    <row r="50" spans="1:12">
      <c r="A50" t="s">
        <v>3145</v>
      </c>
      <c r="B50" t="s">
        <v>3357</v>
      </c>
      <c r="C50" s="60" t="str">
        <f>C49</f>
        <v>E5080</v>
      </c>
      <c r="D50" t="s">
        <v>587</v>
      </c>
      <c r="E50" t="s">
        <v>588</v>
      </c>
      <c r="F50" t="s">
        <v>506</v>
      </c>
      <c r="G50" t="s">
        <v>507</v>
      </c>
      <c r="H50" t="s">
        <v>508</v>
      </c>
      <c r="I50" t="s">
        <v>509</v>
      </c>
      <c r="J50" t="s">
        <v>589</v>
      </c>
      <c r="K50" s="502">
        <v>5</v>
      </c>
      <c r="L50" t="s">
        <v>529</v>
      </c>
    </row>
    <row r="51" spans="1:12">
      <c r="A51" t="s">
        <v>3145</v>
      </c>
      <c r="B51" t="s">
        <v>3358</v>
      </c>
      <c r="C51" s="60" t="str">
        <f t="shared" ref="C51:C60" si="4">+C50</f>
        <v>E5080</v>
      </c>
      <c r="D51" t="s">
        <v>587</v>
      </c>
      <c r="E51" t="s">
        <v>588</v>
      </c>
      <c r="F51" t="s">
        <v>506</v>
      </c>
      <c r="G51" t="s">
        <v>507</v>
      </c>
      <c r="H51" t="s">
        <v>508</v>
      </c>
      <c r="I51" t="s">
        <v>509</v>
      </c>
      <c r="J51" t="s">
        <v>589</v>
      </c>
      <c r="K51" s="502">
        <v>5</v>
      </c>
      <c r="L51" t="s">
        <v>529</v>
      </c>
    </row>
    <row r="52" spans="1:12">
      <c r="A52" t="s">
        <v>3145</v>
      </c>
      <c r="B52" t="s">
        <v>3359</v>
      </c>
      <c r="C52" s="60" t="str">
        <f t="shared" si="4"/>
        <v>E5080</v>
      </c>
      <c r="D52" t="s">
        <v>587</v>
      </c>
      <c r="E52" t="s">
        <v>588</v>
      </c>
      <c r="F52" t="s">
        <v>506</v>
      </c>
      <c r="G52" t="s">
        <v>507</v>
      </c>
      <c r="H52" t="s">
        <v>508</v>
      </c>
      <c r="I52" t="s">
        <v>509</v>
      </c>
      <c r="J52" t="s">
        <v>589</v>
      </c>
      <c r="K52" s="502">
        <v>5</v>
      </c>
      <c r="L52" t="s">
        <v>529</v>
      </c>
    </row>
    <row r="53" spans="1:12">
      <c r="A53" t="s">
        <v>3145</v>
      </c>
      <c r="B53" t="s">
        <v>3360</v>
      </c>
      <c r="C53" s="60" t="str">
        <f t="shared" si="4"/>
        <v>E5080</v>
      </c>
      <c r="D53" t="s">
        <v>587</v>
      </c>
      <c r="E53" t="s">
        <v>588</v>
      </c>
      <c r="F53" t="s">
        <v>506</v>
      </c>
      <c r="G53" t="s">
        <v>507</v>
      </c>
      <c r="H53" t="s">
        <v>508</v>
      </c>
      <c r="I53" t="s">
        <v>509</v>
      </c>
      <c r="J53" t="s">
        <v>589</v>
      </c>
      <c r="K53" s="502">
        <v>5</v>
      </c>
      <c r="L53" t="s">
        <v>529</v>
      </c>
    </row>
    <row r="54" spans="1:12">
      <c r="A54" t="s">
        <v>3145</v>
      </c>
      <c r="B54" t="s">
        <v>3361</v>
      </c>
      <c r="C54" s="60" t="str">
        <f t="shared" si="4"/>
        <v>E5080</v>
      </c>
      <c r="D54" t="s">
        <v>587</v>
      </c>
      <c r="E54" t="s">
        <v>588</v>
      </c>
      <c r="F54" t="s">
        <v>506</v>
      </c>
      <c r="G54" t="s">
        <v>507</v>
      </c>
      <c r="H54" t="s">
        <v>508</v>
      </c>
      <c r="I54" t="s">
        <v>509</v>
      </c>
      <c r="J54" t="s">
        <v>589</v>
      </c>
      <c r="K54" s="502">
        <v>5</v>
      </c>
      <c r="L54" t="s">
        <v>529</v>
      </c>
    </row>
    <row r="55" spans="1:12">
      <c r="A55" t="s">
        <v>3145</v>
      </c>
      <c r="B55" t="s">
        <v>3362</v>
      </c>
      <c r="C55" s="60" t="str">
        <f t="shared" si="4"/>
        <v>E5080</v>
      </c>
      <c r="D55" t="s">
        <v>587</v>
      </c>
      <c r="E55" t="s">
        <v>588</v>
      </c>
      <c r="F55" t="s">
        <v>506</v>
      </c>
      <c r="G55" t="s">
        <v>507</v>
      </c>
      <c r="H55" t="s">
        <v>508</v>
      </c>
      <c r="I55" t="s">
        <v>509</v>
      </c>
      <c r="J55" t="s">
        <v>589</v>
      </c>
      <c r="K55" s="502">
        <v>5</v>
      </c>
      <c r="L55" t="s">
        <v>529</v>
      </c>
    </row>
    <row r="56" spans="1:12">
      <c r="A56" t="s">
        <v>3145</v>
      </c>
      <c r="B56" t="s">
        <v>3363</v>
      </c>
      <c r="C56" s="60" t="str">
        <f t="shared" si="4"/>
        <v>E5080</v>
      </c>
      <c r="D56" t="s">
        <v>587</v>
      </c>
      <c r="E56" t="s">
        <v>588</v>
      </c>
      <c r="F56" t="s">
        <v>506</v>
      </c>
      <c r="G56" t="s">
        <v>507</v>
      </c>
      <c r="H56" t="s">
        <v>508</v>
      </c>
      <c r="I56" t="s">
        <v>509</v>
      </c>
      <c r="J56" t="s">
        <v>589</v>
      </c>
      <c r="K56" s="502">
        <v>5</v>
      </c>
      <c r="L56" t="s">
        <v>529</v>
      </c>
    </row>
    <row r="57" spans="1:12">
      <c r="A57" t="s">
        <v>3145</v>
      </c>
      <c r="B57" t="s">
        <v>3364</v>
      </c>
      <c r="C57" s="60" t="str">
        <f t="shared" si="4"/>
        <v>E5080</v>
      </c>
      <c r="D57" t="s">
        <v>587</v>
      </c>
      <c r="E57" t="s">
        <v>588</v>
      </c>
      <c r="F57" t="s">
        <v>506</v>
      </c>
      <c r="G57" t="s">
        <v>507</v>
      </c>
      <c r="H57" t="s">
        <v>508</v>
      </c>
      <c r="I57" t="s">
        <v>509</v>
      </c>
      <c r="J57" t="s">
        <v>589</v>
      </c>
      <c r="K57" s="502">
        <v>5</v>
      </c>
      <c r="L57" t="s">
        <v>529</v>
      </c>
    </row>
    <row r="58" spans="1:12">
      <c r="A58" t="s">
        <v>3145</v>
      </c>
      <c r="B58" t="s">
        <v>3365</v>
      </c>
      <c r="C58" s="60" t="str">
        <f t="shared" si="4"/>
        <v>E5080</v>
      </c>
      <c r="D58" t="s">
        <v>587</v>
      </c>
      <c r="E58" t="s">
        <v>588</v>
      </c>
      <c r="F58" t="s">
        <v>506</v>
      </c>
      <c r="G58" t="s">
        <v>507</v>
      </c>
      <c r="H58" t="s">
        <v>508</v>
      </c>
      <c r="I58" t="s">
        <v>509</v>
      </c>
      <c r="J58" t="s">
        <v>589</v>
      </c>
      <c r="K58" s="502">
        <v>5</v>
      </c>
      <c r="L58" t="s">
        <v>529</v>
      </c>
    </row>
    <row r="59" spans="1:12">
      <c r="A59" t="s">
        <v>3145</v>
      </c>
      <c r="B59" t="s">
        <v>3366</v>
      </c>
      <c r="C59" s="60" t="str">
        <f t="shared" si="4"/>
        <v>E5080</v>
      </c>
      <c r="D59" t="s">
        <v>587</v>
      </c>
      <c r="E59" t="s">
        <v>588</v>
      </c>
      <c r="F59" t="s">
        <v>506</v>
      </c>
      <c r="G59" t="s">
        <v>507</v>
      </c>
      <c r="H59" t="s">
        <v>508</v>
      </c>
      <c r="I59" t="s">
        <v>509</v>
      </c>
      <c r="J59" t="s">
        <v>589</v>
      </c>
      <c r="K59" s="502">
        <v>5</v>
      </c>
      <c r="L59" t="s">
        <v>529</v>
      </c>
    </row>
    <row r="60" spans="1:12">
      <c r="A60" t="s">
        <v>3145</v>
      </c>
      <c r="B60" t="s">
        <v>3367</v>
      </c>
      <c r="C60" s="60" t="str">
        <f t="shared" si="4"/>
        <v>E5080</v>
      </c>
      <c r="D60" t="s">
        <v>587</v>
      </c>
      <c r="E60" t="s">
        <v>588</v>
      </c>
      <c r="F60" t="s">
        <v>506</v>
      </c>
      <c r="G60" t="s">
        <v>507</v>
      </c>
      <c r="H60" t="s">
        <v>508</v>
      </c>
      <c r="I60" t="s">
        <v>509</v>
      </c>
      <c r="J60" t="s">
        <v>589</v>
      </c>
      <c r="K60" s="502">
        <v>5</v>
      </c>
      <c r="L60" t="s">
        <v>529</v>
      </c>
    </row>
    <row r="61" spans="1:12">
      <c r="A61" t="s">
        <v>3145</v>
      </c>
      <c r="B61" t="s">
        <v>3356</v>
      </c>
      <c r="C61" s="3" t="str">
        <f>+'2-Préparation saisie LV PROD'!B10</f>
        <v>E5090</v>
      </c>
      <c r="D61" t="s">
        <v>587</v>
      </c>
      <c r="E61" t="s">
        <v>588</v>
      </c>
      <c r="F61" t="s">
        <v>506</v>
      </c>
      <c r="G61" t="s">
        <v>507</v>
      </c>
      <c r="H61" t="s">
        <v>508</v>
      </c>
      <c r="I61" t="s">
        <v>509</v>
      </c>
      <c r="J61" t="s">
        <v>589</v>
      </c>
      <c r="K61" s="502">
        <v>7</v>
      </c>
      <c r="L61" t="s">
        <v>530</v>
      </c>
    </row>
    <row r="62" spans="1:12">
      <c r="A62" t="s">
        <v>3145</v>
      </c>
      <c r="B62" t="s">
        <v>3357</v>
      </c>
      <c r="C62" s="60" t="str">
        <f>C61</f>
        <v>E5090</v>
      </c>
      <c r="D62" t="s">
        <v>587</v>
      </c>
      <c r="E62" t="s">
        <v>588</v>
      </c>
      <c r="F62" t="s">
        <v>506</v>
      </c>
      <c r="G62" t="s">
        <v>507</v>
      </c>
      <c r="H62" t="s">
        <v>508</v>
      </c>
      <c r="I62" t="s">
        <v>509</v>
      </c>
      <c r="J62" t="s">
        <v>589</v>
      </c>
      <c r="K62" s="502">
        <v>7</v>
      </c>
      <c r="L62" t="s">
        <v>530</v>
      </c>
    </row>
    <row r="63" spans="1:12">
      <c r="A63" t="s">
        <v>3145</v>
      </c>
      <c r="B63" t="s">
        <v>3358</v>
      </c>
      <c r="C63" s="60" t="str">
        <f t="shared" ref="C63:C72" si="5">+C62</f>
        <v>E5090</v>
      </c>
      <c r="D63" t="s">
        <v>587</v>
      </c>
      <c r="E63" t="s">
        <v>588</v>
      </c>
      <c r="F63" t="s">
        <v>506</v>
      </c>
      <c r="G63" t="s">
        <v>507</v>
      </c>
      <c r="H63" t="s">
        <v>508</v>
      </c>
      <c r="I63" t="s">
        <v>509</v>
      </c>
      <c r="J63" t="s">
        <v>589</v>
      </c>
      <c r="K63" s="502">
        <v>7</v>
      </c>
      <c r="L63" t="s">
        <v>530</v>
      </c>
    </row>
    <row r="64" spans="1:12">
      <c r="A64" t="s">
        <v>3145</v>
      </c>
      <c r="B64" t="s">
        <v>3359</v>
      </c>
      <c r="C64" s="60" t="str">
        <f t="shared" si="5"/>
        <v>E5090</v>
      </c>
      <c r="D64" t="s">
        <v>587</v>
      </c>
      <c r="E64" t="s">
        <v>588</v>
      </c>
      <c r="F64" t="s">
        <v>506</v>
      </c>
      <c r="G64" t="s">
        <v>507</v>
      </c>
      <c r="H64" t="s">
        <v>508</v>
      </c>
      <c r="I64" t="s">
        <v>509</v>
      </c>
      <c r="J64" t="s">
        <v>589</v>
      </c>
      <c r="K64" s="502">
        <v>7</v>
      </c>
      <c r="L64" t="s">
        <v>530</v>
      </c>
    </row>
    <row r="65" spans="1:12">
      <c r="A65" t="s">
        <v>3145</v>
      </c>
      <c r="B65" t="s">
        <v>3360</v>
      </c>
      <c r="C65" s="60" t="str">
        <f t="shared" si="5"/>
        <v>E5090</v>
      </c>
      <c r="D65" t="s">
        <v>587</v>
      </c>
      <c r="E65" t="s">
        <v>588</v>
      </c>
      <c r="F65" t="s">
        <v>506</v>
      </c>
      <c r="G65" t="s">
        <v>507</v>
      </c>
      <c r="H65" t="s">
        <v>508</v>
      </c>
      <c r="I65" t="s">
        <v>509</v>
      </c>
      <c r="J65" t="s">
        <v>589</v>
      </c>
      <c r="K65" s="502">
        <v>7</v>
      </c>
      <c r="L65" t="s">
        <v>530</v>
      </c>
    </row>
    <row r="66" spans="1:12">
      <c r="A66" t="s">
        <v>3145</v>
      </c>
      <c r="B66" t="s">
        <v>3361</v>
      </c>
      <c r="C66" s="60" t="str">
        <f t="shared" si="5"/>
        <v>E5090</v>
      </c>
      <c r="D66" t="s">
        <v>587</v>
      </c>
      <c r="E66" t="s">
        <v>588</v>
      </c>
      <c r="F66" t="s">
        <v>506</v>
      </c>
      <c r="G66" t="s">
        <v>507</v>
      </c>
      <c r="H66" t="s">
        <v>508</v>
      </c>
      <c r="I66" t="s">
        <v>509</v>
      </c>
      <c r="J66" t="s">
        <v>589</v>
      </c>
      <c r="K66" s="502">
        <v>7</v>
      </c>
      <c r="L66" t="s">
        <v>530</v>
      </c>
    </row>
    <row r="67" spans="1:12">
      <c r="A67" t="s">
        <v>3145</v>
      </c>
      <c r="B67" t="s">
        <v>3362</v>
      </c>
      <c r="C67" s="60" t="str">
        <f t="shared" si="5"/>
        <v>E5090</v>
      </c>
      <c r="D67" t="s">
        <v>587</v>
      </c>
      <c r="E67" t="s">
        <v>588</v>
      </c>
      <c r="F67" t="s">
        <v>506</v>
      </c>
      <c r="G67" t="s">
        <v>507</v>
      </c>
      <c r="H67" t="s">
        <v>508</v>
      </c>
      <c r="I67" t="s">
        <v>509</v>
      </c>
      <c r="J67" t="s">
        <v>589</v>
      </c>
      <c r="K67" s="502">
        <v>7</v>
      </c>
      <c r="L67" t="s">
        <v>530</v>
      </c>
    </row>
    <row r="68" spans="1:12">
      <c r="A68" t="s">
        <v>3145</v>
      </c>
      <c r="B68" t="s">
        <v>3363</v>
      </c>
      <c r="C68" s="60" t="str">
        <f t="shared" si="5"/>
        <v>E5090</v>
      </c>
      <c r="D68" t="s">
        <v>587</v>
      </c>
      <c r="E68" t="s">
        <v>588</v>
      </c>
      <c r="F68" t="s">
        <v>506</v>
      </c>
      <c r="G68" t="s">
        <v>507</v>
      </c>
      <c r="H68" t="s">
        <v>508</v>
      </c>
      <c r="I68" t="s">
        <v>509</v>
      </c>
      <c r="J68" t="s">
        <v>589</v>
      </c>
      <c r="K68" s="502">
        <v>7</v>
      </c>
      <c r="L68" t="s">
        <v>530</v>
      </c>
    </row>
    <row r="69" spans="1:12">
      <c r="A69" t="s">
        <v>3145</v>
      </c>
      <c r="B69" t="s">
        <v>3364</v>
      </c>
      <c r="C69" s="60" t="str">
        <f t="shared" si="5"/>
        <v>E5090</v>
      </c>
      <c r="D69" t="s">
        <v>587</v>
      </c>
      <c r="E69" t="s">
        <v>588</v>
      </c>
      <c r="F69" t="s">
        <v>506</v>
      </c>
      <c r="G69" t="s">
        <v>507</v>
      </c>
      <c r="H69" t="s">
        <v>508</v>
      </c>
      <c r="I69" t="s">
        <v>509</v>
      </c>
      <c r="J69" t="s">
        <v>589</v>
      </c>
      <c r="K69" s="502">
        <v>7</v>
      </c>
      <c r="L69" t="s">
        <v>530</v>
      </c>
    </row>
    <row r="70" spans="1:12">
      <c r="A70" t="s">
        <v>3145</v>
      </c>
      <c r="B70" t="s">
        <v>3365</v>
      </c>
      <c r="C70" s="60" t="str">
        <f t="shared" si="5"/>
        <v>E5090</v>
      </c>
      <c r="D70" t="s">
        <v>587</v>
      </c>
      <c r="E70" t="s">
        <v>588</v>
      </c>
      <c r="F70" t="s">
        <v>506</v>
      </c>
      <c r="G70" t="s">
        <v>507</v>
      </c>
      <c r="H70" t="s">
        <v>508</v>
      </c>
      <c r="I70" t="s">
        <v>509</v>
      </c>
      <c r="J70" t="s">
        <v>589</v>
      </c>
      <c r="K70" s="502">
        <v>7</v>
      </c>
      <c r="L70" t="s">
        <v>530</v>
      </c>
    </row>
    <row r="71" spans="1:12">
      <c r="A71" t="s">
        <v>3145</v>
      </c>
      <c r="B71" t="s">
        <v>3366</v>
      </c>
      <c r="C71" s="60" t="str">
        <f t="shared" si="5"/>
        <v>E5090</v>
      </c>
      <c r="D71" t="s">
        <v>587</v>
      </c>
      <c r="E71" t="s">
        <v>588</v>
      </c>
      <c r="F71" t="s">
        <v>506</v>
      </c>
      <c r="G71" t="s">
        <v>507</v>
      </c>
      <c r="H71" t="s">
        <v>508</v>
      </c>
      <c r="I71" t="s">
        <v>509</v>
      </c>
      <c r="J71" t="s">
        <v>589</v>
      </c>
      <c r="K71" s="502">
        <v>7</v>
      </c>
      <c r="L71" t="s">
        <v>530</v>
      </c>
    </row>
    <row r="72" spans="1:12">
      <c r="A72" t="s">
        <v>3145</v>
      </c>
      <c r="B72" t="s">
        <v>3367</v>
      </c>
      <c r="C72" s="60" t="str">
        <f t="shared" si="5"/>
        <v>E5090</v>
      </c>
      <c r="D72" t="s">
        <v>587</v>
      </c>
      <c r="E72" t="s">
        <v>588</v>
      </c>
      <c r="F72" t="s">
        <v>506</v>
      </c>
      <c r="G72" t="s">
        <v>507</v>
      </c>
      <c r="H72" t="s">
        <v>508</v>
      </c>
      <c r="I72" t="s">
        <v>509</v>
      </c>
      <c r="J72" t="s">
        <v>589</v>
      </c>
      <c r="K72" s="502">
        <v>7</v>
      </c>
      <c r="L72" t="s">
        <v>530</v>
      </c>
    </row>
    <row r="73" spans="1:12">
      <c r="A73" t="s">
        <v>3145</v>
      </c>
      <c r="B73" t="s">
        <v>3356</v>
      </c>
      <c r="C73" s="3" t="str">
        <f>+'2-Préparation saisie LV PROD'!B11</f>
        <v>E5100</v>
      </c>
      <c r="D73" t="s">
        <v>587</v>
      </c>
      <c r="E73" t="s">
        <v>588</v>
      </c>
      <c r="F73" t="s">
        <v>506</v>
      </c>
      <c r="G73" t="s">
        <v>507</v>
      </c>
      <c r="H73" t="s">
        <v>508</v>
      </c>
      <c r="I73" t="s">
        <v>509</v>
      </c>
      <c r="J73" t="s">
        <v>589</v>
      </c>
      <c r="K73" s="502">
        <v>7</v>
      </c>
      <c r="L73" t="s">
        <v>531</v>
      </c>
    </row>
    <row r="74" spans="1:12">
      <c r="A74" t="s">
        <v>3145</v>
      </c>
      <c r="B74" t="s">
        <v>3357</v>
      </c>
      <c r="C74" s="60" t="str">
        <f>C73</f>
        <v>E5100</v>
      </c>
      <c r="D74" t="s">
        <v>587</v>
      </c>
      <c r="E74" t="s">
        <v>588</v>
      </c>
      <c r="F74" t="s">
        <v>506</v>
      </c>
      <c r="G74" t="s">
        <v>507</v>
      </c>
      <c r="H74" t="s">
        <v>508</v>
      </c>
      <c r="I74" t="s">
        <v>509</v>
      </c>
      <c r="J74" t="s">
        <v>589</v>
      </c>
      <c r="K74" s="502">
        <v>7</v>
      </c>
      <c r="L74" t="s">
        <v>531</v>
      </c>
    </row>
    <row r="75" spans="1:12">
      <c r="A75" t="s">
        <v>3145</v>
      </c>
      <c r="B75" t="s">
        <v>3358</v>
      </c>
      <c r="C75" s="60" t="str">
        <f t="shared" ref="C75:C84" si="6">+C74</f>
        <v>E5100</v>
      </c>
      <c r="D75" t="s">
        <v>587</v>
      </c>
      <c r="E75" t="s">
        <v>588</v>
      </c>
      <c r="F75" t="s">
        <v>506</v>
      </c>
      <c r="G75" t="s">
        <v>507</v>
      </c>
      <c r="H75" t="s">
        <v>508</v>
      </c>
      <c r="I75" t="s">
        <v>509</v>
      </c>
      <c r="J75" t="s">
        <v>589</v>
      </c>
      <c r="K75" s="502">
        <v>7</v>
      </c>
      <c r="L75" t="s">
        <v>531</v>
      </c>
    </row>
    <row r="76" spans="1:12">
      <c r="A76" t="s">
        <v>3145</v>
      </c>
      <c r="B76" t="s">
        <v>3359</v>
      </c>
      <c r="C76" s="60" t="str">
        <f t="shared" si="6"/>
        <v>E5100</v>
      </c>
      <c r="D76" t="s">
        <v>587</v>
      </c>
      <c r="E76" t="s">
        <v>588</v>
      </c>
      <c r="F76" t="s">
        <v>506</v>
      </c>
      <c r="G76" t="s">
        <v>507</v>
      </c>
      <c r="H76" t="s">
        <v>508</v>
      </c>
      <c r="I76" t="s">
        <v>509</v>
      </c>
      <c r="J76" t="s">
        <v>589</v>
      </c>
      <c r="K76" s="502">
        <v>7</v>
      </c>
      <c r="L76" t="s">
        <v>531</v>
      </c>
    </row>
    <row r="77" spans="1:12">
      <c r="A77" t="s">
        <v>3145</v>
      </c>
      <c r="B77" t="s">
        <v>3360</v>
      </c>
      <c r="C77" s="60" t="str">
        <f t="shared" si="6"/>
        <v>E5100</v>
      </c>
      <c r="D77" t="s">
        <v>587</v>
      </c>
      <c r="E77" t="s">
        <v>588</v>
      </c>
      <c r="F77" t="s">
        <v>506</v>
      </c>
      <c r="G77" t="s">
        <v>507</v>
      </c>
      <c r="H77" t="s">
        <v>508</v>
      </c>
      <c r="I77" t="s">
        <v>509</v>
      </c>
      <c r="J77" t="s">
        <v>589</v>
      </c>
      <c r="K77" s="502">
        <v>7</v>
      </c>
      <c r="L77" t="s">
        <v>531</v>
      </c>
    </row>
    <row r="78" spans="1:12">
      <c r="A78" t="s">
        <v>3145</v>
      </c>
      <c r="B78" t="s">
        <v>3361</v>
      </c>
      <c r="C78" s="60" t="str">
        <f t="shared" si="6"/>
        <v>E5100</v>
      </c>
      <c r="D78" t="s">
        <v>587</v>
      </c>
      <c r="E78" t="s">
        <v>588</v>
      </c>
      <c r="F78" t="s">
        <v>506</v>
      </c>
      <c r="G78" t="s">
        <v>507</v>
      </c>
      <c r="H78" t="s">
        <v>508</v>
      </c>
      <c r="I78" t="s">
        <v>509</v>
      </c>
      <c r="J78" t="s">
        <v>589</v>
      </c>
      <c r="K78" s="502">
        <v>7</v>
      </c>
      <c r="L78" t="s">
        <v>531</v>
      </c>
    </row>
    <row r="79" spans="1:12">
      <c r="A79" t="s">
        <v>3145</v>
      </c>
      <c r="B79" t="s">
        <v>3362</v>
      </c>
      <c r="C79" s="60" t="str">
        <f t="shared" si="6"/>
        <v>E5100</v>
      </c>
      <c r="D79" t="s">
        <v>587</v>
      </c>
      <c r="E79" t="s">
        <v>588</v>
      </c>
      <c r="F79" t="s">
        <v>506</v>
      </c>
      <c r="G79" t="s">
        <v>507</v>
      </c>
      <c r="H79" t="s">
        <v>508</v>
      </c>
      <c r="I79" t="s">
        <v>509</v>
      </c>
      <c r="J79" t="s">
        <v>589</v>
      </c>
      <c r="K79" s="502">
        <v>7</v>
      </c>
      <c r="L79" t="s">
        <v>531</v>
      </c>
    </row>
    <row r="80" spans="1:12">
      <c r="A80" t="s">
        <v>3145</v>
      </c>
      <c r="B80" t="s">
        <v>3363</v>
      </c>
      <c r="C80" s="60" t="str">
        <f t="shared" si="6"/>
        <v>E5100</v>
      </c>
      <c r="D80" t="s">
        <v>587</v>
      </c>
      <c r="E80" t="s">
        <v>588</v>
      </c>
      <c r="F80" t="s">
        <v>506</v>
      </c>
      <c r="G80" t="s">
        <v>507</v>
      </c>
      <c r="H80" t="s">
        <v>508</v>
      </c>
      <c r="I80" t="s">
        <v>509</v>
      </c>
      <c r="J80" t="s">
        <v>589</v>
      </c>
      <c r="K80" s="502">
        <v>7</v>
      </c>
      <c r="L80" t="s">
        <v>531</v>
      </c>
    </row>
    <row r="81" spans="1:12">
      <c r="A81" t="s">
        <v>3145</v>
      </c>
      <c r="B81" t="s">
        <v>3364</v>
      </c>
      <c r="C81" s="60" t="str">
        <f t="shared" si="6"/>
        <v>E5100</v>
      </c>
      <c r="D81" t="s">
        <v>587</v>
      </c>
      <c r="E81" t="s">
        <v>588</v>
      </c>
      <c r="F81" t="s">
        <v>506</v>
      </c>
      <c r="G81" t="s">
        <v>507</v>
      </c>
      <c r="H81" t="s">
        <v>508</v>
      </c>
      <c r="I81" t="s">
        <v>509</v>
      </c>
      <c r="J81" t="s">
        <v>589</v>
      </c>
      <c r="K81" s="502">
        <v>7</v>
      </c>
      <c r="L81" t="s">
        <v>531</v>
      </c>
    </row>
    <row r="82" spans="1:12">
      <c r="A82" t="s">
        <v>3145</v>
      </c>
      <c r="B82" t="s">
        <v>3365</v>
      </c>
      <c r="C82" s="60" t="str">
        <f t="shared" si="6"/>
        <v>E5100</v>
      </c>
      <c r="D82" t="s">
        <v>587</v>
      </c>
      <c r="E82" t="s">
        <v>588</v>
      </c>
      <c r="F82" t="s">
        <v>506</v>
      </c>
      <c r="G82" t="s">
        <v>507</v>
      </c>
      <c r="H82" t="s">
        <v>508</v>
      </c>
      <c r="I82" t="s">
        <v>509</v>
      </c>
      <c r="J82" t="s">
        <v>589</v>
      </c>
      <c r="K82" s="502">
        <v>7</v>
      </c>
      <c r="L82" t="s">
        <v>531</v>
      </c>
    </row>
    <row r="83" spans="1:12">
      <c r="A83" t="s">
        <v>3145</v>
      </c>
      <c r="B83" t="s">
        <v>3366</v>
      </c>
      <c r="C83" s="60" t="str">
        <f t="shared" si="6"/>
        <v>E5100</v>
      </c>
      <c r="D83" t="s">
        <v>587</v>
      </c>
      <c r="E83" t="s">
        <v>588</v>
      </c>
      <c r="F83" t="s">
        <v>506</v>
      </c>
      <c r="G83" t="s">
        <v>507</v>
      </c>
      <c r="H83" t="s">
        <v>508</v>
      </c>
      <c r="I83" t="s">
        <v>509</v>
      </c>
      <c r="J83" t="s">
        <v>589</v>
      </c>
      <c r="K83" s="502">
        <v>7</v>
      </c>
      <c r="L83" t="s">
        <v>531</v>
      </c>
    </row>
    <row r="84" spans="1:12">
      <c r="A84" t="s">
        <v>3145</v>
      </c>
      <c r="B84" t="s">
        <v>3367</v>
      </c>
      <c r="C84" s="60" t="str">
        <f t="shared" si="6"/>
        <v>E5100</v>
      </c>
      <c r="D84" t="s">
        <v>587</v>
      </c>
      <c r="E84" t="s">
        <v>588</v>
      </c>
      <c r="F84" t="s">
        <v>506</v>
      </c>
      <c r="G84" t="s">
        <v>507</v>
      </c>
      <c r="H84" t="s">
        <v>508</v>
      </c>
      <c r="I84" t="s">
        <v>509</v>
      </c>
      <c r="J84" t="s">
        <v>589</v>
      </c>
      <c r="K84" s="502">
        <v>7</v>
      </c>
      <c r="L84" t="s">
        <v>531</v>
      </c>
    </row>
    <row r="85" spans="1:12">
      <c r="A85" t="s">
        <v>3145</v>
      </c>
      <c r="B85" t="s">
        <v>3356</v>
      </c>
      <c r="C85" s="3" t="str">
        <f>+'2-Préparation saisie LV PROD'!B12</f>
        <v>E5110</v>
      </c>
      <c r="D85" t="s">
        <v>587</v>
      </c>
      <c r="E85" t="s">
        <v>588</v>
      </c>
      <c r="F85" t="s">
        <v>506</v>
      </c>
      <c r="G85" t="s">
        <v>507</v>
      </c>
      <c r="H85" t="s">
        <v>508</v>
      </c>
      <c r="I85" t="s">
        <v>509</v>
      </c>
      <c r="J85" t="s">
        <v>589</v>
      </c>
      <c r="K85" s="502">
        <v>0</v>
      </c>
      <c r="L85" t="s">
        <v>532</v>
      </c>
    </row>
    <row r="86" spans="1:12">
      <c r="A86" t="s">
        <v>3145</v>
      </c>
      <c r="B86" t="s">
        <v>3357</v>
      </c>
      <c r="C86" s="60" t="str">
        <f>C85</f>
        <v>E5110</v>
      </c>
      <c r="D86" t="s">
        <v>587</v>
      </c>
      <c r="E86" t="s">
        <v>588</v>
      </c>
      <c r="F86" t="s">
        <v>506</v>
      </c>
      <c r="G86" t="s">
        <v>507</v>
      </c>
      <c r="H86" t="s">
        <v>508</v>
      </c>
      <c r="I86" t="s">
        <v>509</v>
      </c>
      <c r="J86" t="s">
        <v>589</v>
      </c>
      <c r="K86" s="502">
        <v>0</v>
      </c>
      <c r="L86" t="s">
        <v>532</v>
      </c>
    </row>
    <row r="87" spans="1:12">
      <c r="A87" t="s">
        <v>3145</v>
      </c>
      <c r="B87" t="s">
        <v>3358</v>
      </c>
      <c r="C87" s="60" t="str">
        <f t="shared" ref="C87:C96" si="7">+C86</f>
        <v>E5110</v>
      </c>
      <c r="D87" t="s">
        <v>587</v>
      </c>
      <c r="E87" t="s">
        <v>588</v>
      </c>
      <c r="F87" t="s">
        <v>506</v>
      </c>
      <c r="G87" t="s">
        <v>507</v>
      </c>
      <c r="H87" t="s">
        <v>508</v>
      </c>
      <c r="I87" t="s">
        <v>509</v>
      </c>
      <c r="J87" t="s">
        <v>589</v>
      </c>
      <c r="K87" s="502">
        <v>0</v>
      </c>
      <c r="L87" t="s">
        <v>532</v>
      </c>
    </row>
    <row r="88" spans="1:12">
      <c r="A88" t="s">
        <v>3145</v>
      </c>
      <c r="B88" t="s">
        <v>3359</v>
      </c>
      <c r="C88" s="60" t="str">
        <f t="shared" si="7"/>
        <v>E5110</v>
      </c>
      <c r="D88" t="s">
        <v>587</v>
      </c>
      <c r="E88" t="s">
        <v>588</v>
      </c>
      <c r="F88" t="s">
        <v>506</v>
      </c>
      <c r="G88" t="s">
        <v>507</v>
      </c>
      <c r="H88" t="s">
        <v>508</v>
      </c>
      <c r="I88" t="s">
        <v>509</v>
      </c>
      <c r="J88" t="s">
        <v>589</v>
      </c>
      <c r="K88" s="502">
        <v>0</v>
      </c>
      <c r="L88" t="s">
        <v>532</v>
      </c>
    </row>
    <row r="89" spans="1:12">
      <c r="A89" t="s">
        <v>3145</v>
      </c>
      <c r="B89" t="s">
        <v>3360</v>
      </c>
      <c r="C89" s="60" t="str">
        <f t="shared" si="7"/>
        <v>E5110</v>
      </c>
      <c r="D89" t="s">
        <v>587</v>
      </c>
      <c r="E89" t="s">
        <v>588</v>
      </c>
      <c r="F89" t="s">
        <v>506</v>
      </c>
      <c r="G89" t="s">
        <v>507</v>
      </c>
      <c r="H89" t="s">
        <v>508</v>
      </c>
      <c r="I89" t="s">
        <v>509</v>
      </c>
      <c r="J89" t="s">
        <v>589</v>
      </c>
      <c r="K89" s="502">
        <v>0</v>
      </c>
      <c r="L89" t="s">
        <v>532</v>
      </c>
    </row>
    <row r="90" spans="1:12">
      <c r="A90" t="s">
        <v>3145</v>
      </c>
      <c r="B90" t="s">
        <v>3361</v>
      </c>
      <c r="C90" s="60" t="str">
        <f t="shared" si="7"/>
        <v>E5110</v>
      </c>
      <c r="D90" t="s">
        <v>587</v>
      </c>
      <c r="E90" t="s">
        <v>588</v>
      </c>
      <c r="F90" t="s">
        <v>506</v>
      </c>
      <c r="G90" t="s">
        <v>507</v>
      </c>
      <c r="H90" t="s">
        <v>508</v>
      </c>
      <c r="I90" t="s">
        <v>509</v>
      </c>
      <c r="J90" t="s">
        <v>589</v>
      </c>
      <c r="K90" s="502">
        <v>0</v>
      </c>
      <c r="L90" t="s">
        <v>532</v>
      </c>
    </row>
    <row r="91" spans="1:12">
      <c r="A91" t="s">
        <v>3145</v>
      </c>
      <c r="B91" t="s">
        <v>3362</v>
      </c>
      <c r="C91" s="60" t="str">
        <f t="shared" si="7"/>
        <v>E5110</v>
      </c>
      <c r="D91" t="s">
        <v>587</v>
      </c>
      <c r="E91" t="s">
        <v>588</v>
      </c>
      <c r="F91" t="s">
        <v>506</v>
      </c>
      <c r="G91" t="s">
        <v>507</v>
      </c>
      <c r="H91" t="s">
        <v>508</v>
      </c>
      <c r="I91" t="s">
        <v>509</v>
      </c>
      <c r="J91" t="s">
        <v>589</v>
      </c>
      <c r="K91" s="502">
        <v>0</v>
      </c>
      <c r="L91" t="s">
        <v>532</v>
      </c>
    </row>
    <row r="92" spans="1:12">
      <c r="A92" t="s">
        <v>3145</v>
      </c>
      <c r="B92" t="s">
        <v>3363</v>
      </c>
      <c r="C92" s="60" t="str">
        <f t="shared" si="7"/>
        <v>E5110</v>
      </c>
      <c r="D92" t="s">
        <v>587</v>
      </c>
      <c r="E92" t="s">
        <v>588</v>
      </c>
      <c r="F92" t="s">
        <v>506</v>
      </c>
      <c r="G92" t="s">
        <v>507</v>
      </c>
      <c r="H92" t="s">
        <v>508</v>
      </c>
      <c r="I92" t="s">
        <v>509</v>
      </c>
      <c r="J92" t="s">
        <v>589</v>
      </c>
      <c r="K92" s="502">
        <v>0</v>
      </c>
      <c r="L92" t="s">
        <v>532</v>
      </c>
    </row>
    <row r="93" spans="1:12">
      <c r="A93" t="s">
        <v>3145</v>
      </c>
      <c r="B93" t="s">
        <v>3364</v>
      </c>
      <c r="C93" s="60" t="str">
        <f t="shared" si="7"/>
        <v>E5110</v>
      </c>
      <c r="D93" t="s">
        <v>587</v>
      </c>
      <c r="E93" t="s">
        <v>588</v>
      </c>
      <c r="F93" t="s">
        <v>506</v>
      </c>
      <c r="G93" t="s">
        <v>507</v>
      </c>
      <c r="H93" t="s">
        <v>508</v>
      </c>
      <c r="I93" t="s">
        <v>509</v>
      </c>
      <c r="J93" t="s">
        <v>589</v>
      </c>
      <c r="K93" s="502">
        <v>0</v>
      </c>
      <c r="L93" t="s">
        <v>532</v>
      </c>
    </row>
    <row r="94" spans="1:12">
      <c r="A94" t="s">
        <v>3145</v>
      </c>
      <c r="B94" t="s">
        <v>3365</v>
      </c>
      <c r="C94" s="60" t="str">
        <f t="shared" si="7"/>
        <v>E5110</v>
      </c>
      <c r="D94" t="s">
        <v>587</v>
      </c>
      <c r="E94" t="s">
        <v>588</v>
      </c>
      <c r="F94" t="s">
        <v>506</v>
      </c>
      <c r="G94" t="s">
        <v>507</v>
      </c>
      <c r="H94" t="s">
        <v>508</v>
      </c>
      <c r="I94" t="s">
        <v>509</v>
      </c>
      <c r="J94" t="s">
        <v>589</v>
      </c>
      <c r="K94" s="502">
        <v>0</v>
      </c>
      <c r="L94" t="s">
        <v>532</v>
      </c>
    </row>
    <row r="95" spans="1:12">
      <c r="A95" t="s">
        <v>3145</v>
      </c>
      <c r="B95" t="s">
        <v>3366</v>
      </c>
      <c r="C95" s="60" t="str">
        <f t="shared" si="7"/>
        <v>E5110</v>
      </c>
      <c r="D95" t="s">
        <v>587</v>
      </c>
      <c r="E95" t="s">
        <v>588</v>
      </c>
      <c r="F95" t="s">
        <v>506</v>
      </c>
      <c r="G95" t="s">
        <v>507</v>
      </c>
      <c r="H95" t="s">
        <v>508</v>
      </c>
      <c r="I95" t="s">
        <v>509</v>
      </c>
      <c r="J95" t="s">
        <v>589</v>
      </c>
      <c r="K95" s="502">
        <v>0</v>
      </c>
      <c r="L95" t="s">
        <v>532</v>
      </c>
    </row>
    <row r="96" spans="1:12">
      <c r="A96" t="s">
        <v>3145</v>
      </c>
      <c r="B96" t="s">
        <v>3367</v>
      </c>
      <c r="C96" s="60" t="str">
        <f t="shared" si="7"/>
        <v>E5110</v>
      </c>
      <c r="D96" t="s">
        <v>587</v>
      </c>
      <c r="E96" t="s">
        <v>588</v>
      </c>
      <c r="F96" t="s">
        <v>506</v>
      </c>
      <c r="G96" t="s">
        <v>507</v>
      </c>
      <c r="H96" t="s">
        <v>508</v>
      </c>
      <c r="I96" t="s">
        <v>509</v>
      </c>
      <c r="J96" t="s">
        <v>589</v>
      </c>
      <c r="K96" s="502">
        <v>0</v>
      </c>
      <c r="L96" t="s">
        <v>532</v>
      </c>
    </row>
    <row r="97" spans="1:12">
      <c r="A97" t="s">
        <v>3145</v>
      </c>
      <c r="B97" t="s">
        <v>3356</v>
      </c>
      <c r="C97" s="3" t="str">
        <f>+'2-Préparation saisie LV PROD'!B13</f>
        <v>E5120</v>
      </c>
      <c r="D97" t="s">
        <v>587</v>
      </c>
      <c r="E97" t="s">
        <v>588</v>
      </c>
      <c r="F97" t="s">
        <v>506</v>
      </c>
      <c r="G97" t="s">
        <v>507</v>
      </c>
      <c r="H97" t="s">
        <v>508</v>
      </c>
      <c r="I97" t="s">
        <v>509</v>
      </c>
      <c r="J97" t="s">
        <v>589</v>
      </c>
      <c r="K97" s="502">
        <v>0</v>
      </c>
      <c r="L97" t="s">
        <v>841</v>
      </c>
    </row>
    <row r="98" spans="1:12">
      <c r="A98" t="s">
        <v>3145</v>
      </c>
      <c r="B98" t="s">
        <v>3357</v>
      </c>
      <c r="C98" s="60" t="str">
        <f>C97</f>
        <v>E5120</v>
      </c>
      <c r="D98" t="s">
        <v>587</v>
      </c>
      <c r="E98" t="s">
        <v>588</v>
      </c>
      <c r="F98" t="s">
        <v>506</v>
      </c>
      <c r="G98" t="s">
        <v>507</v>
      </c>
      <c r="H98" t="s">
        <v>508</v>
      </c>
      <c r="I98" t="s">
        <v>509</v>
      </c>
      <c r="J98" t="s">
        <v>589</v>
      </c>
      <c r="K98" s="502">
        <v>0</v>
      </c>
      <c r="L98" t="s">
        <v>841</v>
      </c>
    </row>
    <row r="99" spans="1:12">
      <c r="A99" t="s">
        <v>3145</v>
      </c>
      <c r="B99" t="s">
        <v>3358</v>
      </c>
      <c r="C99" s="60" t="str">
        <f t="shared" ref="C99:C108" si="8">+C98</f>
        <v>E5120</v>
      </c>
      <c r="D99" t="s">
        <v>587</v>
      </c>
      <c r="E99" t="s">
        <v>588</v>
      </c>
      <c r="F99" t="s">
        <v>506</v>
      </c>
      <c r="G99" t="s">
        <v>507</v>
      </c>
      <c r="H99" t="s">
        <v>508</v>
      </c>
      <c r="I99" t="s">
        <v>509</v>
      </c>
      <c r="J99" t="s">
        <v>589</v>
      </c>
      <c r="K99" s="502">
        <v>0</v>
      </c>
      <c r="L99" t="s">
        <v>841</v>
      </c>
    </row>
    <row r="100" spans="1:12">
      <c r="A100" t="s">
        <v>3145</v>
      </c>
      <c r="B100" t="s">
        <v>3359</v>
      </c>
      <c r="C100" s="60" t="str">
        <f t="shared" si="8"/>
        <v>E5120</v>
      </c>
      <c r="D100" t="s">
        <v>587</v>
      </c>
      <c r="E100" t="s">
        <v>588</v>
      </c>
      <c r="F100" t="s">
        <v>506</v>
      </c>
      <c r="G100" t="s">
        <v>507</v>
      </c>
      <c r="H100" t="s">
        <v>508</v>
      </c>
      <c r="I100" t="s">
        <v>509</v>
      </c>
      <c r="J100" t="s">
        <v>589</v>
      </c>
      <c r="K100" s="502">
        <v>0</v>
      </c>
      <c r="L100" t="s">
        <v>841</v>
      </c>
    </row>
    <row r="101" spans="1:12">
      <c r="A101" t="s">
        <v>3145</v>
      </c>
      <c r="B101" t="s">
        <v>3360</v>
      </c>
      <c r="C101" s="60" t="str">
        <f t="shared" si="8"/>
        <v>E5120</v>
      </c>
      <c r="D101" t="s">
        <v>587</v>
      </c>
      <c r="E101" t="s">
        <v>588</v>
      </c>
      <c r="F101" t="s">
        <v>506</v>
      </c>
      <c r="G101" t="s">
        <v>507</v>
      </c>
      <c r="H101" t="s">
        <v>508</v>
      </c>
      <c r="I101" t="s">
        <v>509</v>
      </c>
      <c r="J101" t="s">
        <v>589</v>
      </c>
      <c r="K101" s="502">
        <v>0</v>
      </c>
      <c r="L101" t="s">
        <v>841</v>
      </c>
    </row>
    <row r="102" spans="1:12">
      <c r="A102" t="s">
        <v>3145</v>
      </c>
      <c r="B102" t="s">
        <v>3361</v>
      </c>
      <c r="C102" s="60" t="str">
        <f t="shared" si="8"/>
        <v>E5120</v>
      </c>
      <c r="D102" t="s">
        <v>587</v>
      </c>
      <c r="E102" t="s">
        <v>588</v>
      </c>
      <c r="F102" t="s">
        <v>506</v>
      </c>
      <c r="G102" t="s">
        <v>507</v>
      </c>
      <c r="H102" t="s">
        <v>508</v>
      </c>
      <c r="I102" t="s">
        <v>509</v>
      </c>
      <c r="J102" t="s">
        <v>589</v>
      </c>
      <c r="K102" s="502">
        <v>0</v>
      </c>
      <c r="L102" t="s">
        <v>841</v>
      </c>
    </row>
    <row r="103" spans="1:12">
      <c r="A103" t="s">
        <v>3145</v>
      </c>
      <c r="B103" t="s">
        <v>3362</v>
      </c>
      <c r="C103" s="60" t="str">
        <f t="shared" si="8"/>
        <v>E5120</v>
      </c>
      <c r="D103" t="s">
        <v>587</v>
      </c>
      <c r="E103" t="s">
        <v>588</v>
      </c>
      <c r="F103" t="s">
        <v>506</v>
      </c>
      <c r="G103" t="s">
        <v>507</v>
      </c>
      <c r="H103" t="s">
        <v>508</v>
      </c>
      <c r="I103" t="s">
        <v>509</v>
      </c>
      <c r="J103" t="s">
        <v>589</v>
      </c>
      <c r="K103" s="502">
        <v>0</v>
      </c>
      <c r="L103" t="s">
        <v>841</v>
      </c>
    </row>
    <row r="104" spans="1:12">
      <c r="A104" t="s">
        <v>3145</v>
      </c>
      <c r="B104" t="s">
        <v>3363</v>
      </c>
      <c r="C104" s="60" t="str">
        <f t="shared" si="8"/>
        <v>E5120</v>
      </c>
      <c r="D104" t="s">
        <v>587</v>
      </c>
      <c r="E104" t="s">
        <v>588</v>
      </c>
      <c r="F104" t="s">
        <v>506</v>
      </c>
      <c r="G104" t="s">
        <v>507</v>
      </c>
      <c r="H104" t="s">
        <v>508</v>
      </c>
      <c r="I104" t="s">
        <v>509</v>
      </c>
      <c r="J104" t="s">
        <v>589</v>
      </c>
      <c r="K104" s="502">
        <v>0</v>
      </c>
      <c r="L104" t="s">
        <v>841</v>
      </c>
    </row>
    <row r="105" spans="1:12">
      <c r="A105" t="s">
        <v>3145</v>
      </c>
      <c r="B105" t="s">
        <v>3364</v>
      </c>
      <c r="C105" s="60" t="str">
        <f t="shared" si="8"/>
        <v>E5120</v>
      </c>
      <c r="D105" t="s">
        <v>587</v>
      </c>
      <c r="E105" t="s">
        <v>588</v>
      </c>
      <c r="F105" t="s">
        <v>506</v>
      </c>
      <c r="G105" t="s">
        <v>507</v>
      </c>
      <c r="H105" t="s">
        <v>508</v>
      </c>
      <c r="I105" t="s">
        <v>509</v>
      </c>
      <c r="J105" t="s">
        <v>589</v>
      </c>
      <c r="K105" s="502">
        <v>0</v>
      </c>
      <c r="L105" t="s">
        <v>841</v>
      </c>
    </row>
    <row r="106" spans="1:12">
      <c r="A106" t="s">
        <v>3145</v>
      </c>
      <c r="B106" t="s">
        <v>3365</v>
      </c>
      <c r="C106" s="60" t="str">
        <f t="shared" si="8"/>
        <v>E5120</v>
      </c>
      <c r="D106" t="s">
        <v>587</v>
      </c>
      <c r="E106" t="s">
        <v>588</v>
      </c>
      <c r="F106" t="s">
        <v>506</v>
      </c>
      <c r="G106" t="s">
        <v>507</v>
      </c>
      <c r="H106" t="s">
        <v>508</v>
      </c>
      <c r="I106" t="s">
        <v>509</v>
      </c>
      <c r="J106" t="s">
        <v>589</v>
      </c>
      <c r="K106" s="502">
        <v>0</v>
      </c>
      <c r="L106" t="s">
        <v>841</v>
      </c>
    </row>
    <row r="107" spans="1:12">
      <c r="A107" t="s">
        <v>3145</v>
      </c>
      <c r="B107" t="s">
        <v>3366</v>
      </c>
      <c r="C107" s="60" t="str">
        <f t="shared" si="8"/>
        <v>E5120</v>
      </c>
      <c r="D107" t="s">
        <v>587</v>
      </c>
      <c r="E107" t="s">
        <v>588</v>
      </c>
      <c r="F107" t="s">
        <v>506</v>
      </c>
      <c r="G107" t="s">
        <v>507</v>
      </c>
      <c r="H107" t="s">
        <v>508</v>
      </c>
      <c r="I107" t="s">
        <v>509</v>
      </c>
      <c r="J107" t="s">
        <v>589</v>
      </c>
      <c r="K107" s="502">
        <v>0</v>
      </c>
      <c r="L107" t="s">
        <v>841</v>
      </c>
    </row>
    <row r="108" spans="1:12">
      <c r="A108" t="s">
        <v>3145</v>
      </c>
      <c r="B108" t="s">
        <v>3367</v>
      </c>
      <c r="C108" s="60" t="str">
        <f t="shared" si="8"/>
        <v>E5120</v>
      </c>
      <c r="D108" t="s">
        <v>587</v>
      </c>
      <c r="E108" t="s">
        <v>588</v>
      </c>
      <c r="F108" t="s">
        <v>506</v>
      </c>
      <c r="G108" t="s">
        <v>507</v>
      </c>
      <c r="H108" t="s">
        <v>508</v>
      </c>
      <c r="I108" t="s">
        <v>509</v>
      </c>
      <c r="J108" t="s">
        <v>589</v>
      </c>
      <c r="K108" s="502">
        <v>0</v>
      </c>
      <c r="L108" t="s">
        <v>841</v>
      </c>
    </row>
    <row r="109" spans="1:12">
      <c r="A109" t="s">
        <v>3145</v>
      </c>
      <c r="B109" t="s">
        <v>3356</v>
      </c>
      <c r="C109" s="3" t="str">
        <f>+'2-Préparation saisie LV PROD'!B14</f>
        <v>E5150</v>
      </c>
      <c r="D109" t="s">
        <v>587</v>
      </c>
      <c r="E109" t="s">
        <v>588</v>
      </c>
      <c r="F109" t="s">
        <v>506</v>
      </c>
      <c r="G109" t="s">
        <v>507</v>
      </c>
      <c r="H109" t="s">
        <v>508</v>
      </c>
      <c r="I109" t="s">
        <v>509</v>
      </c>
      <c r="J109" t="s">
        <v>589</v>
      </c>
      <c r="K109" s="502">
        <v>2</v>
      </c>
      <c r="L109" t="s">
        <v>295</v>
      </c>
    </row>
    <row r="110" spans="1:12">
      <c r="A110" t="s">
        <v>3145</v>
      </c>
      <c r="B110" t="s">
        <v>3357</v>
      </c>
      <c r="C110" s="60" t="str">
        <f>C109</f>
        <v>E5150</v>
      </c>
      <c r="D110" t="s">
        <v>587</v>
      </c>
      <c r="E110" t="s">
        <v>588</v>
      </c>
      <c r="F110" t="s">
        <v>506</v>
      </c>
      <c r="G110" t="s">
        <v>507</v>
      </c>
      <c r="H110" t="s">
        <v>508</v>
      </c>
      <c r="I110" t="s">
        <v>509</v>
      </c>
      <c r="J110" t="s">
        <v>589</v>
      </c>
      <c r="K110" s="502">
        <v>2</v>
      </c>
      <c r="L110" t="s">
        <v>295</v>
      </c>
    </row>
    <row r="111" spans="1:12">
      <c r="A111" t="s">
        <v>3145</v>
      </c>
      <c r="B111" t="s">
        <v>3358</v>
      </c>
      <c r="C111" s="60" t="str">
        <f t="shared" ref="C111:C120" si="9">+C110</f>
        <v>E5150</v>
      </c>
      <c r="D111" t="s">
        <v>587</v>
      </c>
      <c r="E111" t="s">
        <v>588</v>
      </c>
      <c r="F111" t="s">
        <v>506</v>
      </c>
      <c r="G111" t="s">
        <v>507</v>
      </c>
      <c r="H111" t="s">
        <v>508</v>
      </c>
      <c r="I111" t="s">
        <v>509</v>
      </c>
      <c r="J111" t="s">
        <v>589</v>
      </c>
      <c r="K111" s="502">
        <v>2</v>
      </c>
      <c r="L111" t="s">
        <v>295</v>
      </c>
    </row>
    <row r="112" spans="1:12">
      <c r="A112" t="s">
        <v>3145</v>
      </c>
      <c r="B112" t="s">
        <v>3359</v>
      </c>
      <c r="C112" s="60" t="str">
        <f t="shared" si="9"/>
        <v>E5150</v>
      </c>
      <c r="D112" t="s">
        <v>587</v>
      </c>
      <c r="E112" t="s">
        <v>588</v>
      </c>
      <c r="F112" t="s">
        <v>506</v>
      </c>
      <c r="G112" t="s">
        <v>507</v>
      </c>
      <c r="H112" t="s">
        <v>508</v>
      </c>
      <c r="I112" t="s">
        <v>509</v>
      </c>
      <c r="J112" t="s">
        <v>589</v>
      </c>
      <c r="K112" s="502">
        <v>2</v>
      </c>
      <c r="L112" t="s">
        <v>295</v>
      </c>
    </row>
    <row r="113" spans="1:12">
      <c r="A113" t="s">
        <v>3145</v>
      </c>
      <c r="B113" t="s">
        <v>3360</v>
      </c>
      <c r="C113" s="60" t="str">
        <f t="shared" si="9"/>
        <v>E5150</v>
      </c>
      <c r="D113" t="s">
        <v>587</v>
      </c>
      <c r="E113" t="s">
        <v>588</v>
      </c>
      <c r="F113" t="s">
        <v>506</v>
      </c>
      <c r="G113" t="s">
        <v>507</v>
      </c>
      <c r="H113" t="s">
        <v>508</v>
      </c>
      <c r="I113" t="s">
        <v>509</v>
      </c>
      <c r="J113" t="s">
        <v>589</v>
      </c>
      <c r="K113" s="502">
        <v>2</v>
      </c>
      <c r="L113" t="s">
        <v>295</v>
      </c>
    </row>
    <row r="114" spans="1:12">
      <c r="A114" t="s">
        <v>3145</v>
      </c>
      <c r="B114" t="s">
        <v>3361</v>
      </c>
      <c r="C114" s="60" t="str">
        <f t="shared" si="9"/>
        <v>E5150</v>
      </c>
      <c r="D114" t="s">
        <v>587</v>
      </c>
      <c r="E114" t="s">
        <v>588</v>
      </c>
      <c r="F114" t="s">
        <v>506</v>
      </c>
      <c r="G114" t="s">
        <v>507</v>
      </c>
      <c r="H114" t="s">
        <v>508</v>
      </c>
      <c r="I114" t="s">
        <v>509</v>
      </c>
      <c r="J114" t="s">
        <v>589</v>
      </c>
      <c r="K114" s="502">
        <v>2</v>
      </c>
      <c r="L114" t="s">
        <v>295</v>
      </c>
    </row>
    <row r="115" spans="1:12">
      <c r="A115" t="s">
        <v>3145</v>
      </c>
      <c r="B115" t="s">
        <v>3362</v>
      </c>
      <c r="C115" s="60" t="str">
        <f t="shared" si="9"/>
        <v>E5150</v>
      </c>
      <c r="D115" t="s">
        <v>587</v>
      </c>
      <c r="E115" t="s">
        <v>588</v>
      </c>
      <c r="F115" t="s">
        <v>506</v>
      </c>
      <c r="G115" t="s">
        <v>507</v>
      </c>
      <c r="H115" t="s">
        <v>508</v>
      </c>
      <c r="I115" t="s">
        <v>509</v>
      </c>
      <c r="J115" t="s">
        <v>589</v>
      </c>
      <c r="K115" s="502">
        <v>2</v>
      </c>
      <c r="L115" t="s">
        <v>295</v>
      </c>
    </row>
    <row r="116" spans="1:12">
      <c r="A116" t="s">
        <v>3145</v>
      </c>
      <c r="B116" t="s">
        <v>3363</v>
      </c>
      <c r="C116" s="60" t="str">
        <f t="shared" si="9"/>
        <v>E5150</v>
      </c>
      <c r="D116" t="s">
        <v>587</v>
      </c>
      <c r="E116" t="s">
        <v>588</v>
      </c>
      <c r="F116" t="s">
        <v>506</v>
      </c>
      <c r="G116" t="s">
        <v>507</v>
      </c>
      <c r="H116" t="s">
        <v>508</v>
      </c>
      <c r="I116" t="s">
        <v>509</v>
      </c>
      <c r="J116" t="s">
        <v>589</v>
      </c>
      <c r="K116" s="502">
        <v>2</v>
      </c>
      <c r="L116" t="s">
        <v>295</v>
      </c>
    </row>
    <row r="117" spans="1:12">
      <c r="A117" t="s">
        <v>3145</v>
      </c>
      <c r="B117" t="s">
        <v>3364</v>
      </c>
      <c r="C117" s="60" t="str">
        <f t="shared" si="9"/>
        <v>E5150</v>
      </c>
      <c r="D117" t="s">
        <v>587</v>
      </c>
      <c r="E117" t="s">
        <v>588</v>
      </c>
      <c r="F117" t="s">
        <v>506</v>
      </c>
      <c r="G117" t="s">
        <v>507</v>
      </c>
      <c r="H117" t="s">
        <v>508</v>
      </c>
      <c r="I117" t="s">
        <v>509</v>
      </c>
      <c r="J117" t="s">
        <v>589</v>
      </c>
      <c r="K117" s="502">
        <v>2</v>
      </c>
      <c r="L117" t="s">
        <v>295</v>
      </c>
    </row>
    <row r="118" spans="1:12">
      <c r="A118" t="s">
        <v>3145</v>
      </c>
      <c r="B118" t="s">
        <v>3365</v>
      </c>
      <c r="C118" s="60" t="str">
        <f t="shared" si="9"/>
        <v>E5150</v>
      </c>
      <c r="D118" t="s">
        <v>587</v>
      </c>
      <c r="E118" t="s">
        <v>588</v>
      </c>
      <c r="F118" t="s">
        <v>506</v>
      </c>
      <c r="G118" t="s">
        <v>507</v>
      </c>
      <c r="H118" t="s">
        <v>508</v>
      </c>
      <c r="I118" t="s">
        <v>509</v>
      </c>
      <c r="J118" t="s">
        <v>589</v>
      </c>
      <c r="K118" s="502">
        <v>2</v>
      </c>
      <c r="L118" t="s">
        <v>295</v>
      </c>
    </row>
    <row r="119" spans="1:12">
      <c r="A119" t="s">
        <v>3145</v>
      </c>
      <c r="B119" t="s">
        <v>3366</v>
      </c>
      <c r="C119" s="60" t="str">
        <f t="shared" si="9"/>
        <v>E5150</v>
      </c>
      <c r="D119" t="s">
        <v>587</v>
      </c>
      <c r="E119" t="s">
        <v>588</v>
      </c>
      <c r="F119" t="s">
        <v>506</v>
      </c>
      <c r="G119" t="s">
        <v>507</v>
      </c>
      <c r="H119" t="s">
        <v>508</v>
      </c>
      <c r="I119" t="s">
        <v>509</v>
      </c>
      <c r="J119" t="s">
        <v>589</v>
      </c>
      <c r="K119" s="502">
        <v>2</v>
      </c>
      <c r="L119" t="s">
        <v>295</v>
      </c>
    </row>
    <row r="120" spans="1:12">
      <c r="A120" t="s">
        <v>3145</v>
      </c>
      <c r="B120" t="s">
        <v>3367</v>
      </c>
      <c r="C120" s="60" t="str">
        <f t="shared" si="9"/>
        <v>E5150</v>
      </c>
      <c r="D120" t="s">
        <v>587</v>
      </c>
      <c r="E120" t="s">
        <v>588</v>
      </c>
      <c r="F120" t="s">
        <v>506</v>
      </c>
      <c r="G120" t="s">
        <v>507</v>
      </c>
      <c r="H120" t="s">
        <v>508</v>
      </c>
      <c r="I120" t="s">
        <v>509</v>
      </c>
      <c r="J120" t="s">
        <v>589</v>
      </c>
      <c r="K120" s="502">
        <v>2</v>
      </c>
      <c r="L120" t="s">
        <v>295</v>
      </c>
    </row>
    <row r="121" spans="1:12">
      <c r="A121" t="s">
        <v>3145</v>
      </c>
      <c r="B121" t="s">
        <v>3356</v>
      </c>
      <c r="C121" s="3" t="str">
        <f>+'2-Préparation saisie LV PROD'!B15</f>
        <v>E5130</v>
      </c>
      <c r="D121" t="s">
        <v>587</v>
      </c>
      <c r="E121" t="s">
        <v>588</v>
      </c>
      <c r="F121" t="s">
        <v>506</v>
      </c>
      <c r="G121" t="s">
        <v>507</v>
      </c>
      <c r="H121" t="s">
        <v>508</v>
      </c>
      <c r="I121" t="s">
        <v>509</v>
      </c>
      <c r="J121" t="s">
        <v>589</v>
      </c>
      <c r="K121" s="502">
        <v>4</v>
      </c>
      <c r="L121" t="s">
        <v>288</v>
      </c>
    </row>
    <row r="122" spans="1:12">
      <c r="A122" t="s">
        <v>3145</v>
      </c>
      <c r="B122" t="s">
        <v>3357</v>
      </c>
      <c r="C122" s="60" t="str">
        <f>C121</f>
        <v>E5130</v>
      </c>
      <c r="D122" t="s">
        <v>587</v>
      </c>
      <c r="E122" t="s">
        <v>588</v>
      </c>
      <c r="F122" t="s">
        <v>506</v>
      </c>
      <c r="G122" t="s">
        <v>507</v>
      </c>
      <c r="H122" t="s">
        <v>508</v>
      </c>
      <c r="I122" t="s">
        <v>509</v>
      </c>
      <c r="J122" t="s">
        <v>589</v>
      </c>
      <c r="K122" s="502">
        <v>4</v>
      </c>
      <c r="L122" t="s">
        <v>288</v>
      </c>
    </row>
    <row r="123" spans="1:12">
      <c r="A123" t="s">
        <v>3145</v>
      </c>
      <c r="B123" t="s">
        <v>3358</v>
      </c>
      <c r="C123" s="60" t="str">
        <f t="shared" ref="C123:C132" si="10">+C122</f>
        <v>E5130</v>
      </c>
      <c r="D123" t="s">
        <v>587</v>
      </c>
      <c r="E123" t="s">
        <v>588</v>
      </c>
      <c r="F123" t="s">
        <v>506</v>
      </c>
      <c r="G123" t="s">
        <v>507</v>
      </c>
      <c r="H123" t="s">
        <v>508</v>
      </c>
      <c r="I123" t="s">
        <v>509</v>
      </c>
      <c r="J123" t="s">
        <v>589</v>
      </c>
      <c r="K123" s="502">
        <v>4</v>
      </c>
      <c r="L123" t="s">
        <v>288</v>
      </c>
    </row>
    <row r="124" spans="1:12">
      <c r="A124" t="s">
        <v>3145</v>
      </c>
      <c r="B124" t="s">
        <v>3359</v>
      </c>
      <c r="C124" s="60" t="str">
        <f t="shared" si="10"/>
        <v>E5130</v>
      </c>
      <c r="D124" t="s">
        <v>587</v>
      </c>
      <c r="E124" t="s">
        <v>588</v>
      </c>
      <c r="F124" t="s">
        <v>506</v>
      </c>
      <c r="G124" t="s">
        <v>507</v>
      </c>
      <c r="H124" t="s">
        <v>508</v>
      </c>
      <c r="I124" t="s">
        <v>509</v>
      </c>
      <c r="J124" t="s">
        <v>589</v>
      </c>
      <c r="K124" s="502">
        <v>4</v>
      </c>
      <c r="L124" t="s">
        <v>288</v>
      </c>
    </row>
    <row r="125" spans="1:12">
      <c r="A125" t="s">
        <v>3145</v>
      </c>
      <c r="B125" t="s">
        <v>3360</v>
      </c>
      <c r="C125" s="60" t="str">
        <f t="shared" si="10"/>
        <v>E5130</v>
      </c>
      <c r="D125" t="s">
        <v>587</v>
      </c>
      <c r="E125" t="s">
        <v>588</v>
      </c>
      <c r="F125" t="s">
        <v>506</v>
      </c>
      <c r="G125" t="s">
        <v>507</v>
      </c>
      <c r="H125" t="s">
        <v>508</v>
      </c>
      <c r="I125" t="s">
        <v>509</v>
      </c>
      <c r="J125" t="s">
        <v>589</v>
      </c>
      <c r="K125" s="502">
        <v>4</v>
      </c>
      <c r="L125" t="s">
        <v>288</v>
      </c>
    </row>
    <row r="126" spans="1:12">
      <c r="A126" t="s">
        <v>3145</v>
      </c>
      <c r="B126" t="s">
        <v>3361</v>
      </c>
      <c r="C126" s="60" t="str">
        <f t="shared" si="10"/>
        <v>E5130</v>
      </c>
      <c r="D126" t="s">
        <v>587</v>
      </c>
      <c r="E126" t="s">
        <v>588</v>
      </c>
      <c r="F126" t="s">
        <v>506</v>
      </c>
      <c r="G126" t="s">
        <v>507</v>
      </c>
      <c r="H126" t="s">
        <v>508</v>
      </c>
      <c r="I126" t="s">
        <v>509</v>
      </c>
      <c r="J126" t="s">
        <v>589</v>
      </c>
      <c r="K126" s="502">
        <v>4</v>
      </c>
      <c r="L126" t="s">
        <v>288</v>
      </c>
    </row>
    <row r="127" spans="1:12">
      <c r="A127" t="s">
        <v>3145</v>
      </c>
      <c r="B127" t="s">
        <v>3362</v>
      </c>
      <c r="C127" s="60" t="str">
        <f t="shared" si="10"/>
        <v>E5130</v>
      </c>
      <c r="D127" t="s">
        <v>587</v>
      </c>
      <c r="E127" t="s">
        <v>588</v>
      </c>
      <c r="F127" t="s">
        <v>506</v>
      </c>
      <c r="G127" t="s">
        <v>507</v>
      </c>
      <c r="H127" t="s">
        <v>508</v>
      </c>
      <c r="I127" t="s">
        <v>509</v>
      </c>
      <c r="J127" t="s">
        <v>589</v>
      </c>
      <c r="K127" s="502">
        <v>4</v>
      </c>
      <c r="L127" t="s">
        <v>288</v>
      </c>
    </row>
    <row r="128" spans="1:12">
      <c r="A128" t="s">
        <v>3145</v>
      </c>
      <c r="B128" t="s">
        <v>3363</v>
      </c>
      <c r="C128" s="60" t="str">
        <f t="shared" si="10"/>
        <v>E5130</v>
      </c>
      <c r="D128" t="s">
        <v>587</v>
      </c>
      <c r="E128" t="s">
        <v>588</v>
      </c>
      <c r="F128" t="s">
        <v>506</v>
      </c>
      <c r="G128" t="s">
        <v>507</v>
      </c>
      <c r="H128" t="s">
        <v>508</v>
      </c>
      <c r="I128" t="s">
        <v>509</v>
      </c>
      <c r="J128" t="s">
        <v>589</v>
      </c>
      <c r="K128" s="502">
        <v>4</v>
      </c>
      <c r="L128" t="s">
        <v>288</v>
      </c>
    </row>
    <row r="129" spans="1:12">
      <c r="A129" t="s">
        <v>3145</v>
      </c>
      <c r="B129" t="s">
        <v>3364</v>
      </c>
      <c r="C129" s="60" t="str">
        <f t="shared" si="10"/>
        <v>E5130</v>
      </c>
      <c r="D129" t="s">
        <v>587</v>
      </c>
      <c r="E129" t="s">
        <v>588</v>
      </c>
      <c r="F129" t="s">
        <v>506</v>
      </c>
      <c r="G129" t="s">
        <v>507</v>
      </c>
      <c r="H129" t="s">
        <v>508</v>
      </c>
      <c r="I129" t="s">
        <v>509</v>
      </c>
      <c r="J129" t="s">
        <v>589</v>
      </c>
      <c r="K129" s="502">
        <v>4</v>
      </c>
      <c r="L129" t="s">
        <v>288</v>
      </c>
    </row>
    <row r="130" spans="1:12">
      <c r="A130" t="s">
        <v>3145</v>
      </c>
      <c r="B130" t="s">
        <v>3365</v>
      </c>
      <c r="C130" s="60" t="str">
        <f t="shared" si="10"/>
        <v>E5130</v>
      </c>
      <c r="D130" t="s">
        <v>587</v>
      </c>
      <c r="E130" t="s">
        <v>588</v>
      </c>
      <c r="F130" t="s">
        <v>506</v>
      </c>
      <c r="G130" t="s">
        <v>507</v>
      </c>
      <c r="H130" t="s">
        <v>508</v>
      </c>
      <c r="I130" t="s">
        <v>509</v>
      </c>
      <c r="J130" t="s">
        <v>589</v>
      </c>
      <c r="K130" s="502">
        <v>4</v>
      </c>
      <c r="L130" t="s">
        <v>288</v>
      </c>
    </row>
    <row r="131" spans="1:12">
      <c r="A131" t="s">
        <v>3145</v>
      </c>
      <c r="B131" t="s">
        <v>3366</v>
      </c>
      <c r="C131" s="60" t="str">
        <f t="shared" si="10"/>
        <v>E5130</v>
      </c>
      <c r="D131" t="s">
        <v>587</v>
      </c>
      <c r="E131" t="s">
        <v>588</v>
      </c>
      <c r="F131" t="s">
        <v>506</v>
      </c>
      <c r="G131" t="s">
        <v>507</v>
      </c>
      <c r="H131" t="s">
        <v>508</v>
      </c>
      <c r="I131" t="s">
        <v>509</v>
      </c>
      <c r="J131" t="s">
        <v>589</v>
      </c>
      <c r="K131" s="502">
        <v>4</v>
      </c>
      <c r="L131" t="s">
        <v>288</v>
      </c>
    </row>
    <row r="132" spans="1:12">
      <c r="A132" t="s">
        <v>3145</v>
      </c>
      <c r="B132" t="s">
        <v>3367</v>
      </c>
      <c r="C132" s="60" t="str">
        <f t="shared" si="10"/>
        <v>E5130</v>
      </c>
      <c r="D132" t="s">
        <v>587</v>
      </c>
      <c r="E132" t="s">
        <v>588</v>
      </c>
      <c r="F132" t="s">
        <v>506</v>
      </c>
      <c r="G132" t="s">
        <v>507</v>
      </c>
      <c r="H132" t="s">
        <v>508</v>
      </c>
      <c r="I132" t="s">
        <v>509</v>
      </c>
      <c r="J132" t="s">
        <v>589</v>
      </c>
      <c r="K132" s="502">
        <v>4</v>
      </c>
      <c r="L132" t="s">
        <v>288</v>
      </c>
    </row>
    <row r="133" spans="1:12">
      <c r="A133" t="s">
        <v>3145</v>
      </c>
      <c r="B133" t="s">
        <v>3356</v>
      </c>
      <c r="C133" s="3" t="str">
        <f>+'2-Préparation saisie LV PROD'!B16</f>
        <v>E5140</v>
      </c>
      <c r="D133" t="s">
        <v>587</v>
      </c>
      <c r="E133" t="s">
        <v>588</v>
      </c>
      <c r="F133" t="s">
        <v>506</v>
      </c>
      <c r="G133" t="s">
        <v>507</v>
      </c>
      <c r="H133" t="s">
        <v>508</v>
      </c>
      <c r="I133" t="s">
        <v>509</v>
      </c>
      <c r="J133" t="s">
        <v>589</v>
      </c>
      <c r="K133" s="502">
        <v>6</v>
      </c>
      <c r="L133" t="s">
        <v>289</v>
      </c>
    </row>
    <row r="134" spans="1:12">
      <c r="A134" t="s">
        <v>3145</v>
      </c>
      <c r="B134" t="s">
        <v>3357</v>
      </c>
      <c r="C134" s="60" t="str">
        <f>C133</f>
        <v>E5140</v>
      </c>
      <c r="D134" t="s">
        <v>587</v>
      </c>
      <c r="E134" t="s">
        <v>588</v>
      </c>
      <c r="F134" t="s">
        <v>506</v>
      </c>
      <c r="G134" t="s">
        <v>507</v>
      </c>
      <c r="H134" t="s">
        <v>508</v>
      </c>
      <c r="I134" t="s">
        <v>509</v>
      </c>
      <c r="J134" t="s">
        <v>589</v>
      </c>
      <c r="K134" s="502">
        <v>6</v>
      </c>
      <c r="L134" t="s">
        <v>289</v>
      </c>
    </row>
    <row r="135" spans="1:12">
      <c r="A135" t="s">
        <v>3145</v>
      </c>
      <c r="B135" t="s">
        <v>3358</v>
      </c>
      <c r="C135" s="60" t="str">
        <f t="shared" ref="C135:C144" si="11">+C134</f>
        <v>E5140</v>
      </c>
      <c r="D135" t="s">
        <v>587</v>
      </c>
      <c r="E135" t="s">
        <v>588</v>
      </c>
      <c r="F135" t="s">
        <v>506</v>
      </c>
      <c r="G135" t="s">
        <v>507</v>
      </c>
      <c r="H135" t="s">
        <v>508</v>
      </c>
      <c r="I135" t="s">
        <v>509</v>
      </c>
      <c r="J135" t="s">
        <v>589</v>
      </c>
      <c r="K135" s="502">
        <v>6</v>
      </c>
      <c r="L135" t="s">
        <v>289</v>
      </c>
    </row>
    <row r="136" spans="1:12">
      <c r="A136" t="s">
        <v>3145</v>
      </c>
      <c r="B136" t="s">
        <v>3359</v>
      </c>
      <c r="C136" s="60" t="str">
        <f t="shared" si="11"/>
        <v>E5140</v>
      </c>
      <c r="D136" t="s">
        <v>587</v>
      </c>
      <c r="E136" t="s">
        <v>588</v>
      </c>
      <c r="F136" t="s">
        <v>506</v>
      </c>
      <c r="G136" t="s">
        <v>507</v>
      </c>
      <c r="H136" t="s">
        <v>508</v>
      </c>
      <c r="I136" t="s">
        <v>509</v>
      </c>
      <c r="J136" t="s">
        <v>589</v>
      </c>
      <c r="K136" s="502">
        <v>6</v>
      </c>
      <c r="L136" t="s">
        <v>289</v>
      </c>
    </row>
    <row r="137" spans="1:12">
      <c r="A137" t="s">
        <v>3145</v>
      </c>
      <c r="B137" t="s">
        <v>3360</v>
      </c>
      <c r="C137" s="60" t="str">
        <f t="shared" si="11"/>
        <v>E5140</v>
      </c>
      <c r="D137" t="s">
        <v>587</v>
      </c>
      <c r="E137" t="s">
        <v>588</v>
      </c>
      <c r="F137" t="s">
        <v>506</v>
      </c>
      <c r="G137" t="s">
        <v>507</v>
      </c>
      <c r="H137" t="s">
        <v>508</v>
      </c>
      <c r="I137" t="s">
        <v>509</v>
      </c>
      <c r="J137" t="s">
        <v>589</v>
      </c>
      <c r="K137" s="502">
        <v>6</v>
      </c>
      <c r="L137" t="s">
        <v>289</v>
      </c>
    </row>
    <row r="138" spans="1:12">
      <c r="A138" t="s">
        <v>3145</v>
      </c>
      <c r="B138" t="s">
        <v>3361</v>
      </c>
      <c r="C138" s="60" t="str">
        <f t="shared" si="11"/>
        <v>E5140</v>
      </c>
      <c r="D138" t="s">
        <v>587</v>
      </c>
      <c r="E138" t="s">
        <v>588</v>
      </c>
      <c r="F138" t="s">
        <v>506</v>
      </c>
      <c r="G138" t="s">
        <v>507</v>
      </c>
      <c r="H138" t="s">
        <v>508</v>
      </c>
      <c r="I138" t="s">
        <v>509</v>
      </c>
      <c r="J138" t="s">
        <v>589</v>
      </c>
      <c r="K138" s="502">
        <v>6</v>
      </c>
      <c r="L138" t="s">
        <v>289</v>
      </c>
    </row>
    <row r="139" spans="1:12">
      <c r="A139" t="s">
        <v>3145</v>
      </c>
      <c r="B139" t="s">
        <v>3362</v>
      </c>
      <c r="C139" s="60" t="str">
        <f t="shared" si="11"/>
        <v>E5140</v>
      </c>
      <c r="D139" t="s">
        <v>587</v>
      </c>
      <c r="E139" t="s">
        <v>588</v>
      </c>
      <c r="F139" t="s">
        <v>506</v>
      </c>
      <c r="G139" t="s">
        <v>507</v>
      </c>
      <c r="H139" t="s">
        <v>508</v>
      </c>
      <c r="I139" t="s">
        <v>509</v>
      </c>
      <c r="J139" t="s">
        <v>589</v>
      </c>
      <c r="K139" s="502">
        <v>6</v>
      </c>
      <c r="L139" t="s">
        <v>289</v>
      </c>
    </row>
    <row r="140" spans="1:12">
      <c r="A140" t="s">
        <v>3145</v>
      </c>
      <c r="B140" t="s">
        <v>3363</v>
      </c>
      <c r="C140" s="60" t="str">
        <f t="shared" si="11"/>
        <v>E5140</v>
      </c>
      <c r="D140" t="s">
        <v>587</v>
      </c>
      <c r="E140" t="s">
        <v>588</v>
      </c>
      <c r="F140" t="s">
        <v>506</v>
      </c>
      <c r="G140" t="s">
        <v>507</v>
      </c>
      <c r="H140" t="s">
        <v>508</v>
      </c>
      <c r="I140" t="s">
        <v>509</v>
      </c>
      <c r="J140" t="s">
        <v>589</v>
      </c>
      <c r="K140" s="502">
        <v>6</v>
      </c>
      <c r="L140" t="s">
        <v>289</v>
      </c>
    </row>
    <row r="141" spans="1:12">
      <c r="A141" t="s">
        <v>3145</v>
      </c>
      <c r="B141" t="s">
        <v>3364</v>
      </c>
      <c r="C141" s="60" t="str">
        <f t="shared" si="11"/>
        <v>E5140</v>
      </c>
      <c r="D141" t="s">
        <v>587</v>
      </c>
      <c r="E141" t="s">
        <v>588</v>
      </c>
      <c r="F141" t="s">
        <v>506</v>
      </c>
      <c r="G141" t="s">
        <v>507</v>
      </c>
      <c r="H141" t="s">
        <v>508</v>
      </c>
      <c r="I141" t="s">
        <v>509</v>
      </c>
      <c r="J141" t="s">
        <v>589</v>
      </c>
      <c r="K141" s="502">
        <v>6</v>
      </c>
      <c r="L141" t="s">
        <v>289</v>
      </c>
    </row>
    <row r="142" spans="1:12">
      <c r="A142" t="s">
        <v>3145</v>
      </c>
      <c r="B142" t="s">
        <v>3365</v>
      </c>
      <c r="C142" s="60" t="str">
        <f t="shared" si="11"/>
        <v>E5140</v>
      </c>
      <c r="D142" t="s">
        <v>587</v>
      </c>
      <c r="E142" t="s">
        <v>588</v>
      </c>
      <c r="F142" t="s">
        <v>506</v>
      </c>
      <c r="G142" t="s">
        <v>507</v>
      </c>
      <c r="H142" t="s">
        <v>508</v>
      </c>
      <c r="I142" t="s">
        <v>509</v>
      </c>
      <c r="J142" t="s">
        <v>589</v>
      </c>
      <c r="K142" s="502">
        <v>6</v>
      </c>
      <c r="L142" t="s">
        <v>289</v>
      </c>
    </row>
    <row r="143" spans="1:12">
      <c r="A143" t="s">
        <v>3145</v>
      </c>
      <c r="B143" t="s">
        <v>3366</v>
      </c>
      <c r="C143" s="60" t="str">
        <f t="shared" si="11"/>
        <v>E5140</v>
      </c>
      <c r="D143" t="s">
        <v>587</v>
      </c>
      <c r="E143" t="s">
        <v>588</v>
      </c>
      <c r="F143" t="s">
        <v>506</v>
      </c>
      <c r="G143" t="s">
        <v>507</v>
      </c>
      <c r="H143" t="s">
        <v>508</v>
      </c>
      <c r="I143" t="s">
        <v>509</v>
      </c>
      <c r="J143" t="s">
        <v>589</v>
      </c>
      <c r="K143" s="502">
        <v>6</v>
      </c>
      <c r="L143" t="s">
        <v>289</v>
      </c>
    </row>
    <row r="144" spans="1:12">
      <c r="A144" t="s">
        <v>3145</v>
      </c>
      <c r="B144" t="s">
        <v>3367</v>
      </c>
      <c r="C144" s="60" t="str">
        <f t="shared" si="11"/>
        <v>E5140</v>
      </c>
      <c r="D144" t="s">
        <v>587</v>
      </c>
      <c r="E144" t="s">
        <v>588</v>
      </c>
      <c r="F144" t="s">
        <v>506</v>
      </c>
      <c r="G144" t="s">
        <v>507</v>
      </c>
      <c r="H144" t="s">
        <v>508</v>
      </c>
      <c r="I144" t="s">
        <v>509</v>
      </c>
      <c r="J144" t="s">
        <v>589</v>
      </c>
      <c r="K144" s="502">
        <v>6</v>
      </c>
      <c r="L144" t="s">
        <v>289</v>
      </c>
    </row>
    <row r="145" spans="1:12">
      <c r="A145" t="s">
        <v>3145</v>
      </c>
      <c r="B145" t="s">
        <v>3356</v>
      </c>
      <c r="C145" s="3" t="str">
        <f>+'2-Préparation saisie LV PROD'!B17</f>
        <v>E5160</v>
      </c>
      <c r="D145" t="s">
        <v>587</v>
      </c>
      <c r="E145" t="s">
        <v>588</v>
      </c>
      <c r="F145" t="s">
        <v>506</v>
      </c>
      <c r="G145" t="s">
        <v>507</v>
      </c>
      <c r="H145" t="s">
        <v>508</v>
      </c>
      <c r="I145" t="s">
        <v>509</v>
      </c>
      <c r="J145" t="s">
        <v>589</v>
      </c>
      <c r="K145" s="502">
        <v>4</v>
      </c>
      <c r="L145" t="s">
        <v>296</v>
      </c>
    </row>
    <row r="146" spans="1:12">
      <c r="A146" t="s">
        <v>3145</v>
      </c>
      <c r="B146" t="s">
        <v>3357</v>
      </c>
      <c r="C146" s="60" t="str">
        <f>C145</f>
        <v>E5160</v>
      </c>
      <c r="D146" t="s">
        <v>587</v>
      </c>
      <c r="E146" t="s">
        <v>588</v>
      </c>
      <c r="F146" t="s">
        <v>506</v>
      </c>
      <c r="G146" t="s">
        <v>507</v>
      </c>
      <c r="H146" t="s">
        <v>508</v>
      </c>
      <c r="I146" t="s">
        <v>509</v>
      </c>
      <c r="J146" t="s">
        <v>589</v>
      </c>
      <c r="K146" s="502">
        <v>4</v>
      </c>
      <c r="L146" t="s">
        <v>296</v>
      </c>
    </row>
    <row r="147" spans="1:12">
      <c r="A147" t="s">
        <v>3145</v>
      </c>
      <c r="B147" t="s">
        <v>3358</v>
      </c>
      <c r="C147" s="60" t="str">
        <f t="shared" ref="C147:C156" si="12">+C146</f>
        <v>E5160</v>
      </c>
      <c r="D147" t="s">
        <v>587</v>
      </c>
      <c r="E147" t="s">
        <v>588</v>
      </c>
      <c r="F147" t="s">
        <v>506</v>
      </c>
      <c r="G147" t="s">
        <v>507</v>
      </c>
      <c r="H147" t="s">
        <v>508</v>
      </c>
      <c r="I147" t="s">
        <v>509</v>
      </c>
      <c r="J147" t="s">
        <v>589</v>
      </c>
      <c r="K147" s="502">
        <v>4</v>
      </c>
      <c r="L147" t="s">
        <v>296</v>
      </c>
    </row>
    <row r="148" spans="1:12">
      <c r="A148" t="s">
        <v>3145</v>
      </c>
      <c r="B148" t="s">
        <v>3359</v>
      </c>
      <c r="C148" s="60" t="str">
        <f t="shared" si="12"/>
        <v>E5160</v>
      </c>
      <c r="D148" t="s">
        <v>587</v>
      </c>
      <c r="E148" t="s">
        <v>588</v>
      </c>
      <c r="F148" t="s">
        <v>506</v>
      </c>
      <c r="G148" t="s">
        <v>507</v>
      </c>
      <c r="H148" t="s">
        <v>508</v>
      </c>
      <c r="I148" t="s">
        <v>509</v>
      </c>
      <c r="J148" t="s">
        <v>589</v>
      </c>
      <c r="K148" s="502">
        <v>4</v>
      </c>
      <c r="L148" t="s">
        <v>296</v>
      </c>
    </row>
    <row r="149" spans="1:12">
      <c r="A149" t="s">
        <v>3145</v>
      </c>
      <c r="B149" t="s">
        <v>3360</v>
      </c>
      <c r="C149" s="60" t="str">
        <f t="shared" si="12"/>
        <v>E5160</v>
      </c>
      <c r="D149" t="s">
        <v>587</v>
      </c>
      <c r="E149" t="s">
        <v>588</v>
      </c>
      <c r="F149" t="s">
        <v>506</v>
      </c>
      <c r="G149" t="s">
        <v>507</v>
      </c>
      <c r="H149" t="s">
        <v>508</v>
      </c>
      <c r="I149" t="s">
        <v>509</v>
      </c>
      <c r="J149" t="s">
        <v>589</v>
      </c>
      <c r="K149" s="502">
        <v>4</v>
      </c>
      <c r="L149" t="s">
        <v>296</v>
      </c>
    </row>
    <row r="150" spans="1:12">
      <c r="A150" t="s">
        <v>3145</v>
      </c>
      <c r="B150" t="s">
        <v>3361</v>
      </c>
      <c r="C150" s="60" t="str">
        <f t="shared" si="12"/>
        <v>E5160</v>
      </c>
      <c r="D150" t="s">
        <v>587</v>
      </c>
      <c r="E150" t="s">
        <v>588</v>
      </c>
      <c r="F150" t="s">
        <v>506</v>
      </c>
      <c r="G150" t="s">
        <v>507</v>
      </c>
      <c r="H150" t="s">
        <v>508</v>
      </c>
      <c r="I150" t="s">
        <v>509</v>
      </c>
      <c r="J150" t="s">
        <v>589</v>
      </c>
      <c r="K150" s="502">
        <v>4</v>
      </c>
      <c r="L150" t="s">
        <v>296</v>
      </c>
    </row>
    <row r="151" spans="1:12">
      <c r="A151" t="s">
        <v>3145</v>
      </c>
      <c r="B151" t="s">
        <v>3362</v>
      </c>
      <c r="C151" s="60" t="str">
        <f t="shared" si="12"/>
        <v>E5160</v>
      </c>
      <c r="D151" t="s">
        <v>587</v>
      </c>
      <c r="E151" t="s">
        <v>588</v>
      </c>
      <c r="F151" t="s">
        <v>506</v>
      </c>
      <c r="G151" t="s">
        <v>507</v>
      </c>
      <c r="H151" t="s">
        <v>508</v>
      </c>
      <c r="I151" t="s">
        <v>509</v>
      </c>
      <c r="J151" t="s">
        <v>589</v>
      </c>
      <c r="K151" s="502">
        <v>4</v>
      </c>
      <c r="L151" t="s">
        <v>296</v>
      </c>
    </row>
    <row r="152" spans="1:12">
      <c r="A152" t="s">
        <v>3145</v>
      </c>
      <c r="B152" t="s">
        <v>3363</v>
      </c>
      <c r="C152" s="60" t="str">
        <f t="shared" si="12"/>
        <v>E5160</v>
      </c>
      <c r="D152" t="s">
        <v>587</v>
      </c>
      <c r="E152" t="s">
        <v>588</v>
      </c>
      <c r="F152" t="s">
        <v>506</v>
      </c>
      <c r="G152" t="s">
        <v>507</v>
      </c>
      <c r="H152" t="s">
        <v>508</v>
      </c>
      <c r="I152" t="s">
        <v>509</v>
      </c>
      <c r="J152" t="s">
        <v>589</v>
      </c>
      <c r="K152" s="502">
        <v>4</v>
      </c>
      <c r="L152" t="s">
        <v>296</v>
      </c>
    </row>
    <row r="153" spans="1:12">
      <c r="A153" t="s">
        <v>3145</v>
      </c>
      <c r="B153" t="s">
        <v>3364</v>
      </c>
      <c r="C153" s="60" t="str">
        <f t="shared" si="12"/>
        <v>E5160</v>
      </c>
      <c r="D153" t="s">
        <v>587</v>
      </c>
      <c r="E153" t="s">
        <v>588</v>
      </c>
      <c r="F153" t="s">
        <v>506</v>
      </c>
      <c r="G153" t="s">
        <v>507</v>
      </c>
      <c r="H153" t="s">
        <v>508</v>
      </c>
      <c r="I153" t="s">
        <v>509</v>
      </c>
      <c r="J153" t="s">
        <v>589</v>
      </c>
      <c r="K153" s="502">
        <v>4</v>
      </c>
      <c r="L153" t="s">
        <v>296</v>
      </c>
    </row>
    <row r="154" spans="1:12">
      <c r="A154" t="s">
        <v>3145</v>
      </c>
      <c r="B154" t="s">
        <v>3365</v>
      </c>
      <c r="C154" s="60" t="str">
        <f t="shared" si="12"/>
        <v>E5160</v>
      </c>
      <c r="D154" t="s">
        <v>587</v>
      </c>
      <c r="E154" t="s">
        <v>588</v>
      </c>
      <c r="F154" t="s">
        <v>506</v>
      </c>
      <c r="G154" t="s">
        <v>507</v>
      </c>
      <c r="H154" t="s">
        <v>508</v>
      </c>
      <c r="I154" t="s">
        <v>509</v>
      </c>
      <c r="J154" t="s">
        <v>589</v>
      </c>
      <c r="K154" s="502">
        <v>4</v>
      </c>
      <c r="L154" t="s">
        <v>296</v>
      </c>
    </row>
    <row r="155" spans="1:12">
      <c r="A155" t="s">
        <v>3145</v>
      </c>
      <c r="B155" t="s">
        <v>3366</v>
      </c>
      <c r="C155" s="60" t="str">
        <f t="shared" si="12"/>
        <v>E5160</v>
      </c>
      <c r="D155" t="s">
        <v>587</v>
      </c>
      <c r="E155" t="s">
        <v>588</v>
      </c>
      <c r="F155" t="s">
        <v>506</v>
      </c>
      <c r="G155" t="s">
        <v>507</v>
      </c>
      <c r="H155" t="s">
        <v>508</v>
      </c>
      <c r="I155" t="s">
        <v>509</v>
      </c>
      <c r="J155" t="s">
        <v>589</v>
      </c>
      <c r="K155" s="502">
        <v>4</v>
      </c>
      <c r="L155" t="s">
        <v>296</v>
      </c>
    </row>
    <row r="156" spans="1:12">
      <c r="A156" t="s">
        <v>3145</v>
      </c>
      <c r="B156" t="s">
        <v>3367</v>
      </c>
      <c r="C156" s="60" t="str">
        <f t="shared" si="12"/>
        <v>E5160</v>
      </c>
      <c r="D156" t="s">
        <v>587</v>
      </c>
      <c r="E156" t="s">
        <v>588</v>
      </c>
      <c r="F156" t="s">
        <v>506</v>
      </c>
      <c r="G156" t="s">
        <v>507</v>
      </c>
      <c r="H156" t="s">
        <v>508</v>
      </c>
      <c r="I156" t="s">
        <v>509</v>
      </c>
      <c r="J156" t="s">
        <v>589</v>
      </c>
      <c r="K156" s="502">
        <v>4</v>
      </c>
      <c r="L156" t="s">
        <v>296</v>
      </c>
    </row>
    <row r="157" spans="1:12">
      <c r="A157" t="s">
        <v>3145</v>
      </c>
      <c r="B157" t="s">
        <v>3356</v>
      </c>
      <c r="C157" s="3" t="str">
        <f>+'2-Préparation saisie LV PROD'!B18</f>
        <v>E5170</v>
      </c>
      <c r="D157" t="s">
        <v>587</v>
      </c>
      <c r="E157" t="s">
        <v>588</v>
      </c>
      <c r="F157" t="s">
        <v>506</v>
      </c>
      <c r="G157" t="s">
        <v>507</v>
      </c>
      <c r="H157" t="s">
        <v>508</v>
      </c>
      <c r="I157" t="s">
        <v>509</v>
      </c>
      <c r="J157" t="s">
        <v>589</v>
      </c>
      <c r="K157" s="502">
        <v>15</v>
      </c>
      <c r="L157" t="s">
        <v>3417</v>
      </c>
    </row>
    <row r="158" spans="1:12">
      <c r="A158" t="s">
        <v>3145</v>
      </c>
      <c r="B158" t="s">
        <v>3357</v>
      </c>
      <c r="C158" s="60" t="str">
        <f>C157</f>
        <v>E5170</v>
      </c>
      <c r="D158" t="s">
        <v>587</v>
      </c>
      <c r="E158" t="s">
        <v>588</v>
      </c>
      <c r="F158" t="s">
        <v>506</v>
      </c>
      <c r="G158" t="s">
        <v>507</v>
      </c>
      <c r="H158" t="s">
        <v>508</v>
      </c>
      <c r="I158" t="s">
        <v>509</v>
      </c>
      <c r="J158" t="s">
        <v>589</v>
      </c>
      <c r="K158" s="502">
        <v>15</v>
      </c>
      <c r="L158" t="s">
        <v>3417</v>
      </c>
    </row>
    <row r="159" spans="1:12">
      <c r="A159" t="s">
        <v>3145</v>
      </c>
      <c r="B159" t="s">
        <v>3358</v>
      </c>
      <c r="C159" s="60" t="str">
        <f t="shared" ref="C159:C168" si="13">+C158</f>
        <v>E5170</v>
      </c>
      <c r="D159" t="s">
        <v>587</v>
      </c>
      <c r="E159" t="s">
        <v>588</v>
      </c>
      <c r="F159" t="s">
        <v>506</v>
      </c>
      <c r="G159" t="s">
        <v>507</v>
      </c>
      <c r="H159" t="s">
        <v>508</v>
      </c>
      <c r="I159" t="s">
        <v>509</v>
      </c>
      <c r="J159" t="s">
        <v>589</v>
      </c>
      <c r="K159" s="502">
        <v>15</v>
      </c>
      <c r="L159" t="s">
        <v>3417</v>
      </c>
    </row>
    <row r="160" spans="1:12">
      <c r="A160" t="s">
        <v>3145</v>
      </c>
      <c r="B160" t="s">
        <v>3359</v>
      </c>
      <c r="C160" s="60" t="str">
        <f t="shared" si="13"/>
        <v>E5170</v>
      </c>
      <c r="D160" t="s">
        <v>587</v>
      </c>
      <c r="E160" t="s">
        <v>588</v>
      </c>
      <c r="F160" t="s">
        <v>506</v>
      </c>
      <c r="G160" t="s">
        <v>507</v>
      </c>
      <c r="H160" t="s">
        <v>508</v>
      </c>
      <c r="I160" t="s">
        <v>509</v>
      </c>
      <c r="J160" t="s">
        <v>589</v>
      </c>
      <c r="K160" s="502">
        <v>15</v>
      </c>
      <c r="L160" t="s">
        <v>3417</v>
      </c>
    </row>
    <row r="161" spans="1:12">
      <c r="A161" t="s">
        <v>3145</v>
      </c>
      <c r="B161" t="s">
        <v>3360</v>
      </c>
      <c r="C161" s="60" t="str">
        <f t="shared" si="13"/>
        <v>E5170</v>
      </c>
      <c r="D161" t="s">
        <v>587</v>
      </c>
      <c r="E161" t="s">
        <v>588</v>
      </c>
      <c r="F161" t="s">
        <v>506</v>
      </c>
      <c r="G161" t="s">
        <v>507</v>
      </c>
      <c r="H161" t="s">
        <v>508</v>
      </c>
      <c r="I161" t="s">
        <v>509</v>
      </c>
      <c r="J161" t="s">
        <v>589</v>
      </c>
      <c r="K161" s="502">
        <v>15</v>
      </c>
      <c r="L161" t="s">
        <v>3417</v>
      </c>
    </row>
    <row r="162" spans="1:12">
      <c r="A162" t="s">
        <v>3145</v>
      </c>
      <c r="B162" t="s">
        <v>3361</v>
      </c>
      <c r="C162" s="60" t="str">
        <f t="shared" si="13"/>
        <v>E5170</v>
      </c>
      <c r="D162" t="s">
        <v>587</v>
      </c>
      <c r="E162" t="s">
        <v>588</v>
      </c>
      <c r="F162" t="s">
        <v>506</v>
      </c>
      <c r="G162" t="s">
        <v>507</v>
      </c>
      <c r="H162" t="s">
        <v>508</v>
      </c>
      <c r="I162" t="s">
        <v>509</v>
      </c>
      <c r="J162" t="s">
        <v>589</v>
      </c>
      <c r="K162" s="502">
        <v>15</v>
      </c>
      <c r="L162" t="s">
        <v>3417</v>
      </c>
    </row>
    <row r="163" spans="1:12">
      <c r="A163" t="s">
        <v>3145</v>
      </c>
      <c r="B163" t="s">
        <v>3362</v>
      </c>
      <c r="C163" s="60" t="str">
        <f t="shared" si="13"/>
        <v>E5170</v>
      </c>
      <c r="D163" t="s">
        <v>587</v>
      </c>
      <c r="E163" t="s">
        <v>588</v>
      </c>
      <c r="F163" t="s">
        <v>506</v>
      </c>
      <c r="G163" t="s">
        <v>507</v>
      </c>
      <c r="H163" t="s">
        <v>508</v>
      </c>
      <c r="I163" t="s">
        <v>509</v>
      </c>
      <c r="J163" t="s">
        <v>589</v>
      </c>
      <c r="K163" s="502">
        <v>15</v>
      </c>
      <c r="L163" t="s">
        <v>3417</v>
      </c>
    </row>
    <row r="164" spans="1:12">
      <c r="A164" t="s">
        <v>3145</v>
      </c>
      <c r="B164" t="s">
        <v>3363</v>
      </c>
      <c r="C164" s="60" t="str">
        <f t="shared" si="13"/>
        <v>E5170</v>
      </c>
      <c r="D164" t="s">
        <v>587</v>
      </c>
      <c r="E164" t="s">
        <v>588</v>
      </c>
      <c r="F164" t="s">
        <v>506</v>
      </c>
      <c r="G164" t="s">
        <v>507</v>
      </c>
      <c r="H164" t="s">
        <v>508</v>
      </c>
      <c r="I164" t="s">
        <v>509</v>
      </c>
      <c r="J164" t="s">
        <v>589</v>
      </c>
      <c r="K164" s="502">
        <v>15</v>
      </c>
      <c r="L164" t="s">
        <v>3417</v>
      </c>
    </row>
    <row r="165" spans="1:12">
      <c r="A165" t="s">
        <v>3145</v>
      </c>
      <c r="B165" t="s">
        <v>3364</v>
      </c>
      <c r="C165" s="60" t="str">
        <f t="shared" si="13"/>
        <v>E5170</v>
      </c>
      <c r="D165" t="s">
        <v>587</v>
      </c>
      <c r="E165" t="s">
        <v>588</v>
      </c>
      <c r="F165" t="s">
        <v>506</v>
      </c>
      <c r="G165" t="s">
        <v>507</v>
      </c>
      <c r="H165" t="s">
        <v>508</v>
      </c>
      <c r="I165" t="s">
        <v>509</v>
      </c>
      <c r="J165" t="s">
        <v>589</v>
      </c>
      <c r="K165" s="502">
        <v>15</v>
      </c>
      <c r="L165" t="s">
        <v>3417</v>
      </c>
    </row>
    <row r="166" spans="1:12">
      <c r="A166" t="s">
        <v>3145</v>
      </c>
      <c r="B166" t="s">
        <v>3365</v>
      </c>
      <c r="C166" s="60" t="str">
        <f t="shared" si="13"/>
        <v>E5170</v>
      </c>
      <c r="D166" t="s">
        <v>587</v>
      </c>
      <c r="E166" t="s">
        <v>588</v>
      </c>
      <c r="F166" t="s">
        <v>506</v>
      </c>
      <c r="G166" t="s">
        <v>507</v>
      </c>
      <c r="H166" t="s">
        <v>508</v>
      </c>
      <c r="I166" t="s">
        <v>509</v>
      </c>
      <c r="J166" t="s">
        <v>589</v>
      </c>
      <c r="K166" s="502">
        <v>15</v>
      </c>
      <c r="L166" t="s">
        <v>3417</v>
      </c>
    </row>
    <row r="167" spans="1:12">
      <c r="A167" t="s">
        <v>3145</v>
      </c>
      <c r="B167" t="s">
        <v>3366</v>
      </c>
      <c r="C167" s="60" t="str">
        <f t="shared" si="13"/>
        <v>E5170</v>
      </c>
      <c r="D167" t="s">
        <v>587</v>
      </c>
      <c r="E167" t="s">
        <v>588</v>
      </c>
      <c r="F167" t="s">
        <v>506</v>
      </c>
      <c r="G167" t="s">
        <v>507</v>
      </c>
      <c r="H167" t="s">
        <v>508</v>
      </c>
      <c r="I167" t="s">
        <v>509</v>
      </c>
      <c r="J167" t="s">
        <v>589</v>
      </c>
      <c r="K167" s="502">
        <v>15</v>
      </c>
      <c r="L167" t="s">
        <v>3417</v>
      </c>
    </row>
    <row r="168" spans="1:12">
      <c r="A168" t="s">
        <v>3145</v>
      </c>
      <c r="B168" t="s">
        <v>3367</v>
      </c>
      <c r="C168" s="60" t="str">
        <f t="shared" si="13"/>
        <v>E5170</v>
      </c>
      <c r="D168" t="s">
        <v>587</v>
      </c>
      <c r="E168" t="s">
        <v>588</v>
      </c>
      <c r="F168" t="s">
        <v>506</v>
      </c>
      <c r="G168" t="s">
        <v>507</v>
      </c>
      <c r="H168" t="s">
        <v>508</v>
      </c>
      <c r="I168" t="s">
        <v>509</v>
      </c>
      <c r="J168" t="s">
        <v>589</v>
      </c>
      <c r="K168" s="502">
        <v>15</v>
      </c>
      <c r="L168" t="s">
        <v>3417</v>
      </c>
    </row>
    <row r="169" spans="1:12">
      <c r="A169" t="s">
        <v>3145</v>
      </c>
      <c r="B169" t="s">
        <v>3356</v>
      </c>
      <c r="C169" s="3" t="str">
        <f>+'2-Préparation saisie LV PROD'!B19</f>
        <v>E5180</v>
      </c>
      <c r="D169" t="s">
        <v>587</v>
      </c>
      <c r="E169" t="s">
        <v>588</v>
      </c>
      <c r="F169" t="s">
        <v>506</v>
      </c>
      <c r="G169" t="s">
        <v>507</v>
      </c>
      <c r="H169" t="s">
        <v>508</v>
      </c>
      <c r="I169" t="s">
        <v>509</v>
      </c>
      <c r="J169" t="s">
        <v>589</v>
      </c>
      <c r="K169" s="502">
        <v>5</v>
      </c>
      <c r="L169" t="s">
        <v>297</v>
      </c>
    </row>
    <row r="170" spans="1:12">
      <c r="A170" t="s">
        <v>3145</v>
      </c>
      <c r="B170" t="s">
        <v>3357</v>
      </c>
      <c r="C170" s="60" t="str">
        <f>C169</f>
        <v>E5180</v>
      </c>
      <c r="D170" t="s">
        <v>587</v>
      </c>
      <c r="E170" t="s">
        <v>588</v>
      </c>
      <c r="F170" t="s">
        <v>506</v>
      </c>
      <c r="G170" t="s">
        <v>507</v>
      </c>
      <c r="H170" t="s">
        <v>508</v>
      </c>
      <c r="I170" t="s">
        <v>509</v>
      </c>
      <c r="J170" t="s">
        <v>589</v>
      </c>
      <c r="K170" s="502">
        <v>5</v>
      </c>
      <c r="L170" t="s">
        <v>297</v>
      </c>
    </row>
    <row r="171" spans="1:12">
      <c r="A171" t="s">
        <v>3145</v>
      </c>
      <c r="B171" t="s">
        <v>3358</v>
      </c>
      <c r="C171" s="60" t="str">
        <f t="shared" ref="C171:C180" si="14">+C170</f>
        <v>E5180</v>
      </c>
      <c r="D171" t="s">
        <v>587</v>
      </c>
      <c r="E171" t="s">
        <v>588</v>
      </c>
      <c r="F171" t="s">
        <v>506</v>
      </c>
      <c r="G171" t="s">
        <v>507</v>
      </c>
      <c r="H171" t="s">
        <v>508</v>
      </c>
      <c r="I171" t="s">
        <v>509</v>
      </c>
      <c r="J171" t="s">
        <v>589</v>
      </c>
      <c r="K171" s="502">
        <v>5</v>
      </c>
      <c r="L171" t="s">
        <v>297</v>
      </c>
    </row>
    <row r="172" spans="1:12">
      <c r="A172" t="s">
        <v>3145</v>
      </c>
      <c r="B172" t="s">
        <v>3359</v>
      </c>
      <c r="C172" s="60" t="str">
        <f t="shared" si="14"/>
        <v>E5180</v>
      </c>
      <c r="D172" t="s">
        <v>587</v>
      </c>
      <c r="E172" t="s">
        <v>588</v>
      </c>
      <c r="F172" t="s">
        <v>506</v>
      </c>
      <c r="G172" t="s">
        <v>507</v>
      </c>
      <c r="H172" t="s">
        <v>508</v>
      </c>
      <c r="I172" t="s">
        <v>509</v>
      </c>
      <c r="J172" t="s">
        <v>589</v>
      </c>
      <c r="K172" s="502">
        <v>5</v>
      </c>
      <c r="L172" t="s">
        <v>297</v>
      </c>
    </row>
    <row r="173" spans="1:12">
      <c r="A173" t="s">
        <v>3145</v>
      </c>
      <c r="B173" t="s">
        <v>3360</v>
      </c>
      <c r="C173" s="60" t="str">
        <f t="shared" si="14"/>
        <v>E5180</v>
      </c>
      <c r="D173" t="s">
        <v>587</v>
      </c>
      <c r="E173" t="s">
        <v>588</v>
      </c>
      <c r="F173" t="s">
        <v>506</v>
      </c>
      <c r="G173" t="s">
        <v>507</v>
      </c>
      <c r="H173" t="s">
        <v>508</v>
      </c>
      <c r="I173" t="s">
        <v>509</v>
      </c>
      <c r="J173" t="s">
        <v>589</v>
      </c>
      <c r="K173" s="502">
        <v>5</v>
      </c>
      <c r="L173" t="s">
        <v>297</v>
      </c>
    </row>
    <row r="174" spans="1:12">
      <c r="A174" t="s">
        <v>3145</v>
      </c>
      <c r="B174" t="s">
        <v>3361</v>
      </c>
      <c r="C174" s="60" t="str">
        <f t="shared" si="14"/>
        <v>E5180</v>
      </c>
      <c r="D174" t="s">
        <v>587</v>
      </c>
      <c r="E174" t="s">
        <v>588</v>
      </c>
      <c r="F174" t="s">
        <v>506</v>
      </c>
      <c r="G174" t="s">
        <v>507</v>
      </c>
      <c r="H174" t="s">
        <v>508</v>
      </c>
      <c r="I174" t="s">
        <v>509</v>
      </c>
      <c r="J174" t="s">
        <v>589</v>
      </c>
      <c r="K174" s="502">
        <v>5</v>
      </c>
      <c r="L174" t="s">
        <v>297</v>
      </c>
    </row>
    <row r="175" spans="1:12">
      <c r="A175" t="s">
        <v>3145</v>
      </c>
      <c r="B175" t="s">
        <v>3362</v>
      </c>
      <c r="C175" s="60" t="str">
        <f t="shared" si="14"/>
        <v>E5180</v>
      </c>
      <c r="D175" t="s">
        <v>587</v>
      </c>
      <c r="E175" t="s">
        <v>588</v>
      </c>
      <c r="F175" t="s">
        <v>506</v>
      </c>
      <c r="G175" t="s">
        <v>507</v>
      </c>
      <c r="H175" t="s">
        <v>508</v>
      </c>
      <c r="I175" t="s">
        <v>509</v>
      </c>
      <c r="J175" t="s">
        <v>589</v>
      </c>
      <c r="K175" s="502">
        <v>5</v>
      </c>
      <c r="L175" t="s">
        <v>297</v>
      </c>
    </row>
    <row r="176" spans="1:12">
      <c r="A176" t="s">
        <v>3145</v>
      </c>
      <c r="B176" t="s">
        <v>3363</v>
      </c>
      <c r="C176" s="60" t="str">
        <f t="shared" si="14"/>
        <v>E5180</v>
      </c>
      <c r="D176" t="s">
        <v>587</v>
      </c>
      <c r="E176" t="s">
        <v>588</v>
      </c>
      <c r="F176" t="s">
        <v>506</v>
      </c>
      <c r="G176" t="s">
        <v>507</v>
      </c>
      <c r="H176" t="s">
        <v>508</v>
      </c>
      <c r="I176" t="s">
        <v>509</v>
      </c>
      <c r="J176" t="s">
        <v>589</v>
      </c>
      <c r="K176" s="502">
        <v>5</v>
      </c>
      <c r="L176" t="s">
        <v>297</v>
      </c>
    </row>
    <row r="177" spans="1:12">
      <c r="A177" t="s">
        <v>3145</v>
      </c>
      <c r="B177" t="s">
        <v>3364</v>
      </c>
      <c r="C177" s="60" t="str">
        <f t="shared" si="14"/>
        <v>E5180</v>
      </c>
      <c r="D177" t="s">
        <v>587</v>
      </c>
      <c r="E177" t="s">
        <v>588</v>
      </c>
      <c r="F177" t="s">
        <v>506</v>
      </c>
      <c r="G177" t="s">
        <v>507</v>
      </c>
      <c r="H177" t="s">
        <v>508</v>
      </c>
      <c r="I177" t="s">
        <v>509</v>
      </c>
      <c r="J177" t="s">
        <v>589</v>
      </c>
      <c r="K177" s="502">
        <v>5</v>
      </c>
      <c r="L177" t="s">
        <v>297</v>
      </c>
    </row>
    <row r="178" spans="1:12">
      <c r="A178" t="s">
        <v>3145</v>
      </c>
      <c r="B178" t="s">
        <v>3365</v>
      </c>
      <c r="C178" s="60" t="str">
        <f t="shared" si="14"/>
        <v>E5180</v>
      </c>
      <c r="D178" t="s">
        <v>587</v>
      </c>
      <c r="E178" t="s">
        <v>588</v>
      </c>
      <c r="F178" t="s">
        <v>506</v>
      </c>
      <c r="G178" t="s">
        <v>507</v>
      </c>
      <c r="H178" t="s">
        <v>508</v>
      </c>
      <c r="I178" t="s">
        <v>509</v>
      </c>
      <c r="J178" t="s">
        <v>589</v>
      </c>
      <c r="K178" s="502">
        <v>5</v>
      </c>
      <c r="L178" t="s">
        <v>297</v>
      </c>
    </row>
    <row r="179" spans="1:12">
      <c r="A179" t="s">
        <v>3145</v>
      </c>
      <c r="B179" t="s">
        <v>3366</v>
      </c>
      <c r="C179" s="60" t="str">
        <f t="shared" si="14"/>
        <v>E5180</v>
      </c>
      <c r="D179" t="s">
        <v>587</v>
      </c>
      <c r="E179" t="s">
        <v>588</v>
      </c>
      <c r="F179" t="s">
        <v>506</v>
      </c>
      <c r="G179" t="s">
        <v>507</v>
      </c>
      <c r="H179" t="s">
        <v>508</v>
      </c>
      <c r="I179" t="s">
        <v>509</v>
      </c>
      <c r="J179" t="s">
        <v>589</v>
      </c>
      <c r="K179" s="502">
        <v>5</v>
      </c>
      <c r="L179" t="s">
        <v>297</v>
      </c>
    </row>
    <row r="180" spans="1:12">
      <c r="A180" t="s">
        <v>3145</v>
      </c>
      <c r="B180" t="s">
        <v>3367</v>
      </c>
      <c r="C180" s="60" t="str">
        <f t="shared" si="14"/>
        <v>E5180</v>
      </c>
      <c r="D180" t="s">
        <v>587</v>
      </c>
      <c r="E180" t="s">
        <v>588</v>
      </c>
      <c r="F180" t="s">
        <v>506</v>
      </c>
      <c r="G180" t="s">
        <v>507</v>
      </c>
      <c r="H180" t="s">
        <v>508</v>
      </c>
      <c r="I180" t="s">
        <v>509</v>
      </c>
      <c r="J180" t="s">
        <v>589</v>
      </c>
      <c r="K180" s="502">
        <v>5</v>
      </c>
      <c r="L180" t="s">
        <v>297</v>
      </c>
    </row>
    <row r="181" spans="1:12">
      <c r="A181" t="s">
        <v>3145</v>
      </c>
      <c r="B181" t="s">
        <v>3356</v>
      </c>
      <c r="C181" s="3" t="str">
        <f>+'2-Préparation saisie LV PROD'!B20</f>
        <v>E5210</v>
      </c>
      <c r="D181" t="s">
        <v>587</v>
      </c>
      <c r="E181" t="s">
        <v>588</v>
      </c>
      <c r="F181" t="s">
        <v>506</v>
      </c>
      <c r="G181" t="s">
        <v>507</v>
      </c>
      <c r="H181" t="s">
        <v>508</v>
      </c>
      <c r="I181" t="s">
        <v>509</v>
      </c>
      <c r="J181" t="s">
        <v>589</v>
      </c>
      <c r="K181" s="502">
        <v>2</v>
      </c>
      <c r="L181" t="s">
        <v>527</v>
      </c>
    </row>
    <row r="182" spans="1:12">
      <c r="A182" t="s">
        <v>3145</v>
      </c>
      <c r="B182" t="s">
        <v>3357</v>
      </c>
      <c r="C182" s="60" t="str">
        <f>C181</f>
        <v>E5210</v>
      </c>
      <c r="D182" t="s">
        <v>587</v>
      </c>
      <c r="E182" t="s">
        <v>588</v>
      </c>
      <c r="F182" t="s">
        <v>506</v>
      </c>
      <c r="G182" t="s">
        <v>507</v>
      </c>
      <c r="H182" t="s">
        <v>508</v>
      </c>
      <c r="I182" t="s">
        <v>509</v>
      </c>
      <c r="J182" t="s">
        <v>589</v>
      </c>
      <c r="K182" s="502">
        <v>2</v>
      </c>
      <c r="L182" t="s">
        <v>527</v>
      </c>
    </row>
    <row r="183" spans="1:12">
      <c r="A183" t="s">
        <v>3145</v>
      </c>
      <c r="B183" t="s">
        <v>3358</v>
      </c>
      <c r="C183" s="60" t="str">
        <f t="shared" ref="C183:C192" si="15">+C182</f>
        <v>E5210</v>
      </c>
      <c r="D183" t="s">
        <v>587</v>
      </c>
      <c r="E183" t="s">
        <v>588</v>
      </c>
      <c r="F183" t="s">
        <v>506</v>
      </c>
      <c r="G183" t="s">
        <v>507</v>
      </c>
      <c r="H183" t="s">
        <v>508</v>
      </c>
      <c r="I183" t="s">
        <v>509</v>
      </c>
      <c r="J183" t="s">
        <v>589</v>
      </c>
      <c r="K183" s="502">
        <v>2</v>
      </c>
      <c r="L183" t="s">
        <v>527</v>
      </c>
    </row>
    <row r="184" spans="1:12">
      <c r="A184" t="s">
        <v>3145</v>
      </c>
      <c r="B184" t="s">
        <v>3359</v>
      </c>
      <c r="C184" s="60" t="str">
        <f t="shared" si="15"/>
        <v>E5210</v>
      </c>
      <c r="D184" t="s">
        <v>587</v>
      </c>
      <c r="E184" t="s">
        <v>588</v>
      </c>
      <c r="F184" t="s">
        <v>506</v>
      </c>
      <c r="G184" t="s">
        <v>507</v>
      </c>
      <c r="H184" t="s">
        <v>508</v>
      </c>
      <c r="I184" t="s">
        <v>509</v>
      </c>
      <c r="J184" t="s">
        <v>589</v>
      </c>
      <c r="K184" s="502">
        <v>2</v>
      </c>
      <c r="L184" t="s">
        <v>527</v>
      </c>
    </row>
    <row r="185" spans="1:12">
      <c r="A185" t="s">
        <v>3145</v>
      </c>
      <c r="B185" t="s">
        <v>3360</v>
      </c>
      <c r="C185" s="60" t="str">
        <f t="shared" si="15"/>
        <v>E5210</v>
      </c>
      <c r="D185" t="s">
        <v>587</v>
      </c>
      <c r="E185" t="s">
        <v>588</v>
      </c>
      <c r="F185" t="s">
        <v>506</v>
      </c>
      <c r="G185" t="s">
        <v>507</v>
      </c>
      <c r="H185" t="s">
        <v>508</v>
      </c>
      <c r="I185" t="s">
        <v>509</v>
      </c>
      <c r="J185" t="s">
        <v>589</v>
      </c>
      <c r="K185" s="502">
        <v>2</v>
      </c>
      <c r="L185" t="s">
        <v>527</v>
      </c>
    </row>
    <row r="186" spans="1:12">
      <c r="A186" t="s">
        <v>3145</v>
      </c>
      <c r="B186" t="s">
        <v>3361</v>
      </c>
      <c r="C186" s="60" t="str">
        <f t="shared" si="15"/>
        <v>E5210</v>
      </c>
      <c r="D186" t="s">
        <v>587</v>
      </c>
      <c r="E186" t="s">
        <v>588</v>
      </c>
      <c r="F186" t="s">
        <v>506</v>
      </c>
      <c r="G186" t="s">
        <v>507</v>
      </c>
      <c r="H186" t="s">
        <v>508</v>
      </c>
      <c r="I186" t="s">
        <v>509</v>
      </c>
      <c r="J186" t="s">
        <v>589</v>
      </c>
      <c r="K186" s="502">
        <v>2</v>
      </c>
      <c r="L186" t="s">
        <v>527</v>
      </c>
    </row>
    <row r="187" spans="1:12">
      <c r="A187" t="s">
        <v>3145</v>
      </c>
      <c r="B187" t="s">
        <v>3362</v>
      </c>
      <c r="C187" s="60" t="str">
        <f t="shared" si="15"/>
        <v>E5210</v>
      </c>
      <c r="D187" t="s">
        <v>587</v>
      </c>
      <c r="E187" t="s">
        <v>588</v>
      </c>
      <c r="F187" t="s">
        <v>506</v>
      </c>
      <c r="G187" t="s">
        <v>507</v>
      </c>
      <c r="H187" t="s">
        <v>508</v>
      </c>
      <c r="I187" t="s">
        <v>509</v>
      </c>
      <c r="J187" t="s">
        <v>589</v>
      </c>
      <c r="K187" s="502">
        <v>2</v>
      </c>
      <c r="L187" t="s">
        <v>527</v>
      </c>
    </row>
    <row r="188" spans="1:12">
      <c r="A188" t="s">
        <v>3145</v>
      </c>
      <c r="B188" t="s">
        <v>3363</v>
      </c>
      <c r="C188" s="60" t="str">
        <f t="shared" si="15"/>
        <v>E5210</v>
      </c>
      <c r="D188" t="s">
        <v>587</v>
      </c>
      <c r="E188" t="s">
        <v>588</v>
      </c>
      <c r="F188" t="s">
        <v>506</v>
      </c>
      <c r="G188" t="s">
        <v>507</v>
      </c>
      <c r="H188" t="s">
        <v>508</v>
      </c>
      <c r="I188" t="s">
        <v>509</v>
      </c>
      <c r="J188" t="s">
        <v>589</v>
      </c>
      <c r="K188" s="502">
        <v>2</v>
      </c>
      <c r="L188" t="s">
        <v>527</v>
      </c>
    </row>
    <row r="189" spans="1:12">
      <c r="A189" t="s">
        <v>3145</v>
      </c>
      <c r="B189" t="s">
        <v>3364</v>
      </c>
      <c r="C189" s="60" t="str">
        <f t="shared" si="15"/>
        <v>E5210</v>
      </c>
      <c r="D189" t="s">
        <v>587</v>
      </c>
      <c r="E189" t="s">
        <v>588</v>
      </c>
      <c r="F189" t="s">
        <v>506</v>
      </c>
      <c r="G189" t="s">
        <v>507</v>
      </c>
      <c r="H189" t="s">
        <v>508</v>
      </c>
      <c r="I189" t="s">
        <v>509</v>
      </c>
      <c r="J189" t="s">
        <v>589</v>
      </c>
      <c r="K189" s="502">
        <v>2</v>
      </c>
      <c r="L189" t="s">
        <v>527</v>
      </c>
    </row>
    <row r="190" spans="1:12">
      <c r="A190" t="s">
        <v>3145</v>
      </c>
      <c r="B190" t="s">
        <v>3365</v>
      </c>
      <c r="C190" s="60" t="str">
        <f t="shared" si="15"/>
        <v>E5210</v>
      </c>
      <c r="D190" t="s">
        <v>587</v>
      </c>
      <c r="E190" t="s">
        <v>588</v>
      </c>
      <c r="F190" t="s">
        <v>506</v>
      </c>
      <c r="G190" t="s">
        <v>507</v>
      </c>
      <c r="H190" t="s">
        <v>508</v>
      </c>
      <c r="I190" t="s">
        <v>509</v>
      </c>
      <c r="J190" t="s">
        <v>589</v>
      </c>
      <c r="K190" s="502">
        <v>2</v>
      </c>
      <c r="L190" t="s">
        <v>527</v>
      </c>
    </row>
    <row r="191" spans="1:12">
      <c r="A191" t="s">
        <v>3145</v>
      </c>
      <c r="B191" t="s">
        <v>3366</v>
      </c>
      <c r="C191" s="60" t="str">
        <f t="shared" si="15"/>
        <v>E5210</v>
      </c>
      <c r="D191" t="s">
        <v>587</v>
      </c>
      <c r="E191" t="s">
        <v>588</v>
      </c>
      <c r="F191" t="s">
        <v>506</v>
      </c>
      <c r="G191" t="s">
        <v>507</v>
      </c>
      <c r="H191" t="s">
        <v>508</v>
      </c>
      <c r="I191" t="s">
        <v>509</v>
      </c>
      <c r="J191" t="s">
        <v>589</v>
      </c>
      <c r="K191" s="502">
        <v>2</v>
      </c>
      <c r="L191" t="s">
        <v>527</v>
      </c>
    </row>
    <row r="192" spans="1:12">
      <c r="A192" t="s">
        <v>3145</v>
      </c>
      <c r="B192" t="s">
        <v>3367</v>
      </c>
      <c r="C192" s="60" t="str">
        <f t="shared" si="15"/>
        <v>E5210</v>
      </c>
      <c r="D192" t="s">
        <v>587</v>
      </c>
      <c r="E192" t="s">
        <v>588</v>
      </c>
      <c r="F192" t="s">
        <v>506</v>
      </c>
      <c r="G192" t="s">
        <v>507</v>
      </c>
      <c r="H192" t="s">
        <v>508</v>
      </c>
      <c r="I192" t="s">
        <v>509</v>
      </c>
      <c r="J192" t="s">
        <v>589</v>
      </c>
      <c r="K192" s="502">
        <v>2</v>
      </c>
      <c r="L192" t="s">
        <v>527</v>
      </c>
    </row>
    <row r="193" spans="1:12">
      <c r="A193" t="s">
        <v>3145</v>
      </c>
      <c r="B193" t="s">
        <v>3356</v>
      </c>
      <c r="C193" s="3" t="str">
        <f>+'2-Préparation saisie LV PROD'!B21</f>
        <v>E5270</v>
      </c>
      <c r="D193" t="s">
        <v>587</v>
      </c>
      <c r="E193" t="s">
        <v>588</v>
      </c>
      <c r="F193" t="s">
        <v>506</v>
      </c>
      <c r="G193" t="s">
        <v>507</v>
      </c>
      <c r="H193" t="s">
        <v>508</v>
      </c>
      <c r="I193" t="s">
        <v>509</v>
      </c>
      <c r="J193" t="s">
        <v>589</v>
      </c>
      <c r="K193" s="502">
        <v>13</v>
      </c>
      <c r="L193" t="s">
        <v>538</v>
      </c>
    </row>
    <row r="194" spans="1:12">
      <c r="A194" t="s">
        <v>3145</v>
      </c>
      <c r="B194" t="s">
        <v>3357</v>
      </c>
      <c r="C194" s="60" t="str">
        <f>C193</f>
        <v>E5270</v>
      </c>
      <c r="D194" t="s">
        <v>587</v>
      </c>
      <c r="E194" t="s">
        <v>588</v>
      </c>
      <c r="F194" t="s">
        <v>506</v>
      </c>
      <c r="G194" t="s">
        <v>507</v>
      </c>
      <c r="H194" t="s">
        <v>508</v>
      </c>
      <c r="I194" t="s">
        <v>509</v>
      </c>
      <c r="J194" t="s">
        <v>589</v>
      </c>
      <c r="K194" s="502">
        <v>13</v>
      </c>
      <c r="L194" t="s">
        <v>538</v>
      </c>
    </row>
    <row r="195" spans="1:12">
      <c r="A195" t="s">
        <v>3145</v>
      </c>
      <c r="B195" t="s">
        <v>3358</v>
      </c>
      <c r="C195" s="60" t="str">
        <f t="shared" ref="C195:C204" si="16">+C194</f>
        <v>E5270</v>
      </c>
      <c r="D195" t="s">
        <v>587</v>
      </c>
      <c r="E195" t="s">
        <v>588</v>
      </c>
      <c r="F195" t="s">
        <v>506</v>
      </c>
      <c r="G195" t="s">
        <v>507</v>
      </c>
      <c r="H195" t="s">
        <v>508</v>
      </c>
      <c r="I195" t="s">
        <v>509</v>
      </c>
      <c r="J195" t="s">
        <v>589</v>
      </c>
      <c r="K195" s="502">
        <v>13</v>
      </c>
      <c r="L195" t="s">
        <v>538</v>
      </c>
    </row>
    <row r="196" spans="1:12">
      <c r="A196" t="s">
        <v>3145</v>
      </c>
      <c r="B196" t="s">
        <v>3359</v>
      </c>
      <c r="C196" s="60" t="str">
        <f t="shared" si="16"/>
        <v>E5270</v>
      </c>
      <c r="D196" t="s">
        <v>587</v>
      </c>
      <c r="E196" t="s">
        <v>588</v>
      </c>
      <c r="F196" t="s">
        <v>506</v>
      </c>
      <c r="G196" t="s">
        <v>507</v>
      </c>
      <c r="H196" t="s">
        <v>508</v>
      </c>
      <c r="I196" t="s">
        <v>509</v>
      </c>
      <c r="J196" t="s">
        <v>589</v>
      </c>
      <c r="K196" s="502">
        <v>13</v>
      </c>
      <c r="L196" t="s">
        <v>538</v>
      </c>
    </row>
    <row r="197" spans="1:12">
      <c r="A197" t="s">
        <v>3145</v>
      </c>
      <c r="B197" t="s">
        <v>3360</v>
      </c>
      <c r="C197" s="60" t="str">
        <f t="shared" si="16"/>
        <v>E5270</v>
      </c>
      <c r="D197" t="s">
        <v>587</v>
      </c>
      <c r="E197" t="s">
        <v>588</v>
      </c>
      <c r="F197" t="s">
        <v>506</v>
      </c>
      <c r="G197" t="s">
        <v>507</v>
      </c>
      <c r="H197" t="s">
        <v>508</v>
      </c>
      <c r="I197" t="s">
        <v>509</v>
      </c>
      <c r="J197" t="s">
        <v>589</v>
      </c>
      <c r="K197" s="502">
        <v>13</v>
      </c>
      <c r="L197" t="s">
        <v>538</v>
      </c>
    </row>
    <row r="198" spans="1:12">
      <c r="A198" t="s">
        <v>3145</v>
      </c>
      <c r="B198" t="s">
        <v>3361</v>
      </c>
      <c r="C198" s="60" t="str">
        <f t="shared" si="16"/>
        <v>E5270</v>
      </c>
      <c r="D198" t="s">
        <v>587</v>
      </c>
      <c r="E198" t="s">
        <v>588</v>
      </c>
      <c r="F198" t="s">
        <v>506</v>
      </c>
      <c r="G198" t="s">
        <v>507</v>
      </c>
      <c r="H198" t="s">
        <v>508</v>
      </c>
      <c r="I198" t="s">
        <v>509</v>
      </c>
      <c r="J198" t="s">
        <v>589</v>
      </c>
      <c r="K198" s="502">
        <v>13</v>
      </c>
      <c r="L198" t="s">
        <v>538</v>
      </c>
    </row>
    <row r="199" spans="1:12">
      <c r="A199" t="s">
        <v>3145</v>
      </c>
      <c r="B199" t="s">
        <v>3362</v>
      </c>
      <c r="C199" s="60" t="str">
        <f t="shared" si="16"/>
        <v>E5270</v>
      </c>
      <c r="D199" t="s">
        <v>587</v>
      </c>
      <c r="E199" t="s">
        <v>588</v>
      </c>
      <c r="F199" t="s">
        <v>506</v>
      </c>
      <c r="G199" t="s">
        <v>507</v>
      </c>
      <c r="H199" t="s">
        <v>508</v>
      </c>
      <c r="I199" t="s">
        <v>509</v>
      </c>
      <c r="J199" t="s">
        <v>589</v>
      </c>
      <c r="K199" s="502">
        <v>13</v>
      </c>
      <c r="L199" t="s">
        <v>538</v>
      </c>
    </row>
    <row r="200" spans="1:12">
      <c r="A200" t="s">
        <v>3145</v>
      </c>
      <c r="B200" t="s">
        <v>3363</v>
      </c>
      <c r="C200" s="60" t="str">
        <f t="shared" si="16"/>
        <v>E5270</v>
      </c>
      <c r="D200" t="s">
        <v>587</v>
      </c>
      <c r="E200" t="s">
        <v>588</v>
      </c>
      <c r="F200" t="s">
        <v>506</v>
      </c>
      <c r="G200" t="s">
        <v>507</v>
      </c>
      <c r="H200" t="s">
        <v>508</v>
      </c>
      <c r="I200" t="s">
        <v>509</v>
      </c>
      <c r="J200" t="s">
        <v>589</v>
      </c>
      <c r="K200" s="502">
        <v>13</v>
      </c>
      <c r="L200" t="s">
        <v>538</v>
      </c>
    </row>
    <row r="201" spans="1:12">
      <c r="A201" t="s">
        <v>3145</v>
      </c>
      <c r="B201" t="s">
        <v>3364</v>
      </c>
      <c r="C201" s="60" t="str">
        <f t="shared" si="16"/>
        <v>E5270</v>
      </c>
      <c r="D201" t="s">
        <v>587</v>
      </c>
      <c r="E201" t="s">
        <v>588</v>
      </c>
      <c r="F201" t="s">
        <v>506</v>
      </c>
      <c r="G201" t="s">
        <v>507</v>
      </c>
      <c r="H201" t="s">
        <v>508</v>
      </c>
      <c r="I201" t="s">
        <v>509</v>
      </c>
      <c r="J201" t="s">
        <v>589</v>
      </c>
      <c r="K201" s="502">
        <v>13</v>
      </c>
      <c r="L201" t="s">
        <v>538</v>
      </c>
    </row>
    <row r="202" spans="1:12">
      <c r="A202" t="s">
        <v>3145</v>
      </c>
      <c r="B202" t="s">
        <v>3365</v>
      </c>
      <c r="C202" s="60" t="str">
        <f t="shared" si="16"/>
        <v>E5270</v>
      </c>
      <c r="D202" t="s">
        <v>587</v>
      </c>
      <c r="E202" t="s">
        <v>588</v>
      </c>
      <c r="F202" t="s">
        <v>506</v>
      </c>
      <c r="G202" t="s">
        <v>507</v>
      </c>
      <c r="H202" t="s">
        <v>508</v>
      </c>
      <c r="I202" t="s">
        <v>509</v>
      </c>
      <c r="J202" t="s">
        <v>589</v>
      </c>
      <c r="K202" s="502">
        <v>13</v>
      </c>
      <c r="L202" t="s">
        <v>538</v>
      </c>
    </row>
    <row r="203" spans="1:12">
      <c r="A203" t="s">
        <v>3145</v>
      </c>
      <c r="B203" t="s">
        <v>3366</v>
      </c>
      <c r="C203" s="60" t="str">
        <f t="shared" si="16"/>
        <v>E5270</v>
      </c>
      <c r="D203" t="s">
        <v>587</v>
      </c>
      <c r="E203" t="s">
        <v>588</v>
      </c>
      <c r="F203" t="s">
        <v>506</v>
      </c>
      <c r="G203" t="s">
        <v>507</v>
      </c>
      <c r="H203" t="s">
        <v>508</v>
      </c>
      <c r="I203" t="s">
        <v>509</v>
      </c>
      <c r="J203" t="s">
        <v>589</v>
      </c>
      <c r="K203" s="502">
        <v>13</v>
      </c>
      <c r="L203" t="s">
        <v>538</v>
      </c>
    </row>
    <row r="204" spans="1:12">
      <c r="A204" t="s">
        <v>3145</v>
      </c>
      <c r="B204" t="s">
        <v>3367</v>
      </c>
      <c r="C204" s="60" t="str">
        <f t="shared" si="16"/>
        <v>E5270</v>
      </c>
      <c r="D204" t="s">
        <v>587</v>
      </c>
      <c r="E204" t="s">
        <v>588</v>
      </c>
      <c r="F204" t="s">
        <v>506</v>
      </c>
      <c r="G204" t="s">
        <v>507</v>
      </c>
      <c r="H204" t="s">
        <v>508</v>
      </c>
      <c r="I204" t="s">
        <v>509</v>
      </c>
      <c r="J204" t="s">
        <v>589</v>
      </c>
      <c r="K204" s="502">
        <v>13</v>
      </c>
      <c r="L204" t="s">
        <v>538</v>
      </c>
    </row>
    <row r="205" spans="1:12">
      <c r="A205" t="s">
        <v>3145</v>
      </c>
      <c r="B205" t="s">
        <v>3356</v>
      </c>
      <c r="C205" s="3" t="str">
        <f>+'2-Préparation saisie LV PROD'!B22</f>
        <v>E5280</v>
      </c>
      <c r="D205" t="s">
        <v>587</v>
      </c>
      <c r="E205" t="s">
        <v>588</v>
      </c>
      <c r="F205" t="s">
        <v>506</v>
      </c>
      <c r="G205" t="s">
        <v>507</v>
      </c>
      <c r="H205" t="s">
        <v>508</v>
      </c>
      <c r="I205" t="s">
        <v>509</v>
      </c>
      <c r="J205" t="s">
        <v>589</v>
      </c>
      <c r="K205" s="502">
        <v>3</v>
      </c>
      <c r="L205" t="s">
        <v>541</v>
      </c>
    </row>
    <row r="206" spans="1:12">
      <c r="A206" t="s">
        <v>3145</v>
      </c>
      <c r="B206" t="s">
        <v>3357</v>
      </c>
      <c r="C206" s="60" t="str">
        <f>C205</f>
        <v>E5280</v>
      </c>
      <c r="D206" t="s">
        <v>587</v>
      </c>
      <c r="E206" t="s">
        <v>588</v>
      </c>
      <c r="F206" t="s">
        <v>506</v>
      </c>
      <c r="G206" t="s">
        <v>507</v>
      </c>
      <c r="H206" t="s">
        <v>508</v>
      </c>
      <c r="I206" t="s">
        <v>509</v>
      </c>
      <c r="J206" t="s">
        <v>589</v>
      </c>
      <c r="K206" s="502">
        <v>3</v>
      </c>
      <c r="L206" t="s">
        <v>541</v>
      </c>
    </row>
    <row r="207" spans="1:12">
      <c r="A207" t="s">
        <v>3145</v>
      </c>
      <c r="B207" t="s">
        <v>3358</v>
      </c>
      <c r="C207" s="60" t="str">
        <f t="shared" ref="C207:C216" si="17">+C206</f>
        <v>E5280</v>
      </c>
      <c r="D207" t="s">
        <v>587</v>
      </c>
      <c r="E207" t="s">
        <v>588</v>
      </c>
      <c r="F207" t="s">
        <v>506</v>
      </c>
      <c r="G207" t="s">
        <v>507</v>
      </c>
      <c r="H207" t="s">
        <v>508</v>
      </c>
      <c r="I207" t="s">
        <v>509</v>
      </c>
      <c r="J207" t="s">
        <v>589</v>
      </c>
      <c r="K207" s="502">
        <v>3</v>
      </c>
      <c r="L207" t="s">
        <v>541</v>
      </c>
    </row>
    <row r="208" spans="1:12">
      <c r="A208" t="s">
        <v>3145</v>
      </c>
      <c r="B208" t="s">
        <v>3359</v>
      </c>
      <c r="C208" s="60" t="str">
        <f t="shared" si="17"/>
        <v>E5280</v>
      </c>
      <c r="D208" t="s">
        <v>587</v>
      </c>
      <c r="E208" t="s">
        <v>588</v>
      </c>
      <c r="F208" t="s">
        <v>506</v>
      </c>
      <c r="G208" t="s">
        <v>507</v>
      </c>
      <c r="H208" t="s">
        <v>508</v>
      </c>
      <c r="I208" t="s">
        <v>509</v>
      </c>
      <c r="J208" t="s">
        <v>589</v>
      </c>
      <c r="K208" s="502">
        <v>3</v>
      </c>
      <c r="L208" t="s">
        <v>541</v>
      </c>
    </row>
    <row r="209" spans="1:12">
      <c r="A209" t="s">
        <v>3145</v>
      </c>
      <c r="B209" t="s">
        <v>3360</v>
      </c>
      <c r="C209" s="60" t="str">
        <f t="shared" si="17"/>
        <v>E5280</v>
      </c>
      <c r="D209" t="s">
        <v>587</v>
      </c>
      <c r="E209" t="s">
        <v>588</v>
      </c>
      <c r="F209" t="s">
        <v>506</v>
      </c>
      <c r="G209" t="s">
        <v>507</v>
      </c>
      <c r="H209" t="s">
        <v>508</v>
      </c>
      <c r="I209" t="s">
        <v>509</v>
      </c>
      <c r="J209" t="s">
        <v>589</v>
      </c>
      <c r="K209" s="502">
        <v>3</v>
      </c>
      <c r="L209" t="s">
        <v>541</v>
      </c>
    </row>
    <row r="210" spans="1:12">
      <c r="A210" t="s">
        <v>3145</v>
      </c>
      <c r="B210" t="s">
        <v>3361</v>
      </c>
      <c r="C210" s="60" t="str">
        <f t="shared" si="17"/>
        <v>E5280</v>
      </c>
      <c r="D210" t="s">
        <v>587</v>
      </c>
      <c r="E210" t="s">
        <v>588</v>
      </c>
      <c r="F210" t="s">
        <v>506</v>
      </c>
      <c r="G210" t="s">
        <v>507</v>
      </c>
      <c r="H210" t="s">
        <v>508</v>
      </c>
      <c r="I210" t="s">
        <v>509</v>
      </c>
      <c r="J210" t="s">
        <v>589</v>
      </c>
      <c r="K210" s="502">
        <v>3</v>
      </c>
      <c r="L210" t="s">
        <v>541</v>
      </c>
    </row>
    <row r="211" spans="1:12">
      <c r="A211" t="s">
        <v>3145</v>
      </c>
      <c r="B211" t="s">
        <v>3362</v>
      </c>
      <c r="C211" s="60" t="str">
        <f t="shared" si="17"/>
        <v>E5280</v>
      </c>
      <c r="D211" t="s">
        <v>587</v>
      </c>
      <c r="E211" t="s">
        <v>588</v>
      </c>
      <c r="F211" t="s">
        <v>506</v>
      </c>
      <c r="G211" t="s">
        <v>507</v>
      </c>
      <c r="H211" t="s">
        <v>508</v>
      </c>
      <c r="I211" t="s">
        <v>509</v>
      </c>
      <c r="J211" t="s">
        <v>589</v>
      </c>
      <c r="K211" s="502">
        <v>3</v>
      </c>
      <c r="L211" t="s">
        <v>541</v>
      </c>
    </row>
    <row r="212" spans="1:12">
      <c r="A212" t="s">
        <v>3145</v>
      </c>
      <c r="B212" t="s">
        <v>3363</v>
      </c>
      <c r="C212" s="60" t="str">
        <f t="shared" si="17"/>
        <v>E5280</v>
      </c>
      <c r="D212" t="s">
        <v>587</v>
      </c>
      <c r="E212" t="s">
        <v>588</v>
      </c>
      <c r="F212" t="s">
        <v>506</v>
      </c>
      <c r="G212" t="s">
        <v>507</v>
      </c>
      <c r="H212" t="s">
        <v>508</v>
      </c>
      <c r="I212" t="s">
        <v>509</v>
      </c>
      <c r="J212" t="s">
        <v>589</v>
      </c>
      <c r="K212" s="502">
        <v>3</v>
      </c>
      <c r="L212" t="s">
        <v>541</v>
      </c>
    </row>
    <row r="213" spans="1:12">
      <c r="A213" t="s">
        <v>3145</v>
      </c>
      <c r="B213" t="s">
        <v>3364</v>
      </c>
      <c r="C213" s="60" t="str">
        <f t="shared" si="17"/>
        <v>E5280</v>
      </c>
      <c r="D213" t="s">
        <v>587</v>
      </c>
      <c r="E213" t="s">
        <v>588</v>
      </c>
      <c r="F213" t="s">
        <v>506</v>
      </c>
      <c r="G213" t="s">
        <v>507</v>
      </c>
      <c r="H213" t="s">
        <v>508</v>
      </c>
      <c r="I213" t="s">
        <v>509</v>
      </c>
      <c r="J213" t="s">
        <v>589</v>
      </c>
      <c r="K213" s="502">
        <v>3</v>
      </c>
      <c r="L213" t="s">
        <v>541</v>
      </c>
    </row>
    <row r="214" spans="1:12">
      <c r="A214" t="s">
        <v>3145</v>
      </c>
      <c r="B214" t="s">
        <v>3365</v>
      </c>
      <c r="C214" s="60" t="str">
        <f t="shared" si="17"/>
        <v>E5280</v>
      </c>
      <c r="D214" t="s">
        <v>587</v>
      </c>
      <c r="E214" t="s">
        <v>588</v>
      </c>
      <c r="F214" t="s">
        <v>506</v>
      </c>
      <c r="G214" t="s">
        <v>507</v>
      </c>
      <c r="H214" t="s">
        <v>508</v>
      </c>
      <c r="I214" t="s">
        <v>509</v>
      </c>
      <c r="J214" t="s">
        <v>589</v>
      </c>
      <c r="K214" s="502">
        <v>3</v>
      </c>
      <c r="L214" t="s">
        <v>541</v>
      </c>
    </row>
    <row r="215" spans="1:12">
      <c r="A215" t="s">
        <v>3145</v>
      </c>
      <c r="B215" t="s">
        <v>3366</v>
      </c>
      <c r="C215" s="60" t="str">
        <f t="shared" si="17"/>
        <v>E5280</v>
      </c>
      <c r="D215" t="s">
        <v>587</v>
      </c>
      <c r="E215" t="s">
        <v>588</v>
      </c>
      <c r="F215" t="s">
        <v>506</v>
      </c>
      <c r="G215" t="s">
        <v>507</v>
      </c>
      <c r="H215" t="s">
        <v>508</v>
      </c>
      <c r="I215" t="s">
        <v>509</v>
      </c>
      <c r="J215" t="s">
        <v>589</v>
      </c>
      <c r="K215" s="502">
        <v>3</v>
      </c>
      <c r="L215" t="s">
        <v>541</v>
      </c>
    </row>
    <row r="216" spans="1:12">
      <c r="A216" t="s">
        <v>3145</v>
      </c>
      <c r="B216" t="s">
        <v>3367</v>
      </c>
      <c r="C216" s="60" t="str">
        <f t="shared" si="17"/>
        <v>E5280</v>
      </c>
      <c r="D216" t="s">
        <v>587</v>
      </c>
      <c r="E216" t="s">
        <v>588</v>
      </c>
      <c r="F216" t="s">
        <v>506</v>
      </c>
      <c r="G216" t="s">
        <v>507</v>
      </c>
      <c r="H216" t="s">
        <v>508</v>
      </c>
      <c r="I216" t="s">
        <v>509</v>
      </c>
      <c r="J216" t="s">
        <v>589</v>
      </c>
      <c r="K216" s="502">
        <v>3</v>
      </c>
      <c r="L216" t="s">
        <v>541</v>
      </c>
    </row>
    <row r="217" spans="1:12">
      <c r="A217" t="s">
        <v>3145</v>
      </c>
      <c r="B217" t="s">
        <v>3356</v>
      </c>
      <c r="C217" s="3" t="str">
        <f>+'2-Préparation saisie LV PROD'!B23</f>
        <v>E5300</v>
      </c>
      <c r="D217" t="s">
        <v>587</v>
      </c>
      <c r="E217" t="s">
        <v>588</v>
      </c>
      <c r="F217" t="s">
        <v>506</v>
      </c>
      <c r="G217" t="s">
        <v>507</v>
      </c>
      <c r="H217" t="s">
        <v>508</v>
      </c>
      <c r="I217" t="s">
        <v>509</v>
      </c>
      <c r="J217" t="s">
        <v>589</v>
      </c>
      <c r="K217" s="502">
        <v>4</v>
      </c>
      <c r="L217" t="s">
        <v>213</v>
      </c>
    </row>
    <row r="218" spans="1:12">
      <c r="A218" t="s">
        <v>3145</v>
      </c>
      <c r="B218" t="s">
        <v>3357</v>
      </c>
      <c r="C218" s="60" t="str">
        <f>C217</f>
        <v>E5300</v>
      </c>
      <c r="D218" t="s">
        <v>587</v>
      </c>
      <c r="E218" t="s">
        <v>588</v>
      </c>
      <c r="F218" t="s">
        <v>506</v>
      </c>
      <c r="G218" t="s">
        <v>507</v>
      </c>
      <c r="H218" t="s">
        <v>508</v>
      </c>
      <c r="I218" t="s">
        <v>509</v>
      </c>
      <c r="J218" t="s">
        <v>589</v>
      </c>
      <c r="K218" s="502">
        <v>4</v>
      </c>
      <c r="L218" t="s">
        <v>213</v>
      </c>
    </row>
    <row r="219" spans="1:12">
      <c r="A219" t="s">
        <v>3145</v>
      </c>
      <c r="B219" t="s">
        <v>3358</v>
      </c>
      <c r="C219" s="60" t="str">
        <f t="shared" ref="C219:C228" si="18">+C218</f>
        <v>E5300</v>
      </c>
      <c r="D219" t="s">
        <v>587</v>
      </c>
      <c r="E219" t="s">
        <v>588</v>
      </c>
      <c r="F219" t="s">
        <v>506</v>
      </c>
      <c r="G219" t="s">
        <v>507</v>
      </c>
      <c r="H219" t="s">
        <v>508</v>
      </c>
      <c r="I219" t="s">
        <v>509</v>
      </c>
      <c r="J219" t="s">
        <v>589</v>
      </c>
      <c r="K219" s="502">
        <v>4</v>
      </c>
      <c r="L219" t="s">
        <v>213</v>
      </c>
    </row>
    <row r="220" spans="1:12">
      <c r="A220" t="s">
        <v>3145</v>
      </c>
      <c r="B220" t="s">
        <v>3359</v>
      </c>
      <c r="C220" s="60" t="str">
        <f t="shared" si="18"/>
        <v>E5300</v>
      </c>
      <c r="D220" t="s">
        <v>587</v>
      </c>
      <c r="E220" t="s">
        <v>588</v>
      </c>
      <c r="F220" t="s">
        <v>506</v>
      </c>
      <c r="G220" t="s">
        <v>507</v>
      </c>
      <c r="H220" t="s">
        <v>508</v>
      </c>
      <c r="I220" t="s">
        <v>509</v>
      </c>
      <c r="J220" t="s">
        <v>589</v>
      </c>
      <c r="K220" s="502">
        <v>4</v>
      </c>
      <c r="L220" t="s">
        <v>213</v>
      </c>
    </row>
    <row r="221" spans="1:12">
      <c r="A221" t="s">
        <v>3145</v>
      </c>
      <c r="B221" t="s">
        <v>3360</v>
      </c>
      <c r="C221" s="60" t="str">
        <f t="shared" si="18"/>
        <v>E5300</v>
      </c>
      <c r="D221" t="s">
        <v>587</v>
      </c>
      <c r="E221" t="s">
        <v>588</v>
      </c>
      <c r="F221" t="s">
        <v>506</v>
      </c>
      <c r="G221" t="s">
        <v>507</v>
      </c>
      <c r="H221" t="s">
        <v>508</v>
      </c>
      <c r="I221" t="s">
        <v>509</v>
      </c>
      <c r="J221" t="s">
        <v>589</v>
      </c>
      <c r="K221" s="502">
        <v>4</v>
      </c>
      <c r="L221" t="s">
        <v>213</v>
      </c>
    </row>
    <row r="222" spans="1:12">
      <c r="A222" t="s">
        <v>3145</v>
      </c>
      <c r="B222" t="s">
        <v>3361</v>
      </c>
      <c r="C222" s="60" t="str">
        <f t="shared" si="18"/>
        <v>E5300</v>
      </c>
      <c r="D222" t="s">
        <v>587</v>
      </c>
      <c r="E222" t="s">
        <v>588</v>
      </c>
      <c r="F222" t="s">
        <v>506</v>
      </c>
      <c r="G222" t="s">
        <v>507</v>
      </c>
      <c r="H222" t="s">
        <v>508</v>
      </c>
      <c r="I222" t="s">
        <v>509</v>
      </c>
      <c r="J222" t="s">
        <v>589</v>
      </c>
      <c r="K222" s="502">
        <v>4</v>
      </c>
      <c r="L222" t="s">
        <v>213</v>
      </c>
    </row>
    <row r="223" spans="1:12">
      <c r="A223" t="s">
        <v>3145</v>
      </c>
      <c r="B223" t="s">
        <v>3362</v>
      </c>
      <c r="C223" s="60" t="str">
        <f t="shared" si="18"/>
        <v>E5300</v>
      </c>
      <c r="D223" t="s">
        <v>587</v>
      </c>
      <c r="E223" t="s">
        <v>588</v>
      </c>
      <c r="F223" t="s">
        <v>506</v>
      </c>
      <c r="G223" t="s">
        <v>507</v>
      </c>
      <c r="H223" t="s">
        <v>508</v>
      </c>
      <c r="I223" t="s">
        <v>509</v>
      </c>
      <c r="J223" t="s">
        <v>589</v>
      </c>
      <c r="K223" s="502">
        <v>4</v>
      </c>
      <c r="L223" t="s">
        <v>213</v>
      </c>
    </row>
    <row r="224" spans="1:12">
      <c r="A224" t="s">
        <v>3145</v>
      </c>
      <c r="B224" t="s">
        <v>3363</v>
      </c>
      <c r="C224" s="60" t="str">
        <f t="shared" si="18"/>
        <v>E5300</v>
      </c>
      <c r="D224" t="s">
        <v>587</v>
      </c>
      <c r="E224" t="s">
        <v>588</v>
      </c>
      <c r="F224" t="s">
        <v>506</v>
      </c>
      <c r="G224" t="s">
        <v>507</v>
      </c>
      <c r="H224" t="s">
        <v>508</v>
      </c>
      <c r="I224" t="s">
        <v>509</v>
      </c>
      <c r="J224" t="s">
        <v>589</v>
      </c>
      <c r="K224" s="502">
        <v>4</v>
      </c>
      <c r="L224" t="s">
        <v>213</v>
      </c>
    </row>
    <row r="225" spans="1:12">
      <c r="A225" t="s">
        <v>3145</v>
      </c>
      <c r="B225" t="s">
        <v>3364</v>
      </c>
      <c r="C225" s="60" t="str">
        <f t="shared" si="18"/>
        <v>E5300</v>
      </c>
      <c r="D225" t="s">
        <v>587</v>
      </c>
      <c r="E225" t="s">
        <v>588</v>
      </c>
      <c r="F225" t="s">
        <v>506</v>
      </c>
      <c r="G225" t="s">
        <v>507</v>
      </c>
      <c r="H225" t="s">
        <v>508</v>
      </c>
      <c r="I225" t="s">
        <v>509</v>
      </c>
      <c r="J225" t="s">
        <v>589</v>
      </c>
      <c r="K225" s="502">
        <v>4</v>
      </c>
      <c r="L225" t="s">
        <v>213</v>
      </c>
    </row>
    <row r="226" spans="1:12">
      <c r="A226" t="s">
        <v>3145</v>
      </c>
      <c r="B226" t="s">
        <v>3365</v>
      </c>
      <c r="C226" s="60" t="str">
        <f t="shared" si="18"/>
        <v>E5300</v>
      </c>
      <c r="D226" t="s">
        <v>587</v>
      </c>
      <c r="E226" t="s">
        <v>588</v>
      </c>
      <c r="F226" t="s">
        <v>506</v>
      </c>
      <c r="G226" t="s">
        <v>507</v>
      </c>
      <c r="H226" t="s">
        <v>508</v>
      </c>
      <c r="I226" t="s">
        <v>509</v>
      </c>
      <c r="J226" t="s">
        <v>589</v>
      </c>
      <c r="K226" s="502">
        <v>4</v>
      </c>
      <c r="L226" t="s">
        <v>213</v>
      </c>
    </row>
    <row r="227" spans="1:12">
      <c r="A227" t="s">
        <v>3145</v>
      </c>
      <c r="B227" t="s">
        <v>3366</v>
      </c>
      <c r="C227" s="60" t="str">
        <f t="shared" si="18"/>
        <v>E5300</v>
      </c>
      <c r="D227" t="s">
        <v>587</v>
      </c>
      <c r="E227" t="s">
        <v>588</v>
      </c>
      <c r="F227" t="s">
        <v>506</v>
      </c>
      <c r="G227" t="s">
        <v>507</v>
      </c>
      <c r="H227" t="s">
        <v>508</v>
      </c>
      <c r="I227" t="s">
        <v>509</v>
      </c>
      <c r="J227" t="s">
        <v>589</v>
      </c>
      <c r="K227" s="502">
        <v>4</v>
      </c>
      <c r="L227" t="s">
        <v>213</v>
      </c>
    </row>
    <row r="228" spans="1:12">
      <c r="A228" t="s">
        <v>3145</v>
      </c>
      <c r="B228" t="s">
        <v>3367</v>
      </c>
      <c r="C228" s="60" t="str">
        <f t="shared" si="18"/>
        <v>E5300</v>
      </c>
      <c r="D228" t="s">
        <v>587</v>
      </c>
      <c r="E228" t="s">
        <v>588</v>
      </c>
      <c r="F228" t="s">
        <v>506</v>
      </c>
      <c r="G228" t="s">
        <v>507</v>
      </c>
      <c r="H228" t="s">
        <v>508</v>
      </c>
      <c r="I228" t="s">
        <v>509</v>
      </c>
      <c r="J228" t="s">
        <v>589</v>
      </c>
      <c r="K228" s="502">
        <v>4</v>
      </c>
      <c r="L228" t="s">
        <v>213</v>
      </c>
    </row>
    <row r="229" spans="1:12">
      <c r="A229" t="s">
        <v>3145</v>
      </c>
      <c r="B229" t="s">
        <v>3356</v>
      </c>
      <c r="C229" s="3" t="str">
        <f>+'2-Préparation saisie LV PROD'!B24</f>
        <v>E5310</v>
      </c>
      <c r="D229" t="s">
        <v>587</v>
      </c>
      <c r="E229" t="s">
        <v>588</v>
      </c>
      <c r="F229" t="s">
        <v>506</v>
      </c>
      <c r="G229" t="s">
        <v>507</v>
      </c>
      <c r="H229" t="s">
        <v>508</v>
      </c>
      <c r="I229" t="s">
        <v>509</v>
      </c>
      <c r="J229" t="s">
        <v>589</v>
      </c>
      <c r="K229" s="502">
        <v>8</v>
      </c>
      <c r="L229" t="s">
        <v>214</v>
      </c>
    </row>
    <row r="230" spans="1:12">
      <c r="A230" t="s">
        <v>3145</v>
      </c>
      <c r="B230" t="s">
        <v>3357</v>
      </c>
      <c r="C230" s="60" t="str">
        <f>C229</f>
        <v>E5310</v>
      </c>
      <c r="D230" t="s">
        <v>587</v>
      </c>
      <c r="E230" t="s">
        <v>588</v>
      </c>
      <c r="F230" t="s">
        <v>506</v>
      </c>
      <c r="G230" t="s">
        <v>507</v>
      </c>
      <c r="H230" t="s">
        <v>508</v>
      </c>
      <c r="I230" t="s">
        <v>509</v>
      </c>
      <c r="J230" t="s">
        <v>589</v>
      </c>
      <c r="K230" s="502">
        <v>8</v>
      </c>
      <c r="L230" t="s">
        <v>214</v>
      </c>
    </row>
    <row r="231" spans="1:12">
      <c r="A231" t="s">
        <v>3145</v>
      </c>
      <c r="B231" t="s">
        <v>3358</v>
      </c>
      <c r="C231" s="60" t="str">
        <f t="shared" ref="C231:C240" si="19">+C230</f>
        <v>E5310</v>
      </c>
      <c r="D231" t="s">
        <v>587</v>
      </c>
      <c r="E231" t="s">
        <v>588</v>
      </c>
      <c r="F231" t="s">
        <v>506</v>
      </c>
      <c r="G231" t="s">
        <v>507</v>
      </c>
      <c r="H231" t="s">
        <v>508</v>
      </c>
      <c r="I231" t="s">
        <v>509</v>
      </c>
      <c r="J231" t="s">
        <v>589</v>
      </c>
      <c r="K231" s="502">
        <v>8</v>
      </c>
      <c r="L231" t="s">
        <v>214</v>
      </c>
    </row>
    <row r="232" spans="1:12">
      <c r="A232" t="s">
        <v>3145</v>
      </c>
      <c r="B232" t="s">
        <v>3359</v>
      </c>
      <c r="C232" s="60" t="str">
        <f t="shared" si="19"/>
        <v>E5310</v>
      </c>
      <c r="D232" t="s">
        <v>587</v>
      </c>
      <c r="E232" t="s">
        <v>588</v>
      </c>
      <c r="F232" t="s">
        <v>506</v>
      </c>
      <c r="G232" t="s">
        <v>507</v>
      </c>
      <c r="H232" t="s">
        <v>508</v>
      </c>
      <c r="I232" t="s">
        <v>509</v>
      </c>
      <c r="J232" t="s">
        <v>589</v>
      </c>
      <c r="K232" s="502">
        <v>8</v>
      </c>
      <c r="L232" t="s">
        <v>214</v>
      </c>
    </row>
    <row r="233" spans="1:12">
      <c r="A233" t="s">
        <v>3145</v>
      </c>
      <c r="B233" t="s">
        <v>3360</v>
      </c>
      <c r="C233" s="60" t="str">
        <f t="shared" si="19"/>
        <v>E5310</v>
      </c>
      <c r="D233" t="s">
        <v>587</v>
      </c>
      <c r="E233" t="s">
        <v>588</v>
      </c>
      <c r="F233" t="s">
        <v>506</v>
      </c>
      <c r="G233" t="s">
        <v>507</v>
      </c>
      <c r="H233" t="s">
        <v>508</v>
      </c>
      <c r="I233" t="s">
        <v>509</v>
      </c>
      <c r="J233" t="s">
        <v>589</v>
      </c>
      <c r="K233" s="502">
        <v>8</v>
      </c>
      <c r="L233" t="s">
        <v>214</v>
      </c>
    </row>
    <row r="234" spans="1:12">
      <c r="A234" t="s">
        <v>3145</v>
      </c>
      <c r="B234" t="s">
        <v>3361</v>
      </c>
      <c r="C234" s="60" t="str">
        <f t="shared" si="19"/>
        <v>E5310</v>
      </c>
      <c r="D234" t="s">
        <v>587</v>
      </c>
      <c r="E234" t="s">
        <v>588</v>
      </c>
      <c r="F234" t="s">
        <v>506</v>
      </c>
      <c r="G234" t="s">
        <v>507</v>
      </c>
      <c r="H234" t="s">
        <v>508</v>
      </c>
      <c r="I234" t="s">
        <v>509</v>
      </c>
      <c r="J234" t="s">
        <v>589</v>
      </c>
      <c r="K234" s="502">
        <v>8</v>
      </c>
      <c r="L234" t="s">
        <v>214</v>
      </c>
    </row>
    <row r="235" spans="1:12">
      <c r="A235" t="s">
        <v>3145</v>
      </c>
      <c r="B235" t="s">
        <v>3362</v>
      </c>
      <c r="C235" s="60" t="str">
        <f t="shared" si="19"/>
        <v>E5310</v>
      </c>
      <c r="D235" t="s">
        <v>587</v>
      </c>
      <c r="E235" t="s">
        <v>588</v>
      </c>
      <c r="F235" t="s">
        <v>506</v>
      </c>
      <c r="G235" t="s">
        <v>507</v>
      </c>
      <c r="H235" t="s">
        <v>508</v>
      </c>
      <c r="I235" t="s">
        <v>509</v>
      </c>
      <c r="J235" t="s">
        <v>589</v>
      </c>
      <c r="K235" s="502">
        <v>8</v>
      </c>
      <c r="L235" t="s">
        <v>214</v>
      </c>
    </row>
    <row r="236" spans="1:12">
      <c r="A236" t="s">
        <v>3145</v>
      </c>
      <c r="B236" t="s">
        <v>3363</v>
      </c>
      <c r="C236" s="60" t="str">
        <f t="shared" si="19"/>
        <v>E5310</v>
      </c>
      <c r="D236" t="s">
        <v>587</v>
      </c>
      <c r="E236" t="s">
        <v>588</v>
      </c>
      <c r="F236" t="s">
        <v>506</v>
      </c>
      <c r="G236" t="s">
        <v>507</v>
      </c>
      <c r="H236" t="s">
        <v>508</v>
      </c>
      <c r="I236" t="s">
        <v>509</v>
      </c>
      <c r="J236" t="s">
        <v>589</v>
      </c>
      <c r="K236" s="502">
        <v>8</v>
      </c>
      <c r="L236" t="s">
        <v>214</v>
      </c>
    </row>
    <row r="237" spans="1:12">
      <c r="A237" t="s">
        <v>3145</v>
      </c>
      <c r="B237" t="s">
        <v>3364</v>
      </c>
      <c r="C237" s="60" t="str">
        <f t="shared" si="19"/>
        <v>E5310</v>
      </c>
      <c r="D237" t="s">
        <v>587</v>
      </c>
      <c r="E237" t="s">
        <v>588</v>
      </c>
      <c r="F237" t="s">
        <v>506</v>
      </c>
      <c r="G237" t="s">
        <v>507</v>
      </c>
      <c r="H237" t="s">
        <v>508</v>
      </c>
      <c r="I237" t="s">
        <v>509</v>
      </c>
      <c r="J237" t="s">
        <v>589</v>
      </c>
      <c r="K237" s="502">
        <v>8</v>
      </c>
      <c r="L237" t="s">
        <v>214</v>
      </c>
    </row>
    <row r="238" spans="1:12">
      <c r="A238" t="s">
        <v>3145</v>
      </c>
      <c r="B238" t="s">
        <v>3365</v>
      </c>
      <c r="C238" s="60" t="str">
        <f t="shared" si="19"/>
        <v>E5310</v>
      </c>
      <c r="D238" t="s">
        <v>587</v>
      </c>
      <c r="E238" t="s">
        <v>588</v>
      </c>
      <c r="F238" t="s">
        <v>506</v>
      </c>
      <c r="G238" t="s">
        <v>507</v>
      </c>
      <c r="H238" t="s">
        <v>508</v>
      </c>
      <c r="I238" t="s">
        <v>509</v>
      </c>
      <c r="J238" t="s">
        <v>589</v>
      </c>
      <c r="K238" s="502">
        <v>8</v>
      </c>
      <c r="L238" t="s">
        <v>214</v>
      </c>
    </row>
    <row r="239" spans="1:12">
      <c r="A239" t="s">
        <v>3145</v>
      </c>
      <c r="B239" t="s">
        <v>3366</v>
      </c>
      <c r="C239" s="60" t="str">
        <f t="shared" si="19"/>
        <v>E5310</v>
      </c>
      <c r="D239" t="s">
        <v>587</v>
      </c>
      <c r="E239" t="s">
        <v>588</v>
      </c>
      <c r="F239" t="s">
        <v>506</v>
      </c>
      <c r="G239" t="s">
        <v>507</v>
      </c>
      <c r="H239" t="s">
        <v>508</v>
      </c>
      <c r="I239" t="s">
        <v>509</v>
      </c>
      <c r="J239" t="s">
        <v>589</v>
      </c>
      <c r="K239" s="502">
        <v>8</v>
      </c>
      <c r="L239" t="s">
        <v>214</v>
      </c>
    </row>
    <row r="240" spans="1:12">
      <c r="A240" t="s">
        <v>3145</v>
      </c>
      <c r="B240" t="s">
        <v>3367</v>
      </c>
      <c r="C240" s="60" t="str">
        <f t="shared" si="19"/>
        <v>E5310</v>
      </c>
      <c r="D240" t="s">
        <v>587</v>
      </c>
      <c r="E240" t="s">
        <v>588</v>
      </c>
      <c r="F240" t="s">
        <v>506</v>
      </c>
      <c r="G240" t="s">
        <v>507</v>
      </c>
      <c r="H240" t="s">
        <v>508</v>
      </c>
      <c r="I240" t="s">
        <v>509</v>
      </c>
      <c r="J240" t="s">
        <v>589</v>
      </c>
      <c r="K240" s="502">
        <v>8</v>
      </c>
      <c r="L240" t="s">
        <v>214</v>
      </c>
    </row>
    <row r="241" spans="1:12">
      <c r="A241" t="s">
        <v>3145</v>
      </c>
      <c r="B241" t="s">
        <v>3356</v>
      </c>
      <c r="C241" s="3" t="str">
        <f>+'2-Préparation saisie LV PROD'!B25</f>
        <v>E5320</v>
      </c>
      <c r="D241" t="s">
        <v>587</v>
      </c>
      <c r="E241" t="s">
        <v>588</v>
      </c>
      <c r="F241" t="s">
        <v>506</v>
      </c>
      <c r="G241" t="s">
        <v>507</v>
      </c>
      <c r="H241" t="s">
        <v>508</v>
      </c>
      <c r="I241" t="s">
        <v>509</v>
      </c>
      <c r="J241" t="s">
        <v>589</v>
      </c>
      <c r="K241" s="502">
        <v>8</v>
      </c>
      <c r="L241" t="s">
        <v>301</v>
      </c>
    </row>
    <row r="242" spans="1:12">
      <c r="A242" t="s">
        <v>3145</v>
      </c>
      <c r="B242" t="s">
        <v>3357</v>
      </c>
      <c r="C242" s="60" t="str">
        <f>C241</f>
        <v>E5320</v>
      </c>
      <c r="D242" t="s">
        <v>587</v>
      </c>
      <c r="E242" t="s">
        <v>588</v>
      </c>
      <c r="F242" t="s">
        <v>506</v>
      </c>
      <c r="G242" t="s">
        <v>507</v>
      </c>
      <c r="H242" t="s">
        <v>508</v>
      </c>
      <c r="I242" t="s">
        <v>509</v>
      </c>
      <c r="J242" t="s">
        <v>589</v>
      </c>
      <c r="K242" s="502">
        <v>8</v>
      </c>
      <c r="L242" t="s">
        <v>301</v>
      </c>
    </row>
    <row r="243" spans="1:12">
      <c r="A243" t="s">
        <v>3145</v>
      </c>
      <c r="B243" t="s">
        <v>3358</v>
      </c>
      <c r="C243" s="60" t="str">
        <f t="shared" ref="C243:C252" si="20">+C242</f>
        <v>E5320</v>
      </c>
      <c r="D243" t="s">
        <v>587</v>
      </c>
      <c r="E243" t="s">
        <v>588</v>
      </c>
      <c r="F243" t="s">
        <v>506</v>
      </c>
      <c r="G243" t="s">
        <v>507</v>
      </c>
      <c r="H243" t="s">
        <v>508</v>
      </c>
      <c r="I243" t="s">
        <v>509</v>
      </c>
      <c r="J243" t="s">
        <v>589</v>
      </c>
      <c r="K243" s="502">
        <v>8</v>
      </c>
      <c r="L243" t="s">
        <v>301</v>
      </c>
    </row>
    <row r="244" spans="1:12">
      <c r="A244" t="s">
        <v>3145</v>
      </c>
      <c r="B244" t="s">
        <v>3359</v>
      </c>
      <c r="C244" s="60" t="str">
        <f t="shared" si="20"/>
        <v>E5320</v>
      </c>
      <c r="D244" t="s">
        <v>587</v>
      </c>
      <c r="E244" t="s">
        <v>588</v>
      </c>
      <c r="F244" t="s">
        <v>506</v>
      </c>
      <c r="G244" t="s">
        <v>507</v>
      </c>
      <c r="H244" t="s">
        <v>508</v>
      </c>
      <c r="I244" t="s">
        <v>509</v>
      </c>
      <c r="J244" t="s">
        <v>589</v>
      </c>
      <c r="K244" s="502">
        <v>8</v>
      </c>
      <c r="L244" t="s">
        <v>301</v>
      </c>
    </row>
    <row r="245" spans="1:12">
      <c r="A245" t="s">
        <v>3145</v>
      </c>
      <c r="B245" t="s">
        <v>3360</v>
      </c>
      <c r="C245" s="60" t="str">
        <f t="shared" si="20"/>
        <v>E5320</v>
      </c>
      <c r="D245" t="s">
        <v>587</v>
      </c>
      <c r="E245" t="s">
        <v>588</v>
      </c>
      <c r="F245" t="s">
        <v>506</v>
      </c>
      <c r="G245" t="s">
        <v>507</v>
      </c>
      <c r="H245" t="s">
        <v>508</v>
      </c>
      <c r="I245" t="s">
        <v>509</v>
      </c>
      <c r="J245" t="s">
        <v>589</v>
      </c>
      <c r="K245" s="502">
        <v>8</v>
      </c>
      <c r="L245" t="s">
        <v>301</v>
      </c>
    </row>
    <row r="246" spans="1:12">
      <c r="A246" t="s">
        <v>3145</v>
      </c>
      <c r="B246" t="s">
        <v>3361</v>
      </c>
      <c r="C246" s="60" t="str">
        <f t="shared" si="20"/>
        <v>E5320</v>
      </c>
      <c r="D246" t="s">
        <v>587</v>
      </c>
      <c r="E246" t="s">
        <v>588</v>
      </c>
      <c r="F246" t="s">
        <v>506</v>
      </c>
      <c r="G246" t="s">
        <v>507</v>
      </c>
      <c r="H246" t="s">
        <v>508</v>
      </c>
      <c r="I246" t="s">
        <v>509</v>
      </c>
      <c r="J246" t="s">
        <v>589</v>
      </c>
      <c r="K246" s="502">
        <v>8</v>
      </c>
      <c r="L246" t="s">
        <v>301</v>
      </c>
    </row>
    <row r="247" spans="1:12">
      <c r="A247" t="s">
        <v>3145</v>
      </c>
      <c r="B247" t="s">
        <v>3362</v>
      </c>
      <c r="C247" s="60" t="str">
        <f t="shared" si="20"/>
        <v>E5320</v>
      </c>
      <c r="D247" t="s">
        <v>587</v>
      </c>
      <c r="E247" t="s">
        <v>588</v>
      </c>
      <c r="F247" t="s">
        <v>506</v>
      </c>
      <c r="G247" t="s">
        <v>507</v>
      </c>
      <c r="H247" t="s">
        <v>508</v>
      </c>
      <c r="I247" t="s">
        <v>509</v>
      </c>
      <c r="J247" t="s">
        <v>589</v>
      </c>
      <c r="K247" s="502">
        <v>8</v>
      </c>
      <c r="L247" t="s">
        <v>301</v>
      </c>
    </row>
    <row r="248" spans="1:12">
      <c r="A248" t="s">
        <v>3145</v>
      </c>
      <c r="B248" t="s">
        <v>3363</v>
      </c>
      <c r="C248" s="60" t="str">
        <f t="shared" si="20"/>
        <v>E5320</v>
      </c>
      <c r="D248" t="s">
        <v>587</v>
      </c>
      <c r="E248" t="s">
        <v>588</v>
      </c>
      <c r="F248" t="s">
        <v>506</v>
      </c>
      <c r="G248" t="s">
        <v>507</v>
      </c>
      <c r="H248" t="s">
        <v>508</v>
      </c>
      <c r="I248" t="s">
        <v>509</v>
      </c>
      <c r="J248" t="s">
        <v>589</v>
      </c>
      <c r="K248" s="502">
        <v>8</v>
      </c>
      <c r="L248" t="s">
        <v>301</v>
      </c>
    </row>
    <row r="249" spans="1:12">
      <c r="A249" t="s">
        <v>3145</v>
      </c>
      <c r="B249" t="s">
        <v>3364</v>
      </c>
      <c r="C249" s="60" t="str">
        <f t="shared" si="20"/>
        <v>E5320</v>
      </c>
      <c r="D249" t="s">
        <v>587</v>
      </c>
      <c r="E249" t="s">
        <v>588</v>
      </c>
      <c r="F249" t="s">
        <v>506</v>
      </c>
      <c r="G249" t="s">
        <v>507</v>
      </c>
      <c r="H249" t="s">
        <v>508</v>
      </c>
      <c r="I249" t="s">
        <v>509</v>
      </c>
      <c r="J249" t="s">
        <v>589</v>
      </c>
      <c r="K249" s="502">
        <v>8</v>
      </c>
      <c r="L249" t="s">
        <v>301</v>
      </c>
    </row>
    <row r="250" spans="1:12">
      <c r="A250" t="s">
        <v>3145</v>
      </c>
      <c r="B250" t="s">
        <v>3365</v>
      </c>
      <c r="C250" s="60" t="str">
        <f t="shared" si="20"/>
        <v>E5320</v>
      </c>
      <c r="D250" t="s">
        <v>587</v>
      </c>
      <c r="E250" t="s">
        <v>588</v>
      </c>
      <c r="F250" t="s">
        <v>506</v>
      </c>
      <c r="G250" t="s">
        <v>507</v>
      </c>
      <c r="H250" t="s">
        <v>508</v>
      </c>
      <c r="I250" t="s">
        <v>509</v>
      </c>
      <c r="J250" t="s">
        <v>589</v>
      </c>
      <c r="K250" s="502">
        <v>8</v>
      </c>
      <c r="L250" t="s">
        <v>301</v>
      </c>
    </row>
    <row r="251" spans="1:12">
      <c r="A251" t="s">
        <v>3145</v>
      </c>
      <c r="B251" t="s">
        <v>3366</v>
      </c>
      <c r="C251" s="60" t="str">
        <f t="shared" si="20"/>
        <v>E5320</v>
      </c>
      <c r="D251" t="s">
        <v>587</v>
      </c>
      <c r="E251" t="s">
        <v>588</v>
      </c>
      <c r="F251" t="s">
        <v>506</v>
      </c>
      <c r="G251" t="s">
        <v>507</v>
      </c>
      <c r="H251" t="s">
        <v>508</v>
      </c>
      <c r="I251" t="s">
        <v>509</v>
      </c>
      <c r="J251" t="s">
        <v>589</v>
      </c>
      <c r="K251" s="502">
        <v>8</v>
      </c>
      <c r="L251" t="s">
        <v>301</v>
      </c>
    </row>
    <row r="252" spans="1:12">
      <c r="A252" t="s">
        <v>3145</v>
      </c>
      <c r="B252" t="s">
        <v>3367</v>
      </c>
      <c r="C252" s="60" t="str">
        <f t="shared" si="20"/>
        <v>E5320</v>
      </c>
      <c r="D252" t="s">
        <v>587</v>
      </c>
      <c r="E252" t="s">
        <v>588</v>
      </c>
      <c r="F252" t="s">
        <v>506</v>
      </c>
      <c r="G252" t="s">
        <v>507</v>
      </c>
      <c r="H252" t="s">
        <v>508</v>
      </c>
      <c r="I252" t="s">
        <v>509</v>
      </c>
      <c r="J252" t="s">
        <v>589</v>
      </c>
      <c r="K252" s="502">
        <v>8</v>
      </c>
      <c r="L252" t="s">
        <v>301</v>
      </c>
    </row>
    <row r="253" spans="1:12">
      <c r="A253" t="s">
        <v>3145</v>
      </c>
      <c r="B253" t="s">
        <v>3356</v>
      </c>
      <c r="C253" s="3" t="str">
        <f>+'2-Préparation saisie LV PROD'!B26</f>
        <v>E5290</v>
      </c>
      <c r="D253" t="s">
        <v>587</v>
      </c>
      <c r="E253" t="s">
        <v>588</v>
      </c>
      <c r="F253" t="s">
        <v>506</v>
      </c>
      <c r="G253" t="s">
        <v>507</v>
      </c>
      <c r="H253" t="s">
        <v>508</v>
      </c>
      <c r="I253" t="s">
        <v>509</v>
      </c>
      <c r="J253" t="s">
        <v>589</v>
      </c>
      <c r="K253" s="502">
        <v>15</v>
      </c>
      <c r="L253" t="s">
        <v>3277</v>
      </c>
    </row>
    <row r="254" spans="1:12">
      <c r="A254" t="s">
        <v>3145</v>
      </c>
      <c r="B254" t="s">
        <v>3357</v>
      </c>
      <c r="C254" s="60" t="str">
        <f>C253</f>
        <v>E5290</v>
      </c>
      <c r="D254" t="s">
        <v>587</v>
      </c>
      <c r="E254" t="s">
        <v>588</v>
      </c>
      <c r="F254" t="s">
        <v>506</v>
      </c>
      <c r="G254" t="s">
        <v>507</v>
      </c>
      <c r="H254" t="s">
        <v>508</v>
      </c>
      <c r="I254" t="s">
        <v>509</v>
      </c>
      <c r="J254" t="s">
        <v>589</v>
      </c>
      <c r="K254" s="502">
        <v>15</v>
      </c>
      <c r="L254" t="s">
        <v>3277</v>
      </c>
    </row>
    <row r="255" spans="1:12">
      <c r="A255" t="s">
        <v>3145</v>
      </c>
      <c r="B255" t="s">
        <v>3358</v>
      </c>
      <c r="C255" s="60" t="str">
        <f t="shared" ref="C255:C264" si="21">+C254</f>
        <v>E5290</v>
      </c>
      <c r="D255" t="s">
        <v>587</v>
      </c>
      <c r="E255" t="s">
        <v>588</v>
      </c>
      <c r="F255" t="s">
        <v>506</v>
      </c>
      <c r="G255" t="s">
        <v>507</v>
      </c>
      <c r="H255" t="s">
        <v>508</v>
      </c>
      <c r="I255" t="s">
        <v>509</v>
      </c>
      <c r="J255" t="s">
        <v>589</v>
      </c>
      <c r="K255" s="502">
        <v>15</v>
      </c>
      <c r="L255" t="s">
        <v>3277</v>
      </c>
    </row>
    <row r="256" spans="1:12">
      <c r="A256" t="s">
        <v>3145</v>
      </c>
      <c r="B256" t="s">
        <v>3359</v>
      </c>
      <c r="C256" s="60" t="str">
        <f t="shared" si="21"/>
        <v>E5290</v>
      </c>
      <c r="D256" t="s">
        <v>587</v>
      </c>
      <c r="E256" t="s">
        <v>588</v>
      </c>
      <c r="F256" t="s">
        <v>506</v>
      </c>
      <c r="G256" t="s">
        <v>507</v>
      </c>
      <c r="H256" t="s">
        <v>508</v>
      </c>
      <c r="I256" t="s">
        <v>509</v>
      </c>
      <c r="J256" t="s">
        <v>589</v>
      </c>
      <c r="K256" s="502">
        <v>15</v>
      </c>
      <c r="L256" t="s">
        <v>3277</v>
      </c>
    </row>
    <row r="257" spans="1:12">
      <c r="A257" t="s">
        <v>3145</v>
      </c>
      <c r="B257" t="s">
        <v>3360</v>
      </c>
      <c r="C257" s="60" t="str">
        <f t="shared" si="21"/>
        <v>E5290</v>
      </c>
      <c r="D257" t="s">
        <v>587</v>
      </c>
      <c r="E257" t="s">
        <v>588</v>
      </c>
      <c r="F257" t="s">
        <v>506</v>
      </c>
      <c r="G257" t="s">
        <v>507</v>
      </c>
      <c r="H257" t="s">
        <v>508</v>
      </c>
      <c r="I257" t="s">
        <v>509</v>
      </c>
      <c r="J257" t="s">
        <v>589</v>
      </c>
      <c r="K257" s="502">
        <v>15</v>
      </c>
      <c r="L257" t="s">
        <v>3277</v>
      </c>
    </row>
    <row r="258" spans="1:12">
      <c r="A258" t="s">
        <v>3145</v>
      </c>
      <c r="B258" t="s">
        <v>3361</v>
      </c>
      <c r="C258" s="60" t="str">
        <f t="shared" si="21"/>
        <v>E5290</v>
      </c>
      <c r="D258" t="s">
        <v>587</v>
      </c>
      <c r="E258" t="s">
        <v>588</v>
      </c>
      <c r="F258" t="s">
        <v>506</v>
      </c>
      <c r="G258" t="s">
        <v>507</v>
      </c>
      <c r="H258" t="s">
        <v>508</v>
      </c>
      <c r="I258" t="s">
        <v>509</v>
      </c>
      <c r="J258" t="s">
        <v>589</v>
      </c>
      <c r="K258" s="502">
        <v>15</v>
      </c>
      <c r="L258" t="s">
        <v>3277</v>
      </c>
    </row>
    <row r="259" spans="1:12">
      <c r="A259" t="s">
        <v>3145</v>
      </c>
      <c r="B259" t="s">
        <v>3362</v>
      </c>
      <c r="C259" s="60" t="str">
        <f t="shared" si="21"/>
        <v>E5290</v>
      </c>
      <c r="D259" t="s">
        <v>587</v>
      </c>
      <c r="E259" t="s">
        <v>588</v>
      </c>
      <c r="F259" t="s">
        <v>506</v>
      </c>
      <c r="G259" t="s">
        <v>507</v>
      </c>
      <c r="H259" t="s">
        <v>508</v>
      </c>
      <c r="I259" t="s">
        <v>509</v>
      </c>
      <c r="J259" t="s">
        <v>589</v>
      </c>
      <c r="K259" s="502">
        <v>15</v>
      </c>
      <c r="L259" t="s">
        <v>3277</v>
      </c>
    </row>
    <row r="260" spans="1:12">
      <c r="A260" t="s">
        <v>3145</v>
      </c>
      <c r="B260" t="s">
        <v>3363</v>
      </c>
      <c r="C260" s="60" t="str">
        <f t="shared" si="21"/>
        <v>E5290</v>
      </c>
      <c r="D260" t="s">
        <v>587</v>
      </c>
      <c r="E260" t="s">
        <v>588</v>
      </c>
      <c r="F260" t="s">
        <v>506</v>
      </c>
      <c r="G260" t="s">
        <v>507</v>
      </c>
      <c r="H260" t="s">
        <v>508</v>
      </c>
      <c r="I260" t="s">
        <v>509</v>
      </c>
      <c r="J260" t="s">
        <v>589</v>
      </c>
      <c r="K260" s="502">
        <v>15</v>
      </c>
      <c r="L260" t="s">
        <v>3277</v>
      </c>
    </row>
    <row r="261" spans="1:12">
      <c r="A261" t="s">
        <v>3145</v>
      </c>
      <c r="B261" t="s">
        <v>3364</v>
      </c>
      <c r="C261" s="60" t="str">
        <f t="shared" si="21"/>
        <v>E5290</v>
      </c>
      <c r="D261" t="s">
        <v>587</v>
      </c>
      <c r="E261" t="s">
        <v>588</v>
      </c>
      <c r="F261" t="s">
        <v>506</v>
      </c>
      <c r="G261" t="s">
        <v>507</v>
      </c>
      <c r="H261" t="s">
        <v>508</v>
      </c>
      <c r="I261" t="s">
        <v>509</v>
      </c>
      <c r="J261" t="s">
        <v>589</v>
      </c>
      <c r="K261" s="502">
        <v>15</v>
      </c>
      <c r="L261" t="s">
        <v>3277</v>
      </c>
    </row>
    <row r="262" spans="1:12">
      <c r="A262" t="s">
        <v>3145</v>
      </c>
      <c r="B262" t="s">
        <v>3365</v>
      </c>
      <c r="C262" s="60" t="str">
        <f t="shared" si="21"/>
        <v>E5290</v>
      </c>
      <c r="D262" t="s">
        <v>587</v>
      </c>
      <c r="E262" t="s">
        <v>588</v>
      </c>
      <c r="F262" t="s">
        <v>506</v>
      </c>
      <c r="G262" t="s">
        <v>507</v>
      </c>
      <c r="H262" t="s">
        <v>508</v>
      </c>
      <c r="I262" t="s">
        <v>509</v>
      </c>
      <c r="J262" t="s">
        <v>589</v>
      </c>
      <c r="K262" s="502">
        <v>15</v>
      </c>
      <c r="L262" t="s">
        <v>3277</v>
      </c>
    </row>
    <row r="263" spans="1:12">
      <c r="A263" t="s">
        <v>3145</v>
      </c>
      <c r="B263" t="s">
        <v>3366</v>
      </c>
      <c r="C263" s="60" t="str">
        <f t="shared" si="21"/>
        <v>E5290</v>
      </c>
      <c r="D263" t="s">
        <v>587</v>
      </c>
      <c r="E263" t="s">
        <v>588</v>
      </c>
      <c r="F263" t="s">
        <v>506</v>
      </c>
      <c r="G263" t="s">
        <v>507</v>
      </c>
      <c r="H263" t="s">
        <v>508</v>
      </c>
      <c r="I263" t="s">
        <v>509</v>
      </c>
      <c r="J263" t="s">
        <v>589</v>
      </c>
      <c r="K263" s="502">
        <v>15</v>
      </c>
      <c r="L263" t="s">
        <v>3277</v>
      </c>
    </row>
    <row r="264" spans="1:12">
      <c r="A264" t="s">
        <v>3145</v>
      </c>
      <c r="B264" t="s">
        <v>3367</v>
      </c>
      <c r="C264" s="60" t="str">
        <f t="shared" si="21"/>
        <v>E5290</v>
      </c>
      <c r="D264" t="s">
        <v>587</v>
      </c>
      <c r="E264" t="s">
        <v>588</v>
      </c>
      <c r="F264" t="s">
        <v>506</v>
      </c>
      <c r="G264" t="s">
        <v>507</v>
      </c>
      <c r="H264" t="s">
        <v>508</v>
      </c>
      <c r="I264" t="s">
        <v>509</v>
      </c>
      <c r="J264" t="s">
        <v>589</v>
      </c>
      <c r="K264" s="502">
        <v>15</v>
      </c>
      <c r="L264" t="s">
        <v>3277</v>
      </c>
    </row>
    <row r="265" spans="1:12">
      <c r="A265" t="s">
        <v>3145</v>
      </c>
      <c r="B265" t="s">
        <v>3356</v>
      </c>
      <c r="C265" s="3" t="str">
        <f>+'2-Préparation saisie LV PROD'!B27</f>
        <v>E5360</v>
      </c>
      <c r="D265" t="s">
        <v>587</v>
      </c>
      <c r="E265" t="s">
        <v>588</v>
      </c>
      <c r="F265" t="s">
        <v>506</v>
      </c>
      <c r="G265" t="s">
        <v>507</v>
      </c>
      <c r="H265" t="s">
        <v>508</v>
      </c>
      <c r="I265" t="s">
        <v>509</v>
      </c>
      <c r="J265" t="s">
        <v>589</v>
      </c>
      <c r="K265" s="502">
        <v>7</v>
      </c>
      <c r="L265" t="s">
        <v>546</v>
      </c>
    </row>
    <row r="266" spans="1:12">
      <c r="A266" t="s">
        <v>3145</v>
      </c>
      <c r="B266" t="s">
        <v>3357</v>
      </c>
      <c r="C266" s="60" t="str">
        <f>C265</f>
        <v>E5360</v>
      </c>
      <c r="D266" t="s">
        <v>587</v>
      </c>
      <c r="E266" t="s">
        <v>588</v>
      </c>
      <c r="F266" t="s">
        <v>506</v>
      </c>
      <c r="G266" t="s">
        <v>507</v>
      </c>
      <c r="H266" t="s">
        <v>508</v>
      </c>
      <c r="I266" t="s">
        <v>509</v>
      </c>
      <c r="J266" t="s">
        <v>589</v>
      </c>
      <c r="K266" s="502">
        <v>7</v>
      </c>
      <c r="L266" t="s">
        <v>546</v>
      </c>
    </row>
    <row r="267" spans="1:12">
      <c r="A267" t="s">
        <v>3145</v>
      </c>
      <c r="B267" t="s">
        <v>3358</v>
      </c>
      <c r="C267" s="60" t="str">
        <f t="shared" ref="C267:C276" si="22">+C266</f>
        <v>E5360</v>
      </c>
      <c r="D267" t="s">
        <v>587</v>
      </c>
      <c r="E267" t="s">
        <v>588</v>
      </c>
      <c r="F267" t="s">
        <v>506</v>
      </c>
      <c r="G267" t="s">
        <v>507</v>
      </c>
      <c r="H267" t="s">
        <v>508</v>
      </c>
      <c r="I267" t="s">
        <v>509</v>
      </c>
      <c r="J267" t="s">
        <v>589</v>
      </c>
      <c r="K267" s="502">
        <v>7</v>
      </c>
      <c r="L267" t="s">
        <v>546</v>
      </c>
    </row>
    <row r="268" spans="1:12">
      <c r="A268" t="s">
        <v>3145</v>
      </c>
      <c r="B268" t="s">
        <v>3359</v>
      </c>
      <c r="C268" s="60" t="str">
        <f t="shared" si="22"/>
        <v>E5360</v>
      </c>
      <c r="D268" t="s">
        <v>587</v>
      </c>
      <c r="E268" t="s">
        <v>588</v>
      </c>
      <c r="F268" t="s">
        <v>506</v>
      </c>
      <c r="G268" t="s">
        <v>507</v>
      </c>
      <c r="H268" t="s">
        <v>508</v>
      </c>
      <c r="I268" t="s">
        <v>509</v>
      </c>
      <c r="J268" t="s">
        <v>589</v>
      </c>
      <c r="K268" s="502">
        <v>7</v>
      </c>
      <c r="L268" t="s">
        <v>546</v>
      </c>
    </row>
    <row r="269" spans="1:12">
      <c r="A269" t="s">
        <v>3145</v>
      </c>
      <c r="B269" t="s">
        <v>3360</v>
      </c>
      <c r="C269" s="60" t="str">
        <f t="shared" si="22"/>
        <v>E5360</v>
      </c>
      <c r="D269" t="s">
        <v>587</v>
      </c>
      <c r="E269" t="s">
        <v>588</v>
      </c>
      <c r="F269" t="s">
        <v>506</v>
      </c>
      <c r="G269" t="s">
        <v>507</v>
      </c>
      <c r="H269" t="s">
        <v>508</v>
      </c>
      <c r="I269" t="s">
        <v>509</v>
      </c>
      <c r="J269" t="s">
        <v>589</v>
      </c>
      <c r="K269" s="502">
        <v>7</v>
      </c>
      <c r="L269" t="s">
        <v>546</v>
      </c>
    </row>
    <row r="270" spans="1:12">
      <c r="A270" t="s">
        <v>3145</v>
      </c>
      <c r="B270" t="s">
        <v>3361</v>
      </c>
      <c r="C270" s="60" t="str">
        <f t="shared" si="22"/>
        <v>E5360</v>
      </c>
      <c r="D270" t="s">
        <v>587</v>
      </c>
      <c r="E270" t="s">
        <v>588</v>
      </c>
      <c r="F270" t="s">
        <v>506</v>
      </c>
      <c r="G270" t="s">
        <v>507</v>
      </c>
      <c r="H270" t="s">
        <v>508</v>
      </c>
      <c r="I270" t="s">
        <v>509</v>
      </c>
      <c r="J270" t="s">
        <v>589</v>
      </c>
      <c r="K270" s="502">
        <v>7</v>
      </c>
      <c r="L270" t="s">
        <v>546</v>
      </c>
    </row>
    <row r="271" spans="1:12">
      <c r="A271" t="s">
        <v>3145</v>
      </c>
      <c r="B271" t="s">
        <v>3362</v>
      </c>
      <c r="C271" s="60" t="str">
        <f t="shared" si="22"/>
        <v>E5360</v>
      </c>
      <c r="D271" t="s">
        <v>587</v>
      </c>
      <c r="E271" t="s">
        <v>588</v>
      </c>
      <c r="F271" t="s">
        <v>506</v>
      </c>
      <c r="G271" t="s">
        <v>507</v>
      </c>
      <c r="H271" t="s">
        <v>508</v>
      </c>
      <c r="I271" t="s">
        <v>509</v>
      </c>
      <c r="J271" t="s">
        <v>589</v>
      </c>
      <c r="K271" s="502">
        <v>7</v>
      </c>
      <c r="L271" t="s">
        <v>546</v>
      </c>
    </row>
    <row r="272" spans="1:12">
      <c r="A272" t="s">
        <v>3145</v>
      </c>
      <c r="B272" t="s">
        <v>3363</v>
      </c>
      <c r="C272" s="60" t="str">
        <f t="shared" si="22"/>
        <v>E5360</v>
      </c>
      <c r="D272" t="s">
        <v>587</v>
      </c>
      <c r="E272" t="s">
        <v>588</v>
      </c>
      <c r="F272" t="s">
        <v>506</v>
      </c>
      <c r="G272" t="s">
        <v>507</v>
      </c>
      <c r="H272" t="s">
        <v>508</v>
      </c>
      <c r="I272" t="s">
        <v>509</v>
      </c>
      <c r="J272" t="s">
        <v>589</v>
      </c>
      <c r="K272" s="502">
        <v>7</v>
      </c>
      <c r="L272" t="s">
        <v>546</v>
      </c>
    </row>
    <row r="273" spans="1:12">
      <c r="A273" t="s">
        <v>3145</v>
      </c>
      <c r="B273" t="s">
        <v>3364</v>
      </c>
      <c r="C273" s="60" t="str">
        <f t="shared" si="22"/>
        <v>E5360</v>
      </c>
      <c r="D273" t="s">
        <v>587</v>
      </c>
      <c r="E273" t="s">
        <v>588</v>
      </c>
      <c r="F273" t="s">
        <v>506</v>
      </c>
      <c r="G273" t="s">
        <v>507</v>
      </c>
      <c r="H273" t="s">
        <v>508</v>
      </c>
      <c r="I273" t="s">
        <v>509</v>
      </c>
      <c r="J273" t="s">
        <v>589</v>
      </c>
      <c r="K273" s="502">
        <v>7</v>
      </c>
      <c r="L273" t="s">
        <v>546</v>
      </c>
    </row>
    <row r="274" spans="1:12">
      <c r="A274" t="s">
        <v>3145</v>
      </c>
      <c r="B274" t="s">
        <v>3365</v>
      </c>
      <c r="C274" s="60" t="str">
        <f t="shared" si="22"/>
        <v>E5360</v>
      </c>
      <c r="D274" t="s">
        <v>587</v>
      </c>
      <c r="E274" t="s">
        <v>588</v>
      </c>
      <c r="F274" t="s">
        <v>506</v>
      </c>
      <c r="G274" t="s">
        <v>507</v>
      </c>
      <c r="H274" t="s">
        <v>508</v>
      </c>
      <c r="I274" t="s">
        <v>509</v>
      </c>
      <c r="J274" t="s">
        <v>589</v>
      </c>
      <c r="K274" s="502">
        <v>7</v>
      </c>
      <c r="L274" t="s">
        <v>546</v>
      </c>
    </row>
    <row r="275" spans="1:12">
      <c r="A275" t="s">
        <v>3145</v>
      </c>
      <c r="B275" t="s">
        <v>3366</v>
      </c>
      <c r="C275" s="60" t="str">
        <f t="shared" si="22"/>
        <v>E5360</v>
      </c>
      <c r="D275" t="s">
        <v>587</v>
      </c>
      <c r="E275" t="s">
        <v>588</v>
      </c>
      <c r="F275" t="s">
        <v>506</v>
      </c>
      <c r="G275" t="s">
        <v>507</v>
      </c>
      <c r="H275" t="s">
        <v>508</v>
      </c>
      <c r="I275" t="s">
        <v>509</v>
      </c>
      <c r="J275" t="s">
        <v>589</v>
      </c>
      <c r="K275" s="502">
        <v>7</v>
      </c>
      <c r="L275" t="s">
        <v>546</v>
      </c>
    </row>
    <row r="276" spans="1:12">
      <c r="A276" t="s">
        <v>3145</v>
      </c>
      <c r="B276" t="s">
        <v>3367</v>
      </c>
      <c r="C276" s="60" t="str">
        <f t="shared" si="22"/>
        <v>E5360</v>
      </c>
      <c r="D276" t="s">
        <v>587</v>
      </c>
      <c r="E276" t="s">
        <v>588</v>
      </c>
      <c r="F276" t="s">
        <v>506</v>
      </c>
      <c r="G276" t="s">
        <v>507</v>
      </c>
      <c r="H276" t="s">
        <v>508</v>
      </c>
      <c r="I276" t="s">
        <v>509</v>
      </c>
      <c r="J276" t="s">
        <v>589</v>
      </c>
      <c r="K276" s="502">
        <v>7</v>
      </c>
      <c r="L276" t="s">
        <v>546</v>
      </c>
    </row>
    <row r="277" spans="1:12">
      <c r="A277" t="s">
        <v>3145</v>
      </c>
      <c r="B277" t="s">
        <v>3356</v>
      </c>
      <c r="C277" s="3" t="str">
        <f>+'2-Préparation saisie LV PROD'!B28</f>
        <v>E5391</v>
      </c>
      <c r="D277" t="s">
        <v>587</v>
      </c>
      <c r="E277" t="s">
        <v>588</v>
      </c>
      <c r="F277" t="s">
        <v>506</v>
      </c>
      <c r="G277" t="s">
        <v>507</v>
      </c>
      <c r="H277" t="s">
        <v>508</v>
      </c>
      <c r="I277" t="s">
        <v>509</v>
      </c>
      <c r="J277" t="s">
        <v>589</v>
      </c>
      <c r="K277" s="502">
        <v>9</v>
      </c>
      <c r="L277" t="s">
        <v>547</v>
      </c>
    </row>
    <row r="278" spans="1:12">
      <c r="A278" t="s">
        <v>3145</v>
      </c>
      <c r="B278" t="s">
        <v>3357</v>
      </c>
      <c r="C278" s="60" t="str">
        <f>C277</f>
        <v>E5391</v>
      </c>
      <c r="D278" t="s">
        <v>587</v>
      </c>
      <c r="E278" t="s">
        <v>588</v>
      </c>
      <c r="F278" t="s">
        <v>506</v>
      </c>
      <c r="G278" t="s">
        <v>507</v>
      </c>
      <c r="H278" t="s">
        <v>508</v>
      </c>
      <c r="I278" t="s">
        <v>509</v>
      </c>
      <c r="J278" t="s">
        <v>589</v>
      </c>
      <c r="K278" s="502">
        <v>9</v>
      </c>
      <c r="L278" t="s">
        <v>547</v>
      </c>
    </row>
    <row r="279" spans="1:12">
      <c r="A279" t="s">
        <v>3145</v>
      </c>
      <c r="B279" t="s">
        <v>3358</v>
      </c>
      <c r="C279" s="60" t="str">
        <f t="shared" ref="C279:C288" si="23">+C278</f>
        <v>E5391</v>
      </c>
      <c r="D279" t="s">
        <v>587</v>
      </c>
      <c r="E279" t="s">
        <v>588</v>
      </c>
      <c r="F279" t="s">
        <v>506</v>
      </c>
      <c r="G279" t="s">
        <v>507</v>
      </c>
      <c r="H279" t="s">
        <v>508</v>
      </c>
      <c r="I279" t="s">
        <v>509</v>
      </c>
      <c r="J279" t="s">
        <v>589</v>
      </c>
      <c r="K279" s="502">
        <v>9</v>
      </c>
      <c r="L279" t="s">
        <v>547</v>
      </c>
    </row>
    <row r="280" spans="1:12">
      <c r="A280" t="s">
        <v>3145</v>
      </c>
      <c r="B280" t="s">
        <v>3359</v>
      </c>
      <c r="C280" s="60" t="str">
        <f t="shared" si="23"/>
        <v>E5391</v>
      </c>
      <c r="D280" t="s">
        <v>587</v>
      </c>
      <c r="E280" t="s">
        <v>588</v>
      </c>
      <c r="F280" t="s">
        <v>506</v>
      </c>
      <c r="G280" t="s">
        <v>507</v>
      </c>
      <c r="H280" t="s">
        <v>508</v>
      </c>
      <c r="I280" t="s">
        <v>509</v>
      </c>
      <c r="J280" t="s">
        <v>589</v>
      </c>
      <c r="K280" s="502">
        <v>9</v>
      </c>
      <c r="L280" t="s">
        <v>547</v>
      </c>
    </row>
    <row r="281" spans="1:12">
      <c r="A281" t="s">
        <v>3145</v>
      </c>
      <c r="B281" t="s">
        <v>3360</v>
      </c>
      <c r="C281" s="60" t="str">
        <f t="shared" si="23"/>
        <v>E5391</v>
      </c>
      <c r="D281" t="s">
        <v>587</v>
      </c>
      <c r="E281" t="s">
        <v>588</v>
      </c>
      <c r="F281" t="s">
        <v>506</v>
      </c>
      <c r="G281" t="s">
        <v>507</v>
      </c>
      <c r="H281" t="s">
        <v>508</v>
      </c>
      <c r="I281" t="s">
        <v>509</v>
      </c>
      <c r="J281" t="s">
        <v>589</v>
      </c>
      <c r="K281" s="502">
        <v>9</v>
      </c>
      <c r="L281" t="s">
        <v>547</v>
      </c>
    </row>
    <row r="282" spans="1:12">
      <c r="A282" t="s">
        <v>3145</v>
      </c>
      <c r="B282" t="s">
        <v>3361</v>
      </c>
      <c r="C282" s="60" t="str">
        <f t="shared" si="23"/>
        <v>E5391</v>
      </c>
      <c r="D282" t="s">
        <v>587</v>
      </c>
      <c r="E282" t="s">
        <v>588</v>
      </c>
      <c r="F282" t="s">
        <v>506</v>
      </c>
      <c r="G282" t="s">
        <v>507</v>
      </c>
      <c r="H282" t="s">
        <v>508</v>
      </c>
      <c r="I282" t="s">
        <v>509</v>
      </c>
      <c r="J282" t="s">
        <v>589</v>
      </c>
      <c r="K282" s="502">
        <v>9</v>
      </c>
      <c r="L282" t="s">
        <v>547</v>
      </c>
    </row>
    <row r="283" spans="1:12">
      <c r="A283" t="s">
        <v>3145</v>
      </c>
      <c r="B283" t="s">
        <v>3362</v>
      </c>
      <c r="C283" s="60" t="str">
        <f t="shared" si="23"/>
        <v>E5391</v>
      </c>
      <c r="D283" t="s">
        <v>587</v>
      </c>
      <c r="E283" t="s">
        <v>588</v>
      </c>
      <c r="F283" t="s">
        <v>506</v>
      </c>
      <c r="G283" t="s">
        <v>507</v>
      </c>
      <c r="H283" t="s">
        <v>508</v>
      </c>
      <c r="I283" t="s">
        <v>509</v>
      </c>
      <c r="J283" t="s">
        <v>589</v>
      </c>
      <c r="K283" s="502">
        <v>9</v>
      </c>
      <c r="L283" t="s">
        <v>547</v>
      </c>
    </row>
    <row r="284" spans="1:12">
      <c r="A284" t="s">
        <v>3145</v>
      </c>
      <c r="B284" t="s">
        <v>3363</v>
      </c>
      <c r="C284" s="60" t="str">
        <f t="shared" si="23"/>
        <v>E5391</v>
      </c>
      <c r="D284" t="s">
        <v>587</v>
      </c>
      <c r="E284" t="s">
        <v>588</v>
      </c>
      <c r="F284" t="s">
        <v>506</v>
      </c>
      <c r="G284" t="s">
        <v>507</v>
      </c>
      <c r="H284" t="s">
        <v>508</v>
      </c>
      <c r="I284" t="s">
        <v>509</v>
      </c>
      <c r="J284" t="s">
        <v>589</v>
      </c>
      <c r="K284" s="502">
        <v>9</v>
      </c>
      <c r="L284" t="s">
        <v>547</v>
      </c>
    </row>
    <row r="285" spans="1:12">
      <c r="A285" t="s">
        <v>3145</v>
      </c>
      <c r="B285" t="s">
        <v>3364</v>
      </c>
      <c r="C285" s="60" t="str">
        <f t="shared" si="23"/>
        <v>E5391</v>
      </c>
      <c r="D285" t="s">
        <v>587</v>
      </c>
      <c r="E285" t="s">
        <v>588</v>
      </c>
      <c r="F285" t="s">
        <v>506</v>
      </c>
      <c r="G285" t="s">
        <v>507</v>
      </c>
      <c r="H285" t="s">
        <v>508</v>
      </c>
      <c r="I285" t="s">
        <v>509</v>
      </c>
      <c r="J285" t="s">
        <v>589</v>
      </c>
      <c r="K285" s="502">
        <v>9</v>
      </c>
      <c r="L285" t="s">
        <v>547</v>
      </c>
    </row>
    <row r="286" spans="1:12">
      <c r="A286" t="s">
        <v>3145</v>
      </c>
      <c r="B286" t="s">
        <v>3365</v>
      </c>
      <c r="C286" s="60" t="str">
        <f t="shared" si="23"/>
        <v>E5391</v>
      </c>
      <c r="D286" t="s">
        <v>587</v>
      </c>
      <c r="E286" t="s">
        <v>588</v>
      </c>
      <c r="F286" t="s">
        <v>506</v>
      </c>
      <c r="G286" t="s">
        <v>507</v>
      </c>
      <c r="H286" t="s">
        <v>508</v>
      </c>
      <c r="I286" t="s">
        <v>509</v>
      </c>
      <c r="J286" t="s">
        <v>589</v>
      </c>
      <c r="K286" s="502">
        <v>9</v>
      </c>
      <c r="L286" t="s">
        <v>547</v>
      </c>
    </row>
    <row r="287" spans="1:12">
      <c r="A287" t="s">
        <v>3145</v>
      </c>
      <c r="B287" t="s">
        <v>3366</v>
      </c>
      <c r="C287" s="60" t="str">
        <f t="shared" si="23"/>
        <v>E5391</v>
      </c>
      <c r="D287" t="s">
        <v>587</v>
      </c>
      <c r="E287" t="s">
        <v>588</v>
      </c>
      <c r="F287" t="s">
        <v>506</v>
      </c>
      <c r="G287" t="s">
        <v>507</v>
      </c>
      <c r="H287" t="s">
        <v>508</v>
      </c>
      <c r="I287" t="s">
        <v>509</v>
      </c>
      <c r="J287" t="s">
        <v>589</v>
      </c>
      <c r="K287" s="502">
        <v>9</v>
      </c>
      <c r="L287" t="s">
        <v>547</v>
      </c>
    </row>
    <row r="288" spans="1:12">
      <c r="A288" t="s">
        <v>3145</v>
      </c>
      <c r="B288" t="s">
        <v>3367</v>
      </c>
      <c r="C288" s="60" t="str">
        <f t="shared" si="23"/>
        <v>E5391</v>
      </c>
      <c r="D288" t="s">
        <v>587</v>
      </c>
      <c r="E288" t="s">
        <v>588</v>
      </c>
      <c r="F288" t="s">
        <v>506</v>
      </c>
      <c r="G288" t="s">
        <v>507</v>
      </c>
      <c r="H288" t="s">
        <v>508</v>
      </c>
      <c r="I288" t="s">
        <v>509</v>
      </c>
      <c r="J288" t="s">
        <v>589</v>
      </c>
      <c r="K288" s="502">
        <v>9</v>
      </c>
      <c r="L288" t="s">
        <v>547</v>
      </c>
    </row>
    <row r="289" spans="1:12">
      <c r="A289" t="s">
        <v>3145</v>
      </c>
      <c r="B289" t="s">
        <v>3356</v>
      </c>
      <c r="C289" s="3" t="str">
        <f>+'2-Préparation saisie LV PROD'!B29</f>
        <v>E5392</v>
      </c>
      <c r="D289" t="s">
        <v>587</v>
      </c>
      <c r="E289" t="s">
        <v>588</v>
      </c>
      <c r="F289" t="s">
        <v>506</v>
      </c>
      <c r="G289" t="s">
        <v>507</v>
      </c>
      <c r="H289" t="s">
        <v>508</v>
      </c>
      <c r="I289" t="s">
        <v>509</v>
      </c>
      <c r="J289" t="s">
        <v>589</v>
      </c>
      <c r="K289" s="502">
        <v>4</v>
      </c>
      <c r="L289" t="s">
        <v>548</v>
      </c>
    </row>
    <row r="290" spans="1:12">
      <c r="A290" t="s">
        <v>3145</v>
      </c>
      <c r="B290" t="s">
        <v>3357</v>
      </c>
      <c r="C290" s="60" t="str">
        <f>C289</f>
        <v>E5392</v>
      </c>
      <c r="D290" t="s">
        <v>587</v>
      </c>
      <c r="E290" t="s">
        <v>588</v>
      </c>
      <c r="F290" t="s">
        <v>506</v>
      </c>
      <c r="G290" t="s">
        <v>507</v>
      </c>
      <c r="H290" t="s">
        <v>508</v>
      </c>
      <c r="I290" t="s">
        <v>509</v>
      </c>
      <c r="J290" t="s">
        <v>589</v>
      </c>
      <c r="K290" s="502">
        <v>4</v>
      </c>
      <c r="L290" t="s">
        <v>548</v>
      </c>
    </row>
    <row r="291" spans="1:12">
      <c r="A291" t="s">
        <v>3145</v>
      </c>
      <c r="B291" t="s">
        <v>3358</v>
      </c>
      <c r="C291" s="60" t="str">
        <f t="shared" ref="C291:C300" si="24">+C290</f>
        <v>E5392</v>
      </c>
      <c r="D291" t="s">
        <v>587</v>
      </c>
      <c r="E291" t="s">
        <v>588</v>
      </c>
      <c r="F291" t="s">
        <v>506</v>
      </c>
      <c r="G291" t="s">
        <v>507</v>
      </c>
      <c r="H291" t="s">
        <v>508</v>
      </c>
      <c r="I291" t="s">
        <v>509</v>
      </c>
      <c r="J291" t="s">
        <v>589</v>
      </c>
      <c r="K291" s="502">
        <v>4</v>
      </c>
      <c r="L291" t="s">
        <v>548</v>
      </c>
    </row>
    <row r="292" spans="1:12">
      <c r="A292" t="s">
        <v>3145</v>
      </c>
      <c r="B292" t="s">
        <v>3359</v>
      </c>
      <c r="C292" s="60" t="str">
        <f t="shared" si="24"/>
        <v>E5392</v>
      </c>
      <c r="D292" t="s">
        <v>587</v>
      </c>
      <c r="E292" t="s">
        <v>588</v>
      </c>
      <c r="F292" t="s">
        <v>506</v>
      </c>
      <c r="G292" t="s">
        <v>507</v>
      </c>
      <c r="H292" t="s">
        <v>508</v>
      </c>
      <c r="I292" t="s">
        <v>509</v>
      </c>
      <c r="J292" t="s">
        <v>589</v>
      </c>
      <c r="K292" s="502">
        <v>4</v>
      </c>
      <c r="L292" t="s">
        <v>548</v>
      </c>
    </row>
    <row r="293" spans="1:12">
      <c r="A293" t="s">
        <v>3145</v>
      </c>
      <c r="B293" t="s">
        <v>3360</v>
      </c>
      <c r="C293" s="60" t="str">
        <f t="shared" si="24"/>
        <v>E5392</v>
      </c>
      <c r="D293" t="s">
        <v>587</v>
      </c>
      <c r="E293" t="s">
        <v>588</v>
      </c>
      <c r="F293" t="s">
        <v>506</v>
      </c>
      <c r="G293" t="s">
        <v>507</v>
      </c>
      <c r="H293" t="s">
        <v>508</v>
      </c>
      <c r="I293" t="s">
        <v>509</v>
      </c>
      <c r="J293" t="s">
        <v>589</v>
      </c>
      <c r="K293" s="502">
        <v>4</v>
      </c>
      <c r="L293" t="s">
        <v>548</v>
      </c>
    </row>
    <row r="294" spans="1:12">
      <c r="A294" t="s">
        <v>3145</v>
      </c>
      <c r="B294" t="s">
        <v>3361</v>
      </c>
      <c r="C294" s="60" t="str">
        <f t="shared" si="24"/>
        <v>E5392</v>
      </c>
      <c r="D294" t="s">
        <v>587</v>
      </c>
      <c r="E294" t="s">
        <v>588</v>
      </c>
      <c r="F294" t="s">
        <v>506</v>
      </c>
      <c r="G294" t="s">
        <v>507</v>
      </c>
      <c r="H294" t="s">
        <v>508</v>
      </c>
      <c r="I294" t="s">
        <v>509</v>
      </c>
      <c r="J294" t="s">
        <v>589</v>
      </c>
      <c r="K294" s="502">
        <v>4</v>
      </c>
      <c r="L294" t="s">
        <v>548</v>
      </c>
    </row>
    <row r="295" spans="1:12">
      <c r="A295" t="s">
        <v>3145</v>
      </c>
      <c r="B295" t="s">
        <v>3362</v>
      </c>
      <c r="C295" s="60" t="str">
        <f t="shared" si="24"/>
        <v>E5392</v>
      </c>
      <c r="D295" t="s">
        <v>587</v>
      </c>
      <c r="E295" t="s">
        <v>588</v>
      </c>
      <c r="F295" t="s">
        <v>506</v>
      </c>
      <c r="G295" t="s">
        <v>507</v>
      </c>
      <c r="H295" t="s">
        <v>508</v>
      </c>
      <c r="I295" t="s">
        <v>509</v>
      </c>
      <c r="J295" t="s">
        <v>589</v>
      </c>
      <c r="K295" s="502">
        <v>4</v>
      </c>
      <c r="L295" t="s">
        <v>548</v>
      </c>
    </row>
    <row r="296" spans="1:12">
      <c r="A296" t="s">
        <v>3145</v>
      </c>
      <c r="B296" t="s">
        <v>3363</v>
      </c>
      <c r="C296" s="60" t="str">
        <f t="shared" si="24"/>
        <v>E5392</v>
      </c>
      <c r="D296" t="s">
        <v>587</v>
      </c>
      <c r="E296" t="s">
        <v>588</v>
      </c>
      <c r="F296" t="s">
        <v>506</v>
      </c>
      <c r="G296" t="s">
        <v>507</v>
      </c>
      <c r="H296" t="s">
        <v>508</v>
      </c>
      <c r="I296" t="s">
        <v>509</v>
      </c>
      <c r="J296" t="s">
        <v>589</v>
      </c>
      <c r="K296" s="502">
        <v>4</v>
      </c>
      <c r="L296" t="s">
        <v>548</v>
      </c>
    </row>
    <row r="297" spans="1:12">
      <c r="A297" t="s">
        <v>3145</v>
      </c>
      <c r="B297" t="s">
        <v>3364</v>
      </c>
      <c r="C297" s="60" t="str">
        <f t="shared" si="24"/>
        <v>E5392</v>
      </c>
      <c r="D297" t="s">
        <v>587</v>
      </c>
      <c r="E297" t="s">
        <v>588</v>
      </c>
      <c r="F297" t="s">
        <v>506</v>
      </c>
      <c r="G297" t="s">
        <v>507</v>
      </c>
      <c r="H297" t="s">
        <v>508</v>
      </c>
      <c r="I297" t="s">
        <v>509</v>
      </c>
      <c r="J297" t="s">
        <v>589</v>
      </c>
      <c r="K297" s="502">
        <v>4</v>
      </c>
      <c r="L297" t="s">
        <v>548</v>
      </c>
    </row>
    <row r="298" spans="1:12">
      <c r="A298" t="s">
        <v>3145</v>
      </c>
      <c r="B298" t="s">
        <v>3365</v>
      </c>
      <c r="C298" s="60" t="str">
        <f t="shared" si="24"/>
        <v>E5392</v>
      </c>
      <c r="D298" t="s">
        <v>587</v>
      </c>
      <c r="E298" t="s">
        <v>588</v>
      </c>
      <c r="F298" t="s">
        <v>506</v>
      </c>
      <c r="G298" t="s">
        <v>507</v>
      </c>
      <c r="H298" t="s">
        <v>508</v>
      </c>
      <c r="I298" t="s">
        <v>509</v>
      </c>
      <c r="J298" t="s">
        <v>589</v>
      </c>
      <c r="K298" s="502">
        <v>4</v>
      </c>
      <c r="L298" t="s">
        <v>548</v>
      </c>
    </row>
    <row r="299" spans="1:12">
      <c r="A299" t="s">
        <v>3145</v>
      </c>
      <c r="B299" t="s">
        <v>3366</v>
      </c>
      <c r="C299" s="60" t="str">
        <f t="shared" si="24"/>
        <v>E5392</v>
      </c>
      <c r="D299" t="s">
        <v>587</v>
      </c>
      <c r="E299" t="s">
        <v>588</v>
      </c>
      <c r="F299" t="s">
        <v>506</v>
      </c>
      <c r="G299" t="s">
        <v>507</v>
      </c>
      <c r="H299" t="s">
        <v>508</v>
      </c>
      <c r="I299" t="s">
        <v>509</v>
      </c>
      <c r="J299" t="s">
        <v>589</v>
      </c>
      <c r="K299" s="502">
        <v>4</v>
      </c>
      <c r="L299" t="s">
        <v>548</v>
      </c>
    </row>
    <row r="300" spans="1:12">
      <c r="A300" t="s">
        <v>3145</v>
      </c>
      <c r="B300" t="s">
        <v>3367</v>
      </c>
      <c r="C300" s="60" t="str">
        <f t="shared" si="24"/>
        <v>E5392</v>
      </c>
      <c r="D300" t="s">
        <v>587</v>
      </c>
      <c r="E300" t="s">
        <v>588</v>
      </c>
      <c r="F300" t="s">
        <v>506</v>
      </c>
      <c r="G300" t="s">
        <v>507</v>
      </c>
      <c r="H300" t="s">
        <v>508</v>
      </c>
      <c r="I300" t="s">
        <v>509</v>
      </c>
      <c r="J300" t="s">
        <v>589</v>
      </c>
      <c r="K300" s="502">
        <v>4</v>
      </c>
      <c r="L300" t="s">
        <v>548</v>
      </c>
    </row>
    <row r="301" spans="1:12">
      <c r="A301" t="s">
        <v>3145</v>
      </c>
      <c r="B301" t="s">
        <v>3356</v>
      </c>
      <c r="C301" s="3" t="str">
        <f>+'2-Préparation saisie LV PROD'!B30</f>
        <v>E5393</v>
      </c>
      <c r="D301" t="s">
        <v>587</v>
      </c>
      <c r="E301" t="s">
        <v>588</v>
      </c>
      <c r="F301" t="s">
        <v>506</v>
      </c>
      <c r="G301" t="s">
        <v>507</v>
      </c>
      <c r="H301" t="s">
        <v>508</v>
      </c>
      <c r="I301" t="s">
        <v>509</v>
      </c>
      <c r="J301" t="s">
        <v>589</v>
      </c>
      <c r="K301" s="502">
        <v>15</v>
      </c>
      <c r="L301" t="s">
        <v>3418</v>
      </c>
    </row>
    <row r="302" spans="1:12">
      <c r="A302" t="s">
        <v>3145</v>
      </c>
      <c r="B302" t="s">
        <v>3357</v>
      </c>
      <c r="C302" s="60" t="str">
        <f>C301</f>
        <v>E5393</v>
      </c>
      <c r="D302" t="s">
        <v>587</v>
      </c>
      <c r="E302" t="s">
        <v>588</v>
      </c>
      <c r="F302" t="s">
        <v>506</v>
      </c>
      <c r="G302" t="s">
        <v>507</v>
      </c>
      <c r="H302" t="s">
        <v>508</v>
      </c>
      <c r="I302" t="s">
        <v>509</v>
      </c>
      <c r="J302" t="s">
        <v>589</v>
      </c>
      <c r="K302" s="502">
        <v>15</v>
      </c>
      <c r="L302" t="s">
        <v>3418</v>
      </c>
    </row>
    <row r="303" spans="1:12">
      <c r="A303" t="s">
        <v>3145</v>
      </c>
      <c r="B303" t="s">
        <v>3358</v>
      </c>
      <c r="C303" s="60" t="str">
        <f t="shared" ref="C303:C312" si="25">+C302</f>
        <v>E5393</v>
      </c>
      <c r="D303" t="s">
        <v>587</v>
      </c>
      <c r="E303" t="s">
        <v>588</v>
      </c>
      <c r="F303" t="s">
        <v>506</v>
      </c>
      <c r="G303" t="s">
        <v>507</v>
      </c>
      <c r="H303" t="s">
        <v>508</v>
      </c>
      <c r="I303" t="s">
        <v>509</v>
      </c>
      <c r="J303" t="s">
        <v>589</v>
      </c>
      <c r="K303" s="502">
        <v>15</v>
      </c>
      <c r="L303" t="s">
        <v>3418</v>
      </c>
    </row>
    <row r="304" spans="1:12">
      <c r="A304" t="s">
        <v>3145</v>
      </c>
      <c r="B304" t="s">
        <v>3359</v>
      </c>
      <c r="C304" s="60" t="str">
        <f t="shared" si="25"/>
        <v>E5393</v>
      </c>
      <c r="D304" t="s">
        <v>587</v>
      </c>
      <c r="E304" t="s">
        <v>588</v>
      </c>
      <c r="F304" t="s">
        <v>506</v>
      </c>
      <c r="G304" t="s">
        <v>507</v>
      </c>
      <c r="H304" t="s">
        <v>508</v>
      </c>
      <c r="I304" t="s">
        <v>509</v>
      </c>
      <c r="J304" t="s">
        <v>589</v>
      </c>
      <c r="K304" s="502">
        <v>15</v>
      </c>
      <c r="L304" t="s">
        <v>3418</v>
      </c>
    </row>
    <row r="305" spans="1:12">
      <c r="A305" t="s">
        <v>3145</v>
      </c>
      <c r="B305" t="s">
        <v>3360</v>
      </c>
      <c r="C305" s="60" t="str">
        <f t="shared" si="25"/>
        <v>E5393</v>
      </c>
      <c r="D305" t="s">
        <v>587</v>
      </c>
      <c r="E305" t="s">
        <v>588</v>
      </c>
      <c r="F305" t="s">
        <v>506</v>
      </c>
      <c r="G305" t="s">
        <v>507</v>
      </c>
      <c r="H305" t="s">
        <v>508</v>
      </c>
      <c r="I305" t="s">
        <v>509</v>
      </c>
      <c r="J305" t="s">
        <v>589</v>
      </c>
      <c r="K305" s="502">
        <v>15</v>
      </c>
      <c r="L305" t="s">
        <v>3418</v>
      </c>
    </row>
    <row r="306" spans="1:12">
      <c r="A306" t="s">
        <v>3145</v>
      </c>
      <c r="B306" t="s">
        <v>3361</v>
      </c>
      <c r="C306" s="60" t="str">
        <f t="shared" si="25"/>
        <v>E5393</v>
      </c>
      <c r="D306" t="s">
        <v>587</v>
      </c>
      <c r="E306" t="s">
        <v>588</v>
      </c>
      <c r="F306" t="s">
        <v>506</v>
      </c>
      <c r="G306" t="s">
        <v>507</v>
      </c>
      <c r="H306" t="s">
        <v>508</v>
      </c>
      <c r="I306" t="s">
        <v>509</v>
      </c>
      <c r="J306" t="s">
        <v>589</v>
      </c>
      <c r="K306" s="502">
        <v>15</v>
      </c>
      <c r="L306" t="s">
        <v>3418</v>
      </c>
    </row>
    <row r="307" spans="1:12">
      <c r="A307" t="s">
        <v>3145</v>
      </c>
      <c r="B307" t="s">
        <v>3362</v>
      </c>
      <c r="C307" s="60" t="str">
        <f t="shared" si="25"/>
        <v>E5393</v>
      </c>
      <c r="D307" t="s">
        <v>587</v>
      </c>
      <c r="E307" t="s">
        <v>588</v>
      </c>
      <c r="F307" t="s">
        <v>506</v>
      </c>
      <c r="G307" t="s">
        <v>507</v>
      </c>
      <c r="H307" t="s">
        <v>508</v>
      </c>
      <c r="I307" t="s">
        <v>509</v>
      </c>
      <c r="J307" t="s">
        <v>589</v>
      </c>
      <c r="K307" s="502">
        <v>15</v>
      </c>
      <c r="L307" t="s">
        <v>3418</v>
      </c>
    </row>
    <row r="308" spans="1:12">
      <c r="A308" t="s">
        <v>3145</v>
      </c>
      <c r="B308" t="s">
        <v>3363</v>
      </c>
      <c r="C308" s="60" t="str">
        <f t="shared" si="25"/>
        <v>E5393</v>
      </c>
      <c r="D308" t="s">
        <v>587</v>
      </c>
      <c r="E308" t="s">
        <v>588</v>
      </c>
      <c r="F308" t="s">
        <v>506</v>
      </c>
      <c r="G308" t="s">
        <v>507</v>
      </c>
      <c r="H308" t="s">
        <v>508</v>
      </c>
      <c r="I308" t="s">
        <v>509</v>
      </c>
      <c r="J308" t="s">
        <v>589</v>
      </c>
      <c r="K308" s="502">
        <v>15</v>
      </c>
      <c r="L308" t="s">
        <v>3418</v>
      </c>
    </row>
    <row r="309" spans="1:12">
      <c r="A309" t="s">
        <v>3145</v>
      </c>
      <c r="B309" t="s">
        <v>3364</v>
      </c>
      <c r="C309" s="60" t="str">
        <f t="shared" si="25"/>
        <v>E5393</v>
      </c>
      <c r="D309" t="s">
        <v>587</v>
      </c>
      <c r="E309" t="s">
        <v>588</v>
      </c>
      <c r="F309" t="s">
        <v>506</v>
      </c>
      <c r="G309" t="s">
        <v>507</v>
      </c>
      <c r="H309" t="s">
        <v>508</v>
      </c>
      <c r="I309" t="s">
        <v>509</v>
      </c>
      <c r="J309" t="s">
        <v>589</v>
      </c>
      <c r="K309" s="502">
        <v>15</v>
      </c>
      <c r="L309" t="s">
        <v>3418</v>
      </c>
    </row>
    <row r="310" spans="1:12">
      <c r="A310" t="s">
        <v>3145</v>
      </c>
      <c r="B310" t="s">
        <v>3365</v>
      </c>
      <c r="C310" s="60" t="str">
        <f t="shared" si="25"/>
        <v>E5393</v>
      </c>
      <c r="D310" t="s">
        <v>587</v>
      </c>
      <c r="E310" t="s">
        <v>588</v>
      </c>
      <c r="F310" t="s">
        <v>506</v>
      </c>
      <c r="G310" t="s">
        <v>507</v>
      </c>
      <c r="H310" t="s">
        <v>508</v>
      </c>
      <c r="I310" t="s">
        <v>509</v>
      </c>
      <c r="J310" t="s">
        <v>589</v>
      </c>
      <c r="K310" s="502">
        <v>15</v>
      </c>
      <c r="L310" t="s">
        <v>3418</v>
      </c>
    </row>
    <row r="311" spans="1:12">
      <c r="A311" t="s">
        <v>3145</v>
      </c>
      <c r="B311" t="s">
        <v>3366</v>
      </c>
      <c r="C311" s="60" t="str">
        <f t="shared" si="25"/>
        <v>E5393</v>
      </c>
      <c r="D311" t="s">
        <v>587</v>
      </c>
      <c r="E311" t="s">
        <v>588</v>
      </c>
      <c r="F311" t="s">
        <v>506</v>
      </c>
      <c r="G311" t="s">
        <v>507</v>
      </c>
      <c r="H311" t="s">
        <v>508</v>
      </c>
      <c r="I311" t="s">
        <v>509</v>
      </c>
      <c r="J311" t="s">
        <v>589</v>
      </c>
      <c r="K311" s="502">
        <v>15</v>
      </c>
      <c r="L311" t="s">
        <v>3418</v>
      </c>
    </row>
    <row r="312" spans="1:12">
      <c r="A312" t="s">
        <v>3145</v>
      </c>
      <c r="B312" t="s">
        <v>3367</v>
      </c>
      <c r="C312" s="60" t="str">
        <f t="shared" si="25"/>
        <v>E5393</v>
      </c>
      <c r="D312" t="s">
        <v>587</v>
      </c>
      <c r="E312" t="s">
        <v>588</v>
      </c>
      <c r="F312" t="s">
        <v>506</v>
      </c>
      <c r="G312" t="s">
        <v>507</v>
      </c>
      <c r="H312" t="s">
        <v>508</v>
      </c>
      <c r="I312" t="s">
        <v>509</v>
      </c>
      <c r="J312" t="s">
        <v>589</v>
      </c>
      <c r="K312" s="502">
        <v>15</v>
      </c>
      <c r="L312" t="s">
        <v>3418</v>
      </c>
    </row>
    <row r="313" spans="1:12">
      <c r="A313" t="s">
        <v>3145</v>
      </c>
      <c r="B313" t="s">
        <v>3356</v>
      </c>
      <c r="C313" s="3" t="str">
        <f>+'2-Préparation saisie LV PROD'!B31</f>
        <v>E5394</v>
      </c>
      <c r="D313" t="s">
        <v>587</v>
      </c>
      <c r="E313" t="s">
        <v>588</v>
      </c>
      <c r="F313" t="s">
        <v>506</v>
      </c>
      <c r="G313" t="s">
        <v>507</v>
      </c>
      <c r="H313" t="s">
        <v>508</v>
      </c>
      <c r="I313" t="s">
        <v>509</v>
      </c>
      <c r="J313" t="s">
        <v>589</v>
      </c>
      <c r="K313" s="502">
        <v>5</v>
      </c>
      <c r="L313" t="s">
        <v>304</v>
      </c>
    </row>
    <row r="314" spans="1:12">
      <c r="A314" t="s">
        <v>3145</v>
      </c>
      <c r="B314" t="s">
        <v>3357</v>
      </c>
      <c r="C314" s="60" t="str">
        <f>C313</f>
        <v>E5394</v>
      </c>
      <c r="D314" t="s">
        <v>587</v>
      </c>
      <c r="E314" t="s">
        <v>588</v>
      </c>
      <c r="F314" t="s">
        <v>506</v>
      </c>
      <c r="G314" t="s">
        <v>507</v>
      </c>
      <c r="H314" t="s">
        <v>508</v>
      </c>
      <c r="I314" t="s">
        <v>509</v>
      </c>
      <c r="J314" t="s">
        <v>589</v>
      </c>
      <c r="K314" s="502">
        <v>5</v>
      </c>
      <c r="L314" t="s">
        <v>304</v>
      </c>
    </row>
    <row r="315" spans="1:12">
      <c r="A315" t="s">
        <v>3145</v>
      </c>
      <c r="B315" t="s">
        <v>3358</v>
      </c>
      <c r="C315" s="60" t="str">
        <f t="shared" ref="C315:C324" si="26">+C314</f>
        <v>E5394</v>
      </c>
      <c r="D315" t="s">
        <v>587</v>
      </c>
      <c r="E315" t="s">
        <v>588</v>
      </c>
      <c r="F315" t="s">
        <v>506</v>
      </c>
      <c r="G315" t="s">
        <v>507</v>
      </c>
      <c r="H315" t="s">
        <v>508</v>
      </c>
      <c r="I315" t="s">
        <v>509</v>
      </c>
      <c r="J315" t="s">
        <v>589</v>
      </c>
      <c r="K315" s="502">
        <v>5</v>
      </c>
      <c r="L315" t="s">
        <v>304</v>
      </c>
    </row>
    <row r="316" spans="1:12">
      <c r="A316" t="s">
        <v>3145</v>
      </c>
      <c r="B316" t="s">
        <v>3359</v>
      </c>
      <c r="C316" s="60" t="str">
        <f t="shared" si="26"/>
        <v>E5394</v>
      </c>
      <c r="D316" t="s">
        <v>587</v>
      </c>
      <c r="E316" t="s">
        <v>588</v>
      </c>
      <c r="F316" t="s">
        <v>506</v>
      </c>
      <c r="G316" t="s">
        <v>507</v>
      </c>
      <c r="H316" t="s">
        <v>508</v>
      </c>
      <c r="I316" t="s">
        <v>509</v>
      </c>
      <c r="J316" t="s">
        <v>589</v>
      </c>
      <c r="K316" s="502">
        <v>5</v>
      </c>
      <c r="L316" t="s">
        <v>304</v>
      </c>
    </row>
    <row r="317" spans="1:12">
      <c r="A317" t="s">
        <v>3145</v>
      </c>
      <c r="B317" t="s">
        <v>3360</v>
      </c>
      <c r="C317" s="60" t="str">
        <f t="shared" si="26"/>
        <v>E5394</v>
      </c>
      <c r="D317" t="s">
        <v>587</v>
      </c>
      <c r="E317" t="s">
        <v>588</v>
      </c>
      <c r="F317" t="s">
        <v>506</v>
      </c>
      <c r="G317" t="s">
        <v>507</v>
      </c>
      <c r="H317" t="s">
        <v>508</v>
      </c>
      <c r="I317" t="s">
        <v>509</v>
      </c>
      <c r="J317" t="s">
        <v>589</v>
      </c>
      <c r="K317" s="502">
        <v>5</v>
      </c>
      <c r="L317" t="s">
        <v>304</v>
      </c>
    </row>
    <row r="318" spans="1:12">
      <c r="A318" t="s">
        <v>3145</v>
      </c>
      <c r="B318" t="s">
        <v>3361</v>
      </c>
      <c r="C318" s="60" t="str">
        <f t="shared" si="26"/>
        <v>E5394</v>
      </c>
      <c r="D318" t="s">
        <v>587</v>
      </c>
      <c r="E318" t="s">
        <v>588</v>
      </c>
      <c r="F318" t="s">
        <v>506</v>
      </c>
      <c r="G318" t="s">
        <v>507</v>
      </c>
      <c r="H318" t="s">
        <v>508</v>
      </c>
      <c r="I318" t="s">
        <v>509</v>
      </c>
      <c r="J318" t="s">
        <v>589</v>
      </c>
      <c r="K318" s="502">
        <v>5</v>
      </c>
      <c r="L318" t="s">
        <v>304</v>
      </c>
    </row>
    <row r="319" spans="1:12">
      <c r="A319" t="s">
        <v>3145</v>
      </c>
      <c r="B319" t="s">
        <v>3362</v>
      </c>
      <c r="C319" s="60" t="str">
        <f t="shared" si="26"/>
        <v>E5394</v>
      </c>
      <c r="D319" t="s">
        <v>587</v>
      </c>
      <c r="E319" t="s">
        <v>588</v>
      </c>
      <c r="F319" t="s">
        <v>506</v>
      </c>
      <c r="G319" t="s">
        <v>507</v>
      </c>
      <c r="H319" t="s">
        <v>508</v>
      </c>
      <c r="I319" t="s">
        <v>509</v>
      </c>
      <c r="J319" t="s">
        <v>589</v>
      </c>
      <c r="K319" s="502">
        <v>5</v>
      </c>
      <c r="L319" t="s">
        <v>304</v>
      </c>
    </row>
    <row r="320" spans="1:12">
      <c r="A320" t="s">
        <v>3145</v>
      </c>
      <c r="B320" t="s">
        <v>3363</v>
      </c>
      <c r="C320" s="60" t="str">
        <f t="shared" si="26"/>
        <v>E5394</v>
      </c>
      <c r="D320" t="s">
        <v>587</v>
      </c>
      <c r="E320" t="s">
        <v>588</v>
      </c>
      <c r="F320" t="s">
        <v>506</v>
      </c>
      <c r="G320" t="s">
        <v>507</v>
      </c>
      <c r="H320" t="s">
        <v>508</v>
      </c>
      <c r="I320" t="s">
        <v>509</v>
      </c>
      <c r="J320" t="s">
        <v>589</v>
      </c>
      <c r="K320" s="502">
        <v>5</v>
      </c>
      <c r="L320" t="s">
        <v>304</v>
      </c>
    </row>
    <row r="321" spans="1:12">
      <c r="A321" t="s">
        <v>3145</v>
      </c>
      <c r="B321" t="s">
        <v>3364</v>
      </c>
      <c r="C321" s="60" t="str">
        <f t="shared" si="26"/>
        <v>E5394</v>
      </c>
      <c r="D321" t="s">
        <v>587</v>
      </c>
      <c r="E321" t="s">
        <v>588</v>
      </c>
      <c r="F321" t="s">
        <v>506</v>
      </c>
      <c r="G321" t="s">
        <v>507</v>
      </c>
      <c r="H321" t="s">
        <v>508</v>
      </c>
      <c r="I321" t="s">
        <v>509</v>
      </c>
      <c r="J321" t="s">
        <v>589</v>
      </c>
      <c r="K321" s="502">
        <v>5</v>
      </c>
      <c r="L321" t="s">
        <v>304</v>
      </c>
    </row>
    <row r="322" spans="1:12">
      <c r="A322" t="s">
        <v>3145</v>
      </c>
      <c r="B322" t="s">
        <v>3365</v>
      </c>
      <c r="C322" s="60" t="str">
        <f t="shared" si="26"/>
        <v>E5394</v>
      </c>
      <c r="D322" t="s">
        <v>587</v>
      </c>
      <c r="E322" t="s">
        <v>588</v>
      </c>
      <c r="F322" t="s">
        <v>506</v>
      </c>
      <c r="G322" t="s">
        <v>507</v>
      </c>
      <c r="H322" t="s">
        <v>508</v>
      </c>
      <c r="I322" t="s">
        <v>509</v>
      </c>
      <c r="J322" t="s">
        <v>589</v>
      </c>
      <c r="K322" s="502">
        <v>5</v>
      </c>
      <c r="L322" t="s">
        <v>304</v>
      </c>
    </row>
    <row r="323" spans="1:12">
      <c r="A323" t="s">
        <v>3145</v>
      </c>
      <c r="B323" t="s">
        <v>3366</v>
      </c>
      <c r="C323" s="60" t="str">
        <f t="shared" si="26"/>
        <v>E5394</v>
      </c>
      <c r="D323" t="s">
        <v>587</v>
      </c>
      <c r="E323" t="s">
        <v>588</v>
      </c>
      <c r="F323" t="s">
        <v>506</v>
      </c>
      <c r="G323" t="s">
        <v>507</v>
      </c>
      <c r="H323" t="s">
        <v>508</v>
      </c>
      <c r="I323" t="s">
        <v>509</v>
      </c>
      <c r="J323" t="s">
        <v>589</v>
      </c>
      <c r="K323" s="502">
        <v>5</v>
      </c>
      <c r="L323" t="s">
        <v>304</v>
      </c>
    </row>
    <row r="324" spans="1:12">
      <c r="A324" t="s">
        <v>3145</v>
      </c>
      <c r="B324" t="s">
        <v>3367</v>
      </c>
      <c r="C324" s="60" t="str">
        <f t="shared" si="26"/>
        <v>E5394</v>
      </c>
      <c r="D324" t="s">
        <v>587</v>
      </c>
      <c r="E324" t="s">
        <v>588</v>
      </c>
      <c r="F324" t="s">
        <v>506</v>
      </c>
      <c r="G324" t="s">
        <v>507</v>
      </c>
      <c r="H324" t="s">
        <v>508</v>
      </c>
      <c r="I324" t="s">
        <v>509</v>
      </c>
      <c r="J324" t="s">
        <v>589</v>
      </c>
      <c r="K324" s="502">
        <v>5</v>
      </c>
      <c r="L324" t="s">
        <v>304</v>
      </c>
    </row>
    <row r="325" spans="1:12">
      <c r="A325" t="s">
        <v>3145</v>
      </c>
      <c r="B325" t="s">
        <v>3356</v>
      </c>
      <c r="C325" s="3" t="str">
        <f>+'2-Préparation saisie LV PROD'!B32</f>
        <v>E5395</v>
      </c>
      <c r="D325" t="s">
        <v>587</v>
      </c>
      <c r="E325" t="s">
        <v>588</v>
      </c>
      <c r="F325" t="s">
        <v>506</v>
      </c>
      <c r="G325" t="s">
        <v>507</v>
      </c>
      <c r="H325" t="s">
        <v>508</v>
      </c>
      <c r="I325" t="s">
        <v>509</v>
      </c>
      <c r="J325" t="s">
        <v>589</v>
      </c>
      <c r="K325" s="502">
        <v>14</v>
      </c>
      <c r="L325" t="s">
        <v>3419</v>
      </c>
    </row>
    <row r="326" spans="1:12">
      <c r="A326" t="s">
        <v>3145</v>
      </c>
      <c r="B326" t="s">
        <v>3357</v>
      </c>
      <c r="C326" s="60" t="str">
        <f>C325</f>
        <v>E5395</v>
      </c>
      <c r="D326" t="s">
        <v>587</v>
      </c>
      <c r="E326" t="s">
        <v>588</v>
      </c>
      <c r="F326" t="s">
        <v>506</v>
      </c>
      <c r="G326" t="s">
        <v>507</v>
      </c>
      <c r="H326" t="s">
        <v>508</v>
      </c>
      <c r="I326" t="s">
        <v>509</v>
      </c>
      <c r="J326" t="s">
        <v>589</v>
      </c>
      <c r="K326" s="502">
        <v>14</v>
      </c>
      <c r="L326" t="s">
        <v>3419</v>
      </c>
    </row>
    <row r="327" spans="1:12">
      <c r="A327" t="s">
        <v>3145</v>
      </c>
      <c r="B327" t="s">
        <v>3358</v>
      </c>
      <c r="C327" s="60" t="str">
        <f t="shared" ref="C327:C336" si="27">+C326</f>
        <v>E5395</v>
      </c>
      <c r="D327" t="s">
        <v>587</v>
      </c>
      <c r="E327" t="s">
        <v>588</v>
      </c>
      <c r="F327" t="s">
        <v>506</v>
      </c>
      <c r="G327" t="s">
        <v>507</v>
      </c>
      <c r="H327" t="s">
        <v>508</v>
      </c>
      <c r="I327" t="s">
        <v>509</v>
      </c>
      <c r="J327" t="s">
        <v>589</v>
      </c>
      <c r="K327" s="502">
        <v>14</v>
      </c>
      <c r="L327" t="s">
        <v>3419</v>
      </c>
    </row>
    <row r="328" spans="1:12">
      <c r="A328" t="s">
        <v>3145</v>
      </c>
      <c r="B328" t="s">
        <v>3359</v>
      </c>
      <c r="C328" s="60" t="str">
        <f t="shared" si="27"/>
        <v>E5395</v>
      </c>
      <c r="D328" t="s">
        <v>587</v>
      </c>
      <c r="E328" t="s">
        <v>588</v>
      </c>
      <c r="F328" t="s">
        <v>506</v>
      </c>
      <c r="G328" t="s">
        <v>507</v>
      </c>
      <c r="H328" t="s">
        <v>508</v>
      </c>
      <c r="I328" t="s">
        <v>509</v>
      </c>
      <c r="J328" t="s">
        <v>589</v>
      </c>
      <c r="K328" s="502">
        <v>14</v>
      </c>
      <c r="L328" t="s">
        <v>3419</v>
      </c>
    </row>
    <row r="329" spans="1:12">
      <c r="A329" t="s">
        <v>3145</v>
      </c>
      <c r="B329" t="s">
        <v>3360</v>
      </c>
      <c r="C329" s="60" t="str">
        <f t="shared" si="27"/>
        <v>E5395</v>
      </c>
      <c r="D329" t="s">
        <v>587</v>
      </c>
      <c r="E329" t="s">
        <v>588</v>
      </c>
      <c r="F329" t="s">
        <v>506</v>
      </c>
      <c r="G329" t="s">
        <v>507</v>
      </c>
      <c r="H329" t="s">
        <v>508</v>
      </c>
      <c r="I329" t="s">
        <v>509</v>
      </c>
      <c r="J329" t="s">
        <v>589</v>
      </c>
      <c r="K329" s="502">
        <v>14</v>
      </c>
      <c r="L329" t="s">
        <v>3419</v>
      </c>
    </row>
    <row r="330" spans="1:12">
      <c r="A330" t="s">
        <v>3145</v>
      </c>
      <c r="B330" t="s">
        <v>3361</v>
      </c>
      <c r="C330" s="60" t="str">
        <f t="shared" si="27"/>
        <v>E5395</v>
      </c>
      <c r="D330" t="s">
        <v>587</v>
      </c>
      <c r="E330" t="s">
        <v>588</v>
      </c>
      <c r="F330" t="s">
        <v>506</v>
      </c>
      <c r="G330" t="s">
        <v>507</v>
      </c>
      <c r="H330" t="s">
        <v>508</v>
      </c>
      <c r="I330" t="s">
        <v>509</v>
      </c>
      <c r="J330" t="s">
        <v>589</v>
      </c>
      <c r="K330" s="502">
        <v>14</v>
      </c>
      <c r="L330" t="s">
        <v>3419</v>
      </c>
    </row>
    <row r="331" spans="1:12">
      <c r="A331" t="s">
        <v>3145</v>
      </c>
      <c r="B331" t="s">
        <v>3362</v>
      </c>
      <c r="C331" s="60" t="str">
        <f t="shared" si="27"/>
        <v>E5395</v>
      </c>
      <c r="D331" t="s">
        <v>587</v>
      </c>
      <c r="E331" t="s">
        <v>588</v>
      </c>
      <c r="F331" t="s">
        <v>506</v>
      </c>
      <c r="G331" t="s">
        <v>507</v>
      </c>
      <c r="H331" t="s">
        <v>508</v>
      </c>
      <c r="I331" t="s">
        <v>509</v>
      </c>
      <c r="J331" t="s">
        <v>589</v>
      </c>
      <c r="K331" s="502">
        <v>14</v>
      </c>
      <c r="L331" t="s">
        <v>3419</v>
      </c>
    </row>
    <row r="332" spans="1:12">
      <c r="A332" t="s">
        <v>3145</v>
      </c>
      <c r="B332" t="s">
        <v>3363</v>
      </c>
      <c r="C332" s="60" t="str">
        <f t="shared" si="27"/>
        <v>E5395</v>
      </c>
      <c r="D332" t="s">
        <v>587</v>
      </c>
      <c r="E332" t="s">
        <v>588</v>
      </c>
      <c r="F332" t="s">
        <v>506</v>
      </c>
      <c r="G332" t="s">
        <v>507</v>
      </c>
      <c r="H332" t="s">
        <v>508</v>
      </c>
      <c r="I332" t="s">
        <v>509</v>
      </c>
      <c r="J332" t="s">
        <v>589</v>
      </c>
      <c r="K332" s="502">
        <v>14</v>
      </c>
      <c r="L332" t="s">
        <v>3419</v>
      </c>
    </row>
    <row r="333" spans="1:12">
      <c r="A333" t="s">
        <v>3145</v>
      </c>
      <c r="B333" t="s">
        <v>3364</v>
      </c>
      <c r="C333" s="60" t="str">
        <f t="shared" si="27"/>
        <v>E5395</v>
      </c>
      <c r="D333" t="s">
        <v>587</v>
      </c>
      <c r="E333" t="s">
        <v>588</v>
      </c>
      <c r="F333" t="s">
        <v>506</v>
      </c>
      <c r="G333" t="s">
        <v>507</v>
      </c>
      <c r="H333" t="s">
        <v>508</v>
      </c>
      <c r="I333" t="s">
        <v>509</v>
      </c>
      <c r="J333" t="s">
        <v>589</v>
      </c>
      <c r="K333" s="502">
        <v>14</v>
      </c>
      <c r="L333" t="s">
        <v>3419</v>
      </c>
    </row>
    <row r="334" spans="1:12">
      <c r="A334" t="s">
        <v>3145</v>
      </c>
      <c r="B334" t="s">
        <v>3365</v>
      </c>
      <c r="C334" s="60" t="str">
        <f t="shared" si="27"/>
        <v>E5395</v>
      </c>
      <c r="D334" t="s">
        <v>587</v>
      </c>
      <c r="E334" t="s">
        <v>588</v>
      </c>
      <c r="F334" t="s">
        <v>506</v>
      </c>
      <c r="G334" t="s">
        <v>507</v>
      </c>
      <c r="H334" t="s">
        <v>508</v>
      </c>
      <c r="I334" t="s">
        <v>509</v>
      </c>
      <c r="J334" t="s">
        <v>589</v>
      </c>
      <c r="K334" s="502">
        <v>14</v>
      </c>
      <c r="L334" t="s">
        <v>3419</v>
      </c>
    </row>
    <row r="335" spans="1:12">
      <c r="A335" t="s">
        <v>3145</v>
      </c>
      <c r="B335" t="s">
        <v>3366</v>
      </c>
      <c r="C335" s="60" t="str">
        <f t="shared" si="27"/>
        <v>E5395</v>
      </c>
      <c r="D335" t="s">
        <v>587</v>
      </c>
      <c r="E335" t="s">
        <v>588</v>
      </c>
      <c r="F335" t="s">
        <v>506</v>
      </c>
      <c r="G335" t="s">
        <v>507</v>
      </c>
      <c r="H335" t="s">
        <v>508</v>
      </c>
      <c r="I335" t="s">
        <v>509</v>
      </c>
      <c r="J335" t="s">
        <v>589</v>
      </c>
      <c r="K335" s="502">
        <v>14</v>
      </c>
      <c r="L335" t="s">
        <v>3419</v>
      </c>
    </row>
    <row r="336" spans="1:12">
      <c r="A336" t="s">
        <v>3145</v>
      </c>
      <c r="B336" t="s">
        <v>3367</v>
      </c>
      <c r="C336" s="60" t="str">
        <f t="shared" si="27"/>
        <v>E5395</v>
      </c>
      <c r="D336" t="s">
        <v>587</v>
      </c>
      <c r="E336" t="s">
        <v>588</v>
      </c>
      <c r="F336" t="s">
        <v>506</v>
      </c>
      <c r="G336" t="s">
        <v>507</v>
      </c>
      <c r="H336" t="s">
        <v>508</v>
      </c>
      <c r="I336" t="s">
        <v>509</v>
      </c>
      <c r="J336" t="s">
        <v>589</v>
      </c>
      <c r="K336" s="502">
        <v>14</v>
      </c>
      <c r="L336" t="s">
        <v>3419</v>
      </c>
    </row>
    <row r="337" spans="1:12">
      <c r="A337" t="s">
        <v>3145</v>
      </c>
      <c r="B337" t="s">
        <v>3356</v>
      </c>
      <c r="C337" s="3" t="str">
        <f>+'2-Préparation saisie LV PROD'!B33</f>
        <v>E5396</v>
      </c>
      <c r="D337" t="s">
        <v>587</v>
      </c>
      <c r="E337" t="s">
        <v>588</v>
      </c>
      <c r="F337" t="s">
        <v>506</v>
      </c>
      <c r="G337" t="s">
        <v>507</v>
      </c>
      <c r="H337" t="s">
        <v>508</v>
      </c>
      <c r="I337" t="s">
        <v>509</v>
      </c>
      <c r="J337" t="s">
        <v>589</v>
      </c>
      <c r="K337" s="502">
        <v>8</v>
      </c>
      <c r="L337" t="s">
        <v>280</v>
      </c>
    </row>
    <row r="338" spans="1:12">
      <c r="A338" t="s">
        <v>3145</v>
      </c>
      <c r="B338" t="s">
        <v>3357</v>
      </c>
      <c r="C338" s="60" t="str">
        <f>C337</f>
        <v>E5396</v>
      </c>
      <c r="D338" t="s">
        <v>587</v>
      </c>
      <c r="E338" t="s">
        <v>588</v>
      </c>
      <c r="F338" t="s">
        <v>506</v>
      </c>
      <c r="G338" t="s">
        <v>507</v>
      </c>
      <c r="H338" t="s">
        <v>508</v>
      </c>
      <c r="I338" t="s">
        <v>509</v>
      </c>
      <c r="J338" t="s">
        <v>589</v>
      </c>
      <c r="K338" s="502">
        <v>8</v>
      </c>
      <c r="L338" t="s">
        <v>280</v>
      </c>
    </row>
    <row r="339" spans="1:12">
      <c r="A339" t="s">
        <v>3145</v>
      </c>
      <c r="B339" t="s">
        <v>3358</v>
      </c>
      <c r="C339" s="60" t="str">
        <f t="shared" ref="C339:C348" si="28">+C338</f>
        <v>E5396</v>
      </c>
      <c r="D339" t="s">
        <v>587</v>
      </c>
      <c r="E339" t="s">
        <v>588</v>
      </c>
      <c r="F339" t="s">
        <v>506</v>
      </c>
      <c r="G339" t="s">
        <v>507</v>
      </c>
      <c r="H339" t="s">
        <v>508</v>
      </c>
      <c r="I339" t="s">
        <v>509</v>
      </c>
      <c r="J339" t="s">
        <v>589</v>
      </c>
      <c r="K339" s="502">
        <v>8</v>
      </c>
      <c r="L339" t="s">
        <v>280</v>
      </c>
    </row>
    <row r="340" spans="1:12">
      <c r="A340" t="s">
        <v>3145</v>
      </c>
      <c r="B340" t="s">
        <v>3359</v>
      </c>
      <c r="C340" s="60" t="str">
        <f t="shared" si="28"/>
        <v>E5396</v>
      </c>
      <c r="D340" t="s">
        <v>587</v>
      </c>
      <c r="E340" t="s">
        <v>588</v>
      </c>
      <c r="F340" t="s">
        <v>506</v>
      </c>
      <c r="G340" t="s">
        <v>507</v>
      </c>
      <c r="H340" t="s">
        <v>508</v>
      </c>
      <c r="I340" t="s">
        <v>509</v>
      </c>
      <c r="J340" t="s">
        <v>589</v>
      </c>
      <c r="K340" s="502">
        <v>8</v>
      </c>
      <c r="L340" t="s">
        <v>280</v>
      </c>
    </row>
    <row r="341" spans="1:12">
      <c r="A341" t="s">
        <v>3145</v>
      </c>
      <c r="B341" t="s">
        <v>3360</v>
      </c>
      <c r="C341" s="60" t="str">
        <f t="shared" si="28"/>
        <v>E5396</v>
      </c>
      <c r="D341" t="s">
        <v>587</v>
      </c>
      <c r="E341" t="s">
        <v>588</v>
      </c>
      <c r="F341" t="s">
        <v>506</v>
      </c>
      <c r="G341" t="s">
        <v>507</v>
      </c>
      <c r="H341" t="s">
        <v>508</v>
      </c>
      <c r="I341" t="s">
        <v>509</v>
      </c>
      <c r="J341" t="s">
        <v>589</v>
      </c>
      <c r="K341" s="502">
        <v>8</v>
      </c>
      <c r="L341" t="s">
        <v>280</v>
      </c>
    </row>
    <row r="342" spans="1:12">
      <c r="A342" t="s">
        <v>3145</v>
      </c>
      <c r="B342" t="s">
        <v>3361</v>
      </c>
      <c r="C342" s="60" t="str">
        <f t="shared" si="28"/>
        <v>E5396</v>
      </c>
      <c r="D342" t="s">
        <v>587</v>
      </c>
      <c r="E342" t="s">
        <v>588</v>
      </c>
      <c r="F342" t="s">
        <v>506</v>
      </c>
      <c r="G342" t="s">
        <v>507</v>
      </c>
      <c r="H342" t="s">
        <v>508</v>
      </c>
      <c r="I342" t="s">
        <v>509</v>
      </c>
      <c r="J342" t="s">
        <v>589</v>
      </c>
      <c r="K342" s="502">
        <v>8</v>
      </c>
      <c r="L342" t="s">
        <v>280</v>
      </c>
    </row>
    <row r="343" spans="1:12">
      <c r="A343" t="s">
        <v>3145</v>
      </c>
      <c r="B343" t="s">
        <v>3362</v>
      </c>
      <c r="C343" s="60" t="str">
        <f t="shared" si="28"/>
        <v>E5396</v>
      </c>
      <c r="D343" t="s">
        <v>587</v>
      </c>
      <c r="E343" t="s">
        <v>588</v>
      </c>
      <c r="F343" t="s">
        <v>506</v>
      </c>
      <c r="G343" t="s">
        <v>507</v>
      </c>
      <c r="H343" t="s">
        <v>508</v>
      </c>
      <c r="I343" t="s">
        <v>509</v>
      </c>
      <c r="J343" t="s">
        <v>589</v>
      </c>
      <c r="K343" s="502">
        <v>8</v>
      </c>
      <c r="L343" t="s">
        <v>280</v>
      </c>
    </row>
    <row r="344" spans="1:12">
      <c r="A344" t="s">
        <v>3145</v>
      </c>
      <c r="B344" t="s">
        <v>3363</v>
      </c>
      <c r="C344" s="60" t="str">
        <f t="shared" si="28"/>
        <v>E5396</v>
      </c>
      <c r="D344" t="s">
        <v>587</v>
      </c>
      <c r="E344" t="s">
        <v>588</v>
      </c>
      <c r="F344" t="s">
        <v>506</v>
      </c>
      <c r="G344" t="s">
        <v>507</v>
      </c>
      <c r="H344" t="s">
        <v>508</v>
      </c>
      <c r="I344" t="s">
        <v>509</v>
      </c>
      <c r="J344" t="s">
        <v>589</v>
      </c>
      <c r="K344" s="502">
        <v>8</v>
      </c>
      <c r="L344" t="s">
        <v>280</v>
      </c>
    </row>
    <row r="345" spans="1:12">
      <c r="A345" t="s">
        <v>3145</v>
      </c>
      <c r="B345" t="s">
        <v>3364</v>
      </c>
      <c r="C345" s="60" t="str">
        <f t="shared" si="28"/>
        <v>E5396</v>
      </c>
      <c r="D345" t="s">
        <v>587</v>
      </c>
      <c r="E345" t="s">
        <v>588</v>
      </c>
      <c r="F345" t="s">
        <v>506</v>
      </c>
      <c r="G345" t="s">
        <v>507</v>
      </c>
      <c r="H345" t="s">
        <v>508</v>
      </c>
      <c r="I345" t="s">
        <v>509</v>
      </c>
      <c r="J345" t="s">
        <v>589</v>
      </c>
      <c r="K345" s="502">
        <v>8</v>
      </c>
      <c r="L345" t="s">
        <v>280</v>
      </c>
    </row>
    <row r="346" spans="1:12">
      <c r="A346" t="s">
        <v>3145</v>
      </c>
      <c r="B346" t="s">
        <v>3365</v>
      </c>
      <c r="C346" s="60" t="str">
        <f t="shared" si="28"/>
        <v>E5396</v>
      </c>
      <c r="D346" t="s">
        <v>587</v>
      </c>
      <c r="E346" t="s">
        <v>588</v>
      </c>
      <c r="F346" t="s">
        <v>506</v>
      </c>
      <c r="G346" t="s">
        <v>507</v>
      </c>
      <c r="H346" t="s">
        <v>508</v>
      </c>
      <c r="I346" t="s">
        <v>509</v>
      </c>
      <c r="J346" t="s">
        <v>589</v>
      </c>
      <c r="K346" s="502">
        <v>8</v>
      </c>
      <c r="L346" t="s">
        <v>280</v>
      </c>
    </row>
    <row r="347" spans="1:12">
      <c r="A347" t="s">
        <v>3145</v>
      </c>
      <c r="B347" t="s">
        <v>3366</v>
      </c>
      <c r="C347" s="60" t="str">
        <f t="shared" si="28"/>
        <v>E5396</v>
      </c>
      <c r="D347" t="s">
        <v>587</v>
      </c>
      <c r="E347" t="s">
        <v>588</v>
      </c>
      <c r="F347" t="s">
        <v>506</v>
      </c>
      <c r="G347" t="s">
        <v>507</v>
      </c>
      <c r="H347" t="s">
        <v>508</v>
      </c>
      <c r="I347" t="s">
        <v>509</v>
      </c>
      <c r="J347" t="s">
        <v>589</v>
      </c>
      <c r="K347" s="502">
        <v>8</v>
      </c>
      <c r="L347" t="s">
        <v>280</v>
      </c>
    </row>
    <row r="348" spans="1:12">
      <c r="A348" t="s">
        <v>3145</v>
      </c>
      <c r="B348" t="s">
        <v>3367</v>
      </c>
      <c r="C348" s="60" t="str">
        <f t="shared" si="28"/>
        <v>E5396</v>
      </c>
      <c r="D348" t="s">
        <v>587</v>
      </c>
      <c r="E348" t="s">
        <v>588</v>
      </c>
      <c r="F348" t="s">
        <v>506</v>
      </c>
      <c r="G348" t="s">
        <v>507</v>
      </c>
      <c r="H348" t="s">
        <v>508</v>
      </c>
      <c r="I348" t="s">
        <v>509</v>
      </c>
      <c r="J348" t="s">
        <v>589</v>
      </c>
      <c r="K348" s="502">
        <v>8</v>
      </c>
      <c r="L348" t="s">
        <v>280</v>
      </c>
    </row>
    <row r="349" spans="1:12">
      <c r="A349" t="s">
        <v>3145</v>
      </c>
      <c r="B349" t="s">
        <v>3356</v>
      </c>
      <c r="C349" s="3" t="str">
        <f>+'2-Préparation saisie LV PROD'!B34</f>
        <v>E5397</v>
      </c>
      <c r="D349" t="s">
        <v>587</v>
      </c>
      <c r="E349" t="s">
        <v>588</v>
      </c>
      <c r="F349" t="s">
        <v>506</v>
      </c>
      <c r="G349" t="s">
        <v>507</v>
      </c>
      <c r="H349" t="s">
        <v>508</v>
      </c>
      <c r="I349" t="s">
        <v>509</v>
      </c>
      <c r="J349" t="s">
        <v>589</v>
      </c>
      <c r="K349" s="502">
        <v>5</v>
      </c>
      <c r="L349" t="s">
        <v>305</v>
      </c>
    </row>
    <row r="350" spans="1:12">
      <c r="A350" t="s">
        <v>3145</v>
      </c>
      <c r="B350" t="s">
        <v>3357</v>
      </c>
      <c r="C350" s="60" t="str">
        <f>C349</f>
        <v>E5397</v>
      </c>
      <c r="D350" t="s">
        <v>587</v>
      </c>
      <c r="E350" t="s">
        <v>588</v>
      </c>
      <c r="F350" t="s">
        <v>506</v>
      </c>
      <c r="G350" t="s">
        <v>507</v>
      </c>
      <c r="H350" t="s">
        <v>508</v>
      </c>
      <c r="I350" t="s">
        <v>509</v>
      </c>
      <c r="J350" t="s">
        <v>589</v>
      </c>
      <c r="K350" s="502">
        <v>5</v>
      </c>
      <c r="L350" t="s">
        <v>305</v>
      </c>
    </row>
    <row r="351" spans="1:12">
      <c r="A351" t="s">
        <v>3145</v>
      </c>
      <c r="B351" t="s">
        <v>3358</v>
      </c>
      <c r="C351" s="60" t="str">
        <f t="shared" ref="C351:C360" si="29">+C350</f>
        <v>E5397</v>
      </c>
      <c r="D351" t="s">
        <v>587</v>
      </c>
      <c r="E351" t="s">
        <v>588</v>
      </c>
      <c r="F351" t="s">
        <v>506</v>
      </c>
      <c r="G351" t="s">
        <v>507</v>
      </c>
      <c r="H351" t="s">
        <v>508</v>
      </c>
      <c r="I351" t="s">
        <v>509</v>
      </c>
      <c r="J351" t="s">
        <v>589</v>
      </c>
      <c r="K351" s="502">
        <v>5</v>
      </c>
      <c r="L351" t="s">
        <v>305</v>
      </c>
    </row>
    <row r="352" spans="1:12">
      <c r="A352" t="s">
        <v>3145</v>
      </c>
      <c r="B352" t="s">
        <v>3359</v>
      </c>
      <c r="C352" s="60" t="str">
        <f t="shared" si="29"/>
        <v>E5397</v>
      </c>
      <c r="D352" t="s">
        <v>587</v>
      </c>
      <c r="E352" t="s">
        <v>588</v>
      </c>
      <c r="F352" t="s">
        <v>506</v>
      </c>
      <c r="G352" t="s">
        <v>507</v>
      </c>
      <c r="H352" t="s">
        <v>508</v>
      </c>
      <c r="I352" t="s">
        <v>509</v>
      </c>
      <c r="J352" t="s">
        <v>589</v>
      </c>
      <c r="K352" s="502">
        <v>5</v>
      </c>
      <c r="L352" t="s">
        <v>305</v>
      </c>
    </row>
    <row r="353" spans="1:12">
      <c r="A353" t="s">
        <v>3145</v>
      </c>
      <c r="B353" t="s">
        <v>3360</v>
      </c>
      <c r="C353" s="60" t="str">
        <f t="shared" si="29"/>
        <v>E5397</v>
      </c>
      <c r="D353" t="s">
        <v>587</v>
      </c>
      <c r="E353" t="s">
        <v>588</v>
      </c>
      <c r="F353" t="s">
        <v>506</v>
      </c>
      <c r="G353" t="s">
        <v>507</v>
      </c>
      <c r="H353" t="s">
        <v>508</v>
      </c>
      <c r="I353" t="s">
        <v>509</v>
      </c>
      <c r="J353" t="s">
        <v>589</v>
      </c>
      <c r="K353" s="502">
        <v>5</v>
      </c>
      <c r="L353" t="s">
        <v>305</v>
      </c>
    </row>
    <row r="354" spans="1:12">
      <c r="A354" t="s">
        <v>3145</v>
      </c>
      <c r="B354" t="s">
        <v>3361</v>
      </c>
      <c r="C354" s="60" t="str">
        <f t="shared" si="29"/>
        <v>E5397</v>
      </c>
      <c r="D354" t="s">
        <v>587</v>
      </c>
      <c r="E354" t="s">
        <v>588</v>
      </c>
      <c r="F354" t="s">
        <v>506</v>
      </c>
      <c r="G354" t="s">
        <v>507</v>
      </c>
      <c r="H354" t="s">
        <v>508</v>
      </c>
      <c r="I354" t="s">
        <v>509</v>
      </c>
      <c r="J354" t="s">
        <v>589</v>
      </c>
      <c r="K354" s="502">
        <v>5</v>
      </c>
      <c r="L354" t="s">
        <v>305</v>
      </c>
    </row>
    <row r="355" spans="1:12">
      <c r="A355" t="s">
        <v>3145</v>
      </c>
      <c r="B355" t="s">
        <v>3362</v>
      </c>
      <c r="C355" s="60" t="str">
        <f t="shared" si="29"/>
        <v>E5397</v>
      </c>
      <c r="D355" t="s">
        <v>587</v>
      </c>
      <c r="E355" t="s">
        <v>588</v>
      </c>
      <c r="F355" t="s">
        <v>506</v>
      </c>
      <c r="G355" t="s">
        <v>507</v>
      </c>
      <c r="H355" t="s">
        <v>508</v>
      </c>
      <c r="I355" t="s">
        <v>509</v>
      </c>
      <c r="J355" t="s">
        <v>589</v>
      </c>
      <c r="K355" s="502">
        <v>5</v>
      </c>
      <c r="L355" t="s">
        <v>305</v>
      </c>
    </row>
    <row r="356" spans="1:12">
      <c r="A356" t="s">
        <v>3145</v>
      </c>
      <c r="B356" t="s">
        <v>3363</v>
      </c>
      <c r="C356" s="60" t="str">
        <f t="shared" si="29"/>
        <v>E5397</v>
      </c>
      <c r="D356" t="s">
        <v>587</v>
      </c>
      <c r="E356" t="s">
        <v>588</v>
      </c>
      <c r="F356" t="s">
        <v>506</v>
      </c>
      <c r="G356" t="s">
        <v>507</v>
      </c>
      <c r="H356" t="s">
        <v>508</v>
      </c>
      <c r="I356" t="s">
        <v>509</v>
      </c>
      <c r="J356" t="s">
        <v>589</v>
      </c>
      <c r="K356" s="502">
        <v>5</v>
      </c>
      <c r="L356" t="s">
        <v>305</v>
      </c>
    </row>
    <row r="357" spans="1:12">
      <c r="A357" t="s">
        <v>3145</v>
      </c>
      <c r="B357" t="s">
        <v>3364</v>
      </c>
      <c r="C357" s="60" t="str">
        <f t="shared" si="29"/>
        <v>E5397</v>
      </c>
      <c r="D357" t="s">
        <v>587</v>
      </c>
      <c r="E357" t="s">
        <v>588</v>
      </c>
      <c r="F357" t="s">
        <v>506</v>
      </c>
      <c r="G357" t="s">
        <v>507</v>
      </c>
      <c r="H357" t="s">
        <v>508</v>
      </c>
      <c r="I357" t="s">
        <v>509</v>
      </c>
      <c r="J357" t="s">
        <v>589</v>
      </c>
      <c r="K357" s="502">
        <v>5</v>
      </c>
      <c r="L357" t="s">
        <v>305</v>
      </c>
    </row>
    <row r="358" spans="1:12">
      <c r="A358" t="s">
        <v>3145</v>
      </c>
      <c r="B358" t="s">
        <v>3365</v>
      </c>
      <c r="C358" s="60" t="str">
        <f t="shared" si="29"/>
        <v>E5397</v>
      </c>
      <c r="D358" t="s">
        <v>587</v>
      </c>
      <c r="E358" t="s">
        <v>588</v>
      </c>
      <c r="F358" t="s">
        <v>506</v>
      </c>
      <c r="G358" t="s">
        <v>507</v>
      </c>
      <c r="H358" t="s">
        <v>508</v>
      </c>
      <c r="I358" t="s">
        <v>509</v>
      </c>
      <c r="J358" t="s">
        <v>589</v>
      </c>
      <c r="K358" s="502">
        <v>5</v>
      </c>
      <c r="L358" t="s">
        <v>305</v>
      </c>
    </row>
    <row r="359" spans="1:12">
      <c r="A359" t="s">
        <v>3145</v>
      </c>
      <c r="B359" t="s">
        <v>3366</v>
      </c>
      <c r="C359" s="60" t="str">
        <f t="shared" si="29"/>
        <v>E5397</v>
      </c>
      <c r="D359" t="s">
        <v>587</v>
      </c>
      <c r="E359" t="s">
        <v>588</v>
      </c>
      <c r="F359" t="s">
        <v>506</v>
      </c>
      <c r="G359" t="s">
        <v>507</v>
      </c>
      <c r="H359" t="s">
        <v>508</v>
      </c>
      <c r="I359" t="s">
        <v>509</v>
      </c>
      <c r="J359" t="s">
        <v>589</v>
      </c>
      <c r="K359" s="502">
        <v>5</v>
      </c>
      <c r="L359" t="s">
        <v>305</v>
      </c>
    </row>
    <row r="360" spans="1:12">
      <c r="A360" t="s">
        <v>3145</v>
      </c>
      <c r="B360" t="s">
        <v>3367</v>
      </c>
      <c r="C360" s="60" t="str">
        <f t="shared" si="29"/>
        <v>E5397</v>
      </c>
      <c r="D360" t="s">
        <v>587</v>
      </c>
      <c r="E360" t="s">
        <v>588</v>
      </c>
      <c r="F360" t="s">
        <v>506</v>
      </c>
      <c r="G360" t="s">
        <v>507</v>
      </c>
      <c r="H360" t="s">
        <v>508</v>
      </c>
      <c r="I360" t="s">
        <v>509</v>
      </c>
      <c r="J360" t="s">
        <v>589</v>
      </c>
      <c r="K360" s="502">
        <v>5</v>
      </c>
      <c r="L360" t="s">
        <v>305</v>
      </c>
    </row>
    <row r="361" spans="1:12">
      <c r="A361" t="s">
        <v>3145</v>
      </c>
      <c r="B361" t="s">
        <v>3356</v>
      </c>
      <c r="C361" s="3" t="str">
        <f>+'2-Préparation saisie LV PROD'!B35</f>
        <v>E5398</v>
      </c>
      <c r="D361" t="s">
        <v>587</v>
      </c>
      <c r="E361" t="s">
        <v>588</v>
      </c>
      <c r="F361" t="s">
        <v>506</v>
      </c>
      <c r="G361" t="s">
        <v>507</v>
      </c>
      <c r="H361" t="s">
        <v>508</v>
      </c>
      <c r="I361" t="s">
        <v>509</v>
      </c>
      <c r="J361" t="s">
        <v>589</v>
      </c>
      <c r="K361" s="502">
        <v>9</v>
      </c>
      <c r="L361" t="s">
        <v>3420</v>
      </c>
    </row>
    <row r="362" spans="1:12">
      <c r="A362" t="s">
        <v>3145</v>
      </c>
      <c r="B362" t="s">
        <v>3357</v>
      </c>
      <c r="C362" s="60" t="str">
        <f>C361</f>
        <v>E5398</v>
      </c>
      <c r="D362" t="s">
        <v>587</v>
      </c>
      <c r="E362" t="s">
        <v>588</v>
      </c>
      <c r="F362" t="s">
        <v>506</v>
      </c>
      <c r="G362" t="s">
        <v>507</v>
      </c>
      <c r="H362" t="s">
        <v>508</v>
      </c>
      <c r="I362" t="s">
        <v>509</v>
      </c>
      <c r="J362" t="s">
        <v>589</v>
      </c>
      <c r="K362" s="502">
        <v>9</v>
      </c>
      <c r="L362" t="s">
        <v>3420</v>
      </c>
    </row>
    <row r="363" spans="1:12">
      <c r="A363" t="s">
        <v>3145</v>
      </c>
      <c r="B363" t="s">
        <v>3358</v>
      </c>
      <c r="C363" s="60" t="str">
        <f t="shared" ref="C363:C372" si="30">+C362</f>
        <v>E5398</v>
      </c>
      <c r="D363" t="s">
        <v>587</v>
      </c>
      <c r="E363" t="s">
        <v>588</v>
      </c>
      <c r="F363" t="s">
        <v>506</v>
      </c>
      <c r="G363" t="s">
        <v>507</v>
      </c>
      <c r="H363" t="s">
        <v>508</v>
      </c>
      <c r="I363" t="s">
        <v>509</v>
      </c>
      <c r="J363" t="s">
        <v>589</v>
      </c>
      <c r="K363" s="502">
        <v>9</v>
      </c>
      <c r="L363" t="s">
        <v>3420</v>
      </c>
    </row>
    <row r="364" spans="1:12">
      <c r="A364" t="s">
        <v>3145</v>
      </c>
      <c r="B364" t="s">
        <v>3359</v>
      </c>
      <c r="C364" s="60" t="str">
        <f t="shared" si="30"/>
        <v>E5398</v>
      </c>
      <c r="D364" t="s">
        <v>587</v>
      </c>
      <c r="E364" t="s">
        <v>588</v>
      </c>
      <c r="F364" t="s">
        <v>506</v>
      </c>
      <c r="G364" t="s">
        <v>507</v>
      </c>
      <c r="H364" t="s">
        <v>508</v>
      </c>
      <c r="I364" t="s">
        <v>509</v>
      </c>
      <c r="J364" t="s">
        <v>589</v>
      </c>
      <c r="K364" s="502">
        <v>9</v>
      </c>
      <c r="L364" t="s">
        <v>3420</v>
      </c>
    </row>
    <row r="365" spans="1:12">
      <c r="A365" t="s">
        <v>3145</v>
      </c>
      <c r="B365" t="s">
        <v>3360</v>
      </c>
      <c r="C365" s="60" t="str">
        <f t="shared" si="30"/>
        <v>E5398</v>
      </c>
      <c r="D365" t="s">
        <v>587</v>
      </c>
      <c r="E365" t="s">
        <v>588</v>
      </c>
      <c r="F365" t="s">
        <v>506</v>
      </c>
      <c r="G365" t="s">
        <v>507</v>
      </c>
      <c r="H365" t="s">
        <v>508</v>
      </c>
      <c r="I365" t="s">
        <v>509</v>
      </c>
      <c r="J365" t="s">
        <v>589</v>
      </c>
      <c r="K365" s="502">
        <v>9</v>
      </c>
      <c r="L365" t="s">
        <v>3420</v>
      </c>
    </row>
    <row r="366" spans="1:12">
      <c r="A366" t="s">
        <v>3145</v>
      </c>
      <c r="B366" t="s">
        <v>3361</v>
      </c>
      <c r="C366" s="60" t="str">
        <f t="shared" si="30"/>
        <v>E5398</v>
      </c>
      <c r="D366" t="s">
        <v>587</v>
      </c>
      <c r="E366" t="s">
        <v>588</v>
      </c>
      <c r="F366" t="s">
        <v>506</v>
      </c>
      <c r="G366" t="s">
        <v>507</v>
      </c>
      <c r="H366" t="s">
        <v>508</v>
      </c>
      <c r="I366" t="s">
        <v>509</v>
      </c>
      <c r="J366" t="s">
        <v>589</v>
      </c>
      <c r="K366" s="502">
        <v>9</v>
      </c>
      <c r="L366" t="s">
        <v>3420</v>
      </c>
    </row>
    <row r="367" spans="1:12">
      <c r="A367" t="s">
        <v>3145</v>
      </c>
      <c r="B367" t="s">
        <v>3362</v>
      </c>
      <c r="C367" s="60" t="str">
        <f t="shared" si="30"/>
        <v>E5398</v>
      </c>
      <c r="D367" t="s">
        <v>587</v>
      </c>
      <c r="E367" t="s">
        <v>588</v>
      </c>
      <c r="F367" t="s">
        <v>506</v>
      </c>
      <c r="G367" t="s">
        <v>507</v>
      </c>
      <c r="H367" t="s">
        <v>508</v>
      </c>
      <c r="I367" t="s">
        <v>509</v>
      </c>
      <c r="J367" t="s">
        <v>589</v>
      </c>
      <c r="K367" s="502">
        <v>9</v>
      </c>
      <c r="L367" t="s">
        <v>3420</v>
      </c>
    </row>
    <row r="368" spans="1:12">
      <c r="A368" t="s">
        <v>3145</v>
      </c>
      <c r="B368" t="s">
        <v>3363</v>
      </c>
      <c r="C368" s="60" t="str">
        <f t="shared" si="30"/>
        <v>E5398</v>
      </c>
      <c r="D368" t="s">
        <v>587</v>
      </c>
      <c r="E368" t="s">
        <v>588</v>
      </c>
      <c r="F368" t="s">
        <v>506</v>
      </c>
      <c r="G368" t="s">
        <v>507</v>
      </c>
      <c r="H368" t="s">
        <v>508</v>
      </c>
      <c r="I368" t="s">
        <v>509</v>
      </c>
      <c r="J368" t="s">
        <v>589</v>
      </c>
      <c r="K368" s="502">
        <v>9</v>
      </c>
      <c r="L368" t="s">
        <v>3420</v>
      </c>
    </row>
    <row r="369" spans="1:12">
      <c r="A369" t="s">
        <v>3145</v>
      </c>
      <c r="B369" t="s">
        <v>3364</v>
      </c>
      <c r="C369" s="60" t="str">
        <f t="shared" si="30"/>
        <v>E5398</v>
      </c>
      <c r="D369" t="s">
        <v>587</v>
      </c>
      <c r="E369" t="s">
        <v>588</v>
      </c>
      <c r="F369" t="s">
        <v>506</v>
      </c>
      <c r="G369" t="s">
        <v>507</v>
      </c>
      <c r="H369" t="s">
        <v>508</v>
      </c>
      <c r="I369" t="s">
        <v>509</v>
      </c>
      <c r="J369" t="s">
        <v>589</v>
      </c>
      <c r="K369" s="502">
        <v>9</v>
      </c>
      <c r="L369" t="s">
        <v>3420</v>
      </c>
    </row>
    <row r="370" spans="1:12">
      <c r="A370" t="s">
        <v>3145</v>
      </c>
      <c r="B370" t="s">
        <v>3365</v>
      </c>
      <c r="C370" s="60" t="str">
        <f t="shared" si="30"/>
        <v>E5398</v>
      </c>
      <c r="D370" t="s">
        <v>587</v>
      </c>
      <c r="E370" t="s">
        <v>588</v>
      </c>
      <c r="F370" t="s">
        <v>506</v>
      </c>
      <c r="G370" t="s">
        <v>507</v>
      </c>
      <c r="H370" t="s">
        <v>508</v>
      </c>
      <c r="I370" t="s">
        <v>509</v>
      </c>
      <c r="J370" t="s">
        <v>589</v>
      </c>
      <c r="K370" s="502">
        <v>9</v>
      </c>
      <c r="L370" t="s">
        <v>3420</v>
      </c>
    </row>
    <row r="371" spans="1:12">
      <c r="A371" t="s">
        <v>3145</v>
      </c>
      <c r="B371" t="s">
        <v>3366</v>
      </c>
      <c r="C371" s="60" t="str">
        <f t="shared" si="30"/>
        <v>E5398</v>
      </c>
      <c r="D371" t="s">
        <v>587</v>
      </c>
      <c r="E371" t="s">
        <v>588</v>
      </c>
      <c r="F371" t="s">
        <v>506</v>
      </c>
      <c r="G371" t="s">
        <v>507</v>
      </c>
      <c r="H371" t="s">
        <v>508</v>
      </c>
      <c r="I371" t="s">
        <v>509</v>
      </c>
      <c r="J371" t="s">
        <v>589</v>
      </c>
      <c r="K371" s="502">
        <v>9</v>
      </c>
      <c r="L371" t="s">
        <v>3420</v>
      </c>
    </row>
    <row r="372" spans="1:12">
      <c r="A372" t="s">
        <v>3145</v>
      </c>
      <c r="B372" t="s">
        <v>3367</v>
      </c>
      <c r="C372" s="60" t="str">
        <f t="shared" si="30"/>
        <v>E5398</v>
      </c>
      <c r="D372" t="s">
        <v>587</v>
      </c>
      <c r="E372" t="s">
        <v>588</v>
      </c>
      <c r="F372" t="s">
        <v>506</v>
      </c>
      <c r="G372" t="s">
        <v>507</v>
      </c>
      <c r="H372" t="s">
        <v>508</v>
      </c>
      <c r="I372" t="s">
        <v>509</v>
      </c>
      <c r="J372" t="s">
        <v>589</v>
      </c>
      <c r="K372" s="502">
        <v>9</v>
      </c>
      <c r="L372" t="s">
        <v>3420</v>
      </c>
    </row>
    <row r="373" spans="1:12">
      <c r="A373" t="s">
        <v>3145</v>
      </c>
      <c r="B373" t="s">
        <v>3356</v>
      </c>
      <c r="C373" s="3" t="str">
        <f>+'2-Préparation saisie LV PROD'!B36</f>
        <v>E5399</v>
      </c>
      <c r="D373" t="s">
        <v>587</v>
      </c>
      <c r="E373" t="s">
        <v>588</v>
      </c>
      <c r="F373" t="s">
        <v>506</v>
      </c>
      <c r="G373" t="s">
        <v>507</v>
      </c>
      <c r="H373" t="s">
        <v>508</v>
      </c>
      <c r="I373" t="s">
        <v>509</v>
      </c>
      <c r="J373" t="s">
        <v>589</v>
      </c>
      <c r="K373" s="502">
        <v>18</v>
      </c>
      <c r="L373" t="s">
        <v>3421</v>
      </c>
    </row>
    <row r="374" spans="1:12">
      <c r="A374" t="s">
        <v>3145</v>
      </c>
      <c r="B374" t="s">
        <v>3357</v>
      </c>
      <c r="C374" s="60" t="str">
        <f>C373</f>
        <v>E5399</v>
      </c>
      <c r="D374" t="s">
        <v>587</v>
      </c>
      <c r="E374" t="s">
        <v>588</v>
      </c>
      <c r="F374" t="s">
        <v>506</v>
      </c>
      <c r="G374" t="s">
        <v>507</v>
      </c>
      <c r="H374" t="s">
        <v>508</v>
      </c>
      <c r="I374" t="s">
        <v>509</v>
      </c>
      <c r="J374" t="s">
        <v>589</v>
      </c>
      <c r="K374" s="502">
        <v>18</v>
      </c>
      <c r="L374" t="s">
        <v>3421</v>
      </c>
    </row>
    <row r="375" spans="1:12">
      <c r="A375" t="s">
        <v>3145</v>
      </c>
      <c r="B375" t="s">
        <v>3358</v>
      </c>
      <c r="C375" s="60" t="str">
        <f t="shared" ref="C375:C384" si="31">+C374</f>
        <v>E5399</v>
      </c>
      <c r="D375" t="s">
        <v>587</v>
      </c>
      <c r="E375" t="s">
        <v>588</v>
      </c>
      <c r="F375" t="s">
        <v>506</v>
      </c>
      <c r="G375" t="s">
        <v>507</v>
      </c>
      <c r="H375" t="s">
        <v>508</v>
      </c>
      <c r="I375" t="s">
        <v>509</v>
      </c>
      <c r="J375" t="s">
        <v>589</v>
      </c>
      <c r="K375" s="502">
        <v>18</v>
      </c>
      <c r="L375" t="s">
        <v>3421</v>
      </c>
    </row>
    <row r="376" spans="1:12">
      <c r="A376" t="s">
        <v>3145</v>
      </c>
      <c r="B376" t="s">
        <v>3359</v>
      </c>
      <c r="C376" s="60" t="str">
        <f t="shared" si="31"/>
        <v>E5399</v>
      </c>
      <c r="D376" t="s">
        <v>587</v>
      </c>
      <c r="E376" t="s">
        <v>588</v>
      </c>
      <c r="F376" t="s">
        <v>506</v>
      </c>
      <c r="G376" t="s">
        <v>507</v>
      </c>
      <c r="H376" t="s">
        <v>508</v>
      </c>
      <c r="I376" t="s">
        <v>509</v>
      </c>
      <c r="J376" t="s">
        <v>589</v>
      </c>
      <c r="K376" s="502">
        <v>18</v>
      </c>
      <c r="L376" t="s">
        <v>3421</v>
      </c>
    </row>
    <row r="377" spans="1:12">
      <c r="A377" t="s">
        <v>3145</v>
      </c>
      <c r="B377" t="s">
        <v>3360</v>
      </c>
      <c r="C377" s="60" t="str">
        <f t="shared" si="31"/>
        <v>E5399</v>
      </c>
      <c r="D377" t="s">
        <v>587</v>
      </c>
      <c r="E377" t="s">
        <v>588</v>
      </c>
      <c r="F377" t="s">
        <v>506</v>
      </c>
      <c r="G377" t="s">
        <v>507</v>
      </c>
      <c r="H377" t="s">
        <v>508</v>
      </c>
      <c r="I377" t="s">
        <v>509</v>
      </c>
      <c r="J377" t="s">
        <v>589</v>
      </c>
      <c r="K377" s="502">
        <v>18</v>
      </c>
      <c r="L377" t="s">
        <v>3421</v>
      </c>
    </row>
    <row r="378" spans="1:12">
      <c r="A378" t="s">
        <v>3145</v>
      </c>
      <c r="B378" t="s">
        <v>3361</v>
      </c>
      <c r="C378" s="60" t="str">
        <f t="shared" si="31"/>
        <v>E5399</v>
      </c>
      <c r="D378" t="s">
        <v>587</v>
      </c>
      <c r="E378" t="s">
        <v>588</v>
      </c>
      <c r="F378" t="s">
        <v>506</v>
      </c>
      <c r="G378" t="s">
        <v>507</v>
      </c>
      <c r="H378" t="s">
        <v>508</v>
      </c>
      <c r="I378" t="s">
        <v>509</v>
      </c>
      <c r="J378" t="s">
        <v>589</v>
      </c>
      <c r="K378" s="502">
        <v>18</v>
      </c>
      <c r="L378" t="s">
        <v>3421</v>
      </c>
    </row>
    <row r="379" spans="1:12">
      <c r="A379" t="s">
        <v>3145</v>
      </c>
      <c r="B379" t="s">
        <v>3362</v>
      </c>
      <c r="C379" s="60" t="str">
        <f t="shared" si="31"/>
        <v>E5399</v>
      </c>
      <c r="D379" t="s">
        <v>587</v>
      </c>
      <c r="E379" t="s">
        <v>588</v>
      </c>
      <c r="F379" t="s">
        <v>506</v>
      </c>
      <c r="G379" t="s">
        <v>507</v>
      </c>
      <c r="H379" t="s">
        <v>508</v>
      </c>
      <c r="I379" t="s">
        <v>509</v>
      </c>
      <c r="J379" t="s">
        <v>589</v>
      </c>
      <c r="K379" s="502">
        <v>18</v>
      </c>
      <c r="L379" t="s">
        <v>3421</v>
      </c>
    </row>
    <row r="380" spans="1:12">
      <c r="A380" t="s">
        <v>3145</v>
      </c>
      <c r="B380" t="s">
        <v>3363</v>
      </c>
      <c r="C380" s="60" t="str">
        <f t="shared" si="31"/>
        <v>E5399</v>
      </c>
      <c r="D380" t="s">
        <v>587</v>
      </c>
      <c r="E380" t="s">
        <v>588</v>
      </c>
      <c r="F380" t="s">
        <v>506</v>
      </c>
      <c r="G380" t="s">
        <v>507</v>
      </c>
      <c r="H380" t="s">
        <v>508</v>
      </c>
      <c r="I380" t="s">
        <v>509</v>
      </c>
      <c r="J380" t="s">
        <v>589</v>
      </c>
      <c r="K380" s="502">
        <v>18</v>
      </c>
      <c r="L380" t="s">
        <v>3421</v>
      </c>
    </row>
    <row r="381" spans="1:12">
      <c r="A381" t="s">
        <v>3145</v>
      </c>
      <c r="B381" t="s">
        <v>3364</v>
      </c>
      <c r="C381" s="60" t="str">
        <f t="shared" si="31"/>
        <v>E5399</v>
      </c>
      <c r="D381" t="s">
        <v>587</v>
      </c>
      <c r="E381" t="s">
        <v>588</v>
      </c>
      <c r="F381" t="s">
        <v>506</v>
      </c>
      <c r="G381" t="s">
        <v>507</v>
      </c>
      <c r="H381" t="s">
        <v>508</v>
      </c>
      <c r="I381" t="s">
        <v>509</v>
      </c>
      <c r="J381" t="s">
        <v>589</v>
      </c>
      <c r="K381" s="502">
        <v>18</v>
      </c>
      <c r="L381" t="s">
        <v>3421</v>
      </c>
    </row>
    <row r="382" spans="1:12">
      <c r="A382" t="s">
        <v>3145</v>
      </c>
      <c r="B382" t="s">
        <v>3365</v>
      </c>
      <c r="C382" s="60" t="str">
        <f t="shared" si="31"/>
        <v>E5399</v>
      </c>
      <c r="D382" t="s">
        <v>587</v>
      </c>
      <c r="E382" t="s">
        <v>588</v>
      </c>
      <c r="F382" t="s">
        <v>506</v>
      </c>
      <c r="G382" t="s">
        <v>507</v>
      </c>
      <c r="H382" t="s">
        <v>508</v>
      </c>
      <c r="I382" t="s">
        <v>509</v>
      </c>
      <c r="J382" t="s">
        <v>589</v>
      </c>
      <c r="K382" s="502">
        <v>18</v>
      </c>
      <c r="L382" t="s">
        <v>3421</v>
      </c>
    </row>
    <row r="383" spans="1:12">
      <c r="A383" t="s">
        <v>3145</v>
      </c>
      <c r="B383" t="s">
        <v>3366</v>
      </c>
      <c r="C383" s="60" t="str">
        <f t="shared" si="31"/>
        <v>E5399</v>
      </c>
      <c r="D383" t="s">
        <v>587</v>
      </c>
      <c r="E383" t="s">
        <v>588</v>
      </c>
      <c r="F383" t="s">
        <v>506</v>
      </c>
      <c r="G383" t="s">
        <v>507</v>
      </c>
      <c r="H383" t="s">
        <v>508</v>
      </c>
      <c r="I383" t="s">
        <v>509</v>
      </c>
      <c r="J383" t="s">
        <v>589</v>
      </c>
      <c r="K383" s="502">
        <v>18</v>
      </c>
      <c r="L383" t="s">
        <v>3421</v>
      </c>
    </row>
    <row r="384" spans="1:12">
      <c r="A384" t="s">
        <v>3145</v>
      </c>
      <c r="B384" t="s">
        <v>3367</v>
      </c>
      <c r="C384" s="60" t="str">
        <f t="shared" si="31"/>
        <v>E5399</v>
      </c>
      <c r="D384" t="s">
        <v>587</v>
      </c>
      <c r="E384" t="s">
        <v>588</v>
      </c>
      <c r="F384" t="s">
        <v>506</v>
      </c>
      <c r="G384" t="s">
        <v>507</v>
      </c>
      <c r="H384" t="s">
        <v>508</v>
      </c>
      <c r="I384" t="s">
        <v>509</v>
      </c>
      <c r="J384" t="s">
        <v>589</v>
      </c>
      <c r="K384" s="502">
        <v>18</v>
      </c>
      <c r="L384" t="s">
        <v>3421</v>
      </c>
    </row>
    <row r="385" spans="1:12">
      <c r="A385" t="s">
        <v>3145</v>
      </c>
      <c r="B385" t="s">
        <v>3356</v>
      </c>
      <c r="C385" s="3" t="str">
        <f>+'2-Préparation saisie LV PROD'!B37</f>
        <v>E5400</v>
      </c>
      <c r="D385" t="s">
        <v>587</v>
      </c>
      <c r="E385" t="s">
        <v>588</v>
      </c>
      <c r="F385" t="s">
        <v>506</v>
      </c>
      <c r="G385" t="s">
        <v>507</v>
      </c>
      <c r="H385" t="s">
        <v>508</v>
      </c>
      <c r="I385" t="s">
        <v>509</v>
      </c>
      <c r="J385" t="s">
        <v>589</v>
      </c>
      <c r="K385" s="502">
        <v>9</v>
      </c>
      <c r="L385" t="s">
        <v>3422</v>
      </c>
    </row>
    <row r="386" spans="1:12">
      <c r="A386" t="s">
        <v>3145</v>
      </c>
      <c r="B386" t="s">
        <v>3357</v>
      </c>
      <c r="C386" s="60" t="str">
        <f>C385</f>
        <v>E5400</v>
      </c>
      <c r="D386" t="s">
        <v>587</v>
      </c>
      <c r="E386" t="s">
        <v>588</v>
      </c>
      <c r="F386" t="s">
        <v>506</v>
      </c>
      <c r="G386" t="s">
        <v>507</v>
      </c>
      <c r="H386" t="s">
        <v>508</v>
      </c>
      <c r="I386" t="s">
        <v>509</v>
      </c>
      <c r="J386" t="s">
        <v>589</v>
      </c>
      <c r="K386" s="502">
        <v>9</v>
      </c>
      <c r="L386" t="s">
        <v>3422</v>
      </c>
    </row>
    <row r="387" spans="1:12">
      <c r="A387" t="s">
        <v>3145</v>
      </c>
      <c r="B387" t="s">
        <v>3358</v>
      </c>
      <c r="C387" s="60" t="str">
        <f t="shared" ref="C387:C396" si="32">+C386</f>
        <v>E5400</v>
      </c>
      <c r="D387" t="s">
        <v>587</v>
      </c>
      <c r="E387" t="s">
        <v>588</v>
      </c>
      <c r="F387" t="s">
        <v>506</v>
      </c>
      <c r="G387" t="s">
        <v>507</v>
      </c>
      <c r="H387" t="s">
        <v>508</v>
      </c>
      <c r="I387" t="s">
        <v>509</v>
      </c>
      <c r="J387" t="s">
        <v>589</v>
      </c>
      <c r="K387" s="502">
        <v>9</v>
      </c>
      <c r="L387" t="s">
        <v>3422</v>
      </c>
    </row>
    <row r="388" spans="1:12">
      <c r="A388" t="s">
        <v>3145</v>
      </c>
      <c r="B388" t="s">
        <v>3359</v>
      </c>
      <c r="C388" s="60" t="str">
        <f t="shared" si="32"/>
        <v>E5400</v>
      </c>
      <c r="D388" t="s">
        <v>587</v>
      </c>
      <c r="E388" t="s">
        <v>588</v>
      </c>
      <c r="F388" t="s">
        <v>506</v>
      </c>
      <c r="G388" t="s">
        <v>507</v>
      </c>
      <c r="H388" t="s">
        <v>508</v>
      </c>
      <c r="I388" t="s">
        <v>509</v>
      </c>
      <c r="J388" t="s">
        <v>589</v>
      </c>
      <c r="K388" s="502">
        <v>9</v>
      </c>
      <c r="L388" t="s">
        <v>3422</v>
      </c>
    </row>
    <row r="389" spans="1:12">
      <c r="A389" t="s">
        <v>3145</v>
      </c>
      <c r="B389" t="s">
        <v>3360</v>
      </c>
      <c r="C389" s="60" t="str">
        <f t="shared" si="32"/>
        <v>E5400</v>
      </c>
      <c r="D389" t="s">
        <v>587</v>
      </c>
      <c r="E389" t="s">
        <v>588</v>
      </c>
      <c r="F389" t="s">
        <v>506</v>
      </c>
      <c r="G389" t="s">
        <v>507</v>
      </c>
      <c r="H389" t="s">
        <v>508</v>
      </c>
      <c r="I389" t="s">
        <v>509</v>
      </c>
      <c r="J389" t="s">
        <v>589</v>
      </c>
      <c r="K389" s="502">
        <v>9</v>
      </c>
      <c r="L389" t="s">
        <v>3422</v>
      </c>
    </row>
    <row r="390" spans="1:12">
      <c r="A390" t="s">
        <v>3145</v>
      </c>
      <c r="B390" t="s">
        <v>3361</v>
      </c>
      <c r="C390" s="60" t="str">
        <f t="shared" si="32"/>
        <v>E5400</v>
      </c>
      <c r="D390" t="s">
        <v>587</v>
      </c>
      <c r="E390" t="s">
        <v>588</v>
      </c>
      <c r="F390" t="s">
        <v>506</v>
      </c>
      <c r="G390" t="s">
        <v>507</v>
      </c>
      <c r="H390" t="s">
        <v>508</v>
      </c>
      <c r="I390" t="s">
        <v>509</v>
      </c>
      <c r="J390" t="s">
        <v>589</v>
      </c>
      <c r="K390" s="502">
        <v>9</v>
      </c>
      <c r="L390" t="s">
        <v>3422</v>
      </c>
    </row>
    <row r="391" spans="1:12">
      <c r="A391" t="s">
        <v>3145</v>
      </c>
      <c r="B391" t="s">
        <v>3362</v>
      </c>
      <c r="C391" s="60" t="str">
        <f t="shared" si="32"/>
        <v>E5400</v>
      </c>
      <c r="D391" t="s">
        <v>587</v>
      </c>
      <c r="E391" t="s">
        <v>588</v>
      </c>
      <c r="F391" t="s">
        <v>506</v>
      </c>
      <c r="G391" t="s">
        <v>507</v>
      </c>
      <c r="H391" t="s">
        <v>508</v>
      </c>
      <c r="I391" t="s">
        <v>509</v>
      </c>
      <c r="J391" t="s">
        <v>589</v>
      </c>
      <c r="K391" s="502">
        <v>9</v>
      </c>
      <c r="L391" t="s">
        <v>3422</v>
      </c>
    </row>
    <row r="392" spans="1:12">
      <c r="A392" t="s">
        <v>3145</v>
      </c>
      <c r="B392" t="s">
        <v>3363</v>
      </c>
      <c r="C392" s="60" t="str">
        <f t="shared" si="32"/>
        <v>E5400</v>
      </c>
      <c r="D392" t="s">
        <v>587</v>
      </c>
      <c r="E392" t="s">
        <v>588</v>
      </c>
      <c r="F392" t="s">
        <v>506</v>
      </c>
      <c r="G392" t="s">
        <v>507</v>
      </c>
      <c r="H392" t="s">
        <v>508</v>
      </c>
      <c r="I392" t="s">
        <v>509</v>
      </c>
      <c r="J392" t="s">
        <v>589</v>
      </c>
      <c r="K392" s="502">
        <v>9</v>
      </c>
      <c r="L392" t="s">
        <v>3422</v>
      </c>
    </row>
    <row r="393" spans="1:12">
      <c r="A393" t="s">
        <v>3145</v>
      </c>
      <c r="B393" t="s">
        <v>3364</v>
      </c>
      <c r="C393" s="60" t="str">
        <f t="shared" si="32"/>
        <v>E5400</v>
      </c>
      <c r="D393" t="s">
        <v>587</v>
      </c>
      <c r="E393" t="s">
        <v>588</v>
      </c>
      <c r="F393" t="s">
        <v>506</v>
      </c>
      <c r="G393" t="s">
        <v>507</v>
      </c>
      <c r="H393" t="s">
        <v>508</v>
      </c>
      <c r="I393" t="s">
        <v>509</v>
      </c>
      <c r="J393" t="s">
        <v>589</v>
      </c>
      <c r="K393" s="502">
        <v>9</v>
      </c>
      <c r="L393" t="s">
        <v>3422</v>
      </c>
    </row>
    <row r="394" spans="1:12">
      <c r="A394" t="s">
        <v>3145</v>
      </c>
      <c r="B394" t="s">
        <v>3365</v>
      </c>
      <c r="C394" s="60" t="str">
        <f t="shared" si="32"/>
        <v>E5400</v>
      </c>
      <c r="D394" t="s">
        <v>587</v>
      </c>
      <c r="E394" t="s">
        <v>588</v>
      </c>
      <c r="F394" t="s">
        <v>506</v>
      </c>
      <c r="G394" t="s">
        <v>507</v>
      </c>
      <c r="H394" t="s">
        <v>508</v>
      </c>
      <c r="I394" t="s">
        <v>509</v>
      </c>
      <c r="J394" t="s">
        <v>589</v>
      </c>
      <c r="K394" s="502">
        <v>9</v>
      </c>
      <c r="L394" t="s">
        <v>3422</v>
      </c>
    </row>
    <row r="395" spans="1:12">
      <c r="A395" t="s">
        <v>3145</v>
      </c>
      <c r="B395" t="s">
        <v>3366</v>
      </c>
      <c r="C395" s="60" t="str">
        <f t="shared" si="32"/>
        <v>E5400</v>
      </c>
      <c r="D395" t="s">
        <v>587</v>
      </c>
      <c r="E395" t="s">
        <v>588</v>
      </c>
      <c r="F395" t="s">
        <v>506</v>
      </c>
      <c r="G395" t="s">
        <v>507</v>
      </c>
      <c r="H395" t="s">
        <v>508</v>
      </c>
      <c r="I395" t="s">
        <v>509</v>
      </c>
      <c r="J395" t="s">
        <v>589</v>
      </c>
      <c r="K395" s="502">
        <v>9</v>
      </c>
      <c r="L395" t="s">
        <v>3422</v>
      </c>
    </row>
    <row r="396" spans="1:12">
      <c r="A396" t="s">
        <v>3145</v>
      </c>
      <c r="B396" t="s">
        <v>3367</v>
      </c>
      <c r="C396" s="60" t="str">
        <f t="shared" si="32"/>
        <v>E5400</v>
      </c>
      <c r="D396" t="s">
        <v>587</v>
      </c>
      <c r="E396" t="s">
        <v>588</v>
      </c>
      <c r="F396" t="s">
        <v>506</v>
      </c>
      <c r="G396" t="s">
        <v>507</v>
      </c>
      <c r="H396" t="s">
        <v>508</v>
      </c>
      <c r="I396" t="s">
        <v>509</v>
      </c>
      <c r="J396" t="s">
        <v>589</v>
      </c>
      <c r="K396" s="502">
        <v>9</v>
      </c>
      <c r="L396" t="s">
        <v>3422</v>
      </c>
    </row>
    <row r="397" spans="1:12">
      <c r="A397" t="s">
        <v>3145</v>
      </c>
      <c r="B397" t="s">
        <v>3356</v>
      </c>
      <c r="C397" s="3" t="str">
        <f>+'2-Préparation saisie LV PROD'!B38</f>
        <v>E5401</v>
      </c>
      <c r="D397" t="s">
        <v>587</v>
      </c>
      <c r="E397" t="s">
        <v>588</v>
      </c>
      <c r="F397" t="s">
        <v>506</v>
      </c>
      <c r="G397" t="s">
        <v>507</v>
      </c>
      <c r="H397" t="s">
        <v>508</v>
      </c>
      <c r="I397" t="s">
        <v>509</v>
      </c>
      <c r="J397" t="s">
        <v>589</v>
      </c>
      <c r="K397" s="502">
        <v>4</v>
      </c>
      <c r="L397" t="s">
        <v>306</v>
      </c>
    </row>
    <row r="398" spans="1:12">
      <c r="A398" t="s">
        <v>3145</v>
      </c>
      <c r="B398" t="s">
        <v>3357</v>
      </c>
      <c r="C398" s="60" t="str">
        <f>C397</f>
        <v>E5401</v>
      </c>
      <c r="D398" t="s">
        <v>587</v>
      </c>
      <c r="E398" t="s">
        <v>588</v>
      </c>
      <c r="F398" t="s">
        <v>506</v>
      </c>
      <c r="G398" t="s">
        <v>507</v>
      </c>
      <c r="H398" t="s">
        <v>508</v>
      </c>
      <c r="I398" t="s">
        <v>509</v>
      </c>
      <c r="J398" t="s">
        <v>589</v>
      </c>
      <c r="K398" s="502">
        <v>4</v>
      </c>
      <c r="L398" t="s">
        <v>306</v>
      </c>
    </row>
    <row r="399" spans="1:12">
      <c r="A399" t="s">
        <v>3145</v>
      </c>
      <c r="B399" t="s">
        <v>3358</v>
      </c>
      <c r="C399" s="60" t="str">
        <f t="shared" ref="C399:C408" si="33">+C398</f>
        <v>E5401</v>
      </c>
      <c r="D399" t="s">
        <v>587</v>
      </c>
      <c r="E399" t="s">
        <v>588</v>
      </c>
      <c r="F399" t="s">
        <v>506</v>
      </c>
      <c r="G399" t="s">
        <v>507</v>
      </c>
      <c r="H399" t="s">
        <v>508</v>
      </c>
      <c r="I399" t="s">
        <v>509</v>
      </c>
      <c r="J399" t="s">
        <v>589</v>
      </c>
      <c r="K399" s="502">
        <v>4</v>
      </c>
      <c r="L399" t="s">
        <v>306</v>
      </c>
    </row>
    <row r="400" spans="1:12">
      <c r="A400" t="s">
        <v>3145</v>
      </c>
      <c r="B400" t="s">
        <v>3359</v>
      </c>
      <c r="C400" s="60" t="str">
        <f t="shared" si="33"/>
        <v>E5401</v>
      </c>
      <c r="D400" t="s">
        <v>587</v>
      </c>
      <c r="E400" t="s">
        <v>588</v>
      </c>
      <c r="F400" t="s">
        <v>506</v>
      </c>
      <c r="G400" t="s">
        <v>507</v>
      </c>
      <c r="H400" t="s">
        <v>508</v>
      </c>
      <c r="I400" t="s">
        <v>509</v>
      </c>
      <c r="J400" t="s">
        <v>589</v>
      </c>
      <c r="K400" s="502">
        <v>4</v>
      </c>
      <c r="L400" t="s">
        <v>306</v>
      </c>
    </row>
    <row r="401" spans="1:12">
      <c r="A401" t="s">
        <v>3145</v>
      </c>
      <c r="B401" t="s">
        <v>3360</v>
      </c>
      <c r="C401" s="60" t="str">
        <f t="shared" si="33"/>
        <v>E5401</v>
      </c>
      <c r="D401" t="s">
        <v>587</v>
      </c>
      <c r="E401" t="s">
        <v>588</v>
      </c>
      <c r="F401" t="s">
        <v>506</v>
      </c>
      <c r="G401" t="s">
        <v>507</v>
      </c>
      <c r="H401" t="s">
        <v>508</v>
      </c>
      <c r="I401" t="s">
        <v>509</v>
      </c>
      <c r="J401" t="s">
        <v>589</v>
      </c>
      <c r="K401" s="502">
        <v>4</v>
      </c>
      <c r="L401" t="s">
        <v>306</v>
      </c>
    </row>
    <row r="402" spans="1:12">
      <c r="A402" t="s">
        <v>3145</v>
      </c>
      <c r="B402" t="s">
        <v>3361</v>
      </c>
      <c r="C402" s="60" t="str">
        <f t="shared" si="33"/>
        <v>E5401</v>
      </c>
      <c r="D402" t="s">
        <v>587</v>
      </c>
      <c r="E402" t="s">
        <v>588</v>
      </c>
      <c r="F402" t="s">
        <v>506</v>
      </c>
      <c r="G402" t="s">
        <v>507</v>
      </c>
      <c r="H402" t="s">
        <v>508</v>
      </c>
      <c r="I402" t="s">
        <v>509</v>
      </c>
      <c r="J402" t="s">
        <v>589</v>
      </c>
      <c r="K402" s="502">
        <v>4</v>
      </c>
      <c r="L402" t="s">
        <v>306</v>
      </c>
    </row>
    <row r="403" spans="1:12">
      <c r="A403" t="s">
        <v>3145</v>
      </c>
      <c r="B403" t="s">
        <v>3362</v>
      </c>
      <c r="C403" s="60" t="str">
        <f t="shared" si="33"/>
        <v>E5401</v>
      </c>
      <c r="D403" t="s">
        <v>587</v>
      </c>
      <c r="E403" t="s">
        <v>588</v>
      </c>
      <c r="F403" t="s">
        <v>506</v>
      </c>
      <c r="G403" t="s">
        <v>507</v>
      </c>
      <c r="H403" t="s">
        <v>508</v>
      </c>
      <c r="I403" t="s">
        <v>509</v>
      </c>
      <c r="J403" t="s">
        <v>589</v>
      </c>
      <c r="K403" s="502">
        <v>4</v>
      </c>
      <c r="L403" t="s">
        <v>306</v>
      </c>
    </row>
    <row r="404" spans="1:12">
      <c r="A404" t="s">
        <v>3145</v>
      </c>
      <c r="B404" t="s">
        <v>3363</v>
      </c>
      <c r="C404" s="60" t="str">
        <f t="shared" si="33"/>
        <v>E5401</v>
      </c>
      <c r="D404" t="s">
        <v>587</v>
      </c>
      <c r="E404" t="s">
        <v>588</v>
      </c>
      <c r="F404" t="s">
        <v>506</v>
      </c>
      <c r="G404" t="s">
        <v>507</v>
      </c>
      <c r="H404" t="s">
        <v>508</v>
      </c>
      <c r="I404" t="s">
        <v>509</v>
      </c>
      <c r="J404" t="s">
        <v>589</v>
      </c>
      <c r="K404" s="502">
        <v>4</v>
      </c>
      <c r="L404" t="s">
        <v>306</v>
      </c>
    </row>
    <row r="405" spans="1:12">
      <c r="A405" t="s">
        <v>3145</v>
      </c>
      <c r="B405" t="s">
        <v>3364</v>
      </c>
      <c r="C405" s="60" t="str">
        <f t="shared" si="33"/>
        <v>E5401</v>
      </c>
      <c r="D405" t="s">
        <v>587</v>
      </c>
      <c r="E405" t="s">
        <v>588</v>
      </c>
      <c r="F405" t="s">
        <v>506</v>
      </c>
      <c r="G405" t="s">
        <v>507</v>
      </c>
      <c r="H405" t="s">
        <v>508</v>
      </c>
      <c r="I405" t="s">
        <v>509</v>
      </c>
      <c r="J405" t="s">
        <v>589</v>
      </c>
      <c r="K405" s="502">
        <v>4</v>
      </c>
      <c r="L405" t="s">
        <v>306</v>
      </c>
    </row>
    <row r="406" spans="1:12">
      <c r="A406" t="s">
        <v>3145</v>
      </c>
      <c r="B406" t="s">
        <v>3365</v>
      </c>
      <c r="C406" s="60" t="str">
        <f t="shared" si="33"/>
        <v>E5401</v>
      </c>
      <c r="D406" t="s">
        <v>587</v>
      </c>
      <c r="E406" t="s">
        <v>588</v>
      </c>
      <c r="F406" t="s">
        <v>506</v>
      </c>
      <c r="G406" t="s">
        <v>507</v>
      </c>
      <c r="H406" t="s">
        <v>508</v>
      </c>
      <c r="I406" t="s">
        <v>509</v>
      </c>
      <c r="J406" t="s">
        <v>589</v>
      </c>
      <c r="K406" s="502">
        <v>4</v>
      </c>
      <c r="L406" t="s">
        <v>306</v>
      </c>
    </row>
    <row r="407" spans="1:12">
      <c r="A407" t="s">
        <v>3145</v>
      </c>
      <c r="B407" t="s">
        <v>3366</v>
      </c>
      <c r="C407" s="60" t="str">
        <f t="shared" si="33"/>
        <v>E5401</v>
      </c>
      <c r="D407" t="s">
        <v>587</v>
      </c>
      <c r="E407" t="s">
        <v>588</v>
      </c>
      <c r="F407" t="s">
        <v>506</v>
      </c>
      <c r="G407" t="s">
        <v>507</v>
      </c>
      <c r="H407" t="s">
        <v>508</v>
      </c>
      <c r="I407" t="s">
        <v>509</v>
      </c>
      <c r="J407" t="s">
        <v>589</v>
      </c>
      <c r="K407" s="502">
        <v>4</v>
      </c>
      <c r="L407" t="s">
        <v>306</v>
      </c>
    </row>
    <row r="408" spans="1:12">
      <c r="A408" t="s">
        <v>3145</v>
      </c>
      <c r="B408" t="s">
        <v>3367</v>
      </c>
      <c r="C408" s="60" t="str">
        <f t="shared" si="33"/>
        <v>E5401</v>
      </c>
      <c r="D408" t="s">
        <v>587</v>
      </c>
      <c r="E408" t="s">
        <v>588</v>
      </c>
      <c r="F408" t="s">
        <v>506</v>
      </c>
      <c r="G408" t="s">
        <v>507</v>
      </c>
      <c r="H408" t="s">
        <v>508</v>
      </c>
      <c r="I408" t="s">
        <v>509</v>
      </c>
      <c r="J408" t="s">
        <v>589</v>
      </c>
      <c r="K408" s="502">
        <v>4</v>
      </c>
      <c r="L408" t="s">
        <v>306</v>
      </c>
    </row>
    <row r="409" spans="1:12">
      <c r="A409" t="s">
        <v>3145</v>
      </c>
      <c r="B409" t="s">
        <v>3356</v>
      </c>
      <c r="C409" s="3" t="str">
        <f>+'2-Préparation saisie LV PROD'!B39</f>
        <v>E5402</v>
      </c>
      <c r="D409" t="s">
        <v>587</v>
      </c>
      <c r="E409" t="s">
        <v>588</v>
      </c>
      <c r="F409" t="s">
        <v>506</v>
      </c>
      <c r="G409" t="s">
        <v>507</v>
      </c>
      <c r="H409" t="s">
        <v>508</v>
      </c>
      <c r="I409" t="s">
        <v>509</v>
      </c>
      <c r="J409" t="s">
        <v>589</v>
      </c>
      <c r="K409" s="502">
        <v>5</v>
      </c>
      <c r="L409" t="s">
        <v>307</v>
      </c>
    </row>
    <row r="410" spans="1:12">
      <c r="A410" t="s">
        <v>3145</v>
      </c>
      <c r="B410" t="s">
        <v>3357</v>
      </c>
      <c r="C410" s="60" t="str">
        <f>C409</f>
        <v>E5402</v>
      </c>
      <c r="D410" t="s">
        <v>587</v>
      </c>
      <c r="E410" t="s">
        <v>588</v>
      </c>
      <c r="F410" t="s">
        <v>506</v>
      </c>
      <c r="G410" t="s">
        <v>507</v>
      </c>
      <c r="H410" t="s">
        <v>508</v>
      </c>
      <c r="I410" t="s">
        <v>509</v>
      </c>
      <c r="J410" t="s">
        <v>589</v>
      </c>
      <c r="K410" s="502">
        <v>5</v>
      </c>
      <c r="L410" t="s">
        <v>307</v>
      </c>
    </row>
    <row r="411" spans="1:12">
      <c r="A411" t="s">
        <v>3145</v>
      </c>
      <c r="B411" t="s">
        <v>3358</v>
      </c>
      <c r="C411" s="60" t="str">
        <f t="shared" ref="C411:C420" si="34">+C410</f>
        <v>E5402</v>
      </c>
      <c r="D411" t="s">
        <v>587</v>
      </c>
      <c r="E411" t="s">
        <v>588</v>
      </c>
      <c r="F411" t="s">
        <v>506</v>
      </c>
      <c r="G411" t="s">
        <v>507</v>
      </c>
      <c r="H411" t="s">
        <v>508</v>
      </c>
      <c r="I411" t="s">
        <v>509</v>
      </c>
      <c r="J411" t="s">
        <v>589</v>
      </c>
      <c r="K411" s="502">
        <v>5</v>
      </c>
      <c r="L411" t="s">
        <v>307</v>
      </c>
    </row>
    <row r="412" spans="1:12">
      <c r="A412" t="s">
        <v>3145</v>
      </c>
      <c r="B412" t="s">
        <v>3359</v>
      </c>
      <c r="C412" s="60" t="str">
        <f t="shared" si="34"/>
        <v>E5402</v>
      </c>
      <c r="D412" t="s">
        <v>587</v>
      </c>
      <c r="E412" t="s">
        <v>588</v>
      </c>
      <c r="F412" t="s">
        <v>506</v>
      </c>
      <c r="G412" t="s">
        <v>507</v>
      </c>
      <c r="H412" t="s">
        <v>508</v>
      </c>
      <c r="I412" t="s">
        <v>509</v>
      </c>
      <c r="J412" t="s">
        <v>589</v>
      </c>
      <c r="K412" s="502">
        <v>5</v>
      </c>
      <c r="L412" t="s">
        <v>307</v>
      </c>
    </row>
    <row r="413" spans="1:12">
      <c r="A413" t="s">
        <v>3145</v>
      </c>
      <c r="B413" t="s">
        <v>3360</v>
      </c>
      <c r="C413" s="60" t="str">
        <f t="shared" si="34"/>
        <v>E5402</v>
      </c>
      <c r="D413" t="s">
        <v>587</v>
      </c>
      <c r="E413" t="s">
        <v>588</v>
      </c>
      <c r="F413" t="s">
        <v>506</v>
      </c>
      <c r="G413" t="s">
        <v>507</v>
      </c>
      <c r="H413" t="s">
        <v>508</v>
      </c>
      <c r="I413" t="s">
        <v>509</v>
      </c>
      <c r="J413" t="s">
        <v>589</v>
      </c>
      <c r="K413" s="502">
        <v>5</v>
      </c>
      <c r="L413" t="s">
        <v>307</v>
      </c>
    </row>
    <row r="414" spans="1:12">
      <c r="A414" t="s">
        <v>3145</v>
      </c>
      <c r="B414" t="s">
        <v>3361</v>
      </c>
      <c r="C414" s="60" t="str">
        <f t="shared" si="34"/>
        <v>E5402</v>
      </c>
      <c r="D414" t="s">
        <v>587</v>
      </c>
      <c r="E414" t="s">
        <v>588</v>
      </c>
      <c r="F414" t="s">
        <v>506</v>
      </c>
      <c r="G414" t="s">
        <v>507</v>
      </c>
      <c r="H414" t="s">
        <v>508</v>
      </c>
      <c r="I414" t="s">
        <v>509</v>
      </c>
      <c r="J414" t="s">
        <v>589</v>
      </c>
      <c r="K414" s="502">
        <v>5</v>
      </c>
      <c r="L414" t="s">
        <v>307</v>
      </c>
    </row>
    <row r="415" spans="1:12">
      <c r="A415" t="s">
        <v>3145</v>
      </c>
      <c r="B415" t="s">
        <v>3362</v>
      </c>
      <c r="C415" s="60" t="str">
        <f t="shared" si="34"/>
        <v>E5402</v>
      </c>
      <c r="D415" t="s">
        <v>587</v>
      </c>
      <c r="E415" t="s">
        <v>588</v>
      </c>
      <c r="F415" t="s">
        <v>506</v>
      </c>
      <c r="G415" t="s">
        <v>507</v>
      </c>
      <c r="H415" t="s">
        <v>508</v>
      </c>
      <c r="I415" t="s">
        <v>509</v>
      </c>
      <c r="J415" t="s">
        <v>589</v>
      </c>
      <c r="K415" s="502">
        <v>5</v>
      </c>
      <c r="L415" t="s">
        <v>307</v>
      </c>
    </row>
    <row r="416" spans="1:12">
      <c r="A416" t="s">
        <v>3145</v>
      </c>
      <c r="B416" t="s">
        <v>3363</v>
      </c>
      <c r="C416" s="60" t="str">
        <f t="shared" si="34"/>
        <v>E5402</v>
      </c>
      <c r="D416" t="s">
        <v>587</v>
      </c>
      <c r="E416" t="s">
        <v>588</v>
      </c>
      <c r="F416" t="s">
        <v>506</v>
      </c>
      <c r="G416" t="s">
        <v>507</v>
      </c>
      <c r="H416" t="s">
        <v>508</v>
      </c>
      <c r="I416" t="s">
        <v>509</v>
      </c>
      <c r="J416" t="s">
        <v>589</v>
      </c>
      <c r="K416" s="502">
        <v>5</v>
      </c>
      <c r="L416" t="s">
        <v>307</v>
      </c>
    </row>
    <row r="417" spans="1:12">
      <c r="A417" t="s">
        <v>3145</v>
      </c>
      <c r="B417" t="s">
        <v>3364</v>
      </c>
      <c r="C417" s="60" t="str">
        <f t="shared" si="34"/>
        <v>E5402</v>
      </c>
      <c r="D417" t="s">
        <v>587</v>
      </c>
      <c r="E417" t="s">
        <v>588</v>
      </c>
      <c r="F417" t="s">
        <v>506</v>
      </c>
      <c r="G417" t="s">
        <v>507</v>
      </c>
      <c r="H417" t="s">
        <v>508</v>
      </c>
      <c r="I417" t="s">
        <v>509</v>
      </c>
      <c r="J417" t="s">
        <v>589</v>
      </c>
      <c r="K417" s="502">
        <v>5</v>
      </c>
      <c r="L417" t="s">
        <v>307</v>
      </c>
    </row>
    <row r="418" spans="1:12">
      <c r="A418" t="s">
        <v>3145</v>
      </c>
      <c r="B418" t="s">
        <v>3365</v>
      </c>
      <c r="C418" s="60" t="str">
        <f t="shared" si="34"/>
        <v>E5402</v>
      </c>
      <c r="D418" t="s">
        <v>587</v>
      </c>
      <c r="E418" t="s">
        <v>588</v>
      </c>
      <c r="F418" t="s">
        <v>506</v>
      </c>
      <c r="G418" t="s">
        <v>507</v>
      </c>
      <c r="H418" t="s">
        <v>508</v>
      </c>
      <c r="I418" t="s">
        <v>509</v>
      </c>
      <c r="J418" t="s">
        <v>589</v>
      </c>
      <c r="K418" s="502">
        <v>5</v>
      </c>
      <c r="L418" t="s">
        <v>307</v>
      </c>
    </row>
    <row r="419" spans="1:12">
      <c r="A419" t="s">
        <v>3145</v>
      </c>
      <c r="B419" t="s">
        <v>3366</v>
      </c>
      <c r="C419" s="60" t="str">
        <f t="shared" si="34"/>
        <v>E5402</v>
      </c>
      <c r="D419" t="s">
        <v>587</v>
      </c>
      <c r="E419" t="s">
        <v>588</v>
      </c>
      <c r="F419" t="s">
        <v>506</v>
      </c>
      <c r="G419" t="s">
        <v>507</v>
      </c>
      <c r="H419" t="s">
        <v>508</v>
      </c>
      <c r="I419" t="s">
        <v>509</v>
      </c>
      <c r="J419" t="s">
        <v>589</v>
      </c>
      <c r="K419" s="502">
        <v>5</v>
      </c>
      <c r="L419" t="s">
        <v>307</v>
      </c>
    </row>
    <row r="420" spans="1:12">
      <c r="A420" t="s">
        <v>3145</v>
      </c>
      <c r="B420" t="s">
        <v>3367</v>
      </c>
      <c r="C420" s="60" t="str">
        <f t="shared" si="34"/>
        <v>E5402</v>
      </c>
      <c r="D420" t="s">
        <v>587</v>
      </c>
      <c r="E420" t="s">
        <v>588</v>
      </c>
      <c r="F420" t="s">
        <v>506</v>
      </c>
      <c r="G420" t="s">
        <v>507</v>
      </c>
      <c r="H420" t="s">
        <v>508</v>
      </c>
      <c r="I420" t="s">
        <v>509</v>
      </c>
      <c r="J420" t="s">
        <v>589</v>
      </c>
      <c r="K420" s="502">
        <v>5</v>
      </c>
      <c r="L420" t="s">
        <v>307</v>
      </c>
    </row>
    <row r="421" spans="1:12">
      <c r="A421" t="s">
        <v>3145</v>
      </c>
      <c r="B421" t="s">
        <v>3356</v>
      </c>
      <c r="C421" s="3" t="str">
        <f>+'2-Préparation saisie LV PROD'!B40</f>
        <v>E5570</v>
      </c>
      <c r="D421" t="s">
        <v>587</v>
      </c>
      <c r="E421" t="s">
        <v>588</v>
      </c>
      <c r="F421" t="s">
        <v>506</v>
      </c>
      <c r="G421" t="s">
        <v>507</v>
      </c>
      <c r="H421" t="s">
        <v>508</v>
      </c>
      <c r="I421" t="s">
        <v>509</v>
      </c>
      <c r="J421" t="s">
        <v>589</v>
      </c>
      <c r="K421" s="502">
        <v>8</v>
      </c>
      <c r="L421" t="s">
        <v>308</v>
      </c>
    </row>
    <row r="422" spans="1:12">
      <c r="A422" t="s">
        <v>3145</v>
      </c>
      <c r="B422" t="s">
        <v>3357</v>
      </c>
      <c r="C422" s="60" t="str">
        <f>C421</f>
        <v>E5570</v>
      </c>
      <c r="D422" t="s">
        <v>587</v>
      </c>
      <c r="E422" t="s">
        <v>588</v>
      </c>
      <c r="F422" t="s">
        <v>506</v>
      </c>
      <c r="G422" t="s">
        <v>507</v>
      </c>
      <c r="H422" t="s">
        <v>508</v>
      </c>
      <c r="I422" t="s">
        <v>509</v>
      </c>
      <c r="J422" t="s">
        <v>589</v>
      </c>
      <c r="K422" s="502">
        <v>8</v>
      </c>
      <c r="L422" t="s">
        <v>308</v>
      </c>
    </row>
    <row r="423" spans="1:12">
      <c r="A423" t="s">
        <v>3145</v>
      </c>
      <c r="B423" t="s">
        <v>3358</v>
      </c>
      <c r="C423" s="60" t="str">
        <f t="shared" ref="C423:C432" si="35">+C422</f>
        <v>E5570</v>
      </c>
      <c r="D423" t="s">
        <v>587</v>
      </c>
      <c r="E423" t="s">
        <v>588</v>
      </c>
      <c r="F423" t="s">
        <v>506</v>
      </c>
      <c r="G423" t="s">
        <v>507</v>
      </c>
      <c r="H423" t="s">
        <v>508</v>
      </c>
      <c r="I423" t="s">
        <v>509</v>
      </c>
      <c r="J423" t="s">
        <v>589</v>
      </c>
      <c r="K423" s="502">
        <v>8</v>
      </c>
      <c r="L423" t="s">
        <v>308</v>
      </c>
    </row>
    <row r="424" spans="1:12">
      <c r="A424" t="s">
        <v>3145</v>
      </c>
      <c r="B424" t="s">
        <v>3359</v>
      </c>
      <c r="C424" s="60" t="str">
        <f t="shared" si="35"/>
        <v>E5570</v>
      </c>
      <c r="D424" t="s">
        <v>587</v>
      </c>
      <c r="E424" t="s">
        <v>588</v>
      </c>
      <c r="F424" t="s">
        <v>506</v>
      </c>
      <c r="G424" t="s">
        <v>507</v>
      </c>
      <c r="H424" t="s">
        <v>508</v>
      </c>
      <c r="I424" t="s">
        <v>509</v>
      </c>
      <c r="J424" t="s">
        <v>589</v>
      </c>
      <c r="K424" s="502">
        <v>8</v>
      </c>
      <c r="L424" t="s">
        <v>308</v>
      </c>
    </row>
    <row r="425" spans="1:12">
      <c r="A425" t="s">
        <v>3145</v>
      </c>
      <c r="B425" t="s">
        <v>3360</v>
      </c>
      <c r="C425" s="60" t="str">
        <f t="shared" si="35"/>
        <v>E5570</v>
      </c>
      <c r="D425" t="s">
        <v>587</v>
      </c>
      <c r="E425" t="s">
        <v>588</v>
      </c>
      <c r="F425" t="s">
        <v>506</v>
      </c>
      <c r="G425" t="s">
        <v>507</v>
      </c>
      <c r="H425" t="s">
        <v>508</v>
      </c>
      <c r="I425" t="s">
        <v>509</v>
      </c>
      <c r="J425" t="s">
        <v>589</v>
      </c>
      <c r="K425" s="502">
        <v>8</v>
      </c>
      <c r="L425" t="s">
        <v>308</v>
      </c>
    </row>
    <row r="426" spans="1:12">
      <c r="A426" t="s">
        <v>3145</v>
      </c>
      <c r="B426" t="s">
        <v>3361</v>
      </c>
      <c r="C426" s="60" t="str">
        <f t="shared" si="35"/>
        <v>E5570</v>
      </c>
      <c r="D426" t="s">
        <v>587</v>
      </c>
      <c r="E426" t="s">
        <v>588</v>
      </c>
      <c r="F426" t="s">
        <v>506</v>
      </c>
      <c r="G426" t="s">
        <v>507</v>
      </c>
      <c r="H426" t="s">
        <v>508</v>
      </c>
      <c r="I426" t="s">
        <v>509</v>
      </c>
      <c r="J426" t="s">
        <v>589</v>
      </c>
      <c r="K426" s="502">
        <v>8</v>
      </c>
      <c r="L426" t="s">
        <v>308</v>
      </c>
    </row>
    <row r="427" spans="1:12">
      <c r="A427" t="s">
        <v>3145</v>
      </c>
      <c r="B427" t="s">
        <v>3362</v>
      </c>
      <c r="C427" s="60" t="str">
        <f t="shared" si="35"/>
        <v>E5570</v>
      </c>
      <c r="D427" t="s">
        <v>587</v>
      </c>
      <c r="E427" t="s">
        <v>588</v>
      </c>
      <c r="F427" t="s">
        <v>506</v>
      </c>
      <c r="G427" t="s">
        <v>507</v>
      </c>
      <c r="H427" t="s">
        <v>508</v>
      </c>
      <c r="I427" t="s">
        <v>509</v>
      </c>
      <c r="J427" t="s">
        <v>589</v>
      </c>
      <c r="K427" s="502">
        <v>8</v>
      </c>
      <c r="L427" t="s">
        <v>308</v>
      </c>
    </row>
    <row r="428" spans="1:12">
      <c r="A428" t="s">
        <v>3145</v>
      </c>
      <c r="B428" t="s">
        <v>3363</v>
      </c>
      <c r="C428" s="60" t="str">
        <f t="shared" si="35"/>
        <v>E5570</v>
      </c>
      <c r="D428" t="s">
        <v>587</v>
      </c>
      <c r="E428" t="s">
        <v>588</v>
      </c>
      <c r="F428" t="s">
        <v>506</v>
      </c>
      <c r="G428" t="s">
        <v>507</v>
      </c>
      <c r="H428" t="s">
        <v>508</v>
      </c>
      <c r="I428" t="s">
        <v>509</v>
      </c>
      <c r="J428" t="s">
        <v>589</v>
      </c>
      <c r="K428" s="502">
        <v>8</v>
      </c>
      <c r="L428" t="s">
        <v>308</v>
      </c>
    </row>
    <row r="429" spans="1:12">
      <c r="A429" t="s">
        <v>3145</v>
      </c>
      <c r="B429" t="s">
        <v>3364</v>
      </c>
      <c r="C429" s="60" t="str">
        <f t="shared" si="35"/>
        <v>E5570</v>
      </c>
      <c r="D429" t="s">
        <v>587</v>
      </c>
      <c r="E429" t="s">
        <v>588</v>
      </c>
      <c r="F429" t="s">
        <v>506</v>
      </c>
      <c r="G429" t="s">
        <v>507</v>
      </c>
      <c r="H429" t="s">
        <v>508</v>
      </c>
      <c r="I429" t="s">
        <v>509</v>
      </c>
      <c r="J429" t="s">
        <v>589</v>
      </c>
      <c r="K429" s="502">
        <v>8</v>
      </c>
      <c r="L429" t="s">
        <v>308</v>
      </c>
    </row>
    <row r="430" spans="1:12">
      <c r="A430" t="s">
        <v>3145</v>
      </c>
      <c r="B430" t="s">
        <v>3365</v>
      </c>
      <c r="C430" s="60" t="str">
        <f t="shared" si="35"/>
        <v>E5570</v>
      </c>
      <c r="D430" t="s">
        <v>587</v>
      </c>
      <c r="E430" t="s">
        <v>588</v>
      </c>
      <c r="F430" t="s">
        <v>506</v>
      </c>
      <c r="G430" t="s">
        <v>507</v>
      </c>
      <c r="H430" t="s">
        <v>508</v>
      </c>
      <c r="I430" t="s">
        <v>509</v>
      </c>
      <c r="J430" t="s">
        <v>589</v>
      </c>
      <c r="K430" s="502">
        <v>8</v>
      </c>
      <c r="L430" t="s">
        <v>308</v>
      </c>
    </row>
    <row r="431" spans="1:12">
      <c r="A431" t="s">
        <v>3145</v>
      </c>
      <c r="B431" t="s">
        <v>3366</v>
      </c>
      <c r="C431" s="60" t="str">
        <f t="shared" si="35"/>
        <v>E5570</v>
      </c>
      <c r="D431" t="s">
        <v>587</v>
      </c>
      <c r="E431" t="s">
        <v>588</v>
      </c>
      <c r="F431" t="s">
        <v>506</v>
      </c>
      <c r="G431" t="s">
        <v>507</v>
      </c>
      <c r="H431" t="s">
        <v>508</v>
      </c>
      <c r="I431" t="s">
        <v>509</v>
      </c>
      <c r="J431" t="s">
        <v>589</v>
      </c>
      <c r="K431" s="502">
        <v>8</v>
      </c>
      <c r="L431" t="s">
        <v>308</v>
      </c>
    </row>
    <row r="432" spans="1:12">
      <c r="A432" t="s">
        <v>3145</v>
      </c>
      <c r="B432" t="s">
        <v>3367</v>
      </c>
      <c r="C432" s="60" t="str">
        <f t="shared" si="35"/>
        <v>E5570</v>
      </c>
      <c r="D432" t="s">
        <v>587</v>
      </c>
      <c r="E432" t="s">
        <v>588</v>
      </c>
      <c r="F432" t="s">
        <v>506</v>
      </c>
      <c r="G432" t="s">
        <v>507</v>
      </c>
      <c r="H432" t="s">
        <v>508</v>
      </c>
      <c r="I432" t="s">
        <v>509</v>
      </c>
      <c r="J432" t="s">
        <v>589</v>
      </c>
      <c r="K432" s="502">
        <v>8</v>
      </c>
      <c r="L432" t="s">
        <v>308</v>
      </c>
    </row>
    <row r="433" spans="1:12">
      <c r="A433" t="s">
        <v>3145</v>
      </c>
      <c r="B433" t="s">
        <v>3356</v>
      </c>
      <c r="C433" s="3" t="str">
        <f>+'2-Préparation saisie LV PROD'!B41</f>
        <v>E5560</v>
      </c>
      <c r="D433" t="s">
        <v>587</v>
      </c>
      <c r="E433" t="s">
        <v>588</v>
      </c>
      <c r="F433" t="s">
        <v>506</v>
      </c>
      <c r="G433" t="s">
        <v>507</v>
      </c>
      <c r="H433" t="s">
        <v>508</v>
      </c>
      <c r="I433" t="s">
        <v>509</v>
      </c>
      <c r="J433" t="s">
        <v>589</v>
      </c>
      <c r="K433" s="502">
        <v>6</v>
      </c>
      <c r="L433" t="s">
        <v>215</v>
      </c>
    </row>
    <row r="434" spans="1:12">
      <c r="A434" t="s">
        <v>3145</v>
      </c>
      <c r="B434" t="s">
        <v>3357</v>
      </c>
      <c r="C434" s="60" t="str">
        <f>C433</f>
        <v>E5560</v>
      </c>
      <c r="D434" t="s">
        <v>587</v>
      </c>
      <c r="E434" t="s">
        <v>588</v>
      </c>
      <c r="F434" t="s">
        <v>506</v>
      </c>
      <c r="G434" t="s">
        <v>507</v>
      </c>
      <c r="H434" t="s">
        <v>508</v>
      </c>
      <c r="I434" t="s">
        <v>509</v>
      </c>
      <c r="J434" t="s">
        <v>589</v>
      </c>
      <c r="K434" s="502">
        <v>6</v>
      </c>
      <c r="L434" t="s">
        <v>215</v>
      </c>
    </row>
    <row r="435" spans="1:12">
      <c r="A435" t="s">
        <v>3145</v>
      </c>
      <c r="B435" t="s">
        <v>3358</v>
      </c>
      <c r="C435" s="60" t="str">
        <f t="shared" ref="C435:C444" si="36">+C434</f>
        <v>E5560</v>
      </c>
      <c r="D435" t="s">
        <v>587</v>
      </c>
      <c r="E435" t="s">
        <v>588</v>
      </c>
      <c r="F435" t="s">
        <v>506</v>
      </c>
      <c r="G435" t="s">
        <v>507</v>
      </c>
      <c r="H435" t="s">
        <v>508</v>
      </c>
      <c r="I435" t="s">
        <v>509</v>
      </c>
      <c r="J435" t="s">
        <v>589</v>
      </c>
      <c r="K435" s="502">
        <v>6</v>
      </c>
      <c r="L435" t="s">
        <v>215</v>
      </c>
    </row>
    <row r="436" spans="1:12">
      <c r="A436" t="s">
        <v>3145</v>
      </c>
      <c r="B436" t="s">
        <v>3359</v>
      </c>
      <c r="C436" s="60" t="str">
        <f t="shared" si="36"/>
        <v>E5560</v>
      </c>
      <c r="D436" t="s">
        <v>587</v>
      </c>
      <c r="E436" t="s">
        <v>588</v>
      </c>
      <c r="F436" t="s">
        <v>506</v>
      </c>
      <c r="G436" t="s">
        <v>507</v>
      </c>
      <c r="H436" t="s">
        <v>508</v>
      </c>
      <c r="I436" t="s">
        <v>509</v>
      </c>
      <c r="J436" t="s">
        <v>589</v>
      </c>
      <c r="K436" s="502">
        <v>6</v>
      </c>
      <c r="L436" t="s">
        <v>215</v>
      </c>
    </row>
    <row r="437" spans="1:12">
      <c r="A437" t="s">
        <v>3145</v>
      </c>
      <c r="B437" t="s">
        <v>3360</v>
      </c>
      <c r="C437" s="60" t="str">
        <f t="shared" si="36"/>
        <v>E5560</v>
      </c>
      <c r="D437" t="s">
        <v>587</v>
      </c>
      <c r="E437" t="s">
        <v>588</v>
      </c>
      <c r="F437" t="s">
        <v>506</v>
      </c>
      <c r="G437" t="s">
        <v>507</v>
      </c>
      <c r="H437" t="s">
        <v>508</v>
      </c>
      <c r="I437" t="s">
        <v>509</v>
      </c>
      <c r="J437" t="s">
        <v>589</v>
      </c>
      <c r="K437" s="502">
        <v>6</v>
      </c>
      <c r="L437" t="s">
        <v>215</v>
      </c>
    </row>
    <row r="438" spans="1:12">
      <c r="A438" t="s">
        <v>3145</v>
      </c>
      <c r="B438" t="s">
        <v>3361</v>
      </c>
      <c r="C438" s="60" t="str">
        <f t="shared" si="36"/>
        <v>E5560</v>
      </c>
      <c r="D438" t="s">
        <v>587</v>
      </c>
      <c r="E438" t="s">
        <v>588</v>
      </c>
      <c r="F438" t="s">
        <v>506</v>
      </c>
      <c r="G438" t="s">
        <v>507</v>
      </c>
      <c r="H438" t="s">
        <v>508</v>
      </c>
      <c r="I438" t="s">
        <v>509</v>
      </c>
      <c r="J438" t="s">
        <v>589</v>
      </c>
      <c r="K438" s="502">
        <v>6</v>
      </c>
      <c r="L438" t="s">
        <v>215</v>
      </c>
    </row>
    <row r="439" spans="1:12">
      <c r="A439" t="s">
        <v>3145</v>
      </c>
      <c r="B439" t="s">
        <v>3362</v>
      </c>
      <c r="C439" s="60" t="str">
        <f t="shared" si="36"/>
        <v>E5560</v>
      </c>
      <c r="D439" t="s">
        <v>587</v>
      </c>
      <c r="E439" t="s">
        <v>588</v>
      </c>
      <c r="F439" t="s">
        <v>506</v>
      </c>
      <c r="G439" t="s">
        <v>507</v>
      </c>
      <c r="H439" t="s">
        <v>508</v>
      </c>
      <c r="I439" t="s">
        <v>509</v>
      </c>
      <c r="J439" t="s">
        <v>589</v>
      </c>
      <c r="K439" s="502">
        <v>6</v>
      </c>
      <c r="L439" t="s">
        <v>215</v>
      </c>
    </row>
    <row r="440" spans="1:12">
      <c r="A440" t="s">
        <v>3145</v>
      </c>
      <c r="B440" t="s">
        <v>3363</v>
      </c>
      <c r="C440" s="60" t="str">
        <f t="shared" si="36"/>
        <v>E5560</v>
      </c>
      <c r="D440" t="s">
        <v>587</v>
      </c>
      <c r="E440" t="s">
        <v>588</v>
      </c>
      <c r="F440" t="s">
        <v>506</v>
      </c>
      <c r="G440" t="s">
        <v>507</v>
      </c>
      <c r="H440" t="s">
        <v>508</v>
      </c>
      <c r="I440" t="s">
        <v>509</v>
      </c>
      <c r="J440" t="s">
        <v>589</v>
      </c>
      <c r="K440" s="502">
        <v>6</v>
      </c>
      <c r="L440" t="s">
        <v>215</v>
      </c>
    </row>
    <row r="441" spans="1:12">
      <c r="A441" t="s">
        <v>3145</v>
      </c>
      <c r="B441" t="s">
        <v>3364</v>
      </c>
      <c r="C441" s="60" t="str">
        <f t="shared" si="36"/>
        <v>E5560</v>
      </c>
      <c r="D441" t="s">
        <v>587</v>
      </c>
      <c r="E441" t="s">
        <v>588</v>
      </c>
      <c r="F441" t="s">
        <v>506</v>
      </c>
      <c r="G441" t="s">
        <v>507</v>
      </c>
      <c r="H441" t="s">
        <v>508</v>
      </c>
      <c r="I441" t="s">
        <v>509</v>
      </c>
      <c r="J441" t="s">
        <v>589</v>
      </c>
      <c r="K441" s="502">
        <v>6</v>
      </c>
      <c r="L441" t="s">
        <v>215</v>
      </c>
    </row>
    <row r="442" spans="1:12">
      <c r="A442" t="s">
        <v>3145</v>
      </c>
      <c r="B442" t="s">
        <v>3365</v>
      </c>
      <c r="C442" s="60" t="str">
        <f t="shared" si="36"/>
        <v>E5560</v>
      </c>
      <c r="D442" t="s">
        <v>587</v>
      </c>
      <c r="E442" t="s">
        <v>588</v>
      </c>
      <c r="F442" t="s">
        <v>506</v>
      </c>
      <c r="G442" t="s">
        <v>507</v>
      </c>
      <c r="H442" t="s">
        <v>508</v>
      </c>
      <c r="I442" t="s">
        <v>509</v>
      </c>
      <c r="J442" t="s">
        <v>589</v>
      </c>
      <c r="K442" s="502">
        <v>6</v>
      </c>
      <c r="L442" t="s">
        <v>215</v>
      </c>
    </row>
    <row r="443" spans="1:12">
      <c r="A443" t="s">
        <v>3145</v>
      </c>
      <c r="B443" t="s">
        <v>3366</v>
      </c>
      <c r="C443" s="60" t="str">
        <f t="shared" si="36"/>
        <v>E5560</v>
      </c>
      <c r="D443" t="s">
        <v>587</v>
      </c>
      <c r="E443" t="s">
        <v>588</v>
      </c>
      <c r="F443" t="s">
        <v>506</v>
      </c>
      <c r="G443" t="s">
        <v>507</v>
      </c>
      <c r="H443" t="s">
        <v>508</v>
      </c>
      <c r="I443" t="s">
        <v>509</v>
      </c>
      <c r="J443" t="s">
        <v>589</v>
      </c>
      <c r="K443" s="502">
        <v>6</v>
      </c>
      <c r="L443" t="s">
        <v>215</v>
      </c>
    </row>
    <row r="444" spans="1:12">
      <c r="A444" t="s">
        <v>3145</v>
      </c>
      <c r="B444" t="s">
        <v>3367</v>
      </c>
      <c r="C444" s="60" t="str">
        <f t="shared" si="36"/>
        <v>E5560</v>
      </c>
      <c r="D444" t="s">
        <v>587</v>
      </c>
      <c r="E444" t="s">
        <v>588</v>
      </c>
      <c r="F444" t="s">
        <v>506</v>
      </c>
      <c r="G444" t="s">
        <v>507</v>
      </c>
      <c r="H444" t="s">
        <v>508</v>
      </c>
      <c r="I444" t="s">
        <v>509</v>
      </c>
      <c r="J444" t="s">
        <v>589</v>
      </c>
      <c r="K444" s="502">
        <v>6</v>
      </c>
      <c r="L444" t="s">
        <v>215</v>
      </c>
    </row>
    <row r="445" spans="1:12">
      <c r="A445" t="s">
        <v>3145</v>
      </c>
      <c r="B445" t="s">
        <v>3356</v>
      </c>
      <c r="C445" s="3" t="str">
        <f>+'2-Préparation saisie LV PROD'!B42</f>
        <v>E5700</v>
      </c>
      <c r="D445" t="s">
        <v>587</v>
      </c>
      <c r="E445" t="s">
        <v>588</v>
      </c>
      <c r="F445" t="s">
        <v>506</v>
      </c>
      <c r="G445" t="s">
        <v>507</v>
      </c>
      <c r="H445" t="s">
        <v>508</v>
      </c>
      <c r="I445" t="s">
        <v>509</v>
      </c>
      <c r="J445" t="s">
        <v>589</v>
      </c>
      <c r="K445" s="502">
        <v>6</v>
      </c>
      <c r="L445" t="s">
        <v>565</v>
      </c>
    </row>
    <row r="446" spans="1:12">
      <c r="A446" t="s">
        <v>3145</v>
      </c>
      <c r="B446" t="s">
        <v>3357</v>
      </c>
      <c r="C446" s="60" t="str">
        <f>C445</f>
        <v>E5700</v>
      </c>
      <c r="D446" t="s">
        <v>587</v>
      </c>
      <c r="E446" t="s">
        <v>588</v>
      </c>
      <c r="F446" t="s">
        <v>506</v>
      </c>
      <c r="G446" t="s">
        <v>507</v>
      </c>
      <c r="H446" t="s">
        <v>508</v>
      </c>
      <c r="I446" t="s">
        <v>509</v>
      </c>
      <c r="J446" t="s">
        <v>589</v>
      </c>
      <c r="K446" s="502">
        <v>6</v>
      </c>
      <c r="L446" t="s">
        <v>565</v>
      </c>
    </row>
    <row r="447" spans="1:12">
      <c r="A447" t="s">
        <v>3145</v>
      </c>
      <c r="B447" t="s">
        <v>3358</v>
      </c>
      <c r="C447" s="60" t="str">
        <f t="shared" ref="C447:C456" si="37">+C446</f>
        <v>E5700</v>
      </c>
      <c r="D447" t="s">
        <v>587</v>
      </c>
      <c r="E447" t="s">
        <v>588</v>
      </c>
      <c r="F447" t="s">
        <v>506</v>
      </c>
      <c r="G447" t="s">
        <v>507</v>
      </c>
      <c r="H447" t="s">
        <v>508</v>
      </c>
      <c r="I447" t="s">
        <v>509</v>
      </c>
      <c r="J447" t="s">
        <v>589</v>
      </c>
      <c r="K447" s="502">
        <v>6</v>
      </c>
      <c r="L447" t="s">
        <v>565</v>
      </c>
    </row>
    <row r="448" spans="1:12">
      <c r="A448" t="s">
        <v>3145</v>
      </c>
      <c r="B448" t="s">
        <v>3359</v>
      </c>
      <c r="C448" s="60" t="str">
        <f t="shared" si="37"/>
        <v>E5700</v>
      </c>
      <c r="D448" t="s">
        <v>587</v>
      </c>
      <c r="E448" t="s">
        <v>588</v>
      </c>
      <c r="F448" t="s">
        <v>506</v>
      </c>
      <c r="G448" t="s">
        <v>507</v>
      </c>
      <c r="H448" t="s">
        <v>508</v>
      </c>
      <c r="I448" t="s">
        <v>509</v>
      </c>
      <c r="J448" t="s">
        <v>589</v>
      </c>
      <c r="K448" s="502">
        <v>6</v>
      </c>
      <c r="L448" t="s">
        <v>565</v>
      </c>
    </row>
    <row r="449" spans="1:12">
      <c r="A449" t="s">
        <v>3145</v>
      </c>
      <c r="B449" t="s">
        <v>3360</v>
      </c>
      <c r="C449" s="60" t="str">
        <f t="shared" si="37"/>
        <v>E5700</v>
      </c>
      <c r="D449" t="s">
        <v>587</v>
      </c>
      <c r="E449" t="s">
        <v>588</v>
      </c>
      <c r="F449" t="s">
        <v>506</v>
      </c>
      <c r="G449" t="s">
        <v>507</v>
      </c>
      <c r="H449" t="s">
        <v>508</v>
      </c>
      <c r="I449" t="s">
        <v>509</v>
      </c>
      <c r="J449" t="s">
        <v>589</v>
      </c>
      <c r="K449" s="502">
        <v>6</v>
      </c>
      <c r="L449" t="s">
        <v>565</v>
      </c>
    </row>
    <row r="450" spans="1:12">
      <c r="A450" t="s">
        <v>3145</v>
      </c>
      <c r="B450" t="s">
        <v>3361</v>
      </c>
      <c r="C450" s="60" t="str">
        <f t="shared" si="37"/>
        <v>E5700</v>
      </c>
      <c r="D450" t="s">
        <v>587</v>
      </c>
      <c r="E450" t="s">
        <v>588</v>
      </c>
      <c r="F450" t="s">
        <v>506</v>
      </c>
      <c r="G450" t="s">
        <v>507</v>
      </c>
      <c r="H450" t="s">
        <v>508</v>
      </c>
      <c r="I450" t="s">
        <v>509</v>
      </c>
      <c r="J450" t="s">
        <v>589</v>
      </c>
      <c r="K450" s="502">
        <v>6</v>
      </c>
      <c r="L450" t="s">
        <v>565</v>
      </c>
    </row>
    <row r="451" spans="1:12">
      <c r="A451" t="s">
        <v>3145</v>
      </c>
      <c r="B451" t="s">
        <v>3362</v>
      </c>
      <c r="C451" s="60" t="str">
        <f t="shared" si="37"/>
        <v>E5700</v>
      </c>
      <c r="D451" t="s">
        <v>587</v>
      </c>
      <c r="E451" t="s">
        <v>588</v>
      </c>
      <c r="F451" t="s">
        <v>506</v>
      </c>
      <c r="G451" t="s">
        <v>507</v>
      </c>
      <c r="H451" t="s">
        <v>508</v>
      </c>
      <c r="I451" t="s">
        <v>509</v>
      </c>
      <c r="J451" t="s">
        <v>589</v>
      </c>
      <c r="K451" s="502">
        <v>6</v>
      </c>
      <c r="L451" t="s">
        <v>565</v>
      </c>
    </row>
    <row r="452" spans="1:12">
      <c r="A452" t="s">
        <v>3145</v>
      </c>
      <c r="B452" t="s">
        <v>3363</v>
      </c>
      <c r="C452" s="60" t="str">
        <f t="shared" si="37"/>
        <v>E5700</v>
      </c>
      <c r="D452" t="s">
        <v>587</v>
      </c>
      <c r="E452" t="s">
        <v>588</v>
      </c>
      <c r="F452" t="s">
        <v>506</v>
      </c>
      <c r="G452" t="s">
        <v>507</v>
      </c>
      <c r="H452" t="s">
        <v>508</v>
      </c>
      <c r="I452" t="s">
        <v>509</v>
      </c>
      <c r="J452" t="s">
        <v>589</v>
      </c>
      <c r="K452" s="502">
        <v>6</v>
      </c>
      <c r="L452" t="s">
        <v>565</v>
      </c>
    </row>
    <row r="453" spans="1:12">
      <c r="A453" t="s">
        <v>3145</v>
      </c>
      <c r="B453" t="s">
        <v>3364</v>
      </c>
      <c r="C453" s="60" t="str">
        <f t="shared" si="37"/>
        <v>E5700</v>
      </c>
      <c r="D453" t="s">
        <v>587</v>
      </c>
      <c r="E453" t="s">
        <v>588</v>
      </c>
      <c r="F453" t="s">
        <v>506</v>
      </c>
      <c r="G453" t="s">
        <v>507</v>
      </c>
      <c r="H453" t="s">
        <v>508</v>
      </c>
      <c r="I453" t="s">
        <v>509</v>
      </c>
      <c r="J453" t="s">
        <v>589</v>
      </c>
      <c r="K453" s="502">
        <v>6</v>
      </c>
      <c r="L453" t="s">
        <v>565</v>
      </c>
    </row>
    <row r="454" spans="1:12">
      <c r="A454" t="s">
        <v>3145</v>
      </c>
      <c r="B454" t="s">
        <v>3365</v>
      </c>
      <c r="C454" s="60" t="str">
        <f t="shared" si="37"/>
        <v>E5700</v>
      </c>
      <c r="D454" t="s">
        <v>587</v>
      </c>
      <c r="E454" t="s">
        <v>588</v>
      </c>
      <c r="F454" t="s">
        <v>506</v>
      </c>
      <c r="G454" t="s">
        <v>507</v>
      </c>
      <c r="H454" t="s">
        <v>508</v>
      </c>
      <c r="I454" t="s">
        <v>509</v>
      </c>
      <c r="J454" t="s">
        <v>589</v>
      </c>
      <c r="K454" s="502">
        <v>6</v>
      </c>
      <c r="L454" t="s">
        <v>565</v>
      </c>
    </row>
    <row r="455" spans="1:12">
      <c r="A455" t="s">
        <v>3145</v>
      </c>
      <c r="B455" t="s">
        <v>3366</v>
      </c>
      <c r="C455" s="60" t="str">
        <f t="shared" si="37"/>
        <v>E5700</v>
      </c>
      <c r="D455" t="s">
        <v>587</v>
      </c>
      <c r="E455" t="s">
        <v>588</v>
      </c>
      <c r="F455" t="s">
        <v>506</v>
      </c>
      <c r="G455" t="s">
        <v>507</v>
      </c>
      <c r="H455" t="s">
        <v>508</v>
      </c>
      <c r="I455" t="s">
        <v>509</v>
      </c>
      <c r="J455" t="s">
        <v>589</v>
      </c>
      <c r="K455" s="502">
        <v>6</v>
      </c>
      <c r="L455" t="s">
        <v>565</v>
      </c>
    </row>
    <row r="456" spans="1:12">
      <c r="A456" t="s">
        <v>3145</v>
      </c>
      <c r="B456" t="s">
        <v>3367</v>
      </c>
      <c r="C456" s="60" t="str">
        <f t="shared" si="37"/>
        <v>E5700</v>
      </c>
      <c r="D456" t="s">
        <v>587</v>
      </c>
      <c r="E456" t="s">
        <v>588</v>
      </c>
      <c r="F456" t="s">
        <v>506</v>
      </c>
      <c r="G456" t="s">
        <v>507</v>
      </c>
      <c r="H456" t="s">
        <v>508</v>
      </c>
      <c r="I456" t="s">
        <v>509</v>
      </c>
      <c r="J456" t="s">
        <v>589</v>
      </c>
      <c r="K456" s="502">
        <v>6</v>
      </c>
      <c r="L456" t="s">
        <v>565</v>
      </c>
    </row>
    <row r="457" spans="1:12">
      <c r="A457" t="s">
        <v>3145</v>
      </c>
      <c r="B457" t="s">
        <v>3356</v>
      </c>
      <c r="C457" s="3" t="str">
        <f>+'2-Préparation saisie LV PROD'!B43</f>
        <v>E5600</v>
      </c>
      <c r="D457" t="s">
        <v>587</v>
      </c>
      <c r="E457" t="s">
        <v>588</v>
      </c>
      <c r="F457" t="s">
        <v>506</v>
      </c>
      <c r="G457" t="s">
        <v>507</v>
      </c>
      <c r="H457" t="s">
        <v>508</v>
      </c>
      <c r="I457" t="s">
        <v>509</v>
      </c>
      <c r="J457" t="s">
        <v>589</v>
      </c>
      <c r="K457" s="502">
        <v>10</v>
      </c>
      <c r="L457" t="s">
        <v>564</v>
      </c>
    </row>
    <row r="458" spans="1:12">
      <c r="A458" t="s">
        <v>3145</v>
      </c>
      <c r="B458" t="s">
        <v>3357</v>
      </c>
      <c r="C458" s="60" t="str">
        <f>C457</f>
        <v>E5600</v>
      </c>
      <c r="D458" t="s">
        <v>587</v>
      </c>
      <c r="E458" t="s">
        <v>588</v>
      </c>
      <c r="F458" t="s">
        <v>506</v>
      </c>
      <c r="G458" t="s">
        <v>507</v>
      </c>
      <c r="H458" t="s">
        <v>508</v>
      </c>
      <c r="I458" t="s">
        <v>509</v>
      </c>
      <c r="J458" t="s">
        <v>589</v>
      </c>
      <c r="K458" s="502">
        <v>10</v>
      </c>
      <c r="L458" t="s">
        <v>564</v>
      </c>
    </row>
    <row r="459" spans="1:12">
      <c r="A459" t="s">
        <v>3145</v>
      </c>
      <c r="B459" t="s">
        <v>3358</v>
      </c>
      <c r="C459" s="60" t="str">
        <f t="shared" ref="C459:C468" si="38">+C458</f>
        <v>E5600</v>
      </c>
      <c r="D459" t="s">
        <v>587</v>
      </c>
      <c r="E459" t="s">
        <v>588</v>
      </c>
      <c r="F459" t="s">
        <v>506</v>
      </c>
      <c r="G459" t="s">
        <v>507</v>
      </c>
      <c r="H459" t="s">
        <v>508</v>
      </c>
      <c r="I459" t="s">
        <v>509</v>
      </c>
      <c r="J459" t="s">
        <v>589</v>
      </c>
      <c r="K459" s="502">
        <v>10</v>
      </c>
      <c r="L459" t="s">
        <v>564</v>
      </c>
    </row>
    <row r="460" spans="1:12">
      <c r="A460" t="s">
        <v>3145</v>
      </c>
      <c r="B460" t="s">
        <v>3359</v>
      </c>
      <c r="C460" s="60" t="str">
        <f t="shared" si="38"/>
        <v>E5600</v>
      </c>
      <c r="D460" t="s">
        <v>587</v>
      </c>
      <c r="E460" t="s">
        <v>588</v>
      </c>
      <c r="F460" t="s">
        <v>506</v>
      </c>
      <c r="G460" t="s">
        <v>507</v>
      </c>
      <c r="H460" t="s">
        <v>508</v>
      </c>
      <c r="I460" t="s">
        <v>509</v>
      </c>
      <c r="J460" t="s">
        <v>589</v>
      </c>
      <c r="K460" s="502">
        <v>10</v>
      </c>
      <c r="L460" t="s">
        <v>564</v>
      </c>
    </row>
    <row r="461" spans="1:12">
      <c r="A461" t="s">
        <v>3145</v>
      </c>
      <c r="B461" t="s">
        <v>3360</v>
      </c>
      <c r="C461" s="60" t="str">
        <f t="shared" si="38"/>
        <v>E5600</v>
      </c>
      <c r="D461" t="s">
        <v>587</v>
      </c>
      <c r="E461" t="s">
        <v>588</v>
      </c>
      <c r="F461" t="s">
        <v>506</v>
      </c>
      <c r="G461" t="s">
        <v>507</v>
      </c>
      <c r="H461" t="s">
        <v>508</v>
      </c>
      <c r="I461" t="s">
        <v>509</v>
      </c>
      <c r="J461" t="s">
        <v>589</v>
      </c>
      <c r="K461" s="502">
        <v>10</v>
      </c>
      <c r="L461" t="s">
        <v>564</v>
      </c>
    </row>
    <row r="462" spans="1:12">
      <c r="A462" t="s">
        <v>3145</v>
      </c>
      <c r="B462" t="s">
        <v>3361</v>
      </c>
      <c r="C462" s="60" t="str">
        <f t="shared" si="38"/>
        <v>E5600</v>
      </c>
      <c r="D462" t="s">
        <v>587</v>
      </c>
      <c r="E462" t="s">
        <v>588</v>
      </c>
      <c r="F462" t="s">
        <v>506</v>
      </c>
      <c r="G462" t="s">
        <v>507</v>
      </c>
      <c r="H462" t="s">
        <v>508</v>
      </c>
      <c r="I462" t="s">
        <v>509</v>
      </c>
      <c r="J462" t="s">
        <v>589</v>
      </c>
      <c r="K462" s="502">
        <v>10</v>
      </c>
      <c r="L462" t="s">
        <v>564</v>
      </c>
    </row>
    <row r="463" spans="1:12">
      <c r="A463" t="s">
        <v>3145</v>
      </c>
      <c r="B463" t="s">
        <v>3362</v>
      </c>
      <c r="C463" s="60" t="str">
        <f t="shared" si="38"/>
        <v>E5600</v>
      </c>
      <c r="D463" t="s">
        <v>587</v>
      </c>
      <c r="E463" t="s">
        <v>588</v>
      </c>
      <c r="F463" t="s">
        <v>506</v>
      </c>
      <c r="G463" t="s">
        <v>507</v>
      </c>
      <c r="H463" t="s">
        <v>508</v>
      </c>
      <c r="I463" t="s">
        <v>509</v>
      </c>
      <c r="J463" t="s">
        <v>589</v>
      </c>
      <c r="K463" s="502">
        <v>10</v>
      </c>
      <c r="L463" t="s">
        <v>564</v>
      </c>
    </row>
    <row r="464" spans="1:12">
      <c r="A464" t="s">
        <v>3145</v>
      </c>
      <c r="B464" t="s">
        <v>3363</v>
      </c>
      <c r="C464" s="60" t="str">
        <f t="shared" si="38"/>
        <v>E5600</v>
      </c>
      <c r="D464" t="s">
        <v>587</v>
      </c>
      <c r="E464" t="s">
        <v>588</v>
      </c>
      <c r="F464" t="s">
        <v>506</v>
      </c>
      <c r="G464" t="s">
        <v>507</v>
      </c>
      <c r="H464" t="s">
        <v>508</v>
      </c>
      <c r="I464" t="s">
        <v>509</v>
      </c>
      <c r="J464" t="s">
        <v>589</v>
      </c>
      <c r="K464" s="502">
        <v>10</v>
      </c>
      <c r="L464" t="s">
        <v>564</v>
      </c>
    </row>
    <row r="465" spans="1:12">
      <c r="A465" t="s">
        <v>3145</v>
      </c>
      <c r="B465" t="s">
        <v>3364</v>
      </c>
      <c r="C465" s="60" t="str">
        <f t="shared" si="38"/>
        <v>E5600</v>
      </c>
      <c r="D465" t="s">
        <v>587</v>
      </c>
      <c r="E465" t="s">
        <v>588</v>
      </c>
      <c r="F465" t="s">
        <v>506</v>
      </c>
      <c r="G465" t="s">
        <v>507</v>
      </c>
      <c r="H465" t="s">
        <v>508</v>
      </c>
      <c r="I465" t="s">
        <v>509</v>
      </c>
      <c r="J465" t="s">
        <v>589</v>
      </c>
      <c r="K465" s="502">
        <v>10</v>
      </c>
      <c r="L465" t="s">
        <v>564</v>
      </c>
    </row>
    <row r="466" spans="1:12">
      <c r="A466" t="s">
        <v>3145</v>
      </c>
      <c r="B466" t="s">
        <v>3365</v>
      </c>
      <c r="C466" s="60" t="str">
        <f t="shared" si="38"/>
        <v>E5600</v>
      </c>
      <c r="D466" t="s">
        <v>587</v>
      </c>
      <c r="E466" t="s">
        <v>588</v>
      </c>
      <c r="F466" t="s">
        <v>506</v>
      </c>
      <c r="G466" t="s">
        <v>507</v>
      </c>
      <c r="H466" t="s">
        <v>508</v>
      </c>
      <c r="I466" t="s">
        <v>509</v>
      </c>
      <c r="J466" t="s">
        <v>589</v>
      </c>
      <c r="K466" s="502">
        <v>10</v>
      </c>
      <c r="L466" t="s">
        <v>564</v>
      </c>
    </row>
    <row r="467" spans="1:12">
      <c r="A467" t="s">
        <v>3145</v>
      </c>
      <c r="B467" t="s">
        <v>3366</v>
      </c>
      <c r="C467" s="60" t="str">
        <f t="shared" si="38"/>
        <v>E5600</v>
      </c>
      <c r="D467" t="s">
        <v>587</v>
      </c>
      <c r="E467" t="s">
        <v>588</v>
      </c>
      <c r="F467" t="s">
        <v>506</v>
      </c>
      <c r="G467" t="s">
        <v>507</v>
      </c>
      <c r="H467" t="s">
        <v>508</v>
      </c>
      <c r="I467" t="s">
        <v>509</v>
      </c>
      <c r="J467" t="s">
        <v>589</v>
      </c>
      <c r="K467" s="502">
        <v>10</v>
      </c>
      <c r="L467" t="s">
        <v>564</v>
      </c>
    </row>
    <row r="468" spans="1:12">
      <c r="A468" t="s">
        <v>3145</v>
      </c>
      <c r="B468" t="s">
        <v>3367</v>
      </c>
      <c r="C468" s="60" t="str">
        <f t="shared" si="38"/>
        <v>E5600</v>
      </c>
      <c r="D468" t="s">
        <v>587</v>
      </c>
      <c r="E468" t="s">
        <v>588</v>
      </c>
      <c r="F468" t="s">
        <v>506</v>
      </c>
      <c r="G468" t="s">
        <v>507</v>
      </c>
      <c r="H468" t="s">
        <v>508</v>
      </c>
      <c r="I468" t="s">
        <v>509</v>
      </c>
      <c r="J468" t="s">
        <v>589</v>
      </c>
      <c r="K468" s="502">
        <v>10</v>
      </c>
      <c r="L468" t="s">
        <v>564</v>
      </c>
    </row>
    <row r="469" spans="1:12">
      <c r="A469" t="s">
        <v>3145</v>
      </c>
      <c r="B469" t="s">
        <v>3356</v>
      </c>
      <c r="C469" s="3" t="str">
        <f>+'2-Préparation saisie LV PROD'!B44</f>
        <v>E5770</v>
      </c>
      <c r="D469" t="s">
        <v>587</v>
      </c>
      <c r="E469" t="s">
        <v>588</v>
      </c>
      <c r="F469" t="s">
        <v>506</v>
      </c>
      <c r="G469" t="s">
        <v>507</v>
      </c>
      <c r="H469" t="s">
        <v>508</v>
      </c>
      <c r="I469" t="s">
        <v>509</v>
      </c>
      <c r="J469" t="s">
        <v>589</v>
      </c>
      <c r="K469" s="502">
        <v>5</v>
      </c>
      <c r="L469" t="s">
        <v>566</v>
      </c>
    </row>
    <row r="470" spans="1:12">
      <c r="A470" t="s">
        <v>3145</v>
      </c>
      <c r="B470" t="s">
        <v>3357</v>
      </c>
      <c r="C470" s="60" t="str">
        <f>C469</f>
        <v>E5770</v>
      </c>
      <c r="D470" t="s">
        <v>587</v>
      </c>
      <c r="E470" t="s">
        <v>588</v>
      </c>
      <c r="F470" t="s">
        <v>506</v>
      </c>
      <c r="G470" t="s">
        <v>507</v>
      </c>
      <c r="H470" t="s">
        <v>508</v>
      </c>
      <c r="I470" t="s">
        <v>509</v>
      </c>
      <c r="J470" t="s">
        <v>589</v>
      </c>
      <c r="K470" s="502">
        <v>5</v>
      </c>
      <c r="L470" t="s">
        <v>566</v>
      </c>
    </row>
    <row r="471" spans="1:12">
      <c r="A471" t="s">
        <v>3145</v>
      </c>
      <c r="B471" t="s">
        <v>3358</v>
      </c>
      <c r="C471" s="60" t="str">
        <f t="shared" ref="C471:C480" si="39">+C470</f>
        <v>E5770</v>
      </c>
      <c r="D471" t="s">
        <v>587</v>
      </c>
      <c r="E471" t="s">
        <v>588</v>
      </c>
      <c r="F471" t="s">
        <v>506</v>
      </c>
      <c r="G471" t="s">
        <v>507</v>
      </c>
      <c r="H471" t="s">
        <v>508</v>
      </c>
      <c r="I471" t="s">
        <v>509</v>
      </c>
      <c r="J471" t="s">
        <v>589</v>
      </c>
      <c r="K471" s="502">
        <v>5</v>
      </c>
      <c r="L471" t="s">
        <v>566</v>
      </c>
    </row>
    <row r="472" spans="1:12">
      <c r="A472" t="s">
        <v>3145</v>
      </c>
      <c r="B472" t="s">
        <v>3359</v>
      </c>
      <c r="C472" s="60" t="str">
        <f t="shared" si="39"/>
        <v>E5770</v>
      </c>
      <c r="D472" t="s">
        <v>587</v>
      </c>
      <c r="E472" t="s">
        <v>588</v>
      </c>
      <c r="F472" t="s">
        <v>506</v>
      </c>
      <c r="G472" t="s">
        <v>507</v>
      </c>
      <c r="H472" t="s">
        <v>508</v>
      </c>
      <c r="I472" t="s">
        <v>509</v>
      </c>
      <c r="J472" t="s">
        <v>589</v>
      </c>
      <c r="K472" s="502">
        <v>5</v>
      </c>
      <c r="L472" t="s">
        <v>566</v>
      </c>
    </row>
    <row r="473" spans="1:12">
      <c r="A473" t="s">
        <v>3145</v>
      </c>
      <c r="B473" t="s">
        <v>3360</v>
      </c>
      <c r="C473" s="60" t="str">
        <f t="shared" si="39"/>
        <v>E5770</v>
      </c>
      <c r="D473" t="s">
        <v>587</v>
      </c>
      <c r="E473" t="s">
        <v>588</v>
      </c>
      <c r="F473" t="s">
        <v>506</v>
      </c>
      <c r="G473" t="s">
        <v>507</v>
      </c>
      <c r="H473" t="s">
        <v>508</v>
      </c>
      <c r="I473" t="s">
        <v>509</v>
      </c>
      <c r="J473" t="s">
        <v>589</v>
      </c>
      <c r="K473" s="502">
        <v>5</v>
      </c>
      <c r="L473" t="s">
        <v>566</v>
      </c>
    </row>
    <row r="474" spans="1:12">
      <c r="A474" t="s">
        <v>3145</v>
      </c>
      <c r="B474" t="s">
        <v>3361</v>
      </c>
      <c r="C474" s="60" t="str">
        <f t="shared" si="39"/>
        <v>E5770</v>
      </c>
      <c r="D474" t="s">
        <v>587</v>
      </c>
      <c r="E474" t="s">
        <v>588</v>
      </c>
      <c r="F474" t="s">
        <v>506</v>
      </c>
      <c r="G474" t="s">
        <v>507</v>
      </c>
      <c r="H474" t="s">
        <v>508</v>
      </c>
      <c r="I474" t="s">
        <v>509</v>
      </c>
      <c r="J474" t="s">
        <v>589</v>
      </c>
      <c r="K474" s="502">
        <v>5</v>
      </c>
      <c r="L474" t="s">
        <v>566</v>
      </c>
    </row>
    <row r="475" spans="1:12">
      <c r="A475" t="s">
        <v>3145</v>
      </c>
      <c r="B475" t="s">
        <v>3362</v>
      </c>
      <c r="C475" s="60" t="str">
        <f t="shared" si="39"/>
        <v>E5770</v>
      </c>
      <c r="D475" t="s">
        <v>587</v>
      </c>
      <c r="E475" t="s">
        <v>588</v>
      </c>
      <c r="F475" t="s">
        <v>506</v>
      </c>
      <c r="G475" t="s">
        <v>507</v>
      </c>
      <c r="H475" t="s">
        <v>508</v>
      </c>
      <c r="I475" t="s">
        <v>509</v>
      </c>
      <c r="J475" t="s">
        <v>589</v>
      </c>
      <c r="K475" s="502">
        <v>5</v>
      </c>
      <c r="L475" t="s">
        <v>566</v>
      </c>
    </row>
    <row r="476" spans="1:12">
      <c r="A476" t="s">
        <v>3145</v>
      </c>
      <c r="B476" t="s">
        <v>3363</v>
      </c>
      <c r="C476" s="60" t="str">
        <f t="shared" si="39"/>
        <v>E5770</v>
      </c>
      <c r="D476" t="s">
        <v>587</v>
      </c>
      <c r="E476" t="s">
        <v>588</v>
      </c>
      <c r="F476" t="s">
        <v>506</v>
      </c>
      <c r="G476" t="s">
        <v>507</v>
      </c>
      <c r="H476" t="s">
        <v>508</v>
      </c>
      <c r="I476" t="s">
        <v>509</v>
      </c>
      <c r="J476" t="s">
        <v>589</v>
      </c>
      <c r="K476" s="502">
        <v>5</v>
      </c>
      <c r="L476" t="s">
        <v>566</v>
      </c>
    </row>
    <row r="477" spans="1:12">
      <c r="A477" t="s">
        <v>3145</v>
      </c>
      <c r="B477" t="s">
        <v>3364</v>
      </c>
      <c r="C477" s="60" t="str">
        <f t="shared" si="39"/>
        <v>E5770</v>
      </c>
      <c r="D477" t="s">
        <v>587</v>
      </c>
      <c r="E477" t="s">
        <v>588</v>
      </c>
      <c r="F477" t="s">
        <v>506</v>
      </c>
      <c r="G477" t="s">
        <v>507</v>
      </c>
      <c r="H477" t="s">
        <v>508</v>
      </c>
      <c r="I477" t="s">
        <v>509</v>
      </c>
      <c r="J477" t="s">
        <v>589</v>
      </c>
      <c r="K477" s="502">
        <v>5</v>
      </c>
      <c r="L477" t="s">
        <v>566</v>
      </c>
    </row>
    <row r="478" spans="1:12">
      <c r="A478" t="s">
        <v>3145</v>
      </c>
      <c r="B478" t="s">
        <v>3365</v>
      </c>
      <c r="C478" s="60" t="str">
        <f t="shared" si="39"/>
        <v>E5770</v>
      </c>
      <c r="D478" t="s">
        <v>587</v>
      </c>
      <c r="E478" t="s">
        <v>588</v>
      </c>
      <c r="F478" t="s">
        <v>506</v>
      </c>
      <c r="G478" t="s">
        <v>507</v>
      </c>
      <c r="H478" t="s">
        <v>508</v>
      </c>
      <c r="I478" t="s">
        <v>509</v>
      </c>
      <c r="J478" t="s">
        <v>589</v>
      </c>
      <c r="K478" s="502">
        <v>5</v>
      </c>
      <c r="L478" t="s">
        <v>566</v>
      </c>
    </row>
    <row r="479" spans="1:12">
      <c r="A479" t="s">
        <v>3145</v>
      </c>
      <c r="B479" t="s">
        <v>3366</v>
      </c>
      <c r="C479" s="60" t="str">
        <f t="shared" si="39"/>
        <v>E5770</v>
      </c>
      <c r="D479" t="s">
        <v>587</v>
      </c>
      <c r="E479" t="s">
        <v>588</v>
      </c>
      <c r="F479" t="s">
        <v>506</v>
      </c>
      <c r="G479" t="s">
        <v>507</v>
      </c>
      <c r="H479" t="s">
        <v>508</v>
      </c>
      <c r="I479" t="s">
        <v>509</v>
      </c>
      <c r="J479" t="s">
        <v>589</v>
      </c>
      <c r="K479" s="502">
        <v>5</v>
      </c>
      <c r="L479" t="s">
        <v>566</v>
      </c>
    </row>
    <row r="480" spans="1:12">
      <c r="A480" t="s">
        <v>3145</v>
      </c>
      <c r="B480" t="s">
        <v>3367</v>
      </c>
      <c r="C480" s="60" t="str">
        <f t="shared" si="39"/>
        <v>E5770</v>
      </c>
      <c r="D480" t="s">
        <v>587</v>
      </c>
      <c r="E480" t="s">
        <v>588</v>
      </c>
      <c r="F480" t="s">
        <v>506</v>
      </c>
      <c r="G480" t="s">
        <v>507</v>
      </c>
      <c r="H480" t="s">
        <v>508</v>
      </c>
      <c r="I480" t="s">
        <v>509</v>
      </c>
      <c r="J480" t="s">
        <v>589</v>
      </c>
      <c r="K480" s="502">
        <v>5</v>
      </c>
      <c r="L480" t="s">
        <v>566</v>
      </c>
    </row>
    <row r="481" spans="1:12">
      <c r="A481" t="s">
        <v>3145</v>
      </c>
      <c r="B481" t="s">
        <v>3356</v>
      </c>
      <c r="C481" s="3" t="str">
        <f>+'2-Préparation saisie LV PROD'!B45</f>
        <v>E5630</v>
      </c>
      <c r="D481" t="s">
        <v>587</v>
      </c>
      <c r="E481" t="s">
        <v>588</v>
      </c>
      <c r="F481" t="s">
        <v>506</v>
      </c>
      <c r="G481" t="s">
        <v>507</v>
      </c>
      <c r="H481" t="s">
        <v>508</v>
      </c>
      <c r="I481" t="s">
        <v>509</v>
      </c>
      <c r="J481" t="s">
        <v>589</v>
      </c>
      <c r="K481" s="502">
        <v>8</v>
      </c>
      <c r="L481" t="s">
        <v>3423</v>
      </c>
    </row>
    <row r="482" spans="1:12">
      <c r="A482" t="s">
        <v>3145</v>
      </c>
      <c r="B482" t="s">
        <v>3357</v>
      </c>
      <c r="C482" s="60" t="str">
        <f>C481</f>
        <v>E5630</v>
      </c>
      <c r="D482" t="s">
        <v>587</v>
      </c>
      <c r="E482" t="s">
        <v>588</v>
      </c>
      <c r="F482" t="s">
        <v>506</v>
      </c>
      <c r="G482" t="s">
        <v>507</v>
      </c>
      <c r="H482" t="s">
        <v>508</v>
      </c>
      <c r="I482" t="s">
        <v>509</v>
      </c>
      <c r="J482" t="s">
        <v>589</v>
      </c>
      <c r="K482" s="502">
        <v>8</v>
      </c>
      <c r="L482" t="s">
        <v>3423</v>
      </c>
    </row>
    <row r="483" spans="1:12">
      <c r="A483" t="s">
        <v>3145</v>
      </c>
      <c r="B483" t="s">
        <v>3358</v>
      </c>
      <c r="C483" s="60" t="str">
        <f t="shared" ref="C483:C492" si="40">+C482</f>
        <v>E5630</v>
      </c>
      <c r="D483" t="s">
        <v>587</v>
      </c>
      <c r="E483" t="s">
        <v>588</v>
      </c>
      <c r="F483" t="s">
        <v>506</v>
      </c>
      <c r="G483" t="s">
        <v>507</v>
      </c>
      <c r="H483" t="s">
        <v>508</v>
      </c>
      <c r="I483" t="s">
        <v>509</v>
      </c>
      <c r="J483" t="s">
        <v>589</v>
      </c>
      <c r="K483" s="502">
        <v>8</v>
      </c>
      <c r="L483" t="s">
        <v>3423</v>
      </c>
    </row>
    <row r="484" spans="1:12">
      <c r="A484" t="s">
        <v>3145</v>
      </c>
      <c r="B484" t="s">
        <v>3359</v>
      </c>
      <c r="C484" s="60" t="str">
        <f t="shared" si="40"/>
        <v>E5630</v>
      </c>
      <c r="D484" t="s">
        <v>587</v>
      </c>
      <c r="E484" t="s">
        <v>588</v>
      </c>
      <c r="F484" t="s">
        <v>506</v>
      </c>
      <c r="G484" t="s">
        <v>507</v>
      </c>
      <c r="H484" t="s">
        <v>508</v>
      </c>
      <c r="I484" t="s">
        <v>509</v>
      </c>
      <c r="J484" t="s">
        <v>589</v>
      </c>
      <c r="K484" s="502">
        <v>8</v>
      </c>
      <c r="L484" t="s">
        <v>3423</v>
      </c>
    </row>
    <row r="485" spans="1:12">
      <c r="A485" t="s">
        <v>3145</v>
      </c>
      <c r="B485" t="s">
        <v>3360</v>
      </c>
      <c r="C485" s="60" t="str">
        <f t="shared" si="40"/>
        <v>E5630</v>
      </c>
      <c r="D485" t="s">
        <v>587</v>
      </c>
      <c r="E485" t="s">
        <v>588</v>
      </c>
      <c r="F485" t="s">
        <v>506</v>
      </c>
      <c r="G485" t="s">
        <v>507</v>
      </c>
      <c r="H485" t="s">
        <v>508</v>
      </c>
      <c r="I485" t="s">
        <v>509</v>
      </c>
      <c r="J485" t="s">
        <v>589</v>
      </c>
      <c r="K485" s="502">
        <v>8</v>
      </c>
      <c r="L485" t="s">
        <v>3423</v>
      </c>
    </row>
    <row r="486" spans="1:12">
      <c r="A486" t="s">
        <v>3145</v>
      </c>
      <c r="B486" t="s">
        <v>3361</v>
      </c>
      <c r="C486" s="60" t="str">
        <f t="shared" si="40"/>
        <v>E5630</v>
      </c>
      <c r="D486" t="s">
        <v>587</v>
      </c>
      <c r="E486" t="s">
        <v>588</v>
      </c>
      <c r="F486" t="s">
        <v>506</v>
      </c>
      <c r="G486" t="s">
        <v>507</v>
      </c>
      <c r="H486" t="s">
        <v>508</v>
      </c>
      <c r="I486" t="s">
        <v>509</v>
      </c>
      <c r="J486" t="s">
        <v>589</v>
      </c>
      <c r="K486" s="502">
        <v>8</v>
      </c>
      <c r="L486" t="s">
        <v>3423</v>
      </c>
    </row>
    <row r="487" spans="1:12">
      <c r="A487" t="s">
        <v>3145</v>
      </c>
      <c r="B487" t="s">
        <v>3362</v>
      </c>
      <c r="C487" s="60" t="str">
        <f t="shared" si="40"/>
        <v>E5630</v>
      </c>
      <c r="D487" t="s">
        <v>587</v>
      </c>
      <c r="E487" t="s">
        <v>588</v>
      </c>
      <c r="F487" t="s">
        <v>506</v>
      </c>
      <c r="G487" t="s">
        <v>507</v>
      </c>
      <c r="H487" t="s">
        <v>508</v>
      </c>
      <c r="I487" t="s">
        <v>509</v>
      </c>
      <c r="J487" t="s">
        <v>589</v>
      </c>
      <c r="K487" s="502">
        <v>8</v>
      </c>
      <c r="L487" t="s">
        <v>3423</v>
      </c>
    </row>
    <row r="488" spans="1:12">
      <c r="A488" t="s">
        <v>3145</v>
      </c>
      <c r="B488" t="s">
        <v>3363</v>
      </c>
      <c r="C488" s="60" t="str">
        <f t="shared" si="40"/>
        <v>E5630</v>
      </c>
      <c r="D488" t="s">
        <v>587</v>
      </c>
      <c r="E488" t="s">
        <v>588</v>
      </c>
      <c r="F488" t="s">
        <v>506</v>
      </c>
      <c r="G488" t="s">
        <v>507</v>
      </c>
      <c r="H488" t="s">
        <v>508</v>
      </c>
      <c r="I488" t="s">
        <v>509</v>
      </c>
      <c r="J488" t="s">
        <v>589</v>
      </c>
      <c r="K488" s="502">
        <v>8</v>
      </c>
      <c r="L488" t="s">
        <v>3423</v>
      </c>
    </row>
    <row r="489" spans="1:12">
      <c r="A489" t="s">
        <v>3145</v>
      </c>
      <c r="B489" t="s">
        <v>3364</v>
      </c>
      <c r="C489" s="60" t="str">
        <f t="shared" si="40"/>
        <v>E5630</v>
      </c>
      <c r="D489" t="s">
        <v>587</v>
      </c>
      <c r="E489" t="s">
        <v>588</v>
      </c>
      <c r="F489" t="s">
        <v>506</v>
      </c>
      <c r="G489" t="s">
        <v>507</v>
      </c>
      <c r="H489" t="s">
        <v>508</v>
      </c>
      <c r="I489" t="s">
        <v>509</v>
      </c>
      <c r="J489" t="s">
        <v>589</v>
      </c>
      <c r="K489" s="502">
        <v>8</v>
      </c>
      <c r="L489" t="s">
        <v>3423</v>
      </c>
    </row>
    <row r="490" spans="1:12">
      <c r="A490" t="s">
        <v>3145</v>
      </c>
      <c r="B490" t="s">
        <v>3365</v>
      </c>
      <c r="C490" s="60" t="str">
        <f t="shared" si="40"/>
        <v>E5630</v>
      </c>
      <c r="D490" t="s">
        <v>587</v>
      </c>
      <c r="E490" t="s">
        <v>588</v>
      </c>
      <c r="F490" t="s">
        <v>506</v>
      </c>
      <c r="G490" t="s">
        <v>507</v>
      </c>
      <c r="H490" t="s">
        <v>508</v>
      </c>
      <c r="I490" t="s">
        <v>509</v>
      </c>
      <c r="J490" t="s">
        <v>589</v>
      </c>
      <c r="K490" s="502">
        <v>8</v>
      </c>
      <c r="L490" t="s">
        <v>3423</v>
      </c>
    </row>
    <row r="491" spans="1:12">
      <c r="A491" t="s">
        <v>3145</v>
      </c>
      <c r="B491" t="s">
        <v>3366</v>
      </c>
      <c r="C491" s="60" t="str">
        <f t="shared" si="40"/>
        <v>E5630</v>
      </c>
      <c r="D491" t="s">
        <v>587</v>
      </c>
      <c r="E491" t="s">
        <v>588</v>
      </c>
      <c r="F491" t="s">
        <v>506</v>
      </c>
      <c r="G491" t="s">
        <v>507</v>
      </c>
      <c r="H491" t="s">
        <v>508</v>
      </c>
      <c r="I491" t="s">
        <v>509</v>
      </c>
      <c r="J491" t="s">
        <v>589</v>
      </c>
      <c r="K491" s="502">
        <v>8</v>
      </c>
      <c r="L491" t="s">
        <v>3423</v>
      </c>
    </row>
    <row r="492" spans="1:12">
      <c r="A492" t="s">
        <v>3145</v>
      </c>
      <c r="B492" t="s">
        <v>3367</v>
      </c>
      <c r="C492" s="60" t="str">
        <f t="shared" si="40"/>
        <v>E5630</v>
      </c>
      <c r="D492" t="s">
        <v>587</v>
      </c>
      <c r="E492" t="s">
        <v>588</v>
      </c>
      <c r="F492" t="s">
        <v>506</v>
      </c>
      <c r="G492" t="s">
        <v>507</v>
      </c>
      <c r="H492" t="s">
        <v>508</v>
      </c>
      <c r="I492" t="s">
        <v>509</v>
      </c>
      <c r="J492" t="s">
        <v>589</v>
      </c>
      <c r="K492" s="502">
        <v>8</v>
      </c>
      <c r="L492" t="s">
        <v>3423</v>
      </c>
    </row>
    <row r="493" spans="1:12">
      <c r="A493" t="s">
        <v>3145</v>
      </c>
      <c r="B493" t="s">
        <v>3356</v>
      </c>
      <c r="C493" s="3" t="str">
        <f>+'2-Préparation saisie LV PROD'!B46</f>
        <v>E5690</v>
      </c>
      <c r="D493" t="s">
        <v>587</v>
      </c>
      <c r="E493" t="s">
        <v>588</v>
      </c>
      <c r="F493" t="s">
        <v>506</v>
      </c>
      <c r="G493" t="s">
        <v>507</v>
      </c>
      <c r="H493" t="s">
        <v>508</v>
      </c>
      <c r="I493" t="s">
        <v>509</v>
      </c>
      <c r="J493" t="s">
        <v>589</v>
      </c>
      <c r="K493" s="502">
        <v>5</v>
      </c>
      <c r="L493" t="s">
        <v>558</v>
      </c>
    </row>
    <row r="494" spans="1:12">
      <c r="A494" t="s">
        <v>3145</v>
      </c>
      <c r="B494" t="s">
        <v>3357</v>
      </c>
      <c r="C494" s="60" t="str">
        <f>C493</f>
        <v>E5690</v>
      </c>
      <c r="D494" t="s">
        <v>587</v>
      </c>
      <c r="E494" t="s">
        <v>588</v>
      </c>
      <c r="F494" t="s">
        <v>506</v>
      </c>
      <c r="G494" t="s">
        <v>507</v>
      </c>
      <c r="H494" t="s">
        <v>508</v>
      </c>
      <c r="I494" t="s">
        <v>509</v>
      </c>
      <c r="J494" t="s">
        <v>589</v>
      </c>
      <c r="K494" s="502">
        <v>5</v>
      </c>
      <c r="L494" t="s">
        <v>558</v>
      </c>
    </row>
    <row r="495" spans="1:12">
      <c r="A495" t="s">
        <v>3145</v>
      </c>
      <c r="B495" t="s">
        <v>3358</v>
      </c>
      <c r="C495" s="60" t="str">
        <f t="shared" ref="C495:C504" si="41">+C494</f>
        <v>E5690</v>
      </c>
      <c r="D495" t="s">
        <v>587</v>
      </c>
      <c r="E495" t="s">
        <v>588</v>
      </c>
      <c r="F495" t="s">
        <v>506</v>
      </c>
      <c r="G495" t="s">
        <v>507</v>
      </c>
      <c r="H495" t="s">
        <v>508</v>
      </c>
      <c r="I495" t="s">
        <v>509</v>
      </c>
      <c r="J495" t="s">
        <v>589</v>
      </c>
      <c r="K495" s="502">
        <v>5</v>
      </c>
      <c r="L495" t="s">
        <v>558</v>
      </c>
    </row>
    <row r="496" spans="1:12">
      <c r="A496" t="s">
        <v>3145</v>
      </c>
      <c r="B496" t="s">
        <v>3359</v>
      </c>
      <c r="C496" s="60" t="str">
        <f t="shared" si="41"/>
        <v>E5690</v>
      </c>
      <c r="D496" t="s">
        <v>587</v>
      </c>
      <c r="E496" t="s">
        <v>588</v>
      </c>
      <c r="F496" t="s">
        <v>506</v>
      </c>
      <c r="G496" t="s">
        <v>507</v>
      </c>
      <c r="H496" t="s">
        <v>508</v>
      </c>
      <c r="I496" t="s">
        <v>509</v>
      </c>
      <c r="J496" t="s">
        <v>589</v>
      </c>
      <c r="K496" s="502">
        <v>5</v>
      </c>
      <c r="L496" t="s">
        <v>558</v>
      </c>
    </row>
    <row r="497" spans="1:12">
      <c r="A497" t="s">
        <v>3145</v>
      </c>
      <c r="B497" t="s">
        <v>3360</v>
      </c>
      <c r="C497" s="60" t="str">
        <f t="shared" si="41"/>
        <v>E5690</v>
      </c>
      <c r="D497" t="s">
        <v>587</v>
      </c>
      <c r="E497" t="s">
        <v>588</v>
      </c>
      <c r="F497" t="s">
        <v>506</v>
      </c>
      <c r="G497" t="s">
        <v>507</v>
      </c>
      <c r="H497" t="s">
        <v>508</v>
      </c>
      <c r="I497" t="s">
        <v>509</v>
      </c>
      <c r="J497" t="s">
        <v>589</v>
      </c>
      <c r="K497" s="502">
        <v>5</v>
      </c>
      <c r="L497" t="s">
        <v>558</v>
      </c>
    </row>
    <row r="498" spans="1:12">
      <c r="A498" t="s">
        <v>3145</v>
      </c>
      <c r="B498" t="s">
        <v>3361</v>
      </c>
      <c r="C498" s="60" t="str">
        <f t="shared" si="41"/>
        <v>E5690</v>
      </c>
      <c r="D498" t="s">
        <v>587</v>
      </c>
      <c r="E498" t="s">
        <v>588</v>
      </c>
      <c r="F498" t="s">
        <v>506</v>
      </c>
      <c r="G498" t="s">
        <v>507</v>
      </c>
      <c r="H498" t="s">
        <v>508</v>
      </c>
      <c r="I498" t="s">
        <v>509</v>
      </c>
      <c r="J498" t="s">
        <v>589</v>
      </c>
      <c r="K498" s="502">
        <v>5</v>
      </c>
      <c r="L498" t="s">
        <v>558</v>
      </c>
    </row>
    <row r="499" spans="1:12">
      <c r="A499" t="s">
        <v>3145</v>
      </c>
      <c r="B499" t="s">
        <v>3362</v>
      </c>
      <c r="C499" s="60" t="str">
        <f t="shared" si="41"/>
        <v>E5690</v>
      </c>
      <c r="D499" t="s">
        <v>587</v>
      </c>
      <c r="E499" t="s">
        <v>588</v>
      </c>
      <c r="F499" t="s">
        <v>506</v>
      </c>
      <c r="G499" t="s">
        <v>507</v>
      </c>
      <c r="H499" t="s">
        <v>508</v>
      </c>
      <c r="I499" t="s">
        <v>509</v>
      </c>
      <c r="J499" t="s">
        <v>589</v>
      </c>
      <c r="K499" s="502">
        <v>5</v>
      </c>
      <c r="L499" t="s">
        <v>558</v>
      </c>
    </row>
    <row r="500" spans="1:12">
      <c r="A500" t="s">
        <v>3145</v>
      </c>
      <c r="B500" t="s">
        <v>3363</v>
      </c>
      <c r="C500" s="60" t="str">
        <f t="shared" si="41"/>
        <v>E5690</v>
      </c>
      <c r="D500" t="s">
        <v>587</v>
      </c>
      <c r="E500" t="s">
        <v>588</v>
      </c>
      <c r="F500" t="s">
        <v>506</v>
      </c>
      <c r="G500" t="s">
        <v>507</v>
      </c>
      <c r="H500" t="s">
        <v>508</v>
      </c>
      <c r="I500" t="s">
        <v>509</v>
      </c>
      <c r="J500" t="s">
        <v>589</v>
      </c>
      <c r="K500" s="502">
        <v>5</v>
      </c>
      <c r="L500" t="s">
        <v>558</v>
      </c>
    </row>
    <row r="501" spans="1:12">
      <c r="A501" t="s">
        <v>3145</v>
      </c>
      <c r="B501" t="s">
        <v>3364</v>
      </c>
      <c r="C501" s="60" t="str">
        <f t="shared" si="41"/>
        <v>E5690</v>
      </c>
      <c r="D501" t="s">
        <v>587</v>
      </c>
      <c r="E501" t="s">
        <v>588</v>
      </c>
      <c r="F501" t="s">
        <v>506</v>
      </c>
      <c r="G501" t="s">
        <v>507</v>
      </c>
      <c r="H501" t="s">
        <v>508</v>
      </c>
      <c r="I501" t="s">
        <v>509</v>
      </c>
      <c r="J501" t="s">
        <v>589</v>
      </c>
      <c r="K501" s="502">
        <v>5</v>
      </c>
      <c r="L501" t="s">
        <v>558</v>
      </c>
    </row>
    <row r="502" spans="1:12">
      <c r="A502" t="s">
        <v>3145</v>
      </c>
      <c r="B502" t="s">
        <v>3365</v>
      </c>
      <c r="C502" s="60" t="str">
        <f t="shared" si="41"/>
        <v>E5690</v>
      </c>
      <c r="D502" t="s">
        <v>587</v>
      </c>
      <c r="E502" t="s">
        <v>588</v>
      </c>
      <c r="F502" t="s">
        <v>506</v>
      </c>
      <c r="G502" t="s">
        <v>507</v>
      </c>
      <c r="H502" t="s">
        <v>508</v>
      </c>
      <c r="I502" t="s">
        <v>509</v>
      </c>
      <c r="J502" t="s">
        <v>589</v>
      </c>
      <c r="K502" s="502">
        <v>5</v>
      </c>
      <c r="L502" t="s">
        <v>558</v>
      </c>
    </row>
    <row r="503" spans="1:12">
      <c r="A503" t="s">
        <v>3145</v>
      </c>
      <c r="B503" t="s">
        <v>3366</v>
      </c>
      <c r="C503" s="60" t="str">
        <f t="shared" si="41"/>
        <v>E5690</v>
      </c>
      <c r="D503" t="s">
        <v>587</v>
      </c>
      <c r="E503" t="s">
        <v>588</v>
      </c>
      <c r="F503" t="s">
        <v>506</v>
      </c>
      <c r="G503" t="s">
        <v>507</v>
      </c>
      <c r="H503" t="s">
        <v>508</v>
      </c>
      <c r="I503" t="s">
        <v>509</v>
      </c>
      <c r="J503" t="s">
        <v>589</v>
      </c>
      <c r="K503" s="502">
        <v>5</v>
      </c>
      <c r="L503" t="s">
        <v>558</v>
      </c>
    </row>
    <row r="504" spans="1:12">
      <c r="A504" t="s">
        <v>3145</v>
      </c>
      <c r="B504" t="s">
        <v>3367</v>
      </c>
      <c r="C504" s="60" t="str">
        <f t="shared" si="41"/>
        <v>E5690</v>
      </c>
      <c r="D504" t="s">
        <v>587</v>
      </c>
      <c r="E504" t="s">
        <v>588</v>
      </c>
      <c r="F504" t="s">
        <v>506</v>
      </c>
      <c r="G504" t="s">
        <v>507</v>
      </c>
      <c r="H504" t="s">
        <v>508</v>
      </c>
      <c r="I504" t="s">
        <v>509</v>
      </c>
      <c r="J504" t="s">
        <v>589</v>
      </c>
      <c r="K504" s="502">
        <v>5</v>
      </c>
      <c r="L504" t="s">
        <v>558</v>
      </c>
    </row>
    <row r="505" spans="1:12">
      <c r="A505" t="s">
        <v>3145</v>
      </c>
      <c r="B505" t="s">
        <v>3356</v>
      </c>
      <c r="C505" s="3" t="str">
        <f>+'2-Préparation saisie LV PROD'!B47</f>
        <v>E5640</v>
      </c>
      <c r="D505" t="s">
        <v>587</v>
      </c>
      <c r="E505" t="s">
        <v>588</v>
      </c>
      <c r="F505" t="s">
        <v>506</v>
      </c>
      <c r="G505" t="s">
        <v>507</v>
      </c>
      <c r="H505" t="s">
        <v>508</v>
      </c>
      <c r="I505" t="s">
        <v>509</v>
      </c>
      <c r="J505" t="s">
        <v>589</v>
      </c>
      <c r="K505" s="502">
        <v>7</v>
      </c>
      <c r="L505" t="s">
        <v>3424</v>
      </c>
    </row>
    <row r="506" spans="1:12">
      <c r="A506" t="s">
        <v>3145</v>
      </c>
      <c r="B506" t="s">
        <v>3357</v>
      </c>
      <c r="C506" s="60" t="str">
        <f>C505</f>
        <v>E5640</v>
      </c>
      <c r="D506" t="s">
        <v>587</v>
      </c>
      <c r="E506" t="s">
        <v>588</v>
      </c>
      <c r="F506" t="s">
        <v>506</v>
      </c>
      <c r="G506" t="s">
        <v>507</v>
      </c>
      <c r="H506" t="s">
        <v>508</v>
      </c>
      <c r="I506" t="s">
        <v>509</v>
      </c>
      <c r="J506" t="s">
        <v>589</v>
      </c>
      <c r="K506" s="502">
        <v>7</v>
      </c>
      <c r="L506" t="s">
        <v>3424</v>
      </c>
    </row>
    <row r="507" spans="1:12">
      <c r="A507" t="s">
        <v>3145</v>
      </c>
      <c r="B507" t="s">
        <v>3358</v>
      </c>
      <c r="C507" s="60" t="str">
        <f t="shared" ref="C507:C516" si="42">+C506</f>
        <v>E5640</v>
      </c>
      <c r="D507" t="s">
        <v>587</v>
      </c>
      <c r="E507" t="s">
        <v>588</v>
      </c>
      <c r="F507" t="s">
        <v>506</v>
      </c>
      <c r="G507" t="s">
        <v>507</v>
      </c>
      <c r="H507" t="s">
        <v>508</v>
      </c>
      <c r="I507" t="s">
        <v>509</v>
      </c>
      <c r="J507" t="s">
        <v>589</v>
      </c>
      <c r="K507" s="502">
        <v>7</v>
      </c>
      <c r="L507" t="s">
        <v>3424</v>
      </c>
    </row>
    <row r="508" spans="1:12">
      <c r="A508" t="s">
        <v>3145</v>
      </c>
      <c r="B508" t="s">
        <v>3359</v>
      </c>
      <c r="C508" s="60" t="str">
        <f t="shared" si="42"/>
        <v>E5640</v>
      </c>
      <c r="D508" t="s">
        <v>587</v>
      </c>
      <c r="E508" t="s">
        <v>588</v>
      </c>
      <c r="F508" t="s">
        <v>506</v>
      </c>
      <c r="G508" t="s">
        <v>507</v>
      </c>
      <c r="H508" t="s">
        <v>508</v>
      </c>
      <c r="I508" t="s">
        <v>509</v>
      </c>
      <c r="J508" t="s">
        <v>589</v>
      </c>
      <c r="K508" s="502">
        <v>7</v>
      </c>
      <c r="L508" t="s">
        <v>3424</v>
      </c>
    </row>
    <row r="509" spans="1:12">
      <c r="A509" t="s">
        <v>3145</v>
      </c>
      <c r="B509" t="s">
        <v>3360</v>
      </c>
      <c r="C509" s="60" t="str">
        <f t="shared" si="42"/>
        <v>E5640</v>
      </c>
      <c r="D509" t="s">
        <v>587</v>
      </c>
      <c r="E509" t="s">
        <v>588</v>
      </c>
      <c r="F509" t="s">
        <v>506</v>
      </c>
      <c r="G509" t="s">
        <v>507</v>
      </c>
      <c r="H509" t="s">
        <v>508</v>
      </c>
      <c r="I509" t="s">
        <v>509</v>
      </c>
      <c r="J509" t="s">
        <v>589</v>
      </c>
      <c r="K509" s="502">
        <v>7</v>
      </c>
      <c r="L509" t="s">
        <v>3424</v>
      </c>
    </row>
    <row r="510" spans="1:12">
      <c r="A510" t="s">
        <v>3145</v>
      </c>
      <c r="B510" t="s">
        <v>3361</v>
      </c>
      <c r="C510" s="60" t="str">
        <f t="shared" si="42"/>
        <v>E5640</v>
      </c>
      <c r="D510" t="s">
        <v>587</v>
      </c>
      <c r="E510" t="s">
        <v>588</v>
      </c>
      <c r="F510" t="s">
        <v>506</v>
      </c>
      <c r="G510" t="s">
        <v>507</v>
      </c>
      <c r="H510" t="s">
        <v>508</v>
      </c>
      <c r="I510" t="s">
        <v>509</v>
      </c>
      <c r="J510" t="s">
        <v>589</v>
      </c>
      <c r="K510" s="502">
        <v>7</v>
      </c>
      <c r="L510" t="s">
        <v>3424</v>
      </c>
    </row>
    <row r="511" spans="1:12">
      <c r="A511" t="s">
        <v>3145</v>
      </c>
      <c r="B511" t="s">
        <v>3362</v>
      </c>
      <c r="C511" s="60" t="str">
        <f t="shared" si="42"/>
        <v>E5640</v>
      </c>
      <c r="D511" t="s">
        <v>587</v>
      </c>
      <c r="E511" t="s">
        <v>588</v>
      </c>
      <c r="F511" t="s">
        <v>506</v>
      </c>
      <c r="G511" t="s">
        <v>507</v>
      </c>
      <c r="H511" t="s">
        <v>508</v>
      </c>
      <c r="I511" t="s">
        <v>509</v>
      </c>
      <c r="J511" t="s">
        <v>589</v>
      </c>
      <c r="K511" s="502">
        <v>7</v>
      </c>
      <c r="L511" t="s">
        <v>3424</v>
      </c>
    </row>
    <row r="512" spans="1:12">
      <c r="A512" t="s">
        <v>3145</v>
      </c>
      <c r="B512" t="s">
        <v>3363</v>
      </c>
      <c r="C512" s="60" t="str">
        <f t="shared" si="42"/>
        <v>E5640</v>
      </c>
      <c r="D512" t="s">
        <v>587</v>
      </c>
      <c r="E512" t="s">
        <v>588</v>
      </c>
      <c r="F512" t="s">
        <v>506</v>
      </c>
      <c r="G512" t="s">
        <v>507</v>
      </c>
      <c r="H512" t="s">
        <v>508</v>
      </c>
      <c r="I512" t="s">
        <v>509</v>
      </c>
      <c r="J512" t="s">
        <v>589</v>
      </c>
      <c r="K512" s="502">
        <v>7</v>
      </c>
      <c r="L512" t="s">
        <v>3424</v>
      </c>
    </row>
    <row r="513" spans="1:12">
      <c r="A513" t="s">
        <v>3145</v>
      </c>
      <c r="B513" t="s">
        <v>3364</v>
      </c>
      <c r="C513" s="60" t="str">
        <f t="shared" si="42"/>
        <v>E5640</v>
      </c>
      <c r="D513" t="s">
        <v>587</v>
      </c>
      <c r="E513" t="s">
        <v>588</v>
      </c>
      <c r="F513" t="s">
        <v>506</v>
      </c>
      <c r="G513" t="s">
        <v>507</v>
      </c>
      <c r="H513" t="s">
        <v>508</v>
      </c>
      <c r="I513" t="s">
        <v>509</v>
      </c>
      <c r="J513" t="s">
        <v>589</v>
      </c>
      <c r="K513" s="502">
        <v>7</v>
      </c>
      <c r="L513" t="s">
        <v>3424</v>
      </c>
    </row>
    <row r="514" spans="1:12">
      <c r="A514" t="s">
        <v>3145</v>
      </c>
      <c r="B514" t="s">
        <v>3365</v>
      </c>
      <c r="C514" s="60" t="str">
        <f t="shared" si="42"/>
        <v>E5640</v>
      </c>
      <c r="D514" t="s">
        <v>587</v>
      </c>
      <c r="E514" t="s">
        <v>588</v>
      </c>
      <c r="F514" t="s">
        <v>506</v>
      </c>
      <c r="G514" t="s">
        <v>507</v>
      </c>
      <c r="H514" t="s">
        <v>508</v>
      </c>
      <c r="I514" t="s">
        <v>509</v>
      </c>
      <c r="J514" t="s">
        <v>589</v>
      </c>
      <c r="K514" s="502">
        <v>7</v>
      </c>
      <c r="L514" t="s">
        <v>3424</v>
      </c>
    </row>
    <row r="515" spans="1:12">
      <c r="A515" t="s">
        <v>3145</v>
      </c>
      <c r="B515" t="s">
        <v>3366</v>
      </c>
      <c r="C515" s="60" t="str">
        <f t="shared" si="42"/>
        <v>E5640</v>
      </c>
      <c r="D515" t="s">
        <v>587</v>
      </c>
      <c r="E515" t="s">
        <v>588</v>
      </c>
      <c r="F515" t="s">
        <v>506</v>
      </c>
      <c r="G515" t="s">
        <v>507</v>
      </c>
      <c r="H515" t="s">
        <v>508</v>
      </c>
      <c r="I515" t="s">
        <v>509</v>
      </c>
      <c r="J515" t="s">
        <v>589</v>
      </c>
      <c r="K515" s="502">
        <v>7</v>
      </c>
      <c r="L515" t="s">
        <v>3424</v>
      </c>
    </row>
    <row r="516" spans="1:12">
      <c r="A516" t="s">
        <v>3145</v>
      </c>
      <c r="B516" t="s">
        <v>3367</v>
      </c>
      <c r="C516" s="60" t="str">
        <f t="shared" si="42"/>
        <v>E5640</v>
      </c>
      <c r="D516" t="s">
        <v>587</v>
      </c>
      <c r="E516" t="s">
        <v>588</v>
      </c>
      <c r="F516" t="s">
        <v>506</v>
      </c>
      <c r="G516" t="s">
        <v>507</v>
      </c>
      <c r="H516" t="s">
        <v>508</v>
      </c>
      <c r="I516" t="s">
        <v>509</v>
      </c>
      <c r="J516" t="s">
        <v>589</v>
      </c>
      <c r="K516" s="502">
        <v>7</v>
      </c>
      <c r="L516" t="s">
        <v>3424</v>
      </c>
    </row>
    <row r="517" spans="1:12">
      <c r="A517" t="s">
        <v>3145</v>
      </c>
      <c r="B517" t="s">
        <v>3356</v>
      </c>
      <c r="C517" s="3" t="str">
        <f>+'2-Préparation saisie LV PROD'!B48</f>
        <v>E5620</v>
      </c>
      <c r="D517" t="s">
        <v>587</v>
      </c>
      <c r="E517" t="s">
        <v>588</v>
      </c>
      <c r="F517" t="s">
        <v>506</v>
      </c>
      <c r="G517" t="s">
        <v>507</v>
      </c>
      <c r="H517" t="s">
        <v>508</v>
      </c>
      <c r="I517" t="s">
        <v>509</v>
      </c>
      <c r="J517" t="s">
        <v>589</v>
      </c>
      <c r="K517" s="502">
        <v>9</v>
      </c>
      <c r="L517" t="s">
        <v>563</v>
      </c>
    </row>
    <row r="518" spans="1:12">
      <c r="A518" t="s">
        <v>3145</v>
      </c>
      <c r="B518" t="s">
        <v>3357</v>
      </c>
      <c r="C518" s="60" t="str">
        <f>C517</f>
        <v>E5620</v>
      </c>
      <c r="D518" t="s">
        <v>587</v>
      </c>
      <c r="E518" t="s">
        <v>588</v>
      </c>
      <c r="F518" t="s">
        <v>506</v>
      </c>
      <c r="G518" t="s">
        <v>507</v>
      </c>
      <c r="H518" t="s">
        <v>508</v>
      </c>
      <c r="I518" t="s">
        <v>509</v>
      </c>
      <c r="J518" t="s">
        <v>589</v>
      </c>
      <c r="K518" s="502">
        <v>9</v>
      </c>
      <c r="L518" t="s">
        <v>563</v>
      </c>
    </row>
    <row r="519" spans="1:12">
      <c r="A519" t="s">
        <v>3145</v>
      </c>
      <c r="B519" t="s">
        <v>3358</v>
      </c>
      <c r="C519" s="60" t="str">
        <f t="shared" ref="C519:C528" si="43">+C518</f>
        <v>E5620</v>
      </c>
      <c r="D519" t="s">
        <v>587</v>
      </c>
      <c r="E519" t="s">
        <v>588</v>
      </c>
      <c r="F519" t="s">
        <v>506</v>
      </c>
      <c r="G519" t="s">
        <v>507</v>
      </c>
      <c r="H519" t="s">
        <v>508</v>
      </c>
      <c r="I519" t="s">
        <v>509</v>
      </c>
      <c r="J519" t="s">
        <v>589</v>
      </c>
      <c r="K519" s="502">
        <v>9</v>
      </c>
      <c r="L519" t="s">
        <v>563</v>
      </c>
    </row>
    <row r="520" spans="1:12">
      <c r="A520" t="s">
        <v>3145</v>
      </c>
      <c r="B520" t="s">
        <v>3359</v>
      </c>
      <c r="C520" s="60" t="str">
        <f t="shared" si="43"/>
        <v>E5620</v>
      </c>
      <c r="D520" t="s">
        <v>587</v>
      </c>
      <c r="E520" t="s">
        <v>588</v>
      </c>
      <c r="F520" t="s">
        <v>506</v>
      </c>
      <c r="G520" t="s">
        <v>507</v>
      </c>
      <c r="H520" t="s">
        <v>508</v>
      </c>
      <c r="I520" t="s">
        <v>509</v>
      </c>
      <c r="J520" t="s">
        <v>589</v>
      </c>
      <c r="K520" s="502">
        <v>9</v>
      </c>
      <c r="L520" t="s">
        <v>563</v>
      </c>
    </row>
    <row r="521" spans="1:12">
      <c r="A521" t="s">
        <v>3145</v>
      </c>
      <c r="B521" t="s">
        <v>3360</v>
      </c>
      <c r="C521" s="60" t="str">
        <f t="shared" si="43"/>
        <v>E5620</v>
      </c>
      <c r="D521" t="s">
        <v>587</v>
      </c>
      <c r="E521" t="s">
        <v>588</v>
      </c>
      <c r="F521" t="s">
        <v>506</v>
      </c>
      <c r="G521" t="s">
        <v>507</v>
      </c>
      <c r="H521" t="s">
        <v>508</v>
      </c>
      <c r="I521" t="s">
        <v>509</v>
      </c>
      <c r="J521" t="s">
        <v>589</v>
      </c>
      <c r="K521" s="502">
        <v>9</v>
      </c>
      <c r="L521" t="s">
        <v>563</v>
      </c>
    </row>
    <row r="522" spans="1:12">
      <c r="A522" t="s">
        <v>3145</v>
      </c>
      <c r="B522" t="s">
        <v>3361</v>
      </c>
      <c r="C522" s="60" t="str">
        <f t="shared" si="43"/>
        <v>E5620</v>
      </c>
      <c r="D522" t="s">
        <v>587</v>
      </c>
      <c r="E522" t="s">
        <v>588</v>
      </c>
      <c r="F522" t="s">
        <v>506</v>
      </c>
      <c r="G522" t="s">
        <v>507</v>
      </c>
      <c r="H522" t="s">
        <v>508</v>
      </c>
      <c r="I522" t="s">
        <v>509</v>
      </c>
      <c r="J522" t="s">
        <v>589</v>
      </c>
      <c r="K522" s="502">
        <v>9</v>
      </c>
      <c r="L522" t="s">
        <v>563</v>
      </c>
    </row>
    <row r="523" spans="1:12">
      <c r="A523" t="s">
        <v>3145</v>
      </c>
      <c r="B523" t="s">
        <v>3362</v>
      </c>
      <c r="C523" s="60" t="str">
        <f t="shared" si="43"/>
        <v>E5620</v>
      </c>
      <c r="D523" t="s">
        <v>587</v>
      </c>
      <c r="E523" t="s">
        <v>588</v>
      </c>
      <c r="F523" t="s">
        <v>506</v>
      </c>
      <c r="G523" t="s">
        <v>507</v>
      </c>
      <c r="H523" t="s">
        <v>508</v>
      </c>
      <c r="I523" t="s">
        <v>509</v>
      </c>
      <c r="J523" t="s">
        <v>589</v>
      </c>
      <c r="K523" s="502">
        <v>9</v>
      </c>
      <c r="L523" t="s">
        <v>563</v>
      </c>
    </row>
    <row r="524" spans="1:12">
      <c r="A524" t="s">
        <v>3145</v>
      </c>
      <c r="B524" t="s">
        <v>3363</v>
      </c>
      <c r="C524" s="60" t="str">
        <f t="shared" si="43"/>
        <v>E5620</v>
      </c>
      <c r="D524" t="s">
        <v>587</v>
      </c>
      <c r="E524" t="s">
        <v>588</v>
      </c>
      <c r="F524" t="s">
        <v>506</v>
      </c>
      <c r="G524" t="s">
        <v>507</v>
      </c>
      <c r="H524" t="s">
        <v>508</v>
      </c>
      <c r="I524" t="s">
        <v>509</v>
      </c>
      <c r="J524" t="s">
        <v>589</v>
      </c>
      <c r="K524" s="502">
        <v>9</v>
      </c>
      <c r="L524" t="s">
        <v>563</v>
      </c>
    </row>
    <row r="525" spans="1:12">
      <c r="A525" t="s">
        <v>3145</v>
      </c>
      <c r="B525" t="s">
        <v>3364</v>
      </c>
      <c r="C525" s="60" t="str">
        <f t="shared" si="43"/>
        <v>E5620</v>
      </c>
      <c r="D525" t="s">
        <v>587</v>
      </c>
      <c r="E525" t="s">
        <v>588</v>
      </c>
      <c r="F525" t="s">
        <v>506</v>
      </c>
      <c r="G525" t="s">
        <v>507</v>
      </c>
      <c r="H525" t="s">
        <v>508</v>
      </c>
      <c r="I525" t="s">
        <v>509</v>
      </c>
      <c r="J525" t="s">
        <v>589</v>
      </c>
      <c r="K525" s="502">
        <v>9</v>
      </c>
      <c r="L525" t="s">
        <v>563</v>
      </c>
    </row>
    <row r="526" spans="1:12">
      <c r="A526" t="s">
        <v>3145</v>
      </c>
      <c r="B526" t="s">
        <v>3365</v>
      </c>
      <c r="C526" s="60" t="str">
        <f t="shared" si="43"/>
        <v>E5620</v>
      </c>
      <c r="D526" t="s">
        <v>587</v>
      </c>
      <c r="E526" t="s">
        <v>588</v>
      </c>
      <c r="F526" t="s">
        <v>506</v>
      </c>
      <c r="G526" t="s">
        <v>507</v>
      </c>
      <c r="H526" t="s">
        <v>508</v>
      </c>
      <c r="I526" t="s">
        <v>509</v>
      </c>
      <c r="J526" t="s">
        <v>589</v>
      </c>
      <c r="K526" s="502">
        <v>9</v>
      </c>
      <c r="L526" t="s">
        <v>563</v>
      </c>
    </row>
    <row r="527" spans="1:12">
      <c r="A527" t="s">
        <v>3145</v>
      </c>
      <c r="B527" t="s">
        <v>3366</v>
      </c>
      <c r="C527" s="60" t="str">
        <f t="shared" si="43"/>
        <v>E5620</v>
      </c>
      <c r="D527" t="s">
        <v>587</v>
      </c>
      <c r="E527" t="s">
        <v>588</v>
      </c>
      <c r="F527" t="s">
        <v>506</v>
      </c>
      <c r="G527" t="s">
        <v>507</v>
      </c>
      <c r="H527" t="s">
        <v>508</v>
      </c>
      <c r="I527" t="s">
        <v>509</v>
      </c>
      <c r="J527" t="s">
        <v>589</v>
      </c>
      <c r="K527" s="502">
        <v>9</v>
      </c>
      <c r="L527" t="s">
        <v>563</v>
      </c>
    </row>
    <row r="528" spans="1:12">
      <c r="A528" t="s">
        <v>3145</v>
      </c>
      <c r="B528" t="s">
        <v>3367</v>
      </c>
      <c r="C528" s="60" t="str">
        <f t="shared" si="43"/>
        <v>E5620</v>
      </c>
      <c r="D528" t="s">
        <v>587</v>
      </c>
      <c r="E528" t="s">
        <v>588</v>
      </c>
      <c r="F528" t="s">
        <v>506</v>
      </c>
      <c r="G528" t="s">
        <v>507</v>
      </c>
      <c r="H528" t="s">
        <v>508</v>
      </c>
      <c r="I528" t="s">
        <v>509</v>
      </c>
      <c r="J528" t="s">
        <v>589</v>
      </c>
      <c r="K528" s="502">
        <v>9</v>
      </c>
      <c r="L528" t="s">
        <v>563</v>
      </c>
    </row>
    <row r="529" spans="1:12">
      <c r="A529" t="s">
        <v>3145</v>
      </c>
      <c r="B529" t="s">
        <v>3356</v>
      </c>
      <c r="C529" s="3" t="str">
        <f>+'2-Préparation saisie LV PROD'!B49</f>
        <v>E5810</v>
      </c>
      <c r="D529" t="s">
        <v>587</v>
      </c>
      <c r="E529" t="s">
        <v>588</v>
      </c>
      <c r="F529" t="s">
        <v>506</v>
      </c>
      <c r="G529" t="s">
        <v>507</v>
      </c>
      <c r="H529" t="s">
        <v>508</v>
      </c>
      <c r="I529" t="s">
        <v>509</v>
      </c>
      <c r="J529" t="s">
        <v>589</v>
      </c>
      <c r="K529" s="502">
        <v>8</v>
      </c>
      <c r="L529" t="s">
        <v>567</v>
      </c>
    </row>
    <row r="530" spans="1:12">
      <c r="A530" t="s">
        <v>3145</v>
      </c>
      <c r="B530" t="s">
        <v>3357</v>
      </c>
      <c r="C530" s="60" t="str">
        <f>C529</f>
        <v>E5810</v>
      </c>
      <c r="D530" t="s">
        <v>587</v>
      </c>
      <c r="E530" t="s">
        <v>588</v>
      </c>
      <c r="F530" t="s">
        <v>506</v>
      </c>
      <c r="G530" t="s">
        <v>507</v>
      </c>
      <c r="H530" t="s">
        <v>508</v>
      </c>
      <c r="I530" t="s">
        <v>509</v>
      </c>
      <c r="J530" t="s">
        <v>589</v>
      </c>
      <c r="K530" s="502">
        <v>8</v>
      </c>
      <c r="L530" t="s">
        <v>567</v>
      </c>
    </row>
    <row r="531" spans="1:12">
      <c r="A531" t="s">
        <v>3145</v>
      </c>
      <c r="B531" t="s">
        <v>3358</v>
      </c>
      <c r="C531" s="60" t="str">
        <f t="shared" ref="C531:C540" si="44">+C530</f>
        <v>E5810</v>
      </c>
      <c r="D531" t="s">
        <v>587</v>
      </c>
      <c r="E531" t="s">
        <v>588</v>
      </c>
      <c r="F531" t="s">
        <v>506</v>
      </c>
      <c r="G531" t="s">
        <v>507</v>
      </c>
      <c r="H531" t="s">
        <v>508</v>
      </c>
      <c r="I531" t="s">
        <v>509</v>
      </c>
      <c r="J531" t="s">
        <v>589</v>
      </c>
      <c r="K531" s="502">
        <v>8</v>
      </c>
      <c r="L531" t="s">
        <v>567</v>
      </c>
    </row>
    <row r="532" spans="1:12">
      <c r="A532" t="s">
        <v>3145</v>
      </c>
      <c r="B532" t="s">
        <v>3359</v>
      </c>
      <c r="C532" s="60" t="str">
        <f t="shared" si="44"/>
        <v>E5810</v>
      </c>
      <c r="D532" t="s">
        <v>587</v>
      </c>
      <c r="E532" t="s">
        <v>588</v>
      </c>
      <c r="F532" t="s">
        <v>506</v>
      </c>
      <c r="G532" t="s">
        <v>507</v>
      </c>
      <c r="H532" t="s">
        <v>508</v>
      </c>
      <c r="I532" t="s">
        <v>509</v>
      </c>
      <c r="J532" t="s">
        <v>589</v>
      </c>
      <c r="K532" s="502">
        <v>8</v>
      </c>
      <c r="L532" t="s">
        <v>567</v>
      </c>
    </row>
    <row r="533" spans="1:12">
      <c r="A533" t="s">
        <v>3145</v>
      </c>
      <c r="B533" t="s">
        <v>3360</v>
      </c>
      <c r="C533" s="60" t="str">
        <f t="shared" si="44"/>
        <v>E5810</v>
      </c>
      <c r="D533" t="s">
        <v>587</v>
      </c>
      <c r="E533" t="s">
        <v>588</v>
      </c>
      <c r="F533" t="s">
        <v>506</v>
      </c>
      <c r="G533" t="s">
        <v>507</v>
      </c>
      <c r="H533" t="s">
        <v>508</v>
      </c>
      <c r="I533" t="s">
        <v>509</v>
      </c>
      <c r="J533" t="s">
        <v>589</v>
      </c>
      <c r="K533" s="502">
        <v>8</v>
      </c>
      <c r="L533" t="s">
        <v>567</v>
      </c>
    </row>
    <row r="534" spans="1:12">
      <c r="A534" t="s">
        <v>3145</v>
      </c>
      <c r="B534" t="s">
        <v>3361</v>
      </c>
      <c r="C534" s="60" t="str">
        <f t="shared" si="44"/>
        <v>E5810</v>
      </c>
      <c r="D534" t="s">
        <v>587</v>
      </c>
      <c r="E534" t="s">
        <v>588</v>
      </c>
      <c r="F534" t="s">
        <v>506</v>
      </c>
      <c r="G534" t="s">
        <v>507</v>
      </c>
      <c r="H534" t="s">
        <v>508</v>
      </c>
      <c r="I534" t="s">
        <v>509</v>
      </c>
      <c r="J534" t="s">
        <v>589</v>
      </c>
      <c r="K534" s="502">
        <v>8</v>
      </c>
      <c r="L534" t="s">
        <v>567</v>
      </c>
    </row>
    <row r="535" spans="1:12">
      <c r="A535" t="s">
        <v>3145</v>
      </c>
      <c r="B535" t="s">
        <v>3362</v>
      </c>
      <c r="C535" s="60" t="str">
        <f t="shared" si="44"/>
        <v>E5810</v>
      </c>
      <c r="D535" t="s">
        <v>587</v>
      </c>
      <c r="E535" t="s">
        <v>588</v>
      </c>
      <c r="F535" t="s">
        <v>506</v>
      </c>
      <c r="G535" t="s">
        <v>507</v>
      </c>
      <c r="H535" t="s">
        <v>508</v>
      </c>
      <c r="I535" t="s">
        <v>509</v>
      </c>
      <c r="J535" t="s">
        <v>589</v>
      </c>
      <c r="K535" s="502">
        <v>8</v>
      </c>
      <c r="L535" t="s">
        <v>567</v>
      </c>
    </row>
    <row r="536" spans="1:12">
      <c r="A536" t="s">
        <v>3145</v>
      </c>
      <c r="B536" t="s">
        <v>3363</v>
      </c>
      <c r="C536" s="60" t="str">
        <f t="shared" si="44"/>
        <v>E5810</v>
      </c>
      <c r="D536" t="s">
        <v>587</v>
      </c>
      <c r="E536" t="s">
        <v>588</v>
      </c>
      <c r="F536" t="s">
        <v>506</v>
      </c>
      <c r="G536" t="s">
        <v>507</v>
      </c>
      <c r="H536" t="s">
        <v>508</v>
      </c>
      <c r="I536" t="s">
        <v>509</v>
      </c>
      <c r="J536" t="s">
        <v>589</v>
      </c>
      <c r="K536" s="502">
        <v>8</v>
      </c>
      <c r="L536" t="s">
        <v>567</v>
      </c>
    </row>
    <row r="537" spans="1:12">
      <c r="A537" t="s">
        <v>3145</v>
      </c>
      <c r="B537" t="s">
        <v>3364</v>
      </c>
      <c r="C537" s="60" t="str">
        <f t="shared" si="44"/>
        <v>E5810</v>
      </c>
      <c r="D537" t="s">
        <v>587</v>
      </c>
      <c r="E537" t="s">
        <v>588</v>
      </c>
      <c r="F537" t="s">
        <v>506</v>
      </c>
      <c r="G537" t="s">
        <v>507</v>
      </c>
      <c r="H537" t="s">
        <v>508</v>
      </c>
      <c r="I537" t="s">
        <v>509</v>
      </c>
      <c r="J537" t="s">
        <v>589</v>
      </c>
      <c r="K537" s="502">
        <v>8</v>
      </c>
      <c r="L537" t="s">
        <v>567</v>
      </c>
    </row>
    <row r="538" spans="1:12">
      <c r="A538" t="s">
        <v>3145</v>
      </c>
      <c r="B538" t="s">
        <v>3365</v>
      </c>
      <c r="C538" s="60" t="str">
        <f t="shared" si="44"/>
        <v>E5810</v>
      </c>
      <c r="D538" t="s">
        <v>587</v>
      </c>
      <c r="E538" t="s">
        <v>588</v>
      </c>
      <c r="F538" t="s">
        <v>506</v>
      </c>
      <c r="G538" t="s">
        <v>507</v>
      </c>
      <c r="H538" t="s">
        <v>508</v>
      </c>
      <c r="I538" t="s">
        <v>509</v>
      </c>
      <c r="J538" t="s">
        <v>589</v>
      </c>
      <c r="K538" s="502">
        <v>8</v>
      </c>
      <c r="L538" t="s">
        <v>567</v>
      </c>
    </row>
    <row r="539" spans="1:12">
      <c r="A539" t="s">
        <v>3145</v>
      </c>
      <c r="B539" t="s">
        <v>3366</v>
      </c>
      <c r="C539" s="60" t="str">
        <f t="shared" si="44"/>
        <v>E5810</v>
      </c>
      <c r="D539" t="s">
        <v>587</v>
      </c>
      <c r="E539" t="s">
        <v>588</v>
      </c>
      <c r="F539" t="s">
        <v>506</v>
      </c>
      <c r="G539" t="s">
        <v>507</v>
      </c>
      <c r="H539" t="s">
        <v>508</v>
      </c>
      <c r="I539" t="s">
        <v>509</v>
      </c>
      <c r="J539" t="s">
        <v>589</v>
      </c>
      <c r="K539" s="502">
        <v>8</v>
      </c>
      <c r="L539" t="s">
        <v>567</v>
      </c>
    </row>
    <row r="540" spans="1:12">
      <c r="A540" t="s">
        <v>3145</v>
      </c>
      <c r="B540" t="s">
        <v>3367</v>
      </c>
      <c r="C540" s="60" t="str">
        <f t="shared" si="44"/>
        <v>E5810</v>
      </c>
      <c r="D540" t="s">
        <v>587</v>
      </c>
      <c r="E540" t="s">
        <v>588</v>
      </c>
      <c r="F540" t="s">
        <v>506</v>
      </c>
      <c r="G540" t="s">
        <v>507</v>
      </c>
      <c r="H540" t="s">
        <v>508</v>
      </c>
      <c r="I540" t="s">
        <v>509</v>
      </c>
      <c r="J540" t="s">
        <v>589</v>
      </c>
      <c r="K540" s="502">
        <v>8</v>
      </c>
      <c r="L540" t="s">
        <v>567</v>
      </c>
    </row>
    <row r="541" spans="1:12">
      <c r="A541" t="s">
        <v>3145</v>
      </c>
      <c r="B541" t="s">
        <v>3356</v>
      </c>
      <c r="C541" s="3" t="str">
        <f>+'2-Préparation saisie LV PROD'!B51</f>
        <v>E5590</v>
      </c>
      <c r="D541" t="s">
        <v>587</v>
      </c>
      <c r="E541" t="s">
        <v>588</v>
      </c>
      <c r="F541" t="s">
        <v>506</v>
      </c>
      <c r="G541" t="s">
        <v>507</v>
      </c>
      <c r="H541" t="s">
        <v>508</v>
      </c>
      <c r="I541" t="s">
        <v>509</v>
      </c>
      <c r="J541" t="s">
        <v>589</v>
      </c>
      <c r="K541" s="502">
        <v>5</v>
      </c>
      <c r="L541" t="s">
        <v>819</v>
      </c>
    </row>
    <row r="542" spans="1:12">
      <c r="A542" t="s">
        <v>3145</v>
      </c>
      <c r="B542" t="s">
        <v>3357</v>
      </c>
      <c r="C542" s="60" t="str">
        <f>C541</f>
        <v>E5590</v>
      </c>
      <c r="D542" t="s">
        <v>587</v>
      </c>
      <c r="E542" t="s">
        <v>588</v>
      </c>
      <c r="F542" t="s">
        <v>506</v>
      </c>
      <c r="G542" t="s">
        <v>507</v>
      </c>
      <c r="H542" t="s">
        <v>508</v>
      </c>
      <c r="I542" t="s">
        <v>509</v>
      </c>
      <c r="J542" t="s">
        <v>589</v>
      </c>
      <c r="K542" s="502">
        <v>5</v>
      </c>
      <c r="L542" t="s">
        <v>819</v>
      </c>
    </row>
    <row r="543" spans="1:12">
      <c r="A543" t="s">
        <v>3145</v>
      </c>
      <c r="B543" t="s">
        <v>3358</v>
      </c>
      <c r="C543" s="60" t="str">
        <f t="shared" ref="C543:C552" si="45">+C542</f>
        <v>E5590</v>
      </c>
      <c r="D543" t="s">
        <v>587</v>
      </c>
      <c r="E543" t="s">
        <v>588</v>
      </c>
      <c r="F543" t="s">
        <v>506</v>
      </c>
      <c r="G543" t="s">
        <v>507</v>
      </c>
      <c r="H543" t="s">
        <v>508</v>
      </c>
      <c r="I543" t="s">
        <v>509</v>
      </c>
      <c r="J543" t="s">
        <v>589</v>
      </c>
      <c r="K543" s="502">
        <v>5</v>
      </c>
      <c r="L543" t="s">
        <v>819</v>
      </c>
    </row>
    <row r="544" spans="1:12">
      <c r="A544" t="s">
        <v>3145</v>
      </c>
      <c r="B544" t="s">
        <v>3359</v>
      </c>
      <c r="C544" s="60" t="str">
        <f t="shared" si="45"/>
        <v>E5590</v>
      </c>
      <c r="D544" t="s">
        <v>587</v>
      </c>
      <c r="E544" t="s">
        <v>588</v>
      </c>
      <c r="F544" t="s">
        <v>506</v>
      </c>
      <c r="G544" t="s">
        <v>507</v>
      </c>
      <c r="H544" t="s">
        <v>508</v>
      </c>
      <c r="I544" t="s">
        <v>509</v>
      </c>
      <c r="J544" t="s">
        <v>589</v>
      </c>
      <c r="K544" s="502">
        <v>5</v>
      </c>
      <c r="L544" t="s">
        <v>819</v>
      </c>
    </row>
    <row r="545" spans="1:12">
      <c r="A545" t="s">
        <v>3145</v>
      </c>
      <c r="B545" t="s">
        <v>3360</v>
      </c>
      <c r="C545" s="60" t="str">
        <f t="shared" si="45"/>
        <v>E5590</v>
      </c>
      <c r="D545" t="s">
        <v>587</v>
      </c>
      <c r="E545" t="s">
        <v>588</v>
      </c>
      <c r="F545" t="s">
        <v>506</v>
      </c>
      <c r="G545" t="s">
        <v>507</v>
      </c>
      <c r="H545" t="s">
        <v>508</v>
      </c>
      <c r="I545" t="s">
        <v>509</v>
      </c>
      <c r="J545" t="s">
        <v>589</v>
      </c>
      <c r="K545" s="502">
        <v>5</v>
      </c>
      <c r="L545" t="s">
        <v>819</v>
      </c>
    </row>
    <row r="546" spans="1:12">
      <c r="A546" t="s">
        <v>3145</v>
      </c>
      <c r="B546" t="s">
        <v>3361</v>
      </c>
      <c r="C546" s="60" t="str">
        <f t="shared" si="45"/>
        <v>E5590</v>
      </c>
      <c r="D546" t="s">
        <v>587</v>
      </c>
      <c r="E546" t="s">
        <v>588</v>
      </c>
      <c r="F546" t="s">
        <v>506</v>
      </c>
      <c r="G546" t="s">
        <v>507</v>
      </c>
      <c r="H546" t="s">
        <v>508</v>
      </c>
      <c r="I546" t="s">
        <v>509</v>
      </c>
      <c r="J546" t="s">
        <v>589</v>
      </c>
      <c r="K546" s="502">
        <v>5</v>
      </c>
      <c r="L546" t="s">
        <v>819</v>
      </c>
    </row>
    <row r="547" spans="1:12">
      <c r="A547" t="s">
        <v>3145</v>
      </c>
      <c r="B547" t="s">
        <v>3362</v>
      </c>
      <c r="C547" s="60" t="str">
        <f t="shared" si="45"/>
        <v>E5590</v>
      </c>
      <c r="D547" t="s">
        <v>587</v>
      </c>
      <c r="E547" t="s">
        <v>588</v>
      </c>
      <c r="F547" t="s">
        <v>506</v>
      </c>
      <c r="G547" t="s">
        <v>507</v>
      </c>
      <c r="H547" t="s">
        <v>508</v>
      </c>
      <c r="I547" t="s">
        <v>509</v>
      </c>
      <c r="J547" t="s">
        <v>589</v>
      </c>
      <c r="K547" s="502">
        <v>5</v>
      </c>
      <c r="L547" t="s">
        <v>819</v>
      </c>
    </row>
    <row r="548" spans="1:12">
      <c r="A548" t="s">
        <v>3145</v>
      </c>
      <c r="B548" t="s">
        <v>3363</v>
      </c>
      <c r="C548" s="60" t="str">
        <f t="shared" si="45"/>
        <v>E5590</v>
      </c>
      <c r="D548" t="s">
        <v>587</v>
      </c>
      <c r="E548" t="s">
        <v>588</v>
      </c>
      <c r="F548" t="s">
        <v>506</v>
      </c>
      <c r="G548" t="s">
        <v>507</v>
      </c>
      <c r="H548" t="s">
        <v>508</v>
      </c>
      <c r="I548" t="s">
        <v>509</v>
      </c>
      <c r="J548" t="s">
        <v>589</v>
      </c>
      <c r="K548" s="502">
        <v>5</v>
      </c>
      <c r="L548" t="s">
        <v>819</v>
      </c>
    </row>
    <row r="549" spans="1:12">
      <c r="A549" t="s">
        <v>3145</v>
      </c>
      <c r="B549" t="s">
        <v>3364</v>
      </c>
      <c r="C549" s="60" t="str">
        <f t="shared" si="45"/>
        <v>E5590</v>
      </c>
      <c r="D549" t="s">
        <v>587</v>
      </c>
      <c r="E549" t="s">
        <v>588</v>
      </c>
      <c r="F549" t="s">
        <v>506</v>
      </c>
      <c r="G549" t="s">
        <v>507</v>
      </c>
      <c r="H549" t="s">
        <v>508</v>
      </c>
      <c r="I549" t="s">
        <v>509</v>
      </c>
      <c r="J549" t="s">
        <v>589</v>
      </c>
      <c r="K549" s="502">
        <v>5</v>
      </c>
      <c r="L549" t="s">
        <v>819</v>
      </c>
    </row>
    <row r="550" spans="1:12">
      <c r="A550" t="s">
        <v>3145</v>
      </c>
      <c r="B550" t="s">
        <v>3365</v>
      </c>
      <c r="C550" s="60" t="str">
        <f t="shared" si="45"/>
        <v>E5590</v>
      </c>
      <c r="D550" t="s">
        <v>587</v>
      </c>
      <c r="E550" t="s">
        <v>588</v>
      </c>
      <c r="F550" t="s">
        <v>506</v>
      </c>
      <c r="G550" t="s">
        <v>507</v>
      </c>
      <c r="H550" t="s">
        <v>508</v>
      </c>
      <c r="I550" t="s">
        <v>509</v>
      </c>
      <c r="J550" t="s">
        <v>589</v>
      </c>
      <c r="K550" s="502">
        <v>5</v>
      </c>
      <c r="L550" t="s">
        <v>819</v>
      </c>
    </row>
    <row r="551" spans="1:12">
      <c r="A551" t="s">
        <v>3145</v>
      </c>
      <c r="B551" t="s">
        <v>3366</v>
      </c>
      <c r="C551" s="60" t="str">
        <f t="shared" si="45"/>
        <v>E5590</v>
      </c>
      <c r="D551" t="s">
        <v>587</v>
      </c>
      <c r="E551" t="s">
        <v>588</v>
      </c>
      <c r="F551" t="s">
        <v>506</v>
      </c>
      <c r="G551" t="s">
        <v>507</v>
      </c>
      <c r="H551" t="s">
        <v>508</v>
      </c>
      <c r="I551" t="s">
        <v>509</v>
      </c>
      <c r="J551" t="s">
        <v>589</v>
      </c>
      <c r="K551" s="502">
        <v>5</v>
      </c>
      <c r="L551" t="s">
        <v>819</v>
      </c>
    </row>
    <row r="552" spans="1:12">
      <c r="A552" t="s">
        <v>3145</v>
      </c>
      <c r="B552" t="s">
        <v>3367</v>
      </c>
      <c r="C552" s="60" t="str">
        <f t="shared" si="45"/>
        <v>E5590</v>
      </c>
      <c r="D552" t="s">
        <v>587</v>
      </c>
      <c r="E552" t="s">
        <v>588</v>
      </c>
      <c r="F552" t="s">
        <v>506</v>
      </c>
      <c r="G552" t="s">
        <v>507</v>
      </c>
      <c r="H552" t="s">
        <v>508</v>
      </c>
      <c r="I552" t="s">
        <v>509</v>
      </c>
      <c r="J552" t="s">
        <v>589</v>
      </c>
      <c r="K552" s="502">
        <v>5</v>
      </c>
      <c r="L552" t="s">
        <v>819</v>
      </c>
    </row>
    <row r="553" spans="1:12">
      <c r="A553" t="s">
        <v>3145</v>
      </c>
      <c r="B553" t="s">
        <v>3356</v>
      </c>
      <c r="C553" s="3" t="str">
        <f>+'2-Préparation saisie LV PROD'!B52</f>
        <v>E5650</v>
      </c>
      <c r="D553" t="s">
        <v>587</v>
      </c>
      <c r="E553" t="s">
        <v>588</v>
      </c>
      <c r="F553" t="s">
        <v>506</v>
      </c>
      <c r="G553" t="s">
        <v>507</v>
      </c>
      <c r="H553" t="s">
        <v>508</v>
      </c>
      <c r="I553" t="s">
        <v>509</v>
      </c>
      <c r="J553" t="s">
        <v>589</v>
      </c>
      <c r="K553" s="502">
        <v>7</v>
      </c>
      <c r="L553" t="s">
        <v>821</v>
      </c>
    </row>
    <row r="554" spans="1:12">
      <c r="A554" t="s">
        <v>3145</v>
      </c>
      <c r="B554" t="s">
        <v>3357</v>
      </c>
      <c r="C554" s="60" t="str">
        <f>C553</f>
        <v>E5650</v>
      </c>
      <c r="D554" t="s">
        <v>587</v>
      </c>
      <c r="E554" t="s">
        <v>588</v>
      </c>
      <c r="F554" t="s">
        <v>506</v>
      </c>
      <c r="G554" t="s">
        <v>507</v>
      </c>
      <c r="H554" t="s">
        <v>508</v>
      </c>
      <c r="I554" t="s">
        <v>509</v>
      </c>
      <c r="J554" t="s">
        <v>589</v>
      </c>
      <c r="K554" s="502">
        <v>7</v>
      </c>
      <c r="L554" t="s">
        <v>821</v>
      </c>
    </row>
    <row r="555" spans="1:12">
      <c r="A555" t="s">
        <v>3145</v>
      </c>
      <c r="B555" t="s">
        <v>3358</v>
      </c>
      <c r="C555" s="60" t="str">
        <f t="shared" ref="C555:C564" si="46">+C554</f>
        <v>E5650</v>
      </c>
      <c r="D555" t="s">
        <v>587</v>
      </c>
      <c r="E555" t="s">
        <v>588</v>
      </c>
      <c r="F555" t="s">
        <v>506</v>
      </c>
      <c r="G555" t="s">
        <v>507</v>
      </c>
      <c r="H555" t="s">
        <v>508</v>
      </c>
      <c r="I555" t="s">
        <v>509</v>
      </c>
      <c r="J555" t="s">
        <v>589</v>
      </c>
      <c r="K555" s="502">
        <v>7</v>
      </c>
      <c r="L555" t="s">
        <v>821</v>
      </c>
    </row>
    <row r="556" spans="1:12">
      <c r="A556" t="s">
        <v>3145</v>
      </c>
      <c r="B556" t="s">
        <v>3359</v>
      </c>
      <c r="C556" s="60" t="str">
        <f t="shared" si="46"/>
        <v>E5650</v>
      </c>
      <c r="D556" t="s">
        <v>587</v>
      </c>
      <c r="E556" t="s">
        <v>588</v>
      </c>
      <c r="F556" t="s">
        <v>506</v>
      </c>
      <c r="G556" t="s">
        <v>507</v>
      </c>
      <c r="H556" t="s">
        <v>508</v>
      </c>
      <c r="I556" t="s">
        <v>509</v>
      </c>
      <c r="J556" t="s">
        <v>589</v>
      </c>
      <c r="K556" s="502">
        <v>7</v>
      </c>
      <c r="L556" t="s">
        <v>821</v>
      </c>
    </row>
    <row r="557" spans="1:12">
      <c r="A557" t="s">
        <v>3145</v>
      </c>
      <c r="B557" t="s">
        <v>3360</v>
      </c>
      <c r="C557" s="60" t="str">
        <f t="shared" si="46"/>
        <v>E5650</v>
      </c>
      <c r="D557" t="s">
        <v>587</v>
      </c>
      <c r="E557" t="s">
        <v>588</v>
      </c>
      <c r="F557" t="s">
        <v>506</v>
      </c>
      <c r="G557" t="s">
        <v>507</v>
      </c>
      <c r="H557" t="s">
        <v>508</v>
      </c>
      <c r="I557" t="s">
        <v>509</v>
      </c>
      <c r="J557" t="s">
        <v>589</v>
      </c>
      <c r="K557" s="502">
        <v>7</v>
      </c>
      <c r="L557" t="s">
        <v>821</v>
      </c>
    </row>
    <row r="558" spans="1:12">
      <c r="A558" t="s">
        <v>3145</v>
      </c>
      <c r="B558" t="s">
        <v>3361</v>
      </c>
      <c r="C558" s="60" t="str">
        <f t="shared" si="46"/>
        <v>E5650</v>
      </c>
      <c r="D558" t="s">
        <v>587</v>
      </c>
      <c r="E558" t="s">
        <v>588</v>
      </c>
      <c r="F558" t="s">
        <v>506</v>
      </c>
      <c r="G558" t="s">
        <v>507</v>
      </c>
      <c r="H558" t="s">
        <v>508</v>
      </c>
      <c r="I558" t="s">
        <v>509</v>
      </c>
      <c r="J558" t="s">
        <v>589</v>
      </c>
      <c r="K558" s="502">
        <v>7</v>
      </c>
      <c r="L558" t="s">
        <v>821</v>
      </c>
    </row>
    <row r="559" spans="1:12">
      <c r="A559" t="s">
        <v>3145</v>
      </c>
      <c r="B559" t="s">
        <v>3362</v>
      </c>
      <c r="C559" s="60" t="str">
        <f t="shared" si="46"/>
        <v>E5650</v>
      </c>
      <c r="D559" t="s">
        <v>587</v>
      </c>
      <c r="E559" t="s">
        <v>588</v>
      </c>
      <c r="F559" t="s">
        <v>506</v>
      </c>
      <c r="G559" t="s">
        <v>507</v>
      </c>
      <c r="H559" t="s">
        <v>508</v>
      </c>
      <c r="I559" t="s">
        <v>509</v>
      </c>
      <c r="J559" t="s">
        <v>589</v>
      </c>
      <c r="K559" s="502">
        <v>7</v>
      </c>
      <c r="L559" t="s">
        <v>821</v>
      </c>
    </row>
    <row r="560" spans="1:12">
      <c r="A560" t="s">
        <v>3145</v>
      </c>
      <c r="B560" t="s">
        <v>3363</v>
      </c>
      <c r="C560" s="60" t="str">
        <f t="shared" si="46"/>
        <v>E5650</v>
      </c>
      <c r="D560" t="s">
        <v>587</v>
      </c>
      <c r="E560" t="s">
        <v>588</v>
      </c>
      <c r="F560" t="s">
        <v>506</v>
      </c>
      <c r="G560" t="s">
        <v>507</v>
      </c>
      <c r="H560" t="s">
        <v>508</v>
      </c>
      <c r="I560" t="s">
        <v>509</v>
      </c>
      <c r="J560" t="s">
        <v>589</v>
      </c>
      <c r="K560" s="502">
        <v>7</v>
      </c>
      <c r="L560" t="s">
        <v>821</v>
      </c>
    </row>
    <row r="561" spans="1:12">
      <c r="A561" t="s">
        <v>3145</v>
      </c>
      <c r="B561" t="s">
        <v>3364</v>
      </c>
      <c r="C561" s="60" t="str">
        <f t="shared" si="46"/>
        <v>E5650</v>
      </c>
      <c r="D561" t="s">
        <v>587</v>
      </c>
      <c r="E561" t="s">
        <v>588</v>
      </c>
      <c r="F561" t="s">
        <v>506</v>
      </c>
      <c r="G561" t="s">
        <v>507</v>
      </c>
      <c r="H561" t="s">
        <v>508</v>
      </c>
      <c r="I561" t="s">
        <v>509</v>
      </c>
      <c r="J561" t="s">
        <v>589</v>
      </c>
      <c r="K561" s="502">
        <v>7</v>
      </c>
      <c r="L561" t="s">
        <v>821</v>
      </c>
    </row>
    <row r="562" spans="1:12">
      <c r="A562" t="s">
        <v>3145</v>
      </c>
      <c r="B562" t="s">
        <v>3365</v>
      </c>
      <c r="C562" s="60" t="str">
        <f t="shared" si="46"/>
        <v>E5650</v>
      </c>
      <c r="D562" t="s">
        <v>587</v>
      </c>
      <c r="E562" t="s">
        <v>588</v>
      </c>
      <c r="F562" t="s">
        <v>506</v>
      </c>
      <c r="G562" t="s">
        <v>507</v>
      </c>
      <c r="H562" t="s">
        <v>508</v>
      </c>
      <c r="I562" t="s">
        <v>509</v>
      </c>
      <c r="J562" t="s">
        <v>589</v>
      </c>
      <c r="K562" s="502">
        <v>7</v>
      </c>
      <c r="L562" t="s">
        <v>821</v>
      </c>
    </row>
    <row r="563" spans="1:12">
      <c r="A563" t="s">
        <v>3145</v>
      </c>
      <c r="B563" t="s">
        <v>3366</v>
      </c>
      <c r="C563" s="60" t="str">
        <f t="shared" si="46"/>
        <v>E5650</v>
      </c>
      <c r="D563" t="s">
        <v>587</v>
      </c>
      <c r="E563" t="s">
        <v>588</v>
      </c>
      <c r="F563" t="s">
        <v>506</v>
      </c>
      <c r="G563" t="s">
        <v>507</v>
      </c>
      <c r="H563" t="s">
        <v>508</v>
      </c>
      <c r="I563" t="s">
        <v>509</v>
      </c>
      <c r="J563" t="s">
        <v>589</v>
      </c>
      <c r="K563" s="502">
        <v>7</v>
      </c>
      <c r="L563" t="s">
        <v>821</v>
      </c>
    </row>
    <row r="564" spans="1:12">
      <c r="A564" t="s">
        <v>3145</v>
      </c>
      <c r="B564" t="s">
        <v>3367</v>
      </c>
      <c r="C564" s="60" t="str">
        <f t="shared" si="46"/>
        <v>E5650</v>
      </c>
      <c r="D564" t="s">
        <v>587</v>
      </c>
      <c r="E564" t="s">
        <v>588</v>
      </c>
      <c r="F564" t="s">
        <v>506</v>
      </c>
      <c r="G564" t="s">
        <v>507</v>
      </c>
      <c r="H564" t="s">
        <v>508</v>
      </c>
      <c r="I564" t="s">
        <v>509</v>
      </c>
      <c r="J564" t="s">
        <v>589</v>
      </c>
      <c r="K564" s="502">
        <v>7</v>
      </c>
      <c r="L564" t="s">
        <v>821</v>
      </c>
    </row>
    <row r="565" spans="1:12">
      <c r="A565" t="s">
        <v>3145</v>
      </c>
      <c r="B565" t="s">
        <v>3356</v>
      </c>
      <c r="C565" s="3" t="str">
        <f>+'2-Préparation saisie LV PROD'!B53</f>
        <v>E5720</v>
      </c>
      <c r="D565" t="s">
        <v>587</v>
      </c>
      <c r="E565" t="s">
        <v>588</v>
      </c>
      <c r="F565" t="s">
        <v>506</v>
      </c>
      <c r="G565" t="s">
        <v>507</v>
      </c>
      <c r="H565" t="s">
        <v>508</v>
      </c>
      <c r="I565" t="s">
        <v>509</v>
      </c>
      <c r="J565" t="s">
        <v>589</v>
      </c>
      <c r="K565" s="502">
        <v>6</v>
      </c>
      <c r="L565" t="s">
        <v>823</v>
      </c>
    </row>
    <row r="566" spans="1:12">
      <c r="A566" t="s">
        <v>3145</v>
      </c>
      <c r="B566" t="s">
        <v>3357</v>
      </c>
      <c r="C566" s="60" t="str">
        <f>C565</f>
        <v>E5720</v>
      </c>
      <c r="D566" t="s">
        <v>587</v>
      </c>
      <c r="E566" t="s">
        <v>588</v>
      </c>
      <c r="F566" t="s">
        <v>506</v>
      </c>
      <c r="G566" t="s">
        <v>507</v>
      </c>
      <c r="H566" t="s">
        <v>508</v>
      </c>
      <c r="I566" t="s">
        <v>509</v>
      </c>
      <c r="J566" t="s">
        <v>589</v>
      </c>
      <c r="K566" s="502">
        <v>6</v>
      </c>
      <c r="L566" t="s">
        <v>823</v>
      </c>
    </row>
    <row r="567" spans="1:12">
      <c r="A567" t="s">
        <v>3145</v>
      </c>
      <c r="B567" t="s">
        <v>3358</v>
      </c>
      <c r="C567" s="60" t="str">
        <f t="shared" ref="C567:C576" si="47">+C566</f>
        <v>E5720</v>
      </c>
      <c r="D567" t="s">
        <v>587</v>
      </c>
      <c r="E567" t="s">
        <v>588</v>
      </c>
      <c r="F567" t="s">
        <v>506</v>
      </c>
      <c r="G567" t="s">
        <v>507</v>
      </c>
      <c r="H567" t="s">
        <v>508</v>
      </c>
      <c r="I567" t="s">
        <v>509</v>
      </c>
      <c r="J567" t="s">
        <v>589</v>
      </c>
      <c r="K567" s="502">
        <v>6</v>
      </c>
      <c r="L567" t="s">
        <v>823</v>
      </c>
    </row>
    <row r="568" spans="1:12">
      <c r="A568" t="s">
        <v>3145</v>
      </c>
      <c r="B568" t="s">
        <v>3359</v>
      </c>
      <c r="C568" s="60" t="str">
        <f t="shared" si="47"/>
        <v>E5720</v>
      </c>
      <c r="D568" t="s">
        <v>587</v>
      </c>
      <c r="E568" t="s">
        <v>588</v>
      </c>
      <c r="F568" t="s">
        <v>506</v>
      </c>
      <c r="G568" t="s">
        <v>507</v>
      </c>
      <c r="H568" t="s">
        <v>508</v>
      </c>
      <c r="I568" t="s">
        <v>509</v>
      </c>
      <c r="J568" t="s">
        <v>589</v>
      </c>
      <c r="K568" s="502">
        <v>6</v>
      </c>
      <c r="L568" t="s">
        <v>823</v>
      </c>
    </row>
    <row r="569" spans="1:12">
      <c r="A569" t="s">
        <v>3145</v>
      </c>
      <c r="B569" t="s">
        <v>3360</v>
      </c>
      <c r="C569" s="60" t="str">
        <f t="shared" si="47"/>
        <v>E5720</v>
      </c>
      <c r="D569" t="s">
        <v>587</v>
      </c>
      <c r="E569" t="s">
        <v>588</v>
      </c>
      <c r="F569" t="s">
        <v>506</v>
      </c>
      <c r="G569" t="s">
        <v>507</v>
      </c>
      <c r="H569" t="s">
        <v>508</v>
      </c>
      <c r="I569" t="s">
        <v>509</v>
      </c>
      <c r="J569" t="s">
        <v>589</v>
      </c>
      <c r="K569" s="502">
        <v>6</v>
      </c>
      <c r="L569" t="s">
        <v>823</v>
      </c>
    </row>
    <row r="570" spans="1:12">
      <c r="A570" t="s">
        <v>3145</v>
      </c>
      <c r="B570" t="s">
        <v>3361</v>
      </c>
      <c r="C570" s="60" t="str">
        <f t="shared" si="47"/>
        <v>E5720</v>
      </c>
      <c r="D570" t="s">
        <v>587</v>
      </c>
      <c r="E570" t="s">
        <v>588</v>
      </c>
      <c r="F570" t="s">
        <v>506</v>
      </c>
      <c r="G570" t="s">
        <v>507</v>
      </c>
      <c r="H570" t="s">
        <v>508</v>
      </c>
      <c r="I570" t="s">
        <v>509</v>
      </c>
      <c r="J570" t="s">
        <v>589</v>
      </c>
      <c r="K570" s="502">
        <v>6</v>
      </c>
      <c r="L570" t="s">
        <v>823</v>
      </c>
    </row>
    <row r="571" spans="1:12">
      <c r="A571" t="s">
        <v>3145</v>
      </c>
      <c r="B571" t="s">
        <v>3362</v>
      </c>
      <c r="C571" s="60" t="str">
        <f t="shared" si="47"/>
        <v>E5720</v>
      </c>
      <c r="D571" t="s">
        <v>587</v>
      </c>
      <c r="E571" t="s">
        <v>588</v>
      </c>
      <c r="F571" t="s">
        <v>506</v>
      </c>
      <c r="G571" t="s">
        <v>507</v>
      </c>
      <c r="H571" t="s">
        <v>508</v>
      </c>
      <c r="I571" t="s">
        <v>509</v>
      </c>
      <c r="J571" t="s">
        <v>589</v>
      </c>
      <c r="K571" s="502">
        <v>6</v>
      </c>
      <c r="L571" t="s">
        <v>823</v>
      </c>
    </row>
    <row r="572" spans="1:12">
      <c r="A572" t="s">
        <v>3145</v>
      </c>
      <c r="B572" t="s">
        <v>3363</v>
      </c>
      <c r="C572" s="60" t="str">
        <f t="shared" si="47"/>
        <v>E5720</v>
      </c>
      <c r="D572" t="s">
        <v>587</v>
      </c>
      <c r="E572" t="s">
        <v>588</v>
      </c>
      <c r="F572" t="s">
        <v>506</v>
      </c>
      <c r="G572" t="s">
        <v>507</v>
      </c>
      <c r="H572" t="s">
        <v>508</v>
      </c>
      <c r="I572" t="s">
        <v>509</v>
      </c>
      <c r="J572" t="s">
        <v>589</v>
      </c>
      <c r="K572" s="502">
        <v>6</v>
      </c>
      <c r="L572" t="s">
        <v>823</v>
      </c>
    </row>
    <row r="573" spans="1:12">
      <c r="A573" t="s">
        <v>3145</v>
      </c>
      <c r="B573" t="s">
        <v>3364</v>
      </c>
      <c r="C573" s="60" t="str">
        <f t="shared" si="47"/>
        <v>E5720</v>
      </c>
      <c r="D573" t="s">
        <v>587</v>
      </c>
      <c r="E573" t="s">
        <v>588</v>
      </c>
      <c r="F573" t="s">
        <v>506</v>
      </c>
      <c r="G573" t="s">
        <v>507</v>
      </c>
      <c r="H573" t="s">
        <v>508</v>
      </c>
      <c r="I573" t="s">
        <v>509</v>
      </c>
      <c r="J573" t="s">
        <v>589</v>
      </c>
      <c r="K573" s="502">
        <v>6</v>
      </c>
      <c r="L573" t="s">
        <v>823</v>
      </c>
    </row>
    <row r="574" spans="1:12">
      <c r="A574" t="s">
        <v>3145</v>
      </c>
      <c r="B574" t="s">
        <v>3365</v>
      </c>
      <c r="C574" s="60" t="str">
        <f t="shared" si="47"/>
        <v>E5720</v>
      </c>
      <c r="D574" t="s">
        <v>587</v>
      </c>
      <c r="E574" t="s">
        <v>588</v>
      </c>
      <c r="F574" t="s">
        <v>506</v>
      </c>
      <c r="G574" t="s">
        <v>507</v>
      </c>
      <c r="H574" t="s">
        <v>508</v>
      </c>
      <c r="I574" t="s">
        <v>509</v>
      </c>
      <c r="J574" t="s">
        <v>589</v>
      </c>
      <c r="K574" s="502">
        <v>6</v>
      </c>
      <c r="L574" t="s">
        <v>823</v>
      </c>
    </row>
    <row r="575" spans="1:12">
      <c r="A575" t="s">
        <v>3145</v>
      </c>
      <c r="B575" t="s">
        <v>3366</v>
      </c>
      <c r="C575" s="60" t="str">
        <f t="shared" si="47"/>
        <v>E5720</v>
      </c>
      <c r="D575" t="s">
        <v>587</v>
      </c>
      <c r="E575" t="s">
        <v>588</v>
      </c>
      <c r="F575" t="s">
        <v>506</v>
      </c>
      <c r="G575" t="s">
        <v>507</v>
      </c>
      <c r="H575" t="s">
        <v>508</v>
      </c>
      <c r="I575" t="s">
        <v>509</v>
      </c>
      <c r="J575" t="s">
        <v>589</v>
      </c>
      <c r="K575" s="502">
        <v>6</v>
      </c>
      <c r="L575" t="s">
        <v>823</v>
      </c>
    </row>
    <row r="576" spans="1:12">
      <c r="A576" t="s">
        <v>3145</v>
      </c>
      <c r="B576" t="s">
        <v>3367</v>
      </c>
      <c r="C576" s="60" t="str">
        <f t="shared" si="47"/>
        <v>E5720</v>
      </c>
      <c r="D576" t="s">
        <v>587</v>
      </c>
      <c r="E576" t="s">
        <v>588</v>
      </c>
      <c r="F576" t="s">
        <v>506</v>
      </c>
      <c r="G576" t="s">
        <v>507</v>
      </c>
      <c r="H576" t="s">
        <v>508</v>
      </c>
      <c r="I576" t="s">
        <v>509</v>
      </c>
      <c r="J576" t="s">
        <v>589</v>
      </c>
      <c r="K576" s="502">
        <v>6</v>
      </c>
      <c r="L576" t="s">
        <v>823</v>
      </c>
    </row>
    <row r="577" spans="1:13">
      <c r="A577" t="s">
        <v>3145</v>
      </c>
      <c r="B577" t="s">
        <v>3356</v>
      </c>
      <c r="C577" s="3" t="str">
        <f>+'2-Préparation saisie LV PROD'!B54</f>
        <v>E5710</v>
      </c>
      <c r="D577" t="s">
        <v>587</v>
      </c>
      <c r="E577" t="s">
        <v>588</v>
      </c>
      <c r="F577" t="s">
        <v>506</v>
      </c>
      <c r="G577" t="s">
        <v>507</v>
      </c>
      <c r="H577" t="s">
        <v>508</v>
      </c>
      <c r="I577" t="s">
        <v>509</v>
      </c>
      <c r="J577" t="s">
        <v>589</v>
      </c>
      <c r="K577" s="502">
        <v>7</v>
      </c>
      <c r="L577" t="s">
        <v>825</v>
      </c>
    </row>
    <row r="578" spans="1:13">
      <c r="A578" t="s">
        <v>3145</v>
      </c>
      <c r="B578" t="s">
        <v>3357</v>
      </c>
      <c r="C578" s="60" t="str">
        <f>C577</f>
        <v>E5710</v>
      </c>
      <c r="D578" t="s">
        <v>587</v>
      </c>
      <c r="E578" t="s">
        <v>588</v>
      </c>
      <c r="F578" t="s">
        <v>506</v>
      </c>
      <c r="G578" t="s">
        <v>507</v>
      </c>
      <c r="H578" t="s">
        <v>508</v>
      </c>
      <c r="I578" t="s">
        <v>509</v>
      </c>
      <c r="J578" t="s">
        <v>589</v>
      </c>
      <c r="K578" s="502">
        <v>7</v>
      </c>
      <c r="L578" t="s">
        <v>825</v>
      </c>
    </row>
    <row r="579" spans="1:13">
      <c r="A579" t="s">
        <v>3145</v>
      </c>
      <c r="B579" t="s">
        <v>3358</v>
      </c>
      <c r="C579" s="60" t="str">
        <f t="shared" ref="C579:C588" si="48">+C578</f>
        <v>E5710</v>
      </c>
      <c r="D579" t="s">
        <v>587</v>
      </c>
      <c r="E579" t="s">
        <v>588</v>
      </c>
      <c r="F579" t="s">
        <v>506</v>
      </c>
      <c r="G579" t="s">
        <v>507</v>
      </c>
      <c r="H579" t="s">
        <v>508</v>
      </c>
      <c r="I579" t="s">
        <v>509</v>
      </c>
      <c r="J579" t="s">
        <v>589</v>
      </c>
      <c r="K579" s="502">
        <v>7</v>
      </c>
      <c r="L579" t="s">
        <v>825</v>
      </c>
    </row>
    <row r="580" spans="1:13">
      <c r="A580" t="s">
        <v>3145</v>
      </c>
      <c r="B580" t="s">
        <v>3359</v>
      </c>
      <c r="C580" s="60" t="str">
        <f t="shared" si="48"/>
        <v>E5710</v>
      </c>
      <c r="D580" t="s">
        <v>587</v>
      </c>
      <c r="E580" t="s">
        <v>588</v>
      </c>
      <c r="F580" t="s">
        <v>506</v>
      </c>
      <c r="G580" t="s">
        <v>507</v>
      </c>
      <c r="H580" t="s">
        <v>508</v>
      </c>
      <c r="I580" t="s">
        <v>509</v>
      </c>
      <c r="J580" t="s">
        <v>589</v>
      </c>
      <c r="K580" s="502">
        <v>7</v>
      </c>
      <c r="L580" t="s">
        <v>825</v>
      </c>
    </row>
    <row r="581" spans="1:13">
      <c r="A581" t="s">
        <v>3145</v>
      </c>
      <c r="B581" t="s">
        <v>3360</v>
      </c>
      <c r="C581" s="60" t="str">
        <f t="shared" si="48"/>
        <v>E5710</v>
      </c>
      <c r="D581" t="s">
        <v>587</v>
      </c>
      <c r="E581" t="s">
        <v>588</v>
      </c>
      <c r="F581" t="s">
        <v>506</v>
      </c>
      <c r="G581" t="s">
        <v>507</v>
      </c>
      <c r="H581" t="s">
        <v>508</v>
      </c>
      <c r="I581" t="s">
        <v>509</v>
      </c>
      <c r="J581" t="s">
        <v>589</v>
      </c>
      <c r="K581" s="502">
        <v>7</v>
      </c>
      <c r="L581" t="s">
        <v>825</v>
      </c>
    </row>
    <row r="582" spans="1:13">
      <c r="A582" t="s">
        <v>3145</v>
      </c>
      <c r="B582" t="s">
        <v>3361</v>
      </c>
      <c r="C582" s="60" t="str">
        <f t="shared" si="48"/>
        <v>E5710</v>
      </c>
      <c r="D582" t="s">
        <v>587</v>
      </c>
      <c r="E582" t="s">
        <v>588</v>
      </c>
      <c r="F582" t="s">
        <v>506</v>
      </c>
      <c r="G582" t="s">
        <v>507</v>
      </c>
      <c r="H582" t="s">
        <v>508</v>
      </c>
      <c r="I582" t="s">
        <v>509</v>
      </c>
      <c r="J582" t="s">
        <v>589</v>
      </c>
      <c r="K582" s="502">
        <v>7</v>
      </c>
      <c r="L582" t="s">
        <v>825</v>
      </c>
    </row>
    <row r="583" spans="1:13">
      <c r="A583" t="s">
        <v>3145</v>
      </c>
      <c r="B583" t="s">
        <v>3362</v>
      </c>
      <c r="C583" s="60" t="str">
        <f t="shared" si="48"/>
        <v>E5710</v>
      </c>
      <c r="D583" t="s">
        <v>587</v>
      </c>
      <c r="E583" t="s">
        <v>588</v>
      </c>
      <c r="F583" t="s">
        <v>506</v>
      </c>
      <c r="G583" t="s">
        <v>507</v>
      </c>
      <c r="H583" t="s">
        <v>508</v>
      </c>
      <c r="I583" t="s">
        <v>509</v>
      </c>
      <c r="J583" t="s">
        <v>589</v>
      </c>
      <c r="K583" s="502">
        <v>7</v>
      </c>
      <c r="L583" t="s">
        <v>825</v>
      </c>
    </row>
    <row r="584" spans="1:13">
      <c r="A584" t="s">
        <v>3145</v>
      </c>
      <c r="B584" t="s">
        <v>3363</v>
      </c>
      <c r="C584" s="60" t="str">
        <f t="shared" si="48"/>
        <v>E5710</v>
      </c>
      <c r="D584" t="s">
        <v>587</v>
      </c>
      <c r="E584" t="s">
        <v>588</v>
      </c>
      <c r="F584" t="s">
        <v>506</v>
      </c>
      <c r="G584" t="s">
        <v>507</v>
      </c>
      <c r="H584" t="s">
        <v>508</v>
      </c>
      <c r="I584" t="s">
        <v>509</v>
      </c>
      <c r="J584" t="s">
        <v>589</v>
      </c>
      <c r="K584" s="502">
        <v>7</v>
      </c>
      <c r="L584" t="s">
        <v>825</v>
      </c>
    </row>
    <row r="585" spans="1:13">
      <c r="A585" t="s">
        <v>3145</v>
      </c>
      <c r="B585" t="s">
        <v>3364</v>
      </c>
      <c r="C585" s="60" t="str">
        <f t="shared" si="48"/>
        <v>E5710</v>
      </c>
      <c r="D585" t="s">
        <v>587</v>
      </c>
      <c r="E585" t="s">
        <v>588</v>
      </c>
      <c r="F585" t="s">
        <v>506</v>
      </c>
      <c r="G585" t="s">
        <v>507</v>
      </c>
      <c r="H585" t="s">
        <v>508</v>
      </c>
      <c r="I585" t="s">
        <v>509</v>
      </c>
      <c r="J585" t="s">
        <v>589</v>
      </c>
      <c r="K585" s="502">
        <v>7</v>
      </c>
      <c r="L585" t="s">
        <v>825</v>
      </c>
    </row>
    <row r="586" spans="1:13">
      <c r="A586" t="s">
        <v>3145</v>
      </c>
      <c r="B586" t="s">
        <v>3365</v>
      </c>
      <c r="C586" s="60" t="str">
        <f t="shared" si="48"/>
        <v>E5710</v>
      </c>
      <c r="D586" t="s">
        <v>587</v>
      </c>
      <c r="E586" t="s">
        <v>588</v>
      </c>
      <c r="F586" t="s">
        <v>506</v>
      </c>
      <c r="G586" t="s">
        <v>507</v>
      </c>
      <c r="H586" t="s">
        <v>508</v>
      </c>
      <c r="I586" t="s">
        <v>509</v>
      </c>
      <c r="J586" t="s">
        <v>589</v>
      </c>
      <c r="K586" s="502">
        <v>7</v>
      </c>
      <c r="L586" t="s">
        <v>825</v>
      </c>
    </row>
    <row r="587" spans="1:13">
      <c r="A587" t="s">
        <v>3145</v>
      </c>
      <c r="B587" t="s">
        <v>3366</v>
      </c>
      <c r="C587" s="60" t="str">
        <f t="shared" si="48"/>
        <v>E5710</v>
      </c>
      <c r="D587" t="s">
        <v>587</v>
      </c>
      <c r="E587" t="s">
        <v>588</v>
      </c>
      <c r="F587" t="s">
        <v>506</v>
      </c>
      <c r="G587" t="s">
        <v>507</v>
      </c>
      <c r="H587" t="s">
        <v>508</v>
      </c>
      <c r="I587" t="s">
        <v>509</v>
      </c>
      <c r="J587" t="s">
        <v>589</v>
      </c>
      <c r="K587" s="502">
        <v>7</v>
      </c>
      <c r="L587" t="s">
        <v>825</v>
      </c>
    </row>
    <row r="588" spans="1:13">
      <c r="A588" t="s">
        <v>3145</v>
      </c>
      <c r="B588" t="s">
        <v>3367</v>
      </c>
      <c r="C588" s="60" t="str">
        <f t="shared" si="48"/>
        <v>E5710</v>
      </c>
      <c r="D588" t="s">
        <v>587</v>
      </c>
      <c r="E588" t="s">
        <v>588</v>
      </c>
      <c r="F588" t="s">
        <v>506</v>
      </c>
      <c r="G588" t="s">
        <v>507</v>
      </c>
      <c r="H588" t="s">
        <v>508</v>
      </c>
      <c r="I588" t="s">
        <v>509</v>
      </c>
      <c r="J588" t="s">
        <v>589</v>
      </c>
      <c r="K588" s="502">
        <v>7</v>
      </c>
      <c r="L588" t="s">
        <v>825</v>
      </c>
    </row>
    <row r="589" spans="1:13">
      <c r="A589" t="s">
        <v>3145</v>
      </c>
      <c r="B589" t="s">
        <v>3356</v>
      </c>
      <c r="C589" s="3" t="str">
        <f>+'2-Préparation saisie LV PROD'!B55</f>
        <v>E6190</v>
      </c>
      <c r="D589" t="s">
        <v>587</v>
      </c>
      <c r="E589" t="s">
        <v>588</v>
      </c>
      <c r="F589" t="s">
        <v>506</v>
      </c>
      <c r="G589" t="s">
        <v>507</v>
      </c>
      <c r="H589" t="s">
        <v>508</v>
      </c>
      <c r="I589" t="s">
        <v>509</v>
      </c>
      <c r="J589" t="s">
        <v>589</v>
      </c>
      <c r="K589" s="575">
        <v>6</v>
      </c>
      <c r="L589" t="s">
        <v>483</v>
      </c>
    </row>
    <row r="590" spans="1:13">
      <c r="A590" t="s">
        <v>3145</v>
      </c>
      <c r="B590" t="s">
        <v>3357</v>
      </c>
      <c r="C590" s="60" t="str">
        <f>C589</f>
        <v>E6190</v>
      </c>
      <c r="D590" t="s">
        <v>587</v>
      </c>
      <c r="E590" t="s">
        <v>588</v>
      </c>
      <c r="F590" t="s">
        <v>506</v>
      </c>
      <c r="G590" t="s">
        <v>507</v>
      </c>
      <c r="H590" t="s">
        <v>508</v>
      </c>
      <c r="I590" t="s">
        <v>509</v>
      </c>
      <c r="J590" t="s">
        <v>589</v>
      </c>
      <c r="K590" s="575">
        <v>0</v>
      </c>
      <c r="L590" t="s">
        <v>483</v>
      </c>
      <c r="M590" t="s">
        <v>3442</v>
      </c>
    </row>
    <row r="591" spans="1:13">
      <c r="A591" t="s">
        <v>3145</v>
      </c>
      <c r="B591" t="s">
        <v>3358</v>
      </c>
      <c r="C591" s="60" t="str">
        <f t="shared" ref="C591:C600" si="49">+C590</f>
        <v>E6190</v>
      </c>
      <c r="D591" t="s">
        <v>587</v>
      </c>
      <c r="E591" t="s">
        <v>588</v>
      </c>
      <c r="F591" t="s">
        <v>506</v>
      </c>
      <c r="G591" t="s">
        <v>507</v>
      </c>
      <c r="H591" t="s">
        <v>508</v>
      </c>
      <c r="I591" t="s">
        <v>509</v>
      </c>
      <c r="J591" t="s">
        <v>589</v>
      </c>
      <c r="K591" s="575">
        <v>0</v>
      </c>
      <c r="L591" t="s">
        <v>483</v>
      </c>
      <c r="M591" t="s">
        <v>3442</v>
      </c>
    </row>
    <row r="592" spans="1:13">
      <c r="A592" t="s">
        <v>3145</v>
      </c>
      <c r="B592" t="s">
        <v>3359</v>
      </c>
      <c r="C592" s="60" t="str">
        <f t="shared" si="49"/>
        <v>E6190</v>
      </c>
      <c r="D592" t="s">
        <v>587</v>
      </c>
      <c r="E592" t="s">
        <v>588</v>
      </c>
      <c r="F592" t="s">
        <v>506</v>
      </c>
      <c r="G592" t="s">
        <v>507</v>
      </c>
      <c r="H592" t="s">
        <v>508</v>
      </c>
      <c r="I592" t="s">
        <v>509</v>
      </c>
      <c r="J592" t="s">
        <v>589</v>
      </c>
      <c r="K592" s="575">
        <v>0</v>
      </c>
      <c r="L592" t="s">
        <v>483</v>
      </c>
      <c r="M592" t="s">
        <v>3442</v>
      </c>
    </row>
    <row r="593" spans="1:13">
      <c r="A593" t="s">
        <v>3145</v>
      </c>
      <c r="B593" t="s">
        <v>3360</v>
      </c>
      <c r="C593" s="60" t="str">
        <f t="shared" si="49"/>
        <v>E6190</v>
      </c>
      <c r="D593" t="s">
        <v>587</v>
      </c>
      <c r="E593" t="s">
        <v>588</v>
      </c>
      <c r="F593" t="s">
        <v>506</v>
      </c>
      <c r="G593" t="s">
        <v>507</v>
      </c>
      <c r="H593" t="s">
        <v>508</v>
      </c>
      <c r="I593" t="s">
        <v>509</v>
      </c>
      <c r="J593" t="s">
        <v>589</v>
      </c>
      <c r="K593" s="575">
        <v>0</v>
      </c>
      <c r="L593" t="s">
        <v>483</v>
      </c>
      <c r="M593" t="s">
        <v>3442</v>
      </c>
    </row>
    <row r="594" spans="1:13">
      <c r="A594" t="s">
        <v>3145</v>
      </c>
      <c r="B594" t="s">
        <v>3361</v>
      </c>
      <c r="C594" s="60" t="str">
        <f t="shared" si="49"/>
        <v>E6190</v>
      </c>
      <c r="D594" t="s">
        <v>587</v>
      </c>
      <c r="E594" t="s">
        <v>588</v>
      </c>
      <c r="F594" t="s">
        <v>506</v>
      </c>
      <c r="G594" t="s">
        <v>507</v>
      </c>
      <c r="H594" t="s">
        <v>508</v>
      </c>
      <c r="I594" t="s">
        <v>509</v>
      </c>
      <c r="J594" t="s">
        <v>589</v>
      </c>
      <c r="K594" s="575">
        <v>0</v>
      </c>
      <c r="L594" t="s">
        <v>483</v>
      </c>
      <c r="M594" t="s">
        <v>3442</v>
      </c>
    </row>
    <row r="595" spans="1:13">
      <c r="A595" t="s">
        <v>3145</v>
      </c>
      <c r="B595" t="s">
        <v>3362</v>
      </c>
      <c r="C595" s="60" t="str">
        <f t="shared" si="49"/>
        <v>E6190</v>
      </c>
      <c r="D595" t="s">
        <v>587</v>
      </c>
      <c r="E595" t="s">
        <v>588</v>
      </c>
      <c r="F595" t="s">
        <v>506</v>
      </c>
      <c r="G595" t="s">
        <v>507</v>
      </c>
      <c r="H595" t="s">
        <v>508</v>
      </c>
      <c r="I595" t="s">
        <v>509</v>
      </c>
      <c r="J595" t="s">
        <v>589</v>
      </c>
      <c r="K595" s="575">
        <v>0</v>
      </c>
      <c r="L595" t="s">
        <v>483</v>
      </c>
      <c r="M595" t="s">
        <v>3442</v>
      </c>
    </row>
    <row r="596" spans="1:13">
      <c r="A596" t="s">
        <v>3145</v>
      </c>
      <c r="B596" t="s">
        <v>3363</v>
      </c>
      <c r="C596" s="60" t="str">
        <f t="shared" si="49"/>
        <v>E6190</v>
      </c>
      <c r="D596" t="s">
        <v>587</v>
      </c>
      <c r="E596" t="s">
        <v>588</v>
      </c>
      <c r="F596" t="s">
        <v>506</v>
      </c>
      <c r="G596" t="s">
        <v>507</v>
      </c>
      <c r="H596" t="s">
        <v>508</v>
      </c>
      <c r="I596" t="s">
        <v>509</v>
      </c>
      <c r="J596" t="s">
        <v>589</v>
      </c>
      <c r="K596" s="575">
        <v>0</v>
      </c>
      <c r="L596" t="s">
        <v>483</v>
      </c>
      <c r="M596" t="s">
        <v>3442</v>
      </c>
    </row>
    <row r="597" spans="1:13">
      <c r="A597" t="s">
        <v>3145</v>
      </c>
      <c r="B597" t="s">
        <v>3364</v>
      </c>
      <c r="C597" s="60" t="str">
        <f t="shared" si="49"/>
        <v>E6190</v>
      </c>
      <c r="D597" t="s">
        <v>587</v>
      </c>
      <c r="E597" t="s">
        <v>588</v>
      </c>
      <c r="F597" t="s">
        <v>506</v>
      </c>
      <c r="G597" t="s">
        <v>507</v>
      </c>
      <c r="H597" t="s">
        <v>508</v>
      </c>
      <c r="I597" t="s">
        <v>509</v>
      </c>
      <c r="J597" t="s">
        <v>589</v>
      </c>
      <c r="K597" s="575">
        <v>0</v>
      </c>
      <c r="L597" t="s">
        <v>483</v>
      </c>
      <c r="M597" t="s">
        <v>3442</v>
      </c>
    </row>
    <row r="598" spans="1:13">
      <c r="A598" t="s">
        <v>3145</v>
      </c>
      <c r="B598" t="s">
        <v>3365</v>
      </c>
      <c r="C598" s="60" t="str">
        <f t="shared" si="49"/>
        <v>E6190</v>
      </c>
      <c r="D598" t="s">
        <v>587</v>
      </c>
      <c r="E598" t="s">
        <v>588</v>
      </c>
      <c r="F598" t="s">
        <v>506</v>
      </c>
      <c r="G598" t="s">
        <v>507</v>
      </c>
      <c r="H598" t="s">
        <v>508</v>
      </c>
      <c r="I598" t="s">
        <v>509</v>
      </c>
      <c r="J598" t="s">
        <v>589</v>
      </c>
      <c r="K598" s="575">
        <v>0</v>
      </c>
      <c r="L598" t="s">
        <v>483</v>
      </c>
      <c r="M598" t="s">
        <v>3442</v>
      </c>
    </row>
    <row r="599" spans="1:13">
      <c r="A599" t="s">
        <v>3145</v>
      </c>
      <c r="B599" t="s">
        <v>3366</v>
      </c>
      <c r="C599" s="60" t="str">
        <f t="shared" si="49"/>
        <v>E6190</v>
      </c>
      <c r="D599" t="s">
        <v>587</v>
      </c>
      <c r="E599" t="s">
        <v>588</v>
      </c>
      <c r="F599" t="s">
        <v>506</v>
      </c>
      <c r="G599" t="s">
        <v>507</v>
      </c>
      <c r="H599" t="s">
        <v>508</v>
      </c>
      <c r="I599" t="s">
        <v>509</v>
      </c>
      <c r="J599" t="s">
        <v>589</v>
      </c>
      <c r="K599" s="575">
        <v>0</v>
      </c>
      <c r="L599" t="s">
        <v>483</v>
      </c>
      <c r="M599" t="s">
        <v>3442</v>
      </c>
    </row>
    <row r="600" spans="1:13">
      <c r="A600" t="s">
        <v>3145</v>
      </c>
      <c r="B600" t="s">
        <v>3367</v>
      </c>
      <c r="C600" s="60" t="str">
        <f t="shared" si="49"/>
        <v>E6190</v>
      </c>
      <c r="D600" t="s">
        <v>587</v>
      </c>
      <c r="E600" t="s">
        <v>588</v>
      </c>
      <c r="F600" t="s">
        <v>506</v>
      </c>
      <c r="G600" t="s">
        <v>507</v>
      </c>
      <c r="H600" t="s">
        <v>508</v>
      </c>
      <c r="I600" t="s">
        <v>509</v>
      </c>
      <c r="J600" t="s">
        <v>589</v>
      </c>
      <c r="K600" s="575">
        <v>0</v>
      </c>
      <c r="L600" t="s">
        <v>483</v>
      </c>
      <c r="M600" t="s">
        <v>3442</v>
      </c>
    </row>
    <row r="601" spans="1:13">
      <c r="A601" t="s">
        <v>3145</v>
      </c>
      <c r="B601" t="s">
        <v>3356</v>
      </c>
      <c r="C601" s="3" t="str">
        <f>+'2-Préparation saisie LV PROD'!B56</f>
        <v>E6200</v>
      </c>
      <c r="D601" t="s">
        <v>587</v>
      </c>
      <c r="E601" t="s">
        <v>588</v>
      </c>
      <c r="F601" t="s">
        <v>506</v>
      </c>
      <c r="G601" t="s">
        <v>507</v>
      </c>
      <c r="H601" t="s">
        <v>508</v>
      </c>
      <c r="I601" t="s">
        <v>509</v>
      </c>
      <c r="J601" t="s">
        <v>589</v>
      </c>
      <c r="K601" s="575">
        <v>0</v>
      </c>
      <c r="L601" t="s">
        <v>484</v>
      </c>
      <c r="M601" t="s">
        <v>3442</v>
      </c>
    </row>
    <row r="602" spans="1:13">
      <c r="A602" t="s">
        <v>3145</v>
      </c>
      <c r="B602" t="s">
        <v>3357</v>
      </c>
      <c r="C602" s="60" t="str">
        <f>C601</f>
        <v>E6200</v>
      </c>
      <c r="D602" t="s">
        <v>587</v>
      </c>
      <c r="E602" t="s">
        <v>588</v>
      </c>
      <c r="F602" t="s">
        <v>506</v>
      </c>
      <c r="G602" t="s">
        <v>507</v>
      </c>
      <c r="H602" t="s">
        <v>508</v>
      </c>
      <c r="I602" t="s">
        <v>509</v>
      </c>
      <c r="J602" t="s">
        <v>589</v>
      </c>
      <c r="K602" s="575">
        <v>0</v>
      </c>
      <c r="L602" t="s">
        <v>484</v>
      </c>
      <c r="M602" t="s">
        <v>3442</v>
      </c>
    </row>
    <row r="603" spans="1:13">
      <c r="A603" t="s">
        <v>3145</v>
      </c>
      <c r="B603" t="s">
        <v>3358</v>
      </c>
      <c r="C603" s="60" t="str">
        <f t="shared" ref="C603:C612" si="50">+C602</f>
        <v>E6200</v>
      </c>
      <c r="D603" t="s">
        <v>587</v>
      </c>
      <c r="E603" t="s">
        <v>588</v>
      </c>
      <c r="F603" t="s">
        <v>506</v>
      </c>
      <c r="G603" t="s">
        <v>507</v>
      </c>
      <c r="H603" t="s">
        <v>508</v>
      </c>
      <c r="I603" t="s">
        <v>509</v>
      </c>
      <c r="J603" t="s">
        <v>589</v>
      </c>
      <c r="K603" s="575">
        <v>0</v>
      </c>
      <c r="L603" t="s">
        <v>484</v>
      </c>
      <c r="M603" t="s">
        <v>3442</v>
      </c>
    </row>
    <row r="604" spans="1:13">
      <c r="A604" t="s">
        <v>3145</v>
      </c>
      <c r="B604" t="s">
        <v>3359</v>
      </c>
      <c r="C604" s="60" t="str">
        <f t="shared" si="50"/>
        <v>E6200</v>
      </c>
      <c r="D604" t="s">
        <v>587</v>
      </c>
      <c r="E604" t="s">
        <v>588</v>
      </c>
      <c r="F604" t="s">
        <v>506</v>
      </c>
      <c r="G604" t="s">
        <v>507</v>
      </c>
      <c r="H604" t="s">
        <v>508</v>
      </c>
      <c r="I604" t="s">
        <v>509</v>
      </c>
      <c r="J604" t="s">
        <v>589</v>
      </c>
      <c r="K604" s="575">
        <v>0</v>
      </c>
      <c r="L604" t="s">
        <v>484</v>
      </c>
      <c r="M604" t="s">
        <v>3442</v>
      </c>
    </row>
    <row r="605" spans="1:13">
      <c r="A605" t="s">
        <v>3145</v>
      </c>
      <c r="B605" t="s">
        <v>3360</v>
      </c>
      <c r="C605" s="60" t="str">
        <f t="shared" si="50"/>
        <v>E6200</v>
      </c>
      <c r="D605" t="s">
        <v>587</v>
      </c>
      <c r="E605" t="s">
        <v>588</v>
      </c>
      <c r="F605" t="s">
        <v>506</v>
      </c>
      <c r="G605" t="s">
        <v>507</v>
      </c>
      <c r="H605" t="s">
        <v>508</v>
      </c>
      <c r="I605" t="s">
        <v>509</v>
      </c>
      <c r="J605" t="s">
        <v>589</v>
      </c>
      <c r="K605" s="575">
        <v>0</v>
      </c>
      <c r="L605" t="s">
        <v>484</v>
      </c>
      <c r="M605" t="s">
        <v>3442</v>
      </c>
    </row>
    <row r="606" spans="1:13">
      <c r="A606" t="s">
        <v>3145</v>
      </c>
      <c r="B606" t="s">
        <v>3361</v>
      </c>
      <c r="C606" s="60" t="str">
        <f t="shared" si="50"/>
        <v>E6200</v>
      </c>
      <c r="D606" t="s">
        <v>587</v>
      </c>
      <c r="E606" t="s">
        <v>588</v>
      </c>
      <c r="F606" t="s">
        <v>506</v>
      </c>
      <c r="G606" t="s">
        <v>507</v>
      </c>
      <c r="H606" t="s">
        <v>508</v>
      </c>
      <c r="I606" t="s">
        <v>509</v>
      </c>
      <c r="J606" t="s">
        <v>589</v>
      </c>
      <c r="K606" s="575">
        <v>0</v>
      </c>
      <c r="L606" t="s">
        <v>484</v>
      </c>
      <c r="M606" t="s">
        <v>3442</v>
      </c>
    </row>
    <row r="607" spans="1:13">
      <c r="A607" t="s">
        <v>3145</v>
      </c>
      <c r="B607" t="s">
        <v>3362</v>
      </c>
      <c r="C607" s="60" t="str">
        <f t="shared" si="50"/>
        <v>E6200</v>
      </c>
      <c r="D607" t="s">
        <v>587</v>
      </c>
      <c r="E607" t="s">
        <v>588</v>
      </c>
      <c r="F607" t="s">
        <v>506</v>
      </c>
      <c r="G607" t="s">
        <v>507</v>
      </c>
      <c r="H607" t="s">
        <v>508</v>
      </c>
      <c r="I607" t="s">
        <v>509</v>
      </c>
      <c r="J607" t="s">
        <v>589</v>
      </c>
      <c r="K607" s="575">
        <v>0</v>
      </c>
      <c r="L607" t="s">
        <v>484</v>
      </c>
      <c r="M607" t="s">
        <v>3442</v>
      </c>
    </row>
    <row r="608" spans="1:13">
      <c r="A608" t="s">
        <v>3145</v>
      </c>
      <c r="B608" t="s">
        <v>3363</v>
      </c>
      <c r="C608" s="60" t="str">
        <f t="shared" si="50"/>
        <v>E6200</v>
      </c>
      <c r="D608" t="s">
        <v>587</v>
      </c>
      <c r="E608" t="s">
        <v>588</v>
      </c>
      <c r="F608" t="s">
        <v>506</v>
      </c>
      <c r="G608" t="s">
        <v>507</v>
      </c>
      <c r="H608" t="s">
        <v>508</v>
      </c>
      <c r="I608" t="s">
        <v>509</v>
      </c>
      <c r="J608" t="s">
        <v>589</v>
      </c>
      <c r="K608" s="575">
        <v>0</v>
      </c>
      <c r="L608" t="s">
        <v>484</v>
      </c>
      <c r="M608" t="s">
        <v>3442</v>
      </c>
    </row>
    <row r="609" spans="1:13">
      <c r="A609" t="s">
        <v>3145</v>
      </c>
      <c r="B609" t="s">
        <v>3364</v>
      </c>
      <c r="C609" s="60" t="str">
        <f t="shared" si="50"/>
        <v>E6200</v>
      </c>
      <c r="D609" t="s">
        <v>587</v>
      </c>
      <c r="E609" t="s">
        <v>588</v>
      </c>
      <c r="F609" t="s">
        <v>506</v>
      </c>
      <c r="G609" t="s">
        <v>507</v>
      </c>
      <c r="H609" t="s">
        <v>508</v>
      </c>
      <c r="I609" t="s">
        <v>509</v>
      </c>
      <c r="J609" t="s">
        <v>589</v>
      </c>
      <c r="K609" s="575">
        <v>0</v>
      </c>
      <c r="L609" t="s">
        <v>484</v>
      </c>
      <c r="M609" t="s">
        <v>3442</v>
      </c>
    </row>
    <row r="610" spans="1:13">
      <c r="A610" t="s">
        <v>3145</v>
      </c>
      <c r="B610" t="s">
        <v>3365</v>
      </c>
      <c r="C610" s="60" t="str">
        <f t="shared" si="50"/>
        <v>E6200</v>
      </c>
      <c r="D610" t="s">
        <v>587</v>
      </c>
      <c r="E610" t="s">
        <v>588</v>
      </c>
      <c r="F610" t="s">
        <v>506</v>
      </c>
      <c r="G610" t="s">
        <v>507</v>
      </c>
      <c r="H610" t="s">
        <v>508</v>
      </c>
      <c r="I610" t="s">
        <v>509</v>
      </c>
      <c r="J610" t="s">
        <v>589</v>
      </c>
      <c r="K610" s="575">
        <v>0</v>
      </c>
      <c r="L610" t="s">
        <v>484</v>
      </c>
      <c r="M610" t="s">
        <v>3442</v>
      </c>
    </row>
    <row r="611" spans="1:13">
      <c r="A611" t="s">
        <v>3145</v>
      </c>
      <c r="B611" t="s">
        <v>3366</v>
      </c>
      <c r="C611" s="60" t="str">
        <f t="shared" si="50"/>
        <v>E6200</v>
      </c>
      <c r="D611" t="s">
        <v>587</v>
      </c>
      <c r="E611" t="s">
        <v>588</v>
      </c>
      <c r="F611" t="s">
        <v>506</v>
      </c>
      <c r="G611" t="s">
        <v>507</v>
      </c>
      <c r="H611" t="s">
        <v>508</v>
      </c>
      <c r="I611" t="s">
        <v>509</v>
      </c>
      <c r="J611" t="s">
        <v>589</v>
      </c>
      <c r="K611" s="575">
        <v>0</v>
      </c>
      <c r="L611" t="s">
        <v>484</v>
      </c>
      <c r="M611" t="s">
        <v>3442</v>
      </c>
    </row>
    <row r="612" spans="1:13">
      <c r="A612" t="s">
        <v>3145</v>
      </c>
      <c r="B612" t="s">
        <v>3367</v>
      </c>
      <c r="C612" s="60" t="str">
        <f t="shared" si="50"/>
        <v>E6200</v>
      </c>
      <c r="D612" t="s">
        <v>587</v>
      </c>
      <c r="E612" t="s">
        <v>588</v>
      </c>
      <c r="F612" t="s">
        <v>506</v>
      </c>
      <c r="G612" t="s">
        <v>507</v>
      </c>
      <c r="H612" t="s">
        <v>508</v>
      </c>
      <c r="I612" t="s">
        <v>509</v>
      </c>
      <c r="J612" t="s">
        <v>589</v>
      </c>
      <c r="K612" s="575">
        <v>0</v>
      </c>
      <c r="L612" t="s">
        <v>484</v>
      </c>
      <c r="M612" t="s">
        <v>3442</v>
      </c>
    </row>
    <row r="613" spans="1:13">
      <c r="A613" t="s">
        <v>3145</v>
      </c>
      <c r="B613" t="s">
        <v>3356</v>
      </c>
      <c r="C613" s="3" t="str">
        <f>+'2-Préparation saisie LV PROD'!B57</f>
        <v>E6150</v>
      </c>
      <c r="D613" t="s">
        <v>587</v>
      </c>
      <c r="E613" t="s">
        <v>588</v>
      </c>
      <c r="F613" t="s">
        <v>506</v>
      </c>
      <c r="G613" t="s">
        <v>507</v>
      </c>
      <c r="H613" t="s">
        <v>508</v>
      </c>
      <c r="I613" t="s">
        <v>509</v>
      </c>
      <c r="J613" t="s">
        <v>589</v>
      </c>
      <c r="K613" s="502">
        <v>4</v>
      </c>
      <c r="L613" t="s">
        <v>485</v>
      </c>
    </row>
    <row r="614" spans="1:13">
      <c r="A614" t="s">
        <v>3145</v>
      </c>
      <c r="B614" t="s">
        <v>3357</v>
      </c>
      <c r="C614" s="60" t="str">
        <f>C613</f>
        <v>E6150</v>
      </c>
      <c r="D614" t="s">
        <v>587</v>
      </c>
      <c r="E614" t="s">
        <v>588</v>
      </c>
      <c r="F614" t="s">
        <v>506</v>
      </c>
      <c r="G614" t="s">
        <v>507</v>
      </c>
      <c r="H614" t="s">
        <v>508</v>
      </c>
      <c r="I614" t="s">
        <v>509</v>
      </c>
      <c r="J614" t="s">
        <v>589</v>
      </c>
      <c r="K614" s="502">
        <v>4</v>
      </c>
      <c r="L614" t="s">
        <v>485</v>
      </c>
    </row>
    <row r="615" spans="1:13">
      <c r="A615" t="s">
        <v>3145</v>
      </c>
      <c r="B615" t="s">
        <v>3358</v>
      </c>
      <c r="C615" s="60" t="str">
        <f t="shared" ref="C615:C624" si="51">+C614</f>
        <v>E6150</v>
      </c>
      <c r="D615" t="s">
        <v>587</v>
      </c>
      <c r="E615" t="s">
        <v>588</v>
      </c>
      <c r="F615" t="s">
        <v>506</v>
      </c>
      <c r="G615" t="s">
        <v>507</v>
      </c>
      <c r="H615" t="s">
        <v>508</v>
      </c>
      <c r="I615" t="s">
        <v>509</v>
      </c>
      <c r="J615" t="s">
        <v>589</v>
      </c>
      <c r="K615" s="502">
        <v>4</v>
      </c>
      <c r="L615" t="s">
        <v>485</v>
      </c>
    </row>
    <row r="616" spans="1:13">
      <c r="A616" t="s">
        <v>3145</v>
      </c>
      <c r="B616" t="s">
        <v>3359</v>
      </c>
      <c r="C616" s="60" t="str">
        <f t="shared" si="51"/>
        <v>E6150</v>
      </c>
      <c r="D616" t="s">
        <v>587</v>
      </c>
      <c r="E616" t="s">
        <v>588</v>
      </c>
      <c r="F616" t="s">
        <v>506</v>
      </c>
      <c r="G616" t="s">
        <v>507</v>
      </c>
      <c r="H616" t="s">
        <v>508</v>
      </c>
      <c r="I616" t="s">
        <v>509</v>
      </c>
      <c r="J616" t="s">
        <v>589</v>
      </c>
      <c r="K616" s="502">
        <v>4</v>
      </c>
      <c r="L616" t="s">
        <v>485</v>
      </c>
    </row>
    <row r="617" spans="1:13">
      <c r="A617" t="s">
        <v>3145</v>
      </c>
      <c r="B617" t="s">
        <v>3360</v>
      </c>
      <c r="C617" s="60" t="str">
        <f t="shared" si="51"/>
        <v>E6150</v>
      </c>
      <c r="D617" t="s">
        <v>587</v>
      </c>
      <c r="E617" t="s">
        <v>588</v>
      </c>
      <c r="F617" t="s">
        <v>506</v>
      </c>
      <c r="G617" t="s">
        <v>507</v>
      </c>
      <c r="H617" t="s">
        <v>508</v>
      </c>
      <c r="I617" t="s">
        <v>509</v>
      </c>
      <c r="J617" t="s">
        <v>589</v>
      </c>
      <c r="K617" s="502">
        <v>4</v>
      </c>
      <c r="L617" t="s">
        <v>485</v>
      </c>
    </row>
    <row r="618" spans="1:13">
      <c r="A618" t="s">
        <v>3145</v>
      </c>
      <c r="B618" t="s">
        <v>3361</v>
      </c>
      <c r="C618" s="60" t="str">
        <f t="shared" si="51"/>
        <v>E6150</v>
      </c>
      <c r="D618" t="s">
        <v>587</v>
      </c>
      <c r="E618" t="s">
        <v>588</v>
      </c>
      <c r="F618" t="s">
        <v>506</v>
      </c>
      <c r="G618" t="s">
        <v>507</v>
      </c>
      <c r="H618" t="s">
        <v>508</v>
      </c>
      <c r="I618" t="s">
        <v>509</v>
      </c>
      <c r="J618" t="s">
        <v>589</v>
      </c>
      <c r="K618" s="502">
        <v>4</v>
      </c>
      <c r="L618" t="s">
        <v>485</v>
      </c>
    </row>
    <row r="619" spans="1:13">
      <c r="A619" t="s">
        <v>3145</v>
      </c>
      <c r="B619" t="s">
        <v>3362</v>
      </c>
      <c r="C619" s="60" t="str">
        <f t="shared" si="51"/>
        <v>E6150</v>
      </c>
      <c r="D619" t="s">
        <v>587</v>
      </c>
      <c r="E619" t="s">
        <v>588</v>
      </c>
      <c r="F619" t="s">
        <v>506</v>
      </c>
      <c r="G619" t="s">
        <v>507</v>
      </c>
      <c r="H619" t="s">
        <v>508</v>
      </c>
      <c r="I619" t="s">
        <v>509</v>
      </c>
      <c r="J619" t="s">
        <v>589</v>
      </c>
      <c r="K619" s="502">
        <v>4</v>
      </c>
      <c r="L619" t="s">
        <v>485</v>
      </c>
    </row>
    <row r="620" spans="1:13">
      <c r="A620" t="s">
        <v>3145</v>
      </c>
      <c r="B620" t="s">
        <v>3363</v>
      </c>
      <c r="C620" s="60" t="str">
        <f t="shared" si="51"/>
        <v>E6150</v>
      </c>
      <c r="D620" t="s">
        <v>587</v>
      </c>
      <c r="E620" t="s">
        <v>588</v>
      </c>
      <c r="F620" t="s">
        <v>506</v>
      </c>
      <c r="G620" t="s">
        <v>507</v>
      </c>
      <c r="H620" t="s">
        <v>508</v>
      </c>
      <c r="I620" t="s">
        <v>509</v>
      </c>
      <c r="J620" t="s">
        <v>589</v>
      </c>
      <c r="K620" s="502">
        <v>4</v>
      </c>
      <c r="L620" t="s">
        <v>485</v>
      </c>
    </row>
    <row r="621" spans="1:13">
      <c r="A621" t="s">
        <v>3145</v>
      </c>
      <c r="B621" t="s">
        <v>3364</v>
      </c>
      <c r="C621" s="60" t="str">
        <f t="shared" si="51"/>
        <v>E6150</v>
      </c>
      <c r="D621" t="s">
        <v>587</v>
      </c>
      <c r="E621" t="s">
        <v>588</v>
      </c>
      <c r="F621" t="s">
        <v>506</v>
      </c>
      <c r="G621" t="s">
        <v>507</v>
      </c>
      <c r="H621" t="s">
        <v>508</v>
      </c>
      <c r="I621" t="s">
        <v>509</v>
      </c>
      <c r="J621" t="s">
        <v>589</v>
      </c>
      <c r="K621" s="502">
        <v>4</v>
      </c>
      <c r="L621" t="s">
        <v>485</v>
      </c>
    </row>
    <row r="622" spans="1:13">
      <c r="A622" t="s">
        <v>3145</v>
      </c>
      <c r="B622" t="s">
        <v>3365</v>
      </c>
      <c r="C622" s="60" t="str">
        <f t="shared" si="51"/>
        <v>E6150</v>
      </c>
      <c r="D622" t="s">
        <v>587</v>
      </c>
      <c r="E622" t="s">
        <v>588</v>
      </c>
      <c r="F622" t="s">
        <v>506</v>
      </c>
      <c r="G622" t="s">
        <v>507</v>
      </c>
      <c r="H622" t="s">
        <v>508</v>
      </c>
      <c r="I622" t="s">
        <v>509</v>
      </c>
      <c r="J622" t="s">
        <v>589</v>
      </c>
      <c r="K622" s="502">
        <v>4</v>
      </c>
      <c r="L622" t="s">
        <v>485</v>
      </c>
    </row>
    <row r="623" spans="1:13">
      <c r="A623" t="s">
        <v>3145</v>
      </c>
      <c r="B623" t="s">
        <v>3366</v>
      </c>
      <c r="C623" s="60" t="str">
        <f t="shared" si="51"/>
        <v>E6150</v>
      </c>
      <c r="D623" t="s">
        <v>587</v>
      </c>
      <c r="E623" t="s">
        <v>588</v>
      </c>
      <c r="F623" t="s">
        <v>506</v>
      </c>
      <c r="G623" t="s">
        <v>507</v>
      </c>
      <c r="H623" t="s">
        <v>508</v>
      </c>
      <c r="I623" t="s">
        <v>509</v>
      </c>
      <c r="J623" t="s">
        <v>589</v>
      </c>
      <c r="K623" s="502">
        <v>4</v>
      </c>
      <c r="L623" t="s">
        <v>485</v>
      </c>
    </row>
    <row r="624" spans="1:13">
      <c r="A624" t="s">
        <v>3145</v>
      </c>
      <c r="B624" t="s">
        <v>3367</v>
      </c>
      <c r="C624" s="60" t="str">
        <f t="shared" si="51"/>
        <v>E6150</v>
      </c>
      <c r="D624" t="s">
        <v>587</v>
      </c>
      <c r="E624" t="s">
        <v>588</v>
      </c>
      <c r="F624" t="s">
        <v>506</v>
      </c>
      <c r="G624" t="s">
        <v>507</v>
      </c>
      <c r="H624" t="s">
        <v>508</v>
      </c>
      <c r="I624" t="s">
        <v>509</v>
      </c>
      <c r="J624" t="s">
        <v>589</v>
      </c>
      <c r="K624" s="502">
        <v>4</v>
      </c>
      <c r="L624" t="s">
        <v>485</v>
      </c>
    </row>
    <row r="625" spans="1:12">
      <c r="A625" t="s">
        <v>3145</v>
      </c>
      <c r="B625" t="s">
        <v>3356</v>
      </c>
      <c r="C625" s="3" t="str">
        <f>+'2-Préparation saisie LV PROD'!B58</f>
        <v>E6340</v>
      </c>
      <c r="D625" t="s">
        <v>587</v>
      </c>
      <c r="E625" t="s">
        <v>588</v>
      </c>
      <c r="F625" t="s">
        <v>506</v>
      </c>
      <c r="G625" t="s">
        <v>507</v>
      </c>
      <c r="H625" t="s">
        <v>508</v>
      </c>
      <c r="I625" t="s">
        <v>509</v>
      </c>
      <c r="J625" t="s">
        <v>589</v>
      </c>
      <c r="K625" s="502">
        <v>5</v>
      </c>
      <c r="L625" t="s">
        <v>486</v>
      </c>
    </row>
    <row r="626" spans="1:12">
      <c r="A626" t="s">
        <v>3145</v>
      </c>
      <c r="B626" t="s">
        <v>3357</v>
      </c>
      <c r="C626" s="60" t="str">
        <f>C625</f>
        <v>E6340</v>
      </c>
      <c r="D626" t="s">
        <v>587</v>
      </c>
      <c r="E626" t="s">
        <v>588</v>
      </c>
      <c r="F626" t="s">
        <v>506</v>
      </c>
      <c r="G626" t="s">
        <v>507</v>
      </c>
      <c r="H626" t="s">
        <v>508</v>
      </c>
      <c r="I626" t="s">
        <v>509</v>
      </c>
      <c r="J626" t="s">
        <v>589</v>
      </c>
      <c r="K626" s="502">
        <v>5</v>
      </c>
      <c r="L626" t="s">
        <v>486</v>
      </c>
    </row>
    <row r="627" spans="1:12">
      <c r="A627" t="s">
        <v>3145</v>
      </c>
      <c r="B627" t="s">
        <v>3358</v>
      </c>
      <c r="C627" s="60" t="str">
        <f t="shared" ref="C627:C636" si="52">+C626</f>
        <v>E6340</v>
      </c>
      <c r="D627" t="s">
        <v>587</v>
      </c>
      <c r="E627" t="s">
        <v>588</v>
      </c>
      <c r="F627" t="s">
        <v>506</v>
      </c>
      <c r="G627" t="s">
        <v>507</v>
      </c>
      <c r="H627" t="s">
        <v>508</v>
      </c>
      <c r="I627" t="s">
        <v>509</v>
      </c>
      <c r="J627" t="s">
        <v>589</v>
      </c>
      <c r="K627" s="502">
        <v>5</v>
      </c>
      <c r="L627" t="s">
        <v>486</v>
      </c>
    </row>
    <row r="628" spans="1:12">
      <c r="A628" t="s">
        <v>3145</v>
      </c>
      <c r="B628" t="s">
        <v>3359</v>
      </c>
      <c r="C628" s="60" t="str">
        <f t="shared" si="52"/>
        <v>E6340</v>
      </c>
      <c r="D628" t="s">
        <v>587</v>
      </c>
      <c r="E628" t="s">
        <v>588</v>
      </c>
      <c r="F628" t="s">
        <v>506</v>
      </c>
      <c r="G628" t="s">
        <v>507</v>
      </c>
      <c r="H628" t="s">
        <v>508</v>
      </c>
      <c r="I628" t="s">
        <v>509</v>
      </c>
      <c r="J628" t="s">
        <v>589</v>
      </c>
      <c r="K628" s="502">
        <v>5</v>
      </c>
      <c r="L628" t="s">
        <v>486</v>
      </c>
    </row>
    <row r="629" spans="1:12">
      <c r="A629" t="s">
        <v>3145</v>
      </c>
      <c r="B629" t="s">
        <v>3360</v>
      </c>
      <c r="C629" s="60" t="str">
        <f t="shared" si="52"/>
        <v>E6340</v>
      </c>
      <c r="D629" t="s">
        <v>587</v>
      </c>
      <c r="E629" t="s">
        <v>588</v>
      </c>
      <c r="F629" t="s">
        <v>506</v>
      </c>
      <c r="G629" t="s">
        <v>507</v>
      </c>
      <c r="H629" t="s">
        <v>508</v>
      </c>
      <c r="I629" t="s">
        <v>509</v>
      </c>
      <c r="J629" t="s">
        <v>589</v>
      </c>
      <c r="K629" s="502">
        <v>5</v>
      </c>
      <c r="L629" t="s">
        <v>486</v>
      </c>
    </row>
    <row r="630" spans="1:12">
      <c r="A630" t="s">
        <v>3145</v>
      </c>
      <c r="B630" t="s">
        <v>3361</v>
      </c>
      <c r="C630" s="60" t="str">
        <f t="shared" si="52"/>
        <v>E6340</v>
      </c>
      <c r="D630" t="s">
        <v>587</v>
      </c>
      <c r="E630" t="s">
        <v>588</v>
      </c>
      <c r="F630" t="s">
        <v>506</v>
      </c>
      <c r="G630" t="s">
        <v>507</v>
      </c>
      <c r="H630" t="s">
        <v>508</v>
      </c>
      <c r="I630" t="s">
        <v>509</v>
      </c>
      <c r="J630" t="s">
        <v>589</v>
      </c>
      <c r="K630" s="502">
        <v>5</v>
      </c>
      <c r="L630" t="s">
        <v>486</v>
      </c>
    </row>
    <row r="631" spans="1:12">
      <c r="A631" t="s">
        <v>3145</v>
      </c>
      <c r="B631" t="s">
        <v>3362</v>
      </c>
      <c r="C631" s="60" t="str">
        <f t="shared" si="52"/>
        <v>E6340</v>
      </c>
      <c r="D631" t="s">
        <v>587</v>
      </c>
      <c r="E631" t="s">
        <v>588</v>
      </c>
      <c r="F631" t="s">
        <v>506</v>
      </c>
      <c r="G631" t="s">
        <v>507</v>
      </c>
      <c r="H631" t="s">
        <v>508</v>
      </c>
      <c r="I631" t="s">
        <v>509</v>
      </c>
      <c r="J631" t="s">
        <v>589</v>
      </c>
      <c r="K631" s="502">
        <v>5</v>
      </c>
      <c r="L631" t="s">
        <v>486</v>
      </c>
    </row>
    <row r="632" spans="1:12">
      <c r="A632" t="s">
        <v>3145</v>
      </c>
      <c r="B632" t="s">
        <v>3363</v>
      </c>
      <c r="C632" s="60" t="str">
        <f t="shared" si="52"/>
        <v>E6340</v>
      </c>
      <c r="D632" t="s">
        <v>587</v>
      </c>
      <c r="E632" t="s">
        <v>588</v>
      </c>
      <c r="F632" t="s">
        <v>506</v>
      </c>
      <c r="G632" t="s">
        <v>507</v>
      </c>
      <c r="H632" t="s">
        <v>508</v>
      </c>
      <c r="I632" t="s">
        <v>509</v>
      </c>
      <c r="J632" t="s">
        <v>589</v>
      </c>
      <c r="K632" s="502">
        <v>5</v>
      </c>
      <c r="L632" t="s">
        <v>486</v>
      </c>
    </row>
    <row r="633" spans="1:12">
      <c r="A633" t="s">
        <v>3145</v>
      </c>
      <c r="B633" t="s">
        <v>3364</v>
      </c>
      <c r="C633" s="60" t="str">
        <f t="shared" si="52"/>
        <v>E6340</v>
      </c>
      <c r="D633" t="s">
        <v>587</v>
      </c>
      <c r="E633" t="s">
        <v>588</v>
      </c>
      <c r="F633" t="s">
        <v>506</v>
      </c>
      <c r="G633" t="s">
        <v>507</v>
      </c>
      <c r="H633" t="s">
        <v>508</v>
      </c>
      <c r="I633" t="s">
        <v>509</v>
      </c>
      <c r="J633" t="s">
        <v>589</v>
      </c>
      <c r="K633" s="502">
        <v>5</v>
      </c>
      <c r="L633" t="s">
        <v>486</v>
      </c>
    </row>
    <row r="634" spans="1:12">
      <c r="A634" t="s">
        <v>3145</v>
      </c>
      <c r="B634" t="s">
        <v>3365</v>
      </c>
      <c r="C634" s="60" t="str">
        <f t="shared" si="52"/>
        <v>E6340</v>
      </c>
      <c r="D634" t="s">
        <v>587</v>
      </c>
      <c r="E634" t="s">
        <v>588</v>
      </c>
      <c r="F634" t="s">
        <v>506</v>
      </c>
      <c r="G634" t="s">
        <v>507</v>
      </c>
      <c r="H634" t="s">
        <v>508</v>
      </c>
      <c r="I634" t="s">
        <v>509</v>
      </c>
      <c r="J634" t="s">
        <v>589</v>
      </c>
      <c r="K634" s="502">
        <v>5</v>
      </c>
      <c r="L634" t="s">
        <v>486</v>
      </c>
    </row>
    <row r="635" spans="1:12">
      <c r="A635" t="s">
        <v>3145</v>
      </c>
      <c r="B635" t="s">
        <v>3366</v>
      </c>
      <c r="C635" s="60" t="str">
        <f t="shared" si="52"/>
        <v>E6340</v>
      </c>
      <c r="D635" t="s">
        <v>587</v>
      </c>
      <c r="E635" t="s">
        <v>588</v>
      </c>
      <c r="F635" t="s">
        <v>506</v>
      </c>
      <c r="G635" t="s">
        <v>507</v>
      </c>
      <c r="H635" t="s">
        <v>508</v>
      </c>
      <c r="I635" t="s">
        <v>509</v>
      </c>
      <c r="J635" t="s">
        <v>589</v>
      </c>
      <c r="K635" s="502">
        <v>5</v>
      </c>
      <c r="L635" t="s">
        <v>486</v>
      </c>
    </row>
    <row r="636" spans="1:12">
      <c r="A636" t="s">
        <v>3145</v>
      </c>
      <c r="B636" t="s">
        <v>3367</v>
      </c>
      <c r="C636" s="60" t="str">
        <f t="shared" si="52"/>
        <v>E6340</v>
      </c>
      <c r="D636" t="s">
        <v>587</v>
      </c>
      <c r="E636" t="s">
        <v>588</v>
      </c>
      <c r="F636" t="s">
        <v>506</v>
      </c>
      <c r="G636" t="s">
        <v>507</v>
      </c>
      <c r="H636" t="s">
        <v>508</v>
      </c>
      <c r="I636" t="s">
        <v>509</v>
      </c>
      <c r="J636" t="s">
        <v>589</v>
      </c>
      <c r="K636" s="502">
        <v>5</v>
      </c>
      <c r="L636" t="s">
        <v>486</v>
      </c>
    </row>
    <row r="637" spans="1:12">
      <c r="A637" t="s">
        <v>3145</v>
      </c>
      <c r="B637" t="s">
        <v>3356</v>
      </c>
      <c r="C637" s="3" t="str">
        <f>+'2-Préparation saisie LV PROD'!B59</f>
        <v>E6370</v>
      </c>
      <c r="D637" t="s">
        <v>587</v>
      </c>
      <c r="E637" t="s">
        <v>588</v>
      </c>
      <c r="F637" t="s">
        <v>506</v>
      </c>
      <c r="G637" t="s">
        <v>507</v>
      </c>
      <c r="H637" t="s">
        <v>508</v>
      </c>
      <c r="I637" t="s">
        <v>509</v>
      </c>
      <c r="J637" t="s">
        <v>589</v>
      </c>
      <c r="K637" s="502">
        <v>6</v>
      </c>
      <c r="L637" t="s">
        <v>487</v>
      </c>
    </row>
    <row r="638" spans="1:12">
      <c r="A638" t="s">
        <v>3145</v>
      </c>
      <c r="B638" t="s">
        <v>3357</v>
      </c>
      <c r="C638" s="60" t="str">
        <f>C637</f>
        <v>E6370</v>
      </c>
      <c r="D638" t="s">
        <v>587</v>
      </c>
      <c r="E638" t="s">
        <v>588</v>
      </c>
      <c r="F638" t="s">
        <v>506</v>
      </c>
      <c r="G638" t="s">
        <v>507</v>
      </c>
      <c r="H638" t="s">
        <v>508</v>
      </c>
      <c r="I638" t="s">
        <v>509</v>
      </c>
      <c r="J638" t="s">
        <v>589</v>
      </c>
      <c r="K638" s="502">
        <v>6</v>
      </c>
      <c r="L638" t="s">
        <v>487</v>
      </c>
    </row>
    <row r="639" spans="1:12">
      <c r="A639" t="s">
        <v>3145</v>
      </c>
      <c r="B639" t="s">
        <v>3358</v>
      </c>
      <c r="C639" s="60" t="str">
        <f t="shared" ref="C639:C648" si="53">+C638</f>
        <v>E6370</v>
      </c>
      <c r="D639" t="s">
        <v>587</v>
      </c>
      <c r="E639" t="s">
        <v>588</v>
      </c>
      <c r="F639" t="s">
        <v>506</v>
      </c>
      <c r="G639" t="s">
        <v>507</v>
      </c>
      <c r="H639" t="s">
        <v>508</v>
      </c>
      <c r="I639" t="s">
        <v>509</v>
      </c>
      <c r="J639" t="s">
        <v>589</v>
      </c>
      <c r="K639" s="502">
        <v>6</v>
      </c>
      <c r="L639" t="s">
        <v>487</v>
      </c>
    </row>
    <row r="640" spans="1:12">
      <c r="A640" t="s">
        <v>3145</v>
      </c>
      <c r="B640" t="s">
        <v>3359</v>
      </c>
      <c r="C640" s="60" t="str">
        <f t="shared" si="53"/>
        <v>E6370</v>
      </c>
      <c r="D640" t="s">
        <v>587</v>
      </c>
      <c r="E640" t="s">
        <v>588</v>
      </c>
      <c r="F640" t="s">
        <v>506</v>
      </c>
      <c r="G640" t="s">
        <v>507</v>
      </c>
      <c r="H640" t="s">
        <v>508</v>
      </c>
      <c r="I640" t="s">
        <v>509</v>
      </c>
      <c r="J640" t="s">
        <v>589</v>
      </c>
      <c r="K640" s="502">
        <v>6</v>
      </c>
      <c r="L640" t="s">
        <v>487</v>
      </c>
    </row>
    <row r="641" spans="1:13">
      <c r="A641" t="s">
        <v>3145</v>
      </c>
      <c r="B641" t="s">
        <v>3360</v>
      </c>
      <c r="C641" s="60" t="str">
        <f t="shared" si="53"/>
        <v>E6370</v>
      </c>
      <c r="D641" t="s">
        <v>587</v>
      </c>
      <c r="E641" t="s">
        <v>588</v>
      </c>
      <c r="F641" t="s">
        <v>506</v>
      </c>
      <c r="G641" t="s">
        <v>507</v>
      </c>
      <c r="H641" t="s">
        <v>508</v>
      </c>
      <c r="I641" t="s">
        <v>509</v>
      </c>
      <c r="J641" t="s">
        <v>589</v>
      </c>
      <c r="K641" s="502">
        <v>6</v>
      </c>
      <c r="L641" t="s">
        <v>487</v>
      </c>
    </row>
    <row r="642" spans="1:13">
      <c r="A642" t="s">
        <v>3145</v>
      </c>
      <c r="B642" t="s">
        <v>3361</v>
      </c>
      <c r="C642" s="60" t="str">
        <f t="shared" si="53"/>
        <v>E6370</v>
      </c>
      <c r="D642" t="s">
        <v>587</v>
      </c>
      <c r="E642" t="s">
        <v>588</v>
      </c>
      <c r="F642" t="s">
        <v>506</v>
      </c>
      <c r="G642" t="s">
        <v>507</v>
      </c>
      <c r="H642" t="s">
        <v>508</v>
      </c>
      <c r="I642" t="s">
        <v>509</v>
      </c>
      <c r="J642" t="s">
        <v>589</v>
      </c>
      <c r="K642" s="502">
        <v>6</v>
      </c>
      <c r="L642" t="s">
        <v>487</v>
      </c>
    </row>
    <row r="643" spans="1:13">
      <c r="A643" t="s">
        <v>3145</v>
      </c>
      <c r="B643" t="s">
        <v>3362</v>
      </c>
      <c r="C643" s="60" t="str">
        <f t="shared" si="53"/>
        <v>E6370</v>
      </c>
      <c r="D643" t="s">
        <v>587</v>
      </c>
      <c r="E643" t="s">
        <v>588</v>
      </c>
      <c r="F643" t="s">
        <v>506</v>
      </c>
      <c r="G643" t="s">
        <v>507</v>
      </c>
      <c r="H643" t="s">
        <v>508</v>
      </c>
      <c r="I643" t="s">
        <v>509</v>
      </c>
      <c r="J643" t="s">
        <v>589</v>
      </c>
      <c r="K643" s="502">
        <v>6</v>
      </c>
      <c r="L643" t="s">
        <v>487</v>
      </c>
    </row>
    <row r="644" spans="1:13">
      <c r="A644" t="s">
        <v>3145</v>
      </c>
      <c r="B644" t="s">
        <v>3363</v>
      </c>
      <c r="C644" s="60" t="str">
        <f t="shared" si="53"/>
        <v>E6370</v>
      </c>
      <c r="D644" t="s">
        <v>587</v>
      </c>
      <c r="E644" t="s">
        <v>588</v>
      </c>
      <c r="F644" t="s">
        <v>506</v>
      </c>
      <c r="G644" t="s">
        <v>507</v>
      </c>
      <c r="H644" t="s">
        <v>508</v>
      </c>
      <c r="I644" t="s">
        <v>509</v>
      </c>
      <c r="J644" t="s">
        <v>589</v>
      </c>
      <c r="K644" s="502">
        <v>6</v>
      </c>
      <c r="L644" t="s">
        <v>487</v>
      </c>
    </row>
    <row r="645" spans="1:13">
      <c r="A645" t="s">
        <v>3145</v>
      </c>
      <c r="B645" t="s">
        <v>3364</v>
      </c>
      <c r="C645" s="60" t="str">
        <f t="shared" si="53"/>
        <v>E6370</v>
      </c>
      <c r="D645" t="s">
        <v>587</v>
      </c>
      <c r="E645" t="s">
        <v>588</v>
      </c>
      <c r="F645" t="s">
        <v>506</v>
      </c>
      <c r="G645" t="s">
        <v>507</v>
      </c>
      <c r="H645" t="s">
        <v>508</v>
      </c>
      <c r="I645" t="s">
        <v>509</v>
      </c>
      <c r="J645" t="s">
        <v>589</v>
      </c>
      <c r="K645" s="502">
        <v>6</v>
      </c>
      <c r="L645" t="s">
        <v>487</v>
      </c>
    </row>
    <row r="646" spans="1:13">
      <c r="A646" t="s">
        <v>3145</v>
      </c>
      <c r="B646" t="s">
        <v>3365</v>
      </c>
      <c r="C646" s="60" t="str">
        <f t="shared" si="53"/>
        <v>E6370</v>
      </c>
      <c r="D646" t="s">
        <v>587</v>
      </c>
      <c r="E646" t="s">
        <v>588</v>
      </c>
      <c r="F646" t="s">
        <v>506</v>
      </c>
      <c r="G646" t="s">
        <v>507</v>
      </c>
      <c r="H646" t="s">
        <v>508</v>
      </c>
      <c r="I646" t="s">
        <v>509</v>
      </c>
      <c r="J646" t="s">
        <v>589</v>
      </c>
      <c r="K646" s="502">
        <v>6</v>
      </c>
      <c r="L646" t="s">
        <v>487</v>
      </c>
    </row>
    <row r="647" spans="1:13">
      <c r="A647" t="s">
        <v>3145</v>
      </c>
      <c r="B647" t="s">
        <v>3366</v>
      </c>
      <c r="C647" s="60" t="str">
        <f t="shared" si="53"/>
        <v>E6370</v>
      </c>
      <c r="D647" t="s">
        <v>587</v>
      </c>
      <c r="E647" t="s">
        <v>588</v>
      </c>
      <c r="F647" t="s">
        <v>506</v>
      </c>
      <c r="G647" t="s">
        <v>507</v>
      </c>
      <c r="H647" t="s">
        <v>508</v>
      </c>
      <c r="I647" t="s">
        <v>509</v>
      </c>
      <c r="J647" t="s">
        <v>589</v>
      </c>
      <c r="K647" s="502">
        <v>6</v>
      </c>
      <c r="L647" t="s">
        <v>487</v>
      </c>
    </row>
    <row r="648" spans="1:13">
      <c r="A648" t="s">
        <v>3145</v>
      </c>
      <c r="B648" t="s">
        <v>3367</v>
      </c>
      <c r="C648" s="60" t="str">
        <f t="shared" si="53"/>
        <v>E6370</v>
      </c>
      <c r="D648" t="s">
        <v>587</v>
      </c>
      <c r="E648" t="s">
        <v>588</v>
      </c>
      <c r="F648" t="s">
        <v>506</v>
      </c>
      <c r="G648" t="s">
        <v>507</v>
      </c>
      <c r="H648" t="s">
        <v>508</v>
      </c>
      <c r="I648" t="s">
        <v>509</v>
      </c>
      <c r="J648" t="s">
        <v>589</v>
      </c>
      <c r="K648" s="502">
        <v>6</v>
      </c>
      <c r="L648" t="s">
        <v>487</v>
      </c>
    </row>
    <row r="649" spans="1:13">
      <c r="A649" t="s">
        <v>3145</v>
      </c>
      <c r="B649" t="s">
        <v>3356</v>
      </c>
      <c r="C649" s="3" t="str">
        <f>+'2-Préparation saisie LV PROD'!B60</f>
        <v>E6250</v>
      </c>
      <c r="D649" t="s">
        <v>587</v>
      </c>
      <c r="E649" t="s">
        <v>588</v>
      </c>
      <c r="F649" t="s">
        <v>506</v>
      </c>
      <c r="G649" t="s">
        <v>507</v>
      </c>
      <c r="H649" t="s">
        <v>508</v>
      </c>
      <c r="I649" t="s">
        <v>509</v>
      </c>
      <c r="J649" t="s">
        <v>589</v>
      </c>
      <c r="K649" s="502">
        <v>6</v>
      </c>
      <c r="L649" t="s">
        <v>488</v>
      </c>
    </row>
    <row r="650" spans="1:13">
      <c r="A650" t="s">
        <v>3145</v>
      </c>
      <c r="B650" t="s">
        <v>3357</v>
      </c>
      <c r="C650" s="60" t="str">
        <f>C649</f>
        <v>E6250</v>
      </c>
      <c r="D650" t="s">
        <v>587</v>
      </c>
      <c r="E650" t="s">
        <v>588</v>
      </c>
      <c r="F650" t="s">
        <v>506</v>
      </c>
      <c r="G650" t="s">
        <v>507</v>
      </c>
      <c r="H650" t="s">
        <v>508</v>
      </c>
      <c r="I650" t="s">
        <v>509</v>
      </c>
      <c r="J650" t="s">
        <v>589</v>
      </c>
      <c r="K650" s="502">
        <v>6</v>
      </c>
      <c r="L650" t="s">
        <v>488</v>
      </c>
    </row>
    <row r="651" spans="1:13">
      <c r="A651" t="s">
        <v>3145</v>
      </c>
      <c r="B651" t="s">
        <v>3358</v>
      </c>
      <c r="C651" s="60" t="str">
        <f t="shared" ref="C651:C660" si="54">+C650</f>
        <v>E6250</v>
      </c>
      <c r="D651" t="s">
        <v>587</v>
      </c>
      <c r="E651" t="s">
        <v>588</v>
      </c>
      <c r="F651" t="s">
        <v>506</v>
      </c>
      <c r="G651" t="s">
        <v>507</v>
      </c>
      <c r="H651" t="s">
        <v>508</v>
      </c>
      <c r="I651" t="s">
        <v>509</v>
      </c>
      <c r="J651" t="s">
        <v>589</v>
      </c>
      <c r="K651" s="502">
        <v>6</v>
      </c>
      <c r="L651" t="s">
        <v>488</v>
      </c>
    </row>
    <row r="652" spans="1:13">
      <c r="A652" t="s">
        <v>3145</v>
      </c>
      <c r="B652" t="s">
        <v>3359</v>
      </c>
      <c r="C652" s="60" t="str">
        <f t="shared" si="54"/>
        <v>E6250</v>
      </c>
      <c r="D652" t="s">
        <v>587</v>
      </c>
      <c r="E652" t="s">
        <v>588</v>
      </c>
      <c r="F652" t="s">
        <v>506</v>
      </c>
      <c r="G652" t="s">
        <v>507</v>
      </c>
      <c r="H652" t="s">
        <v>508</v>
      </c>
      <c r="I652" t="s">
        <v>509</v>
      </c>
      <c r="J652" t="s">
        <v>589</v>
      </c>
      <c r="K652" s="502">
        <v>6</v>
      </c>
      <c r="L652" t="s">
        <v>488</v>
      </c>
    </row>
    <row r="653" spans="1:13">
      <c r="A653" t="s">
        <v>3145</v>
      </c>
      <c r="B653" t="s">
        <v>3360</v>
      </c>
      <c r="C653" s="60" t="str">
        <f t="shared" si="54"/>
        <v>E6250</v>
      </c>
      <c r="D653" t="s">
        <v>587</v>
      </c>
      <c r="E653" t="s">
        <v>588</v>
      </c>
      <c r="F653" t="s">
        <v>506</v>
      </c>
      <c r="G653" t="s">
        <v>507</v>
      </c>
      <c r="H653" t="s">
        <v>508</v>
      </c>
      <c r="I653" t="s">
        <v>509</v>
      </c>
      <c r="J653" t="s">
        <v>589</v>
      </c>
      <c r="K653" s="502">
        <v>0</v>
      </c>
      <c r="L653" t="s">
        <v>488</v>
      </c>
      <c r="M653" t="s">
        <v>3442</v>
      </c>
    </row>
    <row r="654" spans="1:13">
      <c r="A654" t="s">
        <v>3145</v>
      </c>
      <c r="B654" t="s">
        <v>3361</v>
      </c>
      <c r="C654" s="60" t="str">
        <f t="shared" si="54"/>
        <v>E6250</v>
      </c>
      <c r="D654" t="s">
        <v>587</v>
      </c>
      <c r="E654" t="s">
        <v>588</v>
      </c>
      <c r="F654" t="s">
        <v>506</v>
      </c>
      <c r="G654" t="s">
        <v>507</v>
      </c>
      <c r="H654" t="s">
        <v>508</v>
      </c>
      <c r="I654" t="s">
        <v>509</v>
      </c>
      <c r="J654" t="s">
        <v>589</v>
      </c>
      <c r="K654" s="502">
        <v>0</v>
      </c>
      <c r="L654" t="s">
        <v>488</v>
      </c>
      <c r="M654" t="s">
        <v>3442</v>
      </c>
    </row>
    <row r="655" spans="1:13">
      <c r="A655" t="s">
        <v>3145</v>
      </c>
      <c r="B655" t="s">
        <v>3362</v>
      </c>
      <c r="C655" s="60" t="str">
        <f t="shared" si="54"/>
        <v>E6250</v>
      </c>
      <c r="D655" t="s">
        <v>587</v>
      </c>
      <c r="E655" t="s">
        <v>588</v>
      </c>
      <c r="F655" t="s">
        <v>506</v>
      </c>
      <c r="G655" t="s">
        <v>507</v>
      </c>
      <c r="H655" t="s">
        <v>508</v>
      </c>
      <c r="I655" t="s">
        <v>509</v>
      </c>
      <c r="J655" t="s">
        <v>589</v>
      </c>
      <c r="K655" s="502">
        <v>0</v>
      </c>
      <c r="L655" t="s">
        <v>488</v>
      </c>
      <c r="M655" t="s">
        <v>3442</v>
      </c>
    </row>
    <row r="656" spans="1:13">
      <c r="A656" t="s">
        <v>3145</v>
      </c>
      <c r="B656" t="s">
        <v>3363</v>
      </c>
      <c r="C656" s="60" t="str">
        <f t="shared" si="54"/>
        <v>E6250</v>
      </c>
      <c r="D656" t="s">
        <v>587</v>
      </c>
      <c r="E656" t="s">
        <v>588</v>
      </c>
      <c r="F656" t="s">
        <v>506</v>
      </c>
      <c r="G656" t="s">
        <v>507</v>
      </c>
      <c r="H656" t="s">
        <v>508</v>
      </c>
      <c r="I656" t="s">
        <v>509</v>
      </c>
      <c r="J656" t="s">
        <v>589</v>
      </c>
      <c r="K656" s="502">
        <v>0</v>
      </c>
      <c r="L656" t="s">
        <v>488</v>
      </c>
      <c r="M656" t="s">
        <v>3442</v>
      </c>
    </row>
    <row r="657" spans="1:13">
      <c r="A657" t="s">
        <v>3145</v>
      </c>
      <c r="B657" t="s">
        <v>3364</v>
      </c>
      <c r="C657" s="60" t="str">
        <f t="shared" si="54"/>
        <v>E6250</v>
      </c>
      <c r="D657" t="s">
        <v>587</v>
      </c>
      <c r="E657" t="s">
        <v>588</v>
      </c>
      <c r="F657" t="s">
        <v>506</v>
      </c>
      <c r="G657" t="s">
        <v>507</v>
      </c>
      <c r="H657" t="s">
        <v>508</v>
      </c>
      <c r="I657" t="s">
        <v>509</v>
      </c>
      <c r="J657" t="s">
        <v>589</v>
      </c>
      <c r="K657" s="502">
        <v>0</v>
      </c>
      <c r="L657" t="s">
        <v>488</v>
      </c>
      <c r="M657" t="s">
        <v>3442</v>
      </c>
    </row>
    <row r="658" spans="1:13">
      <c r="A658" t="s">
        <v>3145</v>
      </c>
      <c r="B658" t="s">
        <v>3365</v>
      </c>
      <c r="C658" s="60" t="str">
        <f t="shared" si="54"/>
        <v>E6250</v>
      </c>
      <c r="D658" t="s">
        <v>587</v>
      </c>
      <c r="E658" t="s">
        <v>588</v>
      </c>
      <c r="F658" t="s">
        <v>506</v>
      </c>
      <c r="G658" t="s">
        <v>507</v>
      </c>
      <c r="H658" t="s">
        <v>508</v>
      </c>
      <c r="I658" t="s">
        <v>509</v>
      </c>
      <c r="J658" t="s">
        <v>589</v>
      </c>
      <c r="K658" s="502">
        <v>0</v>
      </c>
      <c r="L658" t="s">
        <v>488</v>
      </c>
      <c r="M658" t="s">
        <v>3442</v>
      </c>
    </row>
    <row r="659" spans="1:13">
      <c r="A659" t="s">
        <v>3145</v>
      </c>
      <c r="B659" t="s">
        <v>3366</v>
      </c>
      <c r="C659" s="60" t="str">
        <f t="shared" si="54"/>
        <v>E6250</v>
      </c>
      <c r="D659" t="s">
        <v>587</v>
      </c>
      <c r="E659" t="s">
        <v>588</v>
      </c>
      <c r="F659" t="s">
        <v>506</v>
      </c>
      <c r="G659" t="s">
        <v>507</v>
      </c>
      <c r="H659" t="s">
        <v>508</v>
      </c>
      <c r="I659" t="s">
        <v>509</v>
      </c>
      <c r="J659" t="s">
        <v>589</v>
      </c>
      <c r="K659" s="502">
        <v>0</v>
      </c>
      <c r="L659" t="s">
        <v>488</v>
      </c>
      <c r="M659" t="s">
        <v>3442</v>
      </c>
    </row>
    <row r="660" spans="1:13">
      <c r="A660" t="s">
        <v>3145</v>
      </c>
      <c r="B660" t="s">
        <v>3367</v>
      </c>
      <c r="C660" s="60" t="str">
        <f t="shared" si="54"/>
        <v>E6250</v>
      </c>
      <c r="D660" t="s">
        <v>587</v>
      </c>
      <c r="E660" t="s">
        <v>588</v>
      </c>
      <c r="F660" t="s">
        <v>506</v>
      </c>
      <c r="G660" t="s">
        <v>507</v>
      </c>
      <c r="H660" t="s">
        <v>508</v>
      </c>
      <c r="I660" t="s">
        <v>509</v>
      </c>
      <c r="J660" t="s">
        <v>589</v>
      </c>
      <c r="K660" s="502">
        <v>0</v>
      </c>
      <c r="L660" t="s">
        <v>488</v>
      </c>
      <c r="M660" t="s">
        <v>3442</v>
      </c>
    </row>
    <row r="661" spans="1:13">
      <c r="A661" t="s">
        <v>3145</v>
      </c>
      <c r="B661" t="s">
        <v>3356</v>
      </c>
      <c r="C661" s="3" t="str">
        <f>+'2-Préparation saisie LV PROD'!B61</f>
        <v>E6260</v>
      </c>
      <c r="D661" t="s">
        <v>587</v>
      </c>
      <c r="E661" t="s">
        <v>588</v>
      </c>
      <c r="F661" t="s">
        <v>506</v>
      </c>
      <c r="G661" t="s">
        <v>507</v>
      </c>
      <c r="H661" t="s">
        <v>508</v>
      </c>
      <c r="I661" t="s">
        <v>509</v>
      </c>
      <c r="J661" t="s">
        <v>589</v>
      </c>
      <c r="K661" s="502">
        <v>5</v>
      </c>
      <c r="L661" t="s">
        <v>489</v>
      </c>
    </row>
    <row r="662" spans="1:13">
      <c r="A662" t="s">
        <v>3145</v>
      </c>
      <c r="B662" t="s">
        <v>3357</v>
      </c>
      <c r="C662" s="60" t="str">
        <f>C661</f>
        <v>E6260</v>
      </c>
      <c r="D662" t="s">
        <v>587</v>
      </c>
      <c r="E662" t="s">
        <v>588</v>
      </c>
      <c r="F662" t="s">
        <v>506</v>
      </c>
      <c r="G662" t="s">
        <v>507</v>
      </c>
      <c r="H662" t="s">
        <v>508</v>
      </c>
      <c r="I662" t="s">
        <v>509</v>
      </c>
      <c r="J662" t="s">
        <v>589</v>
      </c>
      <c r="K662" s="502">
        <v>5</v>
      </c>
      <c r="L662" t="s">
        <v>489</v>
      </c>
    </row>
    <row r="663" spans="1:13">
      <c r="A663" t="s">
        <v>3145</v>
      </c>
      <c r="B663" t="s">
        <v>3358</v>
      </c>
      <c r="C663" s="60" t="str">
        <f t="shared" ref="C663:C672" si="55">+C662</f>
        <v>E6260</v>
      </c>
      <c r="D663" t="s">
        <v>587</v>
      </c>
      <c r="E663" t="s">
        <v>588</v>
      </c>
      <c r="F663" t="s">
        <v>506</v>
      </c>
      <c r="G663" t="s">
        <v>507</v>
      </c>
      <c r="H663" t="s">
        <v>508</v>
      </c>
      <c r="I663" t="s">
        <v>509</v>
      </c>
      <c r="J663" t="s">
        <v>589</v>
      </c>
      <c r="K663" s="502">
        <v>5</v>
      </c>
      <c r="L663" t="s">
        <v>489</v>
      </c>
    </row>
    <row r="664" spans="1:13">
      <c r="A664" t="s">
        <v>3145</v>
      </c>
      <c r="B664" t="s">
        <v>3359</v>
      </c>
      <c r="C664" s="60" t="str">
        <f t="shared" si="55"/>
        <v>E6260</v>
      </c>
      <c r="D664" t="s">
        <v>587</v>
      </c>
      <c r="E664" t="s">
        <v>588</v>
      </c>
      <c r="F664" t="s">
        <v>506</v>
      </c>
      <c r="G664" t="s">
        <v>507</v>
      </c>
      <c r="H664" t="s">
        <v>508</v>
      </c>
      <c r="I664" t="s">
        <v>509</v>
      </c>
      <c r="J664" t="s">
        <v>589</v>
      </c>
      <c r="K664" s="502">
        <v>5</v>
      </c>
      <c r="L664" t="s">
        <v>489</v>
      </c>
    </row>
    <row r="665" spans="1:13">
      <c r="A665" t="s">
        <v>3145</v>
      </c>
      <c r="B665" t="s">
        <v>3360</v>
      </c>
      <c r="C665" s="60" t="str">
        <f t="shared" si="55"/>
        <v>E6260</v>
      </c>
      <c r="D665" t="s">
        <v>587</v>
      </c>
      <c r="E665" t="s">
        <v>588</v>
      </c>
      <c r="F665" t="s">
        <v>506</v>
      </c>
      <c r="G665" t="s">
        <v>507</v>
      </c>
      <c r="H665" t="s">
        <v>508</v>
      </c>
      <c r="I665" t="s">
        <v>509</v>
      </c>
      <c r="J665" t="s">
        <v>589</v>
      </c>
      <c r="K665" s="502">
        <v>5</v>
      </c>
      <c r="L665" t="s">
        <v>489</v>
      </c>
    </row>
    <row r="666" spans="1:13">
      <c r="A666" t="s">
        <v>3145</v>
      </c>
      <c r="B666" t="s">
        <v>3361</v>
      </c>
      <c r="C666" s="60" t="str">
        <f t="shared" si="55"/>
        <v>E6260</v>
      </c>
      <c r="D666" t="s">
        <v>587</v>
      </c>
      <c r="E666" t="s">
        <v>588</v>
      </c>
      <c r="F666" t="s">
        <v>506</v>
      </c>
      <c r="G666" t="s">
        <v>507</v>
      </c>
      <c r="H666" t="s">
        <v>508</v>
      </c>
      <c r="I666" t="s">
        <v>509</v>
      </c>
      <c r="J666" t="s">
        <v>589</v>
      </c>
      <c r="K666" s="502">
        <v>5</v>
      </c>
      <c r="L666" t="s">
        <v>489</v>
      </c>
    </row>
    <row r="667" spans="1:13">
      <c r="A667" t="s">
        <v>3145</v>
      </c>
      <c r="B667" t="s">
        <v>3362</v>
      </c>
      <c r="C667" s="60" t="str">
        <f t="shared" si="55"/>
        <v>E6260</v>
      </c>
      <c r="D667" t="s">
        <v>587</v>
      </c>
      <c r="E667" t="s">
        <v>588</v>
      </c>
      <c r="F667" t="s">
        <v>506</v>
      </c>
      <c r="G667" t="s">
        <v>507</v>
      </c>
      <c r="H667" t="s">
        <v>508</v>
      </c>
      <c r="I667" t="s">
        <v>509</v>
      </c>
      <c r="J667" t="s">
        <v>589</v>
      </c>
      <c r="K667" s="502">
        <v>5</v>
      </c>
      <c r="L667" t="s">
        <v>489</v>
      </c>
    </row>
    <row r="668" spans="1:13">
      <c r="A668" t="s">
        <v>3145</v>
      </c>
      <c r="B668" t="s">
        <v>3363</v>
      </c>
      <c r="C668" s="60" t="str">
        <f t="shared" si="55"/>
        <v>E6260</v>
      </c>
      <c r="D668" t="s">
        <v>587</v>
      </c>
      <c r="E668" t="s">
        <v>588</v>
      </c>
      <c r="F668" t="s">
        <v>506</v>
      </c>
      <c r="G668" t="s">
        <v>507</v>
      </c>
      <c r="H668" t="s">
        <v>508</v>
      </c>
      <c r="I668" t="s">
        <v>509</v>
      </c>
      <c r="J668" t="s">
        <v>589</v>
      </c>
      <c r="K668" s="502">
        <v>5</v>
      </c>
      <c r="L668" t="s">
        <v>489</v>
      </c>
    </row>
    <row r="669" spans="1:13">
      <c r="A669" t="s">
        <v>3145</v>
      </c>
      <c r="B669" t="s">
        <v>3364</v>
      </c>
      <c r="C669" s="60" t="str">
        <f t="shared" si="55"/>
        <v>E6260</v>
      </c>
      <c r="D669" t="s">
        <v>587</v>
      </c>
      <c r="E669" t="s">
        <v>588</v>
      </c>
      <c r="F669" t="s">
        <v>506</v>
      </c>
      <c r="G669" t="s">
        <v>507</v>
      </c>
      <c r="H669" t="s">
        <v>508</v>
      </c>
      <c r="I669" t="s">
        <v>509</v>
      </c>
      <c r="J669" t="s">
        <v>589</v>
      </c>
      <c r="K669" s="502">
        <v>5</v>
      </c>
      <c r="L669" t="s">
        <v>489</v>
      </c>
    </row>
    <row r="670" spans="1:13">
      <c r="A670" t="s">
        <v>3145</v>
      </c>
      <c r="B670" t="s">
        <v>3365</v>
      </c>
      <c r="C670" s="60" t="str">
        <f t="shared" si="55"/>
        <v>E6260</v>
      </c>
      <c r="D670" t="s">
        <v>587</v>
      </c>
      <c r="E670" t="s">
        <v>588</v>
      </c>
      <c r="F670" t="s">
        <v>506</v>
      </c>
      <c r="G670" t="s">
        <v>507</v>
      </c>
      <c r="H670" t="s">
        <v>508</v>
      </c>
      <c r="I670" t="s">
        <v>509</v>
      </c>
      <c r="J670" t="s">
        <v>589</v>
      </c>
      <c r="K670" s="502">
        <v>5</v>
      </c>
      <c r="L670" t="s">
        <v>489</v>
      </c>
    </row>
    <row r="671" spans="1:13">
      <c r="A671" t="s">
        <v>3145</v>
      </c>
      <c r="B671" t="s">
        <v>3366</v>
      </c>
      <c r="C671" s="60" t="str">
        <f t="shared" si="55"/>
        <v>E6260</v>
      </c>
      <c r="D671" t="s">
        <v>587</v>
      </c>
      <c r="E671" t="s">
        <v>588</v>
      </c>
      <c r="F671" t="s">
        <v>506</v>
      </c>
      <c r="G671" t="s">
        <v>507</v>
      </c>
      <c r="H671" t="s">
        <v>508</v>
      </c>
      <c r="I671" t="s">
        <v>509</v>
      </c>
      <c r="J671" t="s">
        <v>589</v>
      </c>
      <c r="K671" s="502">
        <v>5</v>
      </c>
      <c r="L671" t="s">
        <v>489</v>
      </c>
    </row>
    <row r="672" spans="1:13">
      <c r="A672" t="s">
        <v>3145</v>
      </c>
      <c r="B672" t="s">
        <v>3367</v>
      </c>
      <c r="C672" s="60" t="str">
        <f t="shared" si="55"/>
        <v>E6260</v>
      </c>
      <c r="D672" t="s">
        <v>587</v>
      </c>
      <c r="E672" t="s">
        <v>588</v>
      </c>
      <c r="F672" t="s">
        <v>506</v>
      </c>
      <c r="G672" t="s">
        <v>507</v>
      </c>
      <c r="H672" t="s">
        <v>508</v>
      </c>
      <c r="I672" t="s">
        <v>509</v>
      </c>
      <c r="J672" t="s">
        <v>589</v>
      </c>
      <c r="K672" s="502">
        <v>5</v>
      </c>
      <c r="L672" t="s">
        <v>489</v>
      </c>
    </row>
    <row r="673" spans="1:12">
      <c r="A673" t="s">
        <v>3145</v>
      </c>
      <c r="B673" t="s">
        <v>3356</v>
      </c>
      <c r="C673" s="3" t="str">
        <f>+'2-Préparation saisie LV PROD'!B62</f>
        <v>E6120</v>
      </c>
      <c r="D673" t="s">
        <v>587</v>
      </c>
      <c r="E673" t="s">
        <v>588</v>
      </c>
      <c r="F673" t="s">
        <v>506</v>
      </c>
      <c r="G673" t="s">
        <v>507</v>
      </c>
      <c r="H673" t="s">
        <v>508</v>
      </c>
      <c r="I673" t="s">
        <v>509</v>
      </c>
      <c r="J673" t="s">
        <v>589</v>
      </c>
      <c r="K673" s="502">
        <v>2</v>
      </c>
      <c r="L673" t="s">
        <v>490</v>
      </c>
    </row>
    <row r="674" spans="1:12">
      <c r="A674" t="s">
        <v>3145</v>
      </c>
      <c r="B674" t="s">
        <v>3357</v>
      </c>
      <c r="C674" s="60" t="str">
        <f>C673</f>
        <v>E6120</v>
      </c>
      <c r="D674" t="s">
        <v>587</v>
      </c>
      <c r="E674" t="s">
        <v>588</v>
      </c>
      <c r="F674" t="s">
        <v>506</v>
      </c>
      <c r="G674" t="s">
        <v>507</v>
      </c>
      <c r="H674" t="s">
        <v>508</v>
      </c>
      <c r="I674" t="s">
        <v>509</v>
      </c>
      <c r="J674" t="s">
        <v>589</v>
      </c>
      <c r="K674" s="502">
        <v>2</v>
      </c>
      <c r="L674" t="s">
        <v>490</v>
      </c>
    </row>
    <row r="675" spans="1:12">
      <c r="A675" t="s">
        <v>3145</v>
      </c>
      <c r="B675" t="s">
        <v>3358</v>
      </c>
      <c r="C675" s="60" t="str">
        <f t="shared" ref="C675:C684" si="56">+C674</f>
        <v>E6120</v>
      </c>
      <c r="D675" t="s">
        <v>587</v>
      </c>
      <c r="E675" t="s">
        <v>588</v>
      </c>
      <c r="F675" t="s">
        <v>506</v>
      </c>
      <c r="G675" t="s">
        <v>507</v>
      </c>
      <c r="H675" t="s">
        <v>508</v>
      </c>
      <c r="I675" t="s">
        <v>509</v>
      </c>
      <c r="J675" t="s">
        <v>589</v>
      </c>
      <c r="K675" s="502">
        <v>2</v>
      </c>
      <c r="L675" t="s">
        <v>490</v>
      </c>
    </row>
    <row r="676" spans="1:12">
      <c r="A676" t="s">
        <v>3145</v>
      </c>
      <c r="B676" t="s">
        <v>3359</v>
      </c>
      <c r="C676" s="60" t="str">
        <f t="shared" si="56"/>
        <v>E6120</v>
      </c>
      <c r="D676" t="s">
        <v>587</v>
      </c>
      <c r="E676" t="s">
        <v>588</v>
      </c>
      <c r="F676" t="s">
        <v>506</v>
      </c>
      <c r="G676" t="s">
        <v>507</v>
      </c>
      <c r="H676" t="s">
        <v>508</v>
      </c>
      <c r="I676" t="s">
        <v>509</v>
      </c>
      <c r="J676" t="s">
        <v>589</v>
      </c>
      <c r="K676" s="502">
        <v>2</v>
      </c>
      <c r="L676" t="s">
        <v>490</v>
      </c>
    </row>
    <row r="677" spans="1:12">
      <c r="A677" t="s">
        <v>3145</v>
      </c>
      <c r="B677" t="s">
        <v>3360</v>
      </c>
      <c r="C677" s="60" t="str">
        <f t="shared" si="56"/>
        <v>E6120</v>
      </c>
      <c r="D677" t="s">
        <v>587</v>
      </c>
      <c r="E677" t="s">
        <v>588</v>
      </c>
      <c r="F677" t="s">
        <v>506</v>
      </c>
      <c r="G677" t="s">
        <v>507</v>
      </c>
      <c r="H677" t="s">
        <v>508</v>
      </c>
      <c r="I677" t="s">
        <v>509</v>
      </c>
      <c r="J677" t="s">
        <v>589</v>
      </c>
      <c r="K677" s="502">
        <v>2</v>
      </c>
      <c r="L677" t="s">
        <v>490</v>
      </c>
    </row>
    <row r="678" spans="1:12">
      <c r="A678" t="s">
        <v>3145</v>
      </c>
      <c r="B678" t="s">
        <v>3361</v>
      </c>
      <c r="C678" s="60" t="str">
        <f t="shared" si="56"/>
        <v>E6120</v>
      </c>
      <c r="D678" t="s">
        <v>587</v>
      </c>
      <c r="E678" t="s">
        <v>588</v>
      </c>
      <c r="F678" t="s">
        <v>506</v>
      </c>
      <c r="G678" t="s">
        <v>507</v>
      </c>
      <c r="H678" t="s">
        <v>508</v>
      </c>
      <c r="I678" t="s">
        <v>509</v>
      </c>
      <c r="J678" t="s">
        <v>589</v>
      </c>
      <c r="K678" s="502">
        <v>2</v>
      </c>
      <c r="L678" t="s">
        <v>490</v>
      </c>
    </row>
    <row r="679" spans="1:12">
      <c r="A679" t="s">
        <v>3145</v>
      </c>
      <c r="B679" t="s">
        <v>3362</v>
      </c>
      <c r="C679" s="60" t="str">
        <f t="shared" si="56"/>
        <v>E6120</v>
      </c>
      <c r="D679" t="s">
        <v>587</v>
      </c>
      <c r="E679" t="s">
        <v>588</v>
      </c>
      <c r="F679" t="s">
        <v>506</v>
      </c>
      <c r="G679" t="s">
        <v>507</v>
      </c>
      <c r="H679" t="s">
        <v>508</v>
      </c>
      <c r="I679" t="s">
        <v>509</v>
      </c>
      <c r="J679" t="s">
        <v>589</v>
      </c>
      <c r="K679" s="502">
        <v>2</v>
      </c>
      <c r="L679" t="s">
        <v>490</v>
      </c>
    </row>
    <row r="680" spans="1:12">
      <c r="A680" t="s">
        <v>3145</v>
      </c>
      <c r="B680" t="s">
        <v>3363</v>
      </c>
      <c r="C680" s="60" t="str">
        <f t="shared" si="56"/>
        <v>E6120</v>
      </c>
      <c r="D680" t="s">
        <v>587</v>
      </c>
      <c r="E680" t="s">
        <v>588</v>
      </c>
      <c r="F680" t="s">
        <v>506</v>
      </c>
      <c r="G680" t="s">
        <v>507</v>
      </c>
      <c r="H680" t="s">
        <v>508</v>
      </c>
      <c r="I680" t="s">
        <v>509</v>
      </c>
      <c r="J680" t="s">
        <v>589</v>
      </c>
      <c r="K680" s="502">
        <v>2</v>
      </c>
      <c r="L680" t="s">
        <v>490</v>
      </c>
    </row>
    <row r="681" spans="1:12">
      <c r="A681" t="s">
        <v>3145</v>
      </c>
      <c r="B681" t="s">
        <v>3364</v>
      </c>
      <c r="C681" s="60" t="str">
        <f t="shared" si="56"/>
        <v>E6120</v>
      </c>
      <c r="D681" t="s">
        <v>587</v>
      </c>
      <c r="E681" t="s">
        <v>588</v>
      </c>
      <c r="F681" t="s">
        <v>506</v>
      </c>
      <c r="G681" t="s">
        <v>507</v>
      </c>
      <c r="H681" t="s">
        <v>508</v>
      </c>
      <c r="I681" t="s">
        <v>509</v>
      </c>
      <c r="J681" t="s">
        <v>589</v>
      </c>
      <c r="K681" s="502">
        <v>2</v>
      </c>
      <c r="L681" t="s">
        <v>490</v>
      </c>
    </row>
    <row r="682" spans="1:12">
      <c r="A682" t="s">
        <v>3145</v>
      </c>
      <c r="B682" t="s">
        <v>3365</v>
      </c>
      <c r="C682" s="60" t="str">
        <f t="shared" si="56"/>
        <v>E6120</v>
      </c>
      <c r="D682" t="s">
        <v>587</v>
      </c>
      <c r="E682" t="s">
        <v>588</v>
      </c>
      <c r="F682" t="s">
        <v>506</v>
      </c>
      <c r="G682" t="s">
        <v>507</v>
      </c>
      <c r="H682" t="s">
        <v>508</v>
      </c>
      <c r="I682" t="s">
        <v>509</v>
      </c>
      <c r="J682" t="s">
        <v>589</v>
      </c>
      <c r="K682" s="502">
        <v>2</v>
      </c>
      <c r="L682" t="s">
        <v>490</v>
      </c>
    </row>
    <row r="683" spans="1:12">
      <c r="A683" t="s">
        <v>3145</v>
      </c>
      <c r="B683" t="s">
        <v>3366</v>
      </c>
      <c r="C683" s="60" t="str">
        <f t="shared" si="56"/>
        <v>E6120</v>
      </c>
      <c r="D683" t="s">
        <v>587</v>
      </c>
      <c r="E683" t="s">
        <v>588</v>
      </c>
      <c r="F683" t="s">
        <v>506</v>
      </c>
      <c r="G683" t="s">
        <v>507</v>
      </c>
      <c r="H683" t="s">
        <v>508</v>
      </c>
      <c r="I683" t="s">
        <v>509</v>
      </c>
      <c r="J683" t="s">
        <v>589</v>
      </c>
      <c r="K683" s="502">
        <v>2</v>
      </c>
      <c r="L683" t="s">
        <v>490</v>
      </c>
    </row>
    <row r="684" spans="1:12">
      <c r="A684" t="s">
        <v>3145</v>
      </c>
      <c r="B684" t="s">
        <v>3367</v>
      </c>
      <c r="C684" s="60" t="str">
        <f t="shared" si="56"/>
        <v>E6120</v>
      </c>
      <c r="D684" t="s">
        <v>587</v>
      </c>
      <c r="E684" t="s">
        <v>588</v>
      </c>
      <c r="F684" t="s">
        <v>506</v>
      </c>
      <c r="G684" t="s">
        <v>507</v>
      </c>
      <c r="H684" t="s">
        <v>508</v>
      </c>
      <c r="I684" t="s">
        <v>509</v>
      </c>
      <c r="J684" t="s">
        <v>589</v>
      </c>
      <c r="K684" s="502">
        <v>2</v>
      </c>
      <c r="L684" t="s">
        <v>490</v>
      </c>
    </row>
    <row r="685" spans="1:12">
      <c r="A685" t="s">
        <v>3145</v>
      </c>
      <c r="B685" t="s">
        <v>3356</v>
      </c>
      <c r="C685" s="3" t="str">
        <f>+'2-Préparation saisie LV PROD'!B63</f>
        <v>E6130</v>
      </c>
      <c r="D685" t="s">
        <v>587</v>
      </c>
      <c r="E685" t="s">
        <v>588</v>
      </c>
      <c r="F685" t="s">
        <v>506</v>
      </c>
      <c r="G685" t="s">
        <v>507</v>
      </c>
      <c r="H685" t="s">
        <v>508</v>
      </c>
      <c r="I685" t="s">
        <v>509</v>
      </c>
      <c r="J685" t="s">
        <v>589</v>
      </c>
      <c r="K685" s="502">
        <v>6</v>
      </c>
      <c r="L685" t="s">
        <v>491</v>
      </c>
    </row>
    <row r="686" spans="1:12">
      <c r="A686" t="s">
        <v>3145</v>
      </c>
      <c r="B686" t="s">
        <v>3357</v>
      </c>
      <c r="C686" s="60" t="str">
        <f>C685</f>
        <v>E6130</v>
      </c>
      <c r="D686" t="s">
        <v>587</v>
      </c>
      <c r="E686" t="s">
        <v>588</v>
      </c>
      <c r="F686" t="s">
        <v>506</v>
      </c>
      <c r="G686" t="s">
        <v>507</v>
      </c>
      <c r="H686" t="s">
        <v>508</v>
      </c>
      <c r="I686" t="s">
        <v>509</v>
      </c>
      <c r="J686" t="s">
        <v>589</v>
      </c>
      <c r="K686" s="502">
        <v>6</v>
      </c>
      <c r="L686" t="s">
        <v>491</v>
      </c>
    </row>
    <row r="687" spans="1:12">
      <c r="A687" t="s">
        <v>3145</v>
      </c>
      <c r="B687" t="s">
        <v>3358</v>
      </c>
      <c r="C687" s="60" t="str">
        <f t="shared" ref="C687:C696" si="57">+C686</f>
        <v>E6130</v>
      </c>
      <c r="D687" t="s">
        <v>587</v>
      </c>
      <c r="E687" t="s">
        <v>588</v>
      </c>
      <c r="F687" t="s">
        <v>506</v>
      </c>
      <c r="G687" t="s">
        <v>507</v>
      </c>
      <c r="H687" t="s">
        <v>508</v>
      </c>
      <c r="I687" t="s">
        <v>509</v>
      </c>
      <c r="J687" t="s">
        <v>589</v>
      </c>
      <c r="K687" s="502">
        <v>6</v>
      </c>
      <c r="L687" t="s">
        <v>491</v>
      </c>
    </row>
    <row r="688" spans="1:12">
      <c r="A688" t="s">
        <v>3145</v>
      </c>
      <c r="B688" t="s">
        <v>3359</v>
      </c>
      <c r="C688" s="60" t="str">
        <f t="shared" si="57"/>
        <v>E6130</v>
      </c>
      <c r="D688" t="s">
        <v>587</v>
      </c>
      <c r="E688" t="s">
        <v>588</v>
      </c>
      <c r="F688" t="s">
        <v>506</v>
      </c>
      <c r="G688" t="s">
        <v>507</v>
      </c>
      <c r="H688" t="s">
        <v>508</v>
      </c>
      <c r="I688" t="s">
        <v>509</v>
      </c>
      <c r="J688" t="s">
        <v>589</v>
      </c>
      <c r="K688" s="502">
        <v>6</v>
      </c>
      <c r="L688" t="s">
        <v>491</v>
      </c>
    </row>
    <row r="689" spans="1:12">
      <c r="A689" t="s">
        <v>3145</v>
      </c>
      <c r="B689" t="s">
        <v>3360</v>
      </c>
      <c r="C689" s="60" t="str">
        <f t="shared" si="57"/>
        <v>E6130</v>
      </c>
      <c r="D689" t="s">
        <v>587</v>
      </c>
      <c r="E689" t="s">
        <v>588</v>
      </c>
      <c r="F689" t="s">
        <v>506</v>
      </c>
      <c r="G689" t="s">
        <v>507</v>
      </c>
      <c r="H689" t="s">
        <v>508</v>
      </c>
      <c r="I689" t="s">
        <v>509</v>
      </c>
      <c r="J689" t="s">
        <v>589</v>
      </c>
      <c r="K689" s="502">
        <v>6</v>
      </c>
      <c r="L689" t="s">
        <v>491</v>
      </c>
    </row>
    <row r="690" spans="1:12">
      <c r="A690" t="s">
        <v>3145</v>
      </c>
      <c r="B690" t="s">
        <v>3361</v>
      </c>
      <c r="C690" s="60" t="str">
        <f t="shared" si="57"/>
        <v>E6130</v>
      </c>
      <c r="D690" t="s">
        <v>587</v>
      </c>
      <c r="E690" t="s">
        <v>588</v>
      </c>
      <c r="F690" t="s">
        <v>506</v>
      </c>
      <c r="G690" t="s">
        <v>507</v>
      </c>
      <c r="H690" t="s">
        <v>508</v>
      </c>
      <c r="I690" t="s">
        <v>509</v>
      </c>
      <c r="J690" t="s">
        <v>589</v>
      </c>
      <c r="K690" s="502">
        <v>6</v>
      </c>
      <c r="L690" t="s">
        <v>491</v>
      </c>
    </row>
    <row r="691" spans="1:12">
      <c r="A691" t="s">
        <v>3145</v>
      </c>
      <c r="B691" t="s">
        <v>3362</v>
      </c>
      <c r="C691" s="60" t="str">
        <f t="shared" si="57"/>
        <v>E6130</v>
      </c>
      <c r="D691" t="s">
        <v>587</v>
      </c>
      <c r="E691" t="s">
        <v>588</v>
      </c>
      <c r="F691" t="s">
        <v>506</v>
      </c>
      <c r="G691" t="s">
        <v>507</v>
      </c>
      <c r="H691" t="s">
        <v>508</v>
      </c>
      <c r="I691" t="s">
        <v>509</v>
      </c>
      <c r="J691" t="s">
        <v>589</v>
      </c>
      <c r="K691" s="502">
        <v>6</v>
      </c>
      <c r="L691" t="s">
        <v>491</v>
      </c>
    </row>
    <row r="692" spans="1:12">
      <c r="A692" t="s">
        <v>3145</v>
      </c>
      <c r="B692" t="s">
        <v>3363</v>
      </c>
      <c r="C692" s="60" t="str">
        <f t="shared" si="57"/>
        <v>E6130</v>
      </c>
      <c r="D692" t="s">
        <v>587</v>
      </c>
      <c r="E692" t="s">
        <v>588</v>
      </c>
      <c r="F692" t="s">
        <v>506</v>
      </c>
      <c r="G692" t="s">
        <v>507</v>
      </c>
      <c r="H692" t="s">
        <v>508</v>
      </c>
      <c r="I692" t="s">
        <v>509</v>
      </c>
      <c r="J692" t="s">
        <v>589</v>
      </c>
      <c r="K692" s="502">
        <v>6</v>
      </c>
      <c r="L692" t="s">
        <v>491</v>
      </c>
    </row>
    <row r="693" spans="1:12">
      <c r="A693" t="s">
        <v>3145</v>
      </c>
      <c r="B693" t="s">
        <v>3364</v>
      </c>
      <c r="C693" s="60" t="str">
        <f t="shared" si="57"/>
        <v>E6130</v>
      </c>
      <c r="D693" t="s">
        <v>587</v>
      </c>
      <c r="E693" t="s">
        <v>588</v>
      </c>
      <c r="F693" t="s">
        <v>506</v>
      </c>
      <c r="G693" t="s">
        <v>507</v>
      </c>
      <c r="H693" t="s">
        <v>508</v>
      </c>
      <c r="I693" t="s">
        <v>509</v>
      </c>
      <c r="J693" t="s">
        <v>589</v>
      </c>
      <c r="K693" s="502">
        <v>6</v>
      </c>
      <c r="L693" t="s">
        <v>491</v>
      </c>
    </row>
    <row r="694" spans="1:12">
      <c r="A694" t="s">
        <v>3145</v>
      </c>
      <c r="B694" t="s">
        <v>3365</v>
      </c>
      <c r="C694" s="60" t="str">
        <f t="shared" si="57"/>
        <v>E6130</v>
      </c>
      <c r="D694" t="s">
        <v>587</v>
      </c>
      <c r="E694" t="s">
        <v>588</v>
      </c>
      <c r="F694" t="s">
        <v>506</v>
      </c>
      <c r="G694" t="s">
        <v>507</v>
      </c>
      <c r="H694" t="s">
        <v>508</v>
      </c>
      <c r="I694" t="s">
        <v>509</v>
      </c>
      <c r="J694" t="s">
        <v>589</v>
      </c>
      <c r="K694" s="502">
        <v>6</v>
      </c>
      <c r="L694" t="s">
        <v>491</v>
      </c>
    </row>
    <row r="695" spans="1:12">
      <c r="A695" t="s">
        <v>3145</v>
      </c>
      <c r="B695" t="s">
        <v>3366</v>
      </c>
      <c r="C695" s="60" t="str">
        <f t="shared" si="57"/>
        <v>E6130</v>
      </c>
      <c r="D695" t="s">
        <v>587</v>
      </c>
      <c r="E695" t="s">
        <v>588</v>
      </c>
      <c r="F695" t="s">
        <v>506</v>
      </c>
      <c r="G695" t="s">
        <v>507</v>
      </c>
      <c r="H695" t="s">
        <v>508</v>
      </c>
      <c r="I695" t="s">
        <v>509</v>
      </c>
      <c r="J695" t="s">
        <v>589</v>
      </c>
      <c r="K695" s="502">
        <v>6</v>
      </c>
      <c r="L695" t="s">
        <v>491</v>
      </c>
    </row>
    <row r="696" spans="1:12">
      <c r="A696" t="s">
        <v>3145</v>
      </c>
      <c r="B696" t="s">
        <v>3367</v>
      </c>
      <c r="C696" s="60" t="str">
        <f t="shared" si="57"/>
        <v>E6130</v>
      </c>
      <c r="D696" t="s">
        <v>587</v>
      </c>
      <c r="E696" t="s">
        <v>588</v>
      </c>
      <c r="F696" t="s">
        <v>506</v>
      </c>
      <c r="G696" t="s">
        <v>507</v>
      </c>
      <c r="H696" t="s">
        <v>508</v>
      </c>
      <c r="I696" t="s">
        <v>509</v>
      </c>
      <c r="J696" t="s">
        <v>589</v>
      </c>
      <c r="K696" s="502">
        <v>6</v>
      </c>
      <c r="L696" t="s">
        <v>491</v>
      </c>
    </row>
    <row r="697" spans="1:12">
      <c r="A697" t="s">
        <v>3145</v>
      </c>
      <c r="B697" t="s">
        <v>3356</v>
      </c>
      <c r="C697" s="3" t="str">
        <f>+'2-Préparation saisie LV PROD'!B64</f>
        <v>E6210</v>
      </c>
      <c r="D697" t="s">
        <v>587</v>
      </c>
      <c r="E697" t="s">
        <v>588</v>
      </c>
      <c r="F697" t="s">
        <v>506</v>
      </c>
      <c r="G697" t="s">
        <v>507</v>
      </c>
      <c r="H697" t="s">
        <v>508</v>
      </c>
      <c r="I697" t="s">
        <v>509</v>
      </c>
      <c r="J697" t="s">
        <v>589</v>
      </c>
      <c r="K697" s="502">
        <v>4</v>
      </c>
      <c r="L697" t="s">
        <v>492</v>
      </c>
    </row>
    <row r="698" spans="1:12">
      <c r="A698" t="s">
        <v>3145</v>
      </c>
      <c r="B698" t="s">
        <v>3357</v>
      </c>
      <c r="C698" s="60" t="str">
        <f>C697</f>
        <v>E6210</v>
      </c>
      <c r="D698" t="s">
        <v>587</v>
      </c>
      <c r="E698" t="s">
        <v>588</v>
      </c>
      <c r="F698" t="s">
        <v>506</v>
      </c>
      <c r="G698" t="s">
        <v>507</v>
      </c>
      <c r="H698" t="s">
        <v>508</v>
      </c>
      <c r="I698" t="s">
        <v>509</v>
      </c>
      <c r="J698" t="s">
        <v>589</v>
      </c>
      <c r="K698" s="502">
        <v>4</v>
      </c>
      <c r="L698" t="s">
        <v>492</v>
      </c>
    </row>
    <row r="699" spans="1:12">
      <c r="A699" t="s">
        <v>3145</v>
      </c>
      <c r="B699" t="s">
        <v>3358</v>
      </c>
      <c r="C699" s="60" t="str">
        <f t="shared" ref="C699:C708" si="58">+C698</f>
        <v>E6210</v>
      </c>
      <c r="D699" t="s">
        <v>587</v>
      </c>
      <c r="E699" t="s">
        <v>588</v>
      </c>
      <c r="F699" t="s">
        <v>506</v>
      </c>
      <c r="G699" t="s">
        <v>507</v>
      </c>
      <c r="H699" t="s">
        <v>508</v>
      </c>
      <c r="I699" t="s">
        <v>509</v>
      </c>
      <c r="J699" t="s">
        <v>589</v>
      </c>
      <c r="K699" s="502">
        <v>4</v>
      </c>
      <c r="L699" t="s">
        <v>492</v>
      </c>
    </row>
    <row r="700" spans="1:12">
      <c r="A700" t="s">
        <v>3145</v>
      </c>
      <c r="B700" t="s">
        <v>3359</v>
      </c>
      <c r="C700" s="60" t="str">
        <f t="shared" si="58"/>
        <v>E6210</v>
      </c>
      <c r="D700" t="s">
        <v>587</v>
      </c>
      <c r="E700" t="s">
        <v>588</v>
      </c>
      <c r="F700" t="s">
        <v>506</v>
      </c>
      <c r="G700" t="s">
        <v>507</v>
      </c>
      <c r="H700" t="s">
        <v>508</v>
      </c>
      <c r="I700" t="s">
        <v>509</v>
      </c>
      <c r="J700" t="s">
        <v>589</v>
      </c>
      <c r="K700" s="502">
        <v>4</v>
      </c>
      <c r="L700" t="s">
        <v>492</v>
      </c>
    </row>
    <row r="701" spans="1:12">
      <c r="A701" t="s">
        <v>3145</v>
      </c>
      <c r="B701" t="s">
        <v>3360</v>
      </c>
      <c r="C701" s="60" t="str">
        <f t="shared" si="58"/>
        <v>E6210</v>
      </c>
      <c r="D701" t="s">
        <v>587</v>
      </c>
      <c r="E701" t="s">
        <v>588</v>
      </c>
      <c r="F701" t="s">
        <v>506</v>
      </c>
      <c r="G701" t="s">
        <v>507</v>
      </c>
      <c r="H701" t="s">
        <v>508</v>
      </c>
      <c r="I701" t="s">
        <v>509</v>
      </c>
      <c r="J701" t="s">
        <v>589</v>
      </c>
      <c r="K701" s="502">
        <v>4</v>
      </c>
      <c r="L701" t="s">
        <v>492</v>
      </c>
    </row>
    <row r="702" spans="1:12">
      <c r="A702" t="s">
        <v>3145</v>
      </c>
      <c r="B702" t="s">
        <v>3361</v>
      </c>
      <c r="C702" s="60" t="str">
        <f t="shared" si="58"/>
        <v>E6210</v>
      </c>
      <c r="D702" t="s">
        <v>587</v>
      </c>
      <c r="E702" t="s">
        <v>588</v>
      </c>
      <c r="F702" t="s">
        <v>506</v>
      </c>
      <c r="G702" t="s">
        <v>507</v>
      </c>
      <c r="H702" t="s">
        <v>508</v>
      </c>
      <c r="I702" t="s">
        <v>509</v>
      </c>
      <c r="J702" t="s">
        <v>589</v>
      </c>
      <c r="K702" s="502">
        <v>4</v>
      </c>
      <c r="L702" t="s">
        <v>492</v>
      </c>
    </row>
    <row r="703" spans="1:12">
      <c r="A703" t="s">
        <v>3145</v>
      </c>
      <c r="B703" t="s">
        <v>3362</v>
      </c>
      <c r="C703" s="60" t="str">
        <f t="shared" si="58"/>
        <v>E6210</v>
      </c>
      <c r="D703" t="s">
        <v>587</v>
      </c>
      <c r="E703" t="s">
        <v>588</v>
      </c>
      <c r="F703" t="s">
        <v>506</v>
      </c>
      <c r="G703" t="s">
        <v>507</v>
      </c>
      <c r="H703" t="s">
        <v>508</v>
      </c>
      <c r="I703" t="s">
        <v>509</v>
      </c>
      <c r="J703" t="s">
        <v>589</v>
      </c>
      <c r="K703" s="502">
        <v>4</v>
      </c>
      <c r="L703" t="s">
        <v>492</v>
      </c>
    </row>
    <row r="704" spans="1:12">
      <c r="A704" t="s">
        <v>3145</v>
      </c>
      <c r="B704" t="s">
        <v>3363</v>
      </c>
      <c r="C704" s="60" t="str">
        <f t="shared" si="58"/>
        <v>E6210</v>
      </c>
      <c r="D704" t="s">
        <v>587</v>
      </c>
      <c r="E704" t="s">
        <v>588</v>
      </c>
      <c r="F704" t="s">
        <v>506</v>
      </c>
      <c r="G704" t="s">
        <v>507</v>
      </c>
      <c r="H704" t="s">
        <v>508</v>
      </c>
      <c r="I704" t="s">
        <v>509</v>
      </c>
      <c r="J704" t="s">
        <v>589</v>
      </c>
      <c r="K704" s="502">
        <v>4</v>
      </c>
      <c r="L704" t="s">
        <v>492</v>
      </c>
    </row>
    <row r="705" spans="1:12">
      <c r="A705" t="s">
        <v>3145</v>
      </c>
      <c r="B705" t="s">
        <v>3364</v>
      </c>
      <c r="C705" s="60" t="str">
        <f t="shared" si="58"/>
        <v>E6210</v>
      </c>
      <c r="D705" t="s">
        <v>587</v>
      </c>
      <c r="E705" t="s">
        <v>588</v>
      </c>
      <c r="F705" t="s">
        <v>506</v>
      </c>
      <c r="G705" t="s">
        <v>507</v>
      </c>
      <c r="H705" t="s">
        <v>508</v>
      </c>
      <c r="I705" t="s">
        <v>509</v>
      </c>
      <c r="J705" t="s">
        <v>589</v>
      </c>
      <c r="K705" s="502">
        <v>4</v>
      </c>
      <c r="L705" t="s">
        <v>492</v>
      </c>
    </row>
    <row r="706" spans="1:12">
      <c r="A706" t="s">
        <v>3145</v>
      </c>
      <c r="B706" t="s">
        <v>3365</v>
      </c>
      <c r="C706" s="60" t="str">
        <f t="shared" si="58"/>
        <v>E6210</v>
      </c>
      <c r="D706" t="s">
        <v>587</v>
      </c>
      <c r="E706" t="s">
        <v>588</v>
      </c>
      <c r="F706" t="s">
        <v>506</v>
      </c>
      <c r="G706" t="s">
        <v>507</v>
      </c>
      <c r="H706" t="s">
        <v>508</v>
      </c>
      <c r="I706" t="s">
        <v>509</v>
      </c>
      <c r="J706" t="s">
        <v>589</v>
      </c>
      <c r="K706" s="502">
        <v>4</v>
      </c>
      <c r="L706" t="s">
        <v>492</v>
      </c>
    </row>
    <row r="707" spans="1:12">
      <c r="A707" t="s">
        <v>3145</v>
      </c>
      <c r="B707" t="s">
        <v>3366</v>
      </c>
      <c r="C707" s="60" t="str">
        <f t="shared" si="58"/>
        <v>E6210</v>
      </c>
      <c r="D707" t="s">
        <v>587</v>
      </c>
      <c r="E707" t="s">
        <v>588</v>
      </c>
      <c r="F707" t="s">
        <v>506</v>
      </c>
      <c r="G707" t="s">
        <v>507</v>
      </c>
      <c r="H707" t="s">
        <v>508</v>
      </c>
      <c r="I707" t="s">
        <v>509</v>
      </c>
      <c r="J707" t="s">
        <v>589</v>
      </c>
      <c r="K707" s="502">
        <v>4</v>
      </c>
      <c r="L707" t="s">
        <v>492</v>
      </c>
    </row>
    <row r="708" spans="1:12">
      <c r="A708" t="s">
        <v>3145</v>
      </c>
      <c r="B708" t="s">
        <v>3367</v>
      </c>
      <c r="C708" s="60" t="str">
        <f t="shared" si="58"/>
        <v>E6210</v>
      </c>
      <c r="D708" t="s">
        <v>587</v>
      </c>
      <c r="E708" t="s">
        <v>588</v>
      </c>
      <c r="F708" t="s">
        <v>506</v>
      </c>
      <c r="G708" t="s">
        <v>507</v>
      </c>
      <c r="H708" t="s">
        <v>508</v>
      </c>
      <c r="I708" t="s">
        <v>509</v>
      </c>
      <c r="J708" t="s">
        <v>589</v>
      </c>
      <c r="K708" s="502">
        <v>4</v>
      </c>
      <c r="L708" t="s">
        <v>492</v>
      </c>
    </row>
    <row r="709" spans="1:12">
      <c r="A709" t="s">
        <v>3145</v>
      </c>
      <c r="B709" t="s">
        <v>3356</v>
      </c>
      <c r="C709" s="3" t="str">
        <f>+'2-Préparation saisie LV PROD'!B65</f>
        <v>E6160</v>
      </c>
      <c r="D709" t="s">
        <v>587</v>
      </c>
      <c r="E709" t="s">
        <v>588</v>
      </c>
      <c r="F709" t="s">
        <v>506</v>
      </c>
      <c r="G709" t="s">
        <v>507</v>
      </c>
      <c r="H709" t="s">
        <v>508</v>
      </c>
      <c r="I709" t="s">
        <v>509</v>
      </c>
      <c r="J709" t="s">
        <v>589</v>
      </c>
      <c r="K709" s="502">
        <v>6</v>
      </c>
      <c r="L709" t="s">
        <v>493</v>
      </c>
    </row>
    <row r="710" spans="1:12">
      <c r="A710" t="s">
        <v>3145</v>
      </c>
      <c r="B710" t="s">
        <v>3357</v>
      </c>
      <c r="C710" s="60" t="str">
        <f>C709</f>
        <v>E6160</v>
      </c>
      <c r="D710" t="s">
        <v>587</v>
      </c>
      <c r="E710" t="s">
        <v>588</v>
      </c>
      <c r="F710" t="s">
        <v>506</v>
      </c>
      <c r="G710" t="s">
        <v>507</v>
      </c>
      <c r="H710" t="s">
        <v>508</v>
      </c>
      <c r="I710" t="s">
        <v>509</v>
      </c>
      <c r="J710" t="s">
        <v>589</v>
      </c>
      <c r="K710" s="502">
        <v>6</v>
      </c>
      <c r="L710" t="s">
        <v>493</v>
      </c>
    </row>
    <row r="711" spans="1:12">
      <c r="A711" t="s">
        <v>3145</v>
      </c>
      <c r="B711" t="s">
        <v>3358</v>
      </c>
      <c r="C711" s="60" t="str">
        <f t="shared" ref="C711:C720" si="59">+C710</f>
        <v>E6160</v>
      </c>
      <c r="D711" t="s">
        <v>587</v>
      </c>
      <c r="E711" t="s">
        <v>588</v>
      </c>
      <c r="F711" t="s">
        <v>506</v>
      </c>
      <c r="G711" t="s">
        <v>507</v>
      </c>
      <c r="H711" t="s">
        <v>508</v>
      </c>
      <c r="I711" t="s">
        <v>509</v>
      </c>
      <c r="J711" t="s">
        <v>589</v>
      </c>
      <c r="K711" s="502">
        <v>6</v>
      </c>
      <c r="L711" t="s">
        <v>493</v>
      </c>
    </row>
    <row r="712" spans="1:12">
      <c r="A712" t="s">
        <v>3145</v>
      </c>
      <c r="B712" t="s">
        <v>3359</v>
      </c>
      <c r="C712" s="60" t="str">
        <f t="shared" si="59"/>
        <v>E6160</v>
      </c>
      <c r="D712" t="s">
        <v>587</v>
      </c>
      <c r="E712" t="s">
        <v>588</v>
      </c>
      <c r="F712" t="s">
        <v>506</v>
      </c>
      <c r="G712" t="s">
        <v>507</v>
      </c>
      <c r="H712" t="s">
        <v>508</v>
      </c>
      <c r="I712" t="s">
        <v>509</v>
      </c>
      <c r="J712" t="s">
        <v>589</v>
      </c>
      <c r="K712" s="502">
        <v>6</v>
      </c>
      <c r="L712" t="s">
        <v>493</v>
      </c>
    </row>
    <row r="713" spans="1:12">
      <c r="A713" t="s">
        <v>3145</v>
      </c>
      <c r="B713" t="s">
        <v>3360</v>
      </c>
      <c r="C713" s="60" t="str">
        <f t="shared" si="59"/>
        <v>E6160</v>
      </c>
      <c r="D713" t="s">
        <v>587</v>
      </c>
      <c r="E713" t="s">
        <v>588</v>
      </c>
      <c r="F713" t="s">
        <v>506</v>
      </c>
      <c r="G713" t="s">
        <v>507</v>
      </c>
      <c r="H713" t="s">
        <v>508</v>
      </c>
      <c r="I713" t="s">
        <v>509</v>
      </c>
      <c r="J713" t="s">
        <v>589</v>
      </c>
      <c r="K713" s="502">
        <v>6</v>
      </c>
      <c r="L713" t="s">
        <v>493</v>
      </c>
    </row>
    <row r="714" spans="1:12">
      <c r="A714" t="s">
        <v>3145</v>
      </c>
      <c r="B714" t="s">
        <v>3361</v>
      </c>
      <c r="C714" s="60" t="str">
        <f t="shared" si="59"/>
        <v>E6160</v>
      </c>
      <c r="D714" t="s">
        <v>587</v>
      </c>
      <c r="E714" t="s">
        <v>588</v>
      </c>
      <c r="F714" t="s">
        <v>506</v>
      </c>
      <c r="G714" t="s">
        <v>507</v>
      </c>
      <c r="H714" t="s">
        <v>508</v>
      </c>
      <c r="I714" t="s">
        <v>509</v>
      </c>
      <c r="J714" t="s">
        <v>589</v>
      </c>
      <c r="K714" s="502">
        <v>6</v>
      </c>
      <c r="L714" t="s">
        <v>493</v>
      </c>
    </row>
    <row r="715" spans="1:12">
      <c r="A715" t="s">
        <v>3145</v>
      </c>
      <c r="B715" t="s">
        <v>3362</v>
      </c>
      <c r="C715" s="60" t="str">
        <f t="shared" si="59"/>
        <v>E6160</v>
      </c>
      <c r="D715" t="s">
        <v>587</v>
      </c>
      <c r="E715" t="s">
        <v>588</v>
      </c>
      <c r="F715" t="s">
        <v>506</v>
      </c>
      <c r="G715" t="s">
        <v>507</v>
      </c>
      <c r="H715" t="s">
        <v>508</v>
      </c>
      <c r="I715" t="s">
        <v>509</v>
      </c>
      <c r="J715" t="s">
        <v>589</v>
      </c>
      <c r="K715" s="502">
        <v>6</v>
      </c>
      <c r="L715" t="s">
        <v>493</v>
      </c>
    </row>
    <row r="716" spans="1:12">
      <c r="A716" t="s">
        <v>3145</v>
      </c>
      <c r="B716" t="s">
        <v>3363</v>
      </c>
      <c r="C716" s="60" t="str">
        <f t="shared" si="59"/>
        <v>E6160</v>
      </c>
      <c r="D716" t="s">
        <v>587</v>
      </c>
      <c r="E716" t="s">
        <v>588</v>
      </c>
      <c r="F716" t="s">
        <v>506</v>
      </c>
      <c r="G716" t="s">
        <v>507</v>
      </c>
      <c r="H716" t="s">
        <v>508</v>
      </c>
      <c r="I716" t="s">
        <v>509</v>
      </c>
      <c r="J716" t="s">
        <v>589</v>
      </c>
      <c r="K716" s="502">
        <v>6</v>
      </c>
      <c r="L716" t="s">
        <v>493</v>
      </c>
    </row>
    <row r="717" spans="1:12">
      <c r="A717" t="s">
        <v>3145</v>
      </c>
      <c r="B717" t="s">
        <v>3364</v>
      </c>
      <c r="C717" s="60" t="str">
        <f t="shared" si="59"/>
        <v>E6160</v>
      </c>
      <c r="D717" t="s">
        <v>587</v>
      </c>
      <c r="E717" t="s">
        <v>588</v>
      </c>
      <c r="F717" t="s">
        <v>506</v>
      </c>
      <c r="G717" t="s">
        <v>507</v>
      </c>
      <c r="H717" t="s">
        <v>508</v>
      </c>
      <c r="I717" t="s">
        <v>509</v>
      </c>
      <c r="J717" t="s">
        <v>589</v>
      </c>
      <c r="K717" s="502">
        <v>6</v>
      </c>
      <c r="L717" t="s">
        <v>493</v>
      </c>
    </row>
    <row r="718" spans="1:12">
      <c r="A718" t="s">
        <v>3145</v>
      </c>
      <c r="B718" t="s">
        <v>3365</v>
      </c>
      <c r="C718" s="60" t="str">
        <f t="shared" si="59"/>
        <v>E6160</v>
      </c>
      <c r="D718" t="s">
        <v>587</v>
      </c>
      <c r="E718" t="s">
        <v>588</v>
      </c>
      <c r="F718" t="s">
        <v>506</v>
      </c>
      <c r="G718" t="s">
        <v>507</v>
      </c>
      <c r="H718" t="s">
        <v>508</v>
      </c>
      <c r="I718" t="s">
        <v>509</v>
      </c>
      <c r="J718" t="s">
        <v>589</v>
      </c>
      <c r="K718" s="502">
        <v>6</v>
      </c>
      <c r="L718" t="s">
        <v>493</v>
      </c>
    </row>
    <row r="719" spans="1:12">
      <c r="A719" t="s">
        <v>3145</v>
      </c>
      <c r="B719" t="s">
        <v>3366</v>
      </c>
      <c r="C719" s="60" t="str">
        <f t="shared" si="59"/>
        <v>E6160</v>
      </c>
      <c r="D719" t="s">
        <v>587</v>
      </c>
      <c r="E719" t="s">
        <v>588</v>
      </c>
      <c r="F719" t="s">
        <v>506</v>
      </c>
      <c r="G719" t="s">
        <v>507</v>
      </c>
      <c r="H719" t="s">
        <v>508</v>
      </c>
      <c r="I719" t="s">
        <v>509</v>
      </c>
      <c r="J719" t="s">
        <v>589</v>
      </c>
      <c r="K719" s="502">
        <v>6</v>
      </c>
      <c r="L719" t="s">
        <v>493</v>
      </c>
    </row>
    <row r="720" spans="1:12">
      <c r="A720" t="s">
        <v>3145</v>
      </c>
      <c r="B720" t="s">
        <v>3367</v>
      </c>
      <c r="C720" s="60" t="str">
        <f t="shared" si="59"/>
        <v>E6160</v>
      </c>
      <c r="D720" t="s">
        <v>587</v>
      </c>
      <c r="E720" t="s">
        <v>588</v>
      </c>
      <c r="F720" t="s">
        <v>506</v>
      </c>
      <c r="G720" t="s">
        <v>507</v>
      </c>
      <c r="H720" t="s">
        <v>508</v>
      </c>
      <c r="I720" t="s">
        <v>509</v>
      </c>
      <c r="J720" t="s">
        <v>589</v>
      </c>
      <c r="K720" s="502">
        <v>6</v>
      </c>
      <c r="L720" t="s">
        <v>493</v>
      </c>
    </row>
    <row r="721" spans="1:12">
      <c r="A721" t="s">
        <v>3145</v>
      </c>
      <c r="B721" t="s">
        <v>3356</v>
      </c>
      <c r="C721" s="3" t="str">
        <f>+'2-Préparation saisie LV PROD'!B66</f>
        <v>E6170</v>
      </c>
      <c r="D721" t="s">
        <v>587</v>
      </c>
      <c r="E721" t="s">
        <v>588</v>
      </c>
      <c r="F721" t="s">
        <v>506</v>
      </c>
      <c r="G721" t="s">
        <v>507</v>
      </c>
      <c r="H721" t="s">
        <v>508</v>
      </c>
      <c r="I721" t="s">
        <v>509</v>
      </c>
      <c r="J721" t="s">
        <v>589</v>
      </c>
      <c r="K721" s="502">
        <v>4</v>
      </c>
      <c r="L721" t="s">
        <v>494</v>
      </c>
    </row>
    <row r="722" spans="1:12">
      <c r="A722" t="s">
        <v>3145</v>
      </c>
      <c r="B722" t="s">
        <v>3357</v>
      </c>
      <c r="C722" s="60" t="str">
        <f>C721</f>
        <v>E6170</v>
      </c>
      <c r="D722" t="s">
        <v>587</v>
      </c>
      <c r="E722" t="s">
        <v>588</v>
      </c>
      <c r="F722" t="s">
        <v>506</v>
      </c>
      <c r="G722" t="s">
        <v>507</v>
      </c>
      <c r="H722" t="s">
        <v>508</v>
      </c>
      <c r="I722" t="s">
        <v>509</v>
      </c>
      <c r="J722" t="s">
        <v>589</v>
      </c>
      <c r="K722" s="502">
        <v>4</v>
      </c>
      <c r="L722" t="s">
        <v>494</v>
      </c>
    </row>
    <row r="723" spans="1:12">
      <c r="A723" t="s">
        <v>3145</v>
      </c>
      <c r="B723" t="s">
        <v>3358</v>
      </c>
      <c r="C723" s="60" t="str">
        <f t="shared" ref="C723:C732" si="60">+C722</f>
        <v>E6170</v>
      </c>
      <c r="D723" t="s">
        <v>587</v>
      </c>
      <c r="E723" t="s">
        <v>588</v>
      </c>
      <c r="F723" t="s">
        <v>506</v>
      </c>
      <c r="G723" t="s">
        <v>507</v>
      </c>
      <c r="H723" t="s">
        <v>508</v>
      </c>
      <c r="I723" t="s">
        <v>509</v>
      </c>
      <c r="J723" t="s">
        <v>589</v>
      </c>
      <c r="K723" s="502">
        <v>4</v>
      </c>
      <c r="L723" t="s">
        <v>494</v>
      </c>
    </row>
    <row r="724" spans="1:12">
      <c r="A724" t="s">
        <v>3145</v>
      </c>
      <c r="B724" t="s">
        <v>3359</v>
      </c>
      <c r="C724" s="60" t="str">
        <f t="shared" si="60"/>
        <v>E6170</v>
      </c>
      <c r="D724" t="s">
        <v>587</v>
      </c>
      <c r="E724" t="s">
        <v>588</v>
      </c>
      <c r="F724" t="s">
        <v>506</v>
      </c>
      <c r="G724" t="s">
        <v>507</v>
      </c>
      <c r="H724" t="s">
        <v>508</v>
      </c>
      <c r="I724" t="s">
        <v>509</v>
      </c>
      <c r="J724" t="s">
        <v>589</v>
      </c>
      <c r="K724" s="502">
        <v>4</v>
      </c>
      <c r="L724" t="s">
        <v>494</v>
      </c>
    </row>
    <row r="725" spans="1:12">
      <c r="A725" t="s">
        <v>3145</v>
      </c>
      <c r="B725" t="s">
        <v>3360</v>
      </c>
      <c r="C725" s="60" t="str">
        <f t="shared" si="60"/>
        <v>E6170</v>
      </c>
      <c r="D725" t="s">
        <v>587</v>
      </c>
      <c r="E725" t="s">
        <v>588</v>
      </c>
      <c r="F725" t="s">
        <v>506</v>
      </c>
      <c r="G725" t="s">
        <v>507</v>
      </c>
      <c r="H725" t="s">
        <v>508</v>
      </c>
      <c r="I725" t="s">
        <v>509</v>
      </c>
      <c r="J725" t="s">
        <v>589</v>
      </c>
      <c r="K725" s="502">
        <v>4</v>
      </c>
      <c r="L725" t="s">
        <v>494</v>
      </c>
    </row>
    <row r="726" spans="1:12">
      <c r="A726" t="s">
        <v>3145</v>
      </c>
      <c r="B726" t="s">
        <v>3361</v>
      </c>
      <c r="C726" s="60" t="str">
        <f t="shared" si="60"/>
        <v>E6170</v>
      </c>
      <c r="D726" t="s">
        <v>587</v>
      </c>
      <c r="E726" t="s">
        <v>588</v>
      </c>
      <c r="F726" t="s">
        <v>506</v>
      </c>
      <c r="G726" t="s">
        <v>507</v>
      </c>
      <c r="H726" t="s">
        <v>508</v>
      </c>
      <c r="I726" t="s">
        <v>509</v>
      </c>
      <c r="J726" t="s">
        <v>589</v>
      </c>
      <c r="K726" s="502">
        <v>4</v>
      </c>
      <c r="L726" t="s">
        <v>494</v>
      </c>
    </row>
    <row r="727" spans="1:12">
      <c r="A727" t="s">
        <v>3145</v>
      </c>
      <c r="B727" t="s">
        <v>3362</v>
      </c>
      <c r="C727" s="60" t="str">
        <f t="shared" si="60"/>
        <v>E6170</v>
      </c>
      <c r="D727" t="s">
        <v>587</v>
      </c>
      <c r="E727" t="s">
        <v>588</v>
      </c>
      <c r="F727" t="s">
        <v>506</v>
      </c>
      <c r="G727" t="s">
        <v>507</v>
      </c>
      <c r="H727" t="s">
        <v>508</v>
      </c>
      <c r="I727" t="s">
        <v>509</v>
      </c>
      <c r="J727" t="s">
        <v>589</v>
      </c>
      <c r="K727" s="502">
        <v>4</v>
      </c>
      <c r="L727" t="s">
        <v>494</v>
      </c>
    </row>
    <row r="728" spans="1:12">
      <c r="A728" t="s">
        <v>3145</v>
      </c>
      <c r="B728" t="s">
        <v>3363</v>
      </c>
      <c r="C728" s="60" t="str">
        <f t="shared" si="60"/>
        <v>E6170</v>
      </c>
      <c r="D728" t="s">
        <v>587</v>
      </c>
      <c r="E728" t="s">
        <v>588</v>
      </c>
      <c r="F728" t="s">
        <v>506</v>
      </c>
      <c r="G728" t="s">
        <v>507</v>
      </c>
      <c r="H728" t="s">
        <v>508</v>
      </c>
      <c r="I728" t="s">
        <v>509</v>
      </c>
      <c r="J728" t="s">
        <v>589</v>
      </c>
      <c r="K728" s="502">
        <v>4</v>
      </c>
      <c r="L728" t="s">
        <v>494</v>
      </c>
    </row>
    <row r="729" spans="1:12">
      <c r="A729" t="s">
        <v>3145</v>
      </c>
      <c r="B729" t="s">
        <v>3364</v>
      </c>
      <c r="C729" s="60" t="str">
        <f t="shared" si="60"/>
        <v>E6170</v>
      </c>
      <c r="D729" t="s">
        <v>587</v>
      </c>
      <c r="E729" t="s">
        <v>588</v>
      </c>
      <c r="F729" t="s">
        <v>506</v>
      </c>
      <c r="G729" t="s">
        <v>507</v>
      </c>
      <c r="H729" t="s">
        <v>508</v>
      </c>
      <c r="I729" t="s">
        <v>509</v>
      </c>
      <c r="J729" t="s">
        <v>589</v>
      </c>
      <c r="K729" s="502">
        <v>4</v>
      </c>
      <c r="L729" t="s">
        <v>494</v>
      </c>
    </row>
    <row r="730" spans="1:12">
      <c r="A730" t="s">
        <v>3145</v>
      </c>
      <c r="B730" t="s">
        <v>3365</v>
      </c>
      <c r="C730" s="60" t="str">
        <f t="shared" si="60"/>
        <v>E6170</v>
      </c>
      <c r="D730" t="s">
        <v>587</v>
      </c>
      <c r="E730" t="s">
        <v>588</v>
      </c>
      <c r="F730" t="s">
        <v>506</v>
      </c>
      <c r="G730" t="s">
        <v>507</v>
      </c>
      <c r="H730" t="s">
        <v>508</v>
      </c>
      <c r="I730" t="s">
        <v>509</v>
      </c>
      <c r="J730" t="s">
        <v>589</v>
      </c>
      <c r="K730" s="502">
        <v>4</v>
      </c>
      <c r="L730" t="s">
        <v>494</v>
      </c>
    </row>
    <row r="731" spans="1:12">
      <c r="A731" t="s">
        <v>3145</v>
      </c>
      <c r="B731" t="s">
        <v>3366</v>
      </c>
      <c r="C731" s="60" t="str">
        <f t="shared" si="60"/>
        <v>E6170</v>
      </c>
      <c r="D731" t="s">
        <v>587</v>
      </c>
      <c r="E731" t="s">
        <v>588</v>
      </c>
      <c r="F731" t="s">
        <v>506</v>
      </c>
      <c r="G731" t="s">
        <v>507</v>
      </c>
      <c r="H731" t="s">
        <v>508</v>
      </c>
      <c r="I731" t="s">
        <v>509</v>
      </c>
      <c r="J731" t="s">
        <v>589</v>
      </c>
      <c r="K731" s="502">
        <v>4</v>
      </c>
      <c r="L731" t="s">
        <v>494</v>
      </c>
    </row>
    <row r="732" spans="1:12">
      <c r="A732" t="s">
        <v>3145</v>
      </c>
      <c r="B732" t="s">
        <v>3367</v>
      </c>
      <c r="C732" s="60" t="str">
        <f t="shared" si="60"/>
        <v>E6170</v>
      </c>
      <c r="D732" t="s">
        <v>587</v>
      </c>
      <c r="E732" t="s">
        <v>588</v>
      </c>
      <c r="F732" t="s">
        <v>506</v>
      </c>
      <c r="G732" t="s">
        <v>507</v>
      </c>
      <c r="H732" t="s">
        <v>508</v>
      </c>
      <c r="I732" t="s">
        <v>509</v>
      </c>
      <c r="J732" t="s">
        <v>589</v>
      </c>
      <c r="K732" s="502">
        <v>4</v>
      </c>
      <c r="L732" t="s">
        <v>494</v>
      </c>
    </row>
    <row r="733" spans="1:12">
      <c r="A733" t="s">
        <v>3145</v>
      </c>
      <c r="B733" t="s">
        <v>3356</v>
      </c>
      <c r="C733" s="3" t="str">
        <f>+'2-Préparation saisie LV PROD'!B67</f>
        <v>E6330</v>
      </c>
      <c r="D733" t="s">
        <v>587</v>
      </c>
      <c r="E733" t="s">
        <v>588</v>
      </c>
      <c r="F733" t="s">
        <v>506</v>
      </c>
      <c r="G733" t="s">
        <v>507</v>
      </c>
      <c r="H733" t="s">
        <v>508</v>
      </c>
      <c r="I733" t="s">
        <v>509</v>
      </c>
      <c r="J733" t="s">
        <v>589</v>
      </c>
      <c r="K733" s="502">
        <v>4</v>
      </c>
      <c r="L733" t="s">
        <v>495</v>
      </c>
    </row>
    <row r="734" spans="1:12">
      <c r="A734" t="s">
        <v>3145</v>
      </c>
      <c r="B734" t="s">
        <v>3357</v>
      </c>
      <c r="C734" s="60" t="str">
        <f>C733</f>
        <v>E6330</v>
      </c>
      <c r="D734" t="s">
        <v>587</v>
      </c>
      <c r="E734" t="s">
        <v>588</v>
      </c>
      <c r="F734" t="s">
        <v>506</v>
      </c>
      <c r="G734" t="s">
        <v>507</v>
      </c>
      <c r="H734" t="s">
        <v>508</v>
      </c>
      <c r="I734" t="s">
        <v>509</v>
      </c>
      <c r="J734" t="s">
        <v>589</v>
      </c>
      <c r="K734" s="502">
        <v>4</v>
      </c>
      <c r="L734" t="s">
        <v>495</v>
      </c>
    </row>
    <row r="735" spans="1:12">
      <c r="A735" t="s">
        <v>3145</v>
      </c>
      <c r="B735" t="s">
        <v>3358</v>
      </c>
      <c r="C735" s="60" t="str">
        <f t="shared" ref="C735:C744" si="61">+C734</f>
        <v>E6330</v>
      </c>
      <c r="D735" t="s">
        <v>587</v>
      </c>
      <c r="E735" t="s">
        <v>588</v>
      </c>
      <c r="F735" t="s">
        <v>506</v>
      </c>
      <c r="G735" t="s">
        <v>507</v>
      </c>
      <c r="H735" t="s">
        <v>508</v>
      </c>
      <c r="I735" t="s">
        <v>509</v>
      </c>
      <c r="J735" t="s">
        <v>589</v>
      </c>
      <c r="K735" s="502">
        <v>4</v>
      </c>
      <c r="L735" t="s">
        <v>495</v>
      </c>
    </row>
    <row r="736" spans="1:12">
      <c r="A736" t="s">
        <v>3145</v>
      </c>
      <c r="B736" t="s">
        <v>3359</v>
      </c>
      <c r="C736" s="60" t="str">
        <f t="shared" si="61"/>
        <v>E6330</v>
      </c>
      <c r="D736" t="s">
        <v>587</v>
      </c>
      <c r="E736" t="s">
        <v>588</v>
      </c>
      <c r="F736" t="s">
        <v>506</v>
      </c>
      <c r="G736" t="s">
        <v>507</v>
      </c>
      <c r="H736" t="s">
        <v>508</v>
      </c>
      <c r="I736" t="s">
        <v>509</v>
      </c>
      <c r="J736" t="s">
        <v>589</v>
      </c>
      <c r="K736" s="502">
        <v>4</v>
      </c>
      <c r="L736" t="s">
        <v>495</v>
      </c>
    </row>
    <row r="737" spans="1:13">
      <c r="A737" t="s">
        <v>3145</v>
      </c>
      <c r="B737" t="s">
        <v>3360</v>
      </c>
      <c r="C737" s="60" t="str">
        <f t="shared" si="61"/>
        <v>E6330</v>
      </c>
      <c r="D737" t="s">
        <v>587</v>
      </c>
      <c r="E737" t="s">
        <v>588</v>
      </c>
      <c r="F737" t="s">
        <v>506</v>
      </c>
      <c r="G737" t="s">
        <v>507</v>
      </c>
      <c r="H737" t="s">
        <v>508</v>
      </c>
      <c r="I737" t="s">
        <v>509</v>
      </c>
      <c r="J737" t="s">
        <v>589</v>
      </c>
      <c r="K737" s="502">
        <v>4</v>
      </c>
      <c r="L737" t="s">
        <v>495</v>
      </c>
    </row>
    <row r="738" spans="1:13">
      <c r="A738" t="s">
        <v>3145</v>
      </c>
      <c r="B738" t="s">
        <v>3361</v>
      </c>
      <c r="C738" s="60" t="str">
        <f t="shared" si="61"/>
        <v>E6330</v>
      </c>
      <c r="D738" t="s">
        <v>587</v>
      </c>
      <c r="E738" t="s">
        <v>588</v>
      </c>
      <c r="F738" t="s">
        <v>506</v>
      </c>
      <c r="G738" t="s">
        <v>507</v>
      </c>
      <c r="H738" t="s">
        <v>508</v>
      </c>
      <c r="I738" t="s">
        <v>509</v>
      </c>
      <c r="J738" t="s">
        <v>589</v>
      </c>
      <c r="K738" s="502">
        <v>4</v>
      </c>
      <c r="L738" t="s">
        <v>495</v>
      </c>
    </row>
    <row r="739" spans="1:13">
      <c r="A739" t="s">
        <v>3145</v>
      </c>
      <c r="B739" t="s">
        <v>3362</v>
      </c>
      <c r="C739" s="60" t="str">
        <f t="shared" si="61"/>
        <v>E6330</v>
      </c>
      <c r="D739" t="s">
        <v>587</v>
      </c>
      <c r="E739" t="s">
        <v>588</v>
      </c>
      <c r="F739" t="s">
        <v>506</v>
      </c>
      <c r="G739" t="s">
        <v>507</v>
      </c>
      <c r="H739" t="s">
        <v>508</v>
      </c>
      <c r="I739" t="s">
        <v>509</v>
      </c>
      <c r="J739" t="s">
        <v>589</v>
      </c>
      <c r="K739" s="502">
        <v>4</v>
      </c>
      <c r="L739" t="s">
        <v>495</v>
      </c>
    </row>
    <row r="740" spans="1:13">
      <c r="A740" t="s">
        <v>3145</v>
      </c>
      <c r="B740" t="s">
        <v>3363</v>
      </c>
      <c r="C740" s="60" t="str">
        <f t="shared" si="61"/>
        <v>E6330</v>
      </c>
      <c r="D740" t="s">
        <v>587</v>
      </c>
      <c r="E740" t="s">
        <v>588</v>
      </c>
      <c r="F740" t="s">
        <v>506</v>
      </c>
      <c r="G740" t="s">
        <v>507</v>
      </c>
      <c r="H740" t="s">
        <v>508</v>
      </c>
      <c r="I740" t="s">
        <v>509</v>
      </c>
      <c r="J740" t="s">
        <v>589</v>
      </c>
      <c r="K740" s="502">
        <v>4</v>
      </c>
      <c r="L740" t="s">
        <v>495</v>
      </c>
    </row>
    <row r="741" spans="1:13">
      <c r="A741" t="s">
        <v>3145</v>
      </c>
      <c r="B741" t="s">
        <v>3364</v>
      </c>
      <c r="C741" s="60" t="str">
        <f t="shared" si="61"/>
        <v>E6330</v>
      </c>
      <c r="D741" t="s">
        <v>587</v>
      </c>
      <c r="E741" t="s">
        <v>588</v>
      </c>
      <c r="F741" t="s">
        <v>506</v>
      </c>
      <c r="G741" t="s">
        <v>507</v>
      </c>
      <c r="H741" t="s">
        <v>508</v>
      </c>
      <c r="I741" t="s">
        <v>509</v>
      </c>
      <c r="J741" t="s">
        <v>589</v>
      </c>
      <c r="K741" s="502">
        <v>4</v>
      </c>
      <c r="L741" t="s">
        <v>495</v>
      </c>
    </row>
    <row r="742" spans="1:13">
      <c r="A742" t="s">
        <v>3145</v>
      </c>
      <c r="B742" t="s">
        <v>3365</v>
      </c>
      <c r="C742" s="60" t="str">
        <f t="shared" si="61"/>
        <v>E6330</v>
      </c>
      <c r="D742" t="s">
        <v>587</v>
      </c>
      <c r="E742" t="s">
        <v>588</v>
      </c>
      <c r="F742" t="s">
        <v>506</v>
      </c>
      <c r="G742" t="s">
        <v>507</v>
      </c>
      <c r="H742" t="s">
        <v>508</v>
      </c>
      <c r="I742" t="s">
        <v>509</v>
      </c>
      <c r="J742" t="s">
        <v>589</v>
      </c>
      <c r="K742" s="502">
        <v>4</v>
      </c>
      <c r="L742" t="s">
        <v>495</v>
      </c>
    </row>
    <row r="743" spans="1:13">
      <c r="A743" t="s">
        <v>3145</v>
      </c>
      <c r="B743" t="s">
        <v>3366</v>
      </c>
      <c r="C743" s="60" t="str">
        <f t="shared" si="61"/>
        <v>E6330</v>
      </c>
      <c r="D743" t="s">
        <v>587</v>
      </c>
      <c r="E743" t="s">
        <v>588</v>
      </c>
      <c r="F743" t="s">
        <v>506</v>
      </c>
      <c r="G743" t="s">
        <v>507</v>
      </c>
      <c r="H743" t="s">
        <v>508</v>
      </c>
      <c r="I743" t="s">
        <v>509</v>
      </c>
      <c r="J743" t="s">
        <v>589</v>
      </c>
      <c r="K743" s="502">
        <v>4</v>
      </c>
      <c r="L743" t="s">
        <v>495</v>
      </c>
    </row>
    <row r="744" spans="1:13">
      <c r="A744" t="s">
        <v>3145</v>
      </c>
      <c r="B744" t="s">
        <v>3367</v>
      </c>
      <c r="C744" s="60" t="str">
        <f t="shared" si="61"/>
        <v>E6330</v>
      </c>
      <c r="D744" t="s">
        <v>587</v>
      </c>
      <c r="E744" t="s">
        <v>588</v>
      </c>
      <c r="F744" t="s">
        <v>506</v>
      </c>
      <c r="G744" t="s">
        <v>507</v>
      </c>
      <c r="H744" t="s">
        <v>508</v>
      </c>
      <c r="I744" t="s">
        <v>509</v>
      </c>
      <c r="J744" t="s">
        <v>589</v>
      </c>
      <c r="K744" s="502">
        <v>4</v>
      </c>
      <c r="L744" t="s">
        <v>495</v>
      </c>
    </row>
    <row r="745" spans="1:13">
      <c r="A745" t="s">
        <v>3145</v>
      </c>
      <c r="B745" t="s">
        <v>3356</v>
      </c>
      <c r="C745" s="3" t="str">
        <f>+'2-Préparation saisie LV PROD'!B68</f>
        <v>E6140</v>
      </c>
      <c r="D745" t="s">
        <v>587</v>
      </c>
      <c r="E745" t="s">
        <v>588</v>
      </c>
      <c r="F745" t="s">
        <v>506</v>
      </c>
      <c r="G745" t="s">
        <v>507</v>
      </c>
      <c r="H745" t="s">
        <v>508</v>
      </c>
      <c r="I745" t="s">
        <v>509</v>
      </c>
      <c r="J745" t="s">
        <v>589</v>
      </c>
      <c r="K745" s="575">
        <v>6</v>
      </c>
      <c r="L745" t="s">
        <v>496</v>
      </c>
    </row>
    <row r="746" spans="1:13">
      <c r="A746" t="s">
        <v>3145</v>
      </c>
      <c r="B746" t="s">
        <v>3357</v>
      </c>
      <c r="C746" s="60" t="str">
        <f>C745</f>
        <v>E6140</v>
      </c>
      <c r="D746" t="s">
        <v>587</v>
      </c>
      <c r="E746" t="s">
        <v>588</v>
      </c>
      <c r="F746" t="s">
        <v>506</v>
      </c>
      <c r="G746" t="s">
        <v>507</v>
      </c>
      <c r="H746" t="s">
        <v>508</v>
      </c>
      <c r="I746" t="s">
        <v>509</v>
      </c>
      <c r="J746" t="s">
        <v>589</v>
      </c>
      <c r="K746" s="575">
        <v>6</v>
      </c>
      <c r="L746" t="s">
        <v>496</v>
      </c>
    </row>
    <row r="747" spans="1:13">
      <c r="A747" t="s">
        <v>3145</v>
      </c>
      <c r="B747" t="s">
        <v>3358</v>
      </c>
      <c r="C747" s="60" t="str">
        <f t="shared" ref="C747:C756" si="62">+C746</f>
        <v>E6140</v>
      </c>
      <c r="D747" t="s">
        <v>587</v>
      </c>
      <c r="E747" t="s">
        <v>588</v>
      </c>
      <c r="F747" t="s">
        <v>506</v>
      </c>
      <c r="G747" t="s">
        <v>507</v>
      </c>
      <c r="H747" t="s">
        <v>508</v>
      </c>
      <c r="I747" t="s">
        <v>509</v>
      </c>
      <c r="J747" t="s">
        <v>589</v>
      </c>
      <c r="K747" s="575">
        <v>6</v>
      </c>
      <c r="L747" t="s">
        <v>496</v>
      </c>
    </row>
    <row r="748" spans="1:13">
      <c r="A748" t="s">
        <v>3145</v>
      </c>
      <c r="B748" t="s">
        <v>3359</v>
      </c>
      <c r="C748" s="60" t="str">
        <f t="shared" si="62"/>
        <v>E6140</v>
      </c>
      <c r="D748" t="s">
        <v>587</v>
      </c>
      <c r="E748" t="s">
        <v>588</v>
      </c>
      <c r="F748" t="s">
        <v>506</v>
      </c>
      <c r="G748" t="s">
        <v>507</v>
      </c>
      <c r="H748" t="s">
        <v>508</v>
      </c>
      <c r="I748" t="s">
        <v>509</v>
      </c>
      <c r="J748" t="s">
        <v>589</v>
      </c>
      <c r="K748" s="575">
        <v>6</v>
      </c>
      <c r="L748" t="s">
        <v>496</v>
      </c>
    </row>
    <row r="749" spans="1:13">
      <c r="A749" t="s">
        <v>3145</v>
      </c>
      <c r="B749" t="s">
        <v>3360</v>
      </c>
      <c r="C749" s="60" t="str">
        <f t="shared" si="62"/>
        <v>E6140</v>
      </c>
      <c r="D749" t="s">
        <v>587</v>
      </c>
      <c r="E749" t="s">
        <v>588</v>
      </c>
      <c r="F749" t="s">
        <v>506</v>
      </c>
      <c r="G749" t="s">
        <v>507</v>
      </c>
      <c r="H749" t="s">
        <v>508</v>
      </c>
      <c r="I749" t="s">
        <v>509</v>
      </c>
      <c r="J749" t="s">
        <v>589</v>
      </c>
      <c r="K749" s="575">
        <v>6</v>
      </c>
      <c r="L749" t="s">
        <v>496</v>
      </c>
    </row>
    <row r="750" spans="1:13">
      <c r="A750" t="s">
        <v>3145</v>
      </c>
      <c r="B750" t="s">
        <v>3361</v>
      </c>
      <c r="C750" s="60" t="str">
        <f t="shared" si="62"/>
        <v>E6140</v>
      </c>
      <c r="D750" t="s">
        <v>587</v>
      </c>
      <c r="E750" t="s">
        <v>588</v>
      </c>
      <c r="F750" t="s">
        <v>506</v>
      </c>
      <c r="G750" t="s">
        <v>507</v>
      </c>
      <c r="H750" t="s">
        <v>508</v>
      </c>
      <c r="I750" t="s">
        <v>509</v>
      </c>
      <c r="J750" t="s">
        <v>589</v>
      </c>
      <c r="K750" s="575">
        <v>6</v>
      </c>
      <c r="L750" t="s">
        <v>496</v>
      </c>
    </row>
    <row r="751" spans="1:13">
      <c r="A751" t="s">
        <v>3145</v>
      </c>
      <c r="B751" t="s">
        <v>3362</v>
      </c>
      <c r="C751" s="60" t="str">
        <f t="shared" si="62"/>
        <v>E6140</v>
      </c>
      <c r="D751" t="s">
        <v>587</v>
      </c>
      <c r="E751" t="s">
        <v>588</v>
      </c>
      <c r="F751" t="s">
        <v>506</v>
      </c>
      <c r="G751" t="s">
        <v>507</v>
      </c>
      <c r="H751" t="s">
        <v>508</v>
      </c>
      <c r="I751" t="s">
        <v>509</v>
      </c>
      <c r="J751" t="s">
        <v>589</v>
      </c>
      <c r="K751" s="575">
        <v>0</v>
      </c>
      <c r="L751" t="s">
        <v>496</v>
      </c>
      <c r="M751" t="s">
        <v>3442</v>
      </c>
    </row>
    <row r="752" spans="1:13">
      <c r="A752" t="s">
        <v>3145</v>
      </c>
      <c r="B752" t="s">
        <v>3363</v>
      </c>
      <c r="C752" s="60" t="str">
        <f t="shared" si="62"/>
        <v>E6140</v>
      </c>
      <c r="D752" t="s">
        <v>587</v>
      </c>
      <c r="E752" t="s">
        <v>588</v>
      </c>
      <c r="F752" t="s">
        <v>506</v>
      </c>
      <c r="G752" t="s">
        <v>507</v>
      </c>
      <c r="H752" t="s">
        <v>508</v>
      </c>
      <c r="I752" t="s">
        <v>509</v>
      </c>
      <c r="J752" t="s">
        <v>589</v>
      </c>
      <c r="K752" s="575">
        <v>0</v>
      </c>
      <c r="L752" t="s">
        <v>496</v>
      </c>
      <c r="M752" t="s">
        <v>3442</v>
      </c>
    </row>
    <row r="753" spans="1:13">
      <c r="A753" t="s">
        <v>3145</v>
      </c>
      <c r="B753" t="s">
        <v>3364</v>
      </c>
      <c r="C753" s="60" t="str">
        <f t="shared" si="62"/>
        <v>E6140</v>
      </c>
      <c r="D753" t="s">
        <v>587</v>
      </c>
      <c r="E753" t="s">
        <v>588</v>
      </c>
      <c r="F753" t="s">
        <v>506</v>
      </c>
      <c r="G753" t="s">
        <v>507</v>
      </c>
      <c r="H753" t="s">
        <v>508</v>
      </c>
      <c r="I753" t="s">
        <v>509</v>
      </c>
      <c r="J753" t="s">
        <v>589</v>
      </c>
      <c r="K753" s="575">
        <v>0</v>
      </c>
      <c r="L753" t="s">
        <v>496</v>
      </c>
      <c r="M753" t="s">
        <v>3442</v>
      </c>
    </row>
    <row r="754" spans="1:13">
      <c r="A754" t="s">
        <v>3145</v>
      </c>
      <c r="B754" t="s">
        <v>3365</v>
      </c>
      <c r="C754" s="60" t="str">
        <f t="shared" si="62"/>
        <v>E6140</v>
      </c>
      <c r="D754" t="s">
        <v>587</v>
      </c>
      <c r="E754" t="s">
        <v>588</v>
      </c>
      <c r="F754" t="s">
        <v>506</v>
      </c>
      <c r="G754" t="s">
        <v>507</v>
      </c>
      <c r="H754" t="s">
        <v>508</v>
      </c>
      <c r="I754" t="s">
        <v>509</v>
      </c>
      <c r="J754" t="s">
        <v>589</v>
      </c>
      <c r="K754" s="575">
        <v>0</v>
      </c>
      <c r="L754" t="s">
        <v>496</v>
      </c>
      <c r="M754" t="s">
        <v>3442</v>
      </c>
    </row>
    <row r="755" spans="1:13">
      <c r="A755" t="s">
        <v>3145</v>
      </c>
      <c r="B755" t="s">
        <v>3366</v>
      </c>
      <c r="C755" s="60" t="str">
        <f t="shared" si="62"/>
        <v>E6140</v>
      </c>
      <c r="D755" t="s">
        <v>587</v>
      </c>
      <c r="E755" t="s">
        <v>588</v>
      </c>
      <c r="F755" t="s">
        <v>506</v>
      </c>
      <c r="G755" t="s">
        <v>507</v>
      </c>
      <c r="H755" t="s">
        <v>508</v>
      </c>
      <c r="I755" t="s">
        <v>509</v>
      </c>
      <c r="J755" t="s">
        <v>589</v>
      </c>
      <c r="K755" s="575">
        <v>0</v>
      </c>
      <c r="L755" t="s">
        <v>496</v>
      </c>
      <c r="M755" t="s">
        <v>3442</v>
      </c>
    </row>
    <row r="756" spans="1:13">
      <c r="A756" t="s">
        <v>3145</v>
      </c>
      <c r="B756" t="s">
        <v>3367</v>
      </c>
      <c r="C756" s="60" t="str">
        <f t="shared" si="62"/>
        <v>E6140</v>
      </c>
      <c r="D756" t="s">
        <v>587</v>
      </c>
      <c r="E756" t="s">
        <v>588</v>
      </c>
      <c r="F756" t="s">
        <v>506</v>
      </c>
      <c r="G756" t="s">
        <v>507</v>
      </c>
      <c r="H756" t="s">
        <v>508</v>
      </c>
      <c r="I756" t="s">
        <v>509</v>
      </c>
      <c r="J756" t="s">
        <v>589</v>
      </c>
      <c r="K756" s="575">
        <v>0</v>
      </c>
      <c r="L756" t="s">
        <v>496</v>
      </c>
      <c r="M756" t="s">
        <v>3442</v>
      </c>
    </row>
    <row r="757" spans="1:13">
      <c r="A757" t="s">
        <v>3145</v>
      </c>
      <c r="B757" t="s">
        <v>3356</v>
      </c>
      <c r="C757" s="3" t="str">
        <f>+'2-Préparation saisie LV PROD'!B69</f>
        <v>E6350</v>
      </c>
      <c r="D757" t="s">
        <v>587</v>
      </c>
      <c r="E757" t="s">
        <v>588</v>
      </c>
      <c r="F757" t="s">
        <v>506</v>
      </c>
      <c r="G757" t="s">
        <v>507</v>
      </c>
      <c r="H757" t="s">
        <v>508</v>
      </c>
      <c r="I757" t="s">
        <v>509</v>
      </c>
      <c r="J757" t="s">
        <v>589</v>
      </c>
      <c r="K757" s="502">
        <v>5</v>
      </c>
      <c r="L757" t="s">
        <v>497</v>
      </c>
    </row>
    <row r="758" spans="1:13">
      <c r="A758" t="s">
        <v>3145</v>
      </c>
      <c r="B758" t="s">
        <v>3357</v>
      </c>
      <c r="C758" s="60" t="str">
        <f>C757</f>
        <v>E6350</v>
      </c>
      <c r="D758" t="s">
        <v>587</v>
      </c>
      <c r="E758" t="s">
        <v>588</v>
      </c>
      <c r="F758" t="s">
        <v>506</v>
      </c>
      <c r="G758" t="s">
        <v>507</v>
      </c>
      <c r="H758" t="s">
        <v>508</v>
      </c>
      <c r="I758" t="s">
        <v>509</v>
      </c>
      <c r="J758" t="s">
        <v>589</v>
      </c>
      <c r="K758" s="502">
        <v>5</v>
      </c>
      <c r="L758" t="s">
        <v>497</v>
      </c>
    </row>
    <row r="759" spans="1:13">
      <c r="A759" t="s">
        <v>3145</v>
      </c>
      <c r="B759" t="s">
        <v>3358</v>
      </c>
      <c r="C759" s="60" t="str">
        <f t="shared" ref="C759:C768" si="63">+C758</f>
        <v>E6350</v>
      </c>
      <c r="D759" t="s">
        <v>587</v>
      </c>
      <c r="E759" t="s">
        <v>588</v>
      </c>
      <c r="F759" t="s">
        <v>506</v>
      </c>
      <c r="G759" t="s">
        <v>507</v>
      </c>
      <c r="H759" t="s">
        <v>508</v>
      </c>
      <c r="I759" t="s">
        <v>509</v>
      </c>
      <c r="J759" t="s">
        <v>589</v>
      </c>
      <c r="K759" s="502">
        <v>5</v>
      </c>
      <c r="L759" t="s">
        <v>497</v>
      </c>
    </row>
    <row r="760" spans="1:13">
      <c r="A760" t="s">
        <v>3145</v>
      </c>
      <c r="B760" t="s">
        <v>3359</v>
      </c>
      <c r="C760" s="60" t="str">
        <f t="shared" si="63"/>
        <v>E6350</v>
      </c>
      <c r="D760" t="s">
        <v>587</v>
      </c>
      <c r="E760" t="s">
        <v>588</v>
      </c>
      <c r="F760" t="s">
        <v>506</v>
      </c>
      <c r="G760" t="s">
        <v>507</v>
      </c>
      <c r="H760" t="s">
        <v>508</v>
      </c>
      <c r="I760" t="s">
        <v>509</v>
      </c>
      <c r="J760" t="s">
        <v>589</v>
      </c>
      <c r="K760" s="502">
        <v>5</v>
      </c>
      <c r="L760" t="s">
        <v>497</v>
      </c>
    </row>
    <row r="761" spans="1:13">
      <c r="A761" t="s">
        <v>3145</v>
      </c>
      <c r="B761" t="s">
        <v>3360</v>
      </c>
      <c r="C761" s="60" t="str">
        <f t="shared" si="63"/>
        <v>E6350</v>
      </c>
      <c r="D761" t="s">
        <v>587</v>
      </c>
      <c r="E761" t="s">
        <v>588</v>
      </c>
      <c r="F761" t="s">
        <v>506</v>
      </c>
      <c r="G761" t="s">
        <v>507</v>
      </c>
      <c r="H761" t="s">
        <v>508</v>
      </c>
      <c r="I761" t="s">
        <v>509</v>
      </c>
      <c r="J761" t="s">
        <v>589</v>
      </c>
      <c r="K761" s="502">
        <v>5</v>
      </c>
      <c r="L761" t="s">
        <v>497</v>
      </c>
    </row>
    <row r="762" spans="1:13">
      <c r="A762" t="s">
        <v>3145</v>
      </c>
      <c r="B762" t="s">
        <v>3361</v>
      </c>
      <c r="C762" s="60" t="str">
        <f t="shared" si="63"/>
        <v>E6350</v>
      </c>
      <c r="D762" t="s">
        <v>587</v>
      </c>
      <c r="E762" t="s">
        <v>588</v>
      </c>
      <c r="F762" t="s">
        <v>506</v>
      </c>
      <c r="G762" t="s">
        <v>507</v>
      </c>
      <c r="H762" t="s">
        <v>508</v>
      </c>
      <c r="I762" t="s">
        <v>509</v>
      </c>
      <c r="J762" t="s">
        <v>589</v>
      </c>
      <c r="K762" s="502">
        <v>5</v>
      </c>
      <c r="L762" t="s">
        <v>497</v>
      </c>
    </row>
    <row r="763" spans="1:13">
      <c r="A763" t="s">
        <v>3145</v>
      </c>
      <c r="B763" t="s">
        <v>3362</v>
      </c>
      <c r="C763" s="60" t="str">
        <f t="shared" si="63"/>
        <v>E6350</v>
      </c>
      <c r="D763" t="s">
        <v>587</v>
      </c>
      <c r="E763" t="s">
        <v>588</v>
      </c>
      <c r="F763" t="s">
        <v>506</v>
      </c>
      <c r="G763" t="s">
        <v>507</v>
      </c>
      <c r="H763" t="s">
        <v>508</v>
      </c>
      <c r="I763" t="s">
        <v>509</v>
      </c>
      <c r="J763" t="s">
        <v>589</v>
      </c>
      <c r="K763" s="502">
        <v>5</v>
      </c>
      <c r="L763" t="s">
        <v>497</v>
      </c>
    </row>
    <row r="764" spans="1:13">
      <c r="A764" t="s">
        <v>3145</v>
      </c>
      <c r="B764" t="s">
        <v>3363</v>
      </c>
      <c r="C764" s="60" t="str">
        <f t="shared" si="63"/>
        <v>E6350</v>
      </c>
      <c r="D764" t="s">
        <v>587</v>
      </c>
      <c r="E764" t="s">
        <v>588</v>
      </c>
      <c r="F764" t="s">
        <v>506</v>
      </c>
      <c r="G764" t="s">
        <v>507</v>
      </c>
      <c r="H764" t="s">
        <v>508</v>
      </c>
      <c r="I764" t="s">
        <v>509</v>
      </c>
      <c r="J764" t="s">
        <v>589</v>
      </c>
      <c r="K764" s="502">
        <v>5</v>
      </c>
      <c r="L764" t="s">
        <v>497</v>
      </c>
    </row>
    <row r="765" spans="1:13">
      <c r="A765" t="s">
        <v>3145</v>
      </c>
      <c r="B765" t="s">
        <v>3364</v>
      </c>
      <c r="C765" s="60" t="str">
        <f t="shared" si="63"/>
        <v>E6350</v>
      </c>
      <c r="D765" t="s">
        <v>587</v>
      </c>
      <c r="E765" t="s">
        <v>588</v>
      </c>
      <c r="F765" t="s">
        <v>506</v>
      </c>
      <c r="G765" t="s">
        <v>507</v>
      </c>
      <c r="H765" t="s">
        <v>508</v>
      </c>
      <c r="I765" t="s">
        <v>509</v>
      </c>
      <c r="J765" t="s">
        <v>589</v>
      </c>
      <c r="K765" s="502">
        <v>5</v>
      </c>
      <c r="L765" t="s">
        <v>497</v>
      </c>
    </row>
    <row r="766" spans="1:13">
      <c r="A766" t="s">
        <v>3145</v>
      </c>
      <c r="B766" t="s">
        <v>3365</v>
      </c>
      <c r="C766" s="60" t="str">
        <f t="shared" si="63"/>
        <v>E6350</v>
      </c>
      <c r="D766" t="s">
        <v>587</v>
      </c>
      <c r="E766" t="s">
        <v>588</v>
      </c>
      <c r="F766" t="s">
        <v>506</v>
      </c>
      <c r="G766" t="s">
        <v>507</v>
      </c>
      <c r="H766" t="s">
        <v>508</v>
      </c>
      <c r="I766" t="s">
        <v>509</v>
      </c>
      <c r="J766" t="s">
        <v>589</v>
      </c>
      <c r="K766" s="502">
        <v>5</v>
      </c>
      <c r="L766" t="s">
        <v>497</v>
      </c>
    </row>
    <row r="767" spans="1:13">
      <c r="A767" t="s">
        <v>3145</v>
      </c>
      <c r="B767" t="s">
        <v>3366</v>
      </c>
      <c r="C767" s="60" t="str">
        <f t="shared" si="63"/>
        <v>E6350</v>
      </c>
      <c r="D767" t="s">
        <v>587</v>
      </c>
      <c r="E767" t="s">
        <v>588</v>
      </c>
      <c r="F767" t="s">
        <v>506</v>
      </c>
      <c r="G767" t="s">
        <v>507</v>
      </c>
      <c r="H767" t="s">
        <v>508</v>
      </c>
      <c r="I767" t="s">
        <v>509</v>
      </c>
      <c r="J767" t="s">
        <v>589</v>
      </c>
      <c r="K767" s="502">
        <v>5</v>
      </c>
      <c r="L767" t="s">
        <v>497</v>
      </c>
    </row>
    <row r="768" spans="1:13">
      <c r="A768" t="s">
        <v>3145</v>
      </c>
      <c r="B768" t="s">
        <v>3367</v>
      </c>
      <c r="C768" s="60" t="str">
        <f t="shared" si="63"/>
        <v>E6350</v>
      </c>
      <c r="D768" t="s">
        <v>587</v>
      </c>
      <c r="E768" t="s">
        <v>588</v>
      </c>
      <c r="F768" t="s">
        <v>506</v>
      </c>
      <c r="G768" t="s">
        <v>507</v>
      </c>
      <c r="H768" t="s">
        <v>508</v>
      </c>
      <c r="I768" t="s">
        <v>509</v>
      </c>
      <c r="J768" t="s">
        <v>589</v>
      </c>
      <c r="K768" s="502">
        <v>5</v>
      </c>
      <c r="L768" t="s">
        <v>497</v>
      </c>
    </row>
    <row r="769" spans="1:12">
      <c r="A769" t="s">
        <v>3145</v>
      </c>
      <c r="B769" t="s">
        <v>3356</v>
      </c>
      <c r="C769" s="3" t="str">
        <f>+'2-Préparation saisie LV PROD'!B70</f>
        <v>E6360</v>
      </c>
      <c r="D769" t="s">
        <v>587</v>
      </c>
      <c r="E769" t="s">
        <v>588</v>
      </c>
      <c r="F769" t="s">
        <v>506</v>
      </c>
      <c r="G769" t="s">
        <v>507</v>
      </c>
      <c r="H769" t="s">
        <v>508</v>
      </c>
      <c r="I769" t="s">
        <v>509</v>
      </c>
      <c r="J769" t="s">
        <v>589</v>
      </c>
      <c r="K769" s="502">
        <v>4</v>
      </c>
      <c r="L769" t="s">
        <v>815</v>
      </c>
    </row>
    <row r="770" spans="1:12">
      <c r="A770" t="s">
        <v>3145</v>
      </c>
      <c r="B770" t="s">
        <v>3357</v>
      </c>
      <c r="C770" s="60" t="str">
        <f>C769</f>
        <v>E6360</v>
      </c>
      <c r="D770" t="s">
        <v>587</v>
      </c>
      <c r="E770" t="s">
        <v>588</v>
      </c>
      <c r="F770" t="s">
        <v>506</v>
      </c>
      <c r="G770" t="s">
        <v>507</v>
      </c>
      <c r="H770" t="s">
        <v>508</v>
      </c>
      <c r="I770" t="s">
        <v>509</v>
      </c>
      <c r="J770" t="s">
        <v>589</v>
      </c>
      <c r="K770" s="502">
        <v>4</v>
      </c>
      <c r="L770" t="s">
        <v>815</v>
      </c>
    </row>
    <row r="771" spans="1:12">
      <c r="A771" t="s">
        <v>3145</v>
      </c>
      <c r="B771" t="s">
        <v>3358</v>
      </c>
      <c r="C771" s="60" t="str">
        <f t="shared" ref="C771:C780" si="64">+C770</f>
        <v>E6360</v>
      </c>
      <c r="D771" t="s">
        <v>587</v>
      </c>
      <c r="E771" t="s">
        <v>588</v>
      </c>
      <c r="F771" t="s">
        <v>506</v>
      </c>
      <c r="G771" t="s">
        <v>507</v>
      </c>
      <c r="H771" t="s">
        <v>508</v>
      </c>
      <c r="I771" t="s">
        <v>509</v>
      </c>
      <c r="J771" t="s">
        <v>589</v>
      </c>
      <c r="K771" s="502">
        <v>4</v>
      </c>
      <c r="L771" t="s">
        <v>815</v>
      </c>
    </row>
    <row r="772" spans="1:12">
      <c r="A772" t="s">
        <v>3145</v>
      </c>
      <c r="B772" t="s">
        <v>3359</v>
      </c>
      <c r="C772" s="60" t="str">
        <f t="shared" si="64"/>
        <v>E6360</v>
      </c>
      <c r="D772" t="s">
        <v>587</v>
      </c>
      <c r="E772" t="s">
        <v>588</v>
      </c>
      <c r="F772" t="s">
        <v>506</v>
      </c>
      <c r="G772" t="s">
        <v>507</v>
      </c>
      <c r="H772" t="s">
        <v>508</v>
      </c>
      <c r="I772" t="s">
        <v>509</v>
      </c>
      <c r="J772" t="s">
        <v>589</v>
      </c>
      <c r="K772" s="502">
        <v>4</v>
      </c>
      <c r="L772" t="s">
        <v>815</v>
      </c>
    </row>
    <row r="773" spans="1:12">
      <c r="A773" t="s">
        <v>3145</v>
      </c>
      <c r="B773" t="s">
        <v>3360</v>
      </c>
      <c r="C773" s="60" t="str">
        <f t="shared" si="64"/>
        <v>E6360</v>
      </c>
      <c r="D773" t="s">
        <v>587</v>
      </c>
      <c r="E773" t="s">
        <v>588</v>
      </c>
      <c r="F773" t="s">
        <v>506</v>
      </c>
      <c r="G773" t="s">
        <v>507</v>
      </c>
      <c r="H773" t="s">
        <v>508</v>
      </c>
      <c r="I773" t="s">
        <v>509</v>
      </c>
      <c r="J773" t="s">
        <v>589</v>
      </c>
      <c r="K773" s="502">
        <v>4</v>
      </c>
      <c r="L773" t="s">
        <v>815</v>
      </c>
    </row>
    <row r="774" spans="1:12">
      <c r="A774" t="s">
        <v>3145</v>
      </c>
      <c r="B774" t="s">
        <v>3361</v>
      </c>
      <c r="C774" s="60" t="str">
        <f t="shared" si="64"/>
        <v>E6360</v>
      </c>
      <c r="D774" t="s">
        <v>587</v>
      </c>
      <c r="E774" t="s">
        <v>588</v>
      </c>
      <c r="F774" t="s">
        <v>506</v>
      </c>
      <c r="G774" t="s">
        <v>507</v>
      </c>
      <c r="H774" t="s">
        <v>508</v>
      </c>
      <c r="I774" t="s">
        <v>509</v>
      </c>
      <c r="J774" t="s">
        <v>589</v>
      </c>
      <c r="K774" s="502">
        <v>4</v>
      </c>
      <c r="L774" t="s">
        <v>815</v>
      </c>
    </row>
    <row r="775" spans="1:12">
      <c r="A775" t="s">
        <v>3145</v>
      </c>
      <c r="B775" t="s">
        <v>3362</v>
      </c>
      <c r="C775" s="60" t="str">
        <f t="shared" si="64"/>
        <v>E6360</v>
      </c>
      <c r="D775" t="s">
        <v>587</v>
      </c>
      <c r="E775" t="s">
        <v>588</v>
      </c>
      <c r="F775" t="s">
        <v>506</v>
      </c>
      <c r="G775" t="s">
        <v>507</v>
      </c>
      <c r="H775" t="s">
        <v>508</v>
      </c>
      <c r="I775" t="s">
        <v>509</v>
      </c>
      <c r="J775" t="s">
        <v>589</v>
      </c>
      <c r="K775" s="502">
        <v>4</v>
      </c>
      <c r="L775" t="s">
        <v>815</v>
      </c>
    </row>
    <row r="776" spans="1:12">
      <c r="A776" t="s">
        <v>3145</v>
      </c>
      <c r="B776" t="s">
        <v>3363</v>
      </c>
      <c r="C776" s="60" t="str">
        <f t="shared" si="64"/>
        <v>E6360</v>
      </c>
      <c r="D776" t="s">
        <v>587</v>
      </c>
      <c r="E776" t="s">
        <v>588</v>
      </c>
      <c r="F776" t="s">
        <v>506</v>
      </c>
      <c r="G776" t="s">
        <v>507</v>
      </c>
      <c r="H776" t="s">
        <v>508</v>
      </c>
      <c r="I776" t="s">
        <v>509</v>
      </c>
      <c r="J776" t="s">
        <v>589</v>
      </c>
      <c r="K776" s="502">
        <v>4</v>
      </c>
      <c r="L776" t="s">
        <v>815</v>
      </c>
    </row>
    <row r="777" spans="1:12">
      <c r="A777" t="s">
        <v>3145</v>
      </c>
      <c r="B777" t="s">
        <v>3364</v>
      </c>
      <c r="C777" s="60" t="str">
        <f t="shared" si="64"/>
        <v>E6360</v>
      </c>
      <c r="D777" t="s">
        <v>587</v>
      </c>
      <c r="E777" t="s">
        <v>588</v>
      </c>
      <c r="F777" t="s">
        <v>506</v>
      </c>
      <c r="G777" t="s">
        <v>507</v>
      </c>
      <c r="H777" t="s">
        <v>508</v>
      </c>
      <c r="I777" t="s">
        <v>509</v>
      </c>
      <c r="J777" t="s">
        <v>589</v>
      </c>
      <c r="K777" s="502">
        <v>4</v>
      </c>
      <c r="L777" t="s">
        <v>815</v>
      </c>
    </row>
    <row r="778" spans="1:12">
      <c r="A778" t="s">
        <v>3145</v>
      </c>
      <c r="B778" t="s">
        <v>3365</v>
      </c>
      <c r="C778" s="60" t="str">
        <f t="shared" si="64"/>
        <v>E6360</v>
      </c>
      <c r="D778" t="s">
        <v>587</v>
      </c>
      <c r="E778" t="s">
        <v>588</v>
      </c>
      <c r="F778" t="s">
        <v>506</v>
      </c>
      <c r="G778" t="s">
        <v>507</v>
      </c>
      <c r="H778" t="s">
        <v>508</v>
      </c>
      <c r="I778" t="s">
        <v>509</v>
      </c>
      <c r="J778" t="s">
        <v>589</v>
      </c>
      <c r="K778" s="502">
        <v>4</v>
      </c>
      <c r="L778" t="s">
        <v>815</v>
      </c>
    </row>
    <row r="779" spans="1:12">
      <c r="A779" t="s">
        <v>3145</v>
      </c>
      <c r="B779" t="s">
        <v>3366</v>
      </c>
      <c r="C779" s="60" t="str">
        <f t="shared" si="64"/>
        <v>E6360</v>
      </c>
      <c r="D779" t="s">
        <v>587</v>
      </c>
      <c r="E779" t="s">
        <v>588</v>
      </c>
      <c r="F779" t="s">
        <v>506</v>
      </c>
      <c r="G779" t="s">
        <v>507</v>
      </c>
      <c r="H779" t="s">
        <v>508</v>
      </c>
      <c r="I779" t="s">
        <v>509</v>
      </c>
      <c r="J779" t="s">
        <v>589</v>
      </c>
      <c r="K779" s="502">
        <v>4</v>
      </c>
      <c r="L779" t="s">
        <v>815</v>
      </c>
    </row>
    <row r="780" spans="1:12">
      <c r="A780" t="s">
        <v>3145</v>
      </c>
      <c r="B780" t="s">
        <v>3367</v>
      </c>
      <c r="C780" s="60" t="str">
        <f t="shared" si="64"/>
        <v>E6360</v>
      </c>
      <c r="D780" t="s">
        <v>587</v>
      </c>
      <c r="E780" t="s">
        <v>588</v>
      </c>
      <c r="F780" t="s">
        <v>506</v>
      </c>
      <c r="G780" t="s">
        <v>507</v>
      </c>
      <c r="H780" t="s">
        <v>508</v>
      </c>
      <c r="I780" t="s">
        <v>509</v>
      </c>
      <c r="J780" t="s">
        <v>589</v>
      </c>
      <c r="K780" s="502">
        <v>4</v>
      </c>
      <c r="L780" t="s">
        <v>815</v>
      </c>
    </row>
    <row r="781" spans="1:12">
      <c r="A781" t="s">
        <v>3145</v>
      </c>
      <c r="B781" t="s">
        <v>3356</v>
      </c>
      <c r="C781" s="3" t="str">
        <f>+'2-Préparation saisie LV PROD'!B71</f>
        <v>E5550</v>
      </c>
      <c r="D781" t="s">
        <v>587</v>
      </c>
      <c r="E781" t="s">
        <v>588</v>
      </c>
      <c r="F781" t="s">
        <v>506</v>
      </c>
      <c r="G781" t="s">
        <v>507</v>
      </c>
      <c r="H781" t="s">
        <v>508</v>
      </c>
      <c r="I781" t="s">
        <v>509</v>
      </c>
      <c r="J781" t="s">
        <v>589</v>
      </c>
      <c r="K781" s="502">
        <v>0</v>
      </c>
      <c r="L781" t="s">
        <v>3248</v>
      </c>
    </row>
    <row r="782" spans="1:12">
      <c r="A782" t="s">
        <v>3145</v>
      </c>
      <c r="B782" t="s">
        <v>3357</v>
      </c>
      <c r="C782" s="60" t="str">
        <f>C781</f>
        <v>E5550</v>
      </c>
      <c r="D782" t="s">
        <v>587</v>
      </c>
      <c r="E782" t="s">
        <v>588</v>
      </c>
      <c r="F782" t="s">
        <v>506</v>
      </c>
      <c r="G782" t="s">
        <v>507</v>
      </c>
      <c r="H782" t="s">
        <v>508</v>
      </c>
      <c r="I782" t="s">
        <v>509</v>
      </c>
      <c r="J782" t="s">
        <v>589</v>
      </c>
      <c r="K782" s="502">
        <v>0</v>
      </c>
      <c r="L782" t="s">
        <v>3248</v>
      </c>
    </row>
    <row r="783" spans="1:12">
      <c r="A783" t="s">
        <v>3145</v>
      </c>
      <c r="B783" t="s">
        <v>3358</v>
      </c>
      <c r="C783" s="60" t="str">
        <f t="shared" ref="C783:C792" si="65">+C782</f>
        <v>E5550</v>
      </c>
      <c r="D783" t="s">
        <v>587</v>
      </c>
      <c r="E783" t="s">
        <v>588</v>
      </c>
      <c r="F783" t="s">
        <v>506</v>
      </c>
      <c r="G783" t="s">
        <v>507</v>
      </c>
      <c r="H783" t="s">
        <v>508</v>
      </c>
      <c r="I783" t="s">
        <v>509</v>
      </c>
      <c r="J783" t="s">
        <v>589</v>
      </c>
      <c r="K783" s="502">
        <v>0</v>
      </c>
      <c r="L783" t="s">
        <v>3248</v>
      </c>
    </row>
    <row r="784" spans="1:12">
      <c r="A784" t="s">
        <v>3145</v>
      </c>
      <c r="B784" t="s">
        <v>3359</v>
      </c>
      <c r="C784" s="60" t="str">
        <f t="shared" si="65"/>
        <v>E5550</v>
      </c>
      <c r="D784" t="s">
        <v>587</v>
      </c>
      <c r="E784" t="s">
        <v>588</v>
      </c>
      <c r="F784" t="s">
        <v>506</v>
      </c>
      <c r="G784" t="s">
        <v>507</v>
      </c>
      <c r="H784" t="s">
        <v>508</v>
      </c>
      <c r="I784" t="s">
        <v>509</v>
      </c>
      <c r="J784" t="s">
        <v>589</v>
      </c>
      <c r="K784" s="502">
        <v>0</v>
      </c>
      <c r="L784" t="s">
        <v>3248</v>
      </c>
    </row>
    <row r="785" spans="1:12">
      <c r="A785" t="s">
        <v>3145</v>
      </c>
      <c r="B785" t="s">
        <v>3360</v>
      </c>
      <c r="C785" s="60" t="str">
        <f t="shared" si="65"/>
        <v>E5550</v>
      </c>
      <c r="D785" t="s">
        <v>587</v>
      </c>
      <c r="E785" t="s">
        <v>588</v>
      </c>
      <c r="F785" t="s">
        <v>506</v>
      </c>
      <c r="G785" t="s">
        <v>507</v>
      </c>
      <c r="H785" t="s">
        <v>508</v>
      </c>
      <c r="I785" t="s">
        <v>509</v>
      </c>
      <c r="J785" t="s">
        <v>589</v>
      </c>
      <c r="K785" s="502">
        <v>0</v>
      </c>
      <c r="L785" t="s">
        <v>3248</v>
      </c>
    </row>
    <row r="786" spans="1:12">
      <c r="A786" t="s">
        <v>3145</v>
      </c>
      <c r="B786" t="s">
        <v>3361</v>
      </c>
      <c r="C786" s="60" t="str">
        <f t="shared" si="65"/>
        <v>E5550</v>
      </c>
      <c r="D786" t="s">
        <v>587</v>
      </c>
      <c r="E786" t="s">
        <v>588</v>
      </c>
      <c r="F786" t="s">
        <v>506</v>
      </c>
      <c r="G786" t="s">
        <v>507</v>
      </c>
      <c r="H786" t="s">
        <v>508</v>
      </c>
      <c r="I786" t="s">
        <v>509</v>
      </c>
      <c r="J786" t="s">
        <v>589</v>
      </c>
      <c r="K786" s="502">
        <v>0</v>
      </c>
      <c r="L786" t="s">
        <v>3248</v>
      </c>
    </row>
    <row r="787" spans="1:12">
      <c r="A787" t="s">
        <v>3145</v>
      </c>
      <c r="B787" t="s">
        <v>3362</v>
      </c>
      <c r="C787" s="60" t="str">
        <f t="shared" si="65"/>
        <v>E5550</v>
      </c>
      <c r="D787" t="s">
        <v>587</v>
      </c>
      <c r="E787" t="s">
        <v>588</v>
      </c>
      <c r="F787" t="s">
        <v>506</v>
      </c>
      <c r="G787" t="s">
        <v>507</v>
      </c>
      <c r="H787" t="s">
        <v>508</v>
      </c>
      <c r="I787" t="s">
        <v>509</v>
      </c>
      <c r="J787" t="s">
        <v>589</v>
      </c>
      <c r="K787" s="502">
        <v>0</v>
      </c>
      <c r="L787" t="s">
        <v>3248</v>
      </c>
    </row>
    <row r="788" spans="1:12">
      <c r="A788" t="s">
        <v>3145</v>
      </c>
      <c r="B788" t="s">
        <v>3363</v>
      </c>
      <c r="C788" s="60" t="str">
        <f t="shared" si="65"/>
        <v>E5550</v>
      </c>
      <c r="D788" t="s">
        <v>587</v>
      </c>
      <c r="E788" t="s">
        <v>588</v>
      </c>
      <c r="F788" t="s">
        <v>506</v>
      </c>
      <c r="G788" t="s">
        <v>507</v>
      </c>
      <c r="H788" t="s">
        <v>508</v>
      </c>
      <c r="I788" t="s">
        <v>509</v>
      </c>
      <c r="J788" t="s">
        <v>589</v>
      </c>
      <c r="K788" s="502">
        <v>0</v>
      </c>
      <c r="L788" t="s">
        <v>3248</v>
      </c>
    </row>
    <row r="789" spans="1:12">
      <c r="A789" t="s">
        <v>3145</v>
      </c>
      <c r="B789" t="s">
        <v>3364</v>
      </c>
      <c r="C789" s="60" t="str">
        <f t="shared" si="65"/>
        <v>E5550</v>
      </c>
      <c r="D789" t="s">
        <v>587</v>
      </c>
      <c r="E789" t="s">
        <v>588</v>
      </c>
      <c r="F789" t="s">
        <v>506</v>
      </c>
      <c r="G789" t="s">
        <v>507</v>
      </c>
      <c r="H789" t="s">
        <v>508</v>
      </c>
      <c r="I789" t="s">
        <v>509</v>
      </c>
      <c r="J789" t="s">
        <v>589</v>
      </c>
      <c r="K789" s="502">
        <v>0</v>
      </c>
      <c r="L789" t="s">
        <v>3248</v>
      </c>
    </row>
    <row r="790" spans="1:12">
      <c r="A790" t="s">
        <v>3145</v>
      </c>
      <c r="B790" t="s">
        <v>3365</v>
      </c>
      <c r="C790" s="60" t="str">
        <f t="shared" si="65"/>
        <v>E5550</v>
      </c>
      <c r="D790" t="s">
        <v>587</v>
      </c>
      <c r="E790" t="s">
        <v>588</v>
      </c>
      <c r="F790" t="s">
        <v>506</v>
      </c>
      <c r="G790" t="s">
        <v>507</v>
      </c>
      <c r="H790" t="s">
        <v>508</v>
      </c>
      <c r="I790" t="s">
        <v>509</v>
      </c>
      <c r="J790" t="s">
        <v>589</v>
      </c>
      <c r="K790" s="502">
        <v>0</v>
      </c>
      <c r="L790" t="s">
        <v>3248</v>
      </c>
    </row>
    <row r="791" spans="1:12">
      <c r="A791" t="s">
        <v>3145</v>
      </c>
      <c r="B791" t="s">
        <v>3366</v>
      </c>
      <c r="C791" s="60" t="str">
        <f t="shared" si="65"/>
        <v>E5550</v>
      </c>
      <c r="D791" t="s">
        <v>587</v>
      </c>
      <c r="E791" t="s">
        <v>588</v>
      </c>
      <c r="F791" t="s">
        <v>506</v>
      </c>
      <c r="G791" t="s">
        <v>507</v>
      </c>
      <c r="H791" t="s">
        <v>508</v>
      </c>
      <c r="I791" t="s">
        <v>509</v>
      </c>
      <c r="J791" t="s">
        <v>589</v>
      </c>
      <c r="K791" s="502">
        <v>0</v>
      </c>
      <c r="L791" t="s">
        <v>3248</v>
      </c>
    </row>
    <row r="792" spans="1:12">
      <c r="A792" t="s">
        <v>3145</v>
      </c>
      <c r="B792" t="s">
        <v>3367</v>
      </c>
      <c r="C792" s="60" t="str">
        <f t="shared" si="65"/>
        <v>E5550</v>
      </c>
      <c r="D792" t="s">
        <v>587</v>
      </c>
      <c r="E792" t="s">
        <v>588</v>
      </c>
      <c r="F792" t="s">
        <v>506</v>
      </c>
      <c r="G792" t="s">
        <v>507</v>
      </c>
      <c r="H792" t="s">
        <v>508</v>
      </c>
      <c r="I792" t="s">
        <v>509</v>
      </c>
      <c r="J792" t="s">
        <v>589</v>
      </c>
      <c r="K792" s="502">
        <v>0</v>
      </c>
      <c r="L792" t="s">
        <v>3248</v>
      </c>
    </row>
    <row r="793" spans="1:12">
      <c r="A793" t="s">
        <v>3145</v>
      </c>
      <c r="B793" t="s">
        <v>3356</v>
      </c>
      <c r="C793" s="3" t="str">
        <f>+'2-Préparation saisie LV PROD'!B72</f>
        <v>E5250</v>
      </c>
      <c r="D793" t="s">
        <v>587</v>
      </c>
      <c r="E793" t="s">
        <v>588</v>
      </c>
      <c r="F793" t="s">
        <v>506</v>
      </c>
      <c r="G793" t="s">
        <v>507</v>
      </c>
      <c r="H793" t="s">
        <v>508</v>
      </c>
      <c r="I793" t="s">
        <v>509</v>
      </c>
      <c r="J793" t="s">
        <v>589</v>
      </c>
      <c r="K793" s="502">
        <v>0</v>
      </c>
      <c r="L793" t="s">
        <v>3247</v>
      </c>
    </row>
    <row r="794" spans="1:12">
      <c r="A794" t="s">
        <v>3145</v>
      </c>
      <c r="B794" t="s">
        <v>3357</v>
      </c>
      <c r="C794" s="60" t="str">
        <f>C793</f>
        <v>E5250</v>
      </c>
      <c r="D794" t="s">
        <v>587</v>
      </c>
      <c r="E794" t="s">
        <v>588</v>
      </c>
      <c r="F794" t="s">
        <v>506</v>
      </c>
      <c r="G794" t="s">
        <v>507</v>
      </c>
      <c r="H794" t="s">
        <v>508</v>
      </c>
      <c r="I794" t="s">
        <v>509</v>
      </c>
      <c r="J794" t="s">
        <v>589</v>
      </c>
      <c r="K794" s="502">
        <v>0</v>
      </c>
      <c r="L794" t="s">
        <v>3247</v>
      </c>
    </row>
    <row r="795" spans="1:12">
      <c r="A795" t="s">
        <v>3145</v>
      </c>
      <c r="B795" t="s">
        <v>3358</v>
      </c>
      <c r="C795" s="60" t="str">
        <f t="shared" ref="C795:C804" si="66">+C794</f>
        <v>E5250</v>
      </c>
      <c r="D795" t="s">
        <v>587</v>
      </c>
      <c r="E795" t="s">
        <v>588</v>
      </c>
      <c r="F795" t="s">
        <v>506</v>
      </c>
      <c r="G795" t="s">
        <v>507</v>
      </c>
      <c r="H795" t="s">
        <v>508</v>
      </c>
      <c r="I795" t="s">
        <v>509</v>
      </c>
      <c r="J795" t="s">
        <v>589</v>
      </c>
      <c r="K795" s="502">
        <v>0</v>
      </c>
      <c r="L795" t="s">
        <v>3247</v>
      </c>
    </row>
    <row r="796" spans="1:12">
      <c r="A796" t="s">
        <v>3145</v>
      </c>
      <c r="B796" t="s">
        <v>3359</v>
      </c>
      <c r="C796" s="60" t="str">
        <f t="shared" si="66"/>
        <v>E5250</v>
      </c>
      <c r="D796" t="s">
        <v>587</v>
      </c>
      <c r="E796" t="s">
        <v>588</v>
      </c>
      <c r="F796" t="s">
        <v>506</v>
      </c>
      <c r="G796" t="s">
        <v>507</v>
      </c>
      <c r="H796" t="s">
        <v>508</v>
      </c>
      <c r="I796" t="s">
        <v>509</v>
      </c>
      <c r="J796" t="s">
        <v>589</v>
      </c>
      <c r="K796" s="502">
        <v>0</v>
      </c>
      <c r="L796" t="s">
        <v>3247</v>
      </c>
    </row>
    <row r="797" spans="1:12">
      <c r="A797" t="s">
        <v>3145</v>
      </c>
      <c r="B797" t="s">
        <v>3360</v>
      </c>
      <c r="C797" s="60" t="str">
        <f t="shared" si="66"/>
        <v>E5250</v>
      </c>
      <c r="D797" t="s">
        <v>587</v>
      </c>
      <c r="E797" t="s">
        <v>588</v>
      </c>
      <c r="F797" t="s">
        <v>506</v>
      </c>
      <c r="G797" t="s">
        <v>507</v>
      </c>
      <c r="H797" t="s">
        <v>508</v>
      </c>
      <c r="I797" t="s">
        <v>509</v>
      </c>
      <c r="J797" t="s">
        <v>589</v>
      </c>
      <c r="K797" s="502">
        <v>0</v>
      </c>
      <c r="L797" t="s">
        <v>3247</v>
      </c>
    </row>
    <row r="798" spans="1:12">
      <c r="A798" t="s">
        <v>3145</v>
      </c>
      <c r="B798" t="s">
        <v>3361</v>
      </c>
      <c r="C798" s="60" t="str">
        <f t="shared" si="66"/>
        <v>E5250</v>
      </c>
      <c r="D798" t="s">
        <v>587</v>
      </c>
      <c r="E798" t="s">
        <v>588</v>
      </c>
      <c r="F798" t="s">
        <v>506</v>
      </c>
      <c r="G798" t="s">
        <v>507</v>
      </c>
      <c r="H798" t="s">
        <v>508</v>
      </c>
      <c r="I798" t="s">
        <v>509</v>
      </c>
      <c r="J798" t="s">
        <v>589</v>
      </c>
      <c r="K798" s="502">
        <v>0</v>
      </c>
      <c r="L798" t="s">
        <v>3247</v>
      </c>
    </row>
    <row r="799" spans="1:12">
      <c r="A799" t="s">
        <v>3145</v>
      </c>
      <c r="B799" t="s">
        <v>3362</v>
      </c>
      <c r="C799" s="60" t="str">
        <f t="shared" si="66"/>
        <v>E5250</v>
      </c>
      <c r="D799" t="s">
        <v>587</v>
      </c>
      <c r="E799" t="s">
        <v>588</v>
      </c>
      <c r="F799" t="s">
        <v>506</v>
      </c>
      <c r="G799" t="s">
        <v>507</v>
      </c>
      <c r="H799" t="s">
        <v>508</v>
      </c>
      <c r="I799" t="s">
        <v>509</v>
      </c>
      <c r="J799" t="s">
        <v>589</v>
      </c>
      <c r="K799" s="502">
        <v>0</v>
      </c>
      <c r="L799" t="s">
        <v>3247</v>
      </c>
    </row>
    <row r="800" spans="1:12">
      <c r="A800" t="s">
        <v>3145</v>
      </c>
      <c r="B800" t="s">
        <v>3363</v>
      </c>
      <c r="C800" s="60" t="str">
        <f t="shared" si="66"/>
        <v>E5250</v>
      </c>
      <c r="D800" t="s">
        <v>587</v>
      </c>
      <c r="E800" t="s">
        <v>588</v>
      </c>
      <c r="F800" t="s">
        <v>506</v>
      </c>
      <c r="G800" t="s">
        <v>507</v>
      </c>
      <c r="H800" t="s">
        <v>508</v>
      </c>
      <c r="I800" t="s">
        <v>509</v>
      </c>
      <c r="J800" t="s">
        <v>589</v>
      </c>
      <c r="K800" s="502">
        <v>0</v>
      </c>
      <c r="L800" t="s">
        <v>3247</v>
      </c>
    </row>
    <row r="801" spans="1:12">
      <c r="A801" t="s">
        <v>3145</v>
      </c>
      <c r="B801" t="s">
        <v>3364</v>
      </c>
      <c r="C801" s="60" t="str">
        <f t="shared" si="66"/>
        <v>E5250</v>
      </c>
      <c r="D801" t="s">
        <v>587</v>
      </c>
      <c r="E801" t="s">
        <v>588</v>
      </c>
      <c r="F801" t="s">
        <v>506</v>
      </c>
      <c r="G801" t="s">
        <v>507</v>
      </c>
      <c r="H801" t="s">
        <v>508</v>
      </c>
      <c r="I801" t="s">
        <v>509</v>
      </c>
      <c r="J801" t="s">
        <v>589</v>
      </c>
      <c r="K801" s="502">
        <v>0</v>
      </c>
      <c r="L801" t="s">
        <v>3247</v>
      </c>
    </row>
    <row r="802" spans="1:12">
      <c r="A802" t="s">
        <v>3145</v>
      </c>
      <c r="B802" t="s">
        <v>3365</v>
      </c>
      <c r="C802" s="60" t="str">
        <f t="shared" si="66"/>
        <v>E5250</v>
      </c>
      <c r="D802" t="s">
        <v>587</v>
      </c>
      <c r="E802" t="s">
        <v>588</v>
      </c>
      <c r="F802" t="s">
        <v>506</v>
      </c>
      <c r="G802" t="s">
        <v>507</v>
      </c>
      <c r="H802" t="s">
        <v>508</v>
      </c>
      <c r="I802" t="s">
        <v>509</v>
      </c>
      <c r="J802" t="s">
        <v>589</v>
      </c>
      <c r="K802" s="502">
        <v>0</v>
      </c>
      <c r="L802" t="s">
        <v>3247</v>
      </c>
    </row>
    <row r="803" spans="1:12">
      <c r="A803" t="s">
        <v>3145</v>
      </c>
      <c r="B803" t="s">
        <v>3366</v>
      </c>
      <c r="C803" s="60" t="str">
        <f t="shared" si="66"/>
        <v>E5250</v>
      </c>
      <c r="D803" t="s">
        <v>587</v>
      </c>
      <c r="E803" t="s">
        <v>588</v>
      </c>
      <c r="F803" t="s">
        <v>506</v>
      </c>
      <c r="G803" t="s">
        <v>507</v>
      </c>
      <c r="H803" t="s">
        <v>508</v>
      </c>
      <c r="I803" t="s">
        <v>509</v>
      </c>
      <c r="J803" t="s">
        <v>589</v>
      </c>
      <c r="K803" s="502">
        <v>0</v>
      </c>
      <c r="L803" t="s">
        <v>3247</v>
      </c>
    </row>
    <row r="804" spans="1:12">
      <c r="A804" t="s">
        <v>3145</v>
      </c>
      <c r="B804" t="s">
        <v>3367</v>
      </c>
      <c r="C804" s="60" t="str">
        <f t="shared" si="66"/>
        <v>E5250</v>
      </c>
      <c r="D804" t="s">
        <v>587</v>
      </c>
      <c r="E804" t="s">
        <v>588</v>
      </c>
      <c r="F804" t="s">
        <v>506</v>
      </c>
      <c r="G804" t="s">
        <v>507</v>
      </c>
      <c r="H804" t="s">
        <v>508</v>
      </c>
      <c r="I804" t="s">
        <v>509</v>
      </c>
      <c r="J804" t="s">
        <v>589</v>
      </c>
      <c r="K804" s="502">
        <v>0</v>
      </c>
      <c r="L804" t="s">
        <v>3247</v>
      </c>
    </row>
    <row r="805" spans="1:12">
      <c r="A805" t="s">
        <v>3145</v>
      </c>
      <c r="B805" t="s">
        <v>3356</v>
      </c>
      <c r="C805" s="3" t="s">
        <v>1858</v>
      </c>
      <c r="D805" t="s">
        <v>587</v>
      </c>
      <c r="E805" t="s">
        <v>588</v>
      </c>
      <c r="F805" t="s">
        <v>506</v>
      </c>
      <c r="G805" t="s">
        <v>507</v>
      </c>
      <c r="H805" t="s">
        <v>508</v>
      </c>
      <c r="I805" t="s">
        <v>509</v>
      </c>
      <c r="J805" t="s">
        <v>589</v>
      </c>
      <c r="K805" s="502">
        <v>12</v>
      </c>
      <c r="L805" t="s">
        <v>3029</v>
      </c>
    </row>
    <row r="806" spans="1:12">
      <c r="A806" t="s">
        <v>3145</v>
      </c>
      <c r="B806" t="s">
        <v>3357</v>
      </c>
      <c r="C806" s="60" t="str">
        <f>C805</f>
        <v>E6010</v>
      </c>
      <c r="D806" t="s">
        <v>587</v>
      </c>
      <c r="E806" t="s">
        <v>588</v>
      </c>
      <c r="F806" t="s">
        <v>506</v>
      </c>
      <c r="G806" t="s">
        <v>507</v>
      </c>
      <c r="H806" t="s">
        <v>508</v>
      </c>
      <c r="I806" t="s">
        <v>509</v>
      </c>
      <c r="J806" t="s">
        <v>589</v>
      </c>
      <c r="K806" s="502">
        <v>12</v>
      </c>
      <c r="L806" t="s">
        <v>3029</v>
      </c>
    </row>
    <row r="807" spans="1:12">
      <c r="A807" t="s">
        <v>3145</v>
      </c>
      <c r="B807" t="s">
        <v>3358</v>
      </c>
      <c r="C807" s="60" t="str">
        <f t="shared" ref="C807:C816" si="67">+C806</f>
        <v>E6010</v>
      </c>
      <c r="D807" t="s">
        <v>587</v>
      </c>
      <c r="E807" t="s">
        <v>588</v>
      </c>
      <c r="F807" t="s">
        <v>506</v>
      </c>
      <c r="G807" t="s">
        <v>507</v>
      </c>
      <c r="H807" t="s">
        <v>508</v>
      </c>
      <c r="I807" t="s">
        <v>509</v>
      </c>
      <c r="J807" t="s">
        <v>589</v>
      </c>
      <c r="K807" s="502">
        <v>12</v>
      </c>
      <c r="L807" t="s">
        <v>3029</v>
      </c>
    </row>
    <row r="808" spans="1:12">
      <c r="A808" t="s">
        <v>3145</v>
      </c>
      <c r="B808" t="s">
        <v>3359</v>
      </c>
      <c r="C808" s="60" t="str">
        <f t="shared" si="67"/>
        <v>E6010</v>
      </c>
      <c r="D808" t="s">
        <v>587</v>
      </c>
      <c r="E808" t="s">
        <v>588</v>
      </c>
      <c r="F808" t="s">
        <v>506</v>
      </c>
      <c r="G808" t="s">
        <v>507</v>
      </c>
      <c r="H808" t="s">
        <v>508</v>
      </c>
      <c r="I808" t="s">
        <v>509</v>
      </c>
      <c r="J808" t="s">
        <v>589</v>
      </c>
      <c r="K808" s="502">
        <v>12</v>
      </c>
      <c r="L808" t="s">
        <v>3029</v>
      </c>
    </row>
    <row r="809" spans="1:12">
      <c r="A809" t="s">
        <v>3145</v>
      </c>
      <c r="B809" t="s">
        <v>3360</v>
      </c>
      <c r="C809" s="60" t="str">
        <f t="shared" si="67"/>
        <v>E6010</v>
      </c>
      <c r="D809" t="s">
        <v>587</v>
      </c>
      <c r="E809" t="s">
        <v>588</v>
      </c>
      <c r="F809" t="s">
        <v>506</v>
      </c>
      <c r="G809" t="s">
        <v>507</v>
      </c>
      <c r="H809" t="s">
        <v>508</v>
      </c>
      <c r="I809" t="s">
        <v>509</v>
      </c>
      <c r="J809" t="s">
        <v>589</v>
      </c>
      <c r="K809" s="502">
        <v>12</v>
      </c>
      <c r="L809" t="s">
        <v>3029</v>
      </c>
    </row>
    <row r="810" spans="1:12">
      <c r="A810" t="s">
        <v>3145</v>
      </c>
      <c r="B810" t="s">
        <v>3361</v>
      </c>
      <c r="C810" s="60" t="str">
        <f t="shared" si="67"/>
        <v>E6010</v>
      </c>
      <c r="D810" t="s">
        <v>587</v>
      </c>
      <c r="E810" t="s">
        <v>588</v>
      </c>
      <c r="F810" t="s">
        <v>506</v>
      </c>
      <c r="G810" t="s">
        <v>507</v>
      </c>
      <c r="H810" t="s">
        <v>508</v>
      </c>
      <c r="I810" t="s">
        <v>509</v>
      </c>
      <c r="J810" t="s">
        <v>589</v>
      </c>
      <c r="K810" s="502">
        <v>12</v>
      </c>
      <c r="L810" t="s">
        <v>3029</v>
      </c>
    </row>
    <row r="811" spans="1:12">
      <c r="A811" t="s">
        <v>3145</v>
      </c>
      <c r="B811" t="s">
        <v>3362</v>
      </c>
      <c r="C811" s="60" t="str">
        <f t="shared" si="67"/>
        <v>E6010</v>
      </c>
      <c r="D811" t="s">
        <v>587</v>
      </c>
      <c r="E811" t="s">
        <v>588</v>
      </c>
      <c r="F811" t="s">
        <v>506</v>
      </c>
      <c r="G811" t="s">
        <v>507</v>
      </c>
      <c r="H811" t="s">
        <v>508</v>
      </c>
      <c r="I811" t="s">
        <v>509</v>
      </c>
      <c r="J811" t="s">
        <v>589</v>
      </c>
      <c r="K811" s="502">
        <v>12</v>
      </c>
      <c r="L811" t="s">
        <v>3029</v>
      </c>
    </row>
    <row r="812" spans="1:12">
      <c r="A812" t="s">
        <v>3145</v>
      </c>
      <c r="B812" t="s">
        <v>3363</v>
      </c>
      <c r="C812" s="60" t="str">
        <f t="shared" si="67"/>
        <v>E6010</v>
      </c>
      <c r="D812" t="s">
        <v>587</v>
      </c>
      <c r="E812" t="s">
        <v>588</v>
      </c>
      <c r="F812" t="s">
        <v>506</v>
      </c>
      <c r="G812" t="s">
        <v>507</v>
      </c>
      <c r="H812" t="s">
        <v>508</v>
      </c>
      <c r="I812" t="s">
        <v>509</v>
      </c>
      <c r="J812" t="s">
        <v>589</v>
      </c>
      <c r="K812" s="502">
        <v>12</v>
      </c>
      <c r="L812" t="s">
        <v>3029</v>
      </c>
    </row>
    <row r="813" spans="1:12">
      <c r="A813" t="s">
        <v>3145</v>
      </c>
      <c r="B813" t="s">
        <v>3364</v>
      </c>
      <c r="C813" s="60" t="str">
        <f t="shared" si="67"/>
        <v>E6010</v>
      </c>
      <c r="D813" t="s">
        <v>587</v>
      </c>
      <c r="E813" t="s">
        <v>588</v>
      </c>
      <c r="F813" t="s">
        <v>506</v>
      </c>
      <c r="G813" t="s">
        <v>507</v>
      </c>
      <c r="H813" t="s">
        <v>508</v>
      </c>
      <c r="I813" t="s">
        <v>509</v>
      </c>
      <c r="J813" t="s">
        <v>589</v>
      </c>
      <c r="K813" s="502">
        <v>12</v>
      </c>
      <c r="L813" t="s">
        <v>3029</v>
      </c>
    </row>
    <row r="814" spans="1:12">
      <c r="A814" t="s">
        <v>3145</v>
      </c>
      <c r="B814" t="s">
        <v>3365</v>
      </c>
      <c r="C814" s="60" t="str">
        <f t="shared" si="67"/>
        <v>E6010</v>
      </c>
      <c r="D814" t="s">
        <v>587</v>
      </c>
      <c r="E814" t="s">
        <v>588</v>
      </c>
      <c r="F814" t="s">
        <v>506</v>
      </c>
      <c r="G814" t="s">
        <v>507</v>
      </c>
      <c r="H814" t="s">
        <v>508</v>
      </c>
      <c r="I814" t="s">
        <v>509</v>
      </c>
      <c r="J814" t="s">
        <v>589</v>
      </c>
      <c r="K814" s="502">
        <v>12</v>
      </c>
      <c r="L814" t="s">
        <v>3029</v>
      </c>
    </row>
    <row r="815" spans="1:12">
      <c r="A815" t="s">
        <v>3145</v>
      </c>
      <c r="B815" t="s">
        <v>3366</v>
      </c>
      <c r="C815" s="60" t="str">
        <f t="shared" si="67"/>
        <v>E6010</v>
      </c>
      <c r="D815" t="s">
        <v>587</v>
      </c>
      <c r="E815" t="s">
        <v>588</v>
      </c>
      <c r="F815" t="s">
        <v>506</v>
      </c>
      <c r="G815" t="s">
        <v>507</v>
      </c>
      <c r="H815" t="s">
        <v>508</v>
      </c>
      <c r="I815" t="s">
        <v>509</v>
      </c>
      <c r="J815" t="s">
        <v>589</v>
      </c>
      <c r="K815" s="502">
        <v>12</v>
      </c>
      <c r="L815" t="s">
        <v>3029</v>
      </c>
    </row>
    <row r="816" spans="1:12">
      <c r="A816" t="s">
        <v>3145</v>
      </c>
      <c r="B816" t="s">
        <v>3367</v>
      </c>
      <c r="C816" s="60" t="str">
        <f t="shared" si="67"/>
        <v>E6010</v>
      </c>
      <c r="D816" t="s">
        <v>587</v>
      </c>
      <c r="E816" t="s">
        <v>588</v>
      </c>
      <c r="F816" t="s">
        <v>506</v>
      </c>
      <c r="G816" t="s">
        <v>507</v>
      </c>
      <c r="H816" t="s">
        <v>508</v>
      </c>
      <c r="I816" t="s">
        <v>509</v>
      </c>
      <c r="J816" t="s">
        <v>589</v>
      </c>
      <c r="K816" s="502">
        <v>12</v>
      </c>
      <c r="L816" t="s">
        <v>3029</v>
      </c>
    </row>
    <row r="817" spans="1:12">
      <c r="A817" t="s">
        <v>3145</v>
      </c>
      <c r="B817" t="s">
        <v>3356</v>
      </c>
      <c r="C817" s="3" t="s">
        <v>2074</v>
      </c>
      <c r="D817" t="s">
        <v>587</v>
      </c>
      <c r="E817" t="s">
        <v>588</v>
      </c>
      <c r="F817" t="s">
        <v>506</v>
      </c>
      <c r="G817" t="s">
        <v>507</v>
      </c>
      <c r="H817" t="s">
        <v>508</v>
      </c>
      <c r="I817" t="s">
        <v>509</v>
      </c>
      <c r="J817" t="s">
        <v>589</v>
      </c>
      <c r="K817" s="502">
        <v>5</v>
      </c>
      <c r="L817" t="s">
        <v>3027</v>
      </c>
    </row>
    <row r="818" spans="1:12">
      <c r="A818" t="s">
        <v>3145</v>
      </c>
      <c r="B818" t="s">
        <v>3357</v>
      </c>
      <c r="C818" s="60" t="str">
        <f>C817</f>
        <v>E6280</v>
      </c>
      <c r="D818" t="s">
        <v>587</v>
      </c>
      <c r="E818" t="s">
        <v>588</v>
      </c>
      <c r="F818" t="s">
        <v>506</v>
      </c>
      <c r="G818" t="s">
        <v>507</v>
      </c>
      <c r="H818" t="s">
        <v>508</v>
      </c>
      <c r="I818" t="s">
        <v>509</v>
      </c>
      <c r="J818" t="s">
        <v>589</v>
      </c>
      <c r="K818" s="502">
        <v>5</v>
      </c>
      <c r="L818" t="s">
        <v>3027</v>
      </c>
    </row>
    <row r="819" spans="1:12">
      <c r="A819" t="s">
        <v>3145</v>
      </c>
      <c r="B819" t="s">
        <v>3358</v>
      </c>
      <c r="C819" s="60" t="str">
        <f t="shared" ref="C819:C828" si="68">+C818</f>
        <v>E6280</v>
      </c>
      <c r="D819" t="s">
        <v>587</v>
      </c>
      <c r="E819" t="s">
        <v>588</v>
      </c>
      <c r="F819" t="s">
        <v>506</v>
      </c>
      <c r="G819" t="s">
        <v>507</v>
      </c>
      <c r="H819" t="s">
        <v>508</v>
      </c>
      <c r="I819" t="s">
        <v>509</v>
      </c>
      <c r="J819" t="s">
        <v>589</v>
      </c>
      <c r="K819" s="502">
        <v>5</v>
      </c>
      <c r="L819" t="s">
        <v>3027</v>
      </c>
    </row>
    <row r="820" spans="1:12">
      <c r="A820" t="s">
        <v>3145</v>
      </c>
      <c r="B820" t="s">
        <v>3359</v>
      </c>
      <c r="C820" s="60" t="str">
        <f t="shared" si="68"/>
        <v>E6280</v>
      </c>
      <c r="D820" t="s">
        <v>587</v>
      </c>
      <c r="E820" t="s">
        <v>588</v>
      </c>
      <c r="F820" t="s">
        <v>506</v>
      </c>
      <c r="G820" t="s">
        <v>507</v>
      </c>
      <c r="H820" t="s">
        <v>508</v>
      </c>
      <c r="I820" t="s">
        <v>509</v>
      </c>
      <c r="J820" t="s">
        <v>589</v>
      </c>
      <c r="K820" s="502">
        <v>5</v>
      </c>
      <c r="L820" t="s">
        <v>3027</v>
      </c>
    </row>
    <row r="821" spans="1:12">
      <c r="A821" t="s">
        <v>3145</v>
      </c>
      <c r="B821" t="s">
        <v>3360</v>
      </c>
      <c r="C821" s="60" t="str">
        <f t="shared" si="68"/>
        <v>E6280</v>
      </c>
      <c r="D821" t="s">
        <v>587</v>
      </c>
      <c r="E821" t="s">
        <v>588</v>
      </c>
      <c r="F821" t="s">
        <v>506</v>
      </c>
      <c r="G821" t="s">
        <v>507</v>
      </c>
      <c r="H821" t="s">
        <v>508</v>
      </c>
      <c r="I821" t="s">
        <v>509</v>
      </c>
      <c r="J821" t="s">
        <v>589</v>
      </c>
      <c r="K821" s="502">
        <v>5</v>
      </c>
      <c r="L821" t="s">
        <v>3027</v>
      </c>
    </row>
    <row r="822" spans="1:12">
      <c r="A822" t="s">
        <v>3145</v>
      </c>
      <c r="B822" t="s">
        <v>3361</v>
      </c>
      <c r="C822" s="60" t="str">
        <f t="shared" si="68"/>
        <v>E6280</v>
      </c>
      <c r="D822" t="s">
        <v>587</v>
      </c>
      <c r="E822" t="s">
        <v>588</v>
      </c>
      <c r="F822" t="s">
        <v>506</v>
      </c>
      <c r="G822" t="s">
        <v>507</v>
      </c>
      <c r="H822" t="s">
        <v>508</v>
      </c>
      <c r="I822" t="s">
        <v>509</v>
      </c>
      <c r="J822" t="s">
        <v>589</v>
      </c>
      <c r="K822" s="502">
        <v>5</v>
      </c>
      <c r="L822" t="s">
        <v>3027</v>
      </c>
    </row>
    <row r="823" spans="1:12">
      <c r="A823" t="s">
        <v>3145</v>
      </c>
      <c r="B823" t="s">
        <v>3362</v>
      </c>
      <c r="C823" s="60" t="str">
        <f t="shared" si="68"/>
        <v>E6280</v>
      </c>
      <c r="D823" t="s">
        <v>587</v>
      </c>
      <c r="E823" t="s">
        <v>588</v>
      </c>
      <c r="F823" t="s">
        <v>506</v>
      </c>
      <c r="G823" t="s">
        <v>507</v>
      </c>
      <c r="H823" t="s">
        <v>508</v>
      </c>
      <c r="I823" t="s">
        <v>509</v>
      </c>
      <c r="J823" t="s">
        <v>589</v>
      </c>
      <c r="K823" s="502">
        <v>5</v>
      </c>
      <c r="L823" t="s">
        <v>3027</v>
      </c>
    </row>
    <row r="824" spans="1:12">
      <c r="A824" t="s">
        <v>3145</v>
      </c>
      <c r="B824" t="s">
        <v>3363</v>
      </c>
      <c r="C824" s="60" t="str">
        <f t="shared" si="68"/>
        <v>E6280</v>
      </c>
      <c r="D824" t="s">
        <v>587</v>
      </c>
      <c r="E824" t="s">
        <v>588</v>
      </c>
      <c r="F824" t="s">
        <v>506</v>
      </c>
      <c r="G824" t="s">
        <v>507</v>
      </c>
      <c r="H824" t="s">
        <v>508</v>
      </c>
      <c r="I824" t="s">
        <v>509</v>
      </c>
      <c r="J824" t="s">
        <v>589</v>
      </c>
      <c r="K824" s="502">
        <v>5</v>
      </c>
      <c r="L824" t="s">
        <v>3027</v>
      </c>
    </row>
    <row r="825" spans="1:12">
      <c r="A825" t="s">
        <v>3145</v>
      </c>
      <c r="B825" t="s">
        <v>3364</v>
      </c>
      <c r="C825" s="60" t="str">
        <f t="shared" si="68"/>
        <v>E6280</v>
      </c>
      <c r="D825" t="s">
        <v>587</v>
      </c>
      <c r="E825" t="s">
        <v>588</v>
      </c>
      <c r="F825" t="s">
        <v>506</v>
      </c>
      <c r="G825" t="s">
        <v>507</v>
      </c>
      <c r="H825" t="s">
        <v>508</v>
      </c>
      <c r="I825" t="s">
        <v>509</v>
      </c>
      <c r="J825" t="s">
        <v>589</v>
      </c>
      <c r="K825" s="502">
        <v>5</v>
      </c>
      <c r="L825" t="s">
        <v>3027</v>
      </c>
    </row>
    <row r="826" spans="1:12">
      <c r="A826" t="s">
        <v>3145</v>
      </c>
      <c r="B826" t="s">
        <v>3365</v>
      </c>
      <c r="C826" s="60" t="str">
        <f t="shared" si="68"/>
        <v>E6280</v>
      </c>
      <c r="D826" t="s">
        <v>587</v>
      </c>
      <c r="E826" t="s">
        <v>588</v>
      </c>
      <c r="F826" t="s">
        <v>506</v>
      </c>
      <c r="G826" t="s">
        <v>507</v>
      </c>
      <c r="H826" t="s">
        <v>508</v>
      </c>
      <c r="I826" t="s">
        <v>509</v>
      </c>
      <c r="J826" t="s">
        <v>589</v>
      </c>
      <c r="K826" s="502">
        <v>5</v>
      </c>
      <c r="L826" t="s">
        <v>3027</v>
      </c>
    </row>
    <row r="827" spans="1:12">
      <c r="A827" t="s">
        <v>3145</v>
      </c>
      <c r="B827" t="s">
        <v>3366</v>
      </c>
      <c r="C827" s="60" t="str">
        <f t="shared" si="68"/>
        <v>E6280</v>
      </c>
      <c r="D827" t="s">
        <v>587</v>
      </c>
      <c r="E827" t="s">
        <v>588</v>
      </c>
      <c r="F827" t="s">
        <v>506</v>
      </c>
      <c r="G827" t="s">
        <v>507</v>
      </c>
      <c r="H827" t="s">
        <v>508</v>
      </c>
      <c r="I827" t="s">
        <v>509</v>
      </c>
      <c r="J827" t="s">
        <v>589</v>
      </c>
      <c r="K827" s="502">
        <v>5</v>
      </c>
      <c r="L827" t="s">
        <v>3027</v>
      </c>
    </row>
    <row r="828" spans="1:12">
      <c r="A828" t="s">
        <v>3145</v>
      </c>
      <c r="B828" t="s">
        <v>3367</v>
      </c>
      <c r="C828" s="60" t="str">
        <f t="shared" si="68"/>
        <v>E6280</v>
      </c>
      <c r="D828" t="s">
        <v>587</v>
      </c>
      <c r="E828" t="s">
        <v>588</v>
      </c>
      <c r="F828" t="s">
        <v>506</v>
      </c>
      <c r="G828" t="s">
        <v>507</v>
      </c>
      <c r="H828" t="s">
        <v>508</v>
      </c>
      <c r="I828" t="s">
        <v>509</v>
      </c>
      <c r="J828" t="s">
        <v>589</v>
      </c>
      <c r="K828" s="502">
        <v>5</v>
      </c>
      <c r="L828" t="s">
        <v>3027</v>
      </c>
    </row>
    <row r="829" spans="1:12">
      <c r="A829" t="s">
        <v>3145</v>
      </c>
      <c r="B829" t="s">
        <v>3356</v>
      </c>
      <c r="C829" s="3" t="s">
        <v>1833</v>
      </c>
      <c r="D829" t="s">
        <v>587</v>
      </c>
      <c r="E829" t="s">
        <v>588</v>
      </c>
      <c r="F829" t="s">
        <v>506</v>
      </c>
      <c r="G829" t="s">
        <v>507</v>
      </c>
      <c r="H829" t="s">
        <v>508</v>
      </c>
      <c r="I829" t="s">
        <v>509</v>
      </c>
      <c r="J829" t="s">
        <v>589</v>
      </c>
      <c r="K829" s="502">
        <v>5</v>
      </c>
      <c r="L829" t="s">
        <v>3030</v>
      </c>
    </row>
    <row r="830" spans="1:12">
      <c r="A830" t="s">
        <v>3145</v>
      </c>
      <c r="B830" t="s">
        <v>3357</v>
      </c>
      <c r="C830" s="60" t="str">
        <f>C829</f>
        <v>E5930</v>
      </c>
      <c r="D830" t="s">
        <v>587</v>
      </c>
      <c r="E830" t="s">
        <v>588</v>
      </c>
      <c r="F830" t="s">
        <v>506</v>
      </c>
      <c r="G830" t="s">
        <v>507</v>
      </c>
      <c r="H830" t="s">
        <v>508</v>
      </c>
      <c r="I830" t="s">
        <v>509</v>
      </c>
      <c r="J830" t="s">
        <v>589</v>
      </c>
      <c r="K830" s="502">
        <v>5</v>
      </c>
      <c r="L830" t="s">
        <v>3030</v>
      </c>
    </row>
    <row r="831" spans="1:12">
      <c r="A831" t="s">
        <v>3145</v>
      </c>
      <c r="B831" t="s">
        <v>3358</v>
      </c>
      <c r="C831" s="60" t="str">
        <f t="shared" ref="C831:C840" si="69">+C830</f>
        <v>E5930</v>
      </c>
      <c r="D831" t="s">
        <v>587</v>
      </c>
      <c r="E831" t="s">
        <v>588</v>
      </c>
      <c r="F831" t="s">
        <v>506</v>
      </c>
      <c r="G831" t="s">
        <v>507</v>
      </c>
      <c r="H831" t="s">
        <v>508</v>
      </c>
      <c r="I831" t="s">
        <v>509</v>
      </c>
      <c r="J831" t="s">
        <v>589</v>
      </c>
      <c r="K831" s="502">
        <v>5</v>
      </c>
      <c r="L831" t="s">
        <v>3030</v>
      </c>
    </row>
    <row r="832" spans="1:12">
      <c r="A832" t="s">
        <v>3145</v>
      </c>
      <c r="B832" t="s">
        <v>3359</v>
      </c>
      <c r="C832" s="60" t="str">
        <f t="shared" si="69"/>
        <v>E5930</v>
      </c>
      <c r="D832" t="s">
        <v>587</v>
      </c>
      <c r="E832" t="s">
        <v>588</v>
      </c>
      <c r="F832" t="s">
        <v>506</v>
      </c>
      <c r="G832" t="s">
        <v>507</v>
      </c>
      <c r="H832" t="s">
        <v>508</v>
      </c>
      <c r="I832" t="s">
        <v>509</v>
      </c>
      <c r="J832" t="s">
        <v>589</v>
      </c>
      <c r="K832" s="502">
        <v>5</v>
      </c>
      <c r="L832" t="s">
        <v>3030</v>
      </c>
    </row>
    <row r="833" spans="1:12">
      <c r="A833" t="s">
        <v>3145</v>
      </c>
      <c r="B833" t="s">
        <v>3360</v>
      </c>
      <c r="C833" s="60" t="str">
        <f t="shared" si="69"/>
        <v>E5930</v>
      </c>
      <c r="D833" t="s">
        <v>587</v>
      </c>
      <c r="E833" t="s">
        <v>588</v>
      </c>
      <c r="F833" t="s">
        <v>506</v>
      </c>
      <c r="G833" t="s">
        <v>507</v>
      </c>
      <c r="H833" t="s">
        <v>508</v>
      </c>
      <c r="I833" t="s">
        <v>509</v>
      </c>
      <c r="J833" t="s">
        <v>589</v>
      </c>
      <c r="K833" s="502">
        <v>5</v>
      </c>
      <c r="L833" t="s">
        <v>3030</v>
      </c>
    </row>
    <row r="834" spans="1:12">
      <c r="A834" t="s">
        <v>3145</v>
      </c>
      <c r="B834" t="s">
        <v>3361</v>
      </c>
      <c r="C834" s="60" t="str">
        <f t="shared" si="69"/>
        <v>E5930</v>
      </c>
      <c r="D834" t="s">
        <v>587</v>
      </c>
      <c r="E834" t="s">
        <v>588</v>
      </c>
      <c r="F834" t="s">
        <v>506</v>
      </c>
      <c r="G834" t="s">
        <v>507</v>
      </c>
      <c r="H834" t="s">
        <v>508</v>
      </c>
      <c r="I834" t="s">
        <v>509</v>
      </c>
      <c r="J834" t="s">
        <v>589</v>
      </c>
      <c r="K834" s="502">
        <v>5</v>
      </c>
      <c r="L834" t="s">
        <v>3030</v>
      </c>
    </row>
    <row r="835" spans="1:12">
      <c r="A835" t="s">
        <v>3145</v>
      </c>
      <c r="B835" t="s">
        <v>3362</v>
      </c>
      <c r="C835" s="60" t="str">
        <f t="shared" si="69"/>
        <v>E5930</v>
      </c>
      <c r="D835" t="s">
        <v>587</v>
      </c>
      <c r="E835" t="s">
        <v>588</v>
      </c>
      <c r="F835" t="s">
        <v>506</v>
      </c>
      <c r="G835" t="s">
        <v>507</v>
      </c>
      <c r="H835" t="s">
        <v>508</v>
      </c>
      <c r="I835" t="s">
        <v>509</v>
      </c>
      <c r="J835" t="s">
        <v>589</v>
      </c>
      <c r="K835" s="502">
        <v>5</v>
      </c>
      <c r="L835" t="s">
        <v>3030</v>
      </c>
    </row>
    <row r="836" spans="1:12">
      <c r="A836" t="s">
        <v>3145</v>
      </c>
      <c r="B836" t="s">
        <v>3363</v>
      </c>
      <c r="C836" s="60" t="str">
        <f t="shared" si="69"/>
        <v>E5930</v>
      </c>
      <c r="D836" t="s">
        <v>587</v>
      </c>
      <c r="E836" t="s">
        <v>588</v>
      </c>
      <c r="F836" t="s">
        <v>506</v>
      </c>
      <c r="G836" t="s">
        <v>507</v>
      </c>
      <c r="H836" t="s">
        <v>508</v>
      </c>
      <c r="I836" t="s">
        <v>509</v>
      </c>
      <c r="J836" t="s">
        <v>589</v>
      </c>
      <c r="K836" s="502">
        <v>5</v>
      </c>
      <c r="L836" t="s">
        <v>3030</v>
      </c>
    </row>
    <row r="837" spans="1:12">
      <c r="A837" t="s">
        <v>3145</v>
      </c>
      <c r="B837" t="s">
        <v>3364</v>
      </c>
      <c r="C837" s="60" t="str">
        <f t="shared" si="69"/>
        <v>E5930</v>
      </c>
      <c r="D837" t="s">
        <v>587</v>
      </c>
      <c r="E837" t="s">
        <v>588</v>
      </c>
      <c r="F837" t="s">
        <v>506</v>
      </c>
      <c r="G837" t="s">
        <v>507</v>
      </c>
      <c r="H837" t="s">
        <v>508</v>
      </c>
      <c r="I837" t="s">
        <v>509</v>
      </c>
      <c r="J837" t="s">
        <v>589</v>
      </c>
      <c r="K837" s="502">
        <v>5</v>
      </c>
      <c r="L837" t="s">
        <v>3030</v>
      </c>
    </row>
    <row r="838" spans="1:12">
      <c r="A838" t="s">
        <v>3145</v>
      </c>
      <c r="B838" t="s">
        <v>3365</v>
      </c>
      <c r="C838" s="60" t="str">
        <f t="shared" si="69"/>
        <v>E5930</v>
      </c>
      <c r="D838" t="s">
        <v>587</v>
      </c>
      <c r="E838" t="s">
        <v>588</v>
      </c>
      <c r="F838" t="s">
        <v>506</v>
      </c>
      <c r="G838" t="s">
        <v>507</v>
      </c>
      <c r="H838" t="s">
        <v>508</v>
      </c>
      <c r="I838" t="s">
        <v>509</v>
      </c>
      <c r="J838" t="s">
        <v>589</v>
      </c>
      <c r="K838" s="502">
        <v>5</v>
      </c>
      <c r="L838" t="s">
        <v>3030</v>
      </c>
    </row>
    <row r="839" spans="1:12">
      <c r="A839" t="s">
        <v>3145</v>
      </c>
      <c r="B839" t="s">
        <v>3366</v>
      </c>
      <c r="C839" s="60" t="str">
        <f t="shared" si="69"/>
        <v>E5930</v>
      </c>
      <c r="D839" t="s">
        <v>587</v>
      </c>
      <c r="E839" t="s">
        <v>588</v>
      </c>
      <c r="F839" t="s">
        <v>506</v>
      </c>
      <c r="G839" t="s">
        <v>507</v>
      </c>
      <c r="H839" t="s">
        <v>508</v>
      </c>
      <c r="I839" t="s">
        <v>509</v>
      </c>
      <c r="J839" t="s">
        <v>589</v>
      </c>
      <c r="K839" s="502">
        <v>5</v>
      </c>
      <c r="L839" t="s">
        <v>3030</v>
      </c>
    </row>
    <row r="840" spans="1:12">
      <c r="A840" t="s">
        <v>3145</v>
      </c>
      <c r="B840" t="s">
        <v>3367</v>
      </c>
      <c r="C840" s="60" t="str">
        <f t="shared" si="69"/>
        <v>E5930</v>
      </c>
      <c r="D840" t="s">
        <v>587</v>
      </c>
      <c r="E840" t="s">
        <v>588</v>
      </c>
      <c r="F840" t="s">
        <v>506</v>
      </c>
      <c r="G840" t="s">
        <v>507</v>
      </c>
      <c r="H840" t="s">
        <v>508</v>
      </c>
      <c r="I840" t="s">
        <v>509</v>
      </c>
      <c r="J840" t="s">
        <v>589</v>
      </c>
      <c r="K840" s="502">
        <v>5</v>
      </c>
      <c r="L840" t="s">
        <v>3030</v>
      </c>
    </row>
    <row r="841" spans="1:12">
      <c r="A841" t="s">
        <v>3145</v>
      </c>
      <c r="B841" t="s">
        <v>3356</v>
      </c>
      <c r="C841" s="3" t="s">
        <v>817</v>
      </c>
      <c r="D841" t="s">
        <v>587</v>
      </c>
      <c r="E841" t="s">
        <v>588</v>
      </c>
      <c r="F841" t="s">
        <v>506</v>
      </c>
      <c r="G841" t="s">
        <v>507</v>
      </c>
      <c r="H841" t="s">
        <v>508</v>
      </c>
      <c r="I841" t="s">
        <v>509</v>
      </c>
      <c r="J841" t="s">
        <v>589</v>
      </c>
      <c r="K841" s="502">
        <v>7</v>
      </c>
      <c r="L841" t="s">
        <v>818</v>
      </c>
    </row>
    <row r="842" spans="1:12">
      <c r="A842" t="s">
        <v>3145</v>
      </c>
      <c r="B842" t="s">
        <v>3357</v>
      </c>
      <c r="C842" s="60" t="str">
        <f>C841</f>
        <v>E5660</v>
      </c>
      <c r="D842" t="s">
        <v>587</v>
      </c>
      <c r="E842" t="s">
        <v>588</v>
      </c>
      <c r="F842" t="s">
        <v>506</v>
      </c>
      <c r="G842" t="s">
        <v>507</v>
      </c>
      <c r="H842" t="s">
        <v>508</v>
      </c>
      <c r="I842" t="s">
        <v>509</v>
      </c>
      <c r="J842" t="s">
        <v>589</v>
      </c>
      <c r="K842" s="502">
        <v>7</v>
      </c>
      <c r="L842" t="s">
        <v>818</v>
      </c>
    </row>
    <row r="843" spans="1:12">
      <c r="A843" t="s">
        <v>3145</v>
      </c>
      <c r="B843" t="s">
        <v>3358</v>
      </c>
      <c r="C843" s="60" t="str">
        <f t="shared" ref="C843:C852" si="70">+C842</f>
        <v>E5660</v>
      </c>
      <c r="D843" t="s">
        <v>587</v>
      </c>
      <c r="E843" t="s">
        <v>588</v>
      </c>
      <c r="F843" t="s">
        <v>506</v>
      </c>
      <c r="G843" t="s">
        <v>507</v>
      </c>
      <c r="H843" t="s">
        <v>508</v>
      </c>
      <c r="I843" t="s">
        <v>509</v>
      </c>
      <c r="J843" t="s">
        <v>589</v>
      </c>
      <c r="K843" s="502">
        <v>7</v>
      </c>
      <c r="L843" t="s">
        <v>818</v>
      </c>
    </row>
    <row r="844" spans="1:12">
      <c r="A844" t="s">
        <v>3145</v>
      </c>
      <c r="B844" t="s">
        <v>3359</v>
      </c>
      <c r="C844" s="60" t="str">
        <f t="shared" si="70"/>
        <v>E5660</v>
      </c>
      <c r="D844" t="s">
        <v>587</v>
      </c>
      <c r="E844" t="s">
        <v>588</v>
      </c>
      <c r="F844" t="s">
        <v>506</v>
      </c>
      <c r="G844" t="s">
        <v>507</v>
      </c>
      <c r="H844" t="s">
        <v>508</v>
      </c>
      <c r="I844" t="s">
        <v>509</v>
      </c>
      <c r="J844" t="s">
        <v>589</v>
      </c>
      <c r="K844" s="502">
        <v>7</v>
      </c>
      <c r="L844" t="s">
        <v>818</v>
      </c>
    </row>
    <row r="845" spans="1:12">
      <c r="A845" t="s">
        <v>3145</v>
      </c>
      <c r="B845" t="s">
        <v>3360</v>
      </c>
      <c r="C845" s="60" t="str">
        <f t="shared" si="70"/>
        <v>E5660</v>
      </c>
      <c r="D845" t="s">
        <v>587</v>
      </c>
      <c r="E845" t="s">
        <v>588</v>
      </c>
      <c r="F845" t="s">
        <v>506</v>
      </c>
      <c r="G845" t="s">
        <v>507</v>
      </c>
      <c r="H845" t="s">
        <v>508</v>
      </c>
      <c r="I845" t="s">
        <v>509</v>
      </c>
      <c r="J845" t="s">
        <v>589</v>
      </c>
      <c r="K845" s="502">
        <v>7</v>
      </c>
      <c r="L845" t="s">
        <v>818</v>
      </c>
    </row>
    <row r="846" spans="1:12">
      <c r="A846" t="s">
        <v>3145</v>
      </c>
      <c r="B846" t="s">
        <v>3361</v>
      </c>
      <c r="C846" s="60" t="str">
        <f t="shared" si="70"/>
        <v>E5660</v>
      </c>
      <c r="D846" t="s">
        <v>587</v>
      </c>
      <c r="E846" t="s">
        <v>588</v>
      </c>
      <c r="F846" t="s">
        <v>506</v>
      </c>
      <c r="G846" t="s">
        <v>507</v>
      </c>
      <c r="H846" t="s">
        <v>508</v>
      </c>
      <c r="I846" t="s">
        <v>509</v>
      </c>
      <c r="J846" t="s">
        <v>589</v>
      </c>
      <c r="K846" s="502">
        <v>7</v>
      </c>
      <c r="L846" t="s">
        <v>818</v>
      </c>
    </row>
    <row r="847" spans="1:12">
      <c r="A847" t="s">
        <v>3145</v>
      </c>
      <c r="B847" t="s">
        <v>3362</v>
      </c>
      <c r="C847" s="60" t="str">
        <f t="shared" si="70"/>
        <v>E5660</v>
      </c>
      <c r="D847" t="s">
        <v>587</v>
      </c>
      <c r="E847" t="s">
        <v>588</v>
      </c>
      <c r="F847" t="s">
        <v>506</v>
      </c>
      <c r="G847" t="s">
        <v>507</v>
      </c>
      <c r="H847" t="s">
        <v>508</v>
      </c>
      <c r="I847" t="s">
        <v>509</v>
      </c>
      <c r="J847" t="s">
        <v>589</v>
      </c>
      <c r="K847" s="502">
        <v>7</v>
      </c>
      <c r="L847" t="s">
        <v>818</v>
      </c>
    </row>
    <row r="848" spans="1:12">
      <c r="A848" t="s">
        <v>3145</v>
      </c>
      <c r="B848" t="s">
        <v>3363</v>
      </c>
      <c r="C848" s="60" t="str">
        <f t="shared" si="70"/>
        <v>E5660</v>
      </c>
      <c r="D848" t="s">
        <v>587</v>
      </c>
      <c r="E848" t="s">
        <v>588</v>
      </c>
      <c r="F848" t="s">
        <v>506</v>
      </c>
      <c r="G848" t="s">
        <v>507</v>
      </c>
      <c r="H848" t="s">
        <v>508</v>
      </c>
      <c r="I848" t="s">
        <v>509</v>
      </c>
      <c r="J848" t="s">
        <v>589</v>
      </c>
      <c r="K848" s="502">
        <v>7</v>
      </c>
      <c r="L848" t="s">
        <v>818</v>
      </c>
    </row>
    <row r="849" spans="1:12">
      <c r="A849" t="s">
        <v>3145</v>
      </c>
      <c r="B849" t="s">
        <v>3364</v>
      </c>
      <c r="C849" s="60" t="str">
        <f t="shared" si="70"/>
        <v>E5660</v>
      </c>
      <c r="D849" t="s">
        <v>587</v>
      </c>
      <c r="E849" t="s">
        <v>588</v>
      </c>
      <c r="F849" t="s">
        <v>506</v>
      </c>
      <c r="G849" t="s">
        <v>507</v>
      </c>
      <c r="H849" t="s">
        <v>508</v>
      </c>
      <c r="I849" t="s">
        <v>509</v>
      </c>
      <c r="J849" t="s">
        <v>589</v>
      </c>
      <c r="K849" s="502">
        <v>7</v>
      </c>
      <c r="L849" t="s">
        <v>818</v>
      </c>
    </row>
    <row r="850" spans="1:12">
      <c r="A850" t="s">
        <v>3145</v>
      </c>
      <c r="B850" t="s">
        <v>3365</v>
      </c>
      <c r="C850" s="60" t="str">
        <f t="shared" si="70"/>
        <v>E5660</v>
      </c>
      <c r="D850" t="s">
        <v>587</v>
      </c>
      <c r="E850" t="s">
        <v>588</v>
      </c>
      <c r="F850" t="s">
        <v>506</v>
      </c>
      <c r="G850" t="s">
        <v>507</v>
      </c>
      <c r="H850" t="s">
        <v>508</v>
      </c>
      <c r="I850" t="s">
        <v>509</v>
      </c>
      <c r="J850" t="s">
        <v>589</v>
      </c>
      <c r="K850" s="502">
        <v>7</v>
      </c>
      <c r="L850" t="s">
        <v>818</v>
      </c>
    </row>
    <row r="851" spans="1:12">
      <c r="A851" t="s">
        <v>3145</v>
      </c>
      <c r="B851" t="s">
        <v>3366</v>
      </c>
      <c r="C851" s="60" t="str">
        <f t="shared" si="70"/>
        <v>E5660</v>
      </c>
      <c r="D851" t="s">
        <v>587</v>
      </c>
      <c r="E851" t="s">
        <v>588</v>
      </c>
      <c r="F851" t="s">
        <v>506</v>
      </c>
      <c r="G851" t="s">
        <v>507</v>
      </c>
      <c r="H851" t="s">
        <v>508</v>
      </c>
      <c r="I851" t="s">
        <v>509</v>
      </c>
      <c r="J851" t="s">
        <v>589</v>
      </c>
      <c r="K851" s="502">
        <v>7</v>
      </c>
      <c r="L851" t="s">
        <v>818</v>
      </c>
    </row>
    <row r="852" spans="1:12">
      <c r="A852" t="s">
        <v>3145</v>
      </c>
      <c r="B852" t="s">
        <v>3367</v>
      </c>
      <c r="C852" s="60" t="str">
        <f t="shared" si="70"/>
        <v>E5660</v>
      </c>
      <c r="D852" t="s">
        <v>587</v>
      </c>
      <c r="E852" t="s">
        <v>588</v>
      </c>
      <c r="F852" t="s">
        <v>506</v>
      </c>
      <c r="G852" t="s">
        <v>507</v>
      </c>
      <c r="H852" t="s">
        <v>508</v>
      </c>
      <c r="I852" t="s">
        <v>509</v>
      </c>
      <c r="J852" t="s">
        <v>589</v>
      </c>
      <c r="K852" s="502">
        <v>7</v>
      </c>
      <c r="L852" t="s">
        <v>818</v>
      </c>
    </row>
    <row r="853" spans="1:12">
      <c r="A853" t="s">
        <v>3145</v>
      </c>
      <c r="B853" t="s">
        <v>3356</v>
      </c>
      <c r="C853" s="3" t="s">
        <v>1808</v>
      </c>
      <c r="D853" t="s">
        <v>587</v>
      </c>
      <c r="E853" t="s">
        <v>588</v>
      </c>
      <c r="F853" t="s">
        <v>506</v>
      </c>
      <c r="G853" t="s">
        <v>507</v>
      </c>
      <c r="H853" t="s">
        <v>508</v>
      </c>
      <c r="I853" t="s">
        <v>509</v>
      </c>
      <c r="J853" t="s">
        <v>589</v>
      </c>
      <c r="K853" s="502">
        <v>4</v>
      </c>
      <c r="L853" t="s">
        <v>3425</v>
      </c>
    </row>
    <row r="854" spans="1:12">
      <c r="A854" t="s">
        <v>3145</v>
      </c>
      <c r="B854" t="s">
        <v>3357</v>
      </c>
      <c r="C854" s="60" t="str">
        <f>C853</f>
        <v>E5880</v>
      </c>
      <c r="D854" t="s">
        <v>587</v>
      </c>
      <c r="E854" t="s">
        <v>588</v>
      </c>
      <c r="F854" t="s">
        <v>506</v>
      </c>
      <c r="G854" t="s">
        <v>507</v>
      </c>
      <c r="H854" t="s">
        <v>508</v>
      </c>
      <c r="I854" t="s">
        <v>509</v>
      </c>
      <c r="J854" t="s">
        <v>589</v>
      </c>
      <c r="K854" s="502">
        <v>4</v>
      </c>
      <c r="L854" t="s">
        <v>3425</v>
      </c>
    </row>
    <row r="855" spans="1:12">
      <c r="A855" t="s">
        <v>3145</v>
      </c>
      <c r="B855" t="s">
        <v>3358</v>
      </c>
      <c r="C855" s="60" t="str">
        <f t="shared" ref="C855:C864" si="71">+C854</f>
        <v>E5880</v>
      </c>
      <c r="D855" t="s">
        <v>587</v>
      </c>
      <c r="E855" t="s">
        <v>588</v>
      </c>
      <c r="F855" t="s">
        <v>506</v>
      </c>
      <c r="G855" t="s">
        <v>507</v>
      </c>
      <c r="H855" t="s">
        <v>508</v>
      </c>
      <c r="I855" t="s">
        <v>509</v>
      </c>
      <c r="J855" t="s">
        <v>589</v>
      </c>
      <c r="K855" s="502">
        <v>4</v>
      </c>
      <c r="L855" t="s">
        <v>3425</v>
      </c>
    </row>
    <row r="856" spans="1:12">
      <c r="A856" t="s">
        <v>3145</v>
      </c>
      <c r="B856" t="s">
        <v>3359</v>
      </c>
      <c r="C856" s="60" t="str">
        <f t="shared" si="71"/>
        <v>E5880</v>
      </c>
      <c r="D856" t="s">
        <v>587</v>
      </c>
      <c r="E856" t="s">
        <v>588</v>
      </c>
      <c r="F856" t="s">
        <v>506</v>
      </c>
      <c r="G856" t="s">
        <v>507</v>
      </c>
      <c r="H856" t="s">
        <v>508</v>
      </c>
      <c r="I856" t="s">
        <v>509</v>
      </c>
      <c r="J856" t="s">
        <v>589</v>
      </c>
      <c r="K856" s="502">
        <v>4</v>
      </c>
      <c r="L856" t="s">
        <v>3425</v>
      </c>
    </row>
    <row r="857" spans="1:12">
      <c r="A857" t="s">
        <v>3145</v>
      </c>
      <c r="B857" t="s">
        <v>3360</v>
      </c>
      <c r="C857" s="60" t="str">
        <f t="shared" si="71"/>
        <v>E5880</v>
      </c>
      <c r="D857" t="s">
        <v>587</v>
      </c>
      <c r="E857" t="s">
        <v>588</v>
      </c>
      <c r="F857" t="s">
        <v>506</v>
      </c>
      <c r="G857" t="s">
        <v>507</v>
      </c>
      <c r="H857" t="s">
        <v>508</v>
      </c>
      <c r="I857" t="s">
        <v>509</v>
      </c>
      <c r="J857" t="s">
        <v>589</v>
      </c>
      <c r="K857" s="502">
        <v>4</v>
      </c>
      <c r="L857" t="s">
        <v>3425</v>
      </c>
    </row>
    <row r="858" spans="1:12">
      <c r="A858" t="s">
        <v>3145</v>
      </c>
      <c r="B858" t="s">
        <v>3361</v>
      </c>
      <c r="C858" s="60" t="str">
        <f t="shared" si="71"/>
        <v>E5880</v>
      </c>
      <c r="D858" t="s">
        <v>587</v>
      </c>
      <c r="E858" t="s">
        <v>588</v>
      </c>
      <c r="F858" t="s">
        <v>506</v>
      </c>
      <c r="G858" t="s">
        <v>507</v>
      </c>
      <c r="H858" t="s">
        <v>508</v>
      </c>
      <c r="I858" t="s">
        <v>509</v>
      </c>
      <c r="J858" t="s">
        <v>589</v>
      </c>
      <c r="K858" s="502">
        <v>4</v>
      </c>
      <c r="L858" t="s">
        <v>3425</v>
      </c>
    </row>
    <row r="859" spans="1:12">
      <c r="A859" t="s">
        <v>3145</v>
      </c>
      <c r="B859" t="s">
        <v>3362</v>
      </c>
      <c r="C859" s="60" t="str">
        <f t="shared" si="71"/>
        <v>E5880</v>
      </c>
      <c r="D859" t="s">
        <v>587</v>
      </c>
      <c r="E859" t="s">
        <v>588</v>
      </c>
      <c r="F859" t="s">
        <v>506</v>
      </c>
      <c r="G859" t="s">
        <v>507</v>
      </c>
      <c r="H859" t="s">
        <v>508</v>
      </c>
      <c r="I859" t="s">
        <v>509</v>
      </c>
      <c r="J859" t="s">
        <v>589</v>
      </c>
      <c r="K859" s="502">
        <v>4</v>
      </c>
      <c r="L859" t="s">
        <v>3425</v>
      </c>
    </row>
    <row r="860" spans="1:12">
      <c r="A860" t="s">
        <v>3145</v>
      </c>
      <c r="B860" t="s">
        <v>3363</v>
      </c>
      <c r="C860" s="60" t="str">
        <f t="shared" si="71"/>
        <v>E5880</v>
      </c>
      <c r="D860" t="s">
        <v>587</v>
      </c>
      <c r="E860" t="s">
        <v>588</v>
      </c>
      <c r="F860" t="s">
        <v>506</v>
      </c>
      <c r="G860" t="s">
        <v>507</v>
      </c>
      <c r="H860" t="s">
        <v>508</v>
      </c>
      <c r="I860" t="s">
        <v>509</v>
      </c>
      <c r="J860" t="s">
        <v>589</v>
      </c>
      <c r="K860" s="502">
        <v>4</v>
      </c>
      <c r="L860" t="s">
        <v>3425</v>
      </c>
    </row>
    <row r="861" spans="1:12">
      <c r="A861" t="s">
        <v>3145</v>
      </c>
      <c r="B861" t="s">
        <v>3364</v>
      </c>
      <c r="C861" s="60" t="str">
        <f t="shared" si="71"/>
        <v>E5880</v>
      </c>
      <c r="D861" t="s">
        <v>587</v>
      </c>
      <c r="E861" t="s">
        <v>588</v>
      </c>
      <c r="F861" t="s">
        <v>506</v>
      </c>
      <c r="G861" t="s">
        <v>507</v>
      </c>
      <c r="H861" t="s">
        <v>508</v>
      </c>
      <c r="I861" t="s">
        <v>509</v>
      </c>
      <c r="J861" t="s">
        <v>589</v>
      </c>
      <c r="K861" s="502">
        <v>4</v>
      </c>
      <c r="L861" t="s">
        <v>3425</v>
      </c>
    </row>
    <row r="862" spans="1:12">
      <c r="A862" t="s">
        <v>3145</v>
      </c>
      <c r="B862" t="s">
        <v>3365</v>
      </c>
      <c r="C862" s="60" t="str">
        <f t="shared" si="71"/>
        <v>E5880</v>
      </c>
      <c r="D862" t="s">
        <v>587</v>
      </c>
      <c r="E862" t="s">
        <v>588</v>
      </c>
      <c r="F862" t="s">
        <v>506</v>
      </c>
      <c r="G862" t="s">
        <v>507</v>
      </c>
      <c r="H862" t="s">
        <v>508</v>
      </c>
      <c r="I862" t="s">
        <v>509</v>
      </c>
      <c r="J862" t="s">
        <v>589</v>
      </c>
      <c r="K862" s="502">
        <v>4</v>
      </c>
      <c r="L862" t="s">
        <v>3425</v>
      </c>
    </row>
    <row r="863" spans="1:12">
      <c r="A863" t="s">
        <v>3145</v>
      </c>
      <c r="B863" t="s">
        <v>3366</v>
      </c>
      <c r="C863" s="60" t="str">
        <f t="shared" si="71"/>
        <v>E5880</v>
      </c>
      <c r="D863" t="s">
        <v>587</v>
      </c>
      <c r="E863" t="s">
        <v>588</v>
      </c>
      <c r="F863" t="s">
        <v>506</v>
      </c>
      <c r="G863" t="s">
        <v>507</v>
      </c>
      <c r="H863" t="s">
        <v>508</v>
      </c>
      <c r="I863" t="s">
        <v>509</v>
      </c>
      <c r="J863" t="s">
        <v>589</v>
      </c>
      <c r="K863" s="502">
        <v>4</v>
      </c>
      <c r="L863" t="s">
        <v>3425</v>
      </c>
    </row>
    <row r="864" spans="1:12">
      <c r="A864" t="s">
        <v>3145</v>
      </c>
      <c r="B864" t="s">
        <v>3367</v>
      </c>
      <c r="C864" s="60" t="str">
        <f t="shared" si="71"/>
        <v>E5880</v>
      </c>
      <c r="D864" t="s">
        <v>587</v>
      </c>
      <c r="E864" t="s">
        <v>588</v>
      </c>
      <c r="F864" t="s">
        <v>506</v>
      </c>
      <c r="G864" t="s">
        <v>507</v>
      </c>
      <c r="H864" t="s">
        <v>508</v>
      </c>
      <c r="I864" t="s">
        <v>509</v>
      </c>
      <c r="J864" t="s">
        <v>589</v>
      </c>
      <c r="K864" s="502">
        <v>4</v>
      </c>
      <c r="L864" t="s">
        <v>3425</v>
      </c>
    </row>
    <row r="865" spans="1:12">
      <c r="A865" t="s">
        <v>3145</v>
      </c>
      <c r="B865" t="s">
        <v>3356</v>
      </c>
      <c r="C865" s="3" t="s">
        <v>2269</v>
      </c>
      <c r="D865" t="s">
        <v>587</v>
      </c>
      <c r="E865" t="s">
        <v>588</v>
      </c>
      <c r="F865" t="s">
        <v>506</v>
      </c>
      <c r="G865" t="s">
        <v>507</v>
      </c>
      <c r="H865" t="s">
        <v>508</v>
      </c>
      <c r="I865" t="s">
        <v>509</v>
      </c>
      <c r="J865" t="s">
        <v>589</v>
      </c>
      <c r="K865" s="503">
        <v>0</v>
      </c>
      <c r="L865" t="s">
        <v>3246</v>
      </c>
    </row>
    <row r="866" spans="1:12">
      <c r="A866" t="s">
        <v>3145</v>
      </c>
      <c r="B866" t="s">
        <v>3357</v>
      </c>
      <c r="C866" s="60" t="str">
        <f>C865</f>
        <v>E6040</v>
      </c>
      <c r="D866" t="s">
        <v>587</v>
      </c>
      <c r="E866" t="s">
        <v>588</v>
      </c>
      <c r="F866" t="s">
        <v>506</v>
      </c>
      <c r="G866" t="s">
        <v>507</v>
      </c>
      <c r="H866" t="s">
        <v>508</v>
      </c>
      <c r="I866" t="s">
        <v>509</v>
      </c>
      <c r="J866" t="s">
        <v>589</v>
      </c>
      <c r="K866" s="503">
        <v>0</v>
      </c>
      <c r="L866" t="s">
        <v>3246</v>
      </c>
    </row>
    <row r="867" spans="1:12">
      <c r="A867" t="s">
        <v>3145</v>
      </c>
      <c r="B867" t="s">
        <v>3358</v>
      </c>
      <c r="C867" s="60" t="str">
        <f t="shared" ref="C867:C876" si="72">+C866</f>
        <v>E6040</v>
      </c>
      <c r="D867" t="s">
        <v>587</v>
      </c>
      <c r="E867" t="s">
        <v>588</v>
      </c>
      <c r="F867" t="s">
        <v>506</v>
      </c>
      <c r="G867" t="s">
        <v>507</v>
      </c>
      <c r="H867" t="s">
        <v>508</v>
      </c>
      <c r="I867" t="s">
        <v>509</v>
      </c>
      <c r="J867" t="s">
        <v>589</v>
      </c>
      <c r="K867" s="503">
        <v>0</v>
      </c>
      <c r="L867" t="s">
        <v>3246</v>
      </c>
    </row>
    <row r="868" spans="1:12">
      <c r="A868" t="s">
        <v>3145</v>
      </c>
      <c r="B868" t="s">
        <v>3359</v>
      </c>
      <c r="C868" s="60" t="str">
        <f t="shared" si="72"/>
        <v>E6040</v>
      </c>
      <c r="D868" t="s">
        <v>587</v>
      </c>
      <c r="E868" t="s">
        <v>588</v>
      </c>
      <c r="F868" t="s">
        <v>506</v>
      </c>
      <c r="G868" t="s">
        <v>507</v>
      </c>
      <c r="H868" t="s">
        <v>508</v>
      </c>
      <c r="I868" t="s">
        <v>509</v>
      </c>
      <c r="J868" t="s">
        <v>589</v>
      </c>
      <c r="K868" s="503">
        <v>0</v>
      </c>
      <c r="L868" t="s">
        <v>3246</v>
      </c>
    </row>
    <row r="869" spans="1:12">
      <c r="A869" t="s">
        <v>3145</v>
      </c>
      <c r="B869" t="s">
        <v>3360</v>
      </c>
      <c r="C869" s="60" t="str">
        <f t="shared" si="72"/>
        <v>E6040</v>
      </c>
      <c r="D869" t="s">
        <v>587</v>
      </c>
      <c r="E869" t="s">
        <v>588</v>
      </c>
      <c r="F869" t="s">
        <v>506</v>
      </c>
      <c r="G869" t="s">
        <v>507</v>
      </c>
      <c r="H869" t="s">
        <v>508</v>
      </c>
      <c r="I869" t="s">
        <v>509</v>
      </c>
      <c r="J869" t="s">
        <v>589</v>
      </c>
      <c r="K869" s="503">
        <v>0</v>
      </c>
      <c r="L869" t="s">
        <v>3246</v>
      </c>
    </row>
    <row r="870" spans="1:12">
      <c r="A870" t="s">
        <v>3145</v>
      </c>
      <c r="B870" t="s">
        <v>3361</v>
      </c>
      <c r="C870" s="60" t="str">
        <f t="shared" si="72"/>
        <v>E6040</v>
      </c>
      <c r="D870" t="s">
        <v>587</v>
      </c>
      <c r="E870" t="s">
        <v>588</v>
      </c>
      <c r="F870" t="s">
        <v>506</v>
      </c>
      <c r="G870" t="s">
        <v>507</v>
      </c>
      <c r="H870" t="s">
        <v>508</v>
      </c>
      <c r="I870" t="s">
        <v>509</v>
      </c>
      <c r="J870" t="s">
        <v>589</v>
      </c>
      <c r="K870" s="503">
        <v>0</v>
      </c>
      <c r="L870" t="s">
        <v>3246</v>
      </c>
    </row>
    <row r="871" spans="1:12">
      <c r="A871" t="s">
        <v>3145</v>
      </c>
      <c r="B871" t="s">
        <v>3362</v>
      </c>
      <c r="C871" s="60" t="str">
        <f t="shared" si="72"/>
        <v>E6040</v>
      </c>
      <c r="D871" t="s">
        <v>587</v>
      </c>
      <c r="E871" t="s">
        <v>588</v>
      </c>
      <c r="F871" t="s">
        <v>506</v>
      </c>
      <c r="G871" t="s">
        <v>507</v>
      </c>
      <c r="H871" t="s">
        <v>508</v>
      </c>
      <c r="I871" t="s">
        <v>509</v>
      </c>
      <c r="J871" t="s">
        <v>589</v>
      </c>
      <c r="K871" s="503">
        <v>0</v>
      </c>
      <c r="L871" t="s">
        <v>3246</v>
      </c>
    </row>
    <row r="872" spans="1:12">
      <c r="A872" t="s">
        <v>3145</v>
      </c>
      <c r="B872" t="s">
        <v>3363</v>
      </c>
      <c r="C872" s="60" t="str">
        <f t="shared" si="72"/>
        <v>E6040</v>
      </c>
      <c r="D872" t="s">
        <v>587</v>
      </c>
      <c r="E872" t="s">
        <v>588</v>
      </c>
      <c r="F872" t="s">
        <v>506</v>
      </c>
      <c r="G872" t="s">
        <v>507</v>
      </c>
      <c r="H872" t="s">
        <v>508</v>
      </c>
      <c r="I872" t="s">
        <v>509</v>
      </c>
      <c r="J872" t="s">
        <v>589</v>
      </c>
      <c r="K872" s="503">
        <v>0</v>
      </c>
      <c r="L872" t="s">
        <v>3246</v>
      </c>
    </row>
    <row r="873" spans="1:12">
      <c r="A873" t="s">
        <v>3145</v>
      </c>
      <c r="B873" t="s">
        <v>3364</v>
      </c>
      <c r="C873" s="60" t="str">
        <f t="shared" si="72"/>
        <v>E6040</v>
      </c>
      <c r="D873" t="s">
        <v>587</v>
      </c>
      <c r="E873" t="s">
        <v>588</v>
      </c>
      <c r="F873" t="s">
        <v>506</v>
      </c>
      <c r="G873" t="s">
        <v>507</v>
      </c>
      <c r="H873" t="s">
        <v>508</v>
      </c>
      <c r="I873" t="s">
        <v>509</v>
      </c>
      <c r="J873" t="s">
        <v>589</v>
      </c>
      <c r="K873" s="503">
        <v>0</v>
      </c>
      <c r="L873" t="s">
        <v>3246</v>
      </c>
    </row>
    <row r="874" spans="1:12">
      <c r="A874" t="s">
        <v>3145</v>
      </c>
      <c r="B874" t="s">
        <v>3365</v>
      </c>
      <c r="C874" s="60" t="str">
        <f t="shared" si="72"/>
        <v>E6040</v>
      </c>
      <c r="D874" t="s">
        <v>587</v>
      </c>
      <c r="E874" t="s">
        <v>588</v>
      </c>
      <c r="F874" t="s">
        <v>506</v>
      </c>
      <c r="G874" t="s">
        <v>507</v>
      </c>
      <c r="H874" t="s">
        <v>508</v>
      </c>
      <c r="I874" t="s">
        <v>509</v>
      </c>
      <c r="J874" t="s">
        <v>589</v>
      </c>
      <c r="K874" s="503">
        <v>0</v>
      </c>
      <c r="L874" t="s">
        <v>3246</v>
      </c>
    </row>
    <row r="875" spans="1:12">
      <c r="A875" t="s">
        <v>3145</v>
      </c>
      <c r="B875" t="s">
        <v>3366</v>
      </c>
      <c r="C875" s="60" t="str">
        <f t="shared" si="72"/>
        <v>E6040</v>
      </c>
      <c r="D875" t="s">
        <v>587</v>
      </c>
      <c r="E875" t="s">
        <v>588</v>
      </c>
      <c r="F875" t="s">
        <v>506</v>
      </c>
      <c r="G875" t="s">
        <v>507</v>
      </c>
      <c r="H875" t="s">
        <v>508</v>
      </c>
      <c r="I875" t="s">
        <v>509</v>
      </c>
      <c r="J875" t="s">
        <v>589</v>
      </c>
      <c r="K875" s="503">
        <v>0</v>
      </c>
      <c r="L875" t="s">
        <v>3246</v>
      </c>
    </row>
    <row r="876" spans="1:12">
      <c r="A876" t="s">
        <v>3145</v>
      </c>
      <c r="B876" t="s">
        <v>3367</v>
      </c>
      <c r="C876" s="60" t="str">
        <f t="shared" si="72"/>
        <v>E6040</v>
      </c>
      <c r="D876" t="s">
        <v>587</v>
      </c>
      <c r="E876" t="s">
        <v>588</v>
      </c>
      <c r="F876" t="s">
        <v>506</v>
      </c>
      <c r="G876" t="s">
        <v>507</v>
      </c>
      <c r="H876" t="s">
        <v>508</v>
      </c>
      <c r="I876" t="s">
        <v>509</v>
      </c>
      <c r="J876" t="s">
        <v>589</v>
      </c>
      <c r="K876" s="503">
        <v>0</v>
      </c>
      <c r="L876" t="s">
        <v>3246</v>
      </c>
    </row>
    <row r="877" spans="1:12">
      <c r="A877" t="s">
        <v>3145</v>
      </c>
      <c r="B877" t="s">
        <v>3356</v>
      </c>
      <c r="C877" s="3" t="s">
        <v>2089</v>
      </c>
      <c r="D877" t="s">
        <v>587</v>
      </c>
      <c r="E877" t="s">
        <v>588</v>
      </c>
      <c r="F877" t="s">
        <v>506</v>
      </c>
      <c r="G877" t="s">
        <v>507</v>
      </c>
      <c r="H877" t="s">
        <v>508</v>
      </c>
      <c r="I877" t="s">
        <v>509</v>
      </c>
      <c r="J877" t="s">
        <v>589</v>
      </c>
      <c r="K877" s="502">
        <v>4</v>
      </c>
      <c r="L877" t="s">
        <v>3143</v>
      </c>
    </row>
    <row r="878" spans="1:12">
      <c r="A878" t="s">
        <v>3145</v>
      </c>
      <c r="B878" t="s">
        <v>3357</v>
      </c>
      <c r="C878" s="60" t="str">
        <f>C877</f>
        <v>E6310</v>
      </c>
      <c r="D878" t="s">
        <v>587</v>
      </c>
      <c r="E878" t="s">
        <v>588</v>
      </c>
      <c r="F878" t="s">
        <v>506</v>
      </c>
      <c r="G878" t="s">
        <v>507</v>
      </c>
      <c r="H878" t="s">
        <v>508</v>
      </c>
      <c r="I878" t="s">
        <v>509</v>
      </c>
      <c r="J878" t="s">
        <v>589</v>
      </c>
      <c r="K878" s="502">
        <v>4</v>
      </c>
      <c r="L878" t="s">
        <v>3143</v>
      </c>
    </row>
    <row r="879" spans="1:12">
      <c r="A879" t="s">
        <v>3145</v>
      </c>
      <c r="B879" t="s">
        <v>3358</v>
      </c>
      <c r="C879" s="60" t="str">
        <f t="shared" ref="C879:C888" si="73">+C878</f>
        <v>E6310</v>
      </c>
      <c r="D879" t="s">
        <v>587</v>
      </c>
      <c r="E879" t="s">
        <v>588</v>
      </c>
      <c r="F879" t="s">
        <v>506</v>
      </c>
      <c r="G879" t="s">
        <v>507</v>
      </c>
      <c r="H879" t="s">
        <v>508</v>
      </c>
      <c r="I879" t="s">
        <v>509</v>
      </c>
      <c r="J879" t="s">
        <v>589</v>
      </c>
      <c r="K879" s="502">
        <v>4</v>
      </c>
      <c r="L879" t="s">
        <v>3143</v>
      </c>
    </row>
    <row r="880" spans="1:12">
      <c r="A880" t="s">
        <v>3145</v>
      </c>
      <c r="B880" t="s">
        <v>3359</v>
      </c>
      <c r="C880" s="60" t="str">
        <f t="shared" si="73"/>
        <v>E6310</v>
      </c>
      <c r="D880" t="s">
        <v>587</v>
      </c>
      <c r="E880" t="s">
        <v>588</v>
      </c>
      <c r="F880" t="s">
        <v>506</v>
      </c>
      <c r="G880" t="s">
        <v>507</v>
      </c>
      <c r="H880" t="s">
        <v>508</v>
      </c>
      <c r="I880" t="s">
        <v>509</v>
      </c>
      <c r="J880" t="s">
        <v>589</v>
      </c>
      <c r="K880" s="502">
        <v>4</v>
      </c>
      <c r="L880" t="s">
        <v>3143</v>
      </c>
    </row>
    <row r="881" spans="1:12">
      <c r="A881" t="s">
        <v>3145</v>
      </c>
      <c r="B881" t="s">
        <v>3360</v>
      </c>
      <c r="C881" s="60" t="str">
        <f t="shared" si="73"/>
        <v>E6310</v>
      </c>
      <c r="D881" t="s">
        <v>587</v>
      </c>
      <c r="E881" t="s">
        <v>588</v>
      </c>
      <c r="F881" t="s">
        <v>506</v>
      </c>
      <c r="G881" t="s">
        <v>507</v>
      </c>
      <c r="H881" t="s">
        <v>508</v>
      </c>
      <c r="I881" t="s">
        <v>509</v>
      </c>
      <c r="J881" t="s">
        <v>589</v>
      </c>
      <c r="K881" s="502">
        <v>4</v>
      </c>
      <c r="L881" t="s">
        <v>3143</v>
      </c>
    </row>
    <row r="882" spans="1:12">
      <c r="A882" t="s">
        <v>3145</v>
      </c>
      <c r="B882" t="s">
        <v>3361</v>
      </c>
      <c r="C882" s="60" t="str">
        <f t="shared" si="73"/>
        <v>E6310</v>
      </c>
      <c r="D882" t="s">
        <v>587</v>
      </c>
      <c r="E882" t="s">
        <v>588</v>
      </c>
      <c r="F882" t="s">
        <v>506</v>
      </c>
      <c r="G882" t="s">
        <v>507</v>
      </c>
      <c r="H882" t="s">
        <v>508</v>
      </c>
      <c r="I882" t="s">
        <v>509</v>
      </c>
      <c r="J882" t="s">
        <v>589</v>
      </c>
      <c r="K882" s="502">
        <v>4</v>
      </c>
      <c r="L882" t="s">
        <v>3143</v>
      </c>
    </row>
    <row r="883" spans="1:12">
      <c r="A883" t="s">
        <v>3145</v>
      </c>
      <c r="B883" t="s">
        <v>3362</v>
      </c>
      <c r="C883" s="60" t="str">
        <f t="shared" si="73"/>
        <v>E6310</v>
      </c>
      <c r="D883" t="s">
        <v>587</v>
      </c>
      <c r="E883" t="s">
        <v>588</v>
      </c>
      <c r="F883" t="s">
        <v>506</v>
      </c>
      <c r="G883" t="s">
        <v>507</v>
      </c>
      <c r="H883" t="s">
        <v>508</v>
      </c>
      <c r="I883" t="s">
        <v>509</v>
      </c>
      <c r="J883" t="s">
        <v>589</v>
      </c>
      <c r="K883" s="502">
        <v>4</v>
      </c>
      <c r="L883" t="s">
        <v>3143</v>
      </c>
    </row>
    <row r="884" spans="1:12">
      <c r="A884" t="s">
        <v>3145</v>
      </c>
      <c r="B884" t="s">
        <v>3363</v>
      </c>
      <c r="C884" s="60" t="str">
        <f t="shared" si="73"/>
        <v>E6310</v>
      </c>
      <c r="D884" t="s">
        <v>587</v>
      </c>
      <c r="E884" t="s">
        <v>588</v>
      </c>
      <c r="F884" t="s">
        <v>506</v>
      </c>
      <c r="G884" t="s">
        <v>507</v>
      </c>
      <c r="H884" t="s">
        <v>508</v>
      </c>
      <c r="I884" t="s">
        <v>509</v>
      </c>
      <c r="J884" t="s">
        <v>589</v>
      </c>
      <c r="K884" s="502">
        <v>4</v>
      </c>
      <c r="L884" t="s">
        <v>3143</v>
      </c>
    </row>
    <row r="885" spans="1:12">
      <c r="A885" t="s">
        <v>3145</v>
      </c>
      <c r="B885" t="s">
        <v>3364</v>
      </c>
      <c r="C885" s="60" t="str">
        <f t="shared" si="73"/>
        <v>E6310</v>
      </c>
      <c r="D885" t="s">
        <v>587</v>
      </c>
      <c r="E885" t="s">
        <v>588</v>
      </c>
      <c r="F885" t="s">
        <v>506</v>
      </c>
      <c r="G885" t="s">
        <v>507</v>
      </c>
      <c r="H885" t="s">
        <v>508</v>
      </c>
      <c r="I885" t="s">
        <v>509</v>
      </c>
      <c r="J885" t="s">
        <v>589</v>
      </c>
      <c r="K885" s="502">
        <v>4</v>
      </c>
      <c r="L885" t="s">
        <v>3143</v>
      </c>
    </row>
    <row r="886" spans="1:12">
      <c r="A886" t="s">
        <v>3145</v>
      </c>
      <c r="B886" t="s">
        <v>3365</v>
      </c>
      <c r="C886" s="60" t="str">
        <f t="shared" si="73"/>
        <v>E6310</v>
      </c>
      <c r="D886" t="s">
        <v>587</v>
      </c>
      <c r="E886" t="s">
        <v>588</v>
      </c>
      <c r="F886" t="s">
        <v>506</v>
      </c>
      <c r="G886" t="s">
        <v>507</v>
      </c>
      <c r="H886" t="s">
        <v>508</v>
      </c>
      <c r="I886" t="s">
        <v>509</v>
      </c>
      <c r="J886" t="s">
        <v>589</v>
      </c>
      <c r="K886" s="502">
        <v>4</v>
      </c>
      <c r="L886" t="s">
        <v>3143</v>
      </c>
    </row>
    <row r="887" spans="1:12">
      <c r="A887" t="s">
        <v>3145</v>
      </c>
      <c r="B887" t="s">
        <v>3366</v>
      </c>
      <c r="C887" s="60" t="str">
        <f t="shared" si="73"/>
        <v>E6310</v>
      </c>
      <c r="D887" t="s">
        <v>587</v>
      </c>
      <c r="E887" t="s">
        <v>588</v>
      </c>
      <c r="F887" t="s">
        <v>506</v>
      </c>
      <c r="G887" t="s">
        <v>507</v>
      </c>
      <c r="H887" t="s">
        <v>508</v>
      </c>
      <c r="I887" t="s">
        <v>509</v>
      </c>
      <c r="J887" t="s">
        <v>589</v>
      </c>
      <c r="K887" s="502">
        <v>4</v>
      </c>
      <c r="L887" t="s">
        <v>3143</v>
      </c>
    </row>
    <row r="888" spans="1:12">
      <c r="A888" t="s">
        <v>3145</v>
      </c>
      <c r="B888" t="s">
        <v>3367</v>
      </c>
      <c r="C888" s="60" t="str">
        <f t="shared" si="73"/>
        <v>E6310</v>
      </c>
      <c r="D888" t="s">
        <v>587</v>
      </c>
      <c r="E888" t="s">
        <v>588</v>
      </c>
      <c r="F888" t="s">
        <v>506</v>
      </c>
      <c r="G888" t="s">
        <v>507</v>
      </c>
      <c r="H888" t="s">
        <v>508</v>
      </c>
      <c r="I888" t="s">
        <v>509</v>
      </c>
      <c r="J888" t="s">
        <v>589</v>
      </c>
      <c r="K888" s="502">
        <v>4</v>
      </c>
      <c r="L888" t="s">
        <v>3143</v>
      </c>
    </row>
    <row r="889" spans="1:12">
      <c r="A889" t="s">
        <v>3145</v>
      </c>
      <c r="B889" t="s">
        <v>3356</v>
      </c>
      <c r="C889" s="3" t="s">
        <v>3241</v>
      </c>
      <c r="D889" t="s">
        <v>587</v>
      </c>
      <c r="E889" t="s">
        <v>588</v>
      </c>
      <c r="F889" t="s">
        <v>506</v>
      </c>
      <c r="G889" t="s">
        <v>507</v>
      </c>
      <c r="H889" t="s">
        <v>508</v>
      </c>
      <c r="I889" t="s">
        <v>509</v>
      </c>
      <c r="J889" t="s">
        <v>589</v>
      </c>
      <c r="K889" s="503">
        <v>0</v>
      </c>
      <c r="L889" t="s">
        <v>3245</v>
      </c>
    </row>
    <row r="890" spans="1:12">
      <c r="A890" t="s">
        <v>3145</v>
      </c>
      <c r="B890" t="s">
        <v>3357</v>
      </c>
      <c r="C890" s="60" t="str">
        <f>C889</f>
        <v>E6720</v>
      </c>
      <c r="D890" t="s">
        <v>587</v>
      </c>
      <c r="E890" t="s">
        <v>588</v>
      </c>
      <c r="F890" t="s">
        <v>506</v>
      </c>
      <c r="G890" t="s">
        <v>507</v>
      </c>
      <c r="H890" t="s">
        <v>508</v>
      </c>
      <c r="I890" t="s">
        <v>509</v>
      </c>
      <c r="J890" t="s">
        <v>589</v>
      </c>
      <c r="K890" s="503">
        <v>0</v>
      </c>
      <c r="L890" t="s">
        <v>3245</v>
      </c>
    </row>
    <row r="891" spans="1:12">
      <c r="A891" t="s">
        <v>3145</v>
      </c>
      <c r="B891" t="s">
        <v>3358</v>
      </c>
      <c r="C891" s="60" t="str">
        <f t="shared" ref="C891:C900" si="74">+C890</f>
        <v>E6720</v>
      </c>
      <c r="D891" t="s">
        <v>587</v>
      </c>
      <c r="E891" t="s">
        <v>588</v>
      </c>
      <c r="F891" t="s">
        <v>506</v>
      </c>
      <c r="G891" t="s">
        <v>507</v>
      </c>
      <c r="H891" t="s">
        <v>508</v>
      </c>
      <c r="I891" t="s">
        <v>509</v>
      </c>
      <c r="J891" t="s">
        <v>589</v>
      </c>
      <c r="K891" s="503">
        <v>0</v>
      </c>
      <c r="L891" t="s">
        <v>3245</v>
      </c>
    </row>
    <row r="892" spans="1:12">
      <c r="A892" t="s">
        <v>3145</v>
      </c>
      <c r="B892" t="s">
        <v>3359</v>
      </c>
      <c r="C892" s="60" t="str">
        <f t="shared" si="74"/>
        <v>E6720</v>
      </c>
      <c r="D892" t="s">
        <v>587</v>
      </c>
      <c r="E892" t="s">
        <v>588</v>
      </c>
      <c r="F892" t="s">
        <v>506</v>
      </c>
      <c r="G892" t="s">
        <v>507</v>
      </c>
      <c r="H892" t="s">
        <v>508</v>
      </c>
      <c r="I892" t="s">
        <v>509</v>
      </c>
      <c r="J892" t="s">
        <v>589</v>
      </c>
      <c r="K892" s="503">
        <v>0</v>
      </c>
      <c r="L892" t="s">
        <v>3245</v>
      </c>
    </row>
    <row r="893" spans="1:12">
      <c r="A893" t="s">
        <v>3145</v>
      </c>
      <c r="B893" t="s">
        <v>3360</v>
      </c>
      <c r="C893" s="60" t="str">
        <f t="shared" si="74"/>
        <v>E6720</v>
      </c>
      <c r="D893" t="s">
        <v>587</v>
      </c>
      <c r="E893" t="s">
        <v>588</v>
      </c>
      <c r="F893" t="s">
        <v>506</v>
      </c>
      <c r="G893" t="s">
        <v>507</v>
      </c>
      <c r="H893" t="s">
        <v>508</v>
      </c>
      <c r="I893" t="s">
        <v>509</v>
      </c>
      <c r="J893" t="s">
        <v>589</v>
      </c>
      <c r="K893" s="503">
        <v>0</v>
      </c>
      <c r="L893" t="s">
        <v>3245</v>
      </c>
    </row>
    <row r="894" spans="1:12">
      <c r="A894" t="s">
        <v>3145</v>
      </c>
      <c r="B894" t="s">
        <v>3361</v>
      </c>
      <c r="C894" s="60" t="str">
        <f t="shared" si="74"/>
        <v>E6720</v>
      </c>
      <c r="D894" t="s">
        <v>587</v>
      </c>
      <c r="E894" t="s">
        <v>588</v>
      </c>
      <c r="F894" t="s">
        <v>506</v>
      </c>
      <c r="G894" t="s">
        <v>507</v>
      </c>
      <c r="H894" t="s">
        <v>508</v>
      </c>
      <c r="I894" t="s">
        <v>509</v>
      </c>
      <c r="J894" t="s">
        <v>589</v>
      </c>
      <c r="K894" s="503">
        <v>0</v>
      </c>
      <c r="L894" t="s">
        <v>3245</v>
      </c>
    </row>
    <row r="895" spans="1:12">
      <c r="A895" t="s">
        <v>3145</v>
      </c>
      <c r="B895" t="s">
        <v>3362</v>
      </c>
      <c r="C895" s="60" t="str">
        <f t="shared" si="74"/>
        <v>E6720</v>
      </c>
      <c r="D895" t="s">
        <v>587</v>
      </c>
      <c r="E895" t="s">
        <v>588</v>
      </c>
      <c r="F895" t="s">
        <v>506</v>
      </c>
      <c r="G895" t="s">
        <v>507</v>
      </c>
      <c r="H895" t="s">
        <v>508</v>
      </c>
      <c r="I895" t="s">
        <v>509</v>
      </c>
      <c r="J895" t="s">
        <v>589</v>
      </c>
      <c r="K895" s="503">
        <v>0</v>
      </c>
      <c r="L895" t="s">
        <v>3245</v>
      </c>
    </row>
    <row r="896" spans="1:12">
      <c r="A896" t="s">
        <v>3145</v>
      </c>
      <c r="B896" t="s">
        <v>3363</v>
      </c>
      <c r="C896" s="60" t="str">
        <f t="shared" si="74"/>
        <v>E6720</v>
      </c>
      <c r="D896" t="s">
        <v>587</v>
      </c>
      <c r="E896" t="s">
        <v>588</v>
      </c>
      <c r="F896" t="s">
        <v>506</v>
      </c>
      <c r="G896" t="s">
        <v>507</v>
      </c>
      <c r="H896" t="s">
        <v>508</v>
      </c>
      <c r="I896" t="s">
        <v>509</v>
      </c>
      <c r="J896" t="s">
        <v>589</v>
      </c>
      <c r="K896" s="503">
        <v>0</v>
      </c>
      <c r="L896" t="s">
        <v>3245</v>
      </c>
    </row>
    <row r="897" spans="1:12">
      <c r="A897" t="s">
        <v>3145</v>
      </c>
      <c r="B897" t="s">
        <v>3364</v>
      </c>
      <c r="C897" s="60" t="str">
        <f t="shared" si="74"/>
        <v>E6720</v>
      </c>
      <c r="D897" t="s">
        <v>587</v>
      </c>
      <c r="E897" t="s">
        <v>588</v>
      </c>
      <c r="F897" t="s">
        <v>506</v>
      </c>
      <c r="G897" t="s">
        <v>507</v>
      </c>
      <c r="H897" t="s">
        <v>508</v>
      </c>
      <c r="I897" t="s">
        <v>509</v>
      </c>
      <c r="J897" t="s">
        <v>589</v>
      </c>
      <c r="K897" s="503">
        <v>0</v>
      </c>
      <c r="L897" t="s">
        <v>3245</v>
      </c>
    </row>
    <row r="898" spans="1:12">
      <c r="A898" t="s">
        <v>3145</v>
      </c>
      <c r="B898" t="s">
        <v>3365</v>
      </c>
      <c r="C898" s="60" t="str">
        <f t="shared" si="74"/>
        <v>E6720</v>
      </c>
      <c r="D898" t="s">
        <v>587</v>
      </c>
      <c r="E898" t="s">
        <v>588</v>
      </c>
      <c r="F898" t="s">
        <v>506</v>
      </c>
      <c r="G898" t="s">
        <v>507</v>
      </c>
      <c r="H898" t="s">
        <v>508</v>
      </c>
      <c r="I898" t="s">
        <v>509</v>
      </c>
      <c r="J898" t="s">
        <v>589</v>
      </c>
      <c r="K898" s="503">
        <v>0</v>
      </c>
      <c r="L898" t="s">
        <v>3245</v>
      </c>
    </row>
    <row r="899" spans="1:12">
      <c r="A899" t="s">
        <v>3145</v>
      </c>
      <c r="B899" t="s">
        <v>3366</v>
      </c>
      <c r="C899" s="60" t="str">
        <f t="shared" si="74"/>
        <v>E6720</v>
      </c>
      <c r="D899" t="s">
        <v>587</v>
      </c>
      <c r="E899" t="s">
        <v>588</v>
      </c>
      <c r="F899" t="s">
        <v>506</v>
      </c>
      <c r="G899" t="s">
        <v>507</v>
      </c>
      <c r="H899" t="s">
        <v>508</v>
      </c>
      <c r="I899" t="s">
        <v>509</v>
      </c>
      <c r="J899" t="s">
        <v>589</v>
      </c>
      <c r="K899" s="503">
        <v>0</v>
      </c>
      <c r="L899" t="s">
        <v>3245</v>
      </c>
    </row>
    <row r="900" spans="1:12">
      <c r="A900" t="s">
        <v>3145</v>
      </c>
      <c r="B900" t="s">
        <v>3367</v>
      </c>
      <c r="C900" s="60" t="str">
        <f t="shared" si="74"/>
        <v>E6720</v>
      </c>
      <c r="D900" t="s">
        <v>587</v>
      </c>
      <c r="E900" t="s">
        <v>588</v>
      </c>
      <c r="F900" t="s">
        <v>506</v>
      </c>
      <c r="G900" t="s">
        <v>507</v>
      </c>
      <c r="H900" t="s">
        <v>508</v>
      </c>
      <c r="I900" t="s">
        <v>509</v>
      </c>
      <c r="J900" t="s">
        <v>589</v>
      </c>
      <c r="K900" s="503">
        <v>0</v>
      </c>
      <c r="L900" t="s">
        <v>3245</v>
      </c>
    </row>
    <row r="901" spans="1:12">
      <c r="A901" t="s">
        <v>3145</v>
      </c>
      <c r="B901" t="s">
        <v>3356</v>
      </c>
      <c r="C901" s="3" t="s">
        <v>1813</v>
      </c>
      <c r="D901" t="s">
        <v>587</v>
      </c>
      <c r="E901" t="s">
        <v>588</v>
      </c>
      <c r="F901" t="s">
        <v>506</v>
      </c>
      <c r="G901" t="s">
        <v>507</v>
      </c>
      <c r="H901" t="s">
        <v>508</v>
      </c>
      <c r="I901" t="s">
        <v>509</v>
      </c>
      <c r="J901" t="s">
        <v>589</v>
      </c>
      <c r="K901" s="575">
        <v>4</v>
      </c>
      <c r="L901" t="s">
        <v>3395</v>
      </c>
    </row>
    <row r="902" spans="1:12">
      <c r="A902" t="s">
        <v>3145</v>
      </c>
      <c r="B902" t="s">
        <v>3357</v>
      </c>
      <c r="C902" s="60" t="str">
        <f>C901</f>
        <v>E5890</v>
      </c>
      <c r="D902" t="s">
        <v>587</v>
      </c>
      <c r="E902" t="s">
        <v>588</v>
      </c>
      <c r="F902" t="s">
        <v>506</v>
      </c>
      <c r="G902" t="s">
        <v>507</v>
      </c>
      <c r="H902" t="s">
        <v>508</v>
      </c>
      <c r="I902" t="s">
        <v>509</v>
      </c>
      <c r="J902" t="s">
        <v>589</v>
      </c>
      <c r="K902" s="575">
        <f>K901</f>
        <v>4</v>
      </c>
      <c r="L902" t="s">
        <v>3395</v>
      </c>
    </row>
    <row r="903" spans="1:12">
      <c r="A903" t="s">
        <v>3145</v>
      </c>
      <c r="B903" t="s">
        <v>3358</v>
      </c>
      <c r="C903" s="60" t="str">
        <f t="shared" ref="C903:C912" si="75">+C902</f>
        <v>E5890</v>
      </c>
      <c r="D903" t="s">
        <v>587</v>
      </c>
      <c r="E903" t="s">
        <v>588</v>
      </c>
      <c r="F903" t="s">
        <v>506</v>
      </c>
      <c r="G903" t="s">
        <v>507</v>
      </c>
      <c r="H903" t="s">
        <v>508</v>
      </c>
      <c r="I903" t="s">
        <v>509</v>
      </c>
      <c r="J903" t="s">
        <v>589</v>
      </c>
      <c r="K903" s="575">
        <f t="shared" ref="K903:K912" si="76">K902</f>
        <v>4</v>
      </c>
      <c r="L903" t="s">
        <v>3395</v>
      </c>
    </row>
    <row r="904" spans="1:12">
      <c r="A904" t="s">
        <v>3145</v>
      </c>
      <c r="B904" t="s">
        <v>3359</v>
      </c>
      <c r="C904" s="60" t="str">
        <f t="shared" si="75"/>
        <v>E5890</v>
      </c>
      <c r="D904" t="s">
        <v>587</v>
      </c>
      <c r="E904" t="s">
        <v>588</v>
      </c>
      <c r="F904" t="s">
        <v>506</v>
      </c>
      <c r="G904" t="s">
        <v>507</v>
      </c>
      <c r="H904" t="s">
        <v>508</v>
      </c>
      <c r="I904" t="s">
        <v>509</v>
      </c>
      <c r="J904" t="s">
        <v>589</v>
      </c>
      <c r="K904" s="575">
        <f t="shared" si="76"/>
        <v>4</v>
      </c>
      <c r="L904" t="s">
        <v>3395</v>
      </c>
    </row>
    <row r="905" spans="1:12">
      <c r="A905" t="s">
        <v>3145</v>
      </c>
      <c r="B905" t="s">
        <v>3360</v>
      </c>
      <c r="C905" s="60" t="str">
        <f t="shared" si="75"/>
        <v>E5890</v>
      </c>
      <c r="D905" t="s">
        <v>587</v>
      </c>
      <c r="E905" t="s">
        <v>588</v>
      </c>
      <c r="F905" t="s">
        <v>506</v>
      </c>
      <c r="G905" t="s">
        <v>507</v>
      </c>
      <c r="H905" t="s">
        <v>508</v>
      </c>
      <c r="I905" t="s">
        <v>509</v>
      </c>
      <c r="J905" t="s">
        <v>589</v>
      </c>
      <c r="K905" s="575">
        <f t="shared" si="76"/>
        <v>4</v>
      </c>
      <c r="L905" t="s">
        <v>3395</v>
      </c>
    </row>
    <row r="906" spans="1:12">
      <c r="A906" t="s">
        <v>3145</v>
      </c>
      <c r="B906" t="s">
        <v>3361</v>
      </c>
      <c r="C906" s="60" t="str">
        <f t="shared" si="75"/>
        <v>E5890</v>
      </c>
      <c r="D906" t="s">
        <v>587</v>
      </c>
      <c r="E906" t="s">
        <v>588</v>
      </c>
      <c r="F906" t="s">
        <v>506</v>
      </c>
      <c r="G906" t="s">
        <v>507</v>
      </c>
      <c r="H906" t="s">
        <v>508</v>
      </c>
      <c r="I906" t="s">
        <v>509</v>
      </c>
      <c r="J906" t="s">
        <v>589</v>
      </c>
      <c r="K906" s="575">
        <f t="shared" si="76"/>
        <v>4</v>
      </c>
      <c r="L906" t="s">
        <v>3395</v>
      </c>
    </row>
    <row r="907" spans="1:12">
      <c r="A907" t="s">
        <v>3145</v>
      </c>
      <c r="B907" t="s">
        <v>3362</v>
      </c>
      <c r="C907" s="60" t="str">
        <f t="shared" si="75"/>
        <v>E5890</v>
      </c>
      <c r="D907" t="s">
        <v>587</v>
      </c>
      <c r="E907" t="s">
        <v>588</v>
      </c>
      <c r="F907" t="s">
        <v>506</v>
      </c>
      <c r="G907" t="s">
        <v>507</v>
      </c>
      <c r="H907" t="s">
        <v>508</v>
      </c>
      <c r="I907" t="s">
        <v>509</v>
      </c>
      <c r="J907" t="s">
        <v>589</v>
      </c>
      <c r="K907" s="575">
        <f t="shared" si="76"/>
        <v>4</v>
      </c>
      <c r="L907" t="s">
        <v>3395</v>
      </c>
    </row>
    <row r="908" spans="1:12">
      <c r="A908" t="s">
        <v>3145</v>
      </c>
      <c r="B908" t="s">
        <v>3363</v>
      </c>
      <c r="C908" s="60" t="str">
        <f t="shared" si="75"/>
        <v>E5890</v>
      </c>
      <c r="D908" t="s">
        <v>587</v>
      </c>
      <c r="E908" t="s">
        <v>588</v>
      </c>
      <c r="F908" t="s">
        <v>506</v>
      </c>
      <c r="G908" t="s">
        <v>507</v>
      </c>
      <c r="H908" t="s">
        <v>508</v>
      </c>
      <c r="I908" t="s">
        <v>509</v>
      </c>
      <c r="J908" t="s">
        <v>589</v>
      </c>
      <c r="K908" s="575">
        <f t="shared" si="76"/>
        <v>4</v>
      </c>
      <c r="L908" t="s">
        <v>3395</v>
      </c>
    </row>
    <row r="909" spans="1:12">
      <c r="A909" t="s">
        <v>3145</v>
      </c>
      <c r="B909" t="s">
        <v>3364</v>
      </c>
      <c r="C909" s="60" t="str">
        <f t="shared" si="75"/>
        <v>E5890</v>
      </c>
      <c r="D909" t="s">
        <v>587</v>
      </c>
      <c r="E909" t="s">
        <v>588</v>
      </c>
      <c r="F909" t="s">
        <v>506</v>
      </c>
      <c r="G909" t="s">
        <v>507</v>
      </c>
      <c r="H909" t="s">
        <v>508</v>
      </c>
      <c r="I909" t="s">
        <v>509</v>
      </c>
      <c r="J909" t="s">
        <v>589</v>
      </c>
      <c r="K909" s="575">
        <f t="shared" si="76"/>
        <v>4</v>
      </c>
      <c r="L909" t="s">
        <v>3395</v>
      </c>
    </row>
    <row r="910" spans="1:12">
      <c r="A910" t="s">
        <v>3145</v>
      </c>
      <c r="B910" t="s">
        <v>3365</v>
      </c>
      <c r="C910" s="60" t="str">
        <f t="shared" si="75"/>
        <v>E5890</v>
      </c>
      <c r="D910" t="s">
        <v>587</v>
      </c>
      <c r="E910" t="s">
        <v>588</v>
      </c>
      <c r="F910" t="s">
        <v>506</v>
      </c>
      <c r="G910" t="s">
        <v>507</v>
      </c>
      <c r="H910" t="s">
        <v>508</v>
      </c>
      <c r="I910" t="s">
        <v>509</v>
      </c>
      <c r="J910" t="s">
        <v>589</v>
      </c>
      <c r="K910" s="575">
        <f t="shared" si="76"/>
        <v>4</v>
      </c>
      <c r="L910" t="s">
        <v>3395</v>
      </c>
    </row>
    <row r="911" spans="1:12">
      <c r="A911" t="s">
        <v>3145</v>
      </c>
      <c r="B911" t="s">
        <v>3366</v>
      </c>
      <c r="C911" s="60" t="str">
        <f t="shared" si="75"/>
        <v>E5890</v>
      </c>
      <c r="D911" t="s">
        <v>587</v>
      </c>
      <c r="E911" t="s">
        <v>588</v>
      </c>
      <c r="F911" t="s">
        <v>506</v>
      </c>
      <c r="G911" t="s">
        <v>507</v>
      </c>
      <c r="H911" t="s">
        <v>508</v>
      </c>
      <c r="I911" t="s">
        <v>509</v>
      </c>
      <c r="J911" t="s">
        <v>589</v>
      </c>
      <c r="K911" s="575">
        <f t="shared" si="76"/>
        <v>4</v>
      </c>
      <c r="L911" t="s">
        <v>3395</v>
      </c>
    </row>
    <row r="912" spans="1:12">
      <c r="A912" t="s">
        <v>3145</v>
      </c>
      <c r="B912" t="s">
        <v>3367</v>
      </c>
      <c r="C912" s="60" t="str">
        <f t="shared" si="75"/>
        <v>E5890</v>
      </c>
      <c r="D912" t="s">
        <v>587</v>
      </c>
      <c r="E912" t="s">
        <v>588</v>
      </c>
      <c r="F912" t="s">
        <v>506</v>
      </c>
      <c r="G912" t="s">
        <v>507</v>
      </c>
      <c r="H912" t="s">
        <v>508</v>
      </c>
      <c r="I912" t="s">
        <v>509</v>
      </c>
      <c r="J912" t="s">
        <v>589</v>
      </c>
      <c r="K912" s="575">
        <f t="shared" si="76"/>
        <v>4</v>
      </c>
      <c r="L912" t="s">
        <v>3395</v>
      </c>
    </row>
    <row r="913" spans="1:13">
      <c r="A913" t="s">
        <v>3145</v>
      </c>
      <c r="B913" t="s">
        <v>3356</v>
      </c>
      <c r="C913" s="3" t="s">
        <v>3400</v>
      </c>
      <c r="D913" t="s">
        <v>587</v>
      </c>
      <c r="E913" t="s">
        <v>588</v>
      </c>
      <c r="F913" t="s">
        <v>506</v>
      </c>
      <c r="G913" t="s">
        <v>507</v>
      </c>
      <c r="H913" t="s">
        <v>508</v>
      </c>
      <c r="I913" t="s">
        <v>509</v>
      </c>
      <c r="J913" t="s">
        <v>589</v>
      </c>
      <c r="K913" s="575">
        <v>0</v>
      </c>
      <c r="L913" t="s">
        <v>3427</v>
      </c>
      <c r="M913" t="s">
        <v>3442</v>
      </c>
    </row>
    <row r="914" spans="1:13">
      <c r="A914" t="s">
        <v>3145</v>
      </c>
      <c r="B914" t="s">
        <v>3357</v>
      </c>
      <c r="C914" s="60" t="str">
        <f>C913</f>
        <v>E6730</v>
      </c>
      <c r="D914" t="s">
        <v>587</v>
      </c>
      <c r="E914" t="s">
        <v>588</v>
      </c>
      <c r="F914" t="s">
        <v>506</v>
      </c>
      <c r="G914" t="s">
        <v>507</v>
      </c>
      <c r="H914" t="s">
        <v>508</v>
      </c>
      <c r="I914" t="s">
        <v>509</v>
      </c>
      <c r="J914" t="s">
        <v>589</v>
      </c>
      <c r="K914" s="575">
        <v>0</v>
      </c>
      <c r="L914" t="s">
        <v>3427</v>
      </c>
      <c r="M914" t="s">
        <v>3442</v>
      </c>
    </row>
    <row r="915" spans="1:13">
      <c r="A915" t="s">
        <v>3145</v>
      </c>
      <c r="B915" t="s">
        <v>3358</v>
      </c>
      <c r="C915" s="60" t="str">
        <f t="shared" ref="C915:C924" si="77">+C914</f>
        <v>E6730</v>
      </c>
      <c r="D915" t="s">
        <v>587</v>
      </c>
      <c r="E915" t="s">
        <v>588</v>
      </c>
      <c r="F915" t="s">
        <v>506</v>
      </c>
      <c r="G915" t="s">
        <v>507</v>
      </c>
      <c r="H915" t="s">
        <v>508</v>
      </c>
      <c r="I915" t="s">
        <v>509</v>
      </c>
      <c r="J915" t="s">
        <v>589</v>
      </c>
      <c r="K915" s="575">
        <v>0</v>
      </c>
      <c r="L915" t="s">
        <v>3427</v>
      </c>
      <c r="M915" t="s">
        <v>3442</v>
      </c>
    </row>
    <row r="916" spans="1:13">
      <c r="A916" t="s">
        <v>3145</v>
      </c>
      <c r="B916" t="s">
        <v>3359</v>
      </c>
      <c r="C916" s="60" t="str">
        <f t="shared" si="77"/>
        <v>E6730</v>
      </c>
      <c r="D916" t="s">
        <v>587</v>
      </c>
      <c r="E916" t="s">
        <v>588</v>
      </c>
      <c r="F916" t="s">
        <v>506</v>
      </c>
      <c r="G916" t="s">
        <v>507</v>
      </c>
      <c r="H916" t="s">
        <v>508</v>
      </c>
      <c r="I916" t="s">
        <v>509</v>
      </c>
      <c r="J916" t="s">
        <v>589</v>
      </c>
      <c r="K916" s="575">
        <v>0</v>
      </c>
      <c r="L916" t="s">
        <v>3427</v>
      </c>
      <c r="M916" t="s">
        <v>3442</v>
      </c>
    </row>
    <row r="917" spans="1:13">
      <c r="A917" t="s">
        <v>3145</v>
      </c>
      <c r="B917" t="s">
        <v>3360</v>
      </c>
      <c r="C917" s="60" t="str">
        <f t="shared" si="77"/>
        <v>E6730</v>
      </c>
      <c r="D917" t="s">
        <v>587</v>
      </c>
      <c r="E917" t="s">
        <v>588</v>
      </c>
      <c r="F917" t="s">
        <v>506</v>
      </c>
      <c r="G917" t="s">
        <v>507</v>
      </c>
      <c r="H917" t="s">
        <v>508</v>
      </c>
      <c r="I917" t="s">
        <v>509</v>
      </c>
      <c r="J917" t="s">
        <v>589</v>
      </c>
      <c r="K917" s="575">
        <v>0</v>
      </c>
      <c r="L917" t="s">
        <v>3427</v>
      </c>
      <c r="M917" t="s">
        <v>3442</v>
      </c>
    </row>
    <row r="918" spans="1:13">
      <c r="A918" t="s">
        <v>3145</v>
      </c>
      <c r="B918" t="s">
        <v>3361</v>
      </c>
      <c r="C918" s="60" t="str">
        <f t="shared" si="77"/>
        <v>E6730</v>
      </c>
      <c r="D918" t="s">
        <v>587</v>
      </c>
      <c r="E918" t="s">
        <v>588</v>
      </c>
      <c r="F918" t="s">
        <v>506</v>
      </c>
      <c r="G918" t="s">
        <v>507</v>
      </c>
      <c r="H918" t="s">
        <v>508</v>
      </c>
      <c r="I918" t="s">
        <v>509</v>
      </c>
      <c r="J918" t="s">
        <v>589</v>
      </c>
      <c r="K918" s="575">
        <f t="shared" ref="K918:K924" si="78">K917</f>
        <v>0</v>
      </c>
      <c r="L918" t="s">
        <v>3427</v>
      </c>
      <c r="M918" t="s">
        <v>3442</v>
      </c>
    </row>
    <row r="919" spans="1:13">
      <c r="A919" t="s">
        <v>3145</v>
      </c>
      <c r="B919" t="s">
        <v>3362</v>
      </c>
      <c r="C919" s="60" t="str">
        <f t="shared" si="77"/>
        <v>E6730</v>
      </c>
      <c r="D919" t="s">
        <v>587</v>
      </c>
      <c r="E919" t="s">
        <v>588</v>
      </c>
      <c r="F919" t="s">
        <v>506</v>
      </c>
      <c r="G919" t="s">
        <v>507</v>
      </c>
      <c r="H919" t="s">
        <v>508</v>
      </c>
      <c r="I919" t="s">
        <v>509</v>
      </c>
      <c r="J919" t="s">
        <v>589</v>
      </c>
      <c r="K919" s="575">
        <f t="shared" si="78"/>
        <v>0</v>
      </c>
      <c r="L919" t="s">
        <v>3427</v>
      </c>
      <c r="M919" t="s">
        <v>3442</v>
      </c>
    </row>
    <row r="920" spans="1:13">
      <c r="A920" t="s">
        <v>3145</v>
      </c>
      <c r="B920" t="s">
        <v>3363</v>
      </c>
      <c r="C920" s="60" t="str">
        <f t="shared" si="77"/>
        <v>E6730</v>
      </c>
      <c r="D920" t="s">
        <v>587</v>
      </c>
      <c r="E920" t="s">
        <v>588</v>
      </c>
      <c r="F920" t="s">
        <v>506</v>
      </c>
      <c r="G920" t="s">
        <v>507</v>
      </c>
      <c r="H920" t="s">
        <v>508</v>
      </c>
      <c r="I920" t="s">
        <v>509</v>
      </c>
      <c r="J920" t="s">
        <v>589</v>
      </c>
      <c r="K920" s="575">
        <v>6</v>
      </c>
      <c r="L920" t="s">
        <v>3427</v>
      </c>
    </row>
    <row r="921" spans="1:13">
      <c r="A921" t="s">
        <v>3145</v>
      </c>
      <c r="B921" t="s">
        <v>3364</v>
      </c>
      <c r="C921" s="60" t="str">
        <f t="shared" si="77"/>
        <v>E6730</v>
      </c>
      <c r="D921" t="s">
        <v>587</v>
      </c>
      <c r="E921" t="s">
        <v>588</v>
      </c>
      <c r="F921" t="s">
        <v>506</v>
      </c>
      <c r="G921" t="s">
        <v>507</v>
      </c>
      <c r="H921" t="s">
        <v>508</v>
      </c>
      <c r="I921" t="s">
        <v>509</v>
      </c>
      <c r="J921" t="s">
        <v>589</v>
      </c>
      <c r="K921" s="575">
        <f t="shared" si="78"/>
        <v>6</v>
      </c>
      <c r="L921" t="s">
        <v>3427</v>
      </c>
    </row>
    <row r="922" spans="1:13">
      <c r="A922" t="s">
        <v>3145</v>
      </c>
      <c r="B922" t="s">
        <v>3365</v>
      </c>
      <c r="C922" s="60" t="str">
        <f t="shared" si="77"/>
        <v>E6730</v>
      </c>
      <c r="D922" t="s">
        <v>587</v>
      </c>
      <c r="E922" t="s">
        <v>588</v>
      </c>
      <c r="F922" t="s">
        <v>506</v>
      </c>
      <c r="G922" t="s">
        <v>507</v>
      </c>
      <c r="H922" t="s">
        <v>508</v>
      </c>
      <c r="I922" t="s">
        <v>509</v>
      </c>
      <c r="J922" t="s">
        <v>589</v>
      </c>
      <c r="K922" s="575">
        <f t="shared" si="78"/>
        <v>6</v>
      </c>
      <c r="L922" t="s">
        <v>3427</v>
      </c>
    </row>
    <row r="923" spans="1:13">
      <c r="A923" t="s">
        <v>3145</v>
      </c>
      <c r="B923" t="s">
        <v>3366</v>
      </c>
      <c r="C923" s="60" t="str">
        <f t="shared" si="77"/>
        <v>E6730</v>
      </c>
      <c r="D923" t="s">
        <v>587</v>
      </c>
      <c r="E923" t="s">
        <v>588</v>
      </c>
      <c r="F923" t="s">
        <v>506</v>
      </c>
      <c r="G923" t="s">
        <v>507</v>
      </c>
      <c r="H923" t="s">
        <v>508</v>
      </c>
      <c r="I923" t="s">
        <v>509</v>
      </c>
      <c r="J923" t="s">
        <v>589</v>
      </c>
      <c r="K923" s="575">
        <f t="shared" si="78"/>
        <v>6</v>
      </c>
      <c r="L923" t="s">
        <v>3427</v>
      </c>
    </row>
    <row r="924" spans="1:13">
      <c r="A924" t="s">
        <v>3145</v>
      </c>
      <c r="B924" t="s">
        <v>3367</v>
      </c>
      <c r="C924" s="60" t="str">
        <f t="shared" si="77"/>
        <v>E6730</v>
      </c>
      <c r="D924" t="s">
        <v>587</v>
      </c>
      <c r="E924" t="s">
        <v>588</v>
      </c>
      <c r="F924" t="s">
        <v>506</v>
      </c>
      <c r="G924" t="s">
        <v>507</v>
      </c>
      <c r="H924" t="s">
        <v>508</v>
      </c>
      <c r="I924" t="s">
        <v>509</v>
      </c>
      <c r="J924" t="s">
        <v>589</v>
      </c>
      <c r="K924" s="575">
        <f t="shared" si="78"/>
        <v>6</v>
      </c>
      <c r="L924" t="s">
        <v>3427</v>
      </c>
    </row>
    <row r="925" spans="1:13">
      <c r="A925" t="s">
        <v>3145</v>
      </c>
      <c r="B925" t="s">
        <v>3356</v>
      </c>
      <c r="C925" s="3" t="s">
        <v>3401</v>
      </c>
      <c r="D925" t="s">
        <v>587</v>
      </c>
      <c r="E925" t="s">
        <v>588</v>
      </c>
      <c r="F925" t="s">
        <v>506</v>
      </c>
      <c r="G925" t="s">
        <v>507</v>
      </c>
      <c r="H925" t="s">
        <v>508</v>
      </c>
      <c r="I925" t="s">
        <v>509</v>
      </c>
      <c r="J925" t="s">
        <v>589</v>
      </c>
      <c r="K925" s="575">
        <v>0</v>
      </c>
      <c r="L925" t="s">
        <v>3426</v>
      </c>
      <c r="M925" t="s">
        <v>3442</v>
      </c>
    </row>
    <row r="926" spans="1:13">
      <c r="A926" t="s">
        <v>3145</v>
      </c>
      <c r="B926" t="s">
        <v>3357</v>
      </c>
      <c r="C926" s="60" t="str">
        <f>C925</f>
        <v>E6740</v>
      </c>
      <c r="D926" t="s">
        <v>587</v>
      </c>
      <c r="E926" t="s">
        <v>588</v>
      </c>
      <c r="F926" t="s">
        <v>506</v>
      </c>
      <c r="G926" t="s">
        <v>507</v>
      </c>
      <c r="H926" t="s">
        <v>508</v>
      </c>
      <c r="I926" t="s">
        <v>509</v>
      </c>
      <c r="J926" t="s">
        <v>589</v>
      </c>
      <c r="K926" s="575">
        <f>K925</f>
        <v>0</v>
      </c>
      <c r="L926" t="s">
        <v>3426</v>
      </c>
      <c r="M926" t="s">
        <v>3442</v>
      </c>
    </row>
    <row r="927" spans="1:13">
      <c r="A927" t="s">
        <v>3145</v>
      </c>
      <c r="B927" t="s">
        <v>3358</v>
      </c>
      <c r="C927" s="60" t="str">
        <f t="shared" ref="C927:C936" si="79">+C926</f>
        <v>E6740</v>
      </c>
      <c r="D927" t="s">
        <v>587</v>
      </c>
      <c r="E927" t="s">
        <v>588</v>
      </c>
      <c r="F927" t="s">
        <v>506</v>
      </c>
      <c r="G927" t="s">
        <v>507</v>
      </c>
      <c r="H927" t="s">
        <v>508</v>
      </c>
      <c r="I927" t="s">
        <v>509</v>
      </c>
      <c r="J927" t="s">
        <v>589</v>
      </c>
      <c r="K927" s="575">
        <f t="shared" ref="K927:K936" si="80">K926</f>
        <v>0</v>
      </c>
      <c r="L927" t="s">
        <v>3426</v>
      </c>
      <c r="M927" t="s">
        <v>3442</v>
      </c>
    </row>
    <row r="928" spans="1:13">
      <c r="A928" t="s">
        <v>3145</v>
      </c>
      <c r="B928" t="s">
        <v>3359</v>
      </c>
      <c r="C928" s="60" t="str">
        <f t="shared" si="79"/>
        <v>E6740</v>
      </c>
      <c r="D928" t="s">
        <v>587</v>
      </c>
      <c r="E928" t="s">
        <v>588</v>
      </c>
      <c r="F928" t="s">
        <v>506</v>
      </c>
      <c r="G928" t="s">
        <v>507</v>
      </c>
      <c r="H928" t="s">
        <v>508</v>
      </c>
      <c r="I928" t="s">
        <v>509</v>
      </c>
      <c r="J928" t="s">
        <v>589</v>
      </c>
      <c r="K928" s="575">
        <f t="shared" si="80"/>
        <v>0</v>
      </c>
      <c r="L928" t="s">
        <v>3426</v>
      </c>
      <c r="M928" t="s">
        <v>3442</v>
      </c>
    </row>
    <row r="929" spans="1:13">
      <c r="A929" t="s">
        <v>3145</v>
      </c>
      <c r="B929" t="s">
        <v>3360</v>
      </c>
      <c r="C929" s="60" t="str">
        <f t="shared" si="79"/>
        <v>E6740</v>
      </c>
      <c r="D929" t="s">
        <v>587</v>
      </c>
      <c r="E929" t="s">
        <v>588</v>
      </c>
      <c r="F929" t="s">
        <v>506</v>
      </c>
      <c r="G929" t="s">
        <v>507</v>
      </c>
      <c r="H929" t="s">
        <v>508</v>
      </c>
      <c r="I929" t="s">
        <v>509</v>
      </c>
      <c r="J929" t="s">
        <v>589</v>
      </c>
      <c r="K929" s="575">
        <f t="shared" si="80"/>
        <v>0</v>
      </c>
      <c r="L929" t="s">
        <v>3426</v>
      </c>
      <c r="M929" t="s">
        <v>3442</v>
      </c>
    </row>
    <row r="930" spans="1:13">
      <c r="A930" t="s">
        <v>3145</v>
      </c>
      <c r="B930" t="s">
        <v>3361</v>
      </c>
      <c r="C930" s="60" t="str">
        <f t="shared" si="79"/>
        <v>E6740</v>
      </c>
      <c r="D930" t="s">
        <v>587</v>
      </c>
      <c r="E930" t="s">
        <v>588</v>
      </c>
      <c r="F930" t="s">
        <v>506</v>
      </c>
      <c r="G930" t="s">
        <v>507</v>
      </c>
      <c r="H930" t="s">
        <v>508</v>
      </c>
      <c r="I930" t="s">
        <v>509</v>
      </c>
      <c r="J930" t="s">
        <v>589</v>
      </c>
      <c r="K930" s="575">
        <f t="shared" si="80"/>
        <v>0</v>
      </c>
      <c r="L930" t="s">
        <v>3426</v>
      </c>
      <c r="M930" t="s">
        <v>3442</v>
      </c>
    </row>
    <row r="931" spans="1:13">
      <c r="A931" t="s">
        <v>3145</v>
      </c>
      <c r="B931" t="s">
        <v>3362</v>
      </c>
      <c r="C931" s="60" t="str">
        <f t="shared" si="79"/>
        <v>E6740</v>
      </c>
      <c r="D931" t="s">
        <v>587</v>
      </c>
      <c r="E931" t="s">
        <v>588</v>
      </c>
      <c r="F931" t="s">
        <v>506</v>
      </c>
      <c r="G931" t="s">
        <v>507</v>
      </c>
      <c r="H931" t="s">
        <v>508</v>
      </c>
      <c r="I931" t="s">
        <v>509</v>
      </c>
      <c r="J931" t="s">
        <v>589</v>
      </c>
      <c r="K931" s="575">
        <v>6</v>
      </c>
      <c r="L931" t="s">
        <v>3426</v>
      </c>
    </row>
    <row r="932" spans="1:13">
      <c r="A932" t="s">
        <v>3145</v>
      </c>
      <c r="B932" t="s">
        <v>3363</v>
      </c>
      <c r="C932" s="60" t="str">
        <f t="shared" si="79"/>
        <v>E6740</v>
      </c>
      <c r="D932" t="s">
        <v>587</v>
      </c>
      <c r="E932" t="s">
        <v>588</v>
      </c>
      <c r="F932" t="s">
        <v>506</v>
      </c>
      <c r="G932" t="s">
        <v>507</v>
      </c>
      <c r="H932" t="s">
        <v>508</v>
      </c>
      <c r="I932" t="s">
        <v>509</v>
      </c>
      <c r="J932" t="s">
        <v>589</v>
      </c>
      <c r="K932" s="575">
        <f t="shared" si="80"/>
        <v>6</v>
      </c>
      <c r="L932" t="s">
        <v>3426</v>
      </c>
    </row>
    <row r="933" spans="1:13">
      <c r="A933" t="s">
        <v>3145</v>
      </c>
      <c r="B933" t="s">
        <v>3364</v>
      </c>
      <c r="C933" s="60" t="str">
        <f t="shared" si="79"/>
        <v>E6740</v>
      </c>
      <c r="D933" t="s">
        <v>587</v>
      </c>
      <c r="E933" t="s">
        <v>588</v>
      </c>
      <c r="F933" t="s">
        <v>506</v>
      </c>
      <c r="G933" t="s">
        <v>507</v>
      </c>
      <c r="H933" t="s">
        <v>508</v>
      </c>
      <c r="I933" t="s">
        <v>509</v>
      </c>
      <c r="J933" t="s">
        <v>589</v>
      </c>
      <c r="K933" s="575">
        <f t="shared" si="80"/>
        <v>6</v>
      </c>
      <c r="L933" t="s">
        <v>3426</v>
      </c>
    </row>
    <row r="934" spans="1:13">
      <c r="A934" t="s">
        <v>3145</v>
      </c>
      <c r="B934" t="s">
        <v>3365</v>
      </c>
      <c r="C934" s="60" t="str">
        <f t="shared" si="79"/>
        <v>E6740</v>
      </c>
      <c r="D934" t="s">
        <v>587</v>
      </c>
      <c r="E934" t="s">
        <v>588</v>
      </c>
      <c r="F934" t="s">
        <v>506</v>
      </c>
      <c r="G934" t="s">
        <v>507</v>
      </c>
      <c r="H934" t="s">
        <v>508</v>
      </c>
      <c r="I934" t="s">
        <v>509</v>
      </c>
      <c r="J934" t="s">
        <v>589</v>
      </c>
      <c r="K934" s="575">
        <f t="shared" si="80"/>
        <v>6</v>
      </c>
      <c r="L934" t="s">
        <v>3426</v>
      </c>
    </row>
    <row r="935" spans="1:13">
      <c r="A935" t="s">
        <v>3145</v>
      </c>
      <c r="B935" t="s">
        <v>3366</v>
      </c>
      <c r="C935" s="60" t="str">
        <f t="shared" si="79"/>
        <v>E6740</v>
      </c>
      <c r="D935" t="s">
        <v>587</v>
      </c>
      <c r="E935" t="s">
        <v>588</v>
      </c>
      <c r="F935" t="s">
        <v>506</v>
      </c>
      <c r="G935" t="s">
        <v>507</v>
      </c>
      <c r="H935" t="s">
        <v>508</v>
      </c>
      <c r="I935" t="s">
        <v>509</v>
      </c>
      <c r="J935" t="s">
        <v>589</v>
      </c>
      <c r="K935" s="575">
        <f t="shared" si="80"/>
        <v>6</v>
      </c>
      <c r="L935" t="s">
        <v>3426</v>
      </c>
    </row>
    <row r="936" spans="1:13">
      <c r="A936" t="s">
        <v>3145</v>
      </c>
      <c r="B936" t="s">
        <v>3367</v>
      </c>
      <c r="C936" s="60" t="str">
        <f t="shared" si="79"/>
        <v>E6740</v>
      </c>
      <c r="D936" t="s">
        <v>587</v>
      </c>
      <c r="E936" t="s">
        <v>588</v>
      </c>
      <c r="F936" t="s">
        <v>506</v>
      </c>
      <c r="G936" t="s">
        <v>507</v>
      </c>
      <c r="H936" t="s">
        <v>508</v>
      </c>
      <c r="I936" t="s">
        <v>509</v>
      </c>
      <c r="J936" t="s">
        <v>589</v>
      </c>
      <c r="K936" s="575">
        <f t="shared" si="80"/>
        <v>6</v>
      </c>
      <c r="L936" t="s">
        <v>3426</v>
      </c>
    </row>
    <row r="937" spans="1:13">
      <c r="A937" t="s">
        <v>3145</v>
      </c>
      <c r="B937" t="s">
        <v>3356</v>
      </c>
      <c r="C937" s="3" t="s">
        <v>2079</v>
      </c>
      <c r="D937" t="s">
        <v>587</v>
      </c>
      <c r="E937" t="s">
        <v>588</v>
      </c>
      <c r="F937" t="s">
        <v>506</v>
      </c>
      <c r="G937" t="s">
        <v>507</v>
      </c>
      <c r="H937" t="s">
        <v>508</v>
      </c>
      <c r="I937" t="s">
        <v>509</v>
      </c>
      <c r="J937" t="s">
        <v>589</v>
      </c>
      <c r="K937" s="575">
        <v>0</v>
      </c>
      <c r="L937" t="s">
        <v>3428</v>
      </c>
    </row>
    <row r="938" spans="1:13">
      <c r="A938" t="s">
        <v>3145</v>
      </c>
      <c r="B938" t="s">
        <v>3357</v>
      </c>
      <c r="C938" s="60" t="str">
        <f>C937</f>
        <v>E6290</v>
      </c>
      <c r="D938" t="s">
        <v>587</v>
      </c>
      <c r="E938" t="s">
        <v>588</v>
      </c>
      <c r="F938" t="s">
        <v>506</v>
      </c>
      <c r="G938" t="s">
        <v>507</v>
      </c>
      <c r="H938" t="s">
        <v>508</v>
      </c>
      <c r="I938" t="s">
        <v>509</v>
      </c>
      <c r="J938" t="s">
        <v>589</v>
      </c>
      <c r="K938" s="575">
        <v>0</v>
      </c>
      <c r="L938" t="s">
        <v>3428</v>
      </c>
    </row>
    <row r="939" spans="1:13">
      <c r="A939" t="s">
        <v>3145</v>
      </c>
      <c r="B939" t="s">
        <v>3358</v>
      </c>
      <c r="C939" s="60" t="str">
        <f t="shared" ref="C939:C948" si="81">+C938</f>
        <v>E6290</v>
      </c>
      <c r="D939" t="s">
        <v>587</v>
      </c>
      <c r="E939" t="s">
        <v>588</v>
      </c>
      <c r="F939" t="s">
        <v>506</v>
      </c>
      <c r="G939" t="s">
        <v>507</v>
      </c>
      <c r="H939" t="s">
        <v>508</v>
      </c>
      <c r="I939" t="s">
        <v>509</v>
      </c>
      <c r="J939" t="s">
        <v>589</v>
      </c>
      <c r="K939" s="575">
        <v>0</v>
      </c>
      <c r="L939" t="s">
        <v>3428</v>
      </c>
    </row>
    <row r="940" spans="1:13">
      <c r="A940" t="s">
        <v>3145</v>
      </c>
      <c r="B940" t="s">
        <v>3359</v>
      </c>
      <c r="C940" s="60" t="str">
        <f t="shared" si="81"/>
        <v>E6290</v>
      </c>
      <c r="D940" t="s">
        <v>587</v>
      </c>
      <c r="E940" t="s">
        <v>588</v>
      </c>
      <c r="F940" t="s">
        <v>506</v>
      </c>
      <c r="G940" t="s">
        <v>507</v>
      </c>
      <c r="H940" t="s">
        <v>508</v>
      </c>
      <c r="I940" t="s">
        <v>509</v>
      </c>
      <c r="J940" t="s">
        <v>589</v>
      </c>
      <c r="K940" s="575">
        <v>0</v>
      </c>
      <c r="L940" t="s">
        <v>3428</v>
      </c>
    </row>
    <row r="941" spans="1:13">
      <c r="A941" t="s">
        <v>3145</v>
      </c>
      <c r="B941" t="s">
        <v>3360</v>
      </c>
      <c r="C941" s="60" t="str">
        <f t="shared" si="81"/>
        <v>E6290</v>
      </c>
      <c r="D941" t="s">
        <v>587</v>
      </c>
      <c r="E941" t="s">
        <v>588</v>
      </c>
      <c r="F941" t="s">
        <v>506</v>
      </c>
      <c r="G941" t="s">
        <v>507</v>
      </c>
      <c r="H941" t="s">
        <v>508</v>
      </c>
      <c r="I941" t="s">
        <v>509</v>
      </c>
      <c r="J941" t="s">
        <v>589</v>
      </c>
      <c r="K941" s="575">
        <v>0</v>
      </c>
      <c r="L941" t="s">
        <v>3428</v>
      </c>
    </row>
    <row r="942" spans="1:13">
      <c r="A942" t="s">
        <v>3145</v>
      </c>
      <c r="B942" t="s">
        <v>3361</v>
      </c>
      <c r="C942" s="60" t="str">
        <f t="shared" si="81"/>
        <v>E6290</v>
      </c>
      <c r="D942" t="s">
        <v>587</v>
      </c>
      <c r="E942" t="s">
        <v>588</v>
      </c>
      <c r="F942" t="s">
        <v>506</v>
      </c>
      <c r="G942" t="s">
        <v>507</v>
      </c>
      <c r="H942" t="s">
        <v>508</v>
      </c>
      <c r="I942" t="s">
        <v>509</v>
      </c>
      <c r="J942" t="s">
        <v>589</v>
      </c>
      <c r="K942" s="575">
        <v>7</v>
      </c>
      <c r="L942" t="s">
        <v>3428</v>
      </c>
    </row>
    <row r="943" spans="1:13">
      <c r="A943" t="s">
        <v>3145</v>
      </c>
      <c r="B943" t="s">
        <v>3362</v>
      </c>
      <c r="C943" s="60" t="str">
        <f t="shared" si="81"/>
        <v>E6290</v>
      </c>
      <c r="D943" t="s">
        <v>587</v>
      </c>
      <c r="E943" t="s">
        <v>588</v>
      </c>
      <c r="F943" t="s">
        <v>506</v>
      </c>
      <c r="G943" t="s">
        <v>507</v>
      </c>
      <c r="H943" t="s">
        <v>508</v>
      </c>
      <c r="I943" t="s">
        <v>509</v>
      </c>
      <c r="J943" t="s">
        <v>589</v>
      </c>
      <c r="K943" s="575">
        <f t="shared" ref="K943:K948" si="82">K942</f>
        <v>7</v>
      </c>
      <c r="L943" t="s">
        <v>3428</v>
      </c>
    </row>
    <row r="944" spans="1:13">
      <c r="A944" t="s">
        <v>3145</v>
      </c>
      <c r="B944" t="s">
        <v>3363</v>
      </c>
      <c r="C944" s="60" t="str">
        <f t="shared" si="81"/>
        <v>E6290</v>
      </c>
      <c r="D944" t="s">
        <v>587</v>
      </c>
      <c r="E944" t="s">
        <v>588</v>
      </c>
      <c r="F944" t="s">
        <v>506</v>
      </c>
      <c r="G944" t="s">
        <v>507</v>
      </c>
      <c r="H944" t="s">
        <v>508</v>
      </c>
      <c r="I944" t="s">
        <v>509</v>
      </c>
      <c r="J944" t="s">
        <v>589</v>
      </c>
      <c r="K944" s="575">
        <f t="shared" si="82"/>
        <v>7</v>
      </c>
      <c r="L944" t="s">
        <v>3428</v>
      </c>
    </row>
    <row r="945" spans="1:13">
      <c r="A945" t="s">
        <v>3145</v>
      </c>
      <c r="B945" t="s">
        <v>3364</v>
      </c>
      <c r="C945" s="60" t="str">
        <f t="shared" si="81"/>
        <v>E6290</v>
      </c>
      <c r="D945" t="s">
        <v>587</v>
      </c>
      <c r="E945" t="s">
        <v>588</v>
      </c>
      <c r="F945" t="s">
        <v>506</v>
      </c>
      <c r="G945" t="s">
        <v>507</v>
      </c>
      <c r="H945" t="s">
        <v>508</v>
      </c>
      <c r="I945" t="s">
        <v>509</v>
      </c>
      <c r="J945" t="s">
        <v>589</v>
      </c>
      <c r="K945" s="575">
        <f t="shared" si="82"/>
        <v>7</v>
      </c>
      <c r="L945" t="s">
        <v>3428</v>
      </c>
    </row>
    <row r="946" spans="1:13">
      <c r="A946" t="s">
        <v>3145</v>
      </c>
      <c r="B946" t="s">
        <v>3365</v>
      </c>
      <c r="C946" s="60" t="str">
        <f t="shared" si="81"/>
        <v>E6290</v>
      </c>
      <c r="D946" t="s">
        <v>587</v>
      </c>
      <c r="E946" t="s">
        <v>588</v>
      </c>
      <c r="F946" t="s">
        <v>506</v>
      </c>
      <c r="G946" t="s">
        <v>507</v>
      </c>
      <c r="H946" t="s">
        <v>508</v>
      </c>
      <c r="I946" t="s">
        <v>509</v>
      </c>
      <c r="J946" t="s">
        <v>589</v>
      </c>
      <c r="K946" s="575">
        <f t="shared" si="82"/>
        <v>7</v>
      </c>
      <c r="L946" t="s">
        <v>3428</v>
      </c>
    </row>
    <row r="947" spans="1:13">
      <c r="A947" t="s">
        <v>3145</v>
      </c>
      <c r="B947" t="s">
        <v>3366</v>
      </c>
      <c r="C947" s="60" t="str">
        <f t="shared" si="81"/>
        <v>E6290</v>
      </c>
      <c r="D947" t="s">
        <v>587</v>
      </c>
      <c r="E947" t="s">
        <v>588</v>
      </c>
      <c r="F947" t="s">
        <v>506</v>
      </c>
      <c r="G947" t="s">
        <v>507</v>
      </c>
      <c r="H947" t="s">
        <v>508</v>
      </c>
      <c r="I947" t="s">
        <v>509</v>
      </c>
      <c r="J947" t="s">
        <v>589</v>
      </c>
      <c r="K947" s="575">
        <f t="shared" si="82"/>
        <v>7</v>
      </c>
      <c r="L947" t="s">
        <v>3428</v>
      </c>
    </row>
    <row r="948" spans="1:13">
      <c r="A948" t="s">
        <v>3145</v>
      </c>
      <c r="B948" t="s">
        <v>3367</v>
      </c>
      <c r="C948" s="60" t="str">
        <f t="shared" si="81"/>
        <v>E6290</v>
      </c>
      <c r="D948" t="s">
        <v>587</v>
      </c>
      <c r="E948" t="s">
        <v>588</v>
      </c>
      <c r="F948" t="s">
        <v>506</v>
      </c>
      <c r="G948" t="s">
        <v>507</v>
      </c>
      <c r="H948" t="s">
        <v>508</v>
      </c>
      <c r="I948" t="s">
        <v>509</v>
      </c>
      <c r="J948" t="s">
        <v>589</v>
      </c>
      <c r="K948" s="575">
        <f t="shared" si="82"/>
        <v>7</v>
      </c>
      <c r="L948" t="s">
        <v>3428</v>
      </c>
    </row>
    <row r="949" spans="1:13">
      <c r="A949" t="s">
        <v>3145</v>
      </c>
      <c r="B949" t="s">
        <v>3356</v>
      </c>
      <c r="C949" s="3" t="s">
        <v>3402</v>
      </c>
      <c r="D949" t="s">
        <v>587</v>
      </c>
      <c r="E949" t="s">
        <v>588</v>
      </c>
      <c r="F949" t="s">
        <v>506</v>
      </c>
      <c r="G949" t="s">
        <v>507</v>
      </c>
      <c r="H949" t="s">
        <v>508</v>
      </c>
      <c r="I949" t="s">
        <v>509</v>
      </c>
      <c r="J949" t="s">
        <v>589</v>
      </c>
      <c r="K949" s="575">
        <v>0</v>
      </c>
      <c r="L949" t="s">
        <v>3429</v>
      </c>
      <c r="M949" t="s">
        <v>3442</v>
      </c>
    </row>
    <row r="950" spans="1:13">
      <c r="A950" t="s">
        <v>3145</v>
      </c>
      <c r="B950" t="s">
        <v>3357</v>
      </c>
      <c r="C950" s="60" t="str">
        <f>C949</f>
        <v>E6760</v>
      </c>
      <c r="D950" t="s">
        <v>587</v>
      </c>
      <c r="E950" t="s">
        <v>588</v>
      </c>
      <c r="F950" t="s">
        <v>506</v>
      </c>
      <c r="G950" t="s">
        <v>507</v>
      </c>
      <c r="H950" t="s">
        <v>508</v>
      </c>
      <c r="I950" t="s">
        <v>509</v>
      </c>
      <c r="J950" t="s">
        <v>589</v>
      </c>
      <c r="K950" s="575">
        <v>0</v>
      </c>
      <c r="L950" t="s">
        <v>3429</v>
      </c>
      <c r="M950" t="s">
        <v>3442</v>
      </c>
    </row>
    <row r="951" spans="1:13">
      <c r="A951" t="s">
        <v>3145</v>
      </c>
      <c r="B951" t="s">
        <v>3358</v>
      </c>
      <c r="C951" s="60" t="str">
        <f t="shared" ref="C951:C960" si="83">+C950</f>
        <v>E6760</v>
      </c>
      <c r="D951" t="s">
        <v>587</v>
      </c>
      <c r="E951" t="s">
        <v>588</v>
      </c>
      <c r="F951" t="s">
        <v>506</v>
      </c>
      <c r="G951" t="s">
        <v>507</v>
      </c>
      <c r="H951" t="s">
        <v>508</v>
      </c>
      <c r="I951" t="s">
        <v>509</v>
      </c>
      <c r="J951" t="s">
        <v>589</v>
      </c>
      <c r="K951" s="575">
        <v>0</v>
      </c>
      <c r="L951" t="s">
        <v>3429</v>
      </c>
      <c r="M951" t="s">
        <v>3442</v>
      </c>
    </row>
    <row r="952" spans="1:13">
      <c r="A952" t="s">
        <v>3145</v>
      </c>
      <c r="B952" t="s">
        <v>3359</v>
      </c>
      <c r="C952" s="60" t="str">
        <f t="shared" si="83"/>
        <v>E6760</v>
      </c>
      <c r="D952" t="s">
        <v>587</v>
      </c>
      <c r="E952" t="s">
        <v>588</v>
      </c>
      <c r="F952" t="s">
        <v>506</v>
      </c>
      <c r="G952" t="s">
        <v>507</v>
      </c>
      <c r="H952" t="s">
        <v>508</v>
      </c>
      <c r="I952" t="s">
        <v>509</v>
      </c>
      <c r="J952" t="s">
        <v>589</v>
      </c>
      <c r="K952" s="575">
        <v>0</v>
      </c>
      <c r="L952" t="s">
        <v>3429</v>
      </c>
      <c r="M952" t="s">
        <v>3442</v>
      </c>
    </row>
    <row r="953" spans="1:13">
      <c r="A953" t="s">
        <v>3145</v>
      </c>
      <c r="B953" t="s">
        <v>3360</v>
      </c>
      <c r="C953" s="60" t="str">
        <f t="shared" si="83"/>
        <v>E6760</v>
      </c>
      <c r="D953" t="s">
        <v>587</v>
      </c>
      <c r="E953" t="s">
        <v>588</v>
      </c>
      <c r="F953" t="s">
        <v>506</v>
      </c>
      <c r="G953" t="s">
        <v>507</v>
      </c>
      <c r="H953" t="s">
        <v>508</v>
      </c>
      <c r="I953" t="s">
        <v>509</v>
      </c>
      <c r="J953" t="s">
        <v>589</v>
      </c>
      <c r="K953" s="575">
        <v>0</v>
      </c>
      <c r="L953" t="s">
        <v>3429</v>
      </c>
      <c r="M953" t="s">
        <v>3442</v>
      </c>
    </row>
    <row r="954" spans="1:13">
      <c r="A954" t="s">
        <v>3145</v>
      </c>
      <c r="B954" t="s">
        <v>3361</v>
      </c>
      <c r="C954" s="60" t="str">
        <f t="shared" si="83"/>
        <v>E6760</v>
      </c>
      <c r="D954" t="s">
        <v>587</v>
      </c>
      <c r="E954" t="s">
        <v>588</v>
      </c>
      <c r="F954" t="s">
        <v>506</v>
      </c>
      <c r="G954" t="s">
        <v>507</v>
      </c>
      <c r="H954" t="s">
        <v>508</v>
      </c>
      <c r="I954" t="s">
        <v>509</v>
      </c>
      <c r="J954" t="s">
        <v>589</v>
      </c>
      <c r="K954" s="575">
        <v>0</v>
      </c>
      <c r="L954" t="s">
        <v>3429</v>
      </c>
      <c r="M954" t="s">
        <v>3442</v>
      </c>
    </row>
    <row r="955" spans="1:13">
      <c r="A955" t="s">
        <v>3145</v>
      </c>
      <c r="B955" t="s">
        <v>3362</v>
      </c>
      <c r="C955" s="60" t="str">
        <f t="shared" si="83"/>
        <v>E6760</v>
      </c>
      <c r="D955" t="s">
        <v>587</v>
      </c>
      <c r="E955" t="s">
        <v>588</v>
      </c>
      <c r="F955" t="s">
        <v>506</v>
      </c>
      <c r="G955" t="s">
        <v>507</v>
      </c>
      <c r="H955" t="s">
        <v>508</v>
      </c>
      <c r="I955" t="s">
        <v>509</v>
      </c>
      <c r="J955" t="s">
        <v>589</v>
      </c>
      <c r="K955" s="575">
        <v>0</v>
      </c>
      <c r="L955" t="s">
        <v>3429</v>
      </c>
      <c r="M955" t="s">
        <v>3442</v>
      </c>
    </row>
    <row r="956" spans="1:13">
      <c r="A956" t="s">
        <v>3145</v>
      </c>
      <c r="B956" t="s">
        <v>3363</v>
      </c>
      <c r="C956" s="60" t="str">
        <f t="shared" si="83"/>
        <v>E6760</v>
      </c>
      <c r="D956" t="s">
        <v>587</v>
      </c>
      <c r="E956" t="s">
        <v>588</v>
      </c>
      <c r="F956" t="s">
        <v>506</v>
      </c>
      <c r="G956" t="s">
        <v>507</v>
      </c>
      <c r="H956" t="s">
        <v>508</v>
      </c>
      <c r="I956" t="s">
        <v>509</v>
      </c>
      <c r="J956" t="s">
        <v>589</v>
      </c>
      <c r="K956" s="575">
        <v>0</v>
      </c>
      <c r="L956" t="s">
        <v>3429</v>
      </c>
      <c r="M956" t="s">
        <v>3442</v>
      </c>
    </row>
    <row r="957" spans="1:13">
      <c r="A957" t="s">
        <v>3145</v>
      </c>
      <c r="B957" t="s">
        <v>3364</v>
      </c>
      <c r="C957" s="60" t="str">
        <f t="shared" si="83"/>
        <v>E6760</v>
      </c>
      <c r="D957" t="s">
        <v>587</v>
      </c>
      <c r="E957" t="s">
        <v>588</v>
      </c>
      <c r="F957" t="s">
        <v>506</v>
      </c>
      <c r="G957" t="s">
        <v>507</v>
      </c>
      <c r="H957" t="s">
        <v>508</v>
      </c>
      <c r="I957" t="s">
        <v>509</v>
      </c>
      <c r="J957" t="s">
        <v>589</v>
      </c>
      <c r="K957" s="575">
        <v>0</v>
      </c>
      <c r="L957" t="s">
        <v>3429</v>
      </c>
      <c r="M957" t="s">
        <v>3442</v>
      </c>
    </row>
    <row r="958" spans="1:13">
      <c r="A958" t="s">
        <v>3145</v>
      </c>
      <c r="B958" t="s">
        <v>3365</v>
      </c>
      <c r="C958" s="60" t="str">
        <f t="shared" si="83"/>
        <v>E6760</v>
      </c>
      <c r="D958" t="s">
        <v>587</v>
      </c>
      <c r="E958" t="s">
        <v>588</v>
      </c>
      <c r="F958" t="s">
        <v>506</v>
      </c>
      <c r="G958" t="s">
        <v>507</v>
      </c>
      <c r="H958" t="s">
        <v>508</v>
      </c>
      <c r="I958" t="s">
        <v>509</v>
      </c>
      <c r="J958" t="s">
        <v>589</v>
      </c>
      <c r="K958" s="575">
        <v>0</v>
      </c>
      <c r="L958" t="s">
        <v>3429</v>
      </c>
      <c r="M958" t="s">
        <v>3442</v>
      </c>
    </row>
    <row r="959" spans="1:13">
      <c r="A959" t="s">
        <v>3145</v>
      </c>
      <c r="B959" t="s">
        <v>3366</v>
      </c>
      <c r="C959" s="60" t="str">
        <f t="shared" si="83"/>
        <v>E6760</v>
      </c>
      <c r="D959" t="s">
        <v>587</v>
      </c>
      <c r="E959" t="s">
        <v>588</v>
      </c>
      <c r="F959" t="s">
        <v>506</v>
      </c>
      <c r="G959" t="s">
        <v>507</v>
      </c>
      <c r="H959" t="s">
        <v>508</v>
      </c>
      <c r="I959" t="s">
        <v>509</v>
      </c>
      <c r="J959" t="s">
        <v>589</v>
      </c>
      <c r="K959" s="575">
        <v>6</v>
      </c>
      <c r="L959" t="s">
        <v>3429</v>
      </c>
    </row>
    <row r="960" spans="1:13">
      <c r="A960" t="s">
        <v>3145</v>
      </c>
      <c r="B960" t="s">
        <v>3367</v>
      </c>
      <c r="C960" s="60" t="str">
        <f t="shared" si="83"/>
        <v>E6760</v>
      </c>
      <c r="D960" t="s">
        <v>587</v>
      </c>
      <c r="E960" t="s">
        <v>588</v>
      </c>
      <c r="F960" t="s">
        <v>506</v>
      </c>
      <c r="G960" t="s">
        <v>507</v>
      </c>
      <c r="H960" t="s">
        <v>508</v>
      </c>
      <c r="I960" t="s">
        <v>509</v>
      </c>
      <c r="J960" t="s">
        <v>589</v>
      </c>
      <c r="K960" s="575">
        <f>K959</f>
        <v>6</v>
      </c>
      <c r="L960" t="s">
        <v>3429</v>
      </c>
    </row>
  </sheetData>
  <autoFilter ref="A1:AD960" xr:uid="{5B4FB918-C329-4143-BE38-49B0FF449387}"/>
  <pageMargins left="0.7" right="0.7" top="0.75" bottom="0.75" header="0.3" footer="0.3"/>
  <pageSetup paperSize="9" orientation="portrait" r:id="rId1"/>
  <customProperties>
    <customPr name="Longview.RefreshTimestamp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4D7CF-FFC8-4486-8982-A42DC908A4F1}">
  <sheetPr>
    <tabColor theme="6" tint="0.59999389629810485"/>
  </sheetPr>
  <dimension ref="A1:Y960"/>
  <sheetViews>
    <sheetView topLeftCell="A910" zoomScale="85" zoomScaleNormal="85" workbookViewId="0">
      <selection activeCell="M922" sqref="M922"/>
    </sheetView>
  </sheetViews>
  <sheetFormatPr baseColWidth="10" defaultRowHeight="15"/>
  <cols>
    <col min="1" max="1" width="14.85546875" bestFit="1" customWidth="1"/>
    <col min="4" max="4" width="15.42578125" bestFit="1" customWidth="1"/>
    <col min="5" max="5" width="18" bestFit="1" customWidth="1"/>
    <col min="6" max="6" width="15.7109375" bestFit="1" customWidth="1"/>
    <col min="7" max="7" width="12.28515625" bestFit="1" customWidth="1"/>
    <col min="8" max="8" width="11.85546875" bestFit="1" customWidth="1"/>
    <col min="9" max="9" width="14.85546875" bestFit="1" customWidth="1"/>
    <col min="10" max="10" width="15.7109375" bestFit="1" customWidth="1"/>
    <col min="11" max="11" width="11.85546875" style="3" customWidth="1"/>
    <col min="12" max="12" width="32.28515625" customWidth="1"/>
    <col min="14" max="14" width="21.28515625" bestFit="1" customWidth="1"/>
  </cols>
  <sheetData>
    <row r="1" spans="1:25" ht="15" customHeight="1">
      <c r="A1" t="s">
        <v>514</v>
      </c>
      <c r="B1" t="s">
        <v>3356</v>
      </c>
      <c r="C1" s="3" t="s">
        <v>406</v>
      </c>
      <c r="D1" t="s">
        <v>587</v>
      </c>
      <c r="E1" t="s">
        <v>588</v>
      </c>
      <c r="F1" t="s">
        <v>506</v>
      </c>
      <c r="G1" t="s">
        <v>507</v>
      </c>
      <c r="H1" t="s">
        <v>508</v>
      </c>
      <c r="I1" t="s">
        <v>509</v>
      </c>
      <c r="J1" t="s">
        <v>589</v>
      </c>
      <c r="K1" s="491">
        <f>+VLOOKUP(C1,[1]capacité!$C:$K,9,FALSE)</f>
        <v>8000</v>
      </c>
      <c r="L1" t="s">
        <v>3271</v>
      </c>
      <c r="R1" s="499"/>
      <c r="S1" s="4"/>
      <c r="T1" s="4"/>
      <c r="U1" s="4"/>
      <c r="V1" s="4"/>
      <c r="W1" s="4"/>
      <c r="X1" s="4"/>
      <c r="Y1" s="4"/>
    </row>
    <row r="2" spans="1:25" ht="15" customHeight="1">
      <c r="A2" t="s">
        <v>514</v>
      </c>
      <c r="B2" t="s">
        <v>3357</v>
      </c>
      <c r="C2" s="60" t="s">
        <v>406</v>
      </c>
      <c r="D2" t="s">
        <v>587</v>
      </c>
      <c r="E2" t="s">
        <v>588</v>
      </c>
      <c r="F2" t="s">
        <v>506</v>
      </c>
      <c r="G2" t="s">
        <v>507</v>
      </c>
      <c r="H2" t="s">
        <v>508</v>
      </c>
      <c r="I2" t="s">
        <v>509</v>
      </c>
      <c r="J2" t="s">
        <v>589</v>
      </c>
      <c r="K2" s="491">
        <f>+K1</f>
        <v>8000</v>
      </c>
      <c r="L2" t="s">
        <v>3271</v>
      </c>
      <c r="Q2" s="4"/>
      <c r="R2" s="500"/>
      <c r="S2" s="4"/>
      <c r="T2" s="4"/>
      <c r="U2" s="4"/>
      <c r="V2" s="4"/>
      <c r="W2" s="4"/>
      <c r="X2" s="4"/>
      <c r="Y2" s="4"/>
    </row>
    <row r="3" spans="1:25">
      <c r="A3" t="s">
        <v>514</v>
      </c>
      <c r="B3" t="s">
        <v>3358</v>
      </c>
      <c r="C3" s="60" t="s">
        <v>406</v>
      </c>
      <c r="D3" t="s">
        <v>587</v>
      </c>
      <c r="E3" t="s">
        <v>588</v>
      </c>
      <c r="F3" t="s">
        <v>506</v>
      </c>
      <c r="G3" t="s">
        <v>507</v>
      </c>
      <c r="H3" t="s">
        <v>508</v>
      </c>
      <c r="I3" t="s">
        <v>509</v>
      </c>
      <c r="J3" t="s">
        <v>589</v>
      </c>
      <c r="K3" s="491">
        <f t="shared" ref="K3:K12" si="0">+K2</f>
        <v>8000</v>
      </c>
      <c r="L3" t="s">
        <v>3271</v>
      </c>
      <c r="R3" s="4"/>
      <c r="S3" s="4"/>
      <c r="T3" s="4"/>
      <c r="U3" s="4"/>
      <c r="V3" s="4"/>
      <c r="W3" s="4"/>
      <c r="X3" s="4"/>
      <c r="Y3" s="4"/>
    </row>
    <row r="4" spans="1:25">
      <c r="A4" t="s">
        <v>514</v>
      </c>
      <c r="B4" t="s">
        <v>3359</v>
      </c>
      <c r="C4" s="60" t="s">
        <v>406</v>
      </c>
      <c r="D4" t="s">
        <v>587</v>
      </c>
      <c r="E4" t="s">
        <v>588</v>
      </c>
      <c r="F4" t="s">
        <v>506</v>
      </c>
      <c r="G4" t="s">
        <v>507</v>
      </c>
      <c r="H4" t="s">
        <v>508</v>
      </c>
      <c r="I4" t="s">
        <v>509</v>
      </c>
      <c r="J4" t="s">
        <v>589</v>
      </c>
      <c r="K4" s="491">
        <f t="shared" si="0"/>
        <v>8000</v>
      </c>
      <c r="L4" t="s">
        <v>3271</v>
      </c>
    </row>
    <row r="5" spans="1:25">
      <c r="A5" t="s">
        <v>514</v>
      </c>
      <c r="B5" t="s">
        <v>3360</v>
      </c>
      <c r="C5" s="60" t="s">
        <v>406</v>
      </c>
      <c r="D5" t="s">
        <v>587</v>
      </c>
      <c r="E5" t="s">
        <v>588</v>
      </c>
      <c r="F5" t="s">
        <v>506</v>
      </c>
      <c r="G5" t="s">
        <v>507</v>
      </c>
      <c r="H5" t="s">
        <v>508</v>
      </c>
      <c r="I5" t="s">
        <v>509</v>
      </c>
      <c r="J5" t="s">
        <v>589</v>
      </c>
      <c r="K5" s="491">
        <f t="shared" si="0"/>
        <v>8000</v>
      </c>
      <c r="L5" t="s">
        <v>3271</v>
      </c>
    </row>
    <row r="6" spans="1:25">
      <c r="A6" t="s">
        <v>514</v>
      </c>
      <c r="B6" t="s">
        <v>3361</v>
      </c>
      <c r="C6" s="60" t="s">
        <v>406</v>
      </c>
      <c r="D6" t="s">
        <v>587</v>
      </c>
      <c r="E6" t="s">
        <v>588</v>
      </c>
      <c r="F6" t="s">
        <v>506</v>
      </c>
      <c r="G6" t="s">
        <v>507</v>
      </c>
      <c r="H6" t="s">
        <v>508</v>
      </c>
      <c r="I6" t="s">
        <v>509</v>
      </c>
      <c r="J6" t="s">
        <v>589</v>
      </c>
      <c r="K6" s="491">
        <f t="shared" si="0"/>
        <v>8000</v>
      </c>
      <c r="L6" t="s">
        <v>3271</v>
      </c>
    </row>
    <row r="7" spans="1:25">
      <c r="A7" t="s">
        <v>514</v>
      </c>
      <c r="B7" t="s">
        <v>3362</v>
      </c>
      <c r="C7" s="60" t="s">
        <v>406</v>
      </c>
      <c r="D7" t="s">
        <v>587</v>
      </c>
      <c r="E7" t="s">
        <v>588</v>
      </c>
      <c r="F7" t="s">
        <v>506</v>
      </c>
      <c r="G7" t="s">
        <v>507</v>
      </c>
      <c r="H7" t="s">
        <v>508</v>
      </c>
      <c r="I7" t="s">
        <v>509</v>
      </c>
      <c r="J7" t="s">
        <v>589</v>
      </c>
      <c r="K7" s="491">
        <f t="shared" si="0"/>
        <v>8000</v>
      </c>
      <c r="L7" t="s">
        <v>3271</v>
      </c>
    </row>
    <row r="8" spans="1:25">
      <c r="A8" t="s">
        <v>514</v>
      </c>
      <c r="B8" t="s">
        <v>3363</v>
      </c>
      <c r="C8" s="60" t="s">
        <v>406</v>
      </c>
      <c r="D8" t="s">
        <v>587</v>
      </c>
      <c r="E8" t="s">
        <v>588</v>
      </c>
      <c r="F8" t="s">
        <v>506</v>
      </c>
      <c r="G8" t="s">
        <v>507</v>
      </c>
      <c r="H8" t="s">
        <v>508</v>
      </c>
      <c r="I8" t="s">
        <v>509</v>
      </c>
      <c r="J8" t="s">
        <v>589</v>
      </c>
      <c r="K8" s="491">
        <f t="shared" si="0"/>
        <v>8000</v>
      </c>
      <c r="L8" t="s">
        <v>3271</v>
      </c>
    </row>
    <row r="9" spans="1:25">
      <c r="A9" t="s">
        <v>514</v>
      </c>
      <c r="B9" t="s">
        <v>3364</v>
      </c>
      <c r="C9" s="60" t="s">
        <v>406</v>
      </c>
      <c r="D9" t="s">
        <v>587</v>
      </c>
      <c r="E9" t="s">
        <v>588</v>
      </c>
      <c r="F9" t="s">
        <v>506</v>
      </c>
      <c r="G9" t="s">
        <v>507</v>
      </c>
      <c r="H9" t="s">
        <v>508</v>
      </c>
      <c r="I9" t="s">
        <v>509</v>
      </c>
      <c r="J9" t="s">
        <v>589</v>
      </c>
      <c r="K9" s="491">
        <f t="shared" si="0"/>
        <v>8000</v>
      </c>
      <c r="L9" t="s">
        <v>3271</v>
      </c>
    </row>
    <row r="10" spans="1:25">
      <c r="A10" t="s">
        <v>514</v>
      </c>
      <c r="B10" t="s">
        <v>3365</v>
      </c>
      <c r="C10" s="60" t="s">
        <v>406</v>
      </c>
      <c r="D10" t="s">
        <v>587</v>
      </c>
      <c r="E10" t="s">
        <v>588</v>
      </c>
      <c r="F10" t="s">
        <v>506</v>
      </c>
      <c r="G10" t="s">
        <v>507</v>
      </c>
      <c r="H10" t="s">
        <v>508</v>
      </c>
      <c r="I10" t="s">
        <v>509</v>
      </c>
      <c r="J10" t="s">
        <v>589</v>
      </c>
      <c r="K10" s="491">
        <f t="shared" si="0"/>
        <v>8000</v>
      </c>
      <c r="L10" t="s">
        <v>3271</v>
      </c>
    </row>
    <row r="11" spans="1:25">
      <c r="A11" t="s">
        <v>514</v>
      </c>
      <c r="B11" t="s">
        <v>3366</v>
      </c>
      <c r="C11" s="60" t="s">
        <v>406</v>
      </c>
      <c r="D11" t="s">
        <v>587</v>
      </c>
      <c r="E11" t="s">
        <v>588</v>
      </c>
      <c r="F11" t="s">
        <v>506</v>
      </c>
      <c r="G11" t="s">
        <v>507</v>
      </c>
      <c r="H11" t="s">
        <v>508</v>
      </c>
      <c r="I11" t="s">
        <v>509</v>
      </c>
      <c r="J11" t="s">
        <v>589</v>
      </c>
      <c r="K11" s="491">
        <f t="shared" si="0"/>
        <v>8000</v>
      </c>
      <c r="L11" t="s">
        <v>3271</v>
      </c>
    </row>
    <row r="12" spans="1:25">
      <c r="A12" t="s">
        <v>514</v>
      </c>
      <c r="B12" t="s">
        <v>3367</v>
      </c>
      <c r="C12" s="60" t="s">
        <v>406</v>
      </c>
      <c r="D12" t="s">
        <v>587</v>
      </c>
      <c r="E12" t="s">
        <v>588</v>
      </c>
      <c r="F12" t="s">
        <v>506</v>
      </c>
      <c r="G12" t="s">
        <v>507</v>
      </c>
      <c r="H12" t="s">
        <v>508</v>
      </c>
      <c r="I12" t="s">
        <v>509</v>
      </c>
      <c r="J12" t="s">
        <v>589</v>
      </c>
      <c r="K12" s="491">
        <f t="shared" si="0"/>
        <v>8000</v>
      </c>
      <c r="L12" t="s">
        <v>3271</v>
      </c>
    </row>
    <row r="13" spans="1:25">
      <c r="A13" t="s">
        <v>514</v>
      </c>
      <c r="B13" t="s">
        <v>3356</v>
      </c>
      <c r="C13" s="3" t="s">
        <v>409</v>
      </c>
      <c r="D13" t="s">
        <v>587</v>
      </c>
      <c r="E13" t="s">
        <v>588</v>
      </c>
      <c r="F13" t="s">
        <v>506</v>
      </c>
      <c r="G13" t="s">
        <v>507</v>
      </c>
      <c r="H13" t="s">
        <v>508</v>
      </c>
      <c r="I13" t="s">
        <v>509</v>
      </c>
      <c r="J13" t="s">
        <v>589</v>
      </c>
      <c r="K13" s="491">
        <f>+VLOOKUP(C13,[1]capacité!$C:$K,9,FALSE)</f>
        <v>4000</v>
      </c>
      <c r="L13" t="s">
        <v>284</v>
      </c>
    </row>
    <row r="14" spans="1:25">
      <c r="A14" t="s">
        <v>514</v>
      </c>
      <c r="B14" t="s">
        <v>3357</v>
      </c>
      <c r="C14" s="60" t="s">
        <v>409</v>
      </c>
      <c r="D14" t="s">
        <v>587</v>
      </c>
      <c r="E14" t="s">
        <v>588</v>
      </c>
      <c r="F14" t="s">
        <v>506</v>
      </c>
      <c r="G14" t="s">
        <v>507</v>
      </c>
      <c r="H14" t="s">
        <v>508</v>
      </c>
      <c r="I14" t="s">
        <v>509</v>
      </c>
      <c r="J14" t="s">
        <v>589</v>
      </c>
      <c r="K14" s="491">
        <f>+K13</f>
        <v>4000</v>
      </c>
      <c r="L14" t="s">
        <v>284</v>
      </c>
    </row>
    <row r="15" spans="1:25">
      <c r="A15" t="s">
        <v>514</v>
      </c>
      <c r="B15" t="s">
        <v>3358</v>
      </c>
      <c r="C15" s="60" t="s">
        <v>409</v>
      </c>
      <c r="D15" t="s">
        <v>587</v>
      </c>
      <c r="E15" t="s">
        <v>588</v>
      </c>
      <c r="F15" t="s">
        <v>506</v>
      </c>
      <c r="G15" t="s">
        <v>507</v>
      </c>
      <c r="H15" t="s">
        <v>508</v>
      </c>
      <c r="I15" t="s">
        <v>509</v>
      </c>
      <c r="J15" t="s">
        <v>589</v>
      </c>
      <c r="K15" s="491">
        <f t="shared" ref="K15:K24" si="1">+K14</f>
        <v>4000</v>
      </c>
      <c r="L15" t="s">
        <v>284</v>
      </c>
    </row>
    <row r="16" spans="1:25">
      <c r="A16" t="s">
        <v>514</v>
      </c>
      <c r="B16" t="s">
        <v>3359</v>
      </c>
      <c r="C16" s="60" t="s">
        <v>409</v>
      </c>
      <c r="D16" t="s">
        <v>587</v>
      </c>
      <c r="E16" t="s">
        <v>588</v>
      </c>
      <c r="F16" t="s">
        <v>506</v>
      </c>
      <c r="G16" t="s">
        <v>507</v>
      </c>
      <c r="H16" t="s">
        <v>508</v>
      </c>
      <c r="I16" t="s">
        <v>509</v>
      </c>
      <c r="J16" t="s">
        <v>589</v>
      </c>
      <c r="K16" s="491">
        <f t="shared" si="1"/>
        <v>4000</v>
      </c>
      <c r="L16" t="s">
        <v>284</v>
      </c>
    </row>
    <row r="17" spans="1:12">
      <c r="A17" t="s">
        <v>514</v>
      </c>
      <c r="B17" t="s">
        <v>3360</v>
      </c>
      <c r="C17" s="60" t="s">
        <v>409</v>
      </c>
      <c r="D17" t="s">
        <v>587</v>
      </c>
      <c r="E17" t="s">
        <v>588</v>
      </c>
      <c r="F17" t="s">
        <v>506</v>
      </c>
      <c r="G17" t="s">
        <v>507</v>
      </c>
      <c r="H17" t="s">
        <v>508</v>
      </c>
      <c r="I17" t="s">
        <v>509</v>
      </c>
      <c r="J17" t="s">
        <v>589</v>
      </c>
      <c r="K17" s="491">
        <f t="shared" si="1"/>
        <v>4000</v>
      </c>
      <c r="L17" t="s">
        <v>284</v>
      </c>
    </row>
    <row r="18" spans="1:12">
      <c r="A18" t="s">
        <v>514</v>
      </c>
      <c r="B18" t="s">
        <v>3361</v>
      </c>
      <c r="C18" s="60" t="s">
        <v>409</v>
      </c>
      <c r="D18" t="s">
        <v>587</v>
      </c>
      <c r="E18" t="s">
        <v>588</v>
      </c>
      <c r="F18" t="s">
        <v>506</v>
      </c>
      <c r="G18" t="s">
        <v>507</v>
      </c>
      <c r="H18" t="s">
        <v>508</v>
      </c>
      <c r="I18" t="s">
        <v>509</v>
      </c>
      <c r="J18" t="s">
        <v>589</v>
      </c>
      <c r="K18" s="491">
        <f t="shared" si="1"/>
        <v>4000</v>
      </c>
      <c r="L18" t="s">
        <v>284</v>
      </c>
    </row>
    <row r="19" spans="1:12">
      <c r="A19" t="s">
        <v>514</v>
      </c>
      <c r="B19" t="s">
        <v>3362</v>
      </c>
      <c r="C19" s="60" t="s">
        <v>409</v>
      </c>
      <c r="D19" t="s">
        <v>587</v>
      </c>
      <c r="E19" t="s">
        <v>588</v>
      </c>
      <c r="F19" t="s">
        <v>506</v>
      </c>
      <c r="G19" t="s">
        <v>507</v>
      </c>
      <c r="H19" t="s">
        <v>508</v>
      </c>
      <c r="I19" t="s">
        <v>509</v>
      </c>
      <c r="J19" t="s">
        <v>589</v>
      </c>
      <c r="K19" s="491">
        <f t="shared" si="1"/>
        <v>4000</v>
      </c>
      <c r="L19" t="s">
        <v>284</v>
      </c>
    </row>
    <row r="20" spans="1:12">
      <c r="A20" t="s">
        <v>514</v>
      </c>
      <c r="B20" t="s">
        <v>3363</v>
      </c>
      <c r="C20" s="60" t="s">
        <v>409</v>
      </c>
      <c r="D20" t="s">
        <v>587</v>
      </c>
      <c r="E20" t="s">
        <v>588</v>
      </c>
      <c r="F20" t="s">
        <v>506</v>
      </c>
      <c r="G20" t="s">
        <v>507</v>
      </c>
      <c r="H20" t="s">
        <v>508</v>
      </c>
      <c r="I20" t="s">
        <v>509</v>
      </c>
      <c r="J20" t="s">
        <v>589</v>
      </c>
      <c r="K20" s="491">
        <f t="shared" si="1"/>
        <v>4000</v>
      </c>
      <c r="L20" t="s">
        <v>284</v>
      </c>
    </row>
    <row r="21" spans="1:12">
      <c r="A21" t="s">
        <v>514</v>
      </c>
      <c r="B21" t="s">
        <v>3364</v>
      </c>
      <c r="C21" s="60" t="s">
        <v>409</v>
      </c>
      <c r="D21" t="s">
        <v>587</v>
      </c>
      <c r="E21" t="s">
        <v>588</v>
      </c>
      <c r="F21" t="s">
        <v>506</v>
      </c>
      <c r="G21" t="s">
        <v>507</v>
      </c>
      <c r="H21" t="s">
        <v>508</v>
      </c>
      <c r="I21" t="s">
        <v>509</v>
      </c>
      <c r="J21" t="s">
        <v>589</v>
      </c>
      <c r="K21" s="491">
        <f t="shared" si="1"/>
        <v>4000</v>
      </c>
      <c r="L21" t="s">
        <v>284</v>
      </c>
    </row>
    <row r="22" spans="1:12">
      <c r="A22" t="s">
        <v>514</v>
      </c>
      <c r="B22" t="s">
        <v>3365</v>
      </c>
      <c r="C22" s="60" t="s">
        <v>409</v>
      </c>
      <c r="D22" t="s">
        <v>587</v>
      </c>
      <c r="E22" t="s">
        <v>588</v>
      </c>
      <c r="F22" t="s">
        <v>506</v>
      </c>
      <c r="G22" t="s">
        <v>507</v>
      </c>
      <c r="H22" t="s">
        <v>508</v>
      </c>
      <c r="I22" t="s">
        <v>509</v>
      </c>
      <c r="J22" t="s">
        <v>589</v>
      </c>
      <c r="K22" s="491">
        <f t="shared" si="1"/>
        <v>4000</v>
      </c>
      <c r="L22" t="s">
        <v>284</v>
      </c>
    </row>
    <row r="23" spans="1:12">
      <c r="A23" t="s">
        <v>514</v>
      </c>
      <c r="B23" t="s">
        <v>3366</v>
      </c>
      <c r="C23" s="60" t="s">
        <v>409</v>
      </c>
      <c r="D23" t="s">
        <v>587</v>
      </c>
      <c r="E23" t="s">
        <v>588</v>
      </c>
      <c r="F23" t="s">
        <v>506</v>
      </c>
      <c r="G23" t="s">
        <v>507</v>
      </c>
      <c r="H23" t="s">
        <v>508</v>
      </c>
      <c r="I23" t="s">
        <v>509</v>
      </c>
      <c r="J23" t="s">
        <v>589</v>
      </c>
      <c r="K23" s="491">
        <f t="shared" si="1"/>
        <v>4000</v>
      </c>
      <c r="L23" t="s">
        <v>284</v>
      </c>
    </row>
    <row r="24" spans="1:12">
      <c r="A24" t="s">
        <v>514</v>
      </c>
      <c r="B24" t="s">
        <v>3367</v>
      </c>
      <c r="C24" s="60" t="s">
        <v>409</v>
      </c>
      <c r="D24" t="s">
        <v>587</v>
      </c>
      <c r="E24" t="s">
        <v>588</v>
      </c>
      <c r="F24" t="s">
        <v>506</v>
      </c>
      <c r="G24" t="s">
        <v>507</v>
      </c>
      <c r="H24" t="s">
        <v>508</v>
      </c>
      <c r="I24" t="s">
        <v>509</v>
      </c>
      <c r="J24" t="s">
        <v>589</v>
      </c>
      <c r="K24" s="491">
        <f t="shared" si="1"/>
        <v>4000</v>
      </c>
      <c r="L24" t="s">
        <v>284</v>
      </c>
    </row>
    <row r="25" spans="1:12">
      <c r="A25" t="s">
        <v>514</v>
      </c>
      <c r="B25" t="s">
        <v>3356</v>
      </c>
      <c r="C25" s="3" t="s">
        <v>411</v>
      </c>
      <c r="D25" t="s">
        <v>587</v>
      </c>
      <c r="E25" t="s">
        <v>588</v>
      </c>
      <c r="F25" t="s">
        <v>506</v>
      </c>
      <c r="G25" t="s">
        <v>507</v>
      </c>
      <c r="H25" t="s">
        <v>508</v>
      </c>
      <c r="I25" t="s">
        <v>509</v>
      </c>
      <c r="J25" t="s">
        <v>589</v>
      </c>
      <c r="K25" s="491">
        <f>+VLOOKUP(C25,[1]capacité!$C:$K,9,FALSE)</f>
        <v>12000</v>
      </c>
      <c r="L25" t="s">
        <v>285</v>
      </c>
    </row>
    <row r="26" spans="1:12">
      <c r="A26" t="s">
        <v>514</v>
      </c>
      <c r="B26" t="s">
        <v>3357</v>
      </c>
      <c r="C26" s="60" t="s">
        <v>411</v>
      </c>
      <c r="D26" t="s">
        <v>587</v>
      </c>
      <c r="E26" t="s">
        <v>588</v>
      </c>
      <c r="F26" t="s">
        <v>506</v>
      </c>
      <c r="G26" t="s">
        <v>507</v>
      </c>
      <c r="H26" t="s">
        <v>508</v>
      </c>
      <c r="I26" t="s">
        <v>509</v>
      </c>
      <c r="J26" t="s">
        <v>589</v>
      </c>
      <c r="K26" s="491">
        <f>+K25</f>
        <v>12000</v>
      </c>
      <c r="L26" t="s">
        <v>285</v>
      </c>
    </row>
    <row r="27" spans="1:12">
      <c r="A27" t="s">
        <v>514</v>
      </c>
      <c r="B27" t="s">
        <v>3358</v>
      </c>
      <c r="C27" s="60" t="s">
        <v>411</v>
      </c>
      <c r="D27" t="s">
        <v>587</v>
      </c>
      <c r="E27" t="s">
        <v>588</v>
      </c>
      <c r="F27" t="s">
        <v>506</v>
      </c>
      <c r="G27" t="s">
        <v>507</v>
      </c>
      <c r="H27" t="s">
        <v>508</v>
      </c>
      <c r="I27" t="s">
        <v>509</v>
      </c>
      <c r="J27" t="s">
        <v>589</v>
      </c>
      <c r="K27" s="491">
        <f t="shared" ref="K27:K36" si="2">+K26</f>
        <v>12000</v>
      </c>
      <c r="L27" t="s">
        <v>285</v>
      </c>
    </row>
    <row r="28" spans="1:12">
      <c r="A28" t="s">
        <v>514</v>
      </c>
      <c r="B28" t="s">
        <v>3359</v>
      </c>
      <c r="C28" s="60" t="s">
        <v>411</v>
      </c>
      <c r="D28" t="s">
        <v>587</v>
      </c>
      <c r="E28" t="s">
        <v>588</v>
      </c>
      <c r="F28" t="s">
        <v>506</v>
      </c>
      <c r="G28" t="s">
        <v>507</v>
      </c>
      <c r="H28" t="s">
        <v>508</v>
      </c>
      <c r="I28" t="s">
        <v>509</v>
      </c>
      <c r="J28" t="s">
        <v>589</v>
      </c>
      <c r="K28" s="491">
        <f t="shared" si="2"/>
        <v>12000</v>
      </c>
      <c r="L28" t="s">
        <v>285</v>
      </c>
    </row>
    <row r="29" spans="1:12">
      <c r="A29" t="s">
        <v>514</v>
      </c>
      <c r="B29" t="s">
        <v>3360</v>
      </c>
      <c r="C29" s="60" t="s">
        <v>411</v>
      </c>
      <c r="D29" t="s">
        <v>587</v>
      </c>
      <c r="E29" t="s">
        <v>588</v>
      </c>
      <c r="F29" t="s">
        <v>506</v>
      </c>
      <c r="G29" t="s">
        <v>507</v>
      </c>
      <c r="H29" t="s">
        <v>508</v>
      </c>
      <c r="I29" t="s">
        <v>509</v>
      </c>
      <c r="J29" t="s">
        <v>589</v>
      </c>
      <c r="K29" s="491">
        <f t="shared" si="2"/>
        <v>12000</v>
      </c>
      <c r="L29" t="s">
        <v>285</v>
      </c>
    </row>
    <row r="30" spans="1:12">
      <c r="A30" t="s">
        <v>514</v>
      </c>
      <c r="B30" t="s">
        <v>3361</v>
      </c>
      <c r="C30" s="60" t="s">
        <v>411</v>
      </c>
      <c r="D30" t="s">
        <v>587</v>
      </c>
      <c r="E30" t="s">
        <v>588</v>
      </c>
      <c r="F30" t="s">
        <v>506</v>
      </c>
      <c r="G30" t="s">
        <v>507</v>
      </c>
      <c r="H30" t="s">
        <v>508</v>
      </c>
      <c r="I30" t="s">
        <v>509</v>
      </c>
      <c r="J30" t="s">
        <v>589</v>
      </c>
      <c r="K30" s="491">
        <f t="shared" si="2"/>
        <v>12000</v>
      </c>
      <c r="L30" t="s">
        <v>285</v>
      </c>
    </row>
    <row r="31" spans="1:12">
      <c r="A31" t="s">
        <v>514</v>
      </c>
      <c r="B31" t="s">
        <v>3362</v>
      </c>
      <c r="C31" s="60" t="s">
        <v>411</v>
      </c>
      <c r="D31" t="s">
        <v>587</v>
      </c>
      <c r="E31" t="s">
        <v>588</v>
      </c>
      <c r="F31" t="s">
        <v>506</v>
      </c>
      <c r="G31" t="s">
        <v>507</v>
      </c>
      <c r="H31" t="s">
        <v>508</v>
      </c>
      <c r="I31" t="s">
        <v>509</v>
      </c>
      <c r="J31" t="s">
        <v>589</v>
      </c>
      <c r="K31" s="491">
        <f t="shared" si="2"/>
        <v>12000</v>
      </c>
      <c r="L31" t="s">
        <v>285</v>
      </c>
    </row>
    <row r="32" spans="1:12">
      <c r="A32" t="s">
        <v>514</v>
      </c>
      <c r="B32" t="s">
        <v>3363</v>
      </c>
      <c r="C32" s="60" t="s">
        <v>411</v>
      </c>
      <c r="D32" t="s">
        <v>587</v>
      </c>
      <c r="E32" t="s">
        <v>588</v>
      </c>
      <c r="F32" t="s">
        <v>506</v>
      </c>
      <c r="G32" t="s">
        <v>507</v>
      </c>
      <c r="H32" t="s">
        <v>508</v>
      </c>
      <c r="I32" t="s">
        <v>509</v>
      </c>
      <c r="J32" t="s">
        <v>589</v>
      </c>
      <c r="K32" s="491">
        <f t="shared" si="2"/>
        <v>12000</v>
      </c>
      <c r="L32" t="s">
        <v>285</v>
      </c>
    </row>
    <row r="33" spans="1:12">
      <c r="A33" t="s">
        <v>514</v>
      </c>
      <c r="B33" t="s">
        <v>3364</v>
      </c>
      <c r="C33" s="60" t="s">
        <v>411</v>
      </c>
      <c r="D33" t="s">
        <v>587</v>
      </c>
      <c r="E33" t="s">
        <v>588</v>
      </c>
      <c r="F33" t="s">
        <v>506</v>
      </c>
      <c r="G33" t="s">
        <v>507</v>
      </c>
      <c r="H33" t="s">
        <v>508</v>
      </c>
      <c r="I33" t="s">
        <v>509</v>
      </c>
      <c r="J33" t="s">
        <v>589</v>
      </c>
      <c r="K33" s="491">
        <f t="shared" si="2"/>
        <v>12000</v>
      </c>
      <c r="L33" t="s">
        <v>285</v>
      </c>
    </row>
    <row r="34" spans="1:12">
      <c r="A34" t="s">
        <v>514</v>
      </c>
      <c r="B34" t="s">
        <v>3365</v>
      </c>
      <c r="C34" s="60" t="s">
        <v>411</v>
      </c>
      <c r="D34" t="s">
        <v>587</v>
      </c>
      <c r="E34" t="s">
        <v>588</v>
      </c>
      <c r="F34" t="s">
        <v>506</v>
      </c>
      <c r="G34" t="s">
        <v>507</v>
      </c>
      <c r="H34" t="s">
        <v>508</v>
      </c>
      <c r="I34" t="s">
        <v>509</v>
      </c>
      <c r="J34" t="s">
        <v>589</v>
      </c>
      <c r="K34" s="491">
        <f t="shared" si="2"/>
        <v>12000</v>
      </c>
      <c r="L34" t="s">
        <v>285</v>
      </c>
    </row>
    <row r="35" spans="1:12">
      <c r="A35" t="s">
        <v>514</v>
      </c>
      <c r="B35" t="s">
        <v>3366</v>
      </c>
      <c r="C35" s="60" t="s">
        <v>411</v>
      </c>
      <c r="D35" t="s">
        <v>587</v>
      </c>
      <c r="E35" t="s">
        <v>588</v>
      </c>
      <c r="F35" t="s">
        <v>506</v>
      </c>
      <c r="G35" t="s">
        <v>507</v>
      </c>
      <c r="H35" t="s">
        <v>508</v>
      </c>
      <c r="I35" t="s">
        <v>509</v>
      </c>
      <c r="J35" t="s">
        <v>589</v>
      </c>
      <c r="K35" s="491">
        <f t="shared" si="2"/>
        <v>12000</v>
      </c>
      <c r="L35" t="s">
        <v>285</v>
      </c>
    </row>
    <row r="36" spans="1:12">
      <c r="A36" t="s">
        <v>514</v>
      </c>
      <c r="B36" t="s">
        <v>3367</v>
      </c>
      <c r="C36" s="60" t="s">
        <v>411</v>
      </c>
      <c r="D36" t="s">
        <v>587</v>
      </c>
      <c r="E36" t="s">
        <v>588</v>
      </c>
      <c r="F36" t="s">
        <v>506</v>
      </c>
      <c r="G36" t="s">
        <v>507</v>
      </c>
      <c r="H36" t="s">
        <v>508</v>
      </c>
      <c r="I36" t="s">
        <v>509</v>
      </c>
      <c r="J36" t="s">
        <v>589</v>
      </c>
      <c r="K36" s="491">
        <f t="shared" si="2"/>
        <v>12000</v>
      </c>
      <c r="L36" t="s">
        <v>285</v>
      </c>
    </row>
    <row r="37" spans="1:12">
      <c r="A37" t="s">
        <v>514</v>
      </c>
      <c r="B37" t="s">
        <v>3356</v>
      </c>
      <c r="C37" s="3" t="s">
        <v>316</v>
      </c>
      <c r="D37" t="s">
        <v>587</v>
      </c>
      <c r="E37" t="s">
        <v>588</v>
      </c>
      <c r="F37" t="s">
        <v>506</v>
      </c>
      <c r="G37" t="s">
        <v>507</v>
      </c>
      <c r="H37" t="s">
        <v>508</v>
      </c>
      <c r="I37" t="s">
        <v>509</v>
      </c>
      <c r="J37" t="s">
        <v>589</v>
      </c>
      <c r="K37" s="491">
        <f>+VLOOKUP(C37,[1]capacité!$C:$K,9,FALSE)</f>
        <v>10500</v>
      </c>
      <c r="L37" t="s">
        <v>528</v>
      </c>
    </row>
    <row r="38" spans="1:12">
      <c r="A38" t="s">
        <v>514</v>
      </c>
      <c r="B38" t="s">
        <v>3357</v>
      </c>
      <c r="C38" s="60" t="s">
        <v>316</v>
      </c>
      <c r="D38" t="s">
        <v>587</v>
      </c>
      <c r="E38" t="s">
        <v>588</v>
      </c>
      <c r="F38" t="s">
        <v>506</v>
      </c>
      <c r="G38" t="s">
        <v>507</v>
      </c>
      <c r="H38" t="s">
        <v>508</v>
      </c>
      <c r="I38" t="s">
        <v>509</v>
      </c>
      <c r="J38" t="s">
        <v>589</v>
      </c>
      <c r="K38" s="491">
        <f>+K37</f>
        <v>10500</v>
      </c>
      <c r="L38" t="s">
        <v>528</v>
      </c>
    </row>
    <row r="39" spans="1:12">
      <c r="A39" t="s">
        <v>514</v>
      </c>
      <c r="B39" t="s">
        <v>3358</v>
      </c>
      <c r="C39" s="60" t="s">
        <v>316</v>
      </c>
      <c r="D39" t="s">
        <v>587</v>
      </c>
      <c r="E39" t="s">
        <v>588</v>
      </c>
      <c r="F39" t="s">
        <v>506</v>
      </c>
      <c r="G39" t="s">
        <v>507</v>
      </c>
      <c r="H39" t="s">
        <v>508</v>
      </c>
      <c r="I39" t="s">
        <v>509</v>
      </c>
      <c r="J39" t="s">
        <v>589</v>
      </c>
      <c r="K39" s="491">
        <f t="shared" ref="K39:K48" si="3">+K38</f>
        <v>10500</v>
      </c>
      <c r="L39" t="s">
        <v>528</v>
      </c>
    </row>
    <row r="40" spans="1:12">
      <c r="A40" t="s">
        <v>514</v>
      </c>
      <c r="B40" t="s">
        <v>3359</v>
      </c>
      <c r="C40" s="60" t="s">
        <v>316</v>
      </c>
      <c r="D40" t="s">
        <v>587</v>
      </c>
      <c r="E40" t="s">
        <v>588</v>
      </c>
      <c r="F40" t="s">
        <v>506</v>
      </c>
      <c r="G40" t="s">
        <v>507</v>
      </c>
      <c r="H40" t="s">
        <v>508</v>
      </c>
      <c r="I40" t="s">
        <v>509</v>
      </c>
      <c r="J40" t="s">
        <v>589</v>
      </c>
      <c r="K40" s="491">
        <f t="shared" si="3"/>
        <v>10500</v>
      </c>
      <c r="L40" t="s">
        <v>528</v>
      </c>
    </row>
    <row r="41" spans="1:12">
      <c r="A41" t="s">
        <v>514</v>
      </c>
      <c r="B41" t="s">
        <v>3360</v>
      </c>
      <c r="C41" s="60" t="s">
        <v>316</v>
      </c>
      <c r="D41" t="s">
        <v>587</v>
      </c>
      <c r="E41" t="s">
        <v>588</v>
      </c>
      <c r="F41" t="s">
        <v>506</v>
      </c>
      <c r="G41" t="s">
        <v>507</v>
      </c>
      <c r="H41" t="s">
        <v>508</v>
      </c>
      <c r="I41" t="s">
        <v>509</v>
      </c>
      <c r="J41" t="s">
        <v>589</v>
      </c>
      <c r="K41" s="491">
        <f t="shared" si="3"/>
        <v>10500</v>
      </c>
      <c r="L41" t="s">
        <v>528</v>
      </c>
    </row>
    <row r="42" spans="1:12">
      <c r="A42" t="s">
        <v>514</v>
      </c>
      <c r="B42" t="s">
        <v>3361</v>
      </c>
      <c r="C42" s="60" t="s">
        <v>316</v>
      </c>
      <c r="D42" t="s">
        <v>587</v>
      </c>
      <c r="E42" t="s">
        <v>588</v>
      </c>
      <c r="F42" t="s">
        <v>506</v>
      </c>
      <c r="G42" t="s">
        <v>507</v>
      </c>
      <c r="H42" t="s">
        <v>508</v>
      </c>
      <c r="I42" t="s">
        <v>509</v>
      </c>
      <c r="J42" t="s">
        <v>589</v>
      </c>
      <c r="K42" s="491">
        <f t="shared" si="3"/>
        <v>10500</v>
      </c>
      <c r="L42" t="s">
        <v>528</v>
      </c>
    </row>
    <row r="43" spans="1:12">
      <c r="A43" t="s">
        <v>514</v>
      </c>
      <c r="B43" t="s">
        <v>3362</v>
      </c>
      <c r="C43" s="60" t="s">
        <v>316</v>
      </c>
      <c r="D43" t="s">
        <v>587</v>
      </c>
      <c r="E43" t="s">
        <v>588</v>
      </c>
      <c r="F43" t="s">
        <v>506</v>
      </c>
      <c r="G43" t="s">
        <v>507</v>
      </c>
      <c r="H43" t="s">
        <v>508</v>
      </c>
      <c r="I43" t="s">
        <v>509</v>
      </c>
      <c r="J43" t="s">
        <v>589</v>
      </c>
      <c r="K43" s="491">
        <f t="shared" si="3"/>
        <v>10500</v>
      </c>
      <c r="L43" t="s">
        <v>528</v>
      </c>
    </row>
    <row r="44" spans="1:12">
      <c r="A44" t="s">
        <v>514</v>
      </c>
      <c r="B44" t="s">
        <v>3363</v>
      </c>
      <c r="C44" s="60" t="s">
        <v>316</v>
      </c>
      <c r="D44" t="s">
        <v>587</v>
      </c>
      <c r="E44" t="s">
        <v>588</v>
      </c>
      <c r="F44" t="s">
        <v>506</v>
      </c>
      <c r="G44" t="s">
        <v>507</v>
      </c>
      <c r="H44" t="s">
        <v>508</v>
      </c>
      <c r="I44" t="s">
        <v>509</v>
      </c>
      <c r="J44" t="s">
        <v>589</v>
      </c>
      <c r="K44" s="491">
        <f t="shared" si="3"/>
        <v>10500</v>
      </c>
      <c r="L44" t="s">
        <v>528</v>
      </c>
    </row>
    <row r="45" spans="1:12">
      <c r="A45" t="s">
        <v>514</v>
      </c>
      <c r="B45" t="s">
        <v>3364</v>
      </c>
      <c r="C45" s="60" t="s">
        <v>316</v>
      </c>
      <c r="D45" t="s">
        <v>587</v>
      </c>
      <c r="E45" t="s">
        <v>588</v>
      </c>
      <c r="F45" t="s">
        <v>506</v>
      </c>
      <c r="G45" t="s">
        <v>507</v>
      </c>
      <c r="H45" t="s">
        <v>508</v>
      </c>
      <c r="I45" t="s">
        <v>509</v>
      </c>
      <c r="J45" t="s">
        <v>589</v>
      </c>
      <c r="K45" s="491">
        <f t="shared" si="3"/>
        <v>10500</v>
      </c>
      <c r="L45" t="s">
        <v>528</v>
      </c>
    </row>
    <row r="46" spans="1:12">
      <c r="A46" t="s">
        <v>514</v>
      </c>
      <c r="B46" t="s">
        <v>3365</v>
      </c>
      <c r="C46" s="60" t="s">
        <v>316</v>
      </c>
      <c r="D46" t="s">
        <v>587</v>
      </c>
      <c r="E46" t="s">
        <v>588</v>
      </c>
      <c r="F46" t="s">
        <v>506</v>
      </c>
      <c r="G46" t="s">
        <v>507</v>
      </c>
      <c r="H46" t="s">
        <v>508</v>
      </c>
      <c r="I46" t="s">
        <v>509</v>
      </c>
      <c r="J46" t="s">
        <v>589</v>
      </c>
      <c r="K46" s="491">
        <f t="shared" si="3"/>
        <v>10500</v>
      </c>
      <c r="L46" t="s">
        <v>528</v>
      </c>
    </row>
    <row r="47" spans="1:12">
      <c r="A47" t="s">
        <v>514</v>
      </c>
      <c r="B47" t="s">
        <v>3366</v>
      </c>
      <c r="C47" s="60" t="s">
        <v>316</v>
      </c>
      <c r="D47" t="s">
        <v>587</v>
      </c>
      <c r="E47" t="s">
        <v>588</v>
      </c>
      <c r="F47" t="s">
        <v>506</v>
      </c>
      <c r="G47" t="s">
        <v>507</v>
      </c>
      <c r="H47" t="s">
        <v>508</v>
      </c>
      <c r="I47" t="s">
        <v>509</v>
      </c>
      <c r="J47" t="s">
        <v>589</v>
      </c>
      <c r="K47" s="491">
        <f t="shared" si="3"/>
        <v>10500</v>
      </c>
      <c r="L47" t="s">
        <v>528</v>
      </c>
    </row>
    <row r="48" spans="1:12">
      <c r="A48" t="s">
        <v>514</v>
      </c>
      <c r="B48" t="s">
        <v>3367</v>
      </c>
      <c r="C48" s="60" t="s">
        <v>316</v>
      </c>
      <c r="D48" t="s">
        <v>587</v>
      </c>
      <c r="E48" t="s">
        <v>588</v>
      </c>
      <c r="F48" t="s">
        <v>506</v>
      </c>
      <c r="G48" t="s">
        <v>507</v>
      </c>
      <c r="H48" t="s">
        <v>508</v>
      </c>
      <c r="I48" t="s">
        <v>509</v>
      </c>
      <c r="J48" t="s">
        <v>589</v>
      </c>
      <c r="K48" s="491">
        <f t="shared" si="3"/>
        <v>10500</v>
      </c>
      <c r="L48" t="s">
        <v>528</v>
      </c>
    </row>
    <row r="49" spans="1:12">
      <c r="A49" t="s">
        <v>514</v>
      </c>
      <c r="B49" t="s">
        <v>3356</v>
      </c>
      <c r="C49" s="3" t="s">
        <v>317</v>
      </c>
      <c r="D49" t="s">
        <v>587</v>
      </c>
      <c r="E49" t="s">
        <v>588</v>
      </c>
      <c r="F49" t="s">
        <v>506</v>
      </c>
      <c r="G49" t="s">
        <v>507</v>
      </c>
      <c r="H49" t="s">
        <v>508</v>
      </c>
      <c r="I49" t="s">
        <v>509</v>
      </c>
      <c r="J49" t="s">
        <v>589</v>
      </c>
      <c r="K49" s="491">
        <f>+VLOOKUP(C49,[1]capacité!$C:$K,9,FALSE)</f>
        <v>7500</v>
      </c>
      <c r="L49" t="s">
        <v>529</v>
      </c>
    </row>
    <row r="50" spans="1:12">
      <c r="A50" t="s">
        <v>514</v>
      </c>
      <c r="B50" t="s">
        <v>3357</v>
      </c>
      <c r="C50" s="60" t="s">
        <v>317</v>
      </c>
      <c r="D50" t="s">
        <v>587</v>
      </c>
      <c r="E50" t="s">
        <v>588</v>
      </c>
      <c r="F50" t="s">
        <v>506</v>
      </c>
      <c r="G50" t="s">
        <v>507</v>
      </c>
      <c r="H50" t="s">
        <v>508</v>
      </c>
      <c r="I50" t="s">
        <v>509</v>
      </c>
      <c r="J50" t="s">
        <v>589</v>
      </c>
      <c r="K50" s="491">
        <f>+K49</f>
        <v>7500</v>
      </c>
      <c r="L50" t="s">
        <v>529</v>
      </c>
    </row>
    <row r="51" spans="1:12">
      <c r="A51" t="s">
        <v>514</v>
      </c>
      <c r="B51" t="s">
        <v>3358</v>
      </c>
      <c r="C51" s="60" t="s">
        <v>317</v>
      </c>
      <c r="D51" t="s">
        <v>587</v>
      </c>
      <c r="E51" t="s">
        <v>588</v>
      </c>
      <c r="F51" t="s">
        <v>506</v>
      </c>
      <c r="G51" t="s">
        <v>507</v>
      </c>
      <c r="H51" t="s">
        <v>508</v>
      </c>
      <c r="I51" t="s">
        <v>509</v>
      </c>
      <c r="J51" t="s">
        <v>589</v>
      </c>
      <c r="K51" s="491">
        <f t="shared" ref="K51:K60" si="4">+K50</f>
        <v>7500</v>
      </c>
      <c r="L51" t="s">
        <v>529</v>
      </c>
    </row>
    <row r="52" spans="1:12">
      <c r="A52" t="s">
        <v>514</v>
      </c>
      <c r="B52" t="s">
        <v>3359</v>
      </c>
      <c r="C52" s="60" t="s">
        <v>317</v>
      </c>
      <c r="D52" t="s">
        <v>587</v>
      </c>
      <c r="E52" t="s">
        <v>588</v>
      </c>
      <c r="F52" t="s">
        <v>506</v>
      </c>
      <c r="G52" t="s">
        <v>507</v>
      </c>
      <c r="H52" t="s">
        <v>508</v>
      </c>
      <c r="I52" t="s">
        <v>509</v>
      </c>
      <c r="J52" t="s">
        <v>589</v>
      </c>
      <c r="K52" s="491">
        <f t="shared" si="4"/>
        <v>7500</v>
      </c>
      <c r="L52" t="s">
        <v>529</v>
      </c>
    </row>
    <row r="53" spans="1:12">
      <c r="A53" t="s">
        <v>514</v>
      </c>
      <c r="B53" t="s">
        <v>3360</v>
      </c>
      <c r="C53" s="60" t="s">
        <v>317</v>
      </c>
      <c r="D53" t="s">
        <v>587</v>
      </c>
      <c r="E53" t="s">
        <v>588</v>
      </c>
      <c r="F53" t="s">
        <v>506</v>
      </c>
      <c r="G53" t="s">
        <v>507</v>
      </c>
      <c r="H53" t="s">
        <v>508</v>
      </c>
      <c r="I53" t="s">
        <v>509</v>
      </c>
      <c r="J53" t="s">
        <v>589</v>
      </c>
      <c r="K53" s="491">
        <f t="shared" si="4"/>
        <v>7500</v>
      </c>
      <c r="L53" t="s">
        <v>529</v>
      </c>
    </row>
    <row r="54" spans="1:12">
      <c r="A54" t="s">
        <v>514</v>
      </c>
      <c r="B54" t="s">
        <v>3361</v>
      </c>
      <c r="C54" s="60" t="s">
        <v>317</v>
      </c>
      <c r="D54" t="s">
        <v>587</v>
      </c>
      <c r="E54" t="s">
        <v>588</v>
      </c>
      <c r="F54" t="s">
        <v>506</v>
      </c>
      <c r="G54" t="s">
        <v>507</v>
      </c>
      <c r="H54" t="s">
        <v>508</v>
      </c>
      <c r="I54" t="s">
        <v>509</v>
      </c>
      <c r="J54" t="s">
        <v>589</v>
      </c>
      <c r="K54" s="491">
        <f t="shared" si="4"/>
        <v>7500</v>
      </c>
      <c r="L54" t="s">
        <v>529</v>
      </c>
    </row>
    <row r="55" spans="1:12">
      <c r="A55" t="s">
        <v>514</v>
      </c>
      <c r="B55" t="s">
        <v>3362</v>
      </c>
      <c r="C55" s="60" t="s">
        <v>317</v>
      </c>
      <c r="D55" t="s">
        <v>587</v>
      </c>
      <c r="E55" t="s">
        <v>588</v>
      </c>
      <c r="F55" t="s">
        <v>506</v>
      </c>
      <c r="G55" t="s">
        <v>507</v>
      </c>
      <c r="H55" t="s">
        <v>508</v>
      </c>
      <c r="I55" t="s">
        <v>509</v>
      </c>
      <c r="J55" t="s">
        <v>589</v>
      </c>
      <c r="K55" s="491">
        <f t="shared" si="4"/>
        <v>7500</v>
      </c>
      <c r="L55" t="s">
        <v>529</v>
      </c>
    </row>
    <row r="56" spans="1:12">
      <c r="A56" t="s">
        <v>514</v>
      </c>
      <c r="B56" t="s">
        <v>3363</v>
      </c>
      <c r="C56" s="60" t="s">
        <v>317</v>
      </c>
      <c r="D56" t="s">
        <v>587</v>
      </c>
      <c r="E56" t="s">
        <v>588</v>
      </c>
      <c r="F56" t="s">
        <v>506</v>
      </c>
      <c r="G56" t="s">
        <v>507</v>
      </c>
      <c r="H56" t="s">
        <v>508</v>
      </c>
      <c r="I56" t="s">
        <v>509</v>
      </c>
      <c r="J56" t="s">
        <v>589</v>
      </c>
      <c r="K56" s="491">
        <f t="shared" si="4"/>
        <v>7500</v>
      </c>
      <c r="L56" t="s">
        <v>529</v>
      </c>
    </row>
    <row r="57" spans="1:12">
      <c r="A57" t="s">
        <v>514</v>
      </c>
      <c r="B57" t="s">
        <v>3364</v>
      </c>
      <c r="C57" s="60" t="s">
        <v>317</v>
      </c>
      <c r="D57" t="s">
        <v>587</v>
      </c>
      <c r="E57" t="s">
        <v>588</v>
      </c>
      <c r="F57" t="s">
        <v>506</v>
      </c>
      <c r="G57" t="s">
        <v>507</v>
      </c>
      <c r="H57" t="s">
        <v>508</v>
      </c>
      <c r="I57" t="s">
        <v>509</v>
      </c>
      <c r="J57" t="s">
        <v>589</v>
      </c>
      <c r="K57" s="491">
        <f t="shared" si="4"/>
        <v>7500</v>
      </c>
      <c r="L57" t="s">
        <v>529</v>
      </c>
    </row>
    <row r="58" spans="1:12">
      <c r="A58" t="s">
        <v>514</v>
      </c>
      <c r="B58" t="s">
        <v>3365</v>
      </c>
      <c r="C58" s="60" t="s">
        <v>317</v>
      </c>
      <c r="D58" t="s">
        <v>587</v>
      </c>
      <c r="E58" t="s">
        <v>588</v>
      </c>
      <c r="F58" t="s">
        <v>506</v>
      </c>
      <c r="G58" t="s">
        <v>507</v>
      </c>
      <c r="H58" t="s">
        <v>508</v>
      </c>
      <c r="I58" t="s">
        <v>509</v>
      </c>
      <c r="J58" t="s">
        <v>589</v>
      </c>
      <c r="K58" s="491">
        <f t="shared" si="4"/>
        <v>7500</v>
      </c>
      <c r="L58" t="s">
        <v>529</v>
      </c>
    </row>
    <row r="59" spans="1:12">
      <c r="A59" t="s">
        <v>514</v>
      </c>
      <c r="B59" t="s">
        <v>3366</v>
      </c>
      <c r="C59" s="60" t="s">
        <v>317</v>
      </c>
      <c r="D59" t="s">
        <v>587</v>
      </c>
      <c r="E59" t="s">
        <v>588</v>
      </c>
      <c r="F59" t="s">
        <v>506</v>
      </c>
      <c r="G59" t="s">
        <v>507</v>
      </c>
      <c r="H59" t="s">
        <v>508</v>
      </c>
      <c r="I59" t="s">
        <v>509</v>
      </c>
      <c r="J59" t="s">
        <v>589</v>
      </c>
      <c r="K59" s="491">
        <f t="shared" si="4"/>
        <v>7500</v>
      </c>
      <c r="L59" t="s">
        <v>529</v>
      </c>
    </row>
    <row r="60" spans="1:12">
      <c r="A60" t="s">
        <v>514</v>
      </c>
      <c r="B60" t="s">
        <v>3367</v>
      </c>
      <c r="C60" s="60" t="s">
        <v>317</v>
      </c>
      <c r="D60" t="s">
        <v>587</v>
      </c>
      <c r="E60" t="s">
        <v>588</v>
      </c>
      <c r="F60" t="s">
        <v>506</v>
      </c>
      <c r="G60" t="s">
        <v>507</v>
      </c>
      <c r="H60" t="s">
        <v>508</v>
      </c>
      <c r="I60" t="s">
        <v>509</v>
      </c>
      <c r="J60" t="s">
        <v>589</v>
      </c>
      <c r="K60" s="491">
        <f t="shared" si="4"/>
        <v>7500</v>
      </c>
      <c r="L60" t="s">
        <v>529</v>
      </c>
    </row>
    <row r="61" spans="1:12">
      <c r="A61" t="s">
        <v>514</v>
      </c>
      <c r="B61" t="s">
        <v>3356</v>
      </c>
      <c r="C61" s="3" t="s">
        <v>318</v>
      </c>
      <c r="D61" t="s">
        <v>587</v>
      </c>
      <c r="E61" t="s">
        <v>588</v>
      </c>
      <c r="F61" t="s">
        <v>506</v>
      </c>
      <c r="G61" t="s">
        <v>507</v>
      </c>
      <c r="H61" t="s">
        <v>508</v>
      </c>
      <c r="I61" t="s">
        <v>509</v>
      </c>
      <c r="J61" t="s">
        <v>589</v>
      </c>
      <c r="K61" s="491">
        <f>+VLOOKUP(C61,[1]capacité!$C:$K,9,FALSE)</f>
        <v>10500</v>
      </c>
      <c r="L61" t="s">
        <v>530</v>
      </c>
    </row>
    <row r="62" spans="1:12">
      <c r="A62" t="s">
        <v>514</v>
      </c>
      <c r="B62" t="s">
        <v>3357</v>
      </c>
      <c r="C62" s="60" t="s">
        <v>318</v>
      </c>
      <c r="D62" t="s">
        <v>587</v>
      </c>
      <c r="E62" t="s">
        <v>588</v>
      </c>
      <c r="F62" t="s">
        <v>506</v>
      </c>
      <c r="G62" t="s">
        <v>507</v>
      </c>
      <c r="H62" t="s">
        <v>508</v>
      </c>
      <c r="I62" t="s">
        <v>509</v>
      </c>
      <c r="J62" t="s">
        <v>589</v>
      </c>
      <c r="K62" s="491">
        <f>+K61</f>
        <v>10500</v>
      </c>
      <c r="L62" t="s">
        <v>530</v>
      </c>
    </row>
    <row r="63" spans="1:12">
      <c r="A63" t="s">
        <v>514</v>
      </c>
      <c r="B63" t="s">
        <v>3358</v>
      </c>
      <c r="C63" s="60" t="s">
        <v>318</v>
      </c>
      <c r="D63" t="s">
        <v>587</v>
      </c>
      <c r="E63" t="s">
        <v>588</v>
      </c>
      <c r="F63" t="s">
        <v>506</v>
      </c>
      <c r="G63" t="s">
        <v>507</v>
      </c>
      <c r="H63" t="s">
        <v>508</v>
      </c>
      <c r="I63" t="s">
        <v>509</v>
      </c>
      <c r="J63" t="s">
        <v>589</v>
      </c>
      <c r="K63" s="491">
        <f t="shared" ref="K63:K72" si="5">+K62</f>
        <v>10500</v>
      </c>
      <c r="L63" t="s">
        <v>530</v>
      </c>
    </row>
    <row r="64" spans="1:12">
      <c r="A64" t="s">
        <v>514</v>
      </c>
      <c r="B64" t="s">
        <v>3359</v>
      </c>
      <c r="C64" s="60" t="s">
        <v>318</v>
      </c>
      <c r="D64" t="s">
        <v>587</v>
      </c>
      <c r="E64" t="s">
        <v>588</v>
      </c>
      <c r="F64" t="s">
        <v>506</v>
      </c>
      <c r="G64" t="s">
        <v>507</v>
      </c>
      <c r="H64" t="s">
        <v>508</v>
      </c>
      <c r="I64" t="s">
        <v>509</v>
      </c>
      <c r="J64" t="s">
        <v>589</v>
      </c>
      <c r="K64" s="491">
        <f t="shared" si="5"/>
        <v>10500</v>
      </c>
      <c r="L64" t="s">
        <v>530</v>
      </c>
    </row>
    <row r="65" spans="1:12">
      <c r="A65" t="s">
        <v>514</v>
      </c>
      <c r="B65" t="s">
        <v>3360</v>
      </c>
      <c r="C65" s="60" t="s">
        <v>318</v>
      </c>
      <c r="D65" t="s">
        <v>587</v>
      </c>
      <c r="E65" t="s">
        <v>588</v>
      </c>
      <c r="F65" t="s">
        <v>506</v>
      </c>
      <c r="G65" t="s">
        <v>507</v>
      </c>
      <c r="H65" t="s">
        <v>508</v>
      </c>
      <c r="I65" t="s">
        <v>509</v>
      </c>
      <c r="J65" t="s">
        <v>589</v>
      </c>
      <c r="K65" s="491">
        <f t="shared" si="5"/>
        <v>10500</v>
      </c>
      <c r="L65" t="s">
        <v>530</v>
      </c>
    </row>
    <row r="66" spans="1:12">
      <c r="A66" t="s">
        <v>514</v>
      </c>
      <c r="B66" t="s">
        <v>3361</v>
      </c>
      <c r="C66" s="60" t="s">
        <v>318</v>
      </c>
      <c r="D66" t="s">
        <v>587</v>
      </c>
      <c r="E66" t="s">
        <v>588</v>
      </c>
      <c r="F66" t="s">
        <v>506</v>
      </c>
      <c r="G66" t="s">
        <v>507</v>
      </c>
      <c r="H66" t="s">
        <v>508</v>
      </c>
      <c r="I66" t="s">
        <v>509</v>
      </c>
      <c r="J66" t="s">
        <v>589</v>
      </c>
      <c r="K66" s="491">
        <f t="shared" si="5"/>
        <v>10500</v>
      </c>
      <c r="L66" t="s">
        <v>530</v>
      </c>
    </row>
    <row r="67" spans="1:12">
      <c r="A67" t="s">
        <v>514</v>
      </c>
      <c r="B67" t="s">
        <v>3362</v>
      </c>
      <c r="C67" s="60" t="s">
        <v>318</v>
      </c>
      <c r="D67" t="s">
        <v>587</v>
      </c>
      <c r="E67" t="s">
        <v>588</v>
      </c>
      <c r="F67" t="s">
        <v>506</v>
      </c>
      <c r="G67" t="s">
        <v>507</v>
      </c>
      <c r="H67" t="s">
        <v>508</v>
      </c>
      <c r="I67" t="s">
        <v>509</v>
      </c>
      <c r="J67" t="s">
        <v>589</v>
      </c>
      <c r="K67" s="491">
        <f t="shared" si="5"/>
        <v>10500</v>
      </c>
      <c r="L67" t="s">
        <v>530</v>
      </c>
    </row>
    <row r="68" spans="1:12">
      <c r="A68" t="s">
        <v>514</v>
      </c>
      <c r="B68" t="s">
        <v>3363</v>
      </c>
      <c r="C68" s="60" t="s">
        <v>318</v>
      </c>
      <c r="D68" t="s">
        <v>587</v>
      </c>
      <c r="E68" t="s">
        <v>588</v>
      </c>
      <c r="F68" t="s">
        <v>506</v>
      </c>
      <c r="G68" t="s">
        <v>507</v>
      </c>
      <c r="H68" t="s">
        <v>508</v>
      </c>
      <c r="I68" t="s">
        <v>509</v>
      </c>
      <c r="J68" t="s">
        <v>589</v>
      </c>
      <c r="K68" s="491">
        <f t="shared" si="5"/>
        <v>10500</v>
      </c>
      <c r="L68" t="s">
        <v>530</v>
      </c>
    </row>
    <row r="69" spans="1:12">
      <c r="A69" t="s">
        <v>514</v>
      </c>
      <c r="B69" t="s">
        <v>3364</v>
      </c>
      <c r="C69" s="60" t="s">
        <v>318</v>
      </c>
      <c r="D69" t="s">
        <v>587</v>
      </c>
      <c r="E69" t="s">
        <v>588</v>
      </c>
      <c r="F69" t="s">
        <v>506</v>
      </c>
      <c r="G69" t="s">
        <v>507</v>
      </c>
      <c r="H69" t="s">
        <v>508</v>
      </c>
      <c r="I69" t="s">
        <v>509</v>
      </c>
      <c r="J69" t="s">
        <v>589</v>
      </c>
      <c r="K69" s="491">
        <f t="shared" si="5"/>
        <v>10500</v>
      </c>
      <c r="L69" t="s">
        <v>530</v>
      </c>
    </row>
    <row r="70" spans="1:12">
      <c r="A70" t="s">
        <v>514</v>
      </c>
      <c r="B70" t="s">
        <v>3365</v>
      </c>
      <c r="C70" s="60" t="s">
        <v>318</v>
      </c>
      <c r="D70" t="s">
        <v>587</v>
      </c>
      <c r="E70" t="s">
        <v>588</v>
      </c>
      <c r="F70" t="s">
        <v>506</v>
      </c>
      <c r="G70" t="s">
        <v>507</v>
      </c>
      <c r="H70" t="s">
        <v>508</v>
      </c>
      <c r="I70" t="s">
        <v>509</v>
      </c>
      <c r="J70" t="s">
        <v>589</v>
      </c>
      <c r="K70" s="491">
        <f t="shared" si="5"/>
        <v>10500</v>
      </c>
      <c r="L70" t="s">
        <v>530</v>
      </c>
    </row>
    <row r="71" spans="1:12">
      <c r="A71" t="s">
        <v>514</v>
      </c>
      <c r="B71" t="s">
        <v>3366</v>
      </c>
      <c r="C71" s="60" t="s">
        <v>318</v>
      </c>
      <c r="D71" t="s">
        <v>587</v>
      </c>
      <c r="E71" t="s">
        <v>588</v>
      </c>
      <c r="F71" t="s">
        <v>506</v>
      </c>
      <c r="G71" t="s">
        <v>507</v>
      </c>
      <c r="H71" t="s">
        <v>508</v>
      </c>
      <c r="I71" t="s">
        <v>509</v>
      </c>
      <c r="J71" t="s">
        <v>589</v>
      </c>
      <c r="K71" s="491">
        <f t="shared" si="5"/>
        <v>10500</v>
      </c>
      <c r="L71" t="s">
        <v>530</v>
      </c>
    </row>
    <row r="72" spans="1:12">
      <c r="A72" t="s">
        <v>514</v>
      </c>
      <c r="B72" t="s">
        <v>3367</v>
      </c>
      <c r="C72" s="60" t="s">
        <v>318</v>
      </c>
      <c r="D72" t="s">
        <v>587</v>
      </c>
      <c r="E72" t="s">
        <v>588</v>
      </c>
      <c r="F72" t="s">
        <v>506</v>
      </c>
      <c r="G72" t="s">
        <v>507</v>
      </c>
      <c r="H72" t="s">
        <v>508</v>
      </c>
      <c r="I72" t="s">
        <v>509</v>
      </c>
      <c r="J72" t="s">
        <v>589</v>
      </c>
      <c r="K72" s="491">
        <f t="shared" si="5"/>
        <v>10500</v>
      </c>
      <c r="L72" t="s">
        <v>530</v>
      </c>
    </row>
    <row r="73" spans="1:12">
      <c r="A73" t="s">
        <v>514</v>
      </c>
      <c r="B73" t="s">
        <v>3356</v>
      </c>
      <c r="C73" s="3" t="s">
        <v>319</v>
      </c>
      <c r="D73" t="s">
        <v>587</v>
      </c>
      <c r="E73" t="s">
        <v>588</v>
      </c>
      <c r="F73" t="s">
        <v>506</v>
      </c>
      <c r="G73" t="s">
        <v>507</v>
      </c>
      <c r="H73" t="s">
        <v>508</v>
      </c>
      <c r="I73" t="s">
        <v>509</v>
      </c>
      <c r="J73" t="s">
        <v>589</v>
      </c>
      <c r="K73" s="491">
        <f>+VLOOKUP(C73,[1]capacité!$C:$K,9,FALSE)</f>
        <v>10500</v>
      </c>
      <c r="L73" t="s">
        <v>531</v>
      </c>
    </row>
    <row r="74" spans="1:12">
      <c r="A74" t="s">
        <v>514</v>
      </c>
      <c r="B74" t="s">
        <v>3357</v>
      </c>
      <c r="C74" s="60" t="s">
        <v>319</v>
      </c>
      <c r="D74" t="s">
        <v>587</v>
      </c>
      <c r="E74" t="s">
        <v>588</v>
      </c>
      <c r="F74" t="s">
        <v>506</v>
      </c>
      <c r="G74" t="s">
        <v>507</v>
      </c>
      <c r="H74" t="s">
        <v>508</v>
      </c>
      <c r="I74" t="s">
        <v>509</v>
      </c>
      <c r="J74" t="s">
        <v>589</v>
      </c>
      <c r="K74" s="491">
        <f>+K73</f>
        <v>10500</v>
      </c>
      <c r="L74" t="s">
        <v>531</v>
      </c>
    </row>
    <row r="75" spans="1:12">
      <c r="A75" t="s">
        <v>514</v>
      </c>
      <c r="B75" t="s">
        <v>3358</v>
      </c>
      <c r="C75" s="60" t="s">
        <v>319</v>
      </c>
      <c r="D75" t="s">
        <v>587</v>
      </c>
      <c r="E75" t="s">
        <v>588</v>
      </c>
      <c r="F75" t="s">
        <v>506</v>
      </c>
      <c r="G75" t="s">
        <v>507</v>
      </c>
      <c r="H75" t="s">
        <v>508</v>
      </c>
      <c r="I75" t="s">
        <v>509</v>
      </c>
      <c r="J75" t="s">
        <v>589</v>
      </c>
      <c r="K75" s="491">
        <f t="shared" ref="K75:K84" si="6">+K74</f>
        <v>10500</v>
      </c>
      <c r="L75" t="s">
        <v>531</v>
      </c>
    </row>
    <row r="76" spans="1:12">
      <c r="A76" t="s">
        <v>514</v>
      </c>
      <c r="B76" t="s">
        <v>3359</v>
      </c>
      <c r="C76" s="60" t="s">
        <v>319</v>
      </c>
      <c r="D76" t="s">
        <v>587</v>
      </c>
      <c r="E76" t="s">
        <v>588</v>
      </c>
      <c r="F76" t="s">
        <v>506</v>
      </c>
      <c r="G76" t="s">
        <v>507</v>
      </c>
      <c r="H76" t="s">
        <v>508</v>
      </c>
      <c r="I76" t="s">
        <v>509</v>
      </c>
      <c r="J76" t="s">
        <v>589</v>
      </c>
      <c r="K76" s="491">
        <f t="shared" si="6"/>
        <v>10500</v>
      </c>
      <c r="L76" t="s">
        <v>531</v>
      </c>
    </row>
    <row r="77" spans="1:12">
      <c r="A77" t="s">
        <v>514</v>
      </c>
      <c r="B77" t="s">
        <v>3360</v>
      </c>
      <c r="C77" s="60" t="s">
        <v>319</v>
      </c>
      <c r="D77" t="s">
        <v>587</v>
      </c>
      <c r="E77" t="s">
        <v>588</v>
      </c>
      <c r="F77" t="s">
        <v>506</v>
      </c>
      <c r="G77" t="s">
        <v>507</v>
      </c>
      <c r="H77" t="s">
        <v>508</v>
      </c>
      <c r="I77" t="s">
        <v>509</v>
      </c>
      <c r="J77" t="s">
        <v>589</v>
      </c>
      <c r="K77" s="491">
        <f t="shared" si="6"/>
        <v>10500</v>
      </c>
      <c r="L77" t="s">
        <v>531</v>
      </c>
    </row>
    <row r="78" spans="1:12">
      <c r="A78" t="s">
        <v>514</v>
      </c>
      <c r="B78" t="s">
        <v>3361</v>
      </c>
      <c r="C78" s="60" t="s">
        <v>319</v>
      </c>
      <c r="D78" t="s">
        <v>587</v>
      </c>
      <c r="E78" t="s">
        <v>588</v>
      </c>
      <c r="F78" t="s">
        <v>506</v>
      </c>
      <c r="G78" t="s">
        <v>507</v>
      </c>
      <c r="H78" t="s">
        <v>508</v>
      </c>
      <c r="I78" t="s">
        <v>509</v>
      </c>
      <c r="J78" t="s">
        <v>589</v>
      </c>
      <c r="K78" s="491">
        <f t="shared" si="6"/>
        <v>10500</v>
      </c>
      <c r="L78" t="s">
        <v>531</v>
      </c>
    </row>
    <row r="79" spans="1:12">
      <c r="A79" t="s">
        <v>514</v>
      </c>
      <c r="B79" t="s">
        <v>3362</v>
      </c>
      <c r="C79" s="60" t="s">
        <v>319</v>
      </c>
      <c r="D79" t="s">
        <v>587</v>
      </c>
      <c r="E79" t="s">
        <v>588</v>
      </c>
      <c r="F79" t="s">
        <v>506</v>
      </c>
      <c r="G79" t="s">
        <v>507</v>
      </c>
      <c r="H79" t="s">
        <v>508</v>
      </c>
      <c r="I79" t="s">
        <v>509</v>
      </c>
      <c r="J79" t="s">
        <v>589</v>
      </c>
      <c r="K79" s="491">
        <f t="shared" si="6"/>
        <v>10500</v>
      </c>
      <c r="L79" t="s">
        <v>531</v>
      </c>
    </row>
    <row r="80" spans="1:12">
      <c r="A80" t="s">
        <v>514</v>
      </c>
      <c r="B80" t="s">
        <v>3363</v>
      </c>
      <c r="C80" s="60" t="s">
        <v>319</v>
      </c>
      <c r="D80" t="s">
        <v>587</v>
      </c>
      <c r="E80" t="s">
        <v>588</v>
      </c>
      <c r="F80" t="s">
        <v>506</v>
      </c>
      <c r="G80" t="s">
        <v>507</v>
      </c>
      <c r="H80" t="s">
        <v>508</v>
      </c>
      <c r="I80" t="s">
        <v>509</v>
      </c>
      <c r="J80" t="s">
        <v>589</v>
      </c>
      <c r="K80" s="491">
        <f t="shared" si="6"/>
        <v>10500</v>
      </c>
      <c r="L80" t="s">
        <v>531</v>
      </c>
    </row>
    <row r="81" spans="1:12">
      <c r="A81" t="s">
        <v>514</v>
      </c>
      <c r="B81" t="s">
        <v>3364</v>
      </c>
      <c r="C81" s="60" t="s">
        <v>319</v>
      </c>
      <c r="D81" t="s">
        <v>587</v>
      </c>
      <c r="E81" t="s">
        <v>588</v>
      </c>
      <c r="F81" t="s">
        <v>506</v>
      </c>
      <c r="G81" t="s">
        <v>507</v>
      </c>
      <c r="H81" t="s">
        <v>508</v>
      </c>
      <c r="I81" t="s">
        <v>509</v>
      </c>
      <c r="J81" t="s">
        <v>589</v>
      </c>
      <c r="K81" s="491">
        <f t="shared" si="6"/>
        <v>10500</v>
      </c>
      <c r="L81" t="s">
        <v>531</v>
      </c>
    </row>
    <row r="82" spans="1:12">
      <c r="A82" t="s">
        <v>514</v>
      </c>
      <c r="B82" t="s">
        <v>3365</v>
      </c>
      <c r="C82" s="60" t="s">
        <v>319</v>
      </c>
      <c r="D82" t="s">
        <v>587</v>
      </c>
      <c r="E82" t="s">
        <v>588</v>
      </c>
      <c r="F82" t="s">
        <v>506</v>
      </c>
      <c r="G82" t="s">
        <v>507</v>
      </c>
      <c r="H82" t="s">
        <v>508</v>
      </c>
      <c r="I82" t="s">
        <v>509</v>
      </c>
      <c r="J82" t="s">
        <v>589</v>
      </c>
      <c r="K82" s="491">
        <f t="shared" si="6"/>
        <v>10500</v>
      </c>
      <c r="L82" t="s">
        <v>531</v>
      </c>
    </row>
    <row r="83" spans="1:12">
      <c r="A83" t="s">
        <v>514</v>
      </c>
      <c r="B83" t="s">
        <v>3366</v>
      </c>
      <c r="C83" s="60" t="s">
        <v>319</v>
      </c>
      <c r="D83" t="s">
        <v>587</v>
      </c>
      <c r="E83" t="s">
        <v>588</v>
      </c>
      <c r="F83" t="s">
        <v>506</v>
      </c>
      <c r="G83" t="s">
        <v>507</v>
      </c>
      <c r="H83" t="s">
        <v>508</v>
      </c>
      <c r="I83" t="s">
        <v>509</v>
      </c>
      <c r="J83" t="s">
        <v>589</v>
      </c>
      <c r="K83" s="491">
        <f t="shared" si="6"/>
        <v>10500</v>
      </c>
      <c r="L83" t="s">
        <v>531</v>
      </c>
    </row>
    <row r="84" spans="1:12">
      <c r="A84" t="s">
        <v>514</v>
      </c>
      <c r="B84" t="s">
        <v>3367</v>
      </c>
      <c r="C84" s="60" t="s">
        <v>319</v>
      </c>
      <c r="D84" t="s">
        <v>587</v>
      </c>
      <c r="E84" t="s">
        <v>588</v>
      </c>
      <c r="F84" t="s">
        <v>506</v>
      </c>
      <c r="G84" t="s">
        <v>507</v>
      </c>
      <c r="H84" t="s">
        <v>508</v>
      </c>
      <c r="I84" t="s">
        <v>509</v>
      </c>
      <c r="J84" t="s">
        <v>589</v>
      </c>
      <c r="K84" s="491">
        <f t="shared" si="6"/>
        <v>10500</v>
      </c>
      <c r="L84" t="s">
        <v>531</v>
      </c>
    </row>
    <row r="85" spans="1:12">
      <c r="A85" t="s">
        <v>514</v>
      </c>
      <c r="B85" t="s">
        <v>3356</v>
      </c>
      <c r="C85" s="3" t="s">
        <v>320</v>
      </c>
      <c r="D85" t="s">
        <v>587</v>
      </c>
      <c r="E85" t="s">
        <v>588</v>
      </c>
      <c r="F85" t="s">
        <v>506</v>
      </c>
      <c r="G85" t="s">
        <v>507</v>
      </c>
      <c r="H85" t="s">
        <v>508</v>
      </c>
      <c r="I85" t="s">
        <v>509</v>
      </c>
      <c r="J85" t="s">
        <v>589</v>
      </c>
      <c r="K85" s="491">
        <v>0</v>
      </c>
      <c r="L85" t="s">
        <v>532</v>
      </c>
    </row>
    <row r="86" spans="1:12">
      <c r="A86" t="s">
        <v>514</v>
      </c>
      <c r="B86" t="s">
        <v>3357</v>
      </c>
      <c r="C86" s="60" t="s">
        <v>320</v>
      </c>
      <c r="D86" t="s">
        <v>587</v>
      </c>
      <c r="E86" t="s">
        <v>588</v>
      </c>
      <c r="F86" t="s">
        <v>506</v>
      </c>
      <c r="G86" t="s">
        <v>507</v>
      </c>
      <c r="H86" t="s">
        <v>508</v>
      </c>
      <c r="I86" t="s">
        <v>509</v>
      </c>
      <c r="J86" t="s">
        <v>589</v>
      </c>
      <c r="K86" s="491">
        <v>0</v>
      </c>
      <c r="L86" t="s">
        <v>532</v>
      </c>
    </row>
    <row r="87" spans="1:12">
      <c r="A87" t="s">
        <v>514</v>
      </c>
      <c r="B87" t="s">
        <v>3358</v>
      </c>
      <c r="C87" s="60" t="s">
        <v>320</v>
      </c>
      <c r="D87" t="s">
        <v>587</v>
      </c>
      <c r="E87" t="s">
        <v>588</v>
      </c>
      <c r="F87" t="s">
        <v>506</v>
      </c>
      <c r="G87" t="s">
        <v>507</v>
      </c>
      <c r="H87" t="s">
        <v>508</v>
      </c>
      <c r="I87" t="s">
        <v>509</v>
      </c>
      <c r="J87" t="s">
        <v>589</v>
      </c>
      <c r="K87" s="491">
        <v>0</v>
      </c>
      <c r="L87" t="s">
        <v>532</v>
      </c>
    </row>
    <row r="88" spans="1:12">
      <c r="A88" t="s">
        <v>514</v>
      </c>
      <c r="B88" t="s">
        <v>3359</v>
      </c>
      <c r="C88" s="60" t="s">
        <v>320</v>
      </c>
      <c r="D88" t="s">
        <v>587</v>
      </c>
      <c r="E88" t="s">
        <v>588</v>
      </c>
      <c r="F88" t="s">
        <v>506</v>
      </c>
      <c r="G88" t="s">
        <v>507</v>
      </c>
      <c r="H88" t="s">
        <v>508</v>
      </c>
      <c r="I88" t="s">
        <v>509</v>
      </c>
      <c r="J88" t="s">
        <v>589</v>
      </c>
      <c r="K88" s="491">
        <v>0</v>
      </c>
      <c r="L88" t="s">
        <v>532</v>
      </c>
    </row>
    <row r="89" spans="1:12">
      <c r="A89" t="s">
        <v>514</v>
      </c>
      <c r="B89" t="s">
        <v>3360</v>
      </c>
      <c r="C89" s="60" t="s">
        <v>320</v>
      </c>
      <c r="D89" t="s">
        <v>587</v>
      </c>
      <c r="E89" t="s">
        <v>588</v>
      </c>
      <c r="F89" t="s">
        <v>506</v>
      </c>
      <c r="G89" t="s">
        <v>507</v>
      </c>
      <c r="H89" t="s">
        <v>508</v>
      </c>
      <c r="I89" t="s">
        <v>509</v>
      </c>
      <c r="J89" t="s">
        <v>589</v>
      </c>
      <c r="K89" s="491">
        <v>0</v>
      </c>
      <c r="L89" t="s">
        <v>532</v>
      </c>
    </row>
    <row r="90" spans="1:12">
      <c r="A90" t="s">
        <v>514</v>
      </c>
      <c r="B90" t="s">
        <v>3361</v>
      </c>
      <c r="C90" s="60" t="s">
        <v>320</v>
      </c>
      <c r="D90" t="s">
        <v>587</v>
      </c>
      <c r="E90" t="s">
        <v>588</v>
      </c>
      <c r="F90" t="s">
        <v>506</v>
      </c>
      <c r="G90" t="s">
        <v>507</v>
      </c>
      <c r="H90" t="s">
        <v>508</v>
      </c>
      <c r="I90" t="s">
        <v>509</v>
      </c>
      <c r="J90" t="s">
        <v>589</v>
      </c>
      <c r="K90" s="491">
        <v>0</v>
      </c>
      <c r="L90" t="s">
        <v>532</v>
      </c>
    </row>
    <row r="91" spans="1:12">
      <c r="A91" t="s">
        <v>514</v>
      </c>
      <c r="B91" t="s">
        <v>3362</v>
      </c>
      <c r="C91" s="60" t="s">
        <v>320</v>
      </c>
      <c r="D91" t="s">
        <v>587</v>
      </c>
      <c r="E91" t="s">
        <v>588</v>
      </c>
      <c r="F91" t="s">
        <v>506</v>
      </c>
      <c r="G91" t="s">
        <v>507</v>
      </c>
      <c r="H91" t="s">
        <v>508</v>
      </c>
      <c r="I91" t="s">
        <v>509</v>
      </c>
      <c r="J91" t="s">
        <v>589</v>
      </c>
      <c r="K91" s="491">
        <v>0</v>
      </c>
      <c r="L91" t="s">
        <v>532</v>
      </c>
    </row>
    <row r="92" spans="1:12">
      <c r="A92" t="s">
        <v>514</v>
      </c>
      <c r="B92" t="s">
        <v>3363</v>
      </c>
      <c r="C92" s="60" t="s">
        <v>320</v>
      </c>
      <c r="D92" t="s">
        <v>587</v>
      </c>
      <c r="E92" t="s">
        <v>588</v>
      </c>
      <c r="F92" t="s">
        <v>506</v>
      </c>
      <c r="G92" t="s">
        <v>507</v>
      </c>
      <c r="H92" t="s">
        <v>508</v>
      </c>
      <c r="I92" t="s">
        <v>509</v>
      </c>
      <c r="J92" t="s">
        <v>589</v>
      </c>
      <c r="K92" s="491">
        <v>0</v>
      </c>
      <c r="L92" t="s">
        <v>532</v>
      </c>
    </row>
    <row r="93" spans="1:12">
      <c r="A93" t="s">
        <v>514</v>
      </c>
      <c r="B93" t="s">
        <v>3364</v>
      </c>
      <c r="C93" s="60" t="s">
        <v>320</v>
      </c>
      <c r="D93" t="s">
        <v>587</v>
      </c>
      <c r="E93" t="s">
        <v>588</v>
      </c>
      <c r="F93" t="s">
        <v>506</v>
      </c>
      <c r="G93" t="s">
        <v>507</v>
      </c>
      <c r="H93" t="s">
        <v>508</v>
      </c>
      <c r="I93" t="s">
        <v>509</v>
      </c>
      <c r="J93" t="s">
        <v>589</v>
      </c>
      <c r="K93" s="491">
        <v>0</v>
      </c>
      <c r="L93" t="s">
        <v>532</v>
      </c>
    </row>
    <row r="94" spans="1:12">
      <c r="A94" t="s">
        <v>514</v>
      </c>
      <c r="B94" t="s">
        <v>3365</v>
      </c>
      <c r="C94" s="60" t="s">
        <v>320</v>
      </c>
      <c r="D94" t="s">
        <v>587</v>
      </c>
      <c r="E94" t="s">
        <v>588</v>
      </c>
      <c r="F94" t="s">
        <v>506</v>
      </c>
      <c r="G94" t="s">
        <v>507</v>
      </c>
      <c r="H94" t="s">
        <v>508</v>
      </c>
      <c r="I94" t="s">
        <v>509</v>
      </c>
      <c r="J94" t="s">
        <v>589</v>
      </c>
      <c r="K94" s="491">
        <v>0</v>
      </c>
      <c r="L94" t="s">
        <v>532</v>
      </c>
    </row>
    <row r="95" spans="1:12">
      <c r="A95" t="s">
        <v>514</v>
      </c>
      <c r="B95" t="s">
        <v>3366</v>
      </c>
      <c r="C95" s="60" t="s">
        <v>320</v>
      </c>
      <c r="D95" t="s">
        <v>587</v>
      </c>
      <c r="E95" t="s">
        <v>588</v>
      </c>
      <c r="F95" t="s">
        <v>506</v>
      </c>
      <c r="G95" t="s">
        <v>507</v>
      </c>
      <c r="H95" t="s">
        <v>508</v>
      </c>
      <c r="I95" t="s">
        <v>509</v>
      </c>
      <c r="J95" t="s">
        <v>589</v>
      </c>
      <c r="K95" s="491">
        <v>0</v>
      </c>
      <c r="L95" t="s">
        <v>532</v>
      </c>
    </row>
    <row r="96" spans="1:12">
      <c r="A96" t="s">
        <v>514</v>
      </c>
      <c r="B96" t="s">
        <v>3367</v>
      </c>
      <c r="C96" s="60" t="s">
        <v>320</v>
      </c>
      <c r="D96" t="s">
        <v>587</v>
      </c>
      <c r="E96" t="s">
        <v>588</v>
      </c>
      <c r="F96" t="s">
        <v>506</v>
      </c>
      <c r="G96" t="s">
        <v>507</v>
      </c>
      <c r="H96" t="s">
        <v>508</v>
      </c>
      <c r="I96" t="s">
        <v>509</v>
      </c>
      <c r="J96" t="s">
        <v>589</v>
      </c>
      <c r="K96" s="491">
        <v>0</v>
      </c>
      <c r="L96" t="s">
        <v>532</v>
      </c>
    </row>
    <row r="97" spans="1:12">
      <c r="A97" t="s">
        <v>514</v>
      </c>
      <c r="B97" t="s">
        <v>3356</v>
      </c>
      <c r="C97" s="3" t="s">
        <v>321</v>
      </c>
      <c r="D97" t="s">
        <v>587</v>
      </c>
      <c r="E97" t="s">
        <v>588</v>
      </c>
      <c r="F97" t="s">
        <v>506</v>
      </c>
      <c r="G97" t="s">
        <v>507</v>
      </c>
      <c r="H97" t="s">
        <v>508</v>
      </c>
      <c r="I97" t="s">
        <v>509</v>
      </c>
      <c r="J97" t="s">
        <v>589</v>
      </c>
      <c r="K97" s="491">
        <v>0</v>
      </c>
      <c r="L97" t="s">
        <v>841</v>
      </c>
    </row>
    <row r="98" spans="1:12">
      <c r="A98" t="s">
        <v>514</v>
      </c>
      <c r="B98" t="s">
        <v>3357</v>
      </c>
      <c r="C98" s="60" t="s">
        <v>321</v>
      </c>
      <c r="D98" t="s">
        <v>587</v>
      </c>
      <c r="E98" t="s">
        <v>588</v>
      </c>
      <c r="F98" t="s">
        <v>506</v>
      </c>
      <c r="G98" t="s">
        <v>507</v>
      </c>
      <c r="H98" t="s">
        <v>508</v>
      </c>
      <c r="I98" t="s">
        <v>509</v>
      </c>
      <c r="J98" t="s">
        <v>589</v>
      </c>
      <c r="K98" s="491">
        <v>0</v>
      </c>
      <c r="L98" t="s">
        <v>841</v>
      </c>
    </row>
    <row r="99" spans="1:12">
      <c r="A99" t="s">
        <v>514</v>
      </c>
      <c r="B99" t="s">
        <v>3358</v>
      </c>
      <c r="C99" s="60" t="s">
        <v>321</v>
      </c>
      <c r="D99" t="s">
        <v>587</v>
      </c>
      <c r="E99" t="s">
        <v>588</v>
      </c>
      <c r="F99" t="s">
        <v>506</v>
      </c>
      <c r="G99" t="s">
        <v>507</v>
      </c>
      <c r="H99" t="s">
        <v>508</v>
      </c>
      <c r="I99" t="s">
        <v>509</v>
      </c>
      <c r="J99" t="s">
        <v>589</v>
      </c>
      <c r="K99" s="491">
        <v>0</v>
      </c>
      <c r="L99" t="s">
        <v>841</v>
      </c>
    </row>
    <row r="100" spans="1:12">
      <c r="A100" t="s">
        <v>514</v>
      </c>
      <c r="B100" t="s">
        <v>3359</v>
      </c>
      <c r="C100" s="60" t="s">
        <v>321</v>
      </c>
      <c r="D100" t="s">
        <v>587</v>
      </c>
      <c r="E100" t="s">
        <v>588</v>
      </c>
      <c r="F100" t="s">
        <v>506</v>
      </c>
      <c r="G100" t="s">
        <v>507</v>
      </c>
      <c r="H100" t="s">
        <v>508</v>
      </c>
      <c r="I100" t="s">
        <v>509</v>
      </c>
      <c r="J100" t="s">
        <v>589</v>
      </c>
      <c r="K100" s="491">
        <v>0</v>
      </c>
      <c r="L100" t="s">
        <v>841</v>
      </c>
    </row>
    <row r="101" spans="1:12">
      <c r="A101" t="s">
        <v>514</v>
      </c>
      <c r="B101" t="s">
        <v>3360</v>
      </c>
      <c r="C101" s="60" t="s">
        <v>321</v>
      </c>
      <c r="D101" t="s">
        <v>587</v>
      </c>
      <c r="E101" t="s">
        <v>588</v>
      </c>
      <c r="F101" t="s">
        <v>506</v>
      </c>
      <c r="G101" t="s">
        <v>507</v>
      </c>
      <c r="H101" t="s">
        <v>508</v>
      </c>
      <c r="I101" t="s">
        <v>509</v>
      </c>
      <c r="J101" t="s">
        <v>589</v>
      </c>
      <c r="K101" s="491">
        <v>0</v>
      </c>
      <c r="L101" t="s">
        <v>841</v>
      </c>
    </row>
    <row r="102" spans="1:12">
      <c r="A102" t="s">
        <v>514</v>
      </c>
      <c r="B102" t="s">
        <v>3361</v>
      </c>
      <c r="C102" s="60" t="s">
        <v>321</v>
      </c>
      <c r="D102" t="s">
        <v>587</v>
      </c>
      <c r="E102" t="s">
        <v>588</v>
      </c>
      <c r="F102" t="s">
        <v>506</v>
      </c>
      <c r="G102" t="s">
        <v>507</v>
      </c>
      <c r="H102" t="s">
        <v>508</v>
      </c>
      <c r="I102" t="s">
        <v>509</v>
      </c>
      <c r="J102" t="s">
        <v>589</v>
      </c>
      <c r="K102" s="491">
        <v>0</v>
      </c>
      <c r="L102" t="s">
        <v>841</v>
      </c>
    </row>
    <row r="103" spans="1:12">
      <c r="A103" t="s">
        <v>514</v>
      </c>
      <c r="B103" t="s">
        <v>3362</v>
      </c>
      <c r="C103" s="60" t="s">
        <v>321</v>
      </c>
      <c r="D103" t="s">
        <v>587</v>
      </c>
      <c r="E103" t="s">
        <v>588</v>
      </c>
      <c r="F103" t="s">
        <v>506</v>
      </c>
      <c r="G103" t="s">
        <v>507</v>
      </c>
      <c r="H103" t="s">
        <v>508</v>
      </c>
      <c r="I103" t="s">
        <v>509</v>
      </c>
      <c r="J103" t="s">
        <v>589</v>
      </c>
      <c r="K103" s="491">
        <v>0</v>
      </c>
      <c r="L103" t="s">
        <v>841</v>
      </c>
    </row>
    <row r="104" spans="1:12">
      <c r="A104" t="s">
        <v>514</v>
      </c>
      <c r="B104" t="s">
        <v>3363</v>
      </c>
      <c r="C104" s="60" t="s">
        <v>321</v>
      </c>
      <c r="D104" t="s">
        <v>587</v>
      </c>
      <c r="E104" t="s">
        <v>588</v>
      </c>
      <c r="F104" t="s">
        <v>506</v>
      </c>
      <c r="G104" t="s">
        <v>507</v>
      </c>
      <c r="H104" t="s">
        <v>508</v>
      </c>
      <c r="I104" t="s">
        <v>509</v>
      </c>
      <c r="J104" t="s">
        <v>589</v>
      </c>
      <c r="K104" s="491">
        <v>0</v>
      </c>
      <c r="L104" t="s">
        <v>841</v>
      </c>
    </row>
    <row r="105" spans="1:12">
      <c r="A105" t="s">
        <v>514</v>
      </c>
      <c r="B105" t="s">
        <v>3364</v>
      </c>
      <c r="C105" s="60" t="s">
        <v>321</v>
      </c>
      <c r="D105" t="s">
        <v>587</v>
      </c>
      <c r="E105" t="s">
        <v>588</v>
      </c>
      <c r="F105" t="s">
        <v>506</v>
      </c>
      <c r="G105" t="s">
        <v>507</v>
      </c>
      <c r="H105" t="s">
        <v>508</v>
      </c>
      <c r="I105" t="s">
        <v>509</v>
      </c>
      <c r="J105" t="s">
        <v>589</v>
      </c>
      <c r="K105" s="491">
        <v>0</v>
      </c>
      <c r="L105" t="s">
        <v>841</v>
      </c>
    </row>
    <row r="106" spans="1:12">
      <c r="A106" t="s">
        <v>514</v>
      </c>
      <c r="B106" t="s">
        <v>3365</v>
      </c>
      <c r="C106" s="60" t="s">
        <v>321</v>
      </c>
      <c r="D106" t="s">
        <v>587</v>
      </c>
      <c r="E106" t="s">
        <v>588</v>
      </c>
      <c r="F106" t="s">
        <v>506</v>
      </c>
      <c r="G106" t="s">
        <v>507</v>
      </c>
      <c r="H106" t="s">
        <v>508</v>
      </c>
      <c r="I106" t="s">
        <v>509</v>
      </c>
      <c r="J106" t="s">
        <v>589</v>
      </c>
      <c r="K106" s="491">
        <v>0</v>
      </c>
      <c r="L106" t="s">
        <v>841</v>
      </c>
    </row>
    <row r="107" spans="1:12">
      <c r="A107" t="s">
        <v>514</v>
      </c>
      <c r="B107" t="s">
        <v>3366</v>
      </c>
      <c r="C107" s="60" t="s">
        <v>321</v>
      </c>
      <c r="D107" t="s">
        <v>587</v>
      </c>
      <c r="E107" t="s">
        <v>588</v>
      </c>
      <c r="F107" t="s">
        <v>506</v>
      </c>
      <c r="G107" t="s">
        <v>507</v>
      </c>
      <c r="H107" t="s">
        <v>508</v>
      </c>
      <c r="I107" t="s">
        <v>509</v>
      </c>
      <c r="J107" t="s">
        <v>589</v>
      </c>
      <c r="K107" s="491">
        <v>0</v>
      </c>
      <c r="L107" t="s">
        <v>841</v>
      </c>
    </row>
    <row r="108" spans="1:12">
      <c r="A108" t="s">
        <v>514</v>
      </c>
      <c r="B108" t="s">
        <v>3367</v>
      </c>
      <c r="C108" s="60" t="s">
        <v>321</v>
      </c>
      <c r="D108" t="s">
        <v>587</v>
      </c>
      <c r="E108" t="s">
        <v>588</v>
      </c>
      <c r="F108" t="s">
        <v>506</v>
      </c>
      <c r="G108" t="s">
        <v>507</v>
      </c>
      <c r="H108" t="s">
        <v>508</v>
      </c>
      <c r="I108" t="s">
        <v>509</v>
      </c>
      <c r="J108" t="s">
        <v>589</v>
      </c>
      <c r="K108" s="491">
        <v>0</v>
      </c>
      <c r="L108" t="s">
        <v>841</v>
      </c>
    </row>
    <row r="109" spans="1:12">
      <c r="A109" t="s">
        <v>514</v>
      </c>
      <c r="B109" t="s">
        <v>3356</v>
      </c>
      <c r="C109" s="3" t="s">
        <v>419</v>
      </c>
      <c r="D109" t="s">
        <v>587</v>
      </c>
      <c r="E109" t="s">
        <v>588</v>
      </c>
      <c r="F109" t="s">
        <v>506</v>
      </c>
      <c r="G109" t="s">
        <v>507</v>
      </c>
      <c r="H109" t="s">
        <v>508</v>
      </c>
      <c r="I109" t="s">
        <v>509</v>
      </c>
      <c r="J109" t="s">
        <v>589</v>
      </c>
      <c r="K109" s="491">
        <f>+VLOOKUP(C109,[1]capacité!$C:$K,9,FALSE)</f>
        <v>4600</v>
      </c>
      <c r="L109" t="s">
        <v>295</v>
      </c>
    </row>
    <row r="110" spans="1:12">
      <c r="A110" t="s">
        <v>514</v>
      </c>
      <c r="B110" t="s">
        <v>3357</v>
      </c>
      <c r="C110" s="60" t="s">
        <v>419</v>
      </c>
      <c r="D110" t="s">
        <v>587</v>
      </c>
      <c r="E110" t="s">
        <v>588</v>
      </c>
      <c r="F110" t="s">
        <v>506</v>
      </c>
      <c r="G110" t="s">
        <v>507</v>
      </c>
      <c r="H110" t="s">
        <v>508</v>
      </c>
      <c r="I110" t="s">
        <v>509</v>
      </c>
      <c r="J110" t="s">
        <v>589</v>
      </c>
      <c r="K110" s="491">
        <f>+K109</f>
        <v>4600</v>
      </c>
      <c r="L110" t="s">
        <v>295</v>
      </c>
    </row>
    <row r="111" spans="1:12">
      <c r="A111" t="s">
        <v>514</v>
      </c>
      <c r="B111" t="s">
        <v>3358</v>
      </c>
      <c r="C111" s="60" t="s">
        <v>419</v>
      </c>
      <c r="D111" t="s">
        <v>587</v>
      </c>
      <c r="E111" t="s">
        <v>588</v>
      </c>
      <c r="F111" t="s">
        <v>506</v>
      </c>
      <c r="G111" t="s">
        <v>507</v>
      </c>
      <c r="H111" t="s">
        <v>508</v>
      </c>
      <c r="I111" t="s">
        <v>509</v>
      </c>
      <c r="J111" t="s">
        <v>589</v>
      </c>
      <c r="K111" s="491">
        <f t="shared" ref="K111:K120" si="7">+K110</f>
        <v>4600</v>
      </c>
      <c r="L111" t="s">
        <v>295</v>
      </c>
    </row>
    <row r="112" spans="1:12">
      <c r="A112" t="s">
        <v>514</v>
      </c>
      <c r="B112" t="s">
        <v>3359</v>
      </c>
      <c r="C112" s="60" t="s">
        <v>419</v>
      </c>
      <c r="D112" t="s">
        <v>587</v>
      </c>
      <c r="E112" t="s">
        <v>588</v>
      </c>
      <c r="F112" t="s">
        <v>506</v>
      </c>
      <c r="G112" t="s">
        <v>507</v>
      </c>
      <c r="H112" t="s">
        <v>508</v>
      </c>
      <c r="I112" t="s">
        <v>509</v>
      </c>
      <c r="J112" t="s">
        <v>589</v>
      </c>
      <c r="K112" s="491">
        <f t="shared" si="7"/>
        <v>4600</v>
      </c>
      <c r="L112" t="s">
        <v>295</v>
      </c>
    </row>
    <row r="113" spans="1:12">
      <c r="A113" t="s">
        <v>514</v>
      </c>
      <c r="B113" t="s">
        <v>3360</v>
      </c>
      <c r="C113" s="60" t="s">
        <v>419</v>
      </c>
      <c r="D113" t="s">
        <v>587</v>
      </c>
      <c r="E113" t="s">
        <v>588</v>
      </c>
      <c r="F113" t="s">
        <v>506</v>
      </c>
      <c r="G113" t="s">
        <v>507</v>
      </c>
      <c r="H113" t="s">
        <v>508</v>
      </c>
      <c r="I113" t="s">
        <v>509</v>
      </c>
      <c r="J113" t="s">
        <v>589</v>
      </c>
      <c r="K113" s="491">
        <f t="shared" si="7"/>
        <v>4600</v>
      </c>
      <c r="L113" t="s">
        <v>295</v>
      </c>
    </row>
    <row r="114" spans="1:12">
      <c r="A114" t="s">
        <v>514</v>
      </c>
      <c r="B114" t="s">
        <v>3361</v>
      </c>
      <c r="C114" s="60" t="s">
        <v>419</v>
      </c>
      <c r="D114" t="s">
        <v>587</v>
      </c>
      <c r="E114" t="s">
        <v>588</v>
      </c>
      <c r="F114" t="s">
        <v>506</v>
      </c>
      <c r="G114" t="s">
        <v>507</v>
      </c>
      <c r="H114" t="s">
        <v>508</v>
      </c>
      <c r="I114" t="s">
        <v>509</v>
      </c>
      <c r="J114" t="s">
        <v>589</v>
      </c>
      <c r="K114" s="491">
        <f t="shared" si="7"/>
        <v>4600</v>
      </c>
      <c r="L114" t="s">
        <v>295</v>
      </c>
    </row>
    <row r="115" spans="1:12">
      <c r="A115" t="s">
        <v>514</v>
      </c>
      <c r="B115" t="s">
        <v>3362</v>
      </c>
      <c r="C115" s="60" t="s">
        <v>419</v>
      </c>
      <c r="D115" t="s">
        <v>587</v>
      </c>
      <c r="E115" t="s">
        <v>588</v>
      </c>
      <c r="F115" t="s">
        <v>506</v>
      </c>
      <c r="G115" t="s">
        <v>507</v>
      </c>
      <c r="H115" t="s">
        <v>508</v>
      </c>
      <c r="I115" t="s">
        <v>509</v>
      </c>
      <c r="J115" t="s">
        <v>589</v>
      </c>
      <c r="K115" s="491">
        <f t="shared" si="7"/>
        <v>4600</v>
      </c>
      <c r="L115" t="s">
        <v>295</v>
      </c>
    </row>
    <row r="116" spans="1:12">
      <c r="A116" t="s">
        <v>514</v>
      </c>
      <c r="B116" t="s">
        <v>3363</v>
      </c>
      <c r="C116" s="60" t="s">
        <v>419</v>
      </c>
      <c r="D116" t="s">
        <v>587</v>
      </c>
      <c r="E116" t="s">
        <v>588</v>
      </c>
      <c r="F116" t="s">
        <v>506</v>
      </c>
      <c r="G116" t="s">
        <v>507</v>
      </c>
      <c r="H116" t="s">
        <v>508</v>
      </c>
      <c r="I116" t="s">
        <v>509</v>
      </c>
      <c r="J116" t="s">
        <v>589</v>
      </c>
      <c r="K116" s="491">
        <f t="shared" si="7"/>
        <v>4600</v>
      </c>
      <c r="L116" t="s">
        <v>295</v>
      </c>
    </row>
    <row r="117" spans="1:12">
      <c r="A117" t="s">
        <v>514</v>
      </c>
      <c r="B117" t="s">
        <v>3364</v>
      </c>
      <c r="C117" s="60" t="s">
        <v>419</v>
      </c>
      <c r="D117" t="s">
        <v>587</v>
      </c>
      <c r="E117" t="s">
        <v>588</v>
      </c>
      <c r="F117" t="s">
        <v>506</v>
      </c>
      <c r="G117" t="s">
        <v>507</v>
      </c>
      <c r="H117" t="s">
        <v>508</v>
      </c>
      <c r="I117" t="s">
        <v>509</v>
      </c>
      <c r="J117" t="s">
        <v>589</v>
      </c>
      <c r="K117" s="491">
        <f t="shared" si="7"/>
        <v>4600</v>
      </c>
      <c r="L117" t="s">
        <v>295</v>
      </c>
    </row>
    <row r="118" spans="1:12">
      <c r="A118" t="s">
        <v>514</v>
      </c>
      <c r="B118" t="s">
        <v>3365</v>
      </c>
      <c r="C118" s="60" t="s">
        <v>419</v>
      </c>
      <c r="D118" t="s">
        <v>587</v>
      </c>
      <c r="E118" t="s">
        <v>588</v>
      </c>
      <c r="F118" t="s">
        <v>506</v>
      </c>
      <c r="G118" t="s">
        <v>507</v>
      </c>
      <c r="H118" t="s">
        <v>508</v>
      </c>
      <c r="I118" t="s">
        <v>509</v>
      </c>
      <c r="J118" t="s">
        <v>589</v>
      </c>
      <c r="K118" s="491">
        <f t="shared" si="7"/>
        <v>4600</v>
      </c>
      <c r="L118" t="s">
        <v>295</v>
      </c>
    </row>
    <row r="119" spans="1:12">
      <c r="A119" t="s">
        <v>514</v>
      </c>
      <c r="B119" t="s">
        <v>3366</v>
      </c>
      <c r="C119" s="60" t="s">
        <v>419</v>
      </c>
      <c r="D119" t="s">
        <v>587</v>
      </c>
      <c r="E119" t="s">
        <v>588</v>
      </c>
      <c r="F119" t="s">
        <v>506</v>
      </c>
      <c r="G119" t="s">
        <v>507</v>
      </c>
      <c r="H119" t="s">
        <v>508</v>
      </c>
      <c r="I119" t="s">
        <v>509</v>
      </c>
      <c r="J119" t="s">
        <v>589</v>
      </c>
      <c r="K119" s="491">
        <f t="shared" si="7"/>
        <v>4600</v>
      </c>
      <c r="L119" t="s">
        <v>295</v>
      </c>
    </row>
    <row r="120" spans="1:12">
      <c r="A120" t="s">
        <v>514</v>
      </c>
      <c r="B120" t="s">
        <v>3367</v>
      </c>
      <c r="C120" s="60" t="s">
        <v>419</v>
      </c>
      <c r="D120" t="s">
        <v>587</v>
      </c>
      <c r="E120" t="s">
        <v>588</v>
      </c>
      <c r="F120" t="s">
        <v>506</v>
      </c>
      <c r="G120" t="s">
        <v>507</v>
      </c>
      <c r="H120" t="s">
        <v>508</v>
      </c>
      <c r="I120" t="s">
        <v>509</v>
      </c>
      <c r="J120" t="s">
        <v>589</v>
      </c>
      <c r="K120" s="491">
        <f t="shared" si="7"/>
        <v>4600</v>
      </c>
      <c r="L120" t="s">
        <v>295</v>
      </c>
    </row>
    <row r="121" spans="1:12">
      <c r="A121" t="s">
        <v>514</v>
      </c>
      <c r="B121" t="s">
        <v>3356</v>
      </c>
      <c r="C121" s="3" t="s">
        <v>421</v>
      </c>
      <c r="D121" t="s">
        <v>587</v>
      </c>
      <c r="E121" t="s">
        <v>588</v>
      </c>
      <c r="F121" t="s">
        <v>506</v>
      </c>
      <c r="G121" t="s">
        <v>507</v>
      </c>
      <c r="H121" t="s">
        <v>508</v>
      </c>
      <c r="I121" t="s">
        <v>509</v>
      </c>
      <c r="J121" t="s">
        <v>589</v>
      </c>
      <c r="K121" s="491">
        <f>+VLOOKUP(C121,[1]capacité!$C:$K,9,FALSE)</f>
        <v>8000</v>
      </c>
      <c r="L121" t="s">
        <v>288</v>
      </c>
    </row>
    <row r="122" spans="1:12">
      <c r="A122" t="s">
        <v>514</v>
      </c>
      <c r="B122" t="s">
        <v>3357</v>
      </c>
      <c r="C122" s="60" t="s">
        <v>421</v>
      </c>
      <c r="D122" t="s">
        <v>587</v>
      </c>
      <c r="E122" t="s">
        <v>588</v>
      </c>
      <c r="F122" t="s">
        <v>506</v>
      </c>
      <c r="G122" t="s">
        <v>507</v>
      </c>
      <c r="H122" t="s">
        <v>508</v>
      </c>
      <c r="I122" t="s">
        <v>509</v>
      </c>
      <c r="J122" t="s">
        <v>589</v>
      </c>
      <c r="K122" s="491">
        <f>+K121</f>
        <v>8000</v>
      </c>
      <c r="L122" t="s">
        <v>288</v>
      </c>
    </row>
    <row r="123" spans="1:12">
      <c r="A123" t="s">
        <v>514</v>
      </c>
      <c r="B123" t="s">
        <v>3358</v>
      </c>
      <c r="C123" s="60" t="s">
        <v>421</v>
      </c>
      <c r="D123" t="s">
        <v>587</v>
      </c>
      <c r="E123" t="s">
        <v>588</v>
      </c>
      <c r="F123" t="s">
        <v>506</v>
      </c>
      <c r="G123" t="s">
        <v>507</v>
      </c>
      <c r="H123" t="s">
        <v>508</v>
      </c>
      <c r="I123" t="s">
        <v>509</v>
      </c>
      <c r="J123" t="s">
        <v>589</v>
      </c>
      <c r="K123" s="491">
        <f t="shared" ref="K123:K132" si="8">+K122</f>
        <v>8000</v>
      </c>
      <c r="L123" t="s">
        <v>288</v>
      </c>
    </row>
    <row r="124" spans="1:12">
      <c r="A124" t="s">
        <v>514</v>
      </c>
      <c r="B124" t="s">
        <v>3359</v>
      </c>
      <c r="C124" s="60" t="s">
        <v>421</v>
      </c>
      <c r="D124" t="s">
        <v>587</v>
      </c>
      <c r="E124" t="s">
        <v>588</v>
      </c>
      <c r="F124" t="s">
        <v>506</v>
      </c>
      <c r="G124" t="s">
        <v>507</v>
      </c>
      <c r="H124" t="s">
        <v>508</v>
      </c>
      <c r="I124" t="s">
        <v>509</v>
      </c>
      <c r="J124" t="s">
        <v>589</v>
      </c>
      <c r="K124" s="491">
        <f t="shared" si="8"/>
        <v>8000</v>
      </c>
      <c r="L124" t="s">
        <v>288</v>
      </c>
    </row>
    <row r="125" spans="1:12">
      <c r="A125" t="s">
        <v>514</v>
      </c>
      <c r="B125" t="s">
        <v>3360</v>
      </c>
      <c r="C125" s="60" t="s">
        <v>421</v>
      </c>
      <c r="D125" t="s">
        <v>587</v>
      </c>
      <c r="E125" t="s">
        <v>588</v>
      </c>
      <c r="F125" t="s">
        <v>506</v>
      </c>
      <c r="G125" t="s">
        <v>507</v>
      </c>
      <c r="H125" t="s">
        <v>508</v>
      </c>
      <c r="I125" t="s">
        <v>509</v>
      </c>
      <c r="J125" t="s">
        <v>589</v>
      </c>
      <c r="K125" s="491">
        <f t="shared" si="8"/>
        <v>8000</v>
      </c>
      <c r="L125" t="s">
        <v>288</v>
      </c>
    </row>
    <row r="126" spans="1:12">
      <c r="A126" t="s">
        <v>514</v>
      </c>
      <c r="B126" t="s">
        <v>3361</v>
      </c>
      <c r="C126" s="60" t="s">
        <v>421</v>
      </c>
      <c r="D126" t="s">
        <v>587</v>
      </c>
      <c r="E126" t="s">
        <v>588</v>
      </c>
      <c r="F126" t="s">
        <v>506</v>
      </c>
      <c r="G126" t="s">
        <v>507</v>
      </c>
      <c r="H126" t="s">
        <v>508</v>
      </c>
      <c r="I126" t="s">
        <v>509</v>
      </c>
      <c r="J126" t="s">
        <v>589</v>
      </c>
      <c r="K126" s="491">
        <f t="shared" si="8"/>
        <v>8000</v>
      </c>
      <c r="L126" t="s">
        <v>288</v>
      </c>
    </row>
    <row r="127" spans="1:12">
      <c r="A127" t="s">
        <v>514</v>
      </c>
      <c r="B127" t="s">
        <v>3362</v>
      </c>
      <c r="C127" s="60" t="s">
        <v>421</v>
      </c>
      <c r="D127" t="s">
        <v>587</v>
      </c>
      <c r="E127" t="s">
        <v>588</v>
      </c>
      <c r="F127" t="s">
        <v>506</v>
      </c>
      <c r="G127" t="s">
        <v>507</v>
      </c>
      <c r="H127" t="s">
        <v>508</v>
      </c>
      <c r="I127" t="s">
        <v>509</v>
      </c>
      <c r="J127" t="s">
        <v>589</v>
      </c>
      <c r="K127" s="491">
        <f t="shared" si="8"/>
        <v>8000</v>
      </c>
      <c r="L127" t="s">
        <v>288</v>
      </c>
    </row>
    <row r="128" spans="1:12">
      <c r="A128" t="s">
        <v>514</v>
      </c>
      <c r="B128" t="s">
        <v>3363</v>
      </c>
      <c r="C128" s="60" t="s">
        <v>421</v>
      </c>
      <c r="D128" t="s">
        <v>587</v>
      </c>
      <c r="E128" t="s">
        <v>588</v>
      </c>
      <c r="F128" t="s">
        <v>506</v>
      </c>
      <c r="G128" t="s">
        <v>507</v>
      </c>
      <c r="H128" t="s">
        <v>508</v>
      </c>
      <c r="I128" t="s">
        <v>509</v>
      </c>
      <c r="J128" t="s">
        <v>589</v>
      </c>
      <c r="K128" s="491">
        <f t="shared" si="8"/>
        <v>8000</v>
      </c>
      <c r="L128" t="s">
        <v>288</v>
      </c>
    </row>
    <row r="129" spans="1:12">
      <c r="A129" t="s">
        <v>514</v>
      </c>
      <c r="B129" t="s">
        <v>3364</v>
      </c>
      <c r="C129" s="60" t="s">
        <v>421</v>
      </c>
      <c r="D129" t="s">
        <v>587</v>
      </c>
      <c r="E129" t="s">
        <v>588</v>
      </c>
      <c r="F129" t="s">
        <v>506</v>
      </c>
      <c r="G129" t="s">
        <v>507</v>
      </c>
      <c r="H129" t="s">
        <v>508</v>
      </c>
      <c r="I129" t="s">
        <v>509</v>
      </c>
      <c r="J129" t="s">
        <v>589</v>
      </c>
      <c r="K129" s="491">
        <f t="shared" si="8"/>
        <v>8000</v>
      </c>
      <c r="L129" t="s">
        <v>288</v>
      </c>
    </row>
    <row r="130" spans="1:12">
      <c r="A130" t="s">
        <v>514</v>
      </c>
      <c r="B130" t="s">
        <v>3365</v>
      </c>
      <c r="C130" s="60" t="s">
        <v>421</v>
      </c>
      <c r="D130" t="s">
        <v>587</v>
      </c>
      <c r="E130" t="s">
        <v>588</v>
      </c>
      <c r="F130" t="s">
        <v>506</v>
      </c>
      <c r="G130" t="s">
        <v>507</v>
      </c>
      <c r="H130" t="s">
        <v>508</v>
      </c>
      <c r="I130" t="s">
        <v>509</v>
      </c>
      <c r="J130" t="s">
        <v>589</v>
      </c>
      <c r="K130" s="491">
        <f t="shared" si="8"/>
        <v>8000</v>
      </c>
      <c r="L130" t="s">
        <v>288</v>
      </c>
    </row>
    <row r="131" spans="1:12">
      <c r="A131" t="s">
        <v>514</v>
      </c>
      <c r="B131" t="s">
        <v>3366</v>
      </c>
      <c r="C131" s="60" t="s">
        <v>421</v>
      </c>
      <c r="D131" t="s">
        <v>587</v>
      </c>
      <c r="E131" t="s">
        <v>588</v>
      </c>
      <c r="F131" t="s">
        <v>506</v>
      </c>
      <c r="G131" t="s">
        <v>507</v>
      </c>
      <c r="H131" t="s">
        <v>508</v>
      </c>
      <c r="I131" t="s">
        <v>509</v>
      </c>
      <c r="J131" t="s">
        <v>589</v>
      </c>
      <c r="K131" s="491">
        <f t="shared" si="8"/>
        <v>8000</v>
      </c>
      <c r="L131" t="s">
        <v>288</v>
      </c>
    </row>
    <row r="132" spans="1:12">
      <c r="A132" t="s">
        <v>514</v>
      </c>
      <c r="B132" t="s">
        <v>3367</v>
      </c>
      <c r="C132" s="60" t="s">
        <v>421</v>
      </c>
      <c r="D132" t="s">
        <v>587</v>
      </c>
      <c r="E132" t="s">
        <v>588</v>
      </c>
      <c r="F132" t="s">
        <v>506</v>
      </c>
      <c r="G132" t="s">
        <v>507</v>
      </c>
      <c r="H132" t="s">
        <v>508</v>
      </c>
      <c r="I132" t="s">
        <v>509</v>
      </c>
      <c r="J132" t="s">
        <v>589</v>
      </c>
      <c r="K132" s="491">
        <f t="shared" si="8"/>
        <v>8000</v>
      </c>
      <c r="L132" t="s">
        <v>288</v>
      </c>
    </row>
    <row r="133" spans="1:12">
      <c r="A133" t="s">
        <v>514</v>
      </c>
      <c r="B133" t="s">
        <v>3356</v>
      </c>
      <c r="C133" s="3" t="s">
        <v>423</v>
      </c>
      <c r="D133" t="s">
        <v>587</v>
      </c>
      <c r="E133" t="s">
        <v>588</v>
      </c>
      <c r="F133" t="s">
        <v>506</v>
      </c>
      <c r="G133" t="s">
        <v>507</v>
      </c>
      <c r="H133" t="s">
        <v>508</v>
      </c>
      <c r="I133" t="s">
        <v>509</v>
      </c>
      <c r="J133" t="s">
        <v>589</v>
      </c>
      <c r="K133" s="491">
        <f>+VLOOKUP(C133,[1]capacité!$C:$K,9,FALSE)</f>
        <v>13800</v>
      </c>
      <c r="L133" t="s">
        <v>289</v>
      </c>
    </row>
    <row r="134" spans="1:12">
      <c r="A134" t="s">
        <v>514</v>
      </c>
      <c r="B134" t="s">
        <v>3357</v>
      </c>
      <c r="C134" s="60" t="s">
        <v>423</v>
      </c>
      <c r="D134" t="s">
        <v>587</v>
      </c>
      <c r="E134" t="s">
        <v>588</v>
      </c>
      <c r="F134" t="s">
        <v>506</v>
      </c>
      <c r="G134" t="s">
        <v>507</v>
      </c>
      <c r="H134" t="s">
        <v>508</v>
      </c>
      <c r="I134" t="s">
        <v>509</v>
      </c>
      <c r="J134" t="s">
        <v>589</v>
      </c>
      <c r="K134" s="491">
        <f>+K133</f>
        <v>13800</v>
      </c>
      <c r="L134" t="s">
        <v>289</v>
      </c>
    </row>
    <row r="135" spans="1:12">
      <c r="A135" t="s">
        <v>514</v>
      </c>
      <c r="B135" t="s">
        <v>3358</v>
      </c>
      <c r="C135" s="60" t="s">
        <v>423</v>
      </c>
      <c r="D135" t="s">
        <v>587</v>
      </c>
      <c r="E135" t="s">
        <v>588</v>
      </c>
      <c r="F135" t="s">
        <v>506</v>
      </c>
      <c r="G135" t="s">
        <v>507</v>
      </c>
      <c r="H135" t="s">
        <v>508</v>
      </c>
      <c r="I135" t="s">
        <v>509</v>
      </c>
      <c r="J135" t="s">
        <v>589</v>
      </c>
      <c r="K135" s="491">
        <f t="shared" ref="K135:K144" si="9">+K134</f>
        <v>13800</v>
      </c>
      <c r="L135" t="s">
        <v>289</v>
      </c>
    </row>
    <row r="136" spans="1:12">
      <c r="A136" t="s">
        <v>514</v>
      </c>
      <c r="B136" t="s">
        <v>3359</v>
      </c>
      <c r="C136" s="60" t="s">
        <v>423</v>
      </c>
      <c r="D136" t="s">
        <v>587</v>
      </c>
      <c r="E136" t="s">
        <v>588</v>
      </c>
      <c r="F136" t="s">
        <v>506</v>
      </c>
      <c r="G136" t="s">
        <v>507</v>
      </c>
      <c r="H136" t="s">
        <v>508</v>
      </c>
      <c r="I136" t="s">
        <v>509</v>
      </c>
      <c r="J136" t="s">
        <v>589</v>
      </c>
      <c r="K136" s="491">
        <f t="shared" si="9"/>
        <v>13800</v>
      </c>
      <c r="L136" t="s">
        <v>289</v>
      </c>
    </row>
    <row r="137" spans="1:12">
      <c r="A137" t="s">
        <v>514</v>
      </c>
      <c r="B137" t="s">
        <v>3360</v>
      </c>
      <c r="C137" s="60" t="s">
        <v>423</v>
      </c>
      <c r="D137" t="s">
        <v>587</v>
      </c>
      <c r="E137" t="s">
        <v>588</v>
      </c>
      <c r="F137" t="s">
        <v>506</v>
      </c>
      <c r="G137" t="s">
        <v>507</v>
      </c>
      <c r="H137" t="s">
        <v>508</v>
      </c>
      <c r="I137" t="s">
        <v>509</v>
      </c>
      <c r="J137" t="s">
        <v>589</v>
      </c>
      <c r="K137" s="491">
        <f t="shared" si="9"/>
        <v>13800</v>
      </c>
      <c r="L137" t="s">
        <v>289</v>
      </c>
    </row>
    <row r="138" spans="1:12">
      <c r="A138" t="s">
        <v>514</v>
      </c>
      <c r="B138" t="s">
        <v>3361</v>
      </c>
      <c r="C138" s="60" t="s">
        <v>423</v>
      </c>
      <c r="D138" t="s">
        <v>587</v>
      </c>
      <c r="E138" t="s">
        <v>588</v>
      </c>
      <c r="F138" t="s">
        <v>506</v>
      </c>
      <c r="G138" t="s">
        <v>507</v>
      </c>
      <c r="H138" t="s">
        <v>508</v>
      </c>
      <c r="I138" t="s">
        <v>509</v>
      </c>
      <c r="J138" t="s">
        <v>589</v>
      </c>
      <c r="K138" s="491">
        <f t="shared" si="9"/>
        <v>13800</v>
      </c>
      <c r="L138" t="s">
        <v>289</v>
      </c>
    </row>
    <row r="139" spans="1:12">
      <c r="A139" t="s">
        <v>514</v>
      </c>
      <c r="B139" t="s">
        <v>3362</v>
      </c>
      <c r="C139" s="60" t="s">
        <v>423</v>
      </c>
      <c r="D139" t="s">
        <v>587</v>
      </c>
      <c r="E139" t="s">
        <v>588</v>
      </c>
      <c r="F139" t="s">
        <v>506</v>
      </c>
      <c r="G139" t="s">
        <v>507</v>
      </c>
      <c r="H139" t="s">
        <v>508</v>
      </c>
      <c r="I139" t="s">
        <v>509</v>
      </c>
      <c r="J139" t="s">
        <v>589</v>
      </c>
      <c r="K139" s="491">
        <f t="shared" si="9"/>
        <v>13800</v>
      </c>
      <c r="L139" t="s">
        <v>289</v>
      </c>
    </row>
    <row r="140" spans="1:12">
      <c r="A140" t="s">
        <v>514</v>
      </c>
      <c r="B140" t="s">
        <v>3363</v>
      </c>
      <c r="C140" s="60" t="s">
        <v>423</v>
      </c>
      <c r="D140" t="s">
        <v>587</v>
      </c>
      <c r="E140" t="s">
        <v>588</v>
      </c>
      <c r="F140" t="s">
        <v>506</v>
      </c>
      <c r="G140" t="s">
        <v>507</v>
      </c>
      <c r="H140" t="s">
        <v>508</v>
      </c>
      <c r="I140" t="s">
        <v>509</v>
      </c>
      <c r="J140" t="s">
        <v>589</v>
      </c>
      <c r="K140" s="491">
        <f t="shared" si="9"/>
        <v>13800</v>
      </c>
      <c r="L140" t="s">
        <v>289</v>
      </c>
    </row>
    <row r="141" spans="1:12">
      <c r="A141" t="s">
        <v>514</v>
      </c>
      <c r="B141" t="s">
        <v>3364</v>
      </c>
      <c r="C141" s="60" t="s">
        <v>423</v>
      </c>
      <c r="D141" t="s">
        <v>587</v>
      </c>
      <c r="E141" t="s">
        <v>588</v>
      </c>
      <c r="F141" t="s">
        <v>506</v>
      </c>
      <c r="G141" t="s">
        <v>507</v>
      </c>
      <c r="H141" t="s">
        <v>508</v>
      </c>
      <c r="I141" t="s">
        <v>509</v>
      </c>
      <c r="J141" t="s">
        <v>589</v>
      </c>
      <c r="K141" s="491">
        <f t="shared" si="9"/>
        <v>13800</v>
      </c>
      <c r="L141" t="s">
        <v>289</v>
      </c>
    </row>
    <row r="142" spans="1:12">
      <c r="A142" t="s">
        <v>514</v>
      </c>
      <c r="B142" t="s">
        <v>3365</v>
      </c>
      <c r="C142" s="60" t="s">
        <v>423</v>
      </c>
      <c r="D142" t="s">
        <v>587</v>
      </c>
      <c r="E142" t="s">
        <v>588</v>
      </c>
      <c r="F142" t="s">
        <v>506</v>
      </c>
      <c r="G142" t="s">
        <v>507</v>
      </c>
      <c r="H142" t="s">
        <v>508</v>
      </c>
      <c r="I142" t="s">
        <v>509</v>
      </c>
      <c r="J142" t="s">
        <v>589</v>
      </c>
      <c r="K142" s="491">
        <f t="shared" si="9"/>
        <v>13800</v>
      </c>
      <c r="L142" t="s">
        <v>289</v>
      </c>
    </row>
    <row r="143" spans="1:12">
      <c r="A143" t="s">
        <v>514</v>
      </c>
      <c r="B143" t="s">
        <v>3366</v>
      </c>
      <c r="C143" s="60" t="s">
        <v>423</v>
      </c>
      <c r="D143" t="s">
        <v>587</v>
      </c>
      <c r="E143" t="s">
        <v>588</v>
      </c>
      <c r="F143" t="s">
        <v>506</v>
      </c>
      <c r="G143" t="s">
        <v>507</v>
      </c>
      <c r="H143" t="s">
        <v>508</v>
      </c>
      <c r="I143" t="s">
        <v>509</v>
      </c>
      <c r="J143" t="s">
        <v>589</v>
      </c>
      <c r="K143" s="491">
        <f t="shared" si="9"/>
        <v>13800</v>
      </c>
      <c r="L143" t="s">
        <v>289</v>
      </c>
    </row>
    <row r="144" spans="1:12">
      <c r="A144" t="s">
        <v>514</v>
      </c>
      <c r="B144" t="s">
        <v>3367</v>
      </c>
      <c r="C144" s="60" t="s">
        <v>423</v>
      </c>
      <c r="D144" t="s">
        <v>587</v>
      </c>
      <c r="E144" t="s">
        <v>588</v>
      </c>
      <c r="F144" t="s">
        <v>506</v>
      </c>
      <c r="G144" t="s">
        <v>507</v>
      </c>
      <c r="H144" t="s">
        <v>508</v>
      </c>
      <c r="I144" t="s">
        <v>509</v>
      </c>
      <c r="J144" t="s">
        <v>589</v>
      </c>
      <c r="K144" s="491">
        <f t="shared" si="9"/>
        <v>13800</v>
      </c>
      <c r="L144" t="s">
        <v>289</v>
      </c>
    </row>
    <row r="145" spans="1:12">
      <c r="A145" t="s">
        <v>514</v>
      </c>
      <c r="B145" t="s">
        <v>3356</v>
      </c>
      <c r="C145" s="3" t="s">
        <v>425</v>
      </c>
      <c r="D145" t="s">
        <v>587</v>
      </c>
      <c r="E145" t="s">
        <v>588</v>
      </c>
      <c r="F145" t="s">
        <v>506</v>
      </c>
      <c r="G145" t="s">
        <v>507</v>
      </c>
      <c r="H145" t="s">
        <v>508</v>
      </c>
      <c r="I145" t="s">
        <v>509</v>
      </c>
      <c r="J145" t="s">
        <v>589</v>
      </c>
      <c r="K145" s="491">
        <f>+VLOOKUP(C145,[1]capacité!$C:$K,9,FALSE)</f>
        <v>9200</v>
      </c>
      <c r="L145" t="s">
        <v>296</v>
      </c>
    </row>
    <row r="146" spans="1:12">
      <c r="A146" t="s">
        <v>514</v>
      </c>
      <c r="B146" t="s">
        <v>3357</v>
      </c>
      <c r="C146" s="60" t="s">
        <v>425</v>
      </c>
      <c r="D146" t="s">
        <v>587</v>
      </c>
      <c r="E146" t="s">
        <v>588</v>
      </c>
      <c r="F146" t="s">
        <v>506</v>
      </c>
      <c r="G146" t="s">
        <v>507</v>
      </c>
      <c r="H146" t="s">
        <v>508</v>
      </c>
      <c r="I146" t="s">
        <v>509</v>
      </c>
      <c r="J146" t="s">
        <v>589</v>
      </c>
      <c r="K146" s="491">
        <f>+K145</f>
        <v>9200</v>
      </c>
      <c r="L146" t="s">
        <v>296</v>
      </c>
    </row>
    <row r="147" spans="1:12">
      <c r="A147" t="s">
        <v>514</v>
      </c>
      <c r="B147" t="s">
        <v>3358</v>
      </c>
      <c r="C147" s="60" t="s">
        <v>425</v>
      </c>
      <c r="D147" t="s">
        <v>587</v>
      </c>
      <c r="E147" t="s">
        <v>588</v>
      </c>
      <c r="F147" t="s">
        <v>506</v>
      </c>
      <c r="G147" t="s">
        <v>507</v>
      </c>
      <c r="H147" t="s">
        <v>508</v>
      </c>
      <c r="I147" t="s">
        <v>509</v>
      </c>
      <c r="J147" t="s">
        <v>589</v>
      </c>
      <c r="K147" s="491">
        <f t="shared" ref="K147:K156" si="10">+K146</f>
        <v>9200</v>
      </c>
      <c r="L147" t="s">
        <v>296</v>
      </c>
    </row>
    <row r="148" spans="1:12">
      <c r="A148" t="s">
        <v>514</v>
      </c>
      <c r="B148" t="s">
        <v>3359</v>
      </c>
      <c r="C148" s="60" t="s">
        <v>425</v>
      </c>
      <c r="D148" t="s">
        <v>587</v>
      </c>
      <c r="E148" t="s">
        <v>588</v>
      </c>
      <c r="F148" t="s">
        <v>506</v>
      </c>
      <c r="G148" t="s">
        <v>507</v>
      </c>
      <c r="H148" t="s">
        <v>508</v>
      </c>
      <c r="I148" t="s">
        <v>509</v>
      </c>
      <c r="J148" t="s">
        <v>589</v>
      </c>
      <c r="K148" s="491">
        <f t="shared" si="10"/>
        <v>9200</v>
      </c>
      <c r="L148" t="s">
        <v>296</v>
      </c>
    </row>
    <row r="149" spans="1:12">
      <c r="A149" t="s">
        <v>514</v>
      </c>
      <c r="B149" t="s">
        <v>3360</v>
      </c>
      <c r="C149" s="60" t="s">
        <v>425</v>
      </c>
      <c r="D149" t="s">
        <v>587</v>
      </c>
      <c r="E149" t="s">
        <v>588</v>
      </c>
      <c r="F149" t="s">
        <v>506</v>
      </c>
      <c r="G149" t="s">
        <v>507</v>
      </c>
      <c r="H149" t="s">
        <v>508</v>
      </c>
      <c r="I149" t="s">
        <v>509</v>
      </c>
      <c r="J149" t="s">
        <v>589</v>
      </c>
      <c r="K149" s="491">
        <f t="shared" si="10"/>
        <v>9200</v>
      </c>
      <c r="L149" t="s">
        <v>296</v>
      </c>
    </row>
    <row r="150" spans="1:12">
      <c r="A150" t="s">
        <v>514</v>
      </c>
      <c r="B150" t="s">
        <v>3361</v>
      </c>
      <c r="C150" s="60" t="s">
        <v>425</v>
      </c>
      <c r="D150" t="s">
        <v>587</v>
      </c>
      <c r="E150" t="s">
        <v>588</v>
      </c>
      <c r="F150" t="s">
        <v>506</v>
      </c>
      <c r="G150" t="s">
        <v>507</v>
      </c>
      <c r="H150" t="s">
        <v>508</v>
      </c>
      <c r="I150" t="s">
        <v>509</v>
      </c>
      <c r="J150" t="s">
        <v>589</v>
      </c>
      <c r="K150" s="491">
        <f t="shared" si="10"/>
        <v>9200</v>
      </c>
      <c r="L150" t="s">
        <v>296</v>
      </c>
    </row>
    <row r="151" spans="1:12">
      <c r="A151" t="s">
        <v>514</v>
      </c>
      <c r="B151" t="s">
        <v>3362</v>
      </c>
      <c r="C151" s="60" t="s">
        <v>425</v>
      </c>
      <c r="D151" t="s">
        <v>587</v>
      </c>
      <c r="E151" t="s">
        <v>588</v>
      </c>
      <c r="F151" t="s">
        <v>506</v>
      </c>
      <c r="G151" t="s">
        <v>507</v>
      </c>
      <c r="H151" t="s">
        <v>508</v>
      </c>
      <c r="I151" t="s">
        <v>509</v>
      </c>
      <c r="J151" t="s">
        <v>589</v>
      </c>
      <c r="K151" s="491">
        <f t="shared" si="10"/>
        <v>9200</v>
      </c>
      <c r="L151" t="s">
        <v>296</v>
      </c>
    </row>
    <row r="152" spans="1:12">
      <c r="A152" t="s">
        <v>514</v>
      </c>
      <c r="B152" t="s">
        <v>3363</v>
      </c>
      <c r="C152" s="60" t="s">
        <v>425</v>
      </c>
      <c r="D152" t="s">
        <v>587</v>
      </c>
      <c r="E152" t="s">
        <v>588</v>
      </c>
      <c r="F152" t="s">
        <v>506</v>
      </c>
      <c r="G152" t="s">
        <v>507</v>
      </c>
      <c r="H152" t="s">
        <v>508</v>
      </c>
      <c r="I152" t="s">
        <v>509</v>
      </c>
      <c r="J152" t="s">
        <v>589</v>
      </c>
      <c r="K152" s="491">
        <f t="shared" si="10"/>
        <v>9200</v>
      </c>
      <c r="L152" t="s">
        <v>296</v>
      </c>
    </row>
    <row r="153" spans="1:12">
      <c r="A153" t="s">
        <v>514</v>
      </c>
      <c r="B153" t="s">
        <v>3364</v>
      </c>
      <c r="C153" s="60" t="s">
        <v>425</v>
      </c>
      <c r="D153" t="s">
        <v>587</v>
      </c>
      <c r="E153" t="s">
        <v>588</v>
      </c>
      <c r="F153" t="s">
        <v>506</v>
      </c>
      <c r="G153" t="s">
        <v>507</v>
      </c>
      <c r="H153" t="s">
        <v>508</v>
      </c>
      <c r="I153" t="s">
        <v>509</v>
      </c>
      <c r="J153" t="s">
        <v>589</v>
      </c>
      <c r="K153" s="491">
        <f t="shared" si="10"/>
        <v>9200</v>
      </c>
      <c r="L153" t="s">
        <v>296</v>
      </c>
    </row>
    <row r="154" spans="1:12">
      <c r="A154" t="s">
        <v>514</v>
      </c>
      <c r="B154" t="s">
        <v>3365</v>
      </c>
      <c r="C154" s="60" t="s">
        <v>425</v>
      </c>
      <c r="D154" t="s">
        <v>587</v>
      </c>
      <c r="E154" t="s">
        <v>588</v>
      </c>
      <c r="F154" t="s">
        <v>506</v>
      </c>
      <c r="G154" t="s">
        <v>507</v>
      </c>
      <c r="H154" t="s">
        <v>508</v>
      </c>
      <c r="I154" t="s">
        <v>509</v>
      </c>
      <c r="J154" t="s">
        <v>589</v>
      </c>
      <c r="K154" s="491">
        <f t="shared" si="10"/>
        <v>9200</v>
      </c>
      <c r="L154" t="s">
        <v>296</v>
      </c>
    </row>
    <row r="155" spans="1:12">
      <c r="A155" t="s">
        <v>514</v>
      </c>
      <c r="B155" t="s">
        <v>3366</v>
      </c>
      <c r="C155" s="60" t="s">
        <v>425</v>
      </c>
      <c r="D155" t="s">
        <v>587</v>
      </c>
      <c r="E155" t="s">
        <v>588</v>
      </c>
      <c r="F155" t="s">
        <v>506</v>
      </c>
      <c r="G155" t="s">
        <v>507</v>
      </c>
      <c r="H155" t="s">
        <v>508</v>
      </c>
      <c r="I155" t="s">
        <v>509</v>
      </c>
      <c r="J155" t="s">
        <v>589</v>
      </c>
      <c r="K155" s="491">
        <f t="shared" si="10"/>
        <v>9200</v>
      </c>
      <c r="L155" t="s">
        <v>296</v>
      </c>
    </row>
    <row r="156" spans="1:12">
      <c r="A156" t="s">
        <v>514</v>
      </c>
      <c r="B156" t="s">
        <v>3367</v>
      </c>
      <c r="C156" s="60" t="s">
        <v>425</v>
      </c>
      <c r="D156" t="s">
        <v>587</v>
      </c>
      <c r="E156" t="s">
        <v>588</v>
      </c>
      <c r="F156" t="s">
        <v>506</v>
      </c>
      <c r="G156" t="s">
        <v>507</v>
      </c>
      <c r="H156" t="s">
        <v>508</v>
      </c>
      <c r="I156" t="s">
        <v>509</v>
      </c>
      <c r="J156" t="s">
        <v>589</v>
      </c>
      <c r="K156" s="491">
        <f t="shared" si="10"/>
        <v>9200</v>
      </c>
      <c r="L156" t="s">
        <v>296</v>
      </c>
    </row>
    <row r="157" spans="1:12">
      <c r="A157" t="s">
        <v>514</v>
      </c>
      <c r="B157" t="s">
        <v>3356</v>
      </c>
      <c r="C157" s="3" t="s">
        <v>427</v>
      </c>
      <c r="D157" t="s">
        <v>587</v>
      </c>
      <c r="E157" t="s">
        <v>588</v>
      </c>
      <c r="F157" t="s">
        <v>506</v>
      </c>
      <c r="G157" t="s">
        <v>507</v>
      </c>
      <c r="H157" t="s">
        <v>508</v>
      </c>
      <c r="I157" t="s">
        <v>509</v>
      </c>
      <c r="J157" t="s">
        <v>589</v>
      </c>
      <c r="K157" s="491">
        <f>+VLOOKUP(C157,[1]capacité!$C:$K,9,FALSE)</f>
        <v>30000</v>
      </c>
      <c r="L157" t="s">
        <v>3417</v>
      </c>
    </row>
    <row r="158" spans="1:12">
      <c r="A158" t="s">
        <v>514</v>
      </c>
      <c r="B158" t="s">
        <v>3357</v>
      </c>
      <c r="C158" s="60" t="s">
        <v>427</v>
      </c>
      <c r="D158" t="s">
        <v>587</v>
      </c>
      <c r="E158" t="s">
        <v>588</v>
      </c>
      <c r="F158" t="s">
        <v>506</v>
      </c>
      <c r="G158" t="s">
        <v>507</v>
      </c>
      <c r="H158" t="s">
        <v>508</v>
      </c>
      <c r="I158" t="s">
        <v>509</v>
      </c>
      <c r="J158" t="s">
        <v>589</v>
      </c>
      <c r="K158" s="491">
        <f>+K157</f>
        <v>30000</v>
      </c>
      <c r="L158" t="s">
        <v>3417</v>
      </c>
    </row>
    <row r="159" spans="1:12">
      <c r="A159" t="s">
        <v>514</v>
      </c>
      <c r="B159" t="s">
        <v>3358</v>
      </c>
      <c r="C159" s="60" t="s">
        <v>427</v>
      </c>
      <c r="D159" t="s">
        <v>587</v>
      </c>
      <c r="E159" t="s">
        <v>588</v>
      </c>
      <c r="F159" t="s">
        <v>506</v>
      </c>
      <c r="G159" t="s">
        <v>507</v>
      </c>
      <c r="H159" t="s">
        <v>508</v>
      </c>
      <c r="I159" t="s">
        <v>509</v>
      </c>
      <c r="J159" t="s">
        <v>589</v>
      </c>
      <c r="K159" s="491">
        <f t="shared" ref="K159:K168" si="11">+K158</f>
        <v>30000</v>
      </c>
      <c r="L159" t="s">
        <v>3417</v>
      </c>
    </row>
    <row r="160" spans="1:12">
      <c r="A160" t="s">
        <v>514</v>
      </c>
      <c r="B160" t="s">
        <v>3359</v>
      </c>
      <c r="C160" s="60" t="s">
        <v>427</v>
      </c>
      <c r="D160" t="s">
        <v>587</v>
      </c>
      <c r="E160" t="s">
        <v>588</v>
      </c>
      <c r="F160" t="s">
        <v>506</v>
      </c>
      <c r="G160" t="s">
        <v>507</v>
      </c>
      <c r="H160" t="s">
        <v>508</v>
      </c>
      <c r="I160" t="s">
        <v>509</v>
      </c>
      <c r="J160" t="s">
        <v>589</v>
      </c>
      <c r="K160" s="491">
        <f t="shared" si="11"/>
        <v>30000</v>
      </c>
      <c r="L160" t="s">
        <v>3417</v>
      </c>
    </row>
    <row r="161" spans="1:12">
      <c r="A161" t="s">
        <v>514</v>
      </c>
      <c r="B161" t="s">
        <v>3360</v>
      </c>
      <c r="C161" s="60" t="s">
        <v>427</v>
      </c>
      <c r="D161" t="s">
        <v>587</v>
      </c>
      <c r="E161" t="s">
        <v>588</v>
      </c>
      <c r="F161" t="s">
        <v>506</v>
      </c>
      <c r="G161" t="s">
        <v>507</v>
      </c>
      <c r="H161" t="s">
        <v>508</v>
      </c>
      <c r="I161" t="s">
        <v>509</v>
      </c>
      <c r="J161" t="s">
        <v>589</v>
      </c>
      <c r="K161" s="491">
        <f t="shared" si="11"/>
        <v>30000</v>
      </c>
      <c r="L161" t="s">
        <v>3417</v>
      </c>
    </row>
    <row r="162" spans="1:12">
      <c r="A162" t="s">
        <v>514</v>
      </c>
      <c r="B162" t="s">
        <v>3361</v>
      </c>
      <c r="C162" s="60" t="s">
        <v>427</v>
      </c>
      <c r="D162" t="s">
        <v>587</v>
      </c>
      <c r="E162" t="s">
        <v>588</v>
      </c>
      <c r="F162" t="s">
        <v>506</v>
      </c>
      <c r="G162" t="s">
        <v>507</v>
      </c>
      <c r="H162" t="s">
        <v>508</v>
      </c>
      <c r="I162" t="s">
        <v>509</v>
      </c>
      <c r="J162" t="s">
        <v>589</v>
      </c>
      <c r="K162" s="491">
        <f t="shared" si="11"/>
        <v>30000</v>
      </c>
      <c r="L162" t="s">
        <v>3417</v>
      </c>
    </row>
    <row r="163" spans="1:12">
      <c r="A163" t="s">
        <v>514</v>
      </c>
      <c r="B163" t="s">
        <v>3362</v>
      </c>
      <c r="C163" s="60" t="s">
        <v>427</v>
      </c>
      <c r="D163" t="s">
        <v>587</v>
      </c>
      <c r="E163" t="s">
        <v>588</v>
      </c>
      <c r="F163" t="s">
        <v>506</v>
      </c>
      <c r="G163" t="s">
        <v>507</v>
      </c>
      <c r="H163" t="s">
        <v>508</v>
      </c>
      <c r="I163" t="s">
        <v>509</v>
      </c>
      <c r="J163" t="s">
        <v>589</v>
      </c>
      <c r="K163" s="491">
        <f t="shared" si="11"/>
        <v>30000</v>
      </c>
      <c r="L163" t="s">
        <v>3417</v>
      </c>
    </row>
    <row r="164" spans="1:12">
      <c r="A164" t="s">
        <v>514</v>
      </c>
      <c r="B164" t="s">
        <v>3363</v>
      </c>
      <c r="C164" s="60" t="s">
        <v>427</v>
      </c>
      <c r="D164" t="s">
        <v>587</v>
      </c>
      <c r="E164" t="s">
        <v>588</v>
      </c>
      <c r="F164" t="s">
        <v>506</v>
      </c>
      <c r="G164" t="s">
        <v>507</v>
      </c>
      <c r="H164" t="s">
        <v>508</v>
      </c>
      <c r="I164" t="s">
        <v>509</v>
      </c>
      <c r="J164" t="s">
        <v>589</v>
      </c>
      <c r="K164" s="491">
        <f t="shared" si="11"/>
        <v>30000</v>
      </c>
      <c r="L164" t="s">
        <v>3417</v>
      </c>
    </row>
    <row r="165" spans="1:12">
      <c r="A165" t="s">
        <v>514</v>
      </c>
      <c r="B165" t="s">
        <v>3364</v>
      </c>
      <c r="C165" s="60" t="s">
        <v>427</v>
      </c>
      <c r="D165" t="s">
        <v>587</v>
      </c>
      <c r="E165" t="s">
        <v>588</v>
      </c>
      <c r="F165" t="s">
        <v>506</v>
      </c>
      <c r="G165" t="s">
        <v>507</v>
      </c>
      <c r="H165" t="s">
        <v>508</v>
      </c>
      <c r="I165" t="s">
        <v>509</v>
      </c>
      <c r="J165" t="s">
        <v>589</v>
      </c>
      <c r="K165" s="491">
        <f t="shared" si="11"/>
        <v>30000</v>
      </c>
      <c r="L165" t="s">
        <v>3417</v>
      </c>
    </row>
    <row r="166" spans="1:12">
      <c r="A166" t="s">
        <v>514</v>
      </c>
      <c r="B166" t="s">
        <v>3365</v>
      </c>
      <c r="C166" s="60" t="s">
        <v>427</v>
      </c>
      <c r="D166" t="s">
        <v>587</v>
      </c>
      <c r="E166" t="s">
        <v>588</v>
      </c>
      <c r="F166" t="s">
        <v>506</v>
      </c>
      <c r="G166" t="s">
        <v>507</v>
      </c>
      <c r="H166" t="s">
        <v>508</v>
      </c>
      <c r="I166" t="s">
        <v>509</v>
      </c>
      <c r="J166" t="s">
        <v>589</v>
      </c>
      <c r="K166" s="491">
        <f t="shared" si="11"/>
        <v>30000</v>
      </c>
      <c r="L166" t="s">
        <v>3417</v>
      </c>
    </row>
    <row r="167" spans="1:12">
      <c r="A167" t="s">
        <v>514</v>
      </c>
      <c r="B167" t="s">
        <v>3366</v>
      </c>
      <c r="C167" s="60" t="s">
        <v>427</v>
      </c>
      <c r="D167" t="s">
        <v>587</v>
      </c>
      <c r="E167" t="s">
        <v>588</v>
      </c>
      <c r="F167" t="s">
        <v>506</v>
      </c>
      <c r="G167" t="s">
        <v>507</v>
      </c>
      <c r="H167" t="s">
        <v>508</v>
      </c>
      <c r="I167" t="s">
        <v>509</v>
      </c>
      <c r="J167" t="s">
        <v>589</v>
      </c>
      <c r="K167" s="491">
        <f t="shared" si="11"/>
        <v>30000</v>
      </c>
      <c r="L167" t="s">
        <v>3417</v>
      </c>
    </row>
    <row r="168" spans="1:12">
      <c r="A168" t="s">
        <v>514</v>
      </c>
      <c r="B168" t="s">
        <v>3367</v>
      </c>
      <c r="C168" s="60" t="s">
        <v>427</v>
      </c>
      <c r="D168" t="s">
        <v>587</v>
      </c>
      <c r="E168" t="s">
        <v>588</v>
      </c>
      <c r="F168" t="s">
        <v>506</v>
      </c>
      <c r="G168" t="s">
        <v>507</v>
      </c>
      <c r="H168" t="s">
        <v>508</v>
      </c>
      <c r="I168" t="s">
        <v>509</v>
      </c>
      <c r="J168" t="s">
        <v>589</v>
      </c>
      <c r="K168" s="491">
        <f t="shared" si="11"/>
        <v>30000</v>
      </c>
      <c r="L168" t="s">
        <v>3417</v>
      </c>
    </row>
    <row r="169" spans="1:12">
      <c r="A169" t="s">
        <v>514</v>
      </c>
      <c r="B169" t="s">
        <v>3356</v>
      </c>
      <c r="C169" s="3" t="s">
        <v>429</v>
      </c>
      <c r="D169" t="s">
        <v>587</v>
      </c>
      <c r="E169" t="s">
        <v>588</v>
      </c>
      <c r="F169" t="s">
        <v>506</v>
      </c>
      <c r="G169" t="s">
        <v>507</v>
      </c>
      <c r="H169" t="s">
        <v>508</v>
      </c>
      <c r="I169" t="s">
        <v>509</v>
      </c>
      <c r="J169" t="s">
        <v>589</v>
      </c>
      <c r="K169" s="491">
        <v>10400</v>
      </c>
      <c r="L169" t="s">
        <v>297</v>
      </c>
    </row>
    <row r="170" spans="1:12">
      <c r="A170" t="s">
        <v>514</v>
      </c>
      <c r="B170" t="s">
        <v>3357</v>
      </c>
      <c r="C170" s="60" t="s">
        <v>429</v>
      </c>
      <c r="D170" t="s">
        <v>587</v>
      </c>
      <c r="E170" t="s">
        <v>588</v>
      </c>
      <c r="F170" t="s">
        <v>506</v>
      </c>
      <c r="G170" t="s">
        <v>507</v>
      </c>
      <c r="H170" t="s">
        <v>508</v>
      </c>
      <c r="I170" t="s">
        <v>509</v>
      </c>
      <c r="J170" t="s">
        <v>589</v>
      </c>
      <c r="K170" s="491">
        <f>+K169</f>
        <v>10400</v>
      </c>
      <c r="L170" t="s">
        <v>297</v>
      </c>
    </row>
    <row r="171" spans="1:12">
      <c r="A171" t="s">
        <v>514</v>
      </c>
      <c r="B171" t="s">
        <v>3358</v>
      </c>
      <c r="C171" s="60" t="s">
        <v>429</v>
      </c>
      <c r="D171" t="s">
        <v>587</v>
      </c>
      <c r="E171" t="s">
        <v>588</v>
      </c>
      <c r="F171" t="s">
        <v>506</v>
      </c>
      <c r="G171" t="s">
        <v>507</v>
      </c>
      <c r="H171" t="s">
        <v>508</v>
      </c>
      <c r="I171" t="s">
        <v>509</v>
      </c>
      <c r="J171" t="s">
        <v>589</v>
      </c>
      <c r="K171" s="491">
        <f t="shared" ref="K171:K180" si="12">+K170</f>
        <v>10400</v>
      </c>
      <c r="L171" t="s">
        <v>297</v>
      </c>
    </row>
    <row r="172" spans="1:12">
      <c r="A172" t="s">
        <v>514</v>
      </c>
      <c r="B172" t="s">
        <v>3359</v>
      </c>
      <c r="C172" s="60" t="s">
        <v>429</v>
      </c>
      <c r="D172" t="s">
        <v>587</v>
      </c>
      <c r="E172" t="s">
        <v>588</v>
      </c>
      <c r="F172" t="s">
        <v>506</v>
      </c>
      <c r="G172" t="s">
        <v>507</v>
      </c>
      <c r="H172" t="s">
        <v>508</v>
      </c>
      <c r="I172" t="s">
        <v>509</v>
      </c>
      <c r="J172" t="s">
        <v>589</v>
      </c>
      <c r="K172" s="491">
        <f t="shared" si="12"/>
        <v>10400</v>
      </c>
      <c r="L172" t="s">
        <v>297</v>
      </c>
    </row>
    <row r="173" spans="1:12">
      <c r="A173" t="s">
        <v>514</v>
      </c>
      <c r="B173" t="s">
        <v>3360</v>
      </c>
      <c r="C173" s="60" t="s">
        <v>429</v>
      </c>
      <c r="D173" t="s">
        <v>587</v>
      </c>
      <c r="E173" t="s">
        <v>588</v>
      </c>
      <c r="F173" t="s">
        <v>506</v>
      </c>
      <c r="G173" t="s">
        <v>507</v>
      </c>
      <c r="H173" t="s">
        <v>508</v>
      </c>
      <c r="I173" t="s">
        <v>509</v>
      </c>
      <c r="J173" t="s">
        <v>589</v>
      </c>
      <c r="K173" s="491">
        <f t="shared" si="12"/>
        <v>10400</v>
      </c>
      <c r="L173" t="s">
        <v>297</v>
      </c>
    </row>
    <row r="174" spans="1:12">
      <c r="A174" t="s">
        <v>514</v>
      </c>
      <c r="B174" t="s">
        <v>3361</v>
      </c>
      <c r="C174" s="60" t="s">
        <v>429</v>
      </c>
      <c r="D174" t="s">
        <v>587</v>
      </c>
      <c r="E174" t="s">
        <v>588</v>
      </c>
      <c r="F174" t="s">
        <v>506</v>
      </c>
      <c r="G174" t="s">
        <v>507</v>
      </c>
      <c r="H174" t="s">
        <v>508</v>
      </c>
      <c r="I174" t="s">
        <v>509</v>
      </c>
      <c r="J174" t="s">
        <v>589</v>
      </c>
      <c r="K174" s="491">
        <f t="shared" si="12"/>
        <v>10400</v>
      </c>
      <c r="L174" t="s">
        <v>297</v>
      </c>
    </row>
    <row r="175" spans="1:12">
      <c r="A175" t="s">
        <v>514</v>
      </c>
      <c r="B175" t="s">
        <v>3362</v>
      </c>
      <c r="C175" s="60" t="s">
        <v>429</v>
      </c>
      <c r="D175" t="s">
        <v>587</v>
      </c>
      <c r="E175" t="s">
        <v>588</v>
      </c>
      <c r="F175" t="s">
        <v>506</v>
      </c>
      <c r="G175" t="s">
        <v>507</v>
      </c>
      <c r="H175" t="s">
        <v>508</v>
      </c>
      <c r="I175" t="s">
        <v>509</v>
      </c>
      <c r="J175" t="s">
        <v>589</v>
      </c>
      <c r="K175" s="491">
        <f t="shared" si="12"/>
        <v>10400</v>
      </c>
      <c r="L175" t="s">
        <v>297</v>
      </c>
    </row>
    <row r="176" spans="1:12">
      <c r="A176" t="s">
        <v>514</v>
      </c>
      <c r="B176" t="s">
        <v>3363</v>
      </c>
      <c r="C176" s="60" t="s">
        <v>429</v>
      </c>
      <c r="D176" t="s">
        <v>587</v>
      </c>
      <c r="E176" t="s">
        <v>588</v>
      </c>
      <c r="F176" t="s">
        <v>506</v>
      </c>
      <c r="G176" t="s">
        <v>507</v>
      </c>
      <c r="H176" t="s">
        <v>508</v>
      </c>
      <c r="I176" t="s">
        <v>509</v>
      </c>
      <c r="J176" t="s">
        <v>589</v>
      </c>
      <c r="K176" s="491">
        <f t="shared" si="12"/>
        <v>10400</v>
      </c>
      <c r="L176" t="s">
        <v>297</v>
      </c>
    </row>
    <row r="177" spans="1:12">
      <c r="A177" t="s">
        <v>514</v>
      </c>
      <c r="B177" t="s">
        <v>3364</v>
      </c>
      <c r="C177" s="60" t="s">
        <v>429</v>
      </c>
      <c r="D177" t="s">
        <v>587</v>
      </c>
      <c r="E177" t="s">
        <v>588</v>
      </c>
      <c r="F177" t="s">
        <v>506</v>
      </c>
      <c r="G177" t="s">
        <v>507</v>
      </c>
      <c r="H177" t="s">
        <v>508</v>
      </c>
      <c r="I177" t="s">
        <v>509</v>
      </c>
      <c r="J177" t="s">
        <v>589</v>
      </c>
      <c r="K177" s="491">
        <f t="shared" si="12"/>
        <v>10400</v>
      </c>
      <c r="L177" t="s">
        <v>297</v>
      </c>
    </row>
    <row r="178" spans="1:12">
      <c r="A178" t="s">
        <v>514</v>
      </c>
      <c r="B178" t="s">
        <v>3365</v>
      </c>
      <c r="C178" s="60" t="s">
        <v>429</v>
      </c>
      <c r="D178" t="s">
        <v>587</v>
      </c>
      <c r="E178" t="s">
        <v>588</v>
      </c>
      <c r="F178" t="s">
        <v>506</v>
      </c>
      <c r="G178" t="s">
        <v>507</v>
      </c>
      <c r="H178" t="s">
        <v>508</v>
      </c>
      <c r="I178" t="s">
        <v>509</v>
      </c>
      <c r="J178" t="s">
        <v>589</v>
      </c>
      <c r="K178" s="491">
        <f t="shared" si="12"/>
        <v>10400</v>
      </c>
      <c r="L178" t="s">
        <v>297</v>
      </c>
    </row>
    <row r="179" spans="1:12">
      <c r="A179" t="s">
        <v>514</v>
      </c>
      <c r="B179" t="s">
        <v>3366</v>
      </c>
      <c r="C179" s="60" t="s">
        <v>429</v>
      </c>
      <c r="D179" t="s">
        <v>587</v>
      </c>
      <c r="E179" t="s">
        <v>588</v>
      </c>
      <c r="F179" t="s">
        <v>506</v>
      </c>
      <c r="G179" t="s">
        <v>507</v>
      </c>
      <c r="H179" t="s">
        <v>508</v>
      </c>
      <c r="I179" t="s">
        <v>509</v>
      </c>
      <c r="J179" t="s">
        <v>589</v>
      </c>
      <c r="K179" s="491">
        <f t="shared" si="12"/>
        <v>10400</v>
      </c>
      <c r="L179" t="s">
        <v>297</v>
      </c>
    </row>
    <row r="180" spans="1:12">
      <c r="A180" t="s">
        <v>514</v>
      </c>
      <c r="B180" t="s">
        <v>3367</v>
      </c>
      <c r="C180" s="60" t="s">
        <v>429</v>
      </c>
      <c r="D180" t="s">
        <v>587</v>
      </c>
      <c r="E180" t="s">
        <v>588</v>
      </c>
      <c r="F180" t="s">
        <v>506</v>
      </c>
      <c r="G180" t="s">
        <v>507</v>
      </c>
      <c r="H180" t="s">
        <v>508</v>
      </c>
      <c r="I180" t="s">
        <v>509</v>
      </c>
      <c r="J180" t="s">
        <v>589</v>
      </c>
      <c r="K180" s="491">
        <f t="shared" si="12"/>
        <v>10400</v>
      </c>
      <c r="L180" t="s">
        <v>297</v>
      </c>
    </row>
    <row r="181" spans="1:12">
      <c r="A181" t="s">
        <v>514</v>
      </c>
      <c r="B181" t="s">
        <v>3356</v>
      </c>
      <c r="C181" s="3" t="s">
        <v>250</v>
      </c>
      <c r="D181" t="s">
        <v>587</v>
      </c>
      <c r="E181" t="s">
        <v>588</v>
      </c>
      <c r="F181" t="s">
        <v>506</v>
      </c>
      <c r="G181" t="s">
        <v>507</v>
      </c>
      <c r="H181" t="s">
        <v>508</v>
      </c>
      <c r="I181" t="s">
        <v>509</v>
      </c>
      <c r="J181" t="s">
        <v>589</v>
      </c>
      <c r="K181" s="491">
        <f>+VLOOKUP(C181,[1]capacité!$C:$K,9,FALSE)</f>
        <v>4600</v>
      </c>
      <c r="L181" t="s">
        <v>527</v>
      </c>
    </row>
    <row r="182" spans="1:12">
      <c r="A182" t="s">
        <v>514</v>
      </c>
      <c r="B182" t="s">
        <v>3357</v>
      </c>
      <c r="C182" s="60" t="s">
        <v>250</v>
      </c>
      <c r="D182" t="s">
        <v>587</v>
      </c>
      <c r="E182" t="s">
        <v>588</v>
      </c>
      <c r="F182" t="s">
        <v>506</v>
      </c>
      <c r="G182" t="s">
        <v>507</v>
      </c>
      <c r="H182" t="s">
        <v>508</v>
      </c>
      <c r="I182" t="s">
        <v>509</v>
      </c>
      <c r="J182" t="s">
        <v>589</v>
      </c>
      <c r="K182" s="491">
        <f>+K181</f>
        <v>4600</v>
      </c>
      <c r="L182" t="s">
        <v>527</v>
      </c>
    </row>
    <row r="183" spans="1:12">
      <c r="A183" t="s">
        <v>514</v>
      </c>
      <c r="B183" t="s">
        <v>3358</v>
      </c>
      <c r="C183" s="60" t="s">
        <v>250</v>
      </c>
      <c r="D183" t="s">
        <v>587</v>
      </c>
      <c r="E183" t="s">
        <v>588</v>
      </c>
      <c r="F183" t="s">
        <v>506</v>
      </c>
      <c r="G183" t="s">
        <v>507</v>
      </c>
      <c r="H183" t="s">
        <v>508</v>
      </c>
      <c r="I183" t="s">
        <v>509</v>
      </c>
      <c r="J183" t="s">
        <v>589</v>
      </c>
      <c r="K183" s="491">
        <f t="shared" ref="K183:K192" si="13">+K182</f>
        <v>4600</v>
      </c>
      <c r="L183" t="s">
        <v>527</v>
      </c>
    </row>
    <row r="184" spans="1:12">
      <c r="A184" t="s">
        <v>514</v>
      </c>
      <c r="B184" t="s">
        <v>3359</v>
      </c>
      <c r="C184" s="60" t="s">
        <v>250</v>
      </c>
      <c r="D184" t="s">
        <v>587</v>
      </c>
      <c r="E184" t="s">
        <v>588</v>
      </c>
      <c r="F184" t="s">
        <v>506</v>
      </c>
      <c r="G184" t="s">
        <v>507</v>
      </c>
      <c r="H184" t="s">
        <v>508</v>
      </c>
      <c r="I184" t="s">
        <v>509</v>
      </c>
      <c r="J184" t="s">
        <v>589</v>
      </c>
      <c r="K184" s="491">
        <f t="shared" si="13"/>
        <v>4600</v>
      </c>
      <c r="L184" t="s">
        <v>527</v>
      </c>
    </row>
    <row r="185" spans="1:12">
      <c r="A185" t="s">
        <v>514</v>
      </c>
      <c r="B185" t="s">
        <v>3360</v>
      </c>
      <c r="C185" s="60" t="s">
        <v>250</v>
      </c>
      <c r="D185" t="s">
        <v>587</v>
      </c>
      <c r="E185" t="s">
        <v>588</v>
      </c>
      <c r="F185" t="s">
        <v>506</v>
      </c>
      <c r="G185" t="s">
        <v>507</v>
      </c>
      <c r="H185" t="s">
        <v>508</v>
      </c>
      <c r="I185" t="s">
        <v>509</v>
      </c>
      <c r="J185" t="s">
        <v>589</v>
      </c>
      <c r="K185" s="491">
        <f t="shared" si="13"/>
        <v>4600</v>
      </c>
      <c r="L185" t="s">
        <v>527</v>
      </c>
    </row>
    <row r="186" spans="1:12">
      <c r="A186" t="s">
        <v>514</v>
      </c>
      <c r="B186" t="s">
        <v>3361</v>
      </c>
      <c r="C186" s="60" t="s">
        <v>250</v>
      </c>
      <c r="D186" t="s">
        <v>587</v>
      </c>
      <c r="E186" t="s">
        <v>588</v>
      </c>
      <c r="F186" t="s">
        <v>506</v>
      </c>
      <c r="G186" t="s">
        <v>507</v>
      </c>
      <c r="H186" t="s">
        <v>508</v>
      </c>
      <c r="I186" t="s">
        <v>509</v>
      </c>
      <c r="J186" t="s">
        <v>589</v>
      </c>
      <c r="K186" s="491">
        <f t="shared" si="13"/>
        <v>4600</v>
      </c>
      <c r="L186" t="s">
        <v>527</v>
      </c>
    </row>
    <row r="187" spans="1:12">
      <c r="A187" t="s">
        <v>514</v>
      </c>
      <c r="B187" t="s">
        <v>3362</v>
      </c>
      <c r="C187" s="60" t="s">
        <v>250</v>
      </c>
      <c r="D187" t="s">
        <v>587</v>
      </c>
      <c r="E187" t="s">
        <v>588</v>
      </c>
      <c r="F187" t="s">
        <v>506</v>
      </c>
      <c r="G187" t="s">
        <v>507</v>
      </c>
      <c r="H187" t="s">
        <v>508</v>
      </c>
      <c r="I187" t="s">
        <v>509</v>
      </c>
      <c r="J187" t="s">
        <v>589</v>
      </c>
      <c r="K187" s="491">
        <f t="shared" si="13"/>
        <v>4600</v>
      </c>
      <c r="L187" t="s">
        <v>527</v>
      </c>
    </row>
    <row r="188" spans="1:12">
      <c r="A188" t="s">
        <v>514</v>
      </c>
      <c r="B188" t="s">
        <v>3363</v>
      </c>
      <c r="C188" s="60" t="s">
        <v>250</v>
      </c>
      <c r="D188" t="s">
        <v>587</v>
      </c>
      <c r="E188" t="s">
        <v>588</v>
      </c>
      <c r="F188" t="s">
        <v>506</v>
      </c>
      <c r="G188" t="s">
        <v>507</v>
      </c>
      <c r="H188" t="s">
        <v>508</v>
      </c>
      <c r="I188" t="s">
        <v>509</v>
      </c>
      <c r="J188" t="s">
        <v>589</v>
      </c>
      <c r="K188" s="491">
        <f t="shared" si="13"/>
        <v>4600</v>
      </c>
      <c r="L188" t="s">
        <v>527</v>
      </c>
    </row>
    <row r="189" spans="1:12">
      <c r="A189" t="s">
        <v>514</v>
      </c>
      <c r="B189" t="s">
        <v>3364</v>
      </c>
      <c r="C189" s="60" t="s">
        <v>250</v>
      </c>
      <c r="D189" t="s">
        <v>587</v>
      </c>
      <c r="E189" t="s">
        <v>588</v>
      </c>
      <c r="F189" t="s">
        <v>506</v>
      </c>
      <c r="G189" t="s">
        <v>507</v>
      </c>
      <c r="H189" t="s">
        <v>508</v>
      </c>
      <c r="I189" t="s">
        <v>509</v>
      </c>
      <c r="J189" t="s">
        <v>589</v>
      </c>
      <c r="K189" s="491">
        <f t="shared" si="13"/>
        <v>4600</v>
      </c>
      <c r="L189" t="s">
        <v>527</v>
      </c>
    </row>
    <row r="190" spans="1:12">
      <c r="A190" t="s">
        <v>514</v>
      </c>
      <c r="B190" t="s">
        <v>3365</v>
      </c>
      <c r="C190" s="60" t="s">
        <v>250</v>
      </c>
      <c r="D190" t="s">
        <v>587</v>
      </c>
      <c r="E190" t="s">
        <v>588</v>
      </c>
      <c r="F190" t="s">
        <v>506</v>
      </c>
      <c r="G190" t="s">
        <v>507</v>
      </c>
      <c r="H190" t="s">
        <v>508</v>
      </c>
      <c r="I190" t="s">
        <v>509</v>
      </c>
      <c r="J190" t="s">
        <v>589</v>
      </c>
      <c r="K190" s="491">
        <f t="shared" si="13"/>
        <v>4600</v>
      </c>
      <c r="L190" t="s">
        <v>527</v>
      </c>
    </row>
    <row r="191" spans="1:12">
      <c r="A191" t="s">
        <v>514</v>
      </c>
      <c r="B191" t="s">
        <v>3366</v>
      </c>
      <c r="C191" s="60" t="s">
        <v>250</v>
      </c>
      <c r="D191" t="s">
        <v>587</v>
      </c>
      <c r="E191" t="s">
        <v>588</v>
      </c>
      <c r="F191" t="s">
        <v>506</v>
      </c>
      <c r="G191" t="s">
        <v>507</v>
      </c>
      <c r="H191" t="s">
        <v>508</v>
      </c>
      <c r="I191" t="s">
        <v>509</v>
      </c>
      <c r="J191" t="s">
        <v>589</v>
      </c>
      <c r="K191" s="491">
        <f t="shared" si="13"/>
        <v>4600</v>
      </c>
      <c r="L191" t="s">
        <v>527</v>
      </c>
    </row>
    <row r="192" spans="1:12">
      <c r="A192" t="s">
        <v>514</v>
      </c>
      <c r="B192" t="s">
        <v>3367</v>
      </c>
      <c r="C192" s="60" t="s">
        <v>250</v>
      </c>
      <c r="D192" t="s">
        <v>587</v>
      </c>
      <c r="E192" t="s">
        <v>588</v>
      </c>
      <c r="F192" t="s">
        <v>506</v>
      </c>
      <c r="G192" t="s">
        <v>507</v>
      </c>
      <c r="H192" t="s">
        <v>508</v>
      </c>
      <c r="I192" t="s">
        <v>509</v>
      </c>
      <c r="J192" t="s">
        <v>589</v>
      </c>
      <c r="K192" s="491">
        <f t="shared" si="13"/>
        <v>4600</v>
      </c>
      <c r="L192" t="s">
        <v>527</v>
      </c>
    </row>
    <row r="193" spans="1:12">
      <c r="A193" t="s">
        <v>514</v>
      </c>
      <c r="B193" t="s">
        <v>3356</v>
      </c>
      <c r="C193" s="3" t="s">
        <v>315</v>
      </c>
      <c r="D193" t="s">
        <v>587</v>
      </c>
      <c r="E193" t="s">
        <v>588</v>
      </c>
      <c r="F193" t="s">
        <v>506</v>
      </c>
      <c r="G193" t="s">
        <v>507</v>
      </c>
      <c r="H193" t="s">
        <v>508</v>
      </c>
      <c r="I193" t="s">
        <v>509</v>
      </c>
      <c r="J193" t="s">
        <v>589</v>
      </c>
      <c r="K193" s="491">
        <f>+VLOOKUP(C193,[1]capacité!$C:$K,9,FALSE)</f>
        <v>26000</v>
      </c>
      <c r="L193" t="s">
        <v>538</v>
      </c>
    </row>
    <row r="194" spans="1:12">
      <c r="A194" t="s">
        <v>514</v>
      </c>
      <c r="B194" t="s">
        <v>3357</v>
      </c>
      <c r="C194" s="60" t="s">
        <v>315</v>
      </c>
      <c r="D194" t="s">
        <v>587</v>
      </c>
      <c r="E194" t="s">
        <v>588</v>
      </c>
      <c r="F194" t="s">
        <v>506</v>
      </c>
      <c r="G194" t="s">
        <v>507</v>
      </c>
      <c r="H194" t="s">
        <v>508</v>
      </c>
      <c r="I194" t="s">
        <v>509</v>
      </c>
      <c r="J194" t="s">
        <v>589</v>
      </c>
      <c r="K194" s="491">
        <f>+K193</f>
        <v>26000</v>
      </c>
      <c r="L194" t="s">
        <v>538</v>
      </c>
    </row>
    <row r="195" spans="1:12">
      <c r="A195" t="s">
        <v>514</v>
      </c>
      <c r="B195" t="s">
        <v>3358</v>
      </c>
      <c r="C195" s="60" t="s">
        <v>315</v>
      </c>
      <c r="D195" t="s">
        <v>587</v>
      </c>
      <c r="E195" t="s">
        <v>588</v>
      </c>
      <c r="F195" t="s">
        <v>506</v>
      </c>
      <c r="G195" t="s">
        <v>507</v>
      </c>
      <c r="H195" t="s">
        <v>508</v>
      </c>
      <c r="I195" t="s">
        <v>509</v>
      </c>
      <c r="J195" t="s">
        <v>589</v>
      </c>
      <c r="K195" s="491">
        <f t="shared" ref="K195:K204" si="14">+K194</f>
        <v>26000</v>
      </c>
      <c r="L195" t="s">
        <v>538</v>
      </c>
    </row>
    <row r="196" spans="1:12">
      <c r="A196" t="s">
        <v>514</v>
      </c>
      <c r="B196" t="s">
        <v>3359</v>
      </c>
      <c r="C196" s="60" t="s">
        <v>315</v>
      </c>
      <c r="D196" t="s">
        <v>587</v>
      </c>
      <c r="E196" t="s">
        <v>588</v>
      </c>
      <c r="F196" t="s">
        <v>506</v>
      </c>
      <c r="G196" t="s">
        <v>507</v>
      </c>
      <c r="H196" t="s">
        <v>508</v>
      </c>
      <c r="I196" t="s">
        <v>509</v>
      </c>
      <c r="J196" t="s">
        <v>589</v>
      </c>
      <c r="K196" s="491">
        <f t="shared" si="14"/>
        <v>26000</v>
      </c>
      <c r="L196" t="s">
        <v>538</v>
      </c>
    </row>
    <row r="197" spans="1:12">
      <c r="A197" t="s">
        <v>514</v>
      </c>
      <c r="B197" t="s">
        <v>3360</v>
      </c>
      <c r="C197" s="60" t="s">
        <v>315</v>
      </c>
      <c r="D197" t="s">
        <v>587</v>
      </c>
      <c r="E197" t="s">
        <v>588</v>
      </c>
      <c r="F197" t="s">
        <v>506</v>
      </c>
      <c r="G197" t="s">
        <v>507</v>
      </c>
      <c r="H197" t="s">
        <v>508</v>
      </c>
      <c r="I197" t="s">
        <v>509</v>
      </c>
      <c r="J197" t="s">
        <v>589</v>
      </c>
      <c r="K197" s="491">
        <f t="shared" si="14"/>
        <v>26000</v>
      </c>
      <c r="L197" t="s">
        <v>538</v>
      </c>
    </row>
    <row r="198" spans="1:12">
      <c r="A198" t="s">
        <v>514</v>
      </c>
      <c r="B198" t="s">
        <v>3361</v>
      </c>
      <c r="C198" s="60" t="s">
        <v>315</v>
      </c>
      <c r="D198" t="s">
        <v>587</v>
      </c>
      <c r="E198" t="s">
        <v>588</v>
      </c>
      <c r="F198" t="s">
        <v>506</v>
      </c>
      <c r="G198" t="s">
        <v>507</v>
      </c>
      <c r="H198" t="s">
        <v>508</v>
      </c>
      <c r="I198" t="s">
        <v>509</v>
      </c>
      <c r="J198" t="s">
        <v>589</v>
      </c>
      <c r="K198" s="491">
        <f t="shared" si="14"/>
        <v>26000</v>
      </c>
      <c r="L198" t="s">
        <v>538</v>
      </c>
    </row>
    <row r="199" spans="1:12">
      <c r="A199" t="s">
        <v>514</v>
      </c>
      <c r="B199" t="s">
        <v>3362</v>
      </c>
      <c r="C199" s="60" t="s">
        <v>315</v>
      </c>
      <c r="D199" t="s">
        <v>587</v>
      </c>
      <c r="E199" t="s">
        <v>588</v>
      </c>
      <c r="F199" t="s">
        <v>506</v>
      </c>
      <c r="G199" t="s">
        <v>507</v>
      </c>
      <c r="H199" t="s">
        <v>508</v>
      </c>
      <c r="I199" t="s">
        <v>509</v>
      </c>
      <c r="J199" t="s">
        <v>589</v>
      </c>
      <c r="K199" s="491">
        <f t="shared" si="14"/>
        <v>26000</v>
      </c>
      <c r="L199" t="s">
        <v>538</v>
      </c>
    </row>
    <row r="200" spans="1:12">
      <c r="A200" t="s">
        <v>514</v>
      </c>
      <c r="B200" t="s">
        <v>3363</v>
      </c>
      <c r="C200" s="60" t="s">
        <v>315</v>
      </c>
      <c r="D200" t="s">
        <v>587</v>
      </c>
      <c r="E200" t="s">
        <v>588</v>
      </c>
      <c r="F200" t="s">
        <v>506</v>
      </c>
      <c r="G200" t="s">
        <v>507</v>
      </c>
      <c r="H200" t="s">
        <v>508</v>
      </c>
      <c r="I200" t="s">
        <v>509</v>
      </c>
      <c r="J200" t="s">
        <v>589</v>
      </c>
      <c r="K200" s="491">
        <f t="shared" si="14"/>
        <v>26000</v>
      </c>
      <c r="L200" t="s">
        <v>538</v>
      </c>
    </row>
    <row r="201" spans="1:12">
      <c r="A201" t="s">
        <v>514</v>
      </c>
      <c r="B201" t="s">
        <v>3364</v>
      </c>
      <c r="C201" s="60" t="s">
        <v>315</v>
      </c>
      <c r="D201" t="s">
        <v>587</v>
      </c>
      <c r="E201" t="s">
        <v>588</v>
      </c>
      <c r="F201" t="s">
        <v>506</v>
      </c>
      <c r="G201" t="s">
        <v>507</v>
      </c>
      <c r="H201" t="s">
        <v>508</v>
      </c>
      <c r="I201" t="s">
        <v>509</v>
      </c>
      <c r="J201" t="s">
        <v>589</v>
      </c>
      <c r="K201" s="491">
        <f t="shared" si="14"/>
        <v>26000</v>
      </c>
      <c r="L201" t="s">
        <v>538</v>
      </c>
    </row>
    <row r="202" spans="1:12">
      <c r="A202" t="s">
        <v>514</v>
      </c>
      <c r="B202" t="s">
        <v>3365</v>
      </c>
      <c r="C202" s="60" t="s">
        <v>315</v>
      </c>
      <c r="D202" t="s">
        <v>587</v>
      </c>
      <c r="E202" t="s">
        <v>588</v>
      </c>
      <c r="F202" t="s">
        <v>506</v>
      </c>
      <c r="G202" t="s">
        <v>507</v>
      </c>
      <c r="H202" t="s">
        <v>508</v>
      </c>
      <c r="I202" t="s">
        <v>509</v>
      </c>
      <c r="J202" t="s">
        <v>589</v>
      </c>
      <c r="K202" s="491">
        <f t="shared" si="14"/>
        <v>26000</v>
      </c>
      <c r="L202" t="s">
        <v>538</v>
      </c>
    </row>
    <row r="203" spans="1:12">
      <c r="A203" t="s">
        <v>514</v>
      </c>
      <c r="B203" t="s">
        <v>3366</v>
      </c>
      <c r="C203" s="60" t="s">
        <v>315</v>
      </c>
      <c r="D203" t="s">
        <v>587</v>
      </c>
      <c r="E203" t="s">
        <v>588</v>
      </c>
      <c r="F203" t="s">
        <v>506</v>
      </c>
      <c r="G203" t="s">
        <v>507</v>
      </c>
      <c r="H203" t="s">
        <v>508</v>
      </c>
      <c r="I203" t="s">
        <v>509</v>
      </c>
      <c r="J203" t="s">
        <v>589</v>
      </c>
      <c r="K203" s="491">
        <f t="shared" si="14"/>
        <v>26000</v>
      </c>
      <c r="L203" t="s">
        <v>538</v>
      </c>
    </row>
    <row r="204" spans="1:12">
      <c r="A204" t="s">
        <v>514</v>
      </c>
      <c r="B204" t="s">
        <v>3367</v>
      </c>
      <c r="C204" s="60" t="s">
        <v>315</v>
      </c>
      <c r="D204" t="s">
        <v>587</v>
      </c>
      <c r="E204" t="s">
        <v>588</v>
      </c>
      <c r="F204" t="s">
        <v>506</v>
      </c>
      <c r="G204" t="s">
        <v>507</v>
      </c>
      <c r="H204" t="s">
        <v>508</v>
      </c>
      <c r="I204" t="s">
        <v>509</v>
      </c>
      <c r="J204" t="s">
        <v>589</v>
      </c>
      <c r="K204" s="491">
        <f t="shared" si="14"/>
        <v>26000</v>
      </c>
      <c r="L204" t="s">
        <v>538</v>
      </c>
    </row>
    <row r="205" spans="1:12">
      <c r="A205" t="s">
        <v>514</v>
      </c>
      <c r="B205" t="s">
        <v>3356</v>
      </c>
      <c r="C205" s="3" t="s">
        <v>314</v>
      </c>
      <c r="D205" t="s">
        <v>587</v>
      </c>
      <c r="E205" t="s">
        <v>588</v>
      </c>
      <c r="F205" t="s">
        <v>506</v>
      </c>
      <c r="G205" t="s">
        <v>507</v>
      </c>
      <c r="H205" t="s">
        <v>508</v>
      </c>
      <c r="I205" t="s">
        <v>509</v>
      </c>
      <c r="J205" t="s">
        <v>589</v>
      </c>
      <c r="K205" s="491">
        <f>+VLOOKUP(C205,[1]capacité!$C:$K,9,FALSE)</f>
        <v>6000</v>
      </c>
      <c r="L205" t="s">
        <v>541</v>
      </c>
    </row>
    <row r="206" spans="1:12">
      <c r="A206" t="s">
        <v>514</v>
      </c>
      <c r="B206" t="s">
        <v>3357</v>
      </c>
      <c r="C206" s="60" t="s">
        <v>314</v>
      </c>
      <c r="D206" t="s">
        <v>587</v>
      </c>
      <c r="E206" t="s">
        <v>588</v>
      </c>
      <c r="F206" t="s">
        <v>506</v>
      </c>
      <c r="G206" t="s">
        <v>507</v>
      </c>
      <c r="H206" t="s">
        <v>508</v>
      </c>
      <c r="I206" t="s">
        <v>509</v>
      </c>
      <c r="J206" t="s">
        <v>589</v>
      </c>
      <c r="K206" s="491">
        <f>+K205</f>
        <v>6000</v>
      </c>
      <c r="L206" t="s">
        <v>541</v>
      </c>
    </row>
    <row r="207" spans="1:12">
      <c r="A207" t="s">
        <v>514</v>
      </c>
      <c r="B207" t="s">
        <v>3358</v>
      </c>
      <c r="C207" s="60" t="s">
        <v>314</v>
      </c>
      <c r="D207" t="s">
        <v>587</v>
      </c>
      <c r="E207" t="s">
        <v>588</v>
      </c>
      <c r="F207" t="s">
        <v>506</v>
      </c>
      <c r="G207" t="s">
        <v>507</v>
      </c>
      <c r="H207" t="s">
        <v>508</v>
      </c>
      <c r="I207" t="s">
        <v>509</v>
      </c>
      <c r="J207" t="s">
        <v>589</v>
      </c>
      <c r="K207" s="491">
        <f t="shared" ref="K207:K216" si="15">+K206</f>
        <v>6000</v>
      </c>
      <c r="L207" t="s">
        <v>541</v>
      </c>
    </row>
    <row r="208" spans="1:12">
      <c r="A208" t="s">
        <v>514</v>
      </c>
      <c r="B208" t="s">
        <v>3359</v>
      </c>
      <c r="C208" s="60" t="s">
        <v>314</v>
      </c>
      <c r="D208" t="s">
        <v>587</v>
      </c>
      <c r="E208" t="s">
        <v>588</v>
      </c>
      <c r="F208" t="s">
        <v>506</v>
      </c>
      <c r="G208" t="s">
        <v>507</v>
      </c>
      <c r="H208" t="s">
        <v>508</v>
      </c>
      <c r="I208" t="s">
        <v>509</v>
      </c>
      <c r="J208" t="s">
        <v>589</v>
      </c>
      <c r="K208" s="491">
        <f t="shared" si="15"/>
        <v>6000</v>
      </c>
      <c r="L208" t="s">
        <v>541</v>
      </c>
    </row>
    <row r="209" spans="1:12">
      <c r="A209" t="s">
        <v>514</v>
      </c>
      <c r="B209" t="s">
        <v>3360</v>
      </c>
      <c r="C209" s="60" t="s">
        <v>314</v>
      </c>
      <c r="D209" t="s">
        <v>587</v>
      </c>
      <c r="E209" t="s">
        <v>588</v>
      </c>
      <c r="F209" t="s">
        <v>506</v>
      </c>
      <c r="G209" t="s">
        <v>507</v>
      </c>
      <c r="H209" t="s">
        <v>508</v>
      </c>
      <c r="I209" t="s">
        <v>509</v>
      </c>
      <c r="J209" t="s">
        <v>589</v>
      </c>
      <c r="K209" s="491">
        <f t="shared" si="15"/>
        <v>6000</v>
      </c>
      <c r="L209" t="s">
        <v>541</v>
      </c>
    </row>
    <row r="210" spans="1:12">
      <c r="A210" t="s">
        <v>514</v>
      </c>
      <c r="B210" t="s">
        <v>3361</v>
      </c>
      <c r="C210" s="60" t="s">
        <v>314</v>
      </c>
      <c r="D210" t="s">
        <v>587</v>
      </c>
      <c r="E210" t="s">
        <v>588</v>
      </c>
      <c r="F210" t="s">
        <v>506</v>
      </c>
      <c r="G210" t="s">
        <v>507</v>
      </c>
      <c r="H210" t="s">
        <v>508</v>
      </c>
      <c r="I210" t="s">
        <v>509</v>
      </c>
      <c r="J210" t="s">
        <v>589</v>
      </c>
      <c r="K210" s="491">
        <f t="shared" si="15"/>
        <v>6000</v>
      </c>
      <c r="L210" t="s">
        <v>541</v>
      </c>
    </row>
    <row r="211" spans="1:12">
      <c r="A211" t="s">
        <v>514</v>
      </c>
      <c r="B211" t="s">
        <v>3362</v>
      </c>
      <c r="C211" s="60" t="s">
        <v>314</v>
      </c>
      <c r="D211" t="s">
        <v>587</v>
      </c>
      <c r="E211" t="s">
        <v>588</v>
      </c>
      <c r="F211" t="s">
        <v>506</v>
      </c>
      <c r="G211" t="s">
        <v>507</v>
      </c>
      <c r="H211" t="s">
        <v>508</v>
      </c>
      <c r="I211" t="s">
        <v>509</v>
      </c>
      <c r="J211" t="s">
        <v>589</v>
      </c>
      <c r="K211" s="491">
        <f t="shared" si="15"/>
        <v>6000</v>
      </c>
      <c r="L211" t="s">
        <v>541</v>
      </c>
    </row>
    <row r="212" spans="1:12">
      <c r="A212" t="s">
        <v>514</v>
      </c>
      <c r="B212" t="s">
        <v>3363</v>
      </c>
      <c r="C212" s="60" t="s">
        <v>314</v>
      </c>
      <c r="D212" t="s">
        <v>587</v>
      </c>
      <c r="E212" t="s">
        <v>588</v>
      </c>
      <c r="F212" t="s">
        <v>506</v>
      </c>
      <c r="G212" t="s">
        <v>507</v>
      </c>
      <c r="H212" t="s">
        <v>508</v>
      </c>
      <c r="I212" t="s">
        <v>509</v>
      </c>
      <c r="J212" t="s">
        <v>589</v>
      </c>
      <c r="K212" s="491">
        <f t="shared" si="15"/>
        <v>6000</v>
      </c>
      <c r="L212" t="s">
        <v>541</v>
      </c>
    </row>
    <row r="213" spans="1:12">
      <c r="A213" t="s">
        <v>514</v>
      </c>
      <c r="B213" t="s">
        <v>3364</v>
      </c>
      <c r="C213" s="60" t="s">
        <v>314</v>
      </c>
      <c r="D213" t="s">
        <v>587</v>
      </c>
      <c r="E213" t="s">
        <v>588</v>
      </c>
      <c r="F213" t="s">
        <v>506</v>
      </c>
      <c r="G213" t="s">
        <v>507</v>
      </c>
      <c r="H213" t="s">
        <v>508</v>
      </c>
      <c r="I213" t="s">
        <v>509</v>
      </c>
      <c r="J213" t="s">
        <v>589</v>
      </c>
      <c r="K213" s="491">
        <f t="shared" si="15"/>
        <v>6000</v>
      </c>
      <c r="L213" t="s">
        <v>541</v>
      </c>
    </row>
    <row r="214" spans="1:12">
      <c r="A214" t="s">
        <v>514</v>
      </c>
      <c r="B214" t="s">
        <v>3365</v>
      </c>
      <c r="C214" s="60" t="s">
        <v>314</v>
      </c>
      <c r="D214" t="s">
        <v>587</v>
      </c>
      <c r="E214" t="s">
        <v>588</v>
      </c>
      <c r="F214" t="s">
        <v>506</v>
      </c>
      <c r="G214" t="s">
        <v>507</v>
      </c>
      <c r="H214" t="s">
        <v>508</v>
      </c>
      <c r="I214" t="s">
        <v>509</v>
      </c>
      <c r="J214" t="s">
        <v>589</v>
      </c>
      <c r="K214" s="491">
        <f t="shared" si="15"/>
        <v>6000</v>
      </c>
      <c r="L214" t="s">
        <v>541</v>
      </c>
    </row>
    <row r="215" spans="1:12">
      <c r="A215" t="s">
        <v>514</v>
      </c>
      <c r="B215" t="s">
        <v>3366</v>
      </c>
      <c r="C215" s="60" t="s">
        <v>314</v>
      </c>
      <c r="D215" t="s">
        <v>587</v>
      </c>
      <c r="E215" t="s">
        <v>588</v>
      </c>
      <c r="F215" t="s">
        <v>506</v>
      </c>
      <c r="G215" t="s">
        <v>507</v>
      </c>
      <c r="H215" t="s">
        <v>508</v>
      </c>
      <c r="I215" t="s">
        <v>509</v>
      </c>
      <c r="J215" t="s">
        <v>589</v>
      </c>
      <c r="K215" s="491">
        <f t="shared" si="15"/>
        <v>6000</v>
      </c>
      <c r="L215" t="s">
        <v>541</v>
      </c>
    </row>
    <row r="216" spans="1:12">
      <c r="A216" t="s">
        <v>514</v>
      </c>
      <c r="B216" t="s">
        <v>3367</v>
      </c>
      <c r="C216" s="60" t="s">
        <v>314</v>
      </c>
      <c r="D216" t="s">
        <v>587</v>
      </c>
      <c r="E216" t="s">
        <v>588</v>
      </c>
      <c r="F216" t="s">
        <v>506</v>
      </c>
      <c r="G216" t="s">
        <v>507</v>
      </c>
      <c r="H216" t="s">
        <v>508</v>
      </c>
      <c r="I216" t="s">
        <v>509</v>
      </c>
      <c r="J216" t="s">
        <v>589</v>
      </c>
      <c r="K216" s="491">
        <f t="shared" si="15"/>
        <v>6000</v>
      </c>
      <c r="L216" t="s">
        <v>541</v>
      </c>
    </row>
    <row r="217" spans="1:12">
      <c r="A217" t="s">
        <v>514</v>
      </c>
      <c r="B217" t="s">
        <v>3356</v>
      </c>
      <c r="C217" s="3" t="s">
        <v>260</v>
      </c>
      <c r="D217" t="s">
        <v>587</v>
      </c>
      <c r="E217" t="s">
        <v>588</v>
      </c>
      <c r="F217" t="s">
        <v>506</v>
      </c>
      <c r="G217" t="s">
        <v>507</v>
      </c>
      <c r="H217" t="s">
        <v>508</v>
      </c>
      <c r="I217" t="s">
        <v>509</v>
      </c>
      <c r="J217" t="s">
        <v>589</v>
      </c>
      <c r="K217" s="491">
        <v>9200</v>
      </c>
      <c r="L217" t="s">
        <v>213</v>
      </c>
    </row>
    <row r="218" spans="1:12">
      <c r="A218" t="s">
        <v>514</v>
      </c>
      <c r="B218" t="s">
        <v>3357</v>
      </c>
      <c r="C218" s="60" t="s">
        <v>260</v>
      </c>
      <c r="D218" t="s">
        <v>587</v>
      </c>
      <c r="E218" t="s">
        <v>588</v>
      </c>
      <c r="F218" t="s">
        <v>506</v>
      </c>
      <c r="G218" t="s">
        <v>507</v>
      </c>
      <c r="H218" t="s">
        <v>508</v>
      </c>
      <c r="I218" t="s">
        <v>509</v>
      </c>
      <c r="J218" t="s">
        <v>589</v>
      </c>
      <c r="K218" s="491">
        <f>+K217</f>
        <v>9200</v>
      </c>
      <c r="L218" t="s">
        <v>213</v>
      </c>
    </row>
    <row r="219" spans="1:12">
      <c r="A219" t="s">
        <v>514</v>
      </c>
      <c r="B219" t="s">
        <v>3358</v>
      </c>
      <c r="C219" s="60" t="s">
        <v>260</v>
      </c>
      <c r="D219" t="s">
        <v>587</v>
      </c>
      <c r="E219" t="s">
        <v>588</v>
      </c>
      <c r="F219" t="s">
        <v>506</v>
      </c>
      <c r="G219" t="s">
        <v>507</v>
      </c>
      <c r="H219" t="s">
        <v>508</v>
      </c>
      <c r="I219" t="s">
        <v>509</v>
      </c>
      <c r="J219" t="s">
        <v>589</v>
      </c>
      <c r="K219" s="491">
        <f t="shared" ref="K219:K228" si="16">+K218</f>
        <v>9200</v>
      </c>
      <c r="L219" t="s">
        <v>213</v>
      </c>
    </row>
    <row r="220" spans="1:12">
      <c r="A220" t="s">
        <v>514</v>
      </c>
      <c r="B220" t="s">
        <v>3359</v>
      </c>
      <c r="C220" s="60" t="s">
        <v>260</v>
      </c>
      <c r="D220" t="s">
        <v>587</v>
      </c>
      <c r="E220" t="s">
        <v>588</v>
      </c>
      <c r="F220" t="s">
        <v>506</v>
      </c>
      <c r="G220" t="s">
        <v>507</v>
      </c>
      <c r="H220" t="s">
        <v>508</v>
      </c>
      <c r="I220" t="s">
        <v>509</v>
      </c>
      <c r="J220" t="s">
        <v>589</v>
      </c>
      <c r="K220" s="491">
        <f t="shared" si="16"/>
        <v>9200</v>
      </c>
      <c r="L220" t="s">
        <v>213</v>
      </c>
    </row>
    <row r="221" spans="1:12">
      <c r="A221" t="s">
        <v>514</v>
      </c>
      <c r="B221" t="s">
        <v>3360</v>
      </c>
      <c r="C221" s="60" t="s">
        <v>260</v>
      </c>
      <c r="D221" t="s">
        <v>587</v>
      </c>
      <c r="E221" t="s">
        <v>588</v>
      </c>
      <c r="F221" t="s">
        <v>506</v>
      </c>
      <c r="G221" t="s">
        <v>507</v>
      </c>
      <c r="H221" t="s">
        <v>508</v>
      </c>
      <c r="I221" t="s">
        <v>509</v>
      </c>
      <c r="J221" t="s">
        <v>589</v>
      </c>
      <c r="K221" s="491">
        <f t="shared" si="16"/>
        <v>9200</v>
      </c>
      <c r="L221" t="s">
        <v>213</v>
      </c>
    </row>
    <row r="222" spans="1:12">
      <c r="A222" t="s">
        <v>514</v>
      </c>
      <c r="B222" t="s">
        <v>3361</v>
      </c>
      <c r="C222" s="60" t="s">
        <v>260</v>
      </c>
      <c r="D222" t="s">
        <v>587</v>
      </c>
      <c r="E222" t="s">
        <v>588</v>
      </c>
      <c r="F222" t="s">
        <v>506</v>
      </c>
      <c r="G222" t="s">
        <v>507</v>
      </c>
      <c r="H222" t="s">
        <v>508</v>
      </c>
      <c r="I222" t="s">
        <v>509</v>
      </c>
      <c r="J222" t="s">
        <v>589</v>
      </c>
      <c r="K222" s="491">
        <f t="shared" si="16"/>
        <v>9200</v>
      </c>
      <c r="L222" t="s">
        <v>213</v>
      </c>
    </row>
    <row r="223" spans="1:12">
      <c r="A223" t="s">
        <v>514</v>
      </c>
      <c r="B223" t="s">
        <v>3362</v>
      </c>
      <c r="C223" s="60" t="s">
        <v>260</v>
      </c>
      <c r="D223" t="s">
        <v>587</v>
      </c>
      <c r="E223" t="s">
        <v>588</v>
      </c>
      <c r="F223" t="s">
        <v>506</v>
      </c>
      <c r="G223" t="s">
        <v>507</v>
      </c>
      <c r="H223" t="s">
        <v>508</v>
      </c>
      <c r="I223" t="s">
        <v>509</v>
      </c>
      <c r="J223" t="s">
        <v>589</v>
      </c>
      <c r="K223" s="491">
        <f t="shared" si="16"/>
        <v>9200</v>
      </c>
      <c r="L223" t="s">
        <v>213</v>
      </c>
    </row>
    <row r="224" spans="1:12">
      <c r="A224" t="s">
        <v>514</v>
      </c>
      <c r="B224" t="s">
        <v>3363</v>
      </c>
      <c r="C224" s="60" t="s">
        <v>260</v>
      </c>
      <c r="D224" t="s">
        <v>587</v>
      </c>
      <c r="E224" t="s">
        <v>588</v>
      </c>
      <c r="F224" t="s">
        <v>506</v>
      </c>
      <c r="G224" t="s">
        <v>507</v>
      </c>
      <c r="H224" t="s">
        <v>508</v>
      </c>
      <c r="I224" t="s">
        <v>509</v>
      </c>
      <c r="J224" t="s">
        <v>589</v>
      </c>
      <c r="K224" s="491">
        <f t="shared" si="16"/>
        <v>9200</v>
      </c>
      <c r="L224" t="s">
        <v>213</v>
      </c>
    </row>
    <row r="225" spans="1:12">
      <c r="A225" t="s">
        <v>514</v>
      </c>
      <c r="B225" t="s">
        <v>3364</v>
      </c>
      <c r="C225" s="60" t="s">
        <v>260</v>
      </c>
      <c r="D225" t="s">
        <v>587</v>
      </c>
      <c r="E225" t="s">
        <v>588</v>
      </c>
      <c r="F225" t="s">
        <v>506</v>
      </c>
      <c r="G225" t="s">
        <v>507</v>
      </c>
      <c r="H225" t="s">
        <v>508</v>
      </c>
      <c r="I225" t="s">
        <v>509</v>
      </c>
      <c r="J225" t="s">
        <v>589</v>
      </c>
      <c r="K225" s="491">
        <f t="shared" si="16"/>
        <v>9200</v>
      </c>
      <c r="L225" t="s">
        <v>213</v>
      </c>
    </row>
    <row r="226" spans="1:12">
      <c r="A226" t="s">
        <v>514</v>
      </c>
      <c r="B226" t="s">
        <v>3365</v>
      </c>
      <c r="C226" s="60" t="s">
        <v>260</v>
      </c>
      <c r="D226" t="s">
        <v>587</v>
      </c>
      <c r="E226" t="s">
        <v>588</v>
      </c>
      <c r="F226" t="s">
        <v>506</v>
      </c>
      <c r="G226" t="s">
        <v>507</v>
      </c>
      <c r="H226" t="s">
        <v>508</v>
      </c>
      <c r="I226" t="s">
        <v>509</v>
      </c>
      <c r="J226" t="s">
        <v>589</v>
      </c>
      <c r="K226" s="491">
        <f t="shared" si="16"/>
        <v>9200</v>
      </c>
      <c r="L226" t="s">
        <v>213</v>
      </c>
    </row>
    <row r="227" spans="1:12">
      <c r="A227" t="s">
        <v>514</v>
      </c>
      <c r="B227" t="s">
        <v>3366</v>
      </c>
      <c r="C227" s="60" t="s">
        <v>260</v>
      </c>
      <c r="D227" t="s">
        <v>587</v>
      </c>
      <c r="E227" t="s">
        <v>588</v>
      </c>
      <c r="F227" t="s">
        <v>506</v>
      </c>
      <c r="G227" t="s">
        <v>507</v>
      </c>
      <c r="H227" t="s">
        <v>508</v>
      </c>
      <c r="I227" t="s">
        <v>509</v>
      </c>
      <c r="J227" t="s">
        <v>589</v>
      </c>
      <c r="K227" s="491">
        <f t="shared" si="16"/>
        <v>9200</v>
      </c>
      <c r="L227" t="s">
        <v>213</v>
      </c>
    </row>
    <row r="228" spans="1:12">
      <c r="A228" t="s">
        <v>514</v>
      </c>
      <c r="B228" t="s">
        <v>3367</v>
      </c>
      <c r="C228" s="60" t="s">
        <v>260</v>
      </c>
      <c r="D228" t="s">
        <v>587</v>
      </c>
      <c r="E228" t="s">
        <v>588</v>
      </c>
      <c r="F228" t="s">
        <v>506</v>
      </c>
      <c r="G228" t="s">
        <v>507</v>
      </c>
      <c r="H228" t="s">
        <v>508</v>
      </c>
      <c r="I228" t="s">
        <v>509</v>
      </c>
      <c r="J228" t="s">
        <v>589</v>
      </c>
      <c r="K228" s="491">
        <f t="shared" si="16"/>
        <v>9200</v>
      </c>
      <c r="L228" t="s">
        <v>213</v>
      </c>
    </row>
    <row r="229" spans="1:12">
      <c r="A229" t="s">
        <v>514</v>
      </c>
      <c r="B229" t="s">
        <v>3356</v>
      </c>
      <c r="C229" s="3" t="s">
        <v>216</v>
      </c>
      <c r="D229" t="s">
        <v>587</v>
      </c>
      <c r="E229" t="s">
        <v>588</v>
      </c>
      <c r="F229" t="s">
        <v>506</v>
      </c>
      <c r="G229" t="s">
        <v>507</v>
      </c>
      <c r="H229" t="s">
        <v>508</v>
      </c>
      <c r="I229" t="s">
        <v>509</v>
      </c>
      <c r="J229" t="s">
        <v>589</v>
      </c>
      <c r="K229" s="491">
        <v>24000</v>
      </c>
      <c r="L229" t="s">
        <v>214</v>
      </c>
    </row>
    <row r="230" spans="1:12">
      <c r="A230" t="s">
        <v>514</v>
      </c>
      <c r="B230" t="s">
        <v>3357</v>
      </c>
      <c r="C230" s="60" t="s">
        <v>216</v>
      </c>
      <c r="D230" t="s">
        <v>587</v>
      </c>
      <c r="E230" t="s">
        <v>588</v>
      </c>
      <c r="F230" t="s">
        <v>506</v>
      </c>
      <c r="G230" t="s">
        <v>507</v>
      </c>
      <c r="H230" t="s">
        <v>508</v>
      </c>
      <c r="I230" t="s">
        <v>509</v>
      </c>
      <c r="J230" t="s">
        <v>589</v>
      </c>
      <c r="K230" s="491">
        <f>+K229</f>
        <v>24000</v>
      </c>
      <c r="L230" t="s">
        <v>214</v>
      </c>
    </row>
    <row r="231" spans="1:12">
      <c r="A231" t="s">
        <v>514</v>
      </c>
      <c r="B231" t="s">
        <v>3358</v>
      </c>
      <c r="C231" s="60" t="s">
        <v>216</v>
      </c>
      <c r="D231" t="s">
        <v>587</v>
      </c>
      <c r="E231" t="s">
        <v>588</v>
      </c>
      <c r="F231" t="s">
        <v>506</v>
      </c>
      <c r="G231" t="s">
        <v>507</v>
      </c>
      <c r="H231" t="s">
        <v>508</v>
      </c>
      <c r="I231" t="s">
        <v>509</v>
      </c>
      <c r="J231" t="s">
        <v>589</v>
      </c>
      <c r="K231" s="491">
        <f t="shared" ref="K231:K240" si="17">+K230</f>
        <v>24000</v>
      </c>
      <c r="L231" t="s">
        <v>214</v>
      </c>
    </row>
    <row r="232" spans="1:12">
      <c r="A232" t="s">
        <v>514</v>
      </c>
      <c r="B232" t="s">
        <v>3359</v>
      </c>
      <c r="C232" s="60" t="s">
        <v>216</v>
      </c>
      <c r="D232" t="s">
        <v>587</v>
      </c>
      <c r="E232" t="s">
        <v>588</v>
      </c>
      <c r="F232" t="s">
        <v>506</v>
      </c>
      <c r="G232" t="s">
        <v>507</v>
      </c>
      <c r="H232" t="s">
        <v>508</v>
      </c>
      <c r="I232" t="s">
        <v>509</v>
      </c>
      <c r="J232" t="s">
        <v>589</v>
      </c>
      <c r="K232" s="491">
        <f t="shared" si="17"/>
        <v>24000</v>
      </c>
      <c r="L232" t="s">
        <v>214</v>
      </c>
    </row>
    <row r="233" spans="1:12">
      <c r="A233" t="s">
        <v>514</v>
      </c>
      <c r="B233" t="s">
        <v>3360</v>
      </c>
      <c r="C233" s="60" t="s">
        <v>216</v>
      </c>
      <c r="D233" t="s">
        <v>587</v>
      </c>
      <c r="E233" t="s">
        <v>588</v>
      </c>
      <c r="F233" t="s">
        <v>506</v>
      </c>
      <c r="G233" t="s">
        <v>507</v>
      </c>
      <c r="H233" t="s">
        <v>508</v>
      </c>
      <c r="I233" t="s">
        <v>509</v>
      </c>
      <c r="J233" t="s">
        <v>589</v>
      </c>
      <c r="K233" s="491">
        <f t="shared" si="17"/>
        <v>24000</v>
      </c>
      <c r="L233" t="s">
        <v>214</v>
      </c>
    </row>
    <row r="234" spans="1:12">
      <c r="A234" t="s">
        <v>514</v>
      </c>
      <c r="B234" t="s">
        <v>3361</v>
      </c>
      <c r="C234" s="60" t="s">
        <v>216</v>
      </c>
      <c r="D234" t="s">
        <v>587</v>
      </c>
      <c r="E234" t="s">
        <v>588</v>
      </c>
      <c r="F234" t="s">
        <v>506</v>
      </c>
      <c r="G234" t="s">
        <v>507</v>
      </c>
      <c r="H234" t="s">
        <v>508</v>
      </c>
      <c r="I234" t="s">
        <v>509</v>
      </c>
      <c r="J234" t="s">
        <v>589</v>
      </c>
      <c r="K234" s="491">
        <f t="shared" si="17"/>
        <v>24000</v>
      </c>
      <c r="L234" t="s">
        <v>214</v>
      </c>
    </row>
    <row r="235" spans="1:12">
      <c r="A235" t="s">
        <v>514</v>
      </c>
      <c r="B235" t="s">
        <v>3362</v>
      </c>
      <c r="C235" s="60" t="s">
        <v>216</v>
      </c>
      <c r="D235" t="s">
        <v>587</v>
      </c>
      <c r="E235" t="s">
        <v>588</v>
      </c>
      <c r="F235" t="s">
        <v>506</v>
      </c>
      <c r="G235" t="s">
        <v>507</v>
      </c>
      <c r="H235" t="s">
        <v>508</v>
      </c>
      <c r="I235" t="s">
        <v>509</v>
      </c>
      <c r="J235" t="s">
        <v>589</v>
      </c>
      <c r="K235" s="491">
        <f t="shared" si="17"/>
        <v>24000</v>
      </c>
      <c r="L235" t="s">
        <v>214</v>
      </c>
    </row>
    <row r="236" spans="1:12">
      <c r="A236" t="s">
        <v>514</v>
      </c>
      <c r="B236" t="s">
        <v>3363</v>
      </c>
      <c r="C236" s="60" t="s">
        <v>216</v>
      </c>
      <c r="D236" t="s">
        <v>587</v>
      </c>
      <c r="E236" t="s">
        <v>588</v>
      </c>
      <c r="F236" t="s">
        <v>506</v>
      </c>
      <c r="G236" t="s">
        <v>507</v>
      </c>
      <c r="H236" t="s">
        <v>508</v>
      </c>
      <c r="I236" t="s">
        <v>509</v>
      </c>
      <c r="J236" t="s">
        <v>589</v>
      </c>
      <c r="K236" s="491">
        <f t="shared" si="17"/>
        <v>24000</v>
      </c>
      <c r="L236" t="s">
        <v>214</v>
      </c>
    </row>
    <row r="237" spans="1:12">
      <c r="A237" t="s">
        <v>514</v>
      </c>
      <c r="B237" t="s">
        <v>3364</v>
      </c>
      <c r="C237" s="60" t="s">
        <v>216</v>
      </c>
      <c r="D237" t="s">
        <v>587</v>
      </c>
      <c r="E237" t="s">
        <v>588</v>
      </c>
      <c r="F237" t="s">
        <v>506</v>
      </c>
      <c r="G237" t="s">
        <v>507</v>
      </c>
      <c r="H237" t="s">
        <v>508</v>
      </c>
      <c r="I237" t="s">
        <v>509</v>
      </c>
      <c r="J237" t="s">
        <v>589</v>
      </c>
      <c r="K237" s="491">
        <f t="shared" si="17"/>
        <v>24000</v>
      </c>
      <c r="L237" t="s">
        <v>214</v>
      </c>
    </row>
    <row r="238" spans="1:12">
      <c r="A238" t="s">
        <v>514</v>
      </c>
      <c r="B238" t="s">
        <v>3365</v>
      </c>
      <c r="C238" s="60" t="s">
        <v>216</v>
      </c>
      <c r="D238" t="s">
        <v>587</v>
      </c>
      <c r="E238" t="s">
        <v>588</v>
      </c>
      <c r="F238" t="s">
        <v>506</v>
      </c>
      <c r="G238" t="s">
        <v>507</v>
      </c>
      <c r="H238" t="s">
        <v>508</v>
      </c>
      <c r="I238" t="s">
        <v>509</v>
      </c>
      <c r="J238" t="s">
        <v>589</v>
      </c>
      <c r="K238" s="491">
        <f t="shared" si="17"/>
        <v>24000</v>
      </c>
      <c r="L238" t="s">
        <v>214</v>
      </c>
    </row>
    <row r="239" spans="1:12">
      <c r="A239" t="s">
        <v>514</v>
      </c>
      <c r="B239" t="s">
        <v>3366</v>
      </c>
      <c r="C239" s="60" t="s">
        <v>216</v>
      </c>
      <c r="D239" t="s">
        <v>587</v>
      </c>
      <c r="E239" t="s">
        <v>588</v>
      </c>
      <c r="F239" t="s">
        <v>506</v>
      </c>
      <c r="G239" t="s">
        <v>507</v>
      </c>
      <c r="H239" t="s">
        <v>508</v>
      </c>
      <c r="I239" t="s">
        <v>509</v>
      </c>
      <c r="J239" t="s">
        <v>589</v>
      </c>
      <c r="K239" s="491">
        <f t="shared" si="17"/>
        <v>24000</v>
      </c>
      <c r="L239" t="s">
        <v>214</v>
      </c>
    </row>
    <row r="240" spans="1:12">
      <c r="A240" t="s">
        <v>514</v>
      </c>
      <c r="B240" t="s">
        <v>3367</v>
      </c>
      <c r="C240" s="60" t="s">
        <v>216</v>
      </c>
      <c r="D240" t="s">
        <v>587</v>
      </c>
      <c r="E240" t="s">
        <v>588</v>
      </c>
      <c r="F240" t="s">
        <v>506</v>
      </c>
      <c r="G240" t="s">
        <v>507</v>
      </c>
      <c r="H240" t="s">
        <v>508</v>
      </c>
      <c r="I240" t="s">
        <v>509</v>
      </c>
      <c r="J240" t="s">
        <v>589</v>
      </c>
      <c r="K240" s="491">
        <f t="shared" si="17"/>
        <v>24000</v>
      </c>
      <c r="L240" t="s">
        <v>214</v>
      </c>
    </row>
    <row r="241" spans="1:12">
      <c r="A241" t="s">
        <v>514</v>
      </c>
      <c r="B241" t="s">
        <v>3356</v>
      </c>
      <c r="C241" s="3" t="s">
        <v>262</v>
      </c>
      <c r="D241" t="s">
        <v>587</v>
      </c>
      <c r="E241" t="s">
        <v>588</v>
      </c>
      <c r="F241" t="s">
        <v>506</v>
      </c>
      <c r="G241" t="s">
        <v>507</v>
      </c>
      <c r="H241" t="s">
        <v>508</v>
      </c>
      <c r="I241" t="s">
        <v>509</v>
      </c>
      <c r="J241" t="s">
        <v>589</v>
      </c>
      <c r="K241" s="491">
        <f>+VLOOKUP(C241,[1]capacité!$C:$K,9,FALSE)</f>
        <v>22800</v>
      </c>
      <c r="L241" t="s">
        <v>301</v>
      </c>
    </row>
    <row r="242" spans="1:12">
      <c r="A242" t="s">
        <v>514</v>
      </c>
      <c r="B242" t="s">
        <v>3357</v>
      </c>
      <c r="C242" s="60" t="s">
        <v>262</v>
      </c>
      <c r="D242" t="s">
        <v>587</v>
      </c>
      <c r="E242" t="s">
        <v>588</v>
      </c>
      <c r="F242" t="s">
        <v>506</v>
      </c>
      <c r="G242" t="s">
        <v>507</v>
      </c>
      <c r="H242" t="s">
        <v>508</v>
      </c>
      <c r="I242" t="s">
        <v>509</v>
      </c>
      <c r="J242" t="s">
        <v>589</v>
      </c>
      <c r="K242" s="491">
        <f>+K241</f>
        <v>22800</v>
      </c>
      <c r="L242" t="s">
        <v>301</v>
      </c>
    </row>
    <row r="243" spans="1:12">
      <c r="A243" t="s">
        <v>514</v>
      </c>
      <c r="B243" t="s">
        <v>3358</v>
      </c>
      <c r="C243" s="60" t="s">
        <v>262</v>
      </c>
      <c r="D243" t="s">
        <v>587</v>
      </c>
      <c r="E243" t="s">
        <v>588</v>
      </c>
      <c r="F243" t="s">
        <v>506</v>
      </c>
      <c r="G243" t="s">
        <v>507</v>
      </c>
      <c r="H243" t="s">
        <v>508</v>
      </c>
      <c r="I243" t="s">
        <v>509</v>
      </c>
      <c r="J243" t="s">
        <v>589</v>
      </c>
      <c r="K243" s="491">
        <f t="shared" ref="K243:K252" si="18">+K242</f>
        <v>22800</v>
      </c>
      <c r="L243" t="s">
        <v>301</v>
      </c>
    </row>
    <row r="244" spans="1:12">
      <c r="A244" t="s">
        <v>514</v>
      </c>
      <c r="B244" t="s">
        <v>3359</v>
      </c>
      <c r="C244" s="60" t="s">
        <v>262</v>
      </c>
      <c r="D244" t="s">
        <v>587</v>
      </c>
      <c r="E244" t="s">
        <v>588</v>
      </c>
      <c r="F244" t="s">
        <v>506</v>
      </c>
      <c r="G244" t="s">
        <v>507</v>
      </c>
      <c r="H244" t="s">
        <v>508</v>
      </c>
      <c r="I244" t="s">
        <v>509</v>
      </c>
      <c r="J244" t="s">
        <v>589</v>
      </c>
      <c r="K244" s="491">
        <f t="shared" si="18"/>
        <v>22800</v>
      </c>
      <c r="L244" t="s">
        <v>301</v>
      </c>
    </row>
    <row r="245" spans="1:12">
      <c r="A245" t="s">
        <v>514</v>
      </c>
      <c r="B245" t="s">
        <v>3360</v>
      </c>
      <c r="C245" s="60" t="s">
        <v>262</v>
      </c>
      <c r="D245" t="s">
        <v>587</v>
      </c>
      <c r="E245" t="s">
        <v>588</v>
      </c>
      <c r="F245" t="s">
        <v>506</v>
      </c>
      <c r="G245" t="s">
        <v>507</v>
      </c>
      <c r="H245" t="s">
        <v>508</v>
      </c>
      <c r="I245" t="s">
        <v>509</v>
      </c>
      <c r="J245" t="s">
        <v>589</v>
      </c>
      <c r="K245" s="491">
        <f t="shared" si="18"/>
        <v>22800</v>
      </c>
      <c r="L245" t="s">
        <v>301</v>
      </c>
    </row>
    <row r="246" spans="1:12">
      <c r="A246" t="s">
        <v>514</v>
      </c>
      <c r="B246" t="s">
        <v>3361</v>
      </c>
      <c r="C246" s="60" t="s">
        <v>262</v>
      </c>
      <c r="D246" t="s">
        <v>587</v>
      </c>
      <c r="E246" t="s">
        <v>588</v>
      </c>
      <c r="F246" t="s">
        <v>506</v>
      </c>
      <c r="G246" t="s">
        <v>507</v>
      </c>
      <c r="H246" t="s">
        <v>508</v>
      </c>
      <c r="I246" t="s">
        <v>509</v>
      </c>
      <c r="J246" t="s">
        <v>589</v>
      </c>
      <c r="K246" s="491">
        <f t="shared" si="18"/>
        <v>22800</v>
      </c>
      <c r="L246" t="s">
        <v>301</v>
      </c>
    </row>
    <row r="247" spans="1:12">
      <c r="A247" t="s">
        <v>514</v>
      </c>
      <c r="B247" t="s">
        <v>3362</v>
      </c>
      <c r="C247" s="60" t="s">
        <v>262</v>
      </c>
      <c r="D247" t="s">
        <v>587</v>
      </c>
      <c r="E247" t="s">
        <v>588</v>
      </c>
      <c r="F247" t="s">
        <v>506</v>
      </c>
      <c r="G247" t="s">
        <v>507</v>
      </c>
      <c r="H247" t="s">
        <v>508</v>
      </c>
      <c r="I247" t="s">
        <v>509</v>
      </c>
      <c r="J247" t="s">
        <v>589</v>
      </c>
      <c r="K247" s="491">
        <f t="shared" si="18"/>
        <v>22800</v>
      </c>
      <c r="L247" t="s">
        <v>301</v>
      </c>
    </row>
    <row r="248" spans="1:12">
      <c r="A248" t="s">
        <v>514</v>
      </c>
      <c r="B248" t="s">
        <v>3363</v>
      </c>
      <c r="C248" s="60" t="s">
        <v>262</v>
      </c>
      <c r="D248" t="s">
        <v>587</v>
      </c>
      <c r="E248" t="s">
        <v>588</v>
      </c>
      <c r="F248" t="s">
        <v>506</v>
      </c>
      <c r="G248" t="s">
        <v>507</v>
      </c>
      <c r="H248" t="s">
        <v>508</v>
      </c>
      <c r="I248" t="s">
        <v>509</v>
      </c>
      <c r="J248" t="s">
        <v>589</v>
      </c>
      <c r="K248" s="491">
        <f t="shared" si="18"/>
        <v>22800</v>
      </c>
      <c r="L248" t="s">
        <v>301</v>
      </c>
    </row>
    <row r="249" spans="1:12">
      <c r="A249" t="s">
        <v>514</v>
      </c>
      <c r="B249" t="s">
        <v>3364</v>
      </c>
      <c r="C249" s="60" t="s">
        <v>262</v>
      </c>
      <c r="D249" t="s">
        <v>587</v>
      </c>
      <c r="E249" t="s">
        <v>588</v>
      </c>
      <c r="F249" t="s">
        <v>506</v>
      </c>
      <c r="G249" t="s">
        <v>507</v>
      </c>
      <c r="H249" t="s">
        <v>508</v>
      </c>
      <c r="I249" t="s">
        <v>509</v>
      </c>
      <c r="J249" t="s">
        <v>589</v>
      </c>
      <c r="K249" s="491">
        <f t="shared" si="18"/>
        <v>22800</v>
      </c>
      <c r="L249" t="s">
        <v>301</v>
      </c>
    </row>
    <row r="250" spans="1:12">
      <c r="A250" t="s">
        <v>514</v>
      </c>
      <c r="B250" t="s">
        <v>3365</v>
      </c>
      <c r="C250" s="60" t="s">
        <v>262</v>
      </c>
      <c r="D250" t="s">
        <v>587</v>
      </c>
      <c r="E250" t="s">
        <v>588</v>
      </c>
      <c r="F250" t="s">
        <v>506</v>
      </c>
      <c r="G250" t="s">
        <v>507</v>
      </c>
      <c r="H250" t="s">
        <v>508</v>
      </c>
      <c r="I250" t="s">
        <v>509</v>
      </c>
      <c r="J250" t="s">
        <v>589</v>
      </c>
      <c r="K250" s="491">
        <f t="shared" si="18"/>
        <v>22800</v>
      </c>
      <c r="L250" t="s">
        <v>301</v>
      </c>
    </row>
    <row r="251" spans="1:12">
      <c r="A251" t="s">
        <v>514</v>
      </c>
      <c r="B251" t="s">
        <v>3366</v>
      </c>
      <c r="C251" s="60" t="s">
        <v>262</v>
      </c>
      <c r="D251" t="s">
        <v>587</v>
      </c>
      <c r="E251" t="s">
        <v>588</v>
      </c>
      <c r="F251" t="s">
        <v>506</v>
      </c>
      <c r="G251" t="s">
        <v>507</v>
      </c>
      <c r="H251" t="s">
        <v>508</v>
      </c>
      <c r="I251" t="s">
        <v>509</v>
      </c>
      <c r="J251" t="s">
        <v>589</v>
      </c>
      <c r="K251" s="491">
        <f t="shared" si="18"/>
        <v>22800</v>
      </c>
      <c r="L251" t="s">
        <v>301</v>
      </c>
    </row>
    <row r="252" spans="1:12">
      <c r="A252" t="s">
        <v>514</v>
      </c>
      <c r="B252" t="s">
        <v>3367</v>
      </c>
      <c r="C252" s="60" t="s">
        <v>262</v>
      </c>
      <c r="D252" t="s">
        <v>587</v>
      </c>
      <c r="E252" t="s">
        <v>588</v>
      </c>
      <c r="F252" t="s">
        <v>506</v>
      </c>
      <c r="G252" t="s">
        <v>507</v>
      </c>
      <c r="H252" t="s">
        <v>508</v>
      </c>
      <c r="I252" t="s">
        <v>509</v>
      </c>
      <c r="J252" t="s">
        <v>589</v>
      </c>
      <c r="K252" s="491">
        <f t="shared" si="18"/>
        <v>22800</v>
      </c>
      <c r="L252" t="s">
        <v>301</v>
      </c>
    </row>
    <row r="253" spans="1:12">
      <c r="A253" t="s">
        <v>514</v>
      </c>
      <c r="B253" t="s">
        <v>3356</v>
      </c>
      <c r="C253" s="3" t="s">
        <v>437</v>
      </c>
      <c r="D253" t="s">
        <v>587</v>
      </c>
      <c r="E253" t="s">
        <v>588</v>
      </c>
      <c r="F253" t="s">
        <v>506</v>
      </c>
      <c r="G253" t="s">
        <v>507</v>
      </c>
      <c r="H253" t="s">
        <v>508</v>
      </c>
      <c r="I253" t="s">
        <v>509</v>
      </c>
      <c r="J253" t="s">
        <v>589</v>
      </c>
      <c r="K253" s="491">
        <f>+VLOOKUP(C253,[1]capacité!$C:$K,9,FALSE)</f>
        <v>34500</v>
      </c>
      <c r="L253" t="s">
        <v>3277</v>
      </c>
    </row>
    <row r="254" spans="1:12">
      <c r="A254" t="s">
        <v>514</v>
      </c>
      <c r="B254" t="s">
        <v>3357</v>
      </c>
      <c r="C254" s="60" t="s">
        <v>437</v>
      </c>
      <c r="D254" t="s">
        <v>587</v>
      </c>
      <c r="E254" t="s">
        <v>588</v>
      </c>
      <c r="F254" t="s">
        <v>506</v>
      </c>
      <c r="G254" t="s">
        <v>507</v>
      </c>
      <c r="H254" t="s">
        <v>508</v>
      </c>
      <c r="I254" t="s">
        <v>509</v>
      </c>
      <c r="J254" t="s">
        <v>589</v>
      </c>
      <c r="K254" s="491">
        <f>+K253</f>
        <v>34500</v>
      </c>
      <c r="L254" t="s">
        <v>3277</v>
      </c>
    </row>
    <row r="255" spans="1:12">
      <c r="A255" t="s">
        <v>514</v>
      </c>
      <c r="B255" t="s">
        <v>3358</v>
      </c>
      <c r="C255" s="60" t="s">
        <v>437</v>
      </c>
      <c r="D255" t="s">
        <v>587</v>
      </c>
      <c r="E255" t="s">
        <v>588</v>
      </c>
      <c r="F255" t="s">
        <v>506</v>
      </c>
      <c r="G255" t="s">
        <v>507</v>
      </c>
      <c r="H255" t="s">
        <v>508</v>
      </c>
      <c r="I255" t="s">
        <v>509</v>
      </c>
      <c r="J255" t="s">
        <v>589</v>
      </c>
      <c r="K255" s="491">
        <f t="shared" ref="K255:K264" si="19">+K254</f>
        <v>34500</v>
      </c>
      <c r="L255" t="s">
        <v>3277</v>
      </c>
    </row>
    <row r="256" spans="1:12">
      <c r="A256" t="s">
        <v>514</v>
      </c>
      <c r="B256" t="s">
        <v>3359</v>
      </c>
      <c r="C256" s="60" t="s">
        <v>437</v>
      </c>
      <c r="D256" t="s">
        <v>587</v>
      </c>
      <c r="E256" t="s">
        <v>588</v>
      </c>
      <c r="F256" t="s">
        <v>506</v>
      </c>
      <c r="G256" t="s">
        <v>507</v>
      </c>
      <c r="H256" t="s">
        <v>508</v>
      </c>
      <c r="I256" t="s">
        <v>509</v>
      </c>
      <c r="J256" t="s">
        <v>589</v>
      </c>
      <c r="K256" s="491">
        <f t="shared" si="19"/>
        <v>34500</v>
      </c>
      <c r="L256" t="s">
        <v>3277</v>
      </c>
    </row>
    <row r="257" spans="1:12">
      <c r="A257" t="s">
        <v>514</v>
      </c>
      <c r="B257" t="s">
        <v>3360</v>
      </c>
      <c r="C257" s="60" t="s">
        <v>437</v>
      </c>
      <c r="D257" t="s">
        <v>587</v>
      </c>
      <c r="E257" t="s">
        <v>588</v>
      </c>
      <c r="F257" t="s">
        <v>506</v>
      </c>
      <c r="G257" t="s">
        <v>507</v>
      </c>
      <c r="H257" t="s">
        <v>508</v>
      </c>
      <c r="I257" t="s">
        <v>509</v>
      </c>
      <c r="J257" t="s">
        <v>589</v>
      </c>
      <c r="K257" s="491">
        <f t="shared" si="19"/>
        <v>34500</v>
      </c>
      <c r="L257" t="s">
        <v>3277</v>
      </c>
    </row>
    <row r="258" spans="1:12">
      <c r="A258" t="s">
        <v>514</v>
      </c>
      <c r="B258" t="s">
        <v>3361</v>
      </c>
      <c r="C258" s="60" t="s">
        <v>437</v>
      </c>
      <c r="D258" t="s">
        <v>587</v>
      </c>
      <c r="E258" t="s">
        <v>588</v>
      </c>
      <c r="F258" t="s">
        <v>506</v>
      </c>
      <c r="G258" t="s">
        <v>507</v>
      </c>
      <c r="H258" t="s">
        <v>508</v>
      </c>
      <c r="I258" t="s">
        <v>509</v>
      </c>
      <c r="J258" t="s">
        <v>589</v>
      </c>
      <c r="K258" s="491">
        <f t="shared" si="19"/>
        <v>34500</v>
      </c>
      <c r="L258" t="s">
        <v>3277</v>
      </c>
    </row>
    <row r="259" spans="1:12">
      <c r="A259" t="s">
        <v>514</v>
      </c>
      <c r="B259" t="s">
        <v>3362</v>
      </c>
      <c r="C259" s="60" t="s">
        <v>437</v>
      </c>
      <c r="D259" t="s">
        <v>587</v>
      </c>
      <c r="E259" t="s">
        <v>588</v>
      </c>
      <c r="F259" t="s">
        <v>506</v>
      </c>
      <c r="G259" t="s">
        <v>507</v>
      </c>
      <c r="H259" t="s">
        <v>508</v>
      </c>
      <c r="I259" t="s">
        <v>509</v>
      </c>
      <c r="J259" t="s">
        <v>589</v>
      </c>
      <c r="K259" s="491">
        <f t="shared" si="19"/>
        <v>34500</v>
      </c>
      <c r="L259" t="s">
        <v>3277</v>
      </c>
    </row>
    <row r="260" spans="1:12">
      <c r="A260" t="s">
        <v>514</v>
      </c>
      <c r="B260" t="s">
        <v>3363</v>
      </c>
      <c r="C260" s="60" t="s">
        <v>437</v>
      </c>
      <c r="D260" t="s">
        <v>587</v>
      </c>
      <c r="E260" t="s">
        <v>588</v>
      </c>
      <c r="F260" t="s">
        <v>506</v>
      </c>
      <c r="G260" t="s">
        <v>507</v>
      </c>
      <c r="H260" t="s">
        <v>508</v>
      </c>
      <c r="I260" t="s">
        <v>509</v>
      </c>
      <c r="J260" t="s">
        <v>589</v>
      </c>
      <c r="K260" s="491">
        <f t="shared" si="19"/>
        <v>34500</v>
      </c>
      <c r="L260" t="s">
        <v>3277</v>
      </c>
    </row>
    <row r="261" spans="1:12">
      <c r="A261" t="s">
        <v>514</v>
      </c>
      <c r="B261" t="s">
        <v>3364</v>
      </c>
      <c r="C261" s="60" t="s">
        <v>437</v>
      </c>
      <c r="D261" t="s">
        <v>587</v>
      </c>
      <c r="E261" t="s">
        <v>588</v>
      </c>
      <c r="F261" t="s">
        <v>506</v>
      </c>
      <c r="G261" t="s">
        <v>507</v>
      </c>
      <c r="H261" t="s">
        <v>508</v>
      </c>
      <c r="I261" t="s">
        <v>509</v>
      </c>
      <c r="J261" t="s">
        <v>589</v>
      </c>
      <c r="K261" s="491">
        <f t="shared" si="19"/>
        <v>34500</v>
      </c>
      <c r="L261" t="s">
        <v>3277</v>
      </c>
    </row>
    <row r="262" spans="1:12">
      <c r="A262" t="s">
        <v>514</v>
      </c>
      <c r="B262" t="s">
        <v>3365</v>
      </c>
      <c r="C262" s="60" t="s">
        <v>437</v>
      </c>
      <c r="D262" t="s">
        <v>587</v>
      </c>
      <c r="E262" t="s">
        <v>588</v>
      </c>
      <c r="F262" t="s">
        <v>506</v>
      </c>
      <c r="G262" t="s">
        <v>507</v>
      </c>
      <c r="H262" t="s">
        <v>508</v>
      </c>
      <c r="I262" t="s">
        <v>509</v>
      </c>
      <c r="J262" t="s">
        <v>589</v>
      </c>
      <c r="K262" s="491">
        <f t="shared" si="19"/>
        <v>34500</v>
      </c>
      <c r="L262" t="s">
        <v>3277</v>
      </c>
    </row>
    <row r="263" spans="1:12">
      <c r="A263" t="s">
        <v>514</v>
      </c>
      <c r="B263" t="s">
        <v>3366</v>
      </c>
      <c r="C263" s="60" t="s">
        <v>437</v>
      </c>
      <c r="D263" t="s">
        <v>587</v>
      </c>
      <c r="E263" t="s">
        <v>588</v>
      </c>
      <c r="F263" t="s">
        <v>506</v>
      </c>
      <c r="G263" t="s">
        <v>507</v>
      </c>
      <c r="H263" t="s">
        <v>508</v>
      </c>
      <c r="I263" t="s">
        <v>509</v>
      </c>
      <c r="J263" t="s">
        <v>589</v>
      </c>
      <c r="K263" s="491">
        <f t="shared" si="19"/>
        <v>34500</v>
      </c>
      <c r="L263" t="s">
        <v>3277</v>
      </c>
    </row>
    <row r="264" spans="1:12">
      <c r="A264" t="s">
        <v>514</v>
      </c>
      <c r="B264" t="s">
        <v>3367</v>
      </c>
      <c r="C264" s="60" t="s">
        <v>437</v>
      </c>
      <c r="D264" t="s">
        <v>587</v>
      </c>
      <c r="E264" t="s">
        <v>588</v>
      </c>
      <c r="F264" t="s">
        <v>506</v>
      </c>
      <c r="G264" t="s">
        <v>507</v>
      </c>
      <c r="H264" t="s">
        <v>508</v>
      </c>
      <c r="I264" t="s">
        <v>509</v>
      </c>
      <c r="J264" t="s">
        <v>589</v>
      </c>
      <c r="K264" s="491">
        <f t="shared" si="19"/>
        <v>34500</v>
      </c>
      <c r="L264" t="s">
        <v>3277</v>
      </c>
    </row>
    <row r="265" spans="1:12">
      <c r="A265" t="s">
        <v>514</v>
      </c>
      <c r="B265" t="s">
        <v>3356</v>
      </c>
      <c r="C265" s="3" t="s">
        <v>263</v>
      </c>
      <c r="D265" t="s">
        <v>587</v>
      </c>
      <c r="E265" t="s">
        <v>588</v>
      </c>
      <c r="F265" t="s">
        <v>506</v>
      </c>
      <c r="G265" t="s">
        <v>507</v>
      </c>
      <c r="H265" t="s">
        <v>508</v>
      </c>
      <c r="I265" t="s">
        <v>509</v>
      </c>
      <c r="J265" t="s">
        <v>589</v>
      </c>
      <c r="K265" s="491">
        <f>+VLOOKUP(C265,[1]capacité!$C:$K,9,FALSE)</f>
        <v>14350</v>
      </c>
      <c r="L265" t="s">
        <v>546</v>
      </c>
    </row>
    <row r="266" spans="1:12">
      <c r="A266" t="s">
        <v>514</v>
      </c>
      <c r="B266" t="s">
        <v>3357</v>
      </c>
      <c r="C266" s="60" t="s">
        <v>263</v>
      </c>
      <c r="D266" t="s">
        <v>587</v>
      </c>
      <c r="E266" t="s">
        <v>588</v>
      </c>
      <c r="F266" t="s">
        <v>506</v>
      </c>
      <c r="G266" t="s">
        <v>507</v>
      </c>
      <c r="H266" t="s">
        <v>508</v>
      </c>
      <c r="I266" t="s">
        <v>509</v>
      </c>
      <c r="J266" t="s">
        <v>589</v>
      </c>
      <c r="K266" s="491">
        <f>+K265</f>
        <v>14350</v>
      </c>
      <c r="L266" t="s">
        <v>546</v>
      </c>
    </row>
    <row r="267" spans="1:12">
      <c r="A267" t="s">
        <v>514</v>
      </c>
      <c r="B267" t="s">
        <v>3358</v>
      </c>
      <c r="C267" s="60" t="s">
        <v>263</v>
      </c>
      <c r="D267" t="s">
        <v>587</v>
      </c>
      <c r="E267" t="s">
        <v>588</v>
      </c>
      <c r="F267" t="s">
        <v>506</v>
      </c>
      <c r="G267" t="s">
        <v>507</v>
      </c>
      <c r="H267" t="s">
        <v>508</v>
      </c>
      <c r="I267" t="s">
        <v>509</v>
      </c>
      <c r="J267" t="s">
        <v>589</v>
      </c>
      <c r="K267" s="491">
        <f t="shared" ref="K267:K276" si="20">+K266</f>
        <v>14350</v>
      </c>
      <c r="L267" t="s">
        <v>546</v>
      </c>
    </row>
    <row r="268" spans="1:12">
      <c r="A268" t="s">
        <v>514</v>
      </c>
      <c r="B268" t="s">
        <v>3359</v>
      </c>
      <c r="C268" s="60" t="s">
        <v>263</v>
      </c>
      <c r="D268" t="s">
        <v>587</v>
      </c>
      <c r="E268" t="s">
        <v>588</v>
      </c>
      <c r="F268" t="s">
        <v>506</v>
      </c>
      <c r="G268" t="s">
        <v>507</v>
      </c>
      <c r="H268" t="s">
        <v>508</v>
      </c>
      <c r="I268" t="s">
        <v>509</v>
      </c>
      <c r="J268" t="s">
        <v>589</v>
      </c>
      <c r="K268" s="491">
        <f t="shared" si="20"/>
        <v>14350</v>
      </c>
      <c r="L268" t="s">
        <v>546</v>
      </c>
    </row>
    <row r="269" spans="1:12">
      <c r="A269" t="s">
        <v>514</v>
      </c>
      <c r="B269" t="s">
        <v>3360</v>
      </c>
      <c r="C269" s="60" t="s">
        <v>263</v>
      </c>
      <c r="D269" t="s">
        <v>587</v>
      </c>
      <c r="E269" t="s">
        <v>588</v>
      </c>
      <c r="F269" t="s">
        <v>506</v>
      </c>
      <c r="G269" t="s">
        <v>507</v>
      </c>
      <c r="H269" t="s">
        <v>508</v>
      </c>
      <c r="I269" t="s">
        <v>509</v>
      </c>
      <c r="J269" t="s">
        <v>589</v>
      </c>
      <c r="K269" s="491">
        <f t="shared" si="20"/>
        <v>14350</v>
      </c>
      <c r="L269" t="s">
        <v>546</v>
      </c>
    </row>
    <row r="270" spans="1:12">
      <c r="A270" t="s">
        <v>514</v>
      </c>
      <c r="B270" t="s">
        <v>3361</v>
      </c>
      <c r="C270" s="60" t="s">
        <v>263</v>
      </c>
      <c r="D270" t="s">
        <v>587</v>
      </c>
      <c r="E270" t="s">
        <v>588</v>
      </c>
      <c r="F270" t="s">
        <v>506</v>
      </c>
      <c r="G270" t="s">
        <v>507</v>
      </c>
      <c r="H270" t="s">
        <v>508</v>
      </c>
      <c r="I270" t="s">
        <v>509</v>
      </c>
      <c r="J270" t="s">
        <v>589</v>
      </c>
      <c r="K270" s="491">
        <f t="shared" si="20"/>
        <v>14350</v>
      </c>
      <c r="L270" t="s">
        <v>546</v>
      </c>
    </row>
    <row r="271" spans="1:12">
      <c r="A271" t="s">
        <v>514</v>
      </c>
      <c r="B271" t="s">
        <v>3362</v>
      </c>
      <c r="C271" s="60" t="s">
        <v>263</v>
      </c>
      <c r="D271" t="s">
        <v>587</v>
      </c>
      <c r="E271" t="s">
        <v>588</v>
      </c>
      <c r="F271" t="s">
        <v>506</v>
      </c>
      <c r="G271" t="s">
        <v>507</v>
      </c>
      <c r="H271" t="s">
        <v>508</v>
      </c>
      <c r="I271" t="s">
        <v>509</v>
      </c>
      <c r="J271" t="s">
        <v>589</v>
      </c>
      <c r="K271" s="491">
        <f t="shared" si="20"/>
        <v>14350</v>
      </c>
      <c r="L271" t="s">
        <v>546</v>
      </c>
    </row>
    <row r="272" spans="1:12">
      <c r="A272" t="s">
        <v>514</v>
      </c>
      <c r="B272" t="s">
        <v>3363</v>
      </c>
      <c r="C272" s="60" t="s">
        <v>263</v>
      </c>
      <c r="D272" t="s">
        <v>587</v>
      </c>
      <c r="E272" t="s">
        <v>588</v>
      </c>
      <c r="F272" t="s">
        <v>506</v>
      </c>
      <c r="G272" t="s">
        <v>507</v>
      </c>
      <c r="H272" t="s">
        <v>508</v>
      </c>
      <c r="I272" t="s">
        <v>509</v>
      </c>
      <c r="J272" t="s">
        <v>589</v>
      </c>
      <c r="K272" s="491">
        <f t="shared" si="20"/>
        <v>14350</v>
      </c>
      <c r="L272" t="s">
        <v>546</v>
      </c>
    </row>
    <row r="273" spans="1:12">
      <c r="A273" t="s">
        <v>514</v>
      </c>
      <c r="B273" t="s">
        <v>3364</v>
      </c>
      <c r="C273" s="60" t="s">
        <v>263</v>
      </c>
      <c r="D273" t="s">
        <v>587</v>
      </c>
      <c r="E273" t="s">
        <v>588</v>
      </c>
      <c r="F273" t="s">
        <v>506</v>
      </c>
      <c r="G273" t="s">
        <v>507</v>
      </c>
      <c r="H273" t="s">
        <v>508</v>
      </c>
      <c r="I273" t="s">
        <v>509</v>
      </c>
      <c r="J273" t="s">
        <v>589</v>
      </c>
      <c r="K273" s="491">
        <f t="shared" si="20"/>
        <v>14350</v>
      </c>
      <c r="L273" t="s">
        <v>546</v>
      </c>
    </row>
    <row r="274" spans="1:12">
      <c r="A274" t="s">
        <v>514</v>
      </c>
      <c r="B274" t="s">
        <v>3365</v>
      </c>
      <c r="C274" s="60" t="s">
        <v>263</v>
      </c>
      <c r="D274" t="s">
        <v>587</v>
      </c>
      <c r="E274" t="s">
        <v>588</v>
      </c>
      <c r="F274" t="s">
        <v>506</v>
      </c>
      <c r="G274" t="s">
        <v>507</v>
      </c>
      <c r="H274" t="s">
        <v>508</v>
      </c>
      <c r="I274" t="s">
        <v>509</v>
      </c>
      <c r="J274" t="s">
        <v>589</v>
      </c>
      <c r="K274" s="491">
        <f t="shared" si="20"/>
        <v>14350</v>
      </c>
      <c r="L274" t="s">
        <v>546</v>
      </c>
    </row>
    <row r="275" spans="1:12">
      <c r="A275" t="s">
        <v>514</v>
      </c>
      <c r="B275" t="s">
        <v>3366</v>
      </c>
      <c r="C275" s="60" t="s">
        <v>263</v>
      </c>
      <c r="D275" t="s">
        <v>587</v>
      </c>
      <c r="E275" t="s">
        <v>588</v>
      </c>
      <c r="F275" t="s">
        <v>506</v>
      </c>
      <c r="G275" t="s">
        <v>507</v>
      </c>
      <c r="H275" t="s">
        <v>508</v>
      </c>
      <c r="I275" t="s">
        <v>509</v>
      </c>
      <c r="J275" t="s">
        <v>589</v>
      </c>
      <c r="K275" s="491">
        <f t="shared" si="20"/>
        <v>14350</v>
      </c>
      <c r="L275" t="s">
        <v>546</v>
      </c>
    </row>
    <row r="276" spans="1:12">
      <c r="A276" t="s">
        <v>514</v>
      </c>
      <c r="B276" t="s">
        <v>3367</v>
      </c>
      <c r="C276" s="60" t="s">
        <v>263</v>
      </c>
      <c r="D276" t="s">
        <v>587</v>
      </c>
      <c r="E276" t="s">
        <v>588</v>
      </c>
      <c r="F276" t="s">
        <v>506</v>
      </c>
      <c r="G276" t="s">
        <v>507</v>
      </c>
      <c r="H276" t="s">
        <v>508</v>
      </c>
      <c r="I276" t="s">
        <v>509</v>
      </c>
      <c r="J276" t="s">
        <v>589</v>
      </c>
      <c r="K276" s="491">
        <f t="shared" si="20"/>
        <v>14350</v>
      </c>
      <c r="L276" t="s">
        <v>546</v>
      </c>
    </row>
    <row r="277" spans="1:12">
      <c r="A277" t="s">
        <v>514</v>
      </c>
      <c r="B277" t="s">
        <v>3356</v>
      </c>
      <c r="C277" s="3" t="s">
        <v>440</v>
      </c>
      <c r="D277" t="s">
        <v>587</v>
      </c>
      <c r="E277" t="s">
        <v>588</v>
      </c>
      <c r="F277" t="s">
        <v>506</v>
      </c>
      <c r="G277" t="s">
        <v>507</v>
      </c>
      <c r="H277" t="s">
        <v>508</v>
      </c>
      <c r="I277" t="s">
        <v>509</v>
      </c>
      <c r="J277" t="s">
        <v>589</v>
      </c>
      <c r="K277" s="491">
        <f>+VLOOKUP(C277,[1]capacité!$C:$K,9,FALSE)</f>
        <v>8100</v>
      </c>
      <c r="L277" t="s">
        <v>547</v>
      </c>
    </row>
    <row r="278" spans="1:12">
      <c r="A278" t="s">
        <v>514</v>
      </c>
      <c r="B278" t="s">
        <v>3357</v>
      </c>
      <c r="C278" s="60" t="s">
        <v>440</v>
      </c>
      <c r="D278" t="s">
        <v>587</v>
      </c>
      <c r="E278" t="s">
        <v>588</v>
      </c>
      <c r="F278" t="s">
        <v>506</v>
      </c>
      <c r="G278" t="s">
        <v>507</v>
      </c>
      <c r="H278" t="s">
        <v>508</v>
      </c>
      <c r="I278" t="s">
        <v>509</v>
      </c>
      <c r="J278" t="s">
        <v>589</v>
      </c>
      <c r="K278" s="491">
        <f>+K277</f>
        <v>8100</v>
      </c>
      <c r="L278" t="s">
        <v>547</v>
      </c>
    </row>
    <row r="279" spans="1:12">
      <c r="A279" t="s">
        <v>514</v>
      </c>
      <c r="B279" t="s">
        <v>3358</v>
      </c>
      <c r="C279" s="60" t="s">
        <v>440</v>
      </c>
      <c r="D279" t="s">
        <v>587</v>
      </c>
      <c r="E279" t="s">
        <v>588</v>
      </c>
      <c r="F279" t="s">
        <v>506</v>
      </c>
      <c r="G279" t="s">
        <v>507</v>
      </c>
      <c r="H279" t="s">
        <v>508</v>
      </c>
      <c r="I279" t="s">
        <v>509</v>
      </c>
      <c r="J279" t="s">
        <v>589</v>
      </c>
      <c r="K279" s="491">
        <f t="shared" ref="K279:K288" si="21">+K278</f>
        <v>8100</v>
      </c>
      <c r="L279" t="s">
        <v>547</v>
      </c>
    </row>
    <row r="280" spans="1:12">
      <c r="A280" t="s">
        <v>514</v>
      </c>
      <c r="B280" t="s">
        <v>3359</v>
      </c>
      <c r="C280" s="60" t="s">
        <v>440</v>
      </c>
      <c r="D280" t="s">
        <v>587</v>
      </c>
      <c r="E280" t="s">
        <v>588</v>
      </c>
      <c r="F280" t="s">
        <v>506</v>
      </c>
      <c r="G280" t="s">
        <v>507</v>
      </c>
      <c r="H280" t="s">
        <v>508</v>
      </c>
      <c r="I280" t="s">
        <v>509</v>
      </c>
      <c r="J280" t="s">
        <v>589</v>
      </c>
      <c r="K280" s="491">
        <f t="shared" si="21"/>
        <v>8100</v>
      </c>
      <c r="L280" t="s">
        <v>547</v>
      </c>
    </row>
    <row r="281" spans="1:12">
      <c r="A281" t="s">
        <v>514</v>
      </c>
      <c r="B281" t="s">
        <v>3360</v>
      </c>
      <c r="C281" s="60" t="s">
        <v>440</v>
      </c>
      <c r="D281" t="s">
        <v>587</v>
      </c>
      <c r="E281" t="s">
        <v>588</v>
      </c>
      <c r="F281" t="s">
        <v>506</v>
      </c>
      <c r="G281" t="s">
        <v>507</v>
      </c>
      <c r="H281" t="s">
        <v>508</v>
      </c>
      <c r="I281" t="s">
        <v>509</v>
      </c>
      <c r="J281" t="s">
        <v>589</v>
      </c>
      <c r="K281" s="491">
        <f t="shared" si="21"/>
        <v>8100</v>
      </c>
      <c r="L281" t="s">
        <v>547</v>
      </c>
    </row>
    <row r="282" spans="1:12">
      <c r="A282" t="s">
        <v>514</v>
      </c>
      <c r="B282" t="s">
        <v>3361</v>
      </c>
      <c r="C282" s="60" t="s">
        <v>440</v>
      </c>
      <c r="D282" t="s">
        <v>587</v>
      </c>
      <c r="E282" t="s">
        <v>588</v>
      </c>
      <c r="F282" t="s">
        <v>506</v>
      </c>
      <c r="G282" t="s">
        <v>507</v>
      </c>
      <c r="H282" t="s">
        <v>508</v>
      </c>
      <c r="I282" t="s">
        <v>509</v>
      </c>
      <c r="J282" t="s">
        <v>589</v>
      </c>
      <c r="K282" s="491">
        <f t="shared" si="21"/>
        <v>8100</v>
      </c>
      <c r="L282" t="s">
        <v>547</v>
      </c>
    </row>
    <row r="283" spans="1:12">
      <c r="A283" t="s">
        <v>514</v>
      </c>
      <c r="B283" t="s">
        <v>3362</v>
      </c>
      <c r="C283" s="60" t="s">
        <v>440</v>
      </c>
      <c r="D283" t="s">
        <v>587</v>
      </c>
      <c r="E283" t="s">
        <v>588</v>
      </c>
      <c r="F283" t="s">
        <v>506</v>
      </c>
      <c r="G283" t="s">
        <v>507</v>
      </c>
      <c r="H283" t="s">
        <v>508</v>
      </c>
      <c r="I283" t="s">
        <v>509</v>
      </c>
      <c r="J283" t="s">
        <v>589</v>
      </c>
      <c r="K283" s="491">
        <f t="shared" si="21"/>
        <v>8100</v>
      </c>
      <c r="L283" t="s">
        <v>547</v>
      </c>
    </row>
    <row r="284" spans="1:12">
      <c r="A284" t="s">
        <v>514</v>
      </c>
      <c r="B284" t="s">
        <v>3363</v>
      </c>
      <c r="C284" s="60" t="s">
        <v>440</v>
      </c>
      <c r="D284" t="s">
        <v>587</v>
      </c>
      <c r="E284" t="s">
        <v>588</v>
      </c>
      <c r="F284" t="s">
        <v>506</v>
      </c>
      <c r="G284" t="s">
        <v>507</v>
      </c>
      <c r="H284" t="s">
        <v>508</v>
      </c>
      <c r="I284" t="s">
        <v>509</v>
      </c>
      <c r="J284" t="s">
        <v>589</v>
      </c>
      <c r="K284" s="491">
        <f t="shared" si="21"/>
        <v>8100</v>
      </c>
      <c r="L284" t="s">
        <v>547</v>
      </c>
    </row>
    <row r="285" spans="1:12">
      <c r="A285" t="s">
        <v>514</v>
      </c>
      <c r="B285" t="s">
        <v>3364</v>
      </c>
      <c r="C285" s="60" t="s">
        <v>440</v>
      </c>
      <c r="D285" t="s">
        <v>587</v>
      </c>
      <c r="E285" t="s">
        <v>588</v>
      </c>
      <c r="F285" t="s">
        <v>506</v>
      </c>
      <c r="G285" t="s">
        <v>507</v>
      </c>
      <c r="H285" t="s">
        <v>508</v>
      </c>
      <c r="I285" t="s">
        <v>509</v>
      </c>
      <c r="J285" t="s">
        <v>589</v>
      </c>
      <c r="K285" s="491">
        <f t="shared" si="21"/>
        <v>8100</v>
      </c>
      <c r="L285" t="s">
        <v>547</v>
      </c>
    </row>
    <row r="286" spans="1:12">
      <c r="A286" t="s">
        <v>514</v>
      </c>
      <c r="B286" t="s">
        <v>3365</v>
      </c>
      <c r="C286" s="60" t="s">
        <v>440</v>
      </c>
      <c r="D286" t="s">
        <v>587</v>
      </c>
      <c r="E286" t="s">
        <v>588</v>
      </c>
      <c r="F286" t="s">
        <v>506</v>
      </c>
      <c r="G286" t="s">
        <v>507</v>
      </c>
      <c r="H286" t="s">
        <v>508</v>
      </c>
      <c r="I286" t="s">
        <v>509</v>
      </c>
      <c r="J286" t="s">
        <v>589</v>
      </c>
      <c r="K286" s="491">
        <f t="shared" si="21"/>
        <v>8100</v>
      </c>
      <c r="L286" t="s">
        <v>547</v>
      </c>
    </row>
    <row r="287" spans="1:12">
      <c r="A287" t="s">
        <v>514</v>
      </c>
      <c r="B287" t="s">
        <v>3366</v>
      </c>
      <c r="C287" s="60" t="s">
        <v>440</v>
      </c>
      <c r="D287" t="s">
        <v>587</v>
      </c>
      <c r="E287" t="s">
        <v>588</v>
      </c>
      <c r="F287" t="s">
        <v>506</v>
      </c>
      <c r="G287" t="s">
        <v>507</v>
      </c>
      <c r="H287" t="s">
        <v>508</v>
      </c>
      <c r="I287" t="s">
        <v>509</v>
      </c>
      <c r="J287" t="s">
        <v>589</v>
      </c>
      <c r="K287" s="491">
        <f t="shared" si="21"/>
        <v>8100</v>
      </c>
      <c r="L287" t="s">
        <v>547</v>
      </c>
    </row>
    <row r="288" spans="1:12">
      <c r="A288" t="s">
        <v>514</v>
      </c>
      <c r="B288" t="s">
        <v>3367</v>
      </c>
      <c r="C288" s="60" t="s">
        <v>440</v>
      </c>
      <c r="D288" t="s">
        <v>587</v>
      </c>
      <c r="E288" t="s">
        <v>588</v>
      </c>
      <c r="F288" t="s">
        <v>506</v>
      </c>
      <c r="G288" t="s">
        <v>507</v>
      </c>
      <c r="H288" t="s">
        <v>508</v>
      </c>
      <c r="I288" t="s">
        <v>509</v>
      </c>
      <c r="J288" t="s">
        <v>589</v>
      </c>
      <c r="K288" s="491">
        <f t="shared" si="21"/>
        <v>8100</v>
      </c>
      <c r="L288" t="s">
        <v>547</v>
      </c>
    </row>
    <row r="289" spans="1:12">
      <c r="A289" t="s">
        <v>514</v>
      </c>
      <c r="B289" t="s">
        <v>3356</v>
      </c>
      <c r="C289" s="3" t="s">
        <v>442</v>
      </c>
      <c r="D289" t="s">
        <v>587</v>
      </c>
      <c r="E289" t="s">
        <v>588</v>
      </c>
      <c r="F289" t="s">
        <v>506</v>
      </c>
      <c r="G289" t="s">
        <v>507</v>
      </c>
      <c r="H289" t="s">
        <v>508</v>
      </c>
      <c r="I289" t="s">
        <v>509</v>
      </c>
      <c r="J289" t="s">
        <v>589</v>
      </c>
      <c r="K289" s="491">
        <f>+VLOOKUP(C289,[1]capacité!$C:$K,9,FALSE)</f>
        <v>8000</v>
      </c>
      <c r="L289" t="s">
        <v>548</v>
      </c>
    </row>
    <row r="290" spans="1:12">
      <c r="A290" t="s">
        <v>514</v>
      </c>
      <c r="B290" t="s">
        <v>3357</v>
      </c>
      <c r="C290" s="60" t="s">
        <v>442</v>
      </c>
      <c r="D290" t="s">
        <v>587</v>
      </c>
      <c r="E290" t="s">
        <v>588</v>
      </c>
      <c r="F290" t="s">
        <v>506</v>
      </c>
      <c r="G290" t="s">
        <v>507</v>
      </c>
      <c r="H290" t="s">
        <v>508</v>
      </c>
      <c r="I290" t="s">
        <v>509</v>
      </c>
      <c r="J290" t="s">
        <v>589</v>
      </c>
      <c r="K290" s="491">
        <f>+K289</f>
        <v>8000</v>
      </c>
      <c r="L290" t="s">
        <v>548</v>
      </c>
    </row>
    <row r="291" spans="1:12">
      <c r="A291" t="s">
        <v>514</v>
      </c>
      <c r="B291" t="s">
        <v>3358</v>
      </c>
      <c r="C291" s="60" t="s">
        <v>442</v>
      </c>
      <c r="D291" t="s">
        <v>587</v>
      </c>
      <c r="E291" t="s">
        <v>588</v>
      </c>
      <c r="F291" t="s">
        <v>506</v>
      </c>
      <c r="G291" t="s">
        <v>507</v>
      </c>
      <c r="H291" t="s">
        <v>508</v>
      </c>
      <c r="I291" t="s">
        <v>509</v>
      </c>
      <c r="J291" t="s">
        <v>589</v>
      </c>
      <c r="K291" s="491">
        <f t="shared" ref="K291:K300" si="22">+K290</f>
        <v>8000</v>
      </c>
      <c r="L291" t="s">
        <v>548</v>
      </c>
    </row>
    <row r="292" spans="1:12">
      <c r="A292" t="s">
        <v>514</v>
      </c>
      <c r="B292" t="s">
        <v>3359</v>
      </c>
      <c r="C292" s="60" t="s">
        <v>442</v>
      </c>
      <c r="D292" t="s">
        <v>587</v>
      </c>
      <c r="E292" t="s">
        <v>588</v>
      </c>
      <c r="F292" t="s">
        <v>506</v>
      </c>
      <c r="G292" t="s">
        <v>507</v>
      </c>
      <c r="H292" t="s">
        <v>508</v>
      </c>
      <c r="I292" t="s">
        <v>509</v>
      </c>
      <c r="J292" t="s">
        <v>589</v>
      </c>
      <c r="K292" s="491">
        <f t="shared" si="22"/>
        <v>8000</v>
      </c>
      <c r="L292" t="s">
        <v>548</v>
      </c>
    </row>
    <row r="293" spans="1:12">
      <c r="A293" t="s">
        <v>514</v>
      </c>
      <c r="B293" t="s">
        <v>3360</v>
      </c>
      <c r="C293" s="60" t="s">
        <v>442</v>
      </c>
      <c r="D293" t="s">
        <v>587</v>
      </c>
      <c r="E293" t="s">
        <v>588</v>
      </c>
      <c r="F293" t="s">
        <v>506</v>
      </c>
      <c r="G293" t="s">
        <v>507</v>
      </c>
      <c r="H293" t="s">
        <v>508</v>
      </c>
      <c r="I293" t="s">
        <v>509</v>
      </c>
      <c r="J293" t="s">
        <v>589</v>
      </c>
      <c r="K293" s="491">
        <f t="shared" si="22"/>
        <v>8000</v>
      </c>
      <c r="L293" t="s">
        <v>548</v>
      </c>
    </row>
    <row r="294" spans="1:12">
      <c r="A294" t="s">
        <v>514</v>
      </c>
      <c r="B294" t="s">
        <v>3361</v>
      </c>
      <c r="C294" s="60" t="s">
        <v>442</v>
      </c>
      <c r="D294" t="s">
        <v>587</v>
      </c>
      <c r="E294" t="s">
        <v>588</v>
      </c>
      <c r="F294" t="s">
        <v>506</v>
      </c>
      <c r="G294" t="s">
        <v>507</v>
      </c>
      <c r="H294" t="s">
        <v>508</v>
      </c>
      <c r="I294" t="s">
        <v>509</v>
      </c>
      <c r="J294" t="s">
        <v>589</v>
      </c>
      <c r="K294" s="491">
        <f t="shared" si="22"/>
        <v>8000</v>
      </c>
      <c r="L294" t="s">
        <v>548</v>
      </c>
    </row>
    <row r="295" spans="1:12">
      <c r="A295" t="s">
        <v>514</v>
      </c>
      <c r="B295" t="s">
        <v>3362</v>
      </c>
      <c r="C295" s="60" t="s">
        <v>442</v>
      </c>
      <c r="D295" t="s">
        <v>587</v>
      </c>
      <c r="E295" t="s">
        <v>588</v>
      </c>
      <c r="F295" t="s">
        <v>506</v>
      </c>
      <c r="G295" t="s">
        <v>507</v>
      </c>
      <c r="H295" t="s">
        <v>508</v>
      </c>
      <c r="I295" t="s">
        <v>509</v>
      </c>
      <c r="J295" t="s">
        <v>589</v>
      </c>
      <c r="K295" s="491">
        <f t="shared" si="22"/>
        <v>8000</v>
      </c>
      <c r="L295" t="s">
        <v>548</v>
      </c>
    </row>
    <row r="296" spans="1:12">
      <c r="A296" t="s">
        <v>514</v>
      </c>
      <c r="B296" t="s">
        <v>3363</v>
      </c>
      <c r="C296" s="60" t="s">
        <v>442</v>
      </c>
      <c r="D296" t="s">
        <v>587</v>
      </c>
      <c r="E296" t="s">
        <v>588</v>
      </c>
      <c r="F296" t="s">
        <v>506</v>
      </c>
      <c r="G296" t="s">
        <v>507</v>
      </c>
      <c r="H296" t="s">
        <v>508</v>
      </c>
      <c r="I296" t="s">
        <v>509</v>
      </c>
      <c r="J296" t="s">
        <v>589</v>
      </c>
      <c r="K296" s="491">
        <f t="shared" si="22"/>
        <v>8000</v>
      </c>
      <c r="L296" t="s">
        <v>548</v>
      </c>
    </row>
    <row r="297" spans="1:12">
      <c r="A297" t="s">
        <v>514</v>
      </c>
      <c r="B297" t="s">
        <v>3364</v>
      </c>
      <c r="C297" s="60" t="s">
        <v>442</v>
      </c>
      <c r="D297" t="s">
        <v>587</v>
      </c>
      <c r="E297" t="s">
        <v>588</v>
      </c>
      <c r="F297" t="s">
        <v>506</v>
      </c>
      <c r="G297" t="s">
        <v>507</v>
      </c>
      <c r="H297" t="s">
        <v>508</v>
      </c>
      <c r="I297" t="s">
        <v>509</v>
      </c>
      <c r="J297" t="s">
        <v>589</v>
      </c>
      <c r="K297" s="491">
        <f t="shared" si="22"/>
        <v>8000</v>
      </c>
      <c r="L297" t="s">
        <v>548</v>
      </c>
    </row>
    <row r="298" spans="1:12">
      <c r="A298" t="s">
        <v>514</v>
      </c>
      <c r="B298" t="s">
        <v>3365</v>
      </c>
      <c r="C298" s="60" t="s">
        <v>442</v>
      </c>
      <c r="D298" t="s">
        <v>587</v>
      </c>
      <c r="E298" t="s">
        <v>588</v>
      </c>
      <c r="F298" t="s">
        <v>506</v>
      </c>
      <c r="G298" t="s">
        <v>507</v>
      </c>
      <c r="H298" t="s">
        <v>508</v>
      </c>
      <c r="I298" t="s">
        <v>509</v>
      </c>
      <c r="J298" t="s">
        <v>589</v>
      </c>
      <c r="K298" s="491">
        <f t="shared" si="22"/>
        <v>8000</v>
      </c>
      <c r="L298" t="s">
        <v>548</v>
      </c>
    </row>
    <row r="299" spans="1:12">
      <c r="A299" t="s">
        <v>514</v>
      </c>
      <c r="B299" t="s">
        <v>3366</v>
      </c>
      <c r="C299" s="60" t="s">
        <v>442</v>
      </c>
      <c r="D299" t="s">
        <v>587</v>
      </c>
      <c r="E299" t="s">
        <v>588</v>
      </c>
      <c r="F299" t="s">
        <v>506</v>
      </c>
      <c r="G299" t="s">
        <v>507</v>
      </c>
      <c r="H299" t="s">
        <v>508</v>
      </c>
      <c r="I299" t="s">
        <v>509</v>
      </c>
      <c r="J299" t="s">
        <v>589</v>
      </c>
      <c r="K299" s="491">
        <f t="shared" si="22"/>
        <v>8000</v>
      </c>
      <c r="L299" t="s">
        <v>548</v>
      </c>
    </row>
    <row r="300" spans="1:12">
      <c r="A300" t="s">
        <v>514</v>
      </c>
      <c r="B300" t="s">
        <v>3367</v>
      </c>
      <c r="C300" s="60" t="s">
        <v>442</v>
      </c>
      <c r="D300" t="s">
        <v>587</v>
      </c>
      <c r="E300" t="s">
        <v>588</v>
      </c>
      <c r="F300" t="s">
        <v>506</v>
      </c>
      <c r="G300" t="s">
        <v>507</v>
      </c>
      <c r="H300" t="s">
        <v>508</v>
      </c>
      <c r="I300" t="s">
        <v>509</v>
      </c>
      <c r="J300" t="s">
        <v>589</v>
      </c>
      <c r="K300" s="491">
        <f t="shared" si="22"/>
        <v>8000</v>
      </c>
      <c r="L300" t="s">
        <v>548</v>
      </c>
    </row>
    <row r="301" spans="1:12">
      <c r="A301" t="s">
        <v>514</v>
      </c>
      <c r="B301" t="s">
        <v>3356</v>
      </c>
      <c r="C301" s="3" t="s">
        <v>444</v>
      </c>
      <c r="D301" t="s">
        <v>587</v>
      </c>
      <c r="E301" t="s">
        <v>588</v>
      </c>
      <c r="F301" t="s">
        <v>506</v>
      </c>
      <c r="G301" t="s">
        <v>507</v>
      </c>
      <c r="H301" t="s">
        <v>508</v>
      </c>
      <c r="I301" t="s">
        <v>509</v>
      </c>
      <c r="J301" t="s">
        <v>589</v>
      </c>
      <c r="K301" s="491">
        <f>+VLOOKUP(C301,[1]capacité!$C:$K,9,FALSE)</f>
        <v>30000</v>
      </c>
      <c r="L301" t="s">
        <v>3418</v>
      </c>
    </row>
    <row r="302" spans="1:12">
      <c r="A302" t="s">
        <v>514</v>
      </c>
      <c r="B302" t="s">
        <v>3357</v>
      </c>
      <c r="C302" s="60" t="s">
        <v>444</v>
      </c>
      <c r="D302" t="s">
        <v>587</v>
      </c>
      <c r="E302" t="s">
        <v>588</v>
      </c>
      <c r="F302" t="s">
        <v>506</v>
      </c>
      <c r="G302" t="s">
        <v>507</v>
      </c>
      <c r="H302" t="s">
        <v>508</v>
      </c>
      <c r="I302" t="s">
        <v>509</v>
      </c>
      <c r="J302" t="s">
        <v>589</v>
      </c>
      <c r="K302" s="491">
        <f>+K301</f>
        <v>30000</v>
      </c>
      <c r="L302" t="s">
        <v>3418</v>
      </c>
    </row>
    <row r="303" spans="1:12">
      <c r="A303" t="s">
        <v>514</v>
      </c>
      <c r="B303" t="s">
        <v>3358</v>
      </c>
      <c r="C303" s="60" t="s">
        <v>444</v>
      </c>
      <c r="D303" t="s">
        <v>587</v>
      </c>
      <c r="E303" t="s">
        <v>588</v>
      </c>
      <c r="F303" t="s">
        <v>506</v>
      </c>
      <c r="G303" t="s">
        <v>507</v>
      </c>
      <c r="H303" t="s">
        <v>508</v>
      </c>
      <c r="I303" t="s">
        <v>509</v>
      </c>
      <c r="J303" t="s">
        <v>589</v>
      </c>
      <c r="K303" s="491">
        <f t="shared" ref="K303:K312" si="23">+K302</f>
        <v>30000</v>
      </c>
      <c r="L303" t="s">
        <v>3418</v>
      </c>
    </row>
    <row r="304" spans="1:12">
      <c r="A304" t="s">
        <v>514</v>
      </c>
      <c r="B304" t="s">
        <v>3359</v>
      </c>
      <c r="C304" s="60" t="s">
        <v>444</v>
      </c>
      <c r="D304" t="s">
        <v>587</v>
      </c>
      <c r="E304" t="s">
        <v>588</v>
      </c>
      <c r="F304" t="s">
        <v>506</v>
      </c>
      <c r="G304" t="s">
        <v>507</v>
      </c>
      <c r="H304" t="s">
        <v>508</v>
      </c>
      <c r="I304" t="s">
        <v>509</v>
      </c>
      <c r="J304" t="s">
        <v>589</v>
      </c>
      <c r="K304" s="491">
        <f t="shared" si="23"/>
        <v>30000</v>
      </c>
      <c r="L304" t="s">
        <v>3418</v>
      </c>
    </row>
    <row r="305" spans="1:12">
      <c r="A305" t="s">
        <v>514</v>
      </c>
      <c r="B305" t="s">
        <v>3360</v>
      </c>
      <c r="C305" s="60" t="s">
        <v>444</v>
      </c>
      <c r="D305" t="s">
        <v>587</v>
      </c>
      <c r="E305" t="s">
        <v>588</v>
      </c>
      <c r="F305" t="s">
        <v>506</v>
      </c>
      <c r="G305" t="s">
        <v>507</v>
      </c>
      <c r="H305" t="s">
        <v>508</v>
      </c>
      <c r="I305" t="s">
        <v>509</v>
      </c>
      <c r="J305" t="s">
        <v>589</v>
      </c>
      <c r="K305" s="491">
        <f t="shared" si="23"/>
        <v>30000</v>
      </c>
      <c r="L305" t="s">
        <v>3418</v>
      </c>
    </row>
    <row r="306" spans="1:12">
      <c r="A306" t="s">
        <v>514</v>
      </c>
      <c r="B306" t="s">
        <v>3361</v>
      </c>
      <c r="C306" s="60" t="s">
        <v>444</v>
      </c>
      <c r="D306" t="s">
        <v>587</v>
      </c>
      <c r="E306" t="s">
        <v>588</v>
      </c>
      <c r="F306" t="s">
        <v>506</v>
      </c>
      <c r="G306" t="s">
        <v>507</v>
      </c>
      <c r="H306" t="s">
        <v>508</v>
      </c>
      <c r="I306" t="s">
        <v>509</v>
      </c>
      <c r="J306" t="s">
        <v>589</v>
      </c>
      <c r="K306" s="491">
        <f t="shared" si="23"/>
        <v>30000</v>
      </c>
      <c r="L306" t="s">
        <v>3418</v>
      </c>
    </row>
    <row r="307" spans="1:12">
      <c r="A307" t="s">
        <v>514</v>
      </c>
      <c r="B307" t="s">
        <v>3362</v>
      </c>
      <c r="C307" s="60" t="s">
        <v>444</v>
      </c>
      <c r="D307" t="s">
        <v>587</v>
      </c>
      <c r="E307" t="s">
        <v>588</v>
      </c>
      <c r="F307" t="s">
        <v>506</v>
      </c>
      <c r="G307" t="s">
        <v>507</v>
      </c>
      <c r="H307" t="s">
        <v>508</v>
      </c>
      <c r="I307" t="s">
        <v>509</v>
      </c>
      <c r="J307" t="s">
        <v>589</v>
      </c>
      <c r="K307" s="491">
        <f t="shared" si="23"/>
        <v>30000</v>
      </c>
      <c r="L307" t="s">
        <v>3418</v>
      </c>
    </row>
    <row r="308" spans="1:12">
      <c r="A308" t="s">
        <v>514</v>
      </c>
      <c r="B308" t="s">
        <v>3363</v>
      </c>
      <c r="C308" s="60" t="s">
        <v>444</v>
      </c>
      <c r="D308" t="s">
        <v>587</v>
      </c>
      <c r="E308" t="s">
        <v>588</v>
      </c>
      <c r="F308" t="s">
        <v>506</v>
      </c>
      <c r="G308" t="s">
        <v>507</v>
      </c>
      <c r="H308" t="s">
        <v>508</v>
      </c>
      <c r="I308" t="s">
        <v>509</v>
      </c>
      <c r="J308" t="s">
        <v>589</v>
      </c>
      <c r="K308" s="491">
        <f t="shared" si="23"/>
        <v>30000</v>
      </c>
      <c r="L308" t="s">
        <v>3418</v>
      </c>
    </row>
    <row r="309" spans="1:12">
      <c r="A309" t="s">
        <v>514</v>
      </c>
      <c r="B309" t="s">
        <v>3364</v>
      </c>
      <c r="C309" s="60" t="s">
        <v>444</v>
      </c>
      <c r="D309" t="s">
        <v>587</v>
      </c>
      <c r="E309" t="s">
        <v>588</v>
      </c>
      <c r="F309" t="s">
        <v>506</v>
      </c>
      <c r="G309" t="s">
        <v>507</v>
      </c>
      <c r="H309" t="s">
        <v>508</v>
      </c>
      <c r="I309" t="s">
        <v>509</v>
      </c>
      <c r="J309" t="s">
        <v>589</v>
      </c>
      <c r="K309" s="491">
        <f t="shared" si="23"/>
        <v>30000</v>
      </c>
      <c r="L309" t="s">
        <v>3418</v>
      </c>
    </row>
    <row r="310" spans="1:12">
      <c r="A310" t="s">
        <v>514</v>
      </c>
      <c r="B310" t="s">
        <v>3365</v>
      </c>
      <c r="C310" s="60" t="s">
        <v>444</v>
      </c>
      <c r="D310" t="s">
        <v>587</v>
      </c>
      <c r="E310" t="s">
        <v>588</v>
      </c>
      <c r="F310" t="s">
        <v>506</v>
      </c>
      <c r="G310" t="s">
        <v>507</v>
      </c>
      <c r="H310" t="s">
        <v>508</v>
      </c>
      <c r="I310" t="s">
        <v>509</v>
      </c>
      <c r="J310" t="s">
        <v>589</v>
      </c>
      <c r="K310" s="491">
        <f t="shared" si="23"/>
        <v>30000</v>
      </c>
      <c r="L310" t="s">
        <v>3418</v>
      </c>
    </row>
    <row r="311" spans="1:12">
      <c r="A311" t="s">
        <v>514</v>
      </c>
      <c r="B311" t="s">
        <v>3366</v>
      </c>
      <c r="C311" s="60" t="s">
        <v>444</v>
      </c>
      <c r="D311" t="s">
        <v>587</v>
      </c>
      <c r="E311" t="s">
        <v>588</v>
      </c>
      <c r="F311" t="s">
        <v>506</v>
      </c>
      <c r="G311" t="s">
        <v>507</v>
      </c>
      <c r="H311" t="s">
        <v>508</v>
      </c>
      <c r="I311" t="s">
        <v>509</v>
      </c>
      <c r="J311" t="s">
        <v>589</v>
      </c>
      <c r="K311" s="491">
        <f t="shared" si="23"/>
        <v>30000</v>
      </c>
      <c r="L311" t="s">
        <v>3418</v>
      </c>
    </row>
    <row r="312" spans="1:12">
      <c r="A312" t="s">
        <v>514</v>
      </c>
      <c r="B312" t="s">
        <v>3367</v>
      </c>
      <c r="C312" s="60" t="s">
        <v>444</v>
      </c>
      <c r="D312" t="s">
        <v>587</v>
      </c>
      <c r="E312" t="s">
        <v>588</v>
      </c>
      <c r="F312" t="s">
        <v>506</v>
      </c>
      <c r="G312" t="s">
        <v>507</v>
      </c>
      <c r="H312" t="s">
        <v>508</v>
      </c>
      <c r="I312" t="s">
        <v>509</v>
      </c>
      <c r="J312" t="s">
        <v>589</v>
      </c>
      <c r="K312" s="491">
        <f t="shared" si="23"/>
        <v>30000</v>
      </c>
      <c r="L312" t="s">
        <v>3418</v>
      </c>
    </row>
    <row r="313" spans="1:12">
      <c r="A313" t="s">
        <v>514</v>
      </c>
      <c r="B313" t="s">
        <v>3356</v>
      </c>
      <c r="C313" s="3" t="s">
        <v>446</v>
      </c>
      <c r="D313" t="s">
        <v>587</v>
      </c>
      <c r="E313" t="s">
        <v>588</v>
      </c>
      <c r="F313" t="s">
        <v>506</v>
      </c>
      <c r="G313" t="s">
        <v>507</v>
      </c>
      <c r="H313" t="s">
        <v>508</v>
      </c>
      <c r="I313" t="s">
        <v>509</v>
      </c>
      <c r="J313" t="s">
        <v>589</v>
      </c>
      <c r="K313" s="491">
        <f>+VLOOKUP(C313,[1]capacité!$C:$K,9,FALSE)</f>
        <v>10000</v>
      </c>
      <c r="L313" t="s">
        <v>304</v>
      </c>
    </row>
    <row r="314" spans="1:12">
      <c r="A314" t="s">
        <v>514</v>
      </c>
      <c r="B314" t="s">
        <v>3357</v>
      </c>
      <c r="C314" s="60" t="s">
        <v>446</v>
      </c>
      <c r="D314" t="s">
        <v>587</v>
      </c>
      <c r="E314" t="s">
        <v>588</v>
      </c>
      <c r="F314" t="s">
        <v>506</v>
      </c>
      <c r="G314" t="s">
        <v>507</v>
      </c>
      <c r="H314" t="s">
        <v>508</v>
      </c>
      <c r="I314" t="s">
        <v>509</v>
      </c>
      <c r="J314" t="s">
        <v>589</v>
      </c>
      <c r="K314" s="491">
        <f>+K313</f>
        <v>10000</v>
      </c>
      <c r="L314" t="s">
        <v>304</v>
      </c>
    </row>
    <row r="315" spans="1:12">
      <c r="A315" t="s">
        <v>514</v>
      </c>
      <c r="B315" t="s">
        <v>3358</v>
      </c>
      <c r="C315" s="60" t="s">
        <v>446</v>
      </c>
      <c r="D315" t="s">
        <v>587</v>
      </c>
      <c r="E315" t="s">
        <v>588</v>
      </c>
      <c r="F315" t="s">
        <v>506</v>
      </c>
      <c r="G315" t="s">
        <v>507</v>
      </c>
      <c r="H315" t="s">
        <v>508</v>
      </c>
      <c r="I315" t="s">
        <v>509</v>
      </c>
      <c r="J315" t="s">
        <v>589</v>
      </c>
      <c r="K315" s="491">
        <f t="shared" ref="K315:K324" si="24">+K314</f>
        <v>10000</v>
      </c>
      <c r="L315" t="s">
        <v>304</v>
      </c>
    </row>
    <row r="316" spans="1:12">
      <c r="A316" t="s">
        <v>514</v>
      </c>
      <c r="B316" t="s">
        <v>3359</v>
      </c>
      <c r="C316" s="60" t="s">
        <v>446</v>
      </c>
      <c r="D316" t="s">
        <v>587</v>
      </c>
      <c r="E316" t="s">
        <v>588</v>
      </c>
      <c r="F316" t="s">
        <v>506</v>
      </c>
      <c r="G316" t="s">
        <v>507</v>
      </c>
      <c r="H316" t="s">
        <v>508</v>
      </c>
      <c r="I316" t="s">
        <v>509</v>
      </c>
      <c r="J316" t="s">
        <v>589</v>
      </c>
      <c r="K316" s="491">
        <f t="shared" si="24"/>
        <v>10000</v>
      </c>
      <c r="L316" t="s">
        <v>304</v>
      </c>
    </row>
    <row r="317" spans="1:12">
      <c r="A317" t="s">
        <v>514</v>
      </c>
      <c r="B317" t="s">
        <v>3360</v>
      </c>
      <c r="C317" s="60" t="s">
        <v>446</v>
      </c>
      <c r="D317" t="s">
        <v>587</v>
      </c>
      <c r="E317" t="s">
        <v>588</v>
      </c>
      <c r="F317" t="s">
        <v>506</v>
      </c>
      <c r="G317" t="s">
        <v>507</v>
      </c>
      <c r="H317" t="s">
        <v>508</v>
      </c>
      <c r="I317" t="s">
        <v>509</v>
      </c>
      <c r="J317" t="s">
        <v>589</v>
      </c>
      <c r="K317" s="491">
        <f t="shared" si="24"/>
        <v>10000</v>
      </c>
      <c r="L317" t="s">
        <v>304</v>
      </c>
    </row>
    <row r="318" spans="1:12">
      <c r="A318" t="s">
        <v>514</v>
      </c>
      <c r="B318" t="s">
        <v>3361</v>
      </c>
      <c r="C318" s="60" t="s">
        <v>446</v>
      </c>
      <c r="D318" t="s">
        <v>587</v>
      </c>
      <c r="E318" t="s">
        <v>588</v>
      </c>
      <c r="F318" t="s">
        <v>506</v>
      </c>
      <c r="G318" t="s">
        <v>507</v>
      </c>
      <c r="H318" t="s">
        <v>508</v>
      </c>
      <c r="I318" t="s">
        <v>509</v>
      </c>
      <c r="J318" t="s">
        <v>589</v>
      </c>
      <c r="K318" s="491">
        <f t="shared" si="24"/>
        <v>10000</v>
      </c>
      <c r="L318" t="s">
        <v>304</v>
      </c>
    </row>
    <row r="319" spans="1:12">
      <c r="A319" t="s">
        <v>514</v>
      </c>
      <c r="B319" t="s">
        <v>3362</v>
      </c>
      <c r="C319" s="60" t="s">
        <v>446</v>
      </c>
      <c r="D319" t="s">
        <v>587</v>
      </c>
      <c r="E319" t="s">
        <v>588</v>
      </c>
      <c r="F319" t="s">
        <v>506</v>
      </c>
      <c r="G319" t="s">
        <v>507</v>
      </c>
      <c r="H319" t="s">
        <v>508</v>
      </c>
      <c r="I319" t="s">
        <v>509</v>
      </c>
      <c r="J319" t="s">
        <v>589</v>
      </c>
      <c r="K319" s="491">
        <f t="shared" si="24"/>
        <v>10000</v>
      </c>
      <c r="L319" t="s">
        <v>304</v>
      </c>
    </row>
    <row r="320" spans="1:12">
      <c r="A320" t="s">
        <v>514</v>
      </c>
      <c r="B320" t="s">
        <v>3363</v>
      </c>
      <c r="C320" s="60" t="s">
        <v>446</v>
      </c>
      <c r="D320" t="s">
        <v>587</v>
      </c>
      <c r="E320" t="s">
        <v>588</v>
      </c>
      <c r="F320" t="s">
        <v>506</v>
      </c>
      <c r="G320" t="s">
        <v>507</v>
      </c>
      <c r="H320" t="s">
        <v>508</v>
      </c>
      <c r="I320" t="s">
        <v>509</v>
      </c>
      <c r="J320" t="s">
        <v>589</v>
      </c>
      <c r="K320" s="491">
        <f t="shared" si="24"/>
        <v>10000</v>
      </c>
      <c r="L320" t="s">
        <v>304</v>
      </c>
    </row>
    <row r="321" spans="1:12">
      <c r="A321" t="s">
        <v>514</v>
      </c>
      <c r="B321" t="s">
        <v>3364</v>
      </c>
      <c r="C321" s="60" t="s">
        <v>446</v>
      </c>
      <c r="D321" t="s">
        <v>587</v>
      </c>
      <c r="E321" t="s">
        <v>588</v>
      </c>
      <c r="F321" t="s">
        <v>506</v>
      </c>
      <c r="G321" t="s">
        <v>507</v>
      </c>
      <c r="H321" t="s">
        <v>508</v>
      </c>
      <c r="I321" t="s">
        <v>509</v>
      </c>
      <c r="J321" t="s">
        <v>589</v>
      </c>
      <c r="K321" s="491">
        <f t="shared" si="24"/>
        <v>10000</v>
      </c>
      <c r="L321" t="s">
        <v>304</v>
      </c>
    </row>
    <row r="322" spans="1:12">
      <c r="A322" t="s">
        <v>514</v>
      </c>
      <c r="B322" t="s">
        <v>3365</v>
      </c>
      <c r="C322" s="60" t="s">
        <v>446</v>
      </c>
      <c r="D322" t="s">
        <v>587</v>
      </c>
      <c r="E322" t="s">
        <v>588</v>
      </c>
      <c r="F322" t="s">
        <v>506</v>
      </c>
      <c r="G322" t="s">
        <v>507</v>
      </c>
      <c r="H322" t="s">
        <v>508</v>
      </c>
      <c r="I322" t="s">
        <v>509</v>
      </c>
      <c r="J322" t="s">
        <v>589</v>
      </c>
      <c r="K322" s="491">
        <f t="shared" si="24"/>
        <v>10000</v>
      </c>
      <c r="L322" t="s">
        <v>304</v>
      </c>
    </row>
    <row r="323" spans="1:12">
      <c r="A323" t="s">
        <v>514</v>
      </c>
      <c r="B323" t="s">
        <v>3366</v>
      </c>
      <c r="C323" s="60" t="s">
        <v>446</v>
      </c>
      <c r="D323" t="s">
        <v>587</v>
      </c>
      <c r="E323" t="s">
        <v>588</v>
      </c>
      <c r="F323" t="s">
        <v>506</v>
      </c>
      <c r="G323" t="s">
        <v>507</v>
      </c>
      <c r="H323" t="s">
        <v>508</v>
      </c>
      <c r="I323" t="s">
        <v>509</v>
      </c>
      <c r="J323" t="s">
        <v>589</v>
      </c>
      <c r="K323" s="491">
        <f t="shared" si="24"/>
        <v>10000</v>
      </c>
      <c r="L323" t="s">
        <v>304</v>
      </c>
    </row>
    <row r="324" spans="1:12">
      <c r="A324" t="s">
        <v>514</v>
      </c>
      <c r="B324" t="s">
        <v>3367</v>
      </c>
      <c r="C324" s="60" t="s">
        <v>446</v>
      </c>
      <c r="D324" t="s">
        <v>587</v>
      </c>
      <c r="E324" t="s">
        <v>588</v>
      </c>
      <c r="F324" t="s">
        <v>506</v>
      </c>
      <c r="G324" t="s">
        <v>507</v>
      </c>
      <c r="H324" t="s">
        <v>508</v>
      </c>
      <c r="I324" t="s">
        <v>509</v>
      </c>
      <c r="J324" t="s">
        <v>589</v>
      </c>
      <c r="K324" s="491">
        <f t="shared" si="24"/>
        <v>10000</v>
      </c>
      <c r="L324" t="s">
        <v>304</v>
      </c>
    </row>
    <row r="325" spans="1:12">
      <c r="A325" t="s">
        <v>514</v>
      </c>
      <c r="B325" t="s">
        <v>3356</v>
      </c>
      <c r="C325" s="3" t="s">
        <v>448</v>
      </c>
      <c r="D325" t="s">
        <v>587</v>
      </c>
      <c r="E325" t="s">
        <v>588</v>
      </c>
      <c r="F325" t="s">
        <v>506</v>
      </c>
      <c r="G325" t="s">
        <v>507</v>
      </c>
      <c r="H325" t="s">
        <v>508</v>
      </c>
      <c r="I325" t="s">
        <v>509</v>
      </c>
      <c r="J325" t="s">
        <v>589</v>
      </c>
      <c r="K325" s="491">
        <f>+VLOOKUP(C325,[1]capacité!$C:$K,9,FALSE)</f>
        <v>28000</v>
      </c>
      <c r="L325" t="s">
        <v>3419</v>
      </c>
    </row>
    <row r="326" spans="1:12">
      <c r="A326" t="s">
        <v>514</v>
      </c>
      <c r="B326" t="s">
        <v>3357</v>
      </c>
      <c r="C326" s="60" t="s">
        <v>448</v>
      </c>
      <c r="D326" t="s">
        <v>587</v>
      </c>
      <c r="E326" t="s">
        <v>588</v>
      </c>
      <c r="F326" t="s">
        <v>506</v>
      </c>
      <c r="G326" t="s">
        <v>507</v>
      </c>
      <c r="H326" t="s">
        <v>508</v>
      </c>
      <c r="I326" t="s">
        <v>509</v>
      </c>
      <c r="J326" t="s">
        <v>589</v>
      </c>
      <c r="K326" s="491">
        <f>+K325</f>
        <v>28000</v>
      </c>
      <c r="L326" t="s">
        <v>3419</v>
      </c>
    </row>
    <row r="327" spans="1:12">
      <c r="A327" t="s">
        <v>514</v>
      </c>
      <c r="B327" t="s">
        <v>3358</v>
      </c>
      <c r="C327" s="60" t="s">
        <v>448</v>
      </c>
      <c r="D327" t="s">
        <v>587</v>
      </c>
      <c r="E327" t="s">
        <v>588</v>
      </c>
      <c r="F327" t="s">
        <v>506</v>
      </c>
      <c r="G327" t="s">
        <v>507</v>
      </c>
      <c r="H327" t="s">
        <v>508</v>
      </c>
      <c r="I327" t="s">
        <v>509</v>
      </c>
      <c r="J327" t="s">
        <v>589</v>
      </c>
      <c r="K327" s="491">
        <f t="shared" ref="K327:K336" si="25">+K326</f>
        <v>28000</v>
      </c>
      <c r="L327" t="s">
        <v>3419</v>
      </c>
    </row>
    <row r="328" spans="1:12">
      <c r="A328" t="s">
        <v>514</v>
      </c>
      <c r="B328" t="s">
        <v>3359</v>
      </c>
      <c r="C328" s="60" t="s">
        <v>448</v>
      </c>
      <c r="D328" t="s">
        <v>587</v>
      </c>
      <c r="E328" t="s">
        <v>588</v>
      </c>
      <c r="F328" t="s">
        <v>506</v>
      </c>
      <c r="G328" t="s">
        <v>507</v>
      </c>
      <c r="H328" t="s">
        <v>508</v>
      </c>
      <c r="I328" t="s">
        <v>509</v>
      </c>
      <c r="J328" t="s">
        <v>589</v>
      </c>
      <c r="K328" s="491">
        <f t="shared" si="25"/>
        <v>28000</v>
      </c>
      <c r="L328" t="s">
        <v>3419</v>
      </c>
    </row>
    <row r="329" spans="1:12">
      <c r="A329" t="s">
        <v>514</v>
      </c>
      <c r="B329" t="s">
        <v>3360</v>
      </c>
      <c r="C329" s="60" t="s">
        <v>448</v>
      </c>
      <c r="D329" t="s">
        <v>587</v>
      </c>
      <c r="E329" t="s">
        <v>588</v>
      </c>
      <c r="F329" t="s">
        <v>506</v>
      </c>
      <c r="G329" t="s">
        <v>507</v>
      </c>
      <c r="H329" t="s">
        <v>508</v>
      </c>
      <c r="I329" t="s">
        <v>509</v>
      </c>
      <c r="J329" t="s">
        <v>589</v>
      </c>
      <c r="K329" s="491">
        <f t="shared" si="25"/>
        <v>28000</v>
      </c>
      <c r="L329" t="s">
        <v>3419</v>
      </c>
    </row>
    <row r="330" spans="1:12">
      <c r="A330" t="s">
        <v>514</v>
      </c>
      <c r="B330" t="s">
        <v>3361</v>
      </c>
      <c r="C330" s="60" t="s">
        <v>448</v>
      </c>
      <c r="D330" t="s">
        <v>587</v>
      </c>
      <c r="E330" t="s">
        <v>588</v>
      </c>
      <c r="F330" t="s">
        <v>506</v>
      </c>
      <c r="G330" t="s">
        <v>507</v>
      </c>
      <c r="H330" t="s">
        <v>508</v>
      </c>
      <c r="I330" t="s">
        <v>509</v>
      </c>
      <c r="J330" t="s">
        <v>589</v>
      </c>
      <c r="K330" s="491">
        <f t="shared" si="25"/>
        <v>28000</v>
      </c>
      <c r="L330" t="s">
        <v>3419</v>
      </c>
    </row>
    <row r="331" spans="1:12">
      <c r="A331" t="s">
        <v>514</v>
      </c>
      <c r="B331" t="s">
        <v>3362</v>
      </c>
      <c r="C331" s="60" t="s">
        <v>448</v>
      </c>
      <c r="D331" t="s">
        <v>587</v>
      </c>
      <c r="E331" t="s">
        <v>588</v>
      </c>
      <c r="F331" t="s">
        <v>506</v>
      </c>
      <c r="G331" t="s">
        <v>507</v>
      </c>
      <c r="H331" t="s">
        <v>508</v>
      </c>
      <c r="I331" t="s">
        <v>509</v>
      </c>
      <c r="J331" t="s">
        <v>589</v>
      </c>
      <c r="K331" s="491">
        <f t="shared" si="25"/>
        <v>28000</v>
      </c>
      <c r="L331" t="s">
        <v>3419</v>
      </c>
    </row>
    <row r="332" spans="1:12">
      <c r="A332" t="s">
        <v>514</v>
      </c>
      <c r="B332" t="s">
        <v>3363</v>
      </c>
      <c r="C332" s="60" t="s">
        <v>448</v>
      </c>
      <c r="D332" t="s">
        <v>587</v>
      </c>
      <c r="E332" t="s">
        <v>588</v>
      </c>
      <c r="F332" t="s">
        <v>506</v>
      </c>
      <c r="G332" t="s">
        <v>507</v>
      </c>
      <c r="H332" t="s">
        <v>508</v>
      </c>
      <c r="I332" t="s">
        <v>509</v>
      </c>
      <c r="J332" t="s">
        <v>589</v>
      </c>
      <c r="K332" s="491">
        <f t="shared" si="25"/>
        <v>28000</v>
      </c>
      <c r="L332" t="s">
        <v>3419</v>
      </c>
    </row>
    <row r="333" spans="1:12">
      <c r="A333" t="s">
        <v>514</v>
      </c>
      <c r="B333" t="s">
        <v>3364</v>
      </c>
      <c r="C333" s="60" t="s">
        <v>448</v>
      </c>
      <c r="D333" t="s">
        <v>587</v>
      </c>
      <c r="E333" t="s">
        <v>588</v>
      </c>
      <c r="F333" t="s">
        <v>506</v>
      </c>
      <c r="G333" t="s">
        <v>507</v>
      </c>
      <c r="H333" t="s">
        <v>508</v>
      </c>
      <c r="I333" t="s">
        <v>509</v>
      </c>
      <c r="J333" t="s">
        <v>589</v>
      </c>
      <c r="K333" s="491">
        <f t="shared" si="25"/>
        <v>28000</v>
      </c>
      <c r="L333" t="s">
        <v>3419</v>
      </c>
    </row>
    <row r="334" spans="1:12">
      <c r="A334" t="s">
        <v>514</v>
      </c>
      <c r="B334" t="s">
        <v>3365</v>
      </c>
      <c r="C334" s="60" t="s">
        <v>448</v>
      </c>
      <c r="D334" t="s">
        <v>587</v>
      </c>
      <c r="E334" t="s">
        <v>588</v>
      </c>
      <c r="F334" t="s">
        <v>506</v>
      </c>
      <c r="G334" t="s">
        <v>507</v>
      </c>
      <c r="H334" t="s">
        <v>508</v>
      </c>
      <c r="I334" t="s">
        <v>509</v>
      </c>
      <c r="J334" t="s">
        <v>589</v>
      </c>
      <c r="K334" s="491">
        <f t="shared" si="25"/>
        <v>28000</v>
      </c>
      <c r="L334" t="s">
        <v>3419</v>
      </c>
    </row>
    <row r="335" spans="1:12">
      <c r="A335" t="s">
        <v>514</v>
      </c>
      <c r="B335" t="s">
        <v>3366</v>
      </c>
      <c r="C335" s="60" t="s">
        <v>448</v>
      </c>
      <c r="D335" t="s">
        <v>587</v>
      </c>
      <c r="E335" t="s">
        <v>588</v>
      </c>
      <c r="F335" t="s">
        <v>506</v>
      </c>
      <c r="G335" t="s">
        <v>507</v>
      </c>
      <c r="H335" t="s">
        <v>508</v>
      </c>
      <c r="I335" t="s">
        <v>509</v>
      </c>
      <c r="J335" t="s">
        <v>589</v>
      </c>
      <c r="K335" s="491">
        <f t="shared" si="25"/>
        <v>28000</v>
      </c>
      <c r="L335" t="s">
        <v>3419</v>
      </c>
    </row>
    <row r="336" spans="1:12">
      <c r="A336" t="s">
        <v>514</v>
      </c>
      <c r="B336" t="s">
        <v>3367</v>
      </c>
      <c r="C336" s="60" t="s">
        <v>448</v>
      </c>
      <c r="D336" t="s">
        <v>587</v>
      </c>
      <c r="E336" t="s">
        <v>588</v>
      </c>
      <c r="F336" t="s">
        <v>506</v>
      </c>
      <c r="G336" t="s">
        <v>507</v>
      </c>
      <c r="H336" t="s">
        <v>508</v>
      </c>
      <c r="I336" t="s">
        <v>509</v>
      </c>
      <c r="J336" t="s">
        <v>589</v>
      </c>
      <c r="K336" s="491">
        <f t="shared" si="25"/>
        <v>28000</v>
      </c>
      <c r="L336" t="s">
        <v>3419</v>
      </c>
    </row>
    <row r="337" spans="1:12">
      <c r="A337" t="s">
        <v>514</v>
      </c>
      <c r="B337" t="s">
        <v>3356</v>
      </c>
      <c r="C337" s="3" t="s">
        <v>450</v>
      </c>
      <c r="D337" t="s">
        <v>587</v>
      </c>
      <c r="E337" t="s">
        <v>588</v>
      </c>
      <c r="F337" t="s">
        <v>506</v>
      </c>
      <c r="G337" t="s">
        <v>507</v>
      </c>
      <c r="H337" t="s">
        <v>508</v>
      </c>
      <c r="I337" t="s">
        <v>509</v>
      </c>
      <c r="J337" t="s">
        <v>589</v>
      </c>
      <c r="K337" s="491">
        <f>+VLOOKUP(C337,[1]capacité!$C:$K,9,FALSE)</f>
        <v>12000</v>
      </c>
      <c r="L337" t="s">
        <v>280</v>
      </c>
    </row>
    <row r="338" spans="1:12">
      <c r="A338" t="s">
        <v>514</v>
      </c>
      <c r="B338" t="s">
        <v>3357</v>
      </c>
      <c r="C338" s="60" t="s">
        <v>450</v>
      </c>
      <c r="D338" t="s">
        <v>587</v>
      </c>
      <c r="E338" t="s">
        <v>588</v>
      </c>
      <c r="F338" t="s">
        <v>506</v>
      </c>
      <c r="G338" t="s">
        <v>507</v>
      </c>
      <c r="H338" t="s">
        <v>508</v>
      </c>
      <c r="I338" t="s">
        <v>509</v>
      </c>
      <c r="J338" t="s">
        <v>589</v>
      </c>
      <c r="K338" s="491">
        <f>+K337</f>
        <v>12000</v>
      </c>
      <c r="L338" t="s">
        <v>280</v>
      </c>
    </row>
    <row r="339" spans="1:12">
      <c r="A339" t="s">
        <v>514</v>
      </c>
      <c r="B339" t="s">
        <v>3358</v>
      </c>
      <c r="C339" s="60" t="s">
        <v>450</v>
      </c>
      <c r="D339" t="s">
        <v>587</v>
      </c>
      <c r="E339" t="s">
        <v>588</v>
      </c>
      <c r="F339" t="s">
        <v>506</v>
      </c>
      <c r="G339" t="s">
        <v>507</v>
      </c>
      <c r="H339" t="s">
        <v>508</v>
      </c>
      <c r="I339" t="s">
        <v>509</v>
      </c>
      <c r="J339" t="s">
        <v>589</v>
      </c>
      <c r="K339" s="491">
        <f t="shared" ref="K339:K348" si="26">+K338</f>
        <v>12000</v>
      </c>
      <c r="L339" t="s">
        <v>280</v>
      </c>
    </row>
    <row r="340" spans="1:12">
      <c r="A340" t="s">
        <v>514</v>
      </c>
      <c r="B340" t="s">
        <v>3359</v>
      </c>
      <c r="C340" s="60" t="s">
        <v>450</v>
      </c>
      <c r="D340" t="s">
        <v>587</v>
      </c>
      <c r="E340" t="s">
        <v>588</v>
      </c>
      <c r="F340" t="s">
        <v>506</v>
      </c>
      <c r="G340" t="s">
        <v>507</v>
      </c>
      <c r="H340" t="s">
        <v>508</v>
      </c>
      <c r="I340" t="s">
        <v>509</v>
      </c>
      <c r="J340" t="s">
        <v>589</v>
      </c>
      <c r="K340" s="491">
        <f t="shared" si="26"/>
        <v>12000</v>
      </c>
      <c r="L340" t="s">
        <v>280</v>
      </c>
    </row>
    <row r="341" spans="1:12">
      <c r="A341" t="s">
        <v>514</v>
      </c>
      <c r="B341" t="s">
        <v>3360</v>
      </c>
      <c r="C341" s="60" t="s">
        <v>450</v>
      </c>
      <c r="D341" t="s">
        <v>587</v>
      </c>
      <c r="E341" t="s">
        <v>588</v>
      </c>
      <c r="F341" t="s">
        <v>506</v>
      </c>
      <c r="G341" t="s">
        <v>507</v>
      </c>
      <c r="H341" t="s">
        <v>508</v>
      </c>
      <c r="I341" t="s">
        <v>509</v>
      </c>
      <c r="J341" t="s">
        <v>589</v>
      </c>
      <c r="K341" s="491">
        <f t="shared" si="26"/>
        <v>12000</v>
      </c>
      <c r="L341" t="s">
        <v>280</v>
      </c>
    </row>
    <row r="342" spans="1:12">
      <c r="A342" t="s">
        <v>514</v>
      </c>
      <c r="B342" t="s">
        <v>3361</v>
      </c>
      <c r="C342" s="60" t="s">
        <v>450</v>
      </c>
      <c r="D342" t="s">
        <v>587</v>
      </c>
      <c r="E342" t="s">
        <v>588</v>
      </c>
      <c r="F342" t="s">
        <v>506</v>
      </c>
      <c r="G342" t="s">
        <v>507</v>
      </c>
      <c r="H342" t="s">
        <v>508</v>
      </c>
      <c r="I342" t="s">
        <v>509</v>
      </c>
      <c r="J342" t="s">
        <v>589</v>
      </c>
      <c r="K342" s="491">
        <f t="shared" si="26"/>
        <v>12000</v>
      </c>
      <c r="L342" t="s">
        <v>280</v>
      </c>
    </row>
    <row r="343" spans="1:12">
      <c r="A343" t="s">
        <v>514</v>
      </c>
      <c r="B343" t="s">
        <v>3362</v>
      </c>
      <c r="C343" s="60" t="s">
        <v>450</v>
      </c>
      <c r="D343" t="s">
        <v>587</v>
      </c>
      <c r="E343" t="s">
        <v>588</v>
      </c>
      <c r="F343" t="s">
        <v>506</v>
      </c>
      <c r="G343" t="s">
        <v>507</v>
      </c>
      <c r="H343" t="s">
        <v>508</v>
      </c>
      <c r="I343" t="s">
        <v>509</v>
      </c>
      <c r="J343" t="s">
        <v>589</v>
      </c>
      <c r="K343" s="491">
        <f t="shared" si="26"/>
        <v>12000</v>
      </c>
      <c r="L343" t="s">
        <v>280</v>
      </c>
    </row>
    <row r="344" spans="1:12">
      <c r="A344" t="s">
        <v>514</v>
      </c>
      <c r="B344" t="s">
        <v>3363</v>
      </c>
      <c r="C344" s="60" t="s">
        <v>450</v>
      </c>
      <c r="D344" t="s">
        <v>587</v>
      </c>
      <c r="E344" t="s">
        <v>588</v>
      </c>
      <c r="F344" t="s">
        <v>506</v>
      </c>
      <c r="G344" t="s">
        <v>507</v>
      </c>
      <c r="H344" t="s">
        <v>508</v>
      </c>
      <c r="I344" t="s">
        <v>509</v>
      </c>
      <c r="J344" t="s">
        <v>589</v>
      </c>
      <c r="K344" s="491">
        <f t="shared" si="26"/>
        <v>12000</v>
      </c>
      <c r="L344" t="s">
        <v>280</v>
      </c>
    </row>
    <row r="345" spans="1:12">
      <c r="A345" t="s">
        <v>514</v>
      </c>
      <c r="B345" t="s">
        <v>3364</v>
      </c>
      <c r="C345" s="60" t="s">
        <v>450</v>
      </c>
      <c r="D345" t="s">
        <v>587</v>
      </c>
      <c r="E345" t="s">
        <v>588</v>
      </c>
      <c r="F345" t="s">
        <v>506</v>
      </c>
      <c r="G345" t="s">
        <v>507</v>
      </c>
      <c r="H345" t="s">
        <v>508</v>
      </c>
      <c r="I345" t="s">
        <v>509</v>
      </c>
      <c r="J345" t="s">
        <v>589</v>
      </c>
      <c r="K345" s="491">
        <f t="shared" si="26"/>
        <v>12000</v>
      </c>
      <c r="L345" t="s">
        <v>280</v>
      </c>
    </row>
    <row r="346" spans="1:12">
      <c r="A346" t="s">
        <v>514</v>
      </c>
      <c r="B346" t="s">
        <v>3365</v>
      </c>
      <c r="C346" s="60" t="s">
        <v>450</v>
      </c>
      <c r="D346" t="s">
        <v>587</v>
      </c>
      <c r="E346" t="s">
        <v>588</v>
      </c>
      <c r="F346" t="s">
        <v>506</v>
      </c>
      <c r="G346" t="s">
        <v>507</v>
      </c>
      <c r="H346" t="s">
        <v>508</v>
      </c>
      <c r="I346" t="s">
        <v>509</v>
      </c>
      <c r="J346" t="s">
        <v>589</v>
      </c>
      <c r="K346" s="491">
        <f t="shared" si="26"/>
        <v>12000</v>
      </c>
      <c r="L346" t="s">
        <v>280</v>
      </c>
    </row>
    <row r="347" spans="1:12">
      <c r="A347" t="s">
        <v>514</v>
      </c>
      <c r="B347" t="s">
        <v>3366</v>
      </c>
      <c r="C347" s="60" t="s">
        <v>450</v>
      </c>
      <c r="D347" t="s">
        <v>587</v>
      </c>
      <c r="E347" t="s">
        <v>588</v>
      </c>
      <c r="F347" t="s">
        <v>506</v>
      </c>
      <c r="G347" t="s">
        <v>507</v>
      </c>
      <c r="H347" t="s">
        <v>508</v>
      </c>
      <c r="I347" t="s">
        <v>509</v>
      </c>
      <c r="J347" t="s">
        <v>589</v>
      </c>
      <c r="K347" s="491">
        <f t="shared" si="26"/>
        <v>12000</v>
      </c>
      <c r="L347" t="s">
        <v>280</v>
      </c>
    </row>
    <row r="348" spans="1:12">
      <c r="A348" t="s">
        <v>514</v>
      </c>
      <c r="B348" t="s">
        <v>3367</v>
      </c>
      <c r="C348" s="60" t="s">
        <v>450</v>
      </c>
      <c r="D348" t="s">
        <v>587</v>
      </c>
      <c r="E348" t="s">
        <v>588</v>
      </c>
      <c r="F348" t="s">
        <v>506</v>
      </c>
      <c r="G348" t="s">
        <v>507</v>
      </c>
      <c r="H348" t="s">
        <v>508</v>
      </c>
      <c r="I348" t="s">
        <v>509</v>
      </c>
      <c r="J348" t="s">
        <v>589</v>
      </c>
      <c r="K348" s="491">
        <f t="shared" si="26"/>
        <v>12000</v>
      </c>
      <c r="L348" t="s">
        <v>280</v>
      </c>
    </row>
    <row r="349" spans="1:12">
      <c r="A349" t="s">
        <v>514</v>
      </c>
      <c r="B349" t="s">
        <v>3356</v>
      </c>
      <c r="C349" s="3" t="s">
        <v>452</v>
      </c>
      <c r="D349" t="s">
        <v>587</v>
      </c>
      <c r="E349" t="s">
        <v>588</v>
      </c>
      <c r="F349" t="s">
        <v>506</v>
      </c>
      <c r="G349" t="s">
        <v>507</v>
      </c>
      <c r="H349" t="s">
        <v>508</v>
      </c>
      <c r="I349" t="s">
        <v>509</v>
      </c>
      <c r="J349" t="s">
        <v>589</v>
      </c>
      <c r="K349" s="491">
        <f>+VLOOKUP(C349,[1]capacité!$C:$K,9,FALSE)</f>
        <v>10000</v>
      </c>
      <c r="L349" t="s">
        <v>305</v>
      </c>
    </row>
    <row r="350" spans="1:12">
      <c r="A350" t="s">
        <v>514</v>
      </c>
      <c r="B350" t="s">
        <v>3357</v>
      </c>
      <c r="C350" s="60" t="s">
        <v>452</v>
      </c>
      <c r="D350" t="s">
        <v>587</v>
      </c>
      <c r="E350" t="s">
        <v>588</v>
      </c>
      <c r="F350" t="s">
        <v>506</v>
      </c>
      <c r="G350" t="s">
        <v>507</v>
      </c>
      <c r="H350" t="s">
        <v>508</v>
      </c>
      <c r="I350" t="s">
        <v>509</v>
      </c>
      <c r="J350" t="s">
        <v>589</v>
      </c>
      <c r="K350" s="491">
        <f>+K349</f>
        <v>10000</v>
      </c>
      <c r="L350" t="s">
        <v>305</v>
      </c>
    </row>
    <row r="351" spans="1:12">
      <c r="A351" t="s">
        <v>514</v>
      </c>
      <c r="B351" t="s">
        <v>3358</v>
      </c>
      <c r="C351" s="60" t="s">
        <v>452</v>
      </c>
      <c r="D351" t="s">
        <v>587</v>
      </c>
      <c r="E351" t="s">
        <v>588</v>
      </c>
      <c r="F351" t="s">
        <v>506</v>
      </c>
      <c r="G351" t="s">
        <v>507</v>
      </c>
      <c r="H351" t="s">
        <v>508</v>
      </c>
      <c r="I351" t="s">
        <v>509</v>
      </c>
      <c r="J351" t="s">
        <v>589</v>
      </c>
      <c r="K351" s="491">
        <f t="shared" ref="K351:K360" si="27">+K350</f>
        <v>10000</v>
      </c>
      <c r="L351" t="s">
        <v>305</v>
      </c>
    </row>
    <row r="352" spans="1:12">
      <c r="A352" t="s">
        <v>514</v>
      </c>
      <c r="B352" t="s">
        <v>3359</v>
      </c>
      <c r="C352" s="60" t="s">
        <v>452</v>
      </c>
      <c r="D352" t="s">
        <v>587</v>
      </c>
      <c r="E352" t="s">
        <v>588</v>
      </c>
      <c r="F352" t="s">
        <v>506</v>
      </c>
      <c r="G352" t="s">
        <v>507</v>
      </c>
      <c r="H352" t="s">
        <v>508</v>
      </c>
      <c r="I352" t="s">
        <v>509</v>
      </c>
      <c r="J352" t="s">
        <v>589</v>
      </c>
      <c r="K352" s="491">
        <f t="shared" si="27"/>
        <v>10000</v>
      </c>
      <c r="L352" t="s">
        <v>305</v>
      </c>
    </row>
    <row r="353" spans="1:12">
      <c r="A353" t="s">
        <v>514</v>
      </c>
      <c r="B353" t="s">
        <v>3360</v>
      </c>
      <c r="C353" s="60" t="s">
        <v>452</v>
      </c>
      <c r="D353" t="s">
        <v>587</v>
      </c>
      <c r="E353" t="s">
        <v>588</v>
      </c>
      <c r="F353" t="s">
        <v>506</v>
      </c>
      <c r="G353" t="s">
        <v>507</v>
      </c>
      <c r="H353" t="s">
        <v>508</v>
      </c>
      <c r="I353" t="s">
        <v>509</v>
      </c>
      <c r="J353" t="s">
        <v>589</v>
      </c>
      <c r="K353" s="491">
        <f t="shared" si="27"/>
        <v>10000</v>
      </c>
      <c r="L353" t="s">
        <v>305</v>
      </c>
    </row>
    <row r="354" spans="1:12">
      <c r="A354" t="s">
        <v>514</v>
      </c>
      <c r="B354" t="s">
        <v>3361</v>
      </c>
      <c r="C354" s="60" t="s">
        <v>452</v>
      </c>
      <c r="D354" t="s">
        <v>587</v>
      </c>
      <c r="E354" t="s">
        <v>588</v>
      </c>
      <c r="F354" t="s">
        <v>506</v>
      </c>
      <c r="G354" t="s">
        <v>507</v>
      </c>
      <c r="H354" t="s">
        <v>508</v>
      </c>
      <c r="I354" t="s">
        <v>509</v>
      </c>
      <c r="J354" t="s">
        <v>589</v>
      </c>
      <c r="K354" s="491">
        <f t="shared" si="27"/>
        <v>10000</v>
      </c>
      <c r="L354" t="s">
        <v>305</v>
      </c>
    </row>
    <row r="355" spans="1:12">
      <c r="A355" t="s">
        <v>514</v>
      </c>
      <c r="B355" t="s">
        <v>3362</v>
      </c>
      <c r="C355" s="60" t="s">
        <v>452</v>
      </c>
      <c r="D355" t="s">
        <v>587</v>
      </c>
      <c r="E355" t="s">
        <v>588</v>
      </c>
      <c r="F355" t="s">
        <v>506</v>
      </c>
      <c r="G355" t="s">
        <v>507</v>
      </c>
      <c r="H355" t="s">
        <v>508</v>
      </c>
      <c r="I355" t="s">
        <v>509</v>
      </c>
      <c r="J355" t="s">
        <v>589</v>
      </c>
      <c r="K355" s="491">
        <f t="shared" si="27"/>
        <v>10000</v>
      </c>
      <c r="L355" t="s">
        <v>305</v>
      </c>
    </row>
    <row r="356" spans="1:12">
      <c r="A356" t="s">
        <v>514</v>
      </c>
      <c r="B356" t="s">
        <v>3363</v>
      </c>
      <c r="C356" s="60" t="s">
        <v>452</v>
      </c>
      <c r="D356" t="s">
        <v>587</v>
      </c>
      <c r="E356" t="s">
        <v>588</v>
      </c>
      <c r="F356" t="s">
        <v>506</v>
      </c>
      <c r="G356" t="s">
        <v>507</v>
      </c>
      <c r="H356" t="s">
        <v>508</v>
      </c>
      <c r="I356" t="s">
        <v>509</v>
      </c>
      <c r="J356" t="s">
        <v>589</v>
      </c>
      <c r="K356" s="491">
        <f t="shared" si="27"/>
        <v>10000</v>
      </c>
      <c r="L356" t="s">
        <v>305</v>
      </c>
    </row>
    <row r="357" spans="1:12">
      <c r="A357" t="s">
        <v>514</v>
      </c>
      <c r="B357" t="s">
        <v>3364</v>
      </c>
      <c r="C357" s="60" t="s">
        <v>452</v>
      </c>
      <c r="D357" t="s">
        <v>587</v>
      </c>
      <c r="E357" t="s">
        <v>588</v>
      </c>
      <c r="F357" t="s">
        <v>506</v>
      </c>
      <c r="G357" t="s">
        <v>507</v>
      </c>
      <c r="H357" t="s">
        <v>508</v>
      </c>
      <c r="I357" t="s">
        <v>509</v>
      </c>
      <c r="J357" t="s">
        <v>589</v>
      </c>
      <c r="K357" s="491">
        <f t="shared" si="27"/>
        <v>10000</v>
      </c>
      <c r="L357" t="s">
        <v>305</v>
      </c>
    </row>
    <row r="358" spans="1:12">
      <c r="A358" t="s">
        <v>514</v>
      </c>
      <c r="B358" t="s">
        <v>3365</v>
      </c>
      <c r="C358" s="60" t="s">
        <v>452</v>
      </c>
      <c r="D358" t="s">
        <v>587</v>
      </c>
      <c r="E358" t="s">
        <v>588</v>
      </c>
      <c r="F358" t="s">
        <v>506</v>
      </c>
      <c r="G358" t="s">
        <v>507</v>
      </c>
      <c r="H358" t="s">
        <v>508</v>
      </c>
      <c r="I358" t="s">
        <v>509</v>
      </c>
      <c r="J358" t="s">
        <v>589</v>
      </c>
      <c r="K358" s="491">
        <f t="shared" si="27"/>
        <v>10000</v>
      </c>
      <c r="L358" t="s">
        <v>305</v>
      </c>
    </row>
    <row r="359" spans="1:12">
      <c r="A359" t="s">
        <v>514</v>
      </c>
      <c r="B359" t="s">
        <v>3366</v>
      </c>
      <c r="C359" s="60" t="s">
        <v>452</v>
      </c>
      <c r="D359" t="s">
        <v>587</v>
      </c>
      <c r="E359" t="s">
        <v>588</v>
      </c>
      <c r="F359" t="s">
        <v>506</v>
      </c>
      <c r="G359" t="s">
        <v>507</v>
      </c>
      <c r="H359" t="s">
        <v>508</v>
      </c>
      <c r="I359" t="s">
        <v>509</v>
      </c>
      <c r="J359" t="s">
        <v>589</v>
      </c>
      <c r="K359" s="491">
        <f t="shared" si="27"/>
        <v>10000</v>
      </c>
      <c r="L359" t="s">
        <v>305</v>
      </c>
    </row>
    <row r="360" spans="1:12">
      <c r="A360" t="s">
        <v>514</v>
      </c>
      <c r="B360" t="s">
        <v>3367</v>
      </c>
      <c r="C360" s="60" t="s">
        <v>452</v>
      </c>
      <c r="D360" t="s">
        <v>587</v>
      </c>
      <c r="E360" t="s">
        <v>588</v>
      </c>
      <c r="F360" t="s">
        <v>506</v>
      </c>
      <c r="G360" t="s">
        <v>507</v>
      </c>
      <c r="H360" t="s">
        <v>508</v>
      </c>
      <c r="I360" t="s">
        <v>509</v>
      </c>
      <c r="J360" t="s">
        <v>589</v>
      </c>
      <c r="K360" s="491">
        <f t="shared" si="27"/>
        <v>10000</v>
      </c>
      <c r="L360" t="s">
        <v>305</v>
      </c>
    </row>
    <row r="361" spans="1:12">
      <c r="A361" t="s">
        <v>514</v>
      </c>
      <c r="B361" t="s">
        <v>3356</v>
      </c>
      <c r="C361" s="3" t="s">
        <v>454</v>
      </c>
      <c r="D361" t="s">
        <v>587</v>
      </c>
      <c r="E361" t="s">
        <v>588</v>
      </c>
      <c r="F361" t="s">
        <v>506</v>
      </c>
      <c r="G361" t="s">
        <v>507</v>
      </c>
      <c r="H361" t="s">
        <v>508</v>
      </c>
      <c r="I361" t="s">
        <v>509</v>
      </c>
      <c r="J361" t="s">
        <v>589</v>
      </c>
      <c r="K361" s="491">
        <f>+VLOOKUP(C361,[1]capacité!$C:$K,9,FALSE)</f>
        <v>18000</v>
      </c>
      <c r="L361" t="s">
        <v>3420</v>
      </c>
    </row>
    <row r="362" spans="1:12">
      <c r="A362" t="s">
        <v>514</v>
      </c>
      <c r="B362" t="s">
        <v>3357</v>
      </c>
      <c r="C362" s="60" t="s">
        <v>454</v>
      </c>
      <c r="D362" t="s">
        <v>587</v>
      </c>
      <c r="E362" t="s">
        <v>588</v>
      </c>
      <c r="F362" t="s">
        <v>506</v>
      </c>
      <c r="G362" t="s">
        <v>507</v>
      </c>
      <c r="H362" t="s">
        <v>508</v>
      </c>
      <c r="I362" t="s">
        <v>509</v>
      </c>
      <c r="J362" t="s">
        <v>589</v>
      </c>
      <c r="K362" s="491">
        <f>+K361</f>
        <v>18000</v>
      </c>
      <c r="L362" t="s">
        <v>3420</v>
      </c>
    </row>
    <row r="363" spans="1:12">
      <c r="A363" t="s">
        <v>514</v>
      </c>
      <c r="B363" t="s">
        <v>3358</v>
      </c>
      <c r="C363" s="60" t="s">
        <v>454</v>
      </c>
      <c r="D363" t="s">
        <v>587</v>
      </c>
      <c r="E363" t="s">
        <v>588</v>
      </c>
      <c r="F363" t="s">
        <v>506</v>
      </c>
      <c r="G363" t="s">
        <v>507</v>
      </c>
      <c r="H363" t="s">
        <v>508</v>
      </c>
      <c r="I363" t="s">
        <v>509</v>
      </c>
      <c r="J363" t="s">
        <v>589</v>
      </c>
      <c r="K363" s="491">
        <f t="shared" ref="K363:K372" si="28">+K362</f>
        <v>18000</v>
      </c>
      <c r="L363" t="s">
        <v>3420</v>
      </c>
    </row>
    <row r="364" spans="1:12">
      <c r="A364" t="s">
        <v>514</v>
      </c>
      <c r="B364" t="s">
        <v>3359</v>
      </c>
      <c r="C364" s="60" t="s">
        <v>454</v>
      </c>
      <c r="D364" t="s">
        <v>587</v>
      </c>
      <c r="E364" t="s">
        <v>588</v>
      </c>
      <c r="F364" t="s">
        <v>506</v>
      </c>
      <c r="G364" t="s">
        <v>507</v>
      </c>
      <c r="H364" t="s">
        <v>508</v>
      </c>
      <c r="I364" t="s">
        <v>509</v>
      </c>
      <c r="J364" t="s">
        <v>589</v>
      </c>
      <c r="K364" s="491">
        <f t="shared" si="28"/>
        <v>18000</v>
      </c>
      <c r="L364" t="s">
        <v>3420</v>
      </c>
    </row>
    <row r="365" spans="1:12">
      <c r="A365" t="s">
        <v>514</v>
      </c>
      <c r="B365" t="s">
        <v>3360</v>
      </c>
      <c r="C365" s="60" t="s">
        <v>454</v>
      </c>
      <c r="D365" t="s">
        <v>587</v>
      </c>
      <c r="E365" t="s">
        <v>588</v>
      </c>
      <c r="F365" t="s">
        <v>506</v>
      </c>
      <c r="G365" t="s">
        <v>507</v>
      </c>
      <c r="H365" t="s">
        <v>508</v>
      </c>
      <c r="I365" t="s">
        <v>509</v>
      </c>
      <c r="J365" t="s">
        <v>589</v>
      </c>
      <c r="K365" s="491">
        <f t="shared" si="28"/>
        <v>18000</v>
      </c>
      <c r="L365" t="s">
        <v>3420</v>
      </c>
    </row>
    <row r="366" spans="1:12">
      <c r="A366" t="s">
        <v>514</v>
      </c>
      <c r="B366" t="s">
        <v>3361</v>
      </c>
      <c r="C366" s="60" t="s">
        <v>454</v>
      </c>
      <c r="D366" t="s">
        <v>587</v>
      </c>
      <c r="E366" t="s">
        <v>588</v>
      </c>
      <c r="F366" t="s">
        <v>506</v>
      </c>
      <c r="G366" t="s">
        <v>507</v>
      </c>
      <c r="H366" t="s">
        <v>508</v>
      </c>
      <c r="I366" t="s">
        <v>509</v>
      </c>
      <c r="J366" t="s">
        <v>589</v>
      </c>
      <c r="K366" s="491">
        <f t="shared" si="28"/>
        <v>18000</v>
      </c>
      <c r="L366" t="s">
        <v>3420</v>
      </c>
    </row>
    <row r="367" spans="1:12">
      <c r="A367" t="s">
        <v>514</v>
      </c>
      <c r="B367" t="s">
        <v>3362</v>
      </c>
      <c r="C367" s="60" t="s">
        <v>454</v>
      </c>
      <c r="D367" t="s">
        <v>587</v>
      </c>
      <c r="E367" t="s">
        <v>588</v>
      </c>
      <c r="F367" t="s">
        <v>506</v>
      </c>
      <c r="G367" t="s">
        <v>507</v>
      </c>
      <c r="H367" t="s">
        <v>508</v>
      </c>
      <c r="I367" t="s">
        <v>509</v>
      </c>
      <c r="J367" t="s">
        <v>589</v>
      </c>
      <c r="K367" s="491">
        <f t="shared" si="28"/>
        <v>18000</v>
      </c>
      <c r="L367" t="s">
        <v>3420</v>
      </c>
    </row>
    <row r="368" spans="1:12">
      <c r="A368" t="s">
        <v>514</v>
      </c>
      <c r="B368" t="s">
        <v>3363</v>
      </c>
      <c r="C368" s="60" t="s">
        <v>454</v>
      </c>
      <c r="D368" t="s">
        <v>587</v>
      </c>
      <c r="E368" t="s">
        <v>588</v>
      </c>
      <c r="F368" t="s">
        <v>506</v>
      </c>
      <c r="G368" t="s">
        <v>507</v>
      </c>
      <c r="H368" t="s">
        <v>508</v>
      </c>
      <c r="I368" t="s">
        <v>509</v>
      </c>
      <c r="J368" t="s">
        <v>589</v>
      </c>
      <c r="K368" s="491">
        <f t="shared" si="28"/>
        <v>18000</v>
      </c>
      <c r="L368" t="s">
        <v>3420</v>
      </c>
    </row>
    <row r="369" spans="1:12">
      <c r="A369" t="s">
        <v>514</v>
      </c>
      <c r="B369" t="s">
        <v>3364</v>
      </c>
      <c r="C369" s="60" t="s">
        <v>454</v>
      </c>
      <c r="D369" t="s">
        <v>587</v>
      </c>
      <c r="E369" t="s">
        <v>588</v>
      </c>
      <c r="F369" t="s">
        <v>506</v>
      </c>
      <c r="G369" t="s">
        <v>507</v>
      </c>
      <c r="H369" t="s">
        <v>508</v>
      </c>
      <c r="I369" t="s">
        <v>509</v>
      </c>
      <c r="J369" t="s">
        <v>589</v>
      </c>
      <c r="K369" s="491">
        <f t="shared" si="28"/>
        <v>18000</v>
      </c>
      <c r="L369" t="s">
        <v>3420</v>
      </c>
    </row>
    <row r="370" spans="1:12">
      <c r="A370" t="s">
        <v>514</v>
      </c>
      <c r="B370" t="s">
        <v>3365</v>
      </c>
      <c r="C370" s="60" t="s">
        <v>454</v>
      </c>
      <c r="D370" t="s">
        <v>587</v>
      </c>
      <c r="E370" t="s">
        <v>588</v>
      </c>
      <c r="F370" t="s">
        <v>506</v>
      </c>
      <c r="G370" t="s">
        <v>507</v>
      </c>
      <c r="H370" t="s">
        <v>508</v>
      </c>
      <c r="I370" t="s">
        <v>509</v>
      </c>
      <c r="J370" t="s">
        <v>589</v>
      </c>
      <c r="K370" s="491">
        <f t="shared" si="28"/>
        <v>18000</v>
      </c>
      <c r="L370" t="s">
        <v>3420</v>
      </c>
    </row>
    <row r="371" spans="1:12">
      <c r="A371" t="s">
        <v>514</v>
      </c>
      <c r="B371" t="s">
        <v>3366</v>
      </c>
      <c r="C371" s="60" t="s">
        <v>454</v>
      </c>
      <c r="D371" t="s">
        <v>587</v>
      </c>
      <c r="E371" t="s">
        <v>588</v>
      </c>
      <c r="F371" t="s">
        <v>506</v>
      </c>
      <c r="G371" t="s">
        <v>507</v>
      </c>
      <c r="H371" t="s">
        <v>508</v>
      </c>
      <c r="I371" t="s">
        <v>509</v>
      </c>
      <c r="J371" t="s">
        <v>589</v>
      </c>
      <c r="K371" s="491">
        <f t="shared" si="28"/>
        <v>18000</v>
      </c>
      <c r="L371" t="s">
        <v>3420</v>
      </c>
    </row>
    <row r="372" spans="1:12">
      <c r="A372" t="s">
        <v>514</v>
      </c>
      <c r="B372" t="s">
        <v>3367</v>
      </c>
      <c r="C372" s="60" t="s">
        <v>454</v>
      </c>
      <c r="D372" t="s">
        <v>587</v>
      </c>
      <c r="E372" t="s">
        <v>588</v>
      </c>
      <c r="F372" t="s">
        <v>506</v>
      </c>
      <c r="G372" t="s">
        <v>507</v>
      </c>
      <c r="H372" t="s">
        <v>508</v>
      </c>
      <c r="I372" t="s">
        <v>509</v>
      </c>
      <c r="J372" t="s">
        <v>589</v>
      </c>
      <c r="K372" s="491">
        <f t="shared" si="28"/>
        <v>18000</v>
      </c>
      <c r="L372" t="s">
        <v>3420</v>
      </c>
    </row>
    <row r="373" spans="1:12">
      <c r="A373" t="s">
        <v>514</v>
      </c>
      <c r="B373" t="s">
        <v>3356</v>
      </c>
      <c r="C373" s="3" t="s">
        <v>456</v>
      </c>
      <c r="D373" t="s">
        <v>587</v>
      </c>
      <c r="E373" t="s">
        <v>588</v>
      </c>
      <c r="F373" t="s">
        <v>506</v>
      </c>
      <c r="G373" t="s">
        <v>507</v>
      </c>
      <c r="H373" t="s">
        <v>508</v>
      </c>
      <c r="I373" t="s">
        <v>509</v>
      </c>
      <c r="J373" t="s">
        <v>589</v>
      </c>
      <c r="K373" s="491">
        <f>+VLOOKUP(C373,[1]capacité!$C:$K,9,FALSE)</f>
        <v>36000</v>
      </c>
      <c r="L373" t="s">
        <v>3421</v>
      </c>
    </row>
    <row r="374" spans="1:12">
      <c r="A374" t="s">
        <v>514</v>
      </c>
      <c r="B374" t="s">
        <v>3357</v>
      </c>
      <c r="C374" s="60" t="s">
        <v>456</v>
      </c>
      <c r="D374" t="s">
        <v>587</v>
      </c>
      <c r="E374" t="s">
        <v>588</v>
      </c>
      <c r="F374" t="s">
        <v>506</v>
      </c>
      <c r="G374" t="s">
        <v>507</v>
      </c>
      <c r="H374" t="s">
        <v>508</v>
      </c>
      <c r="I374" t="s">
        <v>509</v>
      </c>
      <c r="J374" t="s">
        <v>589</v>
      </c>
      <c r="K374" s="491">
        <f>+K373</f>
        <v>36000</v>
      </c>
      <c r="L374" t="s">
        <v>3421</v>
      </c>
    </row>
    <row r="375" spans="1:12">
      <c r="A375" t="s">
        <v>514</v>
      </c>
      <c r="B375" t="s">
        <v>3358</v>
      </c>
      <c r="C375" s="60" t="s">
        <v>456</v>
      </c>
      <c r="D375" t="s">
        <v>587</v>
      </c>
      <c r="E375" t="s">
        <v>588</v>
      </c>
      <c r="F375" t="s">
        <v>506</v>
      </c>
      <c r="G375" t="s">
        <v>507</v>
      </c>
      <c r="H375" t="s">
        <v>508</v>
      </c>
      <c r="I375" t="s">
        <v>509</v>
      </c>
      <c r="J375" t="s">
        <v>589</v>
      </c>
      <c r="K375" s="491">
        <f t="shared" ref="K375:K384" si="29">+K374</f>
        <v>36000</v>
      </c>
      <c r="L375" t="s">
        <v>3421</v>
      </c>
    </row>
    <row r="376" spans="1:12">
      <c r="A376" t="s">
        <v>514</v>
      </c>
      <c r="B376" t="s">
        <v>3359</v>
      </c>
      <c r="C376" s="60" t="s">
        <v>456</v>
      </c>
      <c r="D376" t="s">
        <v>587</v>
      </c>
      <c r="E376" t="s">
        <v>588</v>
      </c>
      <c r="F376" t="s">
        <v>506</v>
      </c>
      <c r="G376" t="s">
        <v>507</v>
      </c>
      <c r="H376" t="s">
        <v>508</v>
      </c>
      <c r="I376" t="s">
        <v>509</v>
      </c>
      <c r="J376" t="s">
        <v>589</v>
      </c>
      <c r="K376" s="491">
        <f t="shared" si="29"/>
        <v>36000</v>
      </c>
      <c r="L376" t="s">
        <v>3421</v>
      </c>
    </row>
    <row r="377" spans="1:12">
      <c r="A377" t="s">
        <v>514</v>
      </c>
      <c r="B377" t="s">
        <v>3360</v>
      </c>
      <c r="C377" s="60" t="s">
        <v>456</v>
      </c>
      <c r="D377" t="s">
        <v>587</v>
      </c>
      <c r="E377" t="s">
        <v>588</v>
      </c>
      <c r="F377" t="s">
        <v>506</v>
      </c>
      <c r="G377" t="s">
        <v>507</v>
      </c>
      <c r="H377" t="s">
        <v>508</v>
      </c>
      <c r="I377" t="s">
        <v>509</v>
      </c>
      <c r="J377" t="s">
        <v>589</v>
      </c>
      <c r="K377" s="491">
        <f t="shared" si="29"/>
        <v>36000</v>
      </c>
      <c r="L377" t="s">
        <v>3421</v>
      </c>
    </row>
    <row r="378" spans="1:12">
      <c r="A378" t="s">
        <v>514</v>
      </c>
      <c r="B378" t="s">
        <v>3361</v>
      </c>
      <c r="C378" s="60" t="s">
        <v>456</v>
      </c>
      <c r="D378" t="s">
        <v>587</v>
      </c>
      <c r="E378" t="s">
        <v>588</v>
      </c>
      <c r="F378" t="s">
        <v>506</v>
      </c>
      <c r="G378" t="s">
        <v>507</v>
      </c>
      <c r="H378" t="s">
        <v>508</v>
      </c>
      <c r="I378" t="s">
        <v>509</v>
      </c>
      <c r="J378" t="s">
        <v>589</v>
      </c>
      <c r="K378" s="491">
        <f t="shared" si="29"/>
        <v>36000</v>
      </c>
      <c r="L378" t="s">
        <v>3421</v>
      </c>
    </row>
    <row r="379" spans="1:12">
      <c r="A379" t="s">
        <v>514</v>
      </c>
      <c r="B379" t="s">
        <v>3362</v>
      </c>
      <c r="C379" s="60" t="s">
        <v>456</v>
      </c>
      <c r="D379" t="s">
        <v>587</v>
      </c>
      <c r="E379" t="s">
        <v>588</v>
      </c>
      <c r="F379" t="s">
        <v>506</v>
      </c>
      <c r="G379" t="s">
        <v>507</v>
      </c>
      <c r="H379" t="s">
        <v>508</v>
      </c>
      <c r="I379" t="s">
        <v>509</v>
      </c>
      <c r="J379" t="s">
        <v>589</v>
      </c>
      <c r="K379" s="491">
        <f t="shared" si="29"/>
        <v>36000</v>
      </c>
      <c r="L379" t="s">
        <v>3421</v>
      </c>
    </row>
    <row r="380" spans="1:12">
      <c r="A380" t="s">
        <v>514</v>
      </c>
      <c r="B380" t="s">
        <v>3363</v>
      </c>
      <c r="C380" s="60" t="s">
        <v>456</v>
      </c>
      <c r="D380" t="s">
        <v>587</v>
      </c>
      <c r="E380" t="s">
        <v>588</v>
      </c>
      <c r="F380" t="s">
        <v>506</v>
      </c>
      <c r="G380" t="s">
        <v>507</v>
      </c>
      <c r="H380" t="s">
        <v>508</v>
      </c>
      <c r="I380" t="s">
        <v>509</v>
      </c>
      <c r="J380" t="s">
        <v>589</v>
      </c>
      <c r="K380" s="491">
        <f t="shared" si="29"/>
        <v>36000</v>
      </c>
      <c r="L380" t="s">
        <v>3421</v>
      </c>
    </row>
    <row r="381" spans="1:12">
      <c r="A381" t="s">
        <v>514</v>
      </c>
      <c r="B381" t="s">
        <v>3364</v>
      </c>
      <c r="C381" s="60" t="s">
        <v>456</v>
      </c>
      <c r="D381" t="s">
        <v>587</v>
      </c>
      <c r="E381" t="s">
        <v>588</v>
      </c>
      <c r="F381" t="s">
        <v>506</v>
      </c>
      <c r="G381" t="s">
        <v>507</v>
      </c>
      <c r="H381" t="s">
        <v>508</v>
      </c>
      <c r="I381" t="s">
        <v>509</v>
      </c>
      <c r="J381" t="s">
        <v>589</v>
      </c>
      <c r="K381" s="491">
        <f t="shared" si="29"/>
        <v>36000</v>
      </c>
      <c r="L381" t="s">
        <v>3421</v>
      </c>
    </row>
    <row r="382" spans="1:12">
      <c r="A382" t="s">
        <v>514</v>
      </c>
      <c r="B382" t="s">
        <v>3365</v>
      </c>
      <c r="C382" s="60" t="s">
        <v>456</v>
      </c>
      <c r="D382" t="s">
        <v>587</v>
      </c>
      <c r="E382" t="s">
        <v>588</v>
      </c>
      <c r="F382" t="s">
        <v>506</v>
      </c>
      <c r="G382" t="s">
        <v>507</v>
      </c>
      <c r="H382" t="s">
        <v>508</v>
      </c>
      <c r="I382" t="s">
        <v>509</v>
      </c>
      <c r="J382" t="s">
        <v>589</v>
      </c>
      <c r="K382" s="491">
        <f t="shared" si="29"/>
        <v>36000</v>
      </c>
      <c r="L382" t="s">
        <v>3421</v>
      </c>
    </row>
    <row r="383" spans="1:12">
      <c r="A383" t="s">
        <v>514</v>
      </c>
      <c r="B383" t="s">
        <v>3366</v>
      </c>
      <c r="C383" s="60" t="s">
        <v>456</v>
      </c>
      <c r="D383" t="s">
        <v>587</v>
      </c>
      <c r="E383" t="s">
        <v>588</v>
      </c>
      <c r="F383" t="s">
        <v>506</v>
      </c>
      <c r="G383" t="s">
        <v>507</v>
      </c>
      <c r="H383" t="s">
        <v>508</v>
      </c>
      <c r="I383" t="s">
        <v>509</v>
      </c>
      <c r="J383" t="s">
        <v>589</v>
      </c>
      <c r="K383" s="491">
        <f t="shared" si="29"/>
        <v>36000</v>
      </c>
      <c r="L383" t="s">
        <v>3421</v>
      </c>
    </row>
    <row r="384" spans="1:12">
      <c r="A384" t="s">
        <v>514</v>
      </c>
      <c r="B384" t="s">
        <v>3367</v>
      </c>
      <c r="C384" s="60" t="s">
        <v>456</v>
      </c>
      <c r="D384" t="s">
        <v>587</v>
      </c>
      <c r="E384" t="s">
        <v>588</v>
      </c>
      <c r="F384" t="s">
        <v>506</v>
      </c>
      <c r="G384" t="s">
        <v>507</v>
      </c>
      <c r="H384" t="s">
        <v>508</v>
      </c>
      <c r="I384" t="s">
        <v>509</v>
      </c>
      <c r="J384" t="s">
        <v>589</v>
      </c>
      <c r="K384" s="491">
        <f t="shared" si="29"/>
        <v>36000</v>
      </c>
      <c r="L384" t="s">
        <v>3421</v>
      </c>
    </row>
    <row r="385" spans="1:12">
      <c r="A385" t="s">
        <v>514</v>
      </c>
      <c r="B385" t="s">
        <v>3356</v>
      </c>
      <c r="C385" s="3" t="s">
        <v>458</v>
      </c>
      <c r="D385" t="s">
        <v>587</v>
      </c>
      <c r="E385" t="s">
        <v>588</v>
      </c>
      <c r="F385" t="s">
        <v>506</v>
      </c>
      <c r="G385" t="s">
        <v>507</v>
      </c>
      <c r="H385" t="s">
        <v>508</v>
      </c>
      <c r="I385" t="s">
        <v>509</v>
      </c>
      <c r="J385" t="s">
        <v>589</v>
      </c>
      <c r="K385" s="491">
        <f>+VLOOKUP(C385,[1]capacité!$C:$K,9,FALSE)</f>
        <v>18000</v>
      </c>
      <c r="L385" t="s">
        <v>3422</v>
      </c>
    </row>
    <row r="386" spans="1:12">
      <c r="A386" t="s">
        <v>514</v>
      </c>
      <c r="B386" t="s">
        <v>3357</v>
      </c>
      <c r="C386" s="60" t="s">
        <v>458</v>
      </c>
      <c r="D386" t="s">
        <v>587</v>
      </c>
      <c r="E386" t="s">
        <v>588</v>
      </c>
      <c r="F386" t="s">
        <v>506</v>
      </c>
      <c r="G386" t="s">
        <v>507</v>
      </c>
      <c r="H386" t="s">
        <v>508</v>
      </c>
      <c r="I386" t="s">
        <v>509</v>
      </c>
      <c r="J386" t="s">
        <v>589</v>
      </c>
      <c r="K386" s="491">
        <f>+K385</f>
        <v>18000</v>
      </c>
      <c r="L386" t="s">
        <v>3422</v>
      </c>
    </row>
    <row r="387" spans="1:12">
      <c r="A387" t="s">
        <v>514</v>
      </c>
      <c r="B387" t="s">
        <v>3358</v>
      </c>
      <c r="C387" s="60" t="s">
        <v>458</v>
      </c>
      <c r="D387" t="s">
        <v>587</v>
      </c>
      <c r="E387" t="s">
        <v>588</v>
      </c>
      <c r="F387" t="s">
        <v>506</v>
      </c>
      <c r="G387" t="s">
        <v>507</v>
      </c>
      <c r="H387" t="s">
        <v>508</v>
      </c>
      <c r="I387" t="s">
        <v>509</v>
      </c>
      <c r="J387" t="s">
        <v>589</v>
      </c>
      <c r="K387" s="491">
        <f t="shared" ref="K387:K396" si="30">+K386</f>
        <v>18000</v>
      </c>
      <c r="L387" t="s">
        <v>3422</v>
      </c>
    </row>
    <row r="388" spans="1:12">
      <c r="A388" t="s">
        <v>514</v>
      </c>
      <c r="B388" t="s">
        <v>3359</v>
      </c>
      <c r="C388" s="60" t="s">
        <v>458</v>
      </c>
      <c r="D388" t="s">
        <v>587</v>
      </c>
      <c r="E388" t="s">
        <v>588</v>
      </c>
      <c r="F388" t="s">
        <v>506</v>
      </c>
      <c r="G388" t="s">
        <v>507</v>
      </c>
      <c r="H388" t="s">
        <v>508</v>
      </c>
      <c r="I388" t="s">
        <v>509</v>
      </c>
      <c r="J388" t="s">
        <v>589</v>
      </c>
      <c r="K388" s="491">
        <f t="shared" si="30"/>
        <v>18000</v>
      </c>
      <c r="L388" t="s">
        <v>3422</v>
      </c>
    </row>
    <row r="389" spans="1:12">
      <c r="A389" t="s">
        <v>514</v>
      </c>
      <c r="B389" t="s">
        <v>3360</v>
      </c>
      <c r="C389" s="60" t="s">
        <v>458</v>
      </c>
      <c r="D389" t="s">
        <v>587</v>
      </c>
      <c r="E389" t="s">
        <v>588</v>
      </c>
      <c r="F389" t="s">
        <v>506</v>
      </c>
      <c r="G389" t="s">
        <v>507</v>
      </c>
      <c r="H389" t="s">
        <v>508</v>
      </c>
      <c r="I389" t="s">
        <v>509</v>
      </c>
      <c r="J389" t="s">
        <v>589</v>
      </c>
      <c r="K389" s="491">
        <f t="shared" si="30"/>
        <v>18000</v>
      </c>
      <c r="L389" t="s">
        <v>3422</v>
      </c>
    </row>
    <row r="390" spans="1:12">
      <c r="A390" t="s">
        <v>514</v>
      </c>
      <c r="B390" t="s">
        <v>3361</v>
      </c>
      <c r="C390" s="60" t="s">
        <v>458</v>
      </c>
      <c r="D390" t="s">
        <v>587</v>
      </c>
      <c r="E390" t="s">
        <v>588</v>
      </c>
      <c r="F390" t="s">
        <v>506</v>
      </c>
      <c r="G390" t="s">
        <v>507</v>
      </c>
      <c r="H390" t="s">
        <v>508</v>
      </c>
      <c r="I390" t="s">
        <v>509</v>
      </c>
      <c r="J390" t="s">
        <v>589</v>
      </c>
      <c r="K390" s="491">
        <f t="shared" si="30"/>
        <v>18000</v>
      </c>
      <c r="L390" t="s">
        <v>3422</v>
      </c>
    </row>
    <row r="391" spans="1:12">
      <c r="A391" t="s">
        <v>514</v>
      </c>
      <c r="B391" t="s">
        <v>3362</v>
      </c>
      <c r="C391" s="60" t="s">
        <v>458</v>
      </c>
      <c r="D391" t="s">
        <v>587</v>
      </c>
      <c r="E391" t="s">
        <v>588</v>
      </c>
      <c r="F391" t="s">
        <v>506</v>
      </c>
      <c r="G391" t="s">
        <v>507</v>
      </c>
      <c r="H391" t="s">
        <v>508</v>
      </c>
      <c r="I391" t="s">
        <v>509</v>
      </c>
      <c r="J391" t="s">
        <v>589</v>
      </c>
      <c r="K391" s="491">
        <f t="shared" si="30"/>
        <v>18000</v>
      </c>
      <c r="L391" t="s">
        <v>3422</v>
      </c>
    </row>
    <row r="392" spans="1:12">
      <c r="A392" t="s">
        <v>514</v>
      </c>
      <c r="B392" t="s">
        <v>3363</v>
      </c>
      <c r="C392" s="60" t="s">
        <v>458</v>
      </c>
      <c r="D392" t="s">
        <v>587</v>
      </c>
      <c r="E392" t="s">
        <v>588</v>
      </c>
      <c r="F392" t="s">
        <v>506</v>
      </c>
      <c r="G392" t="s">
        <v>507</v>
      </c>
      <c r="H392" t="s">
        <v>508</v>
      </c>
      <c r="I392" t="s">
        <v>509</v>
      </c>
      <c r="J392" t="s">
        <v>589</v>
      </c>
      <c r="K392" s="491">
        <f t="shared" si="30"/>
        <v>18000</v>
      </c>
      <c r="L392" t="s">
        <v>3422</v>
      </c>
    </row>
    <row r="393" spans="1:12">
      <c r="A393" t="s">
        <v>514</v>
      </c>
      <c r="B393" t="s">
        <v>3364</v>
      </c>
      <c r="C393" s="60" t="s">
        <v>458</v>
      </c>
      <c r="D393" t="s">
        <v>587</v>
      </c>
      <c r="E393" t="s">
        <v>588</v>
      </c>
      <c r="F393" t="s">
        <v>506</v>
      </c>
      <c r="G393" t="s">
        <v>507</v>
      </c>
      <c r="H393" t="s">
        <v>508</v>
      </c>
      <c r="I393" t="s">
        <v>509</v>
      </c>
      <c r="J393" t="s">
        <v>589</v>
      </c>
      <c r="K393" s="491">
        <f t="shared" si="30"/>
        <v>18000</v>
      </c>
      <c r="L393" t="s">
        <v>3422</v>
      </c>
    </row>
    <row r="394" spans="1:12">
      <c r="A394" t="s">
        <v>514</v>
      </c>
      <c r="B394" t="s">
        <v>3365</v>
      </c>
      <c r="C394" s="60" t="s">
        <v>458</v>
      </c>
      <c r="D394" t="s">
        <v>587</v>
      </c>
      <c r="E394" t="s">
        <v>588</v>
      </c>
      <c r="F394" t="s">
        <v>506</v>
      </c>
      <c r="G394" t="s">
        <v>507</v>
      </c>
      <c r="H394" t="s">
        <v>508</v>
      </c>
      <c r="I394" t="s">
        <v>509</v>
      </c>
      <c r="J394" t="s">
        <v>589</v>
      </c>
      <c r="K394" s="491">
        <f t="shared" si="30"/>
        <v>18000</v>
      </c>
      <c r="L394" t="s">
        <v>3422</v>
      </c>
    </row>
    <row r="395" spans="1:12">
      <c r="A395" t="s">
        <v>514</v>
      </c>
      <c r="B395" t="s">
        <v>3366</v>
      </c>
      <c r="C395" s="60" t="s">
        <v>458</v>
      </c>
      <c r="D395" t="s">
        <v>587</v>
      </c>
      <c r="E395" t="s">
        <v>588</v>
      </c>
      <c r="F395" t="s">
        <v>506</v>
      </c>
      <c r="G395" t="s">
        <v>507</v>
      </c>
      <c r="H395" t="s">
        <v>508</v>
      </c>
      <c r="I395" t="s">
        <v>509</v>
      </c>
      <c r="J395" t="s">
        <v>589</v>
      </c>
      <c r="K395" s="491">
        <f t="shared" si="30"/>
        <v>18000</v>
      </c>
      <c r="L395" t="s">
        <v>3422</v>
      </c>
    </row>
    <row r="396" spans="1:12">
      <c r="A396" t="s">
        <v>514</v>
      </c>
      <c r="B396" t="s">
        <v>3367</v>
      </c>
      <c r="C396" s="60" t="s">
        <v>458</v>
      </c>
      <c r="D396" t="s">
        <v>587</v>
      </c>
      <c r="E396" t="s">
        <v>588</v>
      </c>
      <c r="F396" t="s">
        <v>506</v>
      </c>
      <c r="G396" t="s">
        <v>507</v>
      </c>
      <c r="H396" t="s">
        <v>508</v>
      </c>
      <c r="I396" t="s">
        <v>509</v>
      </c>
      <c r="J396" t="s">
        <v>589</v>
      </c>
      <c r="K396" s="491">
        <f t="shared" si="30"/>
        <v>18000</v>
      </c>
      <c r="L396" t="s">
        <v>3422</v>
      </c>
    </row>
    <row r="397" spans="1:12">
      <c r="A397" t="s">
        <v>514</v>
      </c>
      <c r="B397" t="s">
        <v>3356</v>
      </c>
      <c r="C397" s="3" t="s">
        <v>460</v>
      </c>
      <c r="D397" t="s">
        <v>587</v>
      </c>
      <c r="E397" t="s">
        <v>588</v>
      </c>
      <c r="F397" t="s">
        <v>506</v>
      </c>
      <c r="G397" t="s">
        <v>507</v>
      </c>
      <c r="H397" t="s">
        <v>508</v>
      </c>
      <c r="I397" t="s">
        <v>509</v>
      </c>
      <c r="J397" t="s">
        <v>589</v>
      </c>
      <c r="K397" s="491">
        <f>+VLOOKUP(C397,[1]capacité!$C:$K,9,FALSE)</f>
        <v>8000</v>
      </c>
      <c r="L397" t="s">
        <v>306</v>
      </c>
    </row>
    <row r="398" spans="1:12">
      <c r="A398" t="s">
        <v>514</v>
      </c>
      <c r="B398" t="s">
        <v>3357</v>
      </c>
      <c r="C398" s="60" t="s">
        <v>460</v>
      </c>
      <c r="D398" t="s">
        <v>587</v>
      </c>
      <c r="E398" t="s">
        <v>588</v>
      </c>
      <c r="F398" t="s">
        <v>506</v>
      </c>
      <c r="G398" t="s">
        <v>507</v>
      </c>
      <c r="H398" t="s">
        <v>508</v>
      </c>
      <c r="I398" t="s">
        <v>509</v>
      </c>
      <c r="J398" t="s">
        <v>589</v>
      </c>
      <c r="K398" s="491">
        <f>+K397</f>
        <v>8000</v>
      </c>
      <c r="L398" t="s">
        <v>306</v>
      </c>
    </row>
    <row r="399" spans="1:12">
      <c r="A399" t="s">
        <v>514</v>
      </c>
      <c r="B399" t="s">
        <v>3358</v>
      </c>
      <c r="C399" s="60" t="s">
        <v>460</v>
      </c>
      <c r="D399" t="s">
        <v>587</v>
      </c>
      <c r="E399" t="s">
        <v>588</v>
      </c>
      <c r="F399" t="s">
        <v>506</v>
      </c>
      <c r="G399" t="s">
        <v>507</v>
      </c>
      <c r="H399" t="s">
        <v>508</v>
      </c>
      <c r="I399" t="s">
        <v>509</v>
      </c>
      <c r="J399" t="s">
        <v>589</v>
      </c>
      <c r="K399" s="491">
        <f t="shared" ref="K399:K408" si="31">+K398</f>
        <v>8000</v>
      </c>
      <c r="L399" t="s">
        <v>306</v>
      </c>
    </row>
    <row r="400" spans="1:12">
      <c r="A400" t="s">
        <v>514</v>
      </c>
      <c r="B400" t="s">
        <v>3359</v>
      </c>
      <c r="C400" s="60" t="s">
        <v>460</v>
      </c>
      <c r="D400" t="s">
        <v>587</v>
      </c>
      <c r="E400" t="s">
        <v>588</v>
      </c>
      <c r="F400" t="s">
        <v>506</v>
      </c>
      <c r="G400" t="s">
        <v>507</v>
      </c>
      <c r="H400" t="s">
        <v>508</v>
      </c>
      <c r="I400" t="s">
        <v>509</v>
      </c>
      <c r="J400" t="s">
        <v>589</v>
      </c>
      <c r="K400" s="491">
        <f t="shared" si="31"/>
        <v>8000</v>
      </c>
      <c r="L400" t="s">
        <v>306</v>
      </c>
    </row>
    <row r="401" spans="1:12">
      <c r="A401" t="s">
        <v>514</v>
      </c>
      <c r="B401" t="s">
        <v>3360</v>
      </c>
      <c r="C401" s="60" t="s">
        <v>460</v>
      </c>
      <c r="D401" t="s">
        <v>587</v>
      </c>
      <c r="E401" t="s">
        <v>588</v>
      </c>
      <c r="F401" t="s">
        <v>506</v>
      </c>
      <c r="G401" t="s">
        <v>507</v>
      </c>
      <c r="H401" t="s">
        <v>508</v>
      </c>
      <c r="I401" t="s">
        <v>509</v>
      </c>
      <c r="J401" t="s">
        <v>589</v>
      </c>
      <c r="K401" s="491">
        <f t="shared" si="31"/>
        <v>8000</v>
      </c>
      <c r="L401" t="s">
        <v>306</v>
      </c>
    </row>
    <row r="402" spans="1:12">
      <c r="A402" t="s">
        <v>514</v>
      </c>
      <c r="B402" t="s">
        <v>3361</v>
      </c>
      <c r="C402" s="60" t="s">
        <v>460</v>
      </c>
      <c r="D402" t="s">
        <v>587</v>
      </c>
      <c r="E402" t="s">
        <v>588</v>
      </c>
      <c r="F402" t="s">
        <v>506</v>
      </c>
      <c r="G402" t="s">
        <v>507</v>
      </c>
      <c r="H402" t="s">
        <v>508</v>
      </c>
      <c r="I402" t="s">
        <v>509</v>
      </c>
      <c r="J402" t="s">
        <v>589</v>
      </c>
      <c r="K402" s="491">
        <f t="shared" si="31"/>
        <v>8000</v>
      </c>
      <c r="L402" t="s">
        <v>306</v>
      </c>
    </row>
    <row r="403" spans="1:12">
      <c r="A403" t="s">
        <v>514</v>
      </c>
      <c r="B403" t="s">
        <v>3362</v>
      </c>
      <c r="C403" s="60" t="s">
        <v>460</v>
      </c>
      <c r="D403" t="s">
        <v>587</v>
      </c>
      <c r="E403" t="s">
        <v>588</v>
      </c>
      <c r="F403" t="s">
        <v>506</v>
      </c>
      <c r="G403" t="s">
        <v>507</v>
      </c>
      <c r="H403" t="s">
        <v>508</v>
      </c>
      <c r="I403" t="s">
        <v>509</v>
      </c>
      <c r="J403" t="s">
        <v>589</v>
      </c>
      <c r="K403" s="491">
        <f t="shared" si="31"/>
        <v>8000</v>
      </c>
      <c r="L403" t="s">
        <v>306</v>
      </c>
    </row>
    <row r="404" spans="1:12">
      <c r="A404" t="s">
        <v>514</v>
      </c>
      <c r="B404" t="s">
        <v>3363</v>
      </c>
      <c r="C404" s="60" t="s">
        <v>460</v>
      </c>
      <c r="D404" t="s">
        <v>587</v>
      </c>
      <c r="E404" t="s">
        <v>588</v>
      </c>
      <c r="F404" t="s">
        <v>506</v>
      </c>
      <c r="G404" t="s">
        <v>507</v>
      </c>
      <c r="H404" t="s">
        <v>508</v>
      </c>
      <c r="I404" t="s">
        <v>509</v>
      </c>
      <c r="J404" t="s">
        <v>589</v>
      </c>
      <c r="K404" s="491">
        <f t="shared" si="31"/>
        <v>8000</v>
      </c>
      <c r="L404" t="s">
        <v>306</v>
      </c>
    </row>
    <row r="405" spans="1:12">
      <c r="A405" t="s">
        <v>514</v>
      </c>
      <c r="B405" t="s">
        <v>3364</v>
      </c>
      <c r="C405" s="60" t="s">
        <v>460</v>
      </c>
      <c r="D405" t="s">
        <v>587</v>
      </c>
      <c r="E405" t="s">
        <v>588</v>
      </c>
      <c r="F405" t="s">
        <v>506</v>
      </c>
      <c r="G405" t="s">
        <v>507</v>
      </c>
      <c r="H405" t="s">
        <v>508</v>
      </c>
      <c r="I405" t="s">
        <v>509</v>
      </c>
      <c r="J405" t="s">
        <v>589</v>
      </c>
      <c r="K405" s="491">
        <f t="shared" si="31"/>
        <v>8000</v>
      </c>
      <c r="L405" t="s">
        <v>306</v>
      </c>
    </row>
    <row r="406" spans="1:12">
      <c r="A406" t="s">
        <v>514</v>
      </c>
      <c r="B406" t="s">
        <v>3365</v>
      </c>
      <c r="C406" s="60" t="s">
        <v>460</v>
      </c>
      <c r="D406" t="s">
        <v>587</v>
      </c>
      <c r="E406" t="s">
        <v>588</v>
      </c>
      <c r="F406" t="s">
        <v>506</v>
      </c>
      <c r="G406" t="s">
        <v>507</v>
      </c>
      <c r="H406" t="s">
        <v>508</v>
      </c>
      <c r="I406" t="s">
        <v>509</v>
      </c>
      <c r="J406" t="s">
        <v>589</v>
      </c>
      <c r="K406" s="491">
        <f t="shared" si="31"/>
        <v>8000</v>
      </c>
      <c r="L406" t="s">
        <v>306</v>
      </c>
    </row>
    <row r="407" spans="1:12">
      <c r="A407" t="s">
        <v>514</v>
      </c>
      <c r="B407" t="s">
        <v>3366</v>
      </c>
      <c r="C407" s="60" t="s">
        <v>460</v>
      </c>
      <c r="D407" t="s">
        <v>587</v>
      </c>
      <c r="E407" t="s">
        <v>588</v>
      </c>
      <c r="F407" t="s">
        <v>506</v>
      </c>
      <c r="G407" t="s">
        <v>507</v>
      </c>
      <c r="H407" t="s">
        <v>508</v>
      </c>
      <c r="I407" t="s">
        <v>509</v>
      </c>
      <c r="J407" t="s">
        <v>589</v>
      </c>
      <c r="K407" s="491">
        <f t="shared" si="31"/>
        <v>8000</v>
      </c>
      <c r="L407" t="s">
        <v>306</v>
      </c>
    </row>
    <row r="408" spans="1:12">
      <c r="A408" t="s">
        <v>514</v>
      </c>
      <c r="B408" t="s">
        <v>3367</v>
      </c>
      <c r="C408" s="60" t="s">
        <v>460</v>
      </c>
      <c r="D408" t="s">
        <v>587</v>
      </c>
      <c r="E408" t="s">
        <v>588</v>
      </c>
      <c r="F408" t="s">
        <v>506</v>
      </c>
      <c r="G408" t="s">
        <v>507</v>
      </c>
      <c r="H408" t="s">
        <v>508</v>
      </c>
      <c r="I408" t="s">
        <v>509</v>
      </c>
      <c r="J408" t="s">
        <v>589</v>
      </c>
      <c r="K408" s="491">
        <f t="shared" si="31"/>
        <v>8000</v>
      </c>
      <c r="L408" t="s">
        <v>306</v>
      </c>
    </row>
    <row r="409" spans="1:12">
      <c r="A409" t="s">
        <v>514</v>
      </c>
      <c r="B409" t="s">
        <v>3356</v>
      </c>
      <c r="C409" s="3" t="s">
        <v>462</v>
      </c>
      <c r="D409" t="s">
        <v>587</v>
      </c>
      <c r="E409" t="s">
        <v>588</v>
      </c>
      <c r="F409" t="s">
        <v>506</v>
      </c>
      <c r="G409" t="s">
        <v>507</v>
      </c>
      <c r="H409" t="s">
        <v>508</v>
      </c>
      <c r="I409" t="s">
        <v>509</v>
      </c>
      <c r="J409" t="s">
        <v>589</v>
      </c>
      <c r="K409" s="491">
        <f>+VLOOKUP(C409,[1]capacité!$C:$K,9,FALSE)</f>
        <v>10000</v>
      </c>
      <c r="L409" t="s">
        <v>307</v>
      </c>
    </row>
    <row r="410" spans="1:12">
      <c r="A410" t="s">
        <v>514</v>
      </c>
      <c r="B410" t="s">
        <v>3357</v>
      </c>
      <c r="C410" s="60" t="s">
        <v>462</v>
      </c>
      <c r="D410" t="s">
        <v>587</v>
      </c>
      <c r="E410" t="s">
        <v>588</v>
      </c>
      <c r="F410" t="s">
        <v>506</v>
      </c>
      <c r="G410" t="s">
        <v>507</v>
      </c>
      <c r="H410" t="s">
        <v>508</v>
      </c>
      <c r="I410" t="s">
        <v>509</v>
      </c>
      <c r="J410" t="s">
        <v>589</v>
      </c>
      <c r="K410" s="491">
        <f>+K409</f>
        <v>10000</v>
      </c>
      <c r="L410" t="s">
        <v>307</v>
      </c>
    </row>
    <row r="411" spans="1:12">
      <c r="A411" t="s">
        <v>514</v>
      </c>
      <c r="B411" t="s">
        <v>3358</v>
      </c>
      <c r="C411" s="60" t="s">
        <v>462</v>
      </c>
      <c r="D411" t="s">
        <v>587</v>
      </c>
      <c r="E411" t="s">
        <v>588</v>
      </c>
      <c r="F411" t="s">
        <v>506</v>
      </c>
      <c r="G411" t="s">
        <v>507</v>
      </c>
      <c r="H411" t="s">
        <v>508</v>
      </c>
      <c r="I411" t="s">
        <v>509</v>
      </c>
      <c r="J411" t="s">
        <v>589</v>
      </c>
      <c r="K411" s="491">
        <f t="shared" ref="K411:K420" si="32">+K410</f>
        <v>10000</v>
      </c>
      <c r="L411" t="s">
        <v>307</v>
      </c>
    </row>
    <row r="412" spans="1:12">
      <c r="A412" t="s">
        <v>514</v>
      </c>
      <c r="B412" t="s">
        <v>3359</v>
      </c>
      <c r="C412" s="60" t="s">
        <v>462</v>
      </c>
      <c r="D412" t="s">
        <v>587</v>
      </c>
      <c r="E412" t="s">
        <v>588</v>
      </c>
      <c r="F412" t="s">
        <v>506</v>
      </c>
      <c r="G412" t="s">
        <v>507</v>
      </c>
      <c r="H412" t="s">
        <v>508</v>
      </c>
      <c r="I412" t="s">
        <v>509</v>
      </c>
      <c r="J412" t="s">
        <v>589</v>
      </c>
      <c r="K412" s="491">
        <f t="shared" si="32"/>
        <v>10000</v>
      </c>
      <c r="L412" t="s">
        <v>307</v>
      </c>
    </row>
    <row r="413" spans="1:12">
      <c r="A413" t="s">
        <v>514</v>
      </c>
      <c r="B413" t="s">
        <v>3360</v>
      </c>
      <c r="C413" s="60" t="s">
        <v>462</v>
      </c>
      <c r="D413" t="s">
        <v>587</v>
      </c>
      <c r="E413" t="s">
        <v>588</v>
      </c>
      <c r="F413" t="s">
        <v>506</v>
      </c>
      <c r="G413" t="s">
        <v>507</v>
      </c>
      <c r="H413" t="s">
        <v>508</v>
      </c>
      <c r="I413" t="s">
        <v>509</v>
      </c>
      <c r="J413" t="s">
        <v>589</v>
      </c>
      <c r="K413" s="491">
        <f t="shared" si="32"/>
        <v>10000</v>
      </c>
      <c r="L413" t="s">
        <v>307</v>
      </c>
    </row>
    <row r="414" spans="1:12">
      <c r="A414" t="s">
        <v>514</v>
      </c>
      <c r="B414" t="s">
        <v>3361</v>
      </c>
      <c r="C414" s="60" t="s">
        <v>462</v>
      </c>
      <c r="D414" t="s">
        <v>587</v>
      </c>
      <c r="E414" t="s">
        <v>588</v>
      </c>
      <c r="F414" t="s">
        <v>506</v>
      </c>
      <c r="G414" t="s">
        <v>507</v>
      </c>
      <c r="H414" t="s">
        <v>508</v>
      </c>
      <c r="I414" t="s">
        <v>509</v>
      </c>
      <c r="J414" t="s">
        <v>589</v>
      </c>
      <c r="K414" s="491">
        <f t="shared" si="32"/>
        <v>10000</v>
      </c>
      <c r="L414" t="s">
        <v>307</v>
      </c>
    </row>
    <row r="415" spans="1:12">
      <c r="A415" t="s">
        <v>514</v>
      </c>
      <c r="B415" t="s">
        <v>3362</v>
      </c>
      <c r="C415" s="60" t="s">
        <v>462</v>
      </c>
      <c r="D415" t="s">
        <v>587</v>
      </c>
      <c r="E415" t="s">
        <v>588</v>
      </c>
      <c r="F415" t="s">
        <v>506</v>
      </c>
      <c r="G415" t="s">
        <v>507</v>
      </c>
      <c r="H415" t="s">
        <v>508</v>
      </c>
      <c r="I415" t="s">
        <v>509</v>
      </c>
      <c r="J415" t="s">
        <v>589</v>
      </c>
      <c r="K415" s="491">
        <f t="shared" si="32"/>
        <v>10000</v>
      </c>
      <c r="L415" t="s">
        <v>307</v>
      </c>
    </row>
    <row r="416" spans="1:12">
      <c r="A416" t="s">
        <v>514</v>
      </c>
      <c r="B416" t="s">
        <v>3363</v>
      </c>
      <c r="C416" s="60" t="s">
        <v>462</v>
      </c>
      <c r="D416" t="s">
        <v>587</v>
      </c>
      <c r="E416" t="s">
        <v>588</v>
      </c>
      <c r="F416" t="s">
        <v>506</v>
      </c>
      <c r="G416" t="s">
        <v>507</v>
      </c>
      <c r="H416" t="s">
        <v>508</v>
      </c>
      <c r="I416" t="s">
        <v>509</v>
      </c>
      <c r="J416" t="s">
        <v>589</v>
      </c>
      <c r="K416" s="491">
        <f t="shared" si="32"/>
        <v>10000</v>
      </c>
      <c r="L416" t="s">
        <v>307</v>
      </c>
    </row>
    <row r="417" spans="1:12">
      <c r="A417" t="s">
        <v>514</v>
      </c>
      <c r="B417" t="s">
        <v>3364</v>
      </c>
      <c r="C417" s="60" t="s">
        <v>462</v>
      </c>
      <c r="D417" t="s">
        <v>587</v>
      </c>
      <c r="E417" t="s">
        <v>588</v>
      </c>
      <c r="F417" t="s">
        <v>506</v>
      </c>
      <c r="G417" t="s">
        <v>507</v>
      </c>
      <c r="H417" t="s">
        <v>508</v>
      </c>
      <c r="I417" t="s">
        <v>509</v>
      </c>
      <c r="J417" t="s">
        <v>589</v>
      </c>
      <c r="K417" s="491">
        <f t="shared" si="32"/>
        <v>10000</v>
      </c>
      <c r="L417" t="s">
        <v>307</v>
      </c>
    </row>
    <row r="418" spans="1:12">
      <c r="A418" t="s">
        <v>514</v>
      </c>
      <c r="B418" t="s">
        <v>3365</v>
      </c>
      <c r="C418" s="60" t="s">
        <v>462</v>
      </c>
      <c r="D418" t="s">
        <v>587</v>
      </c>
      <c r="E418" t="s">
        <v>588</v>
      </c>
      <c r="F418" t="s">
        <v>506</v>
      </c>
      <c r="G418" t="s">
        <v>507</v>
      </c>
      <c r="H418" t="s">
        <v>508</v>
      </c>
      <c r="I418" t="s">
        <v>509</v>
      </c>
      <c r="J418" t="s">
        <v>589</v>
      </c>
      <c r="K418" s="491">
        <f t="shared" si="32"/>
        <v>10000</v>
      </c>
      <c r="L418" t="s">
        <v>307</v>
      </c>
    </row>
    <row r="419" spans="1:12">
      <c r="A419" t="s">
        <v>514</v>
      </c>
      <c r="B419" t="s">
        <v>3366</v>
      </c>
      <c r="C419" s="60" t="s">
        <v>462</v>
      </c>
      <c r="D419" t="s">
        <v>587</v>
      </c>
      <c r="E419" t="s">
        <v>588</v>
      </c>
      <c r="F419" t="s">
        <v>506</v>
      </c>
      <c r="G419" t="s">
        <v>507</v>
      </c>
      <c r="H419" t="s">
        <v>508</v>
      </c>
      <c r="I419" t="s">
        <v>509</v>
      </c>
      <c r="J419" t="s">
        <v>589</v>
      </c>
      <c r="K419" s="491">
        <f t="shared" si="32"/>
        <v>10000</v>
      </c>
      <c r="L419" t="s">
        <v>307</v>
      </c>
    </row>
    <row r="420" spans="1:12">
      <c r="A420" t="s">
        <v>514</v>
      </c>
      <c r="B420" t="s">
        <v>3367</v>
      </c>
      <c r="C420" s="60" t="s">
        <v>462</v>
      </c>
      <c r="D420" t="s">
        <v>587</v>
      </c>
      <c r="E420" t="s">
        <v>588</v>
      </c>
      <c r="F420" t="s">
        <v>506</v>
      </c>
      <c r="G420" t="s">
        <v>507</v>
      </c>
      <c r="H420" t="s">
        <v>508</v>
      </c>
      <c r="I420" t="s">
        <v>509</v>
      </c>
      <c r="J420" t="s">
        <v>589</v>
      </c>
      <c r="K420" s="491">
        <f t="shared" si="32"/>
        <v>10000</v>
      </c>
      <c r="L420" t="s">
        <v>307</v>
      </c>
    </row>
    <row r="421" spans="1:12">
      <c r="A421" t="s">
        <v>514</v>
      </c>
      <c r="B421" t="s">
        <v>3356</v>
      </c>
      <c r="C421" s="3" t="s">
        <v>277</v>
      </c>
      <c r="D421" t="s">
        <v>587</v>
      </c>
      <c r="E421" t="s">
        <v>588</v>
      </c>
      <c r="F421" t="s">
        <v>506</v>
      </c>
      <c r="G421" t="s">
        <v>507</v>
      </c>
      <c r="H421" t="s">
        <v>508</v>
      </c>
      <c r="I421" t="s">
        <v>509</v>
      </c>
      <c r="J421" t="s">
        <v>589</v>
      </c>
      <c r="K421" s="491">
        <f>+VLOOKUP(C421,[1]capacité!$C:$K,9,FALSE)</f>
        <v>16000</v>
      </c>
      <c r="L421" t="s">
        <v>308</v>
      </c>
    </row>
    <row r="422" spans="1:12">
      <c r="A422" t="s">
        <v>514</v>
      </c>
      <c r="B422" t="s">
        <v>3357</v>
      </c>
      <c r="C422" s="60" t="s">
        <v>277</v>
      </c>
      <c r="D422" t="s">
        <v>587</v>
      </c>
      <c r="E422" t="s">
        <v>588</v>
      </c>
      <c r="F422" t="s">
        <v>506</v>
      </c>
      <c r="G422" t="s">
        <v>507</v>
      </c>
      <c r="H422" t="s">
        <v>508</v>
      </c>
      <c r="I422" t="s">
        <v>509</v>
      </c>
      <c r="J422" t="s">
        <v>589</v>
      </c>
      <c r="K422" s="491">
        <f>+K421</f>
        <v>16000</v>
      </c>
      <c r="L422" t="s">
        <v>308</v>
      </c>
    </row>
    <row r="423" spans="1:12">
      <c r="A423" t="s">
        <v>514</v>
      </c>
      <c r="B423" t="s">
        <v>3358</v>
      </c>
      <c r="C423" s="60" t="s">
        <v>277</v>
      </c>
      <c r="D423" t="s">
        <v>587</v>
      </c>
      <c r="E423" t="s">
        <v>588</v>
      </c>
      <c r="F423" t="s">
        <v>506</v>
      </c>
      <c r="G423" t="s">
        <v>507</v>
      </c>
      <c r="H423" t="s">
        <v>508</v>
      </c>
      <c r="I423" t="s">
        <v>509</v>
      </c>
      <c r="J423" t="s">
        <v>589</v>
      </c>
      <c r="K423" s="491">
        <f t="shared" ref="K423:K432" si="33">+K422</f>
        <v>16000</v>
      </c>
      <c r="L423" t="s">
        <v>308</v>
      </c>
    </row>
    <row r="424" spans="1:12">
      <c r="A424" t="s">
        <v>514</v>
      </c>
      <c r="B424" t="s">
        <v>3359</v>
      </c>
      <c r="C424" s="60" t="s">
        <v>277</v>
      </c>
      <c r="D424" t="s">
        <v>587</v>
      </c>
      <c r="E424" t="s">
        <v>588</v>
      </c>
      <c r="F424" t="s">
        <v>506</v>
      </c>
      <c r="G424" t="s">
        <v>507</v>
      </c>
      <c r="H424" t="s">
        <v>508</v>
      </c>
      <c r="I424" t="s">
        <v>509</v>
      </c>
      <c r="J424" t="s">
        <v>589</v>
      </c>
      <c r="K424" s="491">
        <f t="shared" si="33"/>
        <v>16000</v>
      </c>
      <c r="L424" t="s">
        <v>308</v>
      </c>
    </row>
    <row r="425" spans="1:12">
      <c r="A425" t="s">
        <v>514</v>
      </c>
      <c r="B425" t="s">
        <v>3360</v>
      </c>
      <c r="C425" s="60" t="s">
        <v>277</v>
      </c>
      <c r="D425" t="s">
        <v>587</v>
      </c>
      <c r="E425" t="s">
        <v>588</v>
      </c>
      <c r="F425" t="s">
        <v>506</v>
      </c>
      <c r="G425" t="s">
        <v>507</v>
      </c>
      <c r="H425" t="s">
        <v>508</v>
      </c>
      <c r="I425" t="s">
        <v>509</v>
      </c>
      <c r="J425" t="s">
        <v>589</v>
      </c>
      <c r="K425" s="491">
        <f t="shared" si="33"/>
        <v>16000</v>
      </c>
      <c r="L425" t="s">
        <v>308</v>
      </c>
    </row>
    <row r="426" spans="1:12">
      <c r="A426" t="s">
        <v>514</v>
      </c>
      <c r="B426" t="s">
        <v>3361</v>
      </c>
      <c r="C426" s="60" t="s">
        <v>277</v>
      </c>
      <c r="D426" t="s">
        <v>587</v>
      </c>
      <c r="E426" t="s">
        <v>588</v>
      </c>
      <c r="F426" t="s">
        <v>506</v>
      </c>
      <c r="G426" t="s">
        <v>507</v>
      </c>
      <c r="H426" t="s">
        <v>508</v>
      </c>
      <c r="I426" t="s">
        <v>509</v>
      </c>
      <c r="J426" t="s">
        <v>589</v>
      </c>
      <c r="K426" s="491">
        <f t="shared" si="33"/>
        <v>16000</v>
      </c>
      <c r="L426" t="s">
        <v>308</v>
      </c>
    </row>
    <row r="427" spans="1:12">
      <c r="A427" t="s">
        <v>514</v>
      </c>
      <c r="B427" t="s">
        <v>3362</v>
      </c>
      <c r="C427" s="60" t="s">
        <v>277</v>
      </c>
      <c r="D427" t="s">
        <v>587</v>
      </c>
      <c r="E427" t="s">
        <v>588</v>
      </c>
      <c r="F427" t="s">
        <v>506</v>
      </c>
      <c r="G427" t="s">
        <v>507</v>
      </c>
      <c r="H427" t="s">
        <v>508</v>
      </c>
      <c r="I427" t="s">
        <v>509</v>
      </c>
      <c r="J427" t="s">
        <v>589</v>
      </c>
      <c r="K427" s="491">
        <f t="shared" si="33"/>
        <v>16000</v>
      </c>
      <c r="L427" t="s">
        <v>308</v>
      </c>
    </row>
    <row r="428" spans="1:12">
      <c r="A428" t="s">
        <v>514</v>
      </c>
      <c r="B428" t="s">
        <v>3363</v>
      </c>
      <c r="C428" s="60" t="s">
        <v>277</v>
      </c>
      <c r="D428" t="s">
        <v>587</v>
      </c>
      <c r="E428" t="s">
        <v>588</v>
      </c>
      <c r="F428" t="s">
        <v>506</v>
      </c>
      <c r="G428" t="s">
        <v>507</v>
      </c>
      <c r="H428" t="s">
        <v>508</v>
      </c>
      <c r="I428" t="s">
        <v>509</v>
      </c>
      <c r="J428" t="s">
        <v>589</v>
      </c>
      <c r="K428" s="491">
        <f t="shared" si="33"/>
        <v>16000</v>
      </c>
      <c r="L428" t="s">
        <v>308</v>
      </c>
    </row>
    <row r="429" spans="1:12">
      <c r="A429" t="s">
        <v>514</v>
      </c>
      <c r="B429" t="s">
        <v>3364</v>
      </c>
      <c r="C429" s="60" t="s">
        <v>277</v>
      </c>
      <c r="D429" t="s">
        <v>587</v>
      </c>
      <c r="E429" t="s">
        <v>588</v>
      </c>
      <c r="F429" t="s">
        <v>506</v>
      </c>
      <c r="G429" t="s">
        <v>507</v>
      </c>
      <c r="H429" t="s">
        <v>508</v>
      </c>
      <c r="I429" t="s">
        <v>509</v>
      </c>
      <c r="J429" t="s">
        <v>589</v>
      </c>
      <c r="K429" s="491">
        <f t="shared" si="33"/>
        <v>16000</v>
      </c>
      <c r="L429" t="s">
        <v>308</v>
      </c>
    </row>
    <row r="430" spans="1:12">
      <c r="A430" t="s">
        <v>514</v>
      </c>
      <c r="B430" t="s">
        <v>3365</v>
      </c>
      <c r="C430" s="60" t="s">
        <v>277</v>
      </c>
      <c r="D430" t="s">
        <v>587</v>
      </c>
      <c r="E430" t="s">
        <v>588</v>
      </c>
      <c r="F430" t="s">
        <v>506</v>
      </c>
      <c r="G430" t="s">
        <v>507</v>
      </c>
      <c r="H430" t="s">
        <v>508</v>
      </c>
      <c r="I430" t="s">
        <v>509</v>
      </c>
      <c r="J430" t="s">
        <v>589</v>
      </c>
      <c r="K430" s="491">
        <f t="shared" si="33"/>
        <v>16000</v>
      </c>
      <c r="L430" t="s">
        <v>308</v>
      </c>
    </row>
    <row r="431" spans="1:12">
      <c r="A431" t="s">
        <v>514</v>
      </c>
      <c r="B431" t="s">
        <v>3366</v>
      </c>
      <c r="C431" s="60" t="s">
        <v>277</v>
      </c>
      <c r="D431" t="s">
        <v>587</v>
      </c>
      <c r="E431" t="s">
        <v>588</v>
      </c>
      <c r="F431" t="s">
        <v>506</v>
      </c>
      <c r="G431" t="s">
        <v>507</v>
      </c>
      <c r="H431" t="s">
        <v>508</v>
      </c>
      <c r="I431" t="s">
        <v>509</v>
      </c>
      <c r="J431" t="s">
        <v>589</v>
      </c>
      <c r="K431" s="491">
        <f t="shared" si="33"/>
        <v>16000</v>
      </c>
      <c r="L431" t="s">
        <v>308</v>
      </c>
    </row>
    <row r="432" spans="1:12">
      <c r="A432" t="s">
        <v>514</v>
      </c>
      <c r="B432" t="s">
        <v>3367</v>
      </c>
      <c r="C432" s="60" t="s">
        <v>277</v>
      </c>
      <c r="D432" t="s">
        <v>587</v>
      </c>
      <c r="E432" t="s">
        <v>588</v>
      </c>
      <c r="F432" t="s">
        <v>506</v>
      </c>
      <c r="G432" t="s">
        <v>507</v>
      </c>
      <c r="H432" t="s">
        <v>508</v>
      </c>
      <c r="I432" t="s">
        <v>509</v>
      </c>
      <c r="J432" t="s">
        <v>589</v>
      </c>
      <c r="K432" s="491">
        <f t="shared" si="33"/>
        <v>16000</v>
      </c>
      <c r="L432" t="s">
        <v>308</v>
      </c>
    </row>
    <row r="433" spans="1:12">
      <c r="A433" t="s">
        <v>514</v>
      </c>
      <c r="B433" t="s">
        <v>3356</v>
      </c>
      <c r="C433" s="3" t="s">
        <v>264</v>
      </c>
      <c r="D433" t="s">
        <v>587</v>
      </c>
      <c r="E433" t="s">
        <v>588</v>
      </c>
      <c r="F433" t="s">
        <v>506</v>
      </c>
      <c r="G433" t="s">
        <v>507</v>
      </c>
      <c r="H433" t="s">
        <v>508</v>
      </c>
      <c r="I433" t="s">
        <v>509</v>
      </c>
      <c r="J433" t="s">
        <v>589</v>
      </c>
      <c r="K433" s="491">
        <f>+VLOOKUP(C433,[1]capacité!$C:$K,9,FALSE)</f>
        <v>13800</v>
      </c>
      <c r="L433" t="s">
        <v>215</v>
      </c>
    </row>
    <row r="434" spans="1:12">
      <c r="A434" t="s">
        <v>514</v>
      </c>
      <c r="B434" t="s">
        <v>3357</v>
      </c>
      <c r="C434" s="60" t="s">
        <v>264</v>
      </c>
      <c r="D434" t="s">
        <v>587</v>
      </c>
      <c r="E434" t="s">
        <v>588</v>
      </c>
      <c r="F434" t="s">
        <v>506</v>
      </c>
      <c r="G434" t="s">
        <v>507</v>
      </c>
      <c r="H434" t="s">
        <v>508</v>
      </c>
      <c r="I434" t="s">
        <v>509</v>
      </c>
      <c r="J434" t="s">
        <v>589</v>
      </c>
      <c r="K434" s="491">
        <f>+K433</f>
        <v>13800</v>
      </c>
      <c r="L434" t="s">
        <v>215</v>
      </c>
    </row>
    <row r="435" spans="1:12">
      <c r="A435" t="s">
        <v>514</v>
      </c>
      <c r="B435" t="s">
        <v>3358</v>
      </c>
      <c r="C435" s="60" t="s">
        <v>264</v>
      </c>
      <c r="D435" t="s">
        <v>587</v>
      </c>
      <c r="E435" t="s">
        <v>588</v>
      </c>
      <c r="F435" t="s">
        <v>506</v>
      </c>
      <c r="G435" t="s">
        <v>507</v>
      </c>
      <c r="H435" t="s">
        <v>508</v>
      </c>
      <c r="I435" t="s">
        <v>509</v>
      </c>
      <c r="J435" t="s">
        <v>589</v>
      </c>
      <c r="K435" s="491">
        <f t="shared" ref="K435:K444" si="34">+K434</f>
        <v>13800</v>
      </c>
      <c r="L435" t="s">
        <v>215</v>
      </c>
    </row>
    <row r="436" spans="1:12">
      <c r="A436" t="s">
        <v>514</v>
      </c>
      <c r="B436" t="s">
        <v>3359</v>
      </c>
      <c r="C436" s="60" t="s">
        <v>264</v>
      </c>
      <c r="D436" t="s">
        <v>587</v>
      </c>
      <c r="E436" t="s">
        <v>588</v>
      </c>
      <c r="F436" t="s">
        <v>506</v>
      </c>
      <c r="G436" t="s">
        <v>507</v>
      </c>
      <c r="H436" t="s">
        <v>508</v>
      </c>
      <c r="I436" t="s">
        <v>509</v>
      </c>
      <c r="J436" t="s">
        <v>589</v>
      </c>
      <c r="K436" s="491">
        <f t="shared" si="34"/>
        <v>13800</v>
      </c>
      <c r="L436" t="s">
        <v>215</v>
      </c>
    </row>
    <row r="437" spans="1:12">
      <c r="A437" t="s">
        <v>514</v>
      </c>
      <c r="B437" t="s">
        <v>3360</v>
      </c>
      <c r="C437" s="60" t="s">
        <v>264</v>
      </c>
      <c r="D437" t="s">
        <v>587</v>
      </c>
      <c r="E437" t="s">
        <v>588</v>
      </c>
      <c r="F437" t="s">
        <v>506</v>
      </c>
      <c r="G437" t="s">
        <v>507</v>
      </c>
      <c r="H437" t="s">
        <v>508</v>
      </c>
      <c r="I437" t="s">
        <v>509</v>
      </c>
      <c r="J437" t="s">
        <v>589</v>
      </c>
      <c r="K437" s="491">
        <f t="shared" si="34"/>
        <v>13800</v>
      </c>
      <c r="L437" t="s">
        <v>215</v>
      </c>
    </row>
    <row r="438" spans="1:12">
      <c r="A438" t="s">
        <v>514</v>
      </c>
      <c r="B438" t="s">
        <v>3361</v>
      </c>
      <c r="C438" s="60" t="s">
        <v>264</v>
      </c>
      <c r="D438" t="s">
        <v>587</v>
      </c>
      <c r="E438" t="s">
        <v>588</v>
      </c>
      <c r="F438" t="s">
        <v>506</v>
      </c>
      <c r="G438" t="s">
        <v>507</v>
      </c>
      <c r="H438" t="s">
        <v>508</v>
      </c>
      <c r="I438" t="s">
        <v>509</v>
      </c>
      <c r="J438" t="s">
        <v>589</v>
      </c>
      <c r="K438" s="491">
        <f t="shared" si="34"/>
        <v>13800</v>
      </c>
      <c r="L438" t="s">
        <v>215</v>
      </c>
    </row>
    <row r="439" spans="1:12">
      <c r="A439" t="s">
        <v>514</v>
      </c>
      <c r="B439" t="s">
        <v>3362</v>
      </c>
      <c r="C439" s="60" t="s">
        <v>264</v>
      </c>
      <c r="D439" t="s">
        <v>587</v>
      </c>
      <c r="E439" t="s">
        <v>588</v>
      </c>
      <c r="F439" t="s">
        <v>506</v>
      </c>
      <c r="G439" t="s">
        <v>507</v>
      </c>
      <c r="H439" t="s">
        <v>508</v>
      </c>
      <c r="I439" t="s">
        <v>509</v>
      </c>
      <c r="J439" t="s">
        <v>589</v>
      </c>
      <c r="K439" s="491">
        <f t="shared" si="34"/>
        <v>13800</v>
      </c>
      <c r="L439" t="s">
        <v>215</v>
      </c>
    </row>
    <row r="440" spans="1:12">
      <c r="A440" t="s">
        <v>514</v>
      </c>
      <c r="B440" t="s">
        <v>3363</v>
      </c>
      <c r="C440" s="60" t="s">
        <v>264</v>
      </c>
      <c r="D440" t="s">
        <v>587</v>
      </c>
      <c r="E440" t="s">
        <v>588</v>
      </c>
      <c r="F440" t="s">
        <v>506</v>
      </c>
      <c r="G440" t="s">
        <v>507</v>
      </c>
      <c r="H440" t="s">
        <v>508</v>
      </c>
      <c r="I440" t="s">
        <v>509</v>
      </c>
      <c r="J440" t="s">
        <v>589</v>
      </c>
      <c r="K440" s="491">
        <f t="shared" si="34"/>
        <v>13800</v>
      </c>
      <c r="L440" t="s">
        <v>215</v>
      </c>
    </row>
    <row r="441" spans="1:12">
      <c r="A441" t="s">
        <v>514</v>
      </c>
      <c r="B441" t="s">
        <v>3364</v>
      </c>
      <c r="C441" s="60" t="s">
        <v>264</v>
      </c>
      <c r="D441" t="s">
        <v>587</v>
      </c>
      <c r="E441" t="s">
        <v>588</v>
      </c>
      <c r="F441" t="s">
        <v>506</v>
      </c>
      <c r="G441" t="s">
        <v>507</v>
      </c>
      <c r="H441" t="s">
        <v>508</v>
      </c>
      <c r="I441" t="s">
        <v>509</v>
      </c>
      <c r="J441" t="s">
        <v>589</v>
      </c>
      <c r="K441" s="491">
        <f t="shared" si="34"/>
        <v>13800</v>
      </c>
      <c r="L441" t="s">
        <v>215</v>
      </c>
    </row>
    <row r="442" spans="1:12">
      <c r="A442" t="s">
        <v>514</v>
      </c>
      <c r="B442" t="s">
        <v>3365</v>
      </c>
      <c r="C442" s="60" t="s">
        <v>264</v>
      </c>
      <c r="D442" t="s">
        <v>587</v>
      </c>
      <c r="E442" t="s">
        <v>588</v>
      </c>
      <c r="F442" t="s">
        <v>506</v>
      </c>
      <c r="G442" t="s">
        <v>507</v>
      </c>
      <c r="H442" t="s">
        <v>508</v>
      </c>
      <c r="I442" t="s">
        <v>509</v>
      </c>
      <c r="J442" t="s">
        <v>589</v>
      </c>
      <c r="K442" s="491">
        <f t="shared" si="34"/>
        <v>13800</v>
      </c>
      <c r="L442" t="s">
        <v>215</v>
      </c>
    </row>
    <row r="443" spans="1:12">
      <c r="A443" t="s">
        <v>514</v>
      </c>
      <c r="B443" t="s">
        <v>3366</v>
      </c>
      <c r="C443" s="60" t="s">
        <v>264</v>
      </c>
      <c r="D443" t="s">
        <v>587</v>
      </c>
      <c r="E443" t="s">
        <v>588</v>
      </c>
      <c r="F443" t="s">
        <v>506</v>
      </c>
      <c r="G443" t="s">
        <v>507</v>
      </c>
      <c r="H443" t="s">
        <v>508</v>
      </c>
      <c r="I443" t="s">
        <v>509</v>
      </c>
      <c r="J443" t="s">
        <v>589</v>
      </c>
      <c r="K443" s="491">
        <f t="shared" si="34"/>
        <v>13800</v>
      </c>
      <c r="L443" t="s">
        <v>215</v>
      </c>
    </row>
    <row r="444" spans="1:12">
      <c r="A444" t="s">
        <v>514</v>
      </c>
      <c r="B444" t="s">
        <v>3367</v>
      </c>
      <c r="C444" s="60" t="s">
        <v>264</v>
      </c>
      <c r="D444" t="s">
        <v>587</v>
      </c>
      <c r="E444" t="s">
        <v>588</v>
      </c>
      <c r="F444" t="s">
        <v>506</v>
      </c>
      <c r="G444" t="s">
        <v>507</v>
      </c>
      <c r="H444" t="s">
        <v>508</v>
      </c>
      <c r="I444" t="s">
        <v>509</v>
      </c>
      <c r="J444" t="s">
        <v>589</v>
      </c>
      <c r="K444" s="491">
        <f t="shared" si="34"/>
        <v>13800</v>
      </c>
      <c r="L444" t="s">
        <v>215</v>
      </c>
    </row>
    <row r="445" spans="1:12">
      <c r="A445" t="s">
        <v>514</v>
      </c>
      <c r="B445" t="s">
        <v>3356</v>
      </c>
      <c r="C445" s="3" t="s">
        <v>468</v>
      </c>
      <c r="D445" t="s">
        <v>587</v>
      </c>
      <c r="E445" t="s">
        <v>588</v>
      </c>
      <c r="F445" t="s">
        <v>506</v>
      </c>
      <c r="G445" t="s">
        <v>507</v>
      </c>
      <c r="H445" t="s">
        <v>508</v>
      </c>
      <c r="I445" t="s">
        <v>509</v>
      </c>
      <c r="J445" t="s">
        <v>589</v>
      </c>
      <c r="K445" s="491">
        <v>19800</v>
      </c>
      <c r="L445" t="s">
        <v>565</v>
      </c>
    </row>
    <row r="446" spans="1:12">
      <c r="A446" t="s">
        <v>514</v>
      </c>
      <c r="B446" t="s">
        <v>3357</v>
      </c>
      <c r="C446" s="60" t="s">
        <v>468</v>
      </c>
      <c r="D446" t="s">
        <v>587</v>
      </c>
      <c r="E446" t="s">
        <v>588</v>
      </c>
      <c r="F446" t="s">
        <v>506</v>
      </c>
      <c r="G446" t="s">
        <v>507</v>
      </c>
      <c r="H446" t="s">
        <v>508</v>
      </c>
      <c r="I446" t="s">
        <v>509</v>
      </c>
      <c r="J446" t="s">
        <v>589</v>
      </c>
      <c r="K446" s="491">
        <f>+K445</f>
        <v>19800</v>
      </c>
      <c r="L446" t="s">
        <v>565</v>
      </c>
    </row>
    <row r="447" spans="1:12">
      <c r="A447" t="s">
        <v>514</v>
      </c>
      <c r="B447" t="s">
        <v>3358</v>
      </c>
      <c r="C447" s="60" t="s">
        <v>468</v>
      </c>
      <c r="D447" t="s">
        <v>587</v>
      </c>
      <c r="E447" t="s">
        <v>588</v>
      </c>
      <c r="F447" t="s">
        <v>506</v>
      </c>
      <c r="G447" t="s">
        <v>507</v>
      </c>
      <c r="H447" t="s">
        <v>508</v>
      </c>
      <c r="I447" t="s">
        <v>509</v>
      </c>
      <c r="J447" t="s">
        <v>589</v>
      </c>
      <c r="K447" s="491">
        <f t="shared" ref="K447:K456" si="35">+K446</f>
        <v>19800</v>
      </c>
      <c r="L447" t="s">
        <v>565</v>
      </c>
    </row>
    <row r="448" spans="1:12">
      <c r="A448" t="s">
        <v>514</v>
      </c>
      <c r="B448" t="s">
        <v>3359</v>
      </c>
      <c r="C448" s="60" t="s">
        <v>468</v>
      </c>
      <c r="D448" t="s">
        <v>587</v>
      </c>
      <c r="E448" t="s">
        <v>588</v>
      </c>
      <c r="F448" t="s">
        <v>506</v>
      </c>
      <c r="G448" t="s">
        <v>507</v>
      </c>
      <c r="H448" t="s">
        <v>508</v>
      </c>
      <c r="I448" t="s">
        <v>509</v>
      </c>
      <c r="J448" t="s">
        <v>589</v>
      </c>
      <c r="K448" s="491">
        <f t="shared" si="35"/>
        <v>19800</v>
      </c>
      <c r="L448" t="s">
        <v>565</v>
      </c>
    </row>
    <row r="449" spans="1:12">
      <c r="A449" t="s">
        <v>514</v>
      </c>
      <c r="B449" t="s">
        <v>3360</v>
      </c>
      <c r="C449" s="60" t="s">
        <v>468</v>
      </c>
      <c r="D449" t="s">
        <v>587</v>
      </c>
      <c r="E449" t="s">
        <v>588</v>
      </c>
      <c r="F449" t="s">
        <v>506</v>
      </c>
      <c r="G449" t="s">
        <v>507</v>
      </c>
      <c r="H449" t="s">
        <v>508</v>
      </c>
      <c r="I449" t="s">
        <v>509</v>
      </c>
      <c r="J449" t="s">
        <v>589</v>
      </c>
      <c r="K449" s="491">
        <f t="shared" si="35"/>
        <v>19800</v>
      </c>
      <c r="L449" t="s">
        <v>565</v>
      </c>
    </row>
    <row r="450" spans="1:12">
      <c r="A450" t="s">
        <v>514</v>
      </c>
      <c r="B450" t="s">
        <v>3361</v>
      </c>
      <c r="C450" s="60" t="s">
        <v>468</v>
      </c>
      <c r="D450" t="s">
        <v>587</v>
      </c>
      <c r="E450" t="s">
        <v>588</v>
      </c>
      <c r="F450" t="s">
        <v>506</v>
      </c>
      <c r="G450" t="s">
        <v>507</v>
      </c>
      <c r="H450" t="s">
        <v>508</v>
      </c>
      <c r="I450" t="s">
        <v>509</v>
      </c>
      <c r="J450" t="s">
        <v>589</v>
      </c>
      <c r="K450" s="491">
        <f t="shared" si="35"/>
        <v>19800</v>
      </c>
      <c r="L450" t="s">
        <v>565</v>
      </c>
    </row>
    <row r="451" spans="1:12">
      <c r="A451" t="s">
        <v>514</v>
      </c>
      <c r="B451" t="s">
        <v>3362</v>
      </c>
      <c r="C451" s="60" t="s">
        <v>468</v>
      </c>
      <c r="D451" t="s">
        <v>587</v>
      </c>
      <c r="E451" t="s">
        <v>588</v>
      </c>
      <c r="F451" t="s">
        <v>506</v>
      </c>
      <c r="G451" t="s">
        <v>507</v>
      </c>
      <c r="H451" t="s">
        <v>508</v>
      </c>
      <c r="I451" t="s">
        <v>509</v>
      </c>
      <c r="J451" t="s">
        <v>589</v>
      </c>
      <c r="K451" s="491">
        <f t="shared" si="35"/>
        <v>19800</v>
      </c>
      <c r="L451" t="s">
        <v>565</v>
      </c>
    </row>
    <row r="452" spans="1:12">
      <c r="A452" t="s">
        <v>514</v>
      </c>
      <c r="B452" t="s">
        <v>3363</v>
      </c>
      <c r="C452" s="60" t="s">
        <v>468</v>
      </c>
      <c r="D452" t="s">
        <v>587</v>
      </c>
      <c r="E452" t="s">
        <v>588</v>
      </c>
      <c r="F452" t="s">
        <v>506</v>
      </c>
      <c r="G452" t="s">
        <v>507</v>
      </c>
      <c r="H452" t="s">
        <v>508</v>
      </c>
      <c r="I452" t="s">
        <v>509</v>
      </c>
      <c r="J452" t="s">
        <v>589</v>
      </c>
      <c r="K452" s="491">
        <f t="shared" si="35"/>
        <v>19800</v>
      </c>
      <c r="L452" t="s">
        <v>565</v>
      </c>
    </row>
    <row r="453" spans="1:12">
      <c r="A453" t="s">
        <v>514</v>
      </c>
      <c r="B453" t="s">
        <v>3364</v>
      </c>
      <c r="C453" s="60" t="s">
        <v>468</v>
      </c>
      <c r="D453" t="s">
        <v>587</v>
      </c>
      <c r="E453" t="s">
        <v>588</v>
      </c>
      <c r="F453" t="s">
        <v>506</v>
      </c>
      <c r="G453" t="s">
        <v>507</v>
      </c>
      <c r="H453" t="s">
        <v>508</v>
      </c>
      <c r="I453" t="s">
        <v>509</v>
      </c>
      <c r="J453" t="s">
        <v>589</v>
      </c>
      <c r="K453" s="491">
        <f t="shared" si="35"/>
        <v>19800</v>
      </c>
      <c r="L453" t="s">
        <v>565</v>
      </c>
    </row>
    <row r="454" spans="1:12">
      <c r="A454" t="s">
        <v>514</v>
      </c>
      <c r="B454" t="s">
        <v>3365</v>
      </c>
      <c r="C454" s="60" t="s">
        <v>468</v>
      </c>
      <c r="D454" t="s">
        <v>587</v>
      </c>
      <c r="E454" t="s">
        <v>588</v>
      </c>
      <c r="F454" t="s">
        <v>506</v>
      </c>
      <c r="G454" t="s">
        <v>507</v>
      </c>
      <c r="H454" t="s">
        <v>508</v>
      </c>
      <c r="I454" t="s">
        <v>509</v>
      </c>
      <c r="J454" t="s">
        <v>589</v>
      </c>
      <c r="K454" s="491">
        <f t="shared" si="35"/>
        <v>19800</v>
      </c>
      <c r="L454" t="s">
        <v>565</v>
      </c>
    </row>
    <row r="455" spans="1:12">
      <c r="A455" t="s">
        <v>514</v>
      </c>
      <c r="B455" t="s">
        <v>3366</v>
      </c>
      <c r="C455" s="60" t="s">
        <v>468</v>
      </c>
      <c r="D455" t="s">
        <v>587</v>
      </c>
      <c r="E455" t="s">
        <v>588</v>
      </c>
      <c r="F455" t="s">
        <v>506</v>
      </c>
      <c r="G455" t="s">
        <v>507</v>
      </c>
      <c r="H455" t="s">
        <v>508</v>
      </c>
      <c r="I455" t="s">
        <v>509</v>
      </c>
      <c r="J455" t="s">
        <v>589</v>
      </c>
      <c r="K455" s="491">
        <f t="shared" si="35"/>
        <v>19800</v>
      </c>
      <c r="L455" t="s">
        <v>565</v>
      </c>
    </row>
    <row r="456" spans="1:12">
      <c r="A456" t="s">
        <v>514</v>
      </c>
      <c r="B456" t="s">
        <v>3367</v>
      </c>
      <c r="C456" s="60" t="s">
        <v>468</v>
      </c>
      <c r="D456" t="s">
        <v>587</v>
      </c>
      <c r="E456" t="s">
        <v>588</v>
      </c>
      <c r="F456" t="s">
        <v>506</v>
      </c>
      <c r="G456" t="s">
        <v>507</v>
      </c>
      <c r="H456" t="s">
        <v>508</v>
      </c>
      <c r="I456" t="s">
        <v>509</v>
      </c>
      <c r="J456" t="s">
        <v>589</v>
      </c>
      <c r="K456" s="491">
        <f t="shared" si="35"/>
        <v>19800</v>
      </c>
      <c r="L456" t="s">
        <v>565</v>
      </c>
    </row>
    <row r="457" spans="1:12">
      <c r="A457" t="s">
        <v>514</v>
      </c>
      <c r="B457" t="s">
        <v>3356</v>
      </c>
      <c r="C457" s="3" t="s">
        <v>471</v>
      </c>
      <c r="D457" t="s">
        <v>587</v>
      </c>
      <c r="E457" t="s">
        <v>588</v>
      </c>
      <c r="F457" t="s">
        <v>506</v>
      </c>
      <c r="G457" t="s">
        <v>507</v>
      </c>
      <c r="H457" t="s">
        <v>508</v>
      </c>
      <c r="I457" t="s">
        <v>509</v>
      </c>
      <c r="J457" t="s">
        <v>589</v>
      </c>
      <c r="K457" s="491">
        <v>33000</v>
      </c>
      <c r="L457" t="s">
        <v>564</v>
      </c>
    </row>
    <row r="458" spans="1:12">
      <c r="A458" t="s">
        <v>514</v>
      </c>
      <c r="B458" t="s">
        <v>3357</v>
      </c>
      <c r="C458" s="60" t="s">
        <v>471</v>
      </c>
      <c r="D458" t="s">
        <v>587</v>
      </c>
      <c r="E458" t="s">
        <v>588</v>
      </c>
      <c r="F458" t="s">
        <v>506</v>
      </c>
      <c r="G458" t="s">
        <v>507</v>
      </c>
      <c r="H458" t="s">
        <v>508</v>
      </c>
      <c r="I458" t="s">
        <v>509</v>
      </c>
      <c r="J458" t="s">
        <v>589</v>
      </c>
      <c r="K458" s="491">
        <f>+K457</f>
        <v>33000</v>
      </c>
      <c r="L458" t="s">
        <v>564</v>
      </c>
    </row>
    <row r="459" spans="1:12">
      <c r="A459" t="s">
        <v>514</v>
      </c>
      <c r="B459" t="s">
        <v>3358</v>
      </c>
      <c r="C459" s="60" t="s">
        <v>471</v>
      </c>
      <c r="D459" t="s">
        <v>587</v>
      </c>
      <c r="E459" t="s">
        <v>588</v>
      </c>
      <c r="F459" t="s">
        <v>506</v>
      </c>
      <c r="G459" t="s">
        <v>507</v>
      </c>
      <c r="H459" t="s">
        <v>508</v>
      </c>
      <c r="I459" t="s">
        <v>509</v>
      </c>
      <c r="J459" t="s">
        <v>589</v>
      </c>
      <c r="K459" s="491">
        <f t="shared" ref="K459:K468" si="36">+K458</f>
        <v>33000</v>
      </c>
      <c r="L459" t="s">
        <v>564</v>
      </c>
    </row>
    <row r="460" spans="1:12">
      <c r="A460" t="s">
        <v>514</v>
      </c>
      <c r="B460" t="s">
        <v>3359</v>
      </c>
      <c r="C460" s="60" t="s">
        <v>471</v>
      </c>
      <c r="D460" t="s">
        <v>587</v>
      </c>
      <c r="E460" t="s">
        <v>588</v>
      </c>
      <c r="F460" t="s">
        <v>506</v>
      </c>
      <c r="G460" t="s">
        <v>507</v>
      </c>
      <c r="H460" t="s">
        <v>508</v>
      </c>
      <c r="I460" t="s">
        <v>509</v>
      </c>
      <c r="J460" t="s">
        <v>589</v>
      </c>
      <c r="K460" s="491">
        <f t="shared" si="36"/>
        <v>33000</v>
      </c>
      <c r="L460" t="s">
        <v>564</v>
      </c>
    </row>
    <row r="461" spans="1:12">
      <c r="A461" t="s">
        <v>514</v>
      </c>
      <c r="B461" t="s">
        <v>3360</v>
      </c>
      <c r="C461" s="60" t="s">
        <v>471</v>
      </c>
      <c r="D461" t="s">
        <v>587</v>
      </c>
      <c r="E461" t="s">
        <v>588</v>
      </c>
      <c r="F461" t="s">
        <v>506</v>
      </c>
      <c r="G461" t="s">
        <v>507</v>
      </c>
      <c r="H461" t="s">
        <v>508</v>
      </c>
      <c r="I461" t="s">
        <v>509</v>
      </c>
      <c r="J461" t="s">
        <v>589</v>
      </c>
      <c r="K461" s="491">
        <f t="shared" si="36"/>
        <v>33000</v>
      </c>
      <c r="L461" t="s">
        <v>564</v>
      </c>
    </row>
    <row r="462" spans="1:12">
      <c r="A462" t="s">
        <v>514</v>
      </c>
      <c r="B462" t="s">
        <v>3361</v>
      </c>
      <c r="C462" s="60" t="s">
        <v>471</v>
      </c>
      <c r="D462" t="s">
        <v>587</v>
      </c>
      <c r="E462" t="s">
        <v>588</v>
      </c>
      <c r="F462" t="s">
        <v>506</v>
      </c>
      <c r="G462" t="s">
        <v>507</v>
      </c>
      <c r="H462" t="s">
        <v>508</v>
      </c>
      <c r="I462" t="s">
        <v>509</v>
      </c>
      <c r="J462" t="s">
        <v>589</v>
      </c>
      <c r="K462" s="491">
        <f t="shared" si="36"/>
        <v>33000</v>
      </c>
      <c r="L462" t="s">
        <v>564</v>
      </c>
    </row>
    <row r="463" spans="1:12">
      <c r="A463" t="s">
        <v>514</v>
      </c>
      <c r="B463" t="s">
        <v>3362</v>
      </c>
      <c r="C463" s="60" t="s">
        <v>471</v>
      </c>
      <c r="D463" t="s">
        <v>587</v>
      </c>
      <c r="E463" t="s">
        <v>588</v>
      </c>
      <c r="F463" t="s">
        <v>506</v>
      </c>
      <c r="G463" t="s">
        <v>507</v>
      </c>
      <c r="H463" t="s">
        <v>508</v>
      </c>
      <c r="I463" t="s">
        <v>509</v>
      </c>
      <c r="J463" t="s">
        <v>589</v>
      </c>
      <c r="K463" s="491">
        <f t="shared" si="36"/>
        <v>33000</v>
      </c>
      <c r="L463" t="s">
        <v>564</v>
      </c>
    </row>
    <row r="464" spans="1:12">
      <c r="A464" t="s">
        <v>514</v>
      </c>
      <c r="B464" t="s">
        <v>3363</v>
      </c>
      <c r="C464" s="60" t="s">
        <v>471</v>
      </c>
      <c r="D464" t="s">
        <v>587</v>
      </c>
      <c r="E464" t="s">
        <v>588</v>
      </c>
      <c r="F464" t="s">
        <v>506</v>
      </c>
      <c r="G464" t="s">
        <v>507</v>
      </c>
      <c r="H464" t="s">
        <v>508</v>
      </c>
      <c r="I464" t="s">
        <v>509</v>
      </c>
      <c r="J464" t="s">
        <v>589</v>
      </c>
      <c r="K464" s="491">
        <f t="shared" si="36"/>
        <v>33000</v>
      </c>
      <c r="L464" t="s">
        <v>564</v>
      </c>
    </row>
    <row r="465" spans="1:12">
      <c r="A465" t="s">
        <v>514</v>
      </c>
      <c r="B465" t="s">
        <v>3364</v>
      </c>
      <c r="C465" s="60" t="s">
        <v>471</v>
      </c>
      <c r="D465" t="s">
        <v>587</v>
      </c>
      <c r="E465" t="s">
        <v>588</v>
      </c>
      <c r="F465" t="s">
        <v>506</v>
      </c>
      <c r="G465" t="s">
        <v>507</v>
      </c>
      <c r="H465" t="s">
        <v>508</v>
      </c>
      <c r="I465" t="s">
        <v>509</v>
      </c>
      <c r="J465" t="s">
        <v>589</v>
      </c>
      <c r="K465" s="491">
        <f t="shared" si="36"/>
        <v>33000</v>
      </c>
      <c r="L465" t="s">
        <v>564</v>
      </c>
    </row>
    <row r="466" spans="1:12">
      <c r="A466" t="s">
        <v>514</v>
      </c>
      <c r="B466" t="s">
        <v>3365</v>
      </c>
      <c r="C466" s="60" t="s">
        <v>471</v>
      </c>
      <c r="D466" t="s">
        <v>587</v>
      </c>
      <c r="E466" t="s">
        <v>588</v>
      </c>
      <c r="F466" t="s">
        <v>506</v>
      </c>
      <c r="G466" t="s">
        <v>507</v>
      </c>
      <c r="H466" t="s">
        <v>508</v>
      </c>
      <c r="I466" t="s">
        <v>509</v>
      </c>
      <c r="J466" t="s">
        <v>589</v>
      </c>
      <c r="K466" s="491">
        <f t="shared" si="36"/>
        <v>33000</v>
      </c>
      <c r="L466" t="s">
        <v>564</v>
      </c>
    </row>
    <row r="467" spans="1:12">
      <c r="A467" t="s">
        <v>514</v>
      </c>
      <c r="B467" t="s">
        <v>3366</v>
      </c>
      <c r="C467" s="60" t="s">
        <v>471</v>
      </c>
      <c r="D467" t="s">
        <v>587</v>
      </c>
      <c r="E467" t="s">
        <v>588</v>
      </c>
      <c r="F467" t="s">
        <v>506</v>
      </c>
      <c r="G467" t="s">
        <v>507</v>
      </c>
      <c r="H467" t="s">
        <v>508</v>
      </c>
      <c r="I467" t="s">
        <v>509</v>
      </c>
      <c r="J467" t="s">
        <v>589</v>
      </c>
      <c r="K467" s="491">
        <f t="shared" si="36"/>
        <v>33000</v>
      </c>
      <c r="L467" t="s">
        <v>564</v>
      </c>
    </row>
    <row r="468" spans="1:12">
      <c r="A468" t="s">
        <v>514</v>
      </c>
      <c r="B468" t="s">
        <v>3367</v>
      </c>
      <c r="C468" s="60" t="s">
        <v>471</v>
      </c>
      <c r="D468" t="s">
        <v>587</v>
      </c>
      <c r="E468" t="s">
        <v>588</v>
      </c>
      <c r="F468" t="s">
        <v>506</v>
      </c>
      <c r="G468" t="s">
        <v>507</v>
      </c>
      <c r="H468" t="s">
        <v>508</v>
      </c>
      <c r="I468" t="s">
        <v>509</v>
      </c>
      <c r="J468" t="s">
        <v>589</v>
      </c>
      <c r="K468" s="491">
        <f t="shared" si="36"/>
        <v>33000</v>
      </c>
      <c r="L468" t="s">
        <v>564</v>
      </c>
    </row>
    <row r="469" spans="1:12">
      <c r="A469" t="s">
        <v>514</v>
      </c>
      <c r="B469" t="s">
        <v>3356</v>
      </c>
      <c r="C469" s="3" t="s">
        <v>474</v>
      </c>
      <c r="D469" t="s">
        <v>587</v>
      </c>
      <c r="E469" t="s">
        <v>588</v>
      </c>
      <c r="F469" t="s">
        <v>506</v>
      </c>
      <c r="G469" t="s">
        <v>507</v>
      </c>
      <c r="H469" t="s">
        <v>508</v>
      </c>
      <c r="I469" t="s">
        <v>509</v>
      </c>
      <c r="J469" t="s">
        <v>589</v>
      </c>
      <c r="K469" s="491">
        <v>10000</v>
      </c>
      <c r="L469" t="s">
        <v>566</v>
      </c>
    </row>
    <row r="470" spans="1:12">
      <c r="A470" t="s">
        <v>514</v>
      </c>
      <c r="B470" t="s">
        <v>3357</v>
      </c>
      <c r="C470" s="60" t="s">
        <v>474</v>
      </c>
      <c r="D470" t="s">
        <v>587</v>
      </c>
      <c r="E470" t="s">
        <v>588</v>
      </c>
      <c r="F470" t="s">
        <v>506</v>
      </c>
      <c r="G470" t="s">
        <v>507</v>
      </c>
      <c r="H470" t="s">
        <v>508</v>
      </c>
      <c r="I470" t="s">
        <v>509</v>
      </c>
      <c r="J470" t="s">
        <v>589</v>
      </c>
      <c r="K470" s="491">
        <f>+K469</f>
        <v>10000</v>
      </c>
      <c r="L470" t="s">
        <v>566</v>
      </c>
    </row>
    <row r="471" spans="1:12">
      <c r="A471" t="s">
        <v>514</v>
      </c>
      <c r="B471" t="s">
        <v>3358</v>
      </c>
      <c r="C471" s="60" t="s">
        <v>474</v>
      </c>
      <c r="D471" t="s">
        <v>587</v>
      </c>
      <c r="E471" t="s">
        <v>588</v>
      </c>
      <c r="F471" t="s">
        <v>506</v>
      </c>
      <c r="G471" t="s">
        <v>507</v>
      </c>
      <c r="H471" t="s">
        <v>508</v>
      </c>
      <c r="I471" t="s">
        <v>509</v>
      </c>
      <c r="J471" t="s">
        <v>589</v>
      </c>
      <c r="K471" s="491">
        <f t="shared" ref="K471:K480" si="37">+K470</f>
        <v>10000</v>
      </c>
      <c r="L471" t="s">
        <v>566</v>
      </c>
    </row>
    <row r="472" spans="1:12">
      <c r="A472" t="s">
        <v>514</v>
      </c>
      <c r="B472" t="s">
        <v>3359</v>
      </c>
      <c r="C472" s="60" t="s">
        <v>474</v>
      </c>
      <c r="D472" t="s">
        <v>587</v>
      </c>
      <c r="E472" t="s">
        <v>588</v>
      </c>
      <c r="F472" t="s">
        <v>506</v>
      </c>
      <c r="G472" t="s">
        <v>507</v>
      </c>
      <c r="H472" t="s">
        <v>508</v>
      </c>
      <c r="I472" t="s">
        <v>509</v>
      </c>
      <c r="J472" t="s">
        <v>589</v>
      </c>
      <c r="K472" s="491">
        <f t="shared" si="37"/>
        <v>10000</v>
      </c>
      <c r="L472" t="s">
        <v>566</v>
      </c>
    </row>
    <row r="473" spans="1:12">
      <c r="A473" t="s">
        <v>514</v>
      </c>
      <c r="B473" t="s">
        <v>3360</v>
      </c>
      <c r="C473" s="60" t="s">
        <v>474</v>
      </c>
      <c r="D473" t="s">
        <v>587</v>
      </c>
      <c r="E473" t="s">
        <v>588</v>
      </c>
      <c r="F473" t="s">
        <v>506</v>
      </c>
      <c r="G473" t="s">
        <v>507</v>
      </c>
      <c r="H473" t="s">
        <v>508</v>
      </c>
      <c r="I473" t="s">
        <v>509</v>
      </c>
      <c r="J473" t="s">
        <v>589</v>
      </c>
      <c r="K473" s="491">
        <f t="shared" si="37"/>
        <v>10000</v>
      </c>
      <c r="L473" t="s">
        <v>566</v>
      </c>
    </row>
    <row r="474" spans="1:12">
      <c r="A474" t="s">
        <v>514</v>
      </c>
      <c r="B474" t="s">
        <v>3361</v>
      </c>
      <c r="C474" s="60" t="s">
        <v>474</v>
      </c>
      <c r="D474" t="s">
        <v>587</v>
      </c>
      <c r="E474" t="s">
        <v>588</v>
      </c>
      <c r="F474" t="s">
        <v>506</v>
      </c>
      <c r="G474" t="s">
        <v>507</v>
      </c>
      <c r="H474" t="s">
        <v>508</v>
      </c>
      <c r="I474" t="s">
        <v>509</v>
      </c>
      <c r="J474" t="s">
        <v>589</v>
      </c>
      <c r="K474" s="491">
        <f t="shared" si="37"/>
        <v>10000</v>
      </c>
      <c r="L474" t="s">
        <v>566</v>
      </c>
    </row>
    <row r="475" spans="1:12">
      <c r="A475" t="s">
        <v>514</v>
      </c>
      <c r="B475" t="s">
        <v>3362</v>
      </c>
      <c r="C475" s="60" t="s">
        <v>474</v>
      </c>
      <c r="D475" t="s">
        <v>587</v>
      </c>
      <c r="E475" t="s">
        <v>588</v>
      </c>
      <c r="F475" t="s">
        <v>506</v>
      </c>
      <c r="G475" t="s">
        <v>507</v>
      </c>
      <c r="H475" t="s">
        <v>508</v>
      </c>
      <c r="I475" t="s">
        <v>509</v>
      </c>
      <c r="J475" t="s">
        <v>589</v>
      </c>
      <c r="K475" s="491">
        <f t="shared" si="37"/>
        <v>10000</v>
      </c>
      <c r="L475" t="s">
        <v>566</v>
      </c>
    </row>
    <row r="476" spans="1:12">
      <c r="A476" t="s">
        <v>514</v>
      </c>
      <c r="B476" t="s">
        <v>3363</v>
      </c>
      <c r="C476" s="60" t="s">
        <v>474</v>
      </c>
      <c r="D476" t="s">
        <v>587</v>
      </c>
      <c r="E476" t="s">
        <v>588</v>
      </c>
      <c r="F476" t="s">
        <v>506</v>
      </c>
      <c r="G476" t="s">
        <v>507</v>
      </c>
      <c r="H476" t="s">
        <v>508</v>
      </c>
      <c r="I476" t="s">
        <v>509</v>
      </c>
      <c r="J476" t="s">
        <v>589</v>
      </c>
      <c r="K476" s="491">
        <f t="shared" si="37"/>
        <v>10000</v>
      </c>
      <c r="L476" t="s">
        <v>566</v>
      </c>
    </row>
    <row r="477" spans="1:12">
      <c r="A477" t="s">
        <v>514</v>
      </c>
      <c r="B477" t="s">
        <v>3364</v>
      </c>
      <c r="C477" s="60" t="s">
        <v>474</v>
      </c>
      <c r="D477" t="s">
        <v>587</v>
      </c>
      <c r="E477" t="s">
        <v>588</v>
      </c>
      <c r="F477" t="s">
        <v>506</v>
      </c>
      <c r="G477" t="s">
        <v>507</v>
      </c>
      <c r="H477" t="s">
        <v>508</v>
      </c>
      <c r="I477" t="s">
        <v>509</v>
      </c>
      <c r="J477" t="s">
        <v>589</v>
      </c>
      <c r="K477" s="491">
        <f t="shared" si="37"/>
        <v>10000</v>
      </c>
      <c r="L477" t="s">
        <v>566</v>
      </c>
    </row>
    <row r="478" spans="1:12">
      <c r="A478" t="s">
        <v>514</v>
      </c>
      <c r="B478" t="s">
        <v>3365</v>
      </c>
      <c r="C478" s="60" t="s">
        <v>474</v>
      </c>
      <c r="D478" t="s">
        <v>587</v>
      </c>
      <c r="E478" t="s">
        <v>588</v>
      </c>
      <c r="F478" t="s">
        <v>506</v>
      </c>
      <c r="G478" t="s">
        <v>507</v>
      </c>
      <c r="H478" t="s">
        <v>508</v>
      </c>
      <c r="I478" t="s">
        <v>509</v>
      </c>
      <c r="J478" t="s">
        <v>589</v>
      </c>
      <c r="K478" s="491">
        <f t="shared" si="37"/>
        <v>10000</v>
      </c>
      <c r="L478" t="s">
        <v>566</v>
      </c>
    </row>
    <row r="479" spans="1:12">
      <c r="A479" t="s">
        <v>514</v>
      </c>
      <c r="B479" t="s">
        <v>3366</v>
      </c>
      <c r="C479" s="60" t="s">
        <v>474</v>
      </c>
      <c r="D479" t="s">
        <v>587</v>
      </c>
      <c r="E479" t="s">
        <v>588</v>
      </c>
      <c r="F479" t="s">
        <v>506</v>
      </c>
      <c r="G479" t="s">
        <v>507</v>
      </c>
      <c r="H479" t="s">
        <v>508</v>
      </c>
      <c r="I479" t="s">
        <v>509</v>
      </c>
      <c r="J479" t="s">
        <v>589</v>
      </c>
      <c r="K479" s="491">
        <f t="shared" si="37"/>
        <v>10000</v>
      </c>
      <c r="L479" t="s">
        <v>566</v>
      </c>
    </row>
    <row r="480" spans="1:12">
      <c r="A480" t="s">
        <v>514</v>
      </c>
      <c r="B480" t="s">
        <v>3367</v>
      </c>
      <c r="C480" s="60" t="s">
        <v>474</v>
      </c>
      <c r="D480" t="s">
        <v>587</v>
      </c>
      <c r="E480" t="s">
        <v>588</v>
      </c>
      <c r="F480" t="s">
        <v>506</v>
      </c>
      <c r="G480" t="s">
        <v>507</v>
      </c>
      <c r="H480" t="s">
        <v>508</v>
      </c>
      <c r="I480" t="s">
        <v>509</v>
      </c>
      <c r="J480" t="s">
        <v>589</v>
      </c>
      <c r="K480" s="491">
        <f t="shared" si="37"/>
        <v>10000</v>
      </c>
      <c r="L480" t="s">
        <v>566</v>
      </c>
    </row>
    <row r="481" spans="1:12">
      <c r="A481" t="s">
        <v>514</v>
      </c>
      <c r="B481" t="s">
        <v>3356</v>
      </c>
      <c r="C481" s="3" t="s">
        <v>467</v>
      </c>
      <c r="D481" t="s">
        <v>587</v>
      </c>
      <c r="E481" t="s">
        <v>588</v>
      </c>
      <c r="F481" t="s">
        <v>506</v>
      </c>
      <c r="G481" t="s">
        <v>507</v>
      </c>
      <c r="H481" t="s">
        <v>508</v>
      </c>
      <c r="I481" t="s">
        <v>509</v>
      </c>
      <c r="J481" t="s">
        <v>589</v>
      </c>
      <c r="K481" s="491">
        <v>25600</v>
      </c>
      <c r="L481" t="s">
        <v>3423</v>
      </c>
    </row>
    <row r="482" spans="1:12">
      <c r="A482" t="s">
        <v>514</v>
      </c>
      <c r="B482" t="s">
        <v>3357</v>
      </c>
      <c r="C482" s="60" t="s">
        <v>467</v>
      </c>
      <c r="D482" t="s">
        <v>587</v>
      </c>
      <c r="E482" t="s">
        <v>588</v>
      </c>
      <c r="F482" t="s">
        <v>506</v>
      </c>
      <c r="G482" t="s">
        <v>507</v>
      </c>
      <c r="H482" t="s">
        <v>508</v>
      </c>
      <c r="I482" t="s">
        <v>509</v>
      </c>
      <c r="J482" t="s">
        <v>589</v>
      </c>
      <c r="K482" s="491">
        <f>+K481</f>
        <v>25600</v>
      </c>
      <c r="L482" t="s">
        <v>3423</v>
      </c>
    </row>
    <row r="483" spans="1:12">
      <c r="A483" t="s">
        <v>514</v>
      </c>
      <c r="B483" t="s">
        <v>3358</v>
      </c>
      <c r="C483" s="60" t="s">
        <v>467</v>
      </c>
      <c r="D483" t="s">
        <v>587</v>
      </c>
      <c r="E483" t="s">
        <v>588</v>
      </c>
      <c r="F483" t="s">
        <v>506</v>
      </c>
      <c r="G483" t="s">
        <v>507</v>
      </c>
      <c r="H483" t="s">
        <v>508</v>
      </c>
      <c r="I483" t="s">
        <v>509</v>
      </c>
      <c r="J483" t="s">
        <v>589</v>
      </c>
      <c r="K483" s="491">
        <f t="shared" ref="K483:K492" si="38">+K482</f>
        <v>25600</v>
      </c>
      <c r="L483" t="s">
        <v>3423</v>
      </c>
    </row>
    <row r="484" spans="1:12">
      <c r="A484" t="s">
        <v>514</v>
      </c>
      <c r="B484" t="s">
        <v>3359</v>
      </c>
      <c r="C484" s="60" t="s">
        <v>467</v>
      </c>
      <c r="D484" t="s">
        <v>587</v>
      </c>
      <c r="E484" t="s">
        <v>588</v>
      </c>
      <c r="F484" t="s">
        <v>506</v>
      </c>
      <c r="G484" t="s">
        <v>507</v>
      </c>
      <c r="H484" t="s">
        <v>508</v>
      </c>
      <c r="I484" t="s">
        <v>509</v>
      </c>
      <c r="J484" t="s">
        <v>589</v>
      </c>
      <c r="K484" s="491">
        <f t="shared" si="38"/>
        <v>25600</v>
      </c>
      <c r="L484" t="s">
        <v>3423</v>
      </c>
    </row>
    <row r="485" spans="1:12">
      <c r="A485" t="s">
        <v>514</v>
      </c>
      <c r="B485" t="s">
        <v>3360</v>
      </c>
      <c r="C485" s="60" t="s">
        <v>467</v>
      </c>
      <c r="D485" t="s">
        <v>587</v>
      </c>
      <c r="E485" t="s">
        <v>588</v>
      </c>
      <c r="F485" t="s">
        <v>506</v>
      </c>
      <c r="G485" t="s">
        <v>507</v>
      </c>
      <c r="H485" t="s">
        <v>508</v>
      </c>
      <c r="I485" t="s">
        <v>509</v>
      </c>
      <c r="J485" t="s">
        <v>589</v>
      </c>
      <c r="K485" s="491">
        <f t="shared" si="38"/>
        <v>25600</v>
      </c>
      <c r="L485" t="s">
        <v>3423</v>
      </c>
    </row>
    <row r="486" spans="1:12">
      <c r="A486" t="s">
        <v>514</v>
      </c>
      <c r="B486" t="s">
        <v>3361</v>
      </c>
      <c r="C486" s="60" t="s">
        <v>467</v>
      </c>
      <c r="D486" t="s">
        <v>587</v>
      </c>
      <c r="E486" t="s">
        <v>588</v>
      </c>
      <c r="F486" t="s">
        <v>506</v>
      </c>
      <c r="G486" t="s">
        <v>507</v>
      </c>
      <c r="H486" t="s">
        <v>508</v>
      </c>
      <c r="I486" t="s">
        <v>509</v>
      </c>
      <c r="J486" t="s">
        <v>589</v>
      </c>
      <c r="K486" s="491">
        <f t="shared" si="38"/>
        <v>25600</v>
      </c>
      <c r="L486" t="s">
        <v>3423</v>
      </c>
    </row>
    <row r="487" spans="1:12">
      <c r="A487" t="s">
        <v>514</v>
      </c>
      <c r="B487" t="s">
        <v>3362</v>
      </c>
      <c r="C487" s="60" t="s">
        <v>467</v>
      </c>
      <c r="D487" t="s">
        <v>587</v>
      </c>
      <c r="E487" t="s">
        <v>588</v>
      </c>
      <c r="F487" t="s">
        <v>506</v>
      </c>
      <c r="G487" t="s">
        <v>507</v>
      </c>
      <c r="H487" t="s">
        <v>508</v>
      </c>
      <c r="I487" t="s">
        <v>509</v>
      </c>
      <c r="J487" t="s">
        <v>589</v>
      </c>
      <c r="K487" s="491">
        <f t="shared" si="38"/>
        <v>25600</v>
      </c>
      <c r="L487" t="s">
        <v>3423</v>
      </c>
    </row>
    <row r="488" spans="1:12">
      <c r="A488" t="s">
        <v>514</v>
      </c>
      <c r="B488" t="s">
        <v>3363</v>
      </c>
      <c r="C488" s="60" t="s">
        <v>467</v>
      </c>
      <c r="D488" t="s">
        <v>587</v>
      </c>
      <c r="E488" t="s">
        <v>588</v>
      </c>
      <c r="F488" t="s">
        <v>506</v>
      </c>
      <c r="G488" t="s">
        <v>507</v>
      </c>
      <c r="H488" t="s">
        <v>508</v>
      </c>
      <c r="I488" t="s">
        <v>509</v>
      </c>
      <c r="J488" t="s">
        <v>589</v>
      </c>
      <c r="K488" s="491">
        <f t="shared" si="38"/>
        <v>25600</v>
      </c>
      <c r="L488" t="s">
        <v>3423</v>
      </c>
    </row>
    <row r="489" spans="1:12">
      <c r="A489" t="s">
        <v>514</v>
      </c>
      <c r="B489" t="s">
        <v>3364</v>
      </c>
      <c r="C489" s="60" t="s">
        <v>467</v>
      </c>
      <c r="D489" t="s">
        <v>587</v>
      </c>
      <c r="E489" t="s">
        <v>588</v>
      </c>
      <c r="F489" t="s">
        <v>506</v>
      </c>
      <c r="G489" t="s">
        <v>507</v>
      </c>
      <c r="H489" t="s">
        <v>508</v>
      </c>
      <c r="I489" t="s">
        <v>509</v>
      </c>
      <c r="J489" t="s">
        <v>589</v>
      </c>
      <c r="K489" s="491">
        <f t="shared" si="38"/>
        <v>25600</v>
      </c>
      <c r="L489" t="s">
        <v>3423</v>
      </c>
    </row>
    <row r="490" spans="1:12">
      <c r="A490" t="s">
        <v>514</v>
      </c>
      <c r="B490" t="s">
        <v>3365</v>
      </c>
      <c r="C490" s="60" t="s">
        <v>467</v>
      </c>
      <c r="D490" t="s">
        <v>587</v>
      </c>
      <c r="E490" t="s">
        <v>588</v>
      </c>
      <c r="F490" t="s">
        <v>506</v>
      </c>
      <c r="G490" t="s">
        <v>507</v>
      </c>
      <c r="H490" t="s">
        <v>508</v>
      </c>
      <c r="I490" t="s">
        <v>509</v>
      </c>
      <c r="J490" t="s">
        <v>589</v>
      </c>
      <c r="K490" s="491">
        <f t="shared" si="38"/>
        <v>25600</v>
      </c>
      <c r="L490" t="s">
        <v>3423</v>
      </c>
    </row>
    <row r="491" spans="1:12">
      <c r="A491" t="s">
        <v>514</v>
      </c>
      <c r="B491" t="s">
        <v>3366</v>
      </c>
      <c r="C491" s="60" t="s">
        <v>467</v>
      </c>
      <c r="D491" t="s">
        <v>587</v>
      </c>
      <c r="E491" t="s">
        <v>588</v>
      </c>
      <c r="F491" t="s">
        <v>506</v>
      </c>
      <c r="G491" t="s">
        <v>507</v>
      </c>
      <c r="H491" t="s">
        <v>508</v>
      </c>
      <c r="I491" t="s">
        <v>509</v>
      </c>
      <c r="J491" t="s">
        <v>589</v>
      </c>
      <c r="K491" s="491">
        <f t="shared" si="38"/>
        <v>25600</v>
      </c>
      <c r="L491" t="s">
        <v>3423</v>
      </c>
    </row>
    <row r="492" spans="1:12">
      <c r="A492" t="s">
        <v>514</v>
      </c>
      <c r="B492" t="s">
        <v>3367</v>
      </c>
      <c r="C492" s="60" t="s">
        <v>467</v>
      </c>
      <c r="D492" t="s">
        <v>587</v>
      </c>
      <c r="E492" t="s">
        <v>588</v>
      </c>
      <c r="F492" t="s">
        <v>506</v>
      </c>
      <c r="G492" t="s">
        <v>507</v>
      </c>
      <c r="H492" t="s">
        <v>508</v>
      </c>
      <c r="I492" t="s">
        <v>509</v>
      </c>
      <c r="J492" t="s">
        <v>589</v>
      </c>
      <c r="K492" s="491">
        <f t="shared" si="38"/>
        <v>25600</v>
      </c>
      <c r="L492" t="s">
        <v>3423</v>
      </c>
    </row>
    <row r="493" spans="1:12">
      <c r="A493" t="s">
        <v>514</v>
      </c>
      <c r="B493" t="s">
        <v>3356</v>
      </c>
      <c r="C493" s="3" t="s">
        <v>473</v>
      </c>
      <c r="D493" t="s">
        <v>587</v>
      </c>
      <c r="E493" t="s">
        <v>588</v>
      </c>
      <c r="F493" t="s">
        <v>506</v>
      </c>
      <c r="G493" t="s">
        <v>507</v>
      </c>
      <c r="H493" t="s">
        <v>508</v>
      </c>
      <c r="I493" t="s">
        <v>509</v>
      </c>
      <c r="J493" t="s">
        <v>589</v>
      </c>
      <c r="K493" s="491">
        <f>+VLOOKUP(C493,[1]capacité!$C:$K,9,FALSE)</f>
        <v>10000</v>
      </c>
      <c r="L493" t="s">
        <v>558</v>
      </c>
    </row>
    <row r="494" spans="1:12">
      <c r="A494" t="s">
        <v>514</v>
      </c>
      <c r="B494" t="s">
        <v>3357</v>
      </c>
      <c r="C494" s="60" t="s">
        <v>473</v>
      </c>
      <c r="D494" t="s">
        <v>587</v>
      </c>
      <c r="E494" t="s">
        <v>588</v>
      </c>
      <c r="F494" t="s">
        <v>506</v>
      </c>
      <c r="G494" t="s">
        <v>507</v>
      </c>
      <c r="H494" t="s">
        <v>508</v>
      </c>
      <c r="I494" t="s">
        <v>509</v>
      </c>
      <c r="J494" t="s">
        <v>589</v>
      </c>
      <c r="K494" s="491">
        <f>+K493</f>
        <v>10000</v>
      </c>
      <c r="L494" t="s">
        <v>558</v>
      </c>
    </row>
    <row r="495" spans="1:12">
      <c r="A495" t="s">
        <v>514</v>
      </c>
      <c r="B495" t="s">
        <v>3358</v>
      </c>
      <c r="C495" s="60" t="s">
        <v>473</v>
      </c>
      <c r="D495" t="s">
        <v>587</v>
      </c>
      <c r="E495" t="s">
        <v>588</v>
      </c>
      <c r="F495" t="s">
        <v>506</v>
      </c>
      <c r="G495" t="s">
        <v>507</v>
      </c>
      <c r="H495" t="s">
        <v>508</v>
      </c>
      <c r="I495" t="s">
        <v>509</v>
      </c>
      <c r="J495" t="s">
        <v>589</v>
      </c>
      <c r="K495" s="491">
        <f t="shared" ref="K495:K504" si="39">+K494</f>
        <v>10000</v>
      </c>
      <c r="L495" t="s">
        <v>558</v>
      </c>
    </row>
    <row r="496" spans="1:12">
      <c r="A496" t="s">
        <v>514</v>
      </c>
      <c r="B496" t="s">
        <v>3359</v>
      </c>
      <c r="C496" s="60" t="s">
        <v>473</v>
      </c>
      <c r="D496" t="s">
        <v>587</v>
      </c>
      <c r="E496" t="s">
        <v>588</v>
      </c>
      <c r="F496" t="s">
        <v>506</v>
      </c>
      <c r="G496" t="s">
        <v>507</v>
      </c>
      <c r="H496" t="s">
        <v>508</v>
      </c>
      <c r="I496" t="s">
        <v>509</v>
      </c>
      <c r="J496" t="s">
        <v>589</v>
      </c>
      <c r="K496" s="491">
        <f t="shared" si="39"/>
        <v>10000</v>
      </c>
      <c r="L496" t="s">
        <v>558</v>
      </c>
    </row>
    <row r="497" spans="1:12">
      <c r="A497" t="s">
        <v>514</v>
      </c>
      <c r="B497" t="s">
        <v>3360</v>
      </c>
      <c r="C497" s="60" t="s">
        <v>473</v>
      </c>
      <c r="D497" t="s">
        <v>587</v>
      </c>
      <c r="E497" t="s">
        <v>588</v>
      </c>
      <c r="F497" t="s">
        <v>506</v>
      </c>
      <c r="G497" t="s">
        <v>507</v>
      </c>
      <c r="H497" t="s">
        <v>508</v>
      </c>
      <c r="I497" t="s">
        <v>509</v>
      </c>
      <c r="J497" t="s">
        <v>589</v>
      </c>
      <c r="K497" s="491">
        <f t="shared" si="39"/>
        <v>10000</v>
      </c>
      <c r="L497" t="s">
        <v>558</v>
      </c>
    </row>
    <row r="498" spans="1:12">
      <c r="A498" t="s">
        <v>514</v>
      </c>
      <c r="B498" t="s">
        <v>3361</v>
      </c>
      <c r="C498" s="60" t="s">
        <v>473</v>
      </c>
      <c r="D498" t="s">
        <v>587</v>
      </c>
      <c r="E498" t="s">
        <v>588</v>
      </c>
      <c r="F498" t="s">
        <v>506</v>
      </c>
      <c r="G498" t="s">
        <v>507</v>
      </c>
      <c r="H498" t="s">
        <v>508</v>
      </c>
      <c r="I498" t="s">
        <v>509</v>
      </c>
      <c r="J498" t="s">
        <v>589</v>
      </c>
      <c r="K498" s="491">
        <f t="shared" si="39"/>
        <v>10000</v>
      </c>
      <c r="L498" t="s">
        <v>558</v>
      </c>
    </row>
    <row r="499" spans="1:12">
      <c r="A499" t="s">
        <v>514</v>
      </c>
      <c r="B499" t="s">
        <v>3362</v>
      </c>
      <c r="C499" s="60" t="s">
        <v>473</v>
      </c>
      <c r="D499" t="s">
        <v>587</v>
      </c>
      <c r="E499" t="s">
        <v>588</v>
      </c>
      <c r="F499" t="s">
        <v>506</v>
      </c>
      <c r="G499" t="s">
        <v>507</v>
      </c>
      <c r="H499" t="s">
        <v>508</v>
      </c>
      <c r="I499" t="s">
        <v>509</v>
      </c>
      <c r="J499" t="s">
        <v>589</v>
      </c>
      <c r="K499" s="491">
        <f t="shared" si="39"/>
        <v>10000</v>
      </c>
      <c r="L499" t="s">
        <v>558</v>
      </c>
    </row>
    <row r="500" spans="1:12">
      <c r="A500" t="s">
        <v>514</v>
      </c>
      <c r="B500" t="s">
        <v>3363</v>
      </c>
      <c r="C500" s="60" t="s">
        <v>473</v>
      </c>
      <c r="D500" t="s">
        <v>587</v>
      </c>
      <c r="E500" t="s">
        <v>588</v>
      </c>
      <c r="F500" t="s">
        <v>506</v>
      </c>
      <c r="G500" t="s">
        <v>507</v>
      </c>
      <c r="H500" t="s">
        <v>508</v>
      </c>
      <c r="I500" t="s">
        <v>509</v>
      </c>
      <c r="J500" t="s">
        <v>589</v>
      </c>
      <c r="K500" s="491">
        <f t="shared" si="39"/>
        <v>10000</v>
      </c>
      <c r="L500" t="s">
        <v>558</v>
      </c>
    </row>
    <row r="501" spans="1:12">
      <c r="A501" t="s">
        <v>514</v>
      </c>
      <c r="B501" t="s">
        <v>3364</v>
      </c>
      <c r="C501" s="60" t="s">
        <v>473</v>
      </c>
      <c r="D501" t="s">
        <v>587</v>
      </c>
      <c r="E501" t="s">
        <v>588</v>
      </c>
      <c r="F501" t="s">
        <v>506</v>
      </c>
      <c r="G501" t="s">
        <v>507</v>
      </c>
      <c r="H501" t="s">
        <v>508</v>
      </c>
      <c r="I501" t="s">
        <v>509</v>
      </c>
      <c r="J501" t="s">
        <v>589</v>
      </c>
      <c r="K501" s="491">
        <f t="shared" si="39"/>
        <v>10000</v>
      </c>
      <c r="L501" t="s">
        <v>558</v>
      </c>
    </row>
    <row r="502" spans="1:12">
      <c r="A502" t="s">
        <v>514</v>
      </c>
      <c r="B502" t="s">
        <v>3365</v>
      </c>
      <c r="C502" s="60" t="s">
        <v>473</v>
      </c>
      <c r="D502" t="s">
        <v>587</v>
      </c>
      <c r="E502" t="s">
        <v>588</v>
      </c>
      <c r="F502" t="s">
        <v>506</v>
      </c>
      <c r="G502" t="s">
        <v>507</v>
      </c>
      <c r="H502" t="s">
        <v>508</v>
      </c>
      <c r="I502" t="s">
        <v>509</v>
      </c>
      <c r="J502" t="s">
        <v>589</v>
      </c>
      <c r="K502" s="491">
        <f t="shared" si="39"/>
        <v>10000</v>
      </c>
      <c r="L502" t="s">
        <v>558</v>
      </c>
    </row>
    <row r="503" spans="1:12">
      <c r="A503" t="s">
        <v>514</v>
      </c>
      <c r="B503" t="s">
        <v>3366</v>
      </c>
      <c r="C503" s="60" t="s">
        <v>473</v>
      </c>
      <c r="D503" t="s">
        <v>587</v>
      </c>
      <c r="E503" t="s">
        <v>588</v>
      </c>
      <c r="F503" t="s">
        <v>506</v>
      </c>
      <c r="G503" t="s">
        <v>507</v>
      </c>
      <c r="H503" t="s">
        <v>508</v>
      </c>
      <c r="I503" t="s">
        <v>509</v>
      </c>
      <c r="J503" t="s">
        <v>589</v>
      </c>
      <c r="K503" s="491">
        <f t="shared" si="39"/>
        <v>10000</v>
      </c>
      <c r="L503" t="s">
        <v>558</v>
      </c>
    </row>
    <row r="504" spans="1:12">
      <c r="A504" t="s">
        <v>514</v>
      </c>
      <c r="B504" t="s">
        <v>3367</v>
      </c>
      <c r="C504" s="60" t="s">
        <v>473</v>
      </c>
      <c r="D504" t="s">
        <v>587</v>
      </c>
      <c r="E504" t="s">
        <v>588</v>
      </c>
      <c r="F504" t="s">
        <v>506</v>
      </c>
      <c r="G504" t="s">
        <v>507</v>
      </c>
      <c r="H504" t="s">
        <v>508</v>
      </c>
      <c r="I504" t="s">
        <v>509</v>
      </c>
      <c r="J504" t="s">
        <v>589</v>
      </c>
      <c r="K504" s="491">
        <f t="shared" si="39"/>
        <v>10000</v>
      </c>
      <c r="L504" t="s">
        <v>558</v>
      </c>
    </row>
    <row r="505" spans="1:12">
      <c r="A505" t="s">
        <v>514</v>
      </c>
      <c r="B505" t="s">
        <v>3356</v>
      </c>
      <c r="C505" s="3" t="s">
        <v>470</v>
      </c>
      <c r="D505" t="s">
        <v>587</v>
      </c>
      <c r="E505" t="s">
        <v>588</v>
      </c>
      <c r="F505" t="s">
        <v>506</v>
      </c>
      <c r="G505" t="s">
        <v>507</v>
      </c>
      <c r="H505" t="s">
        <v>508</v>
      </c>
      <c r="I505" t="s">
        <v>509</v>
      </c>
      <c r="J505" t="s">
        <v>589</v>
      </c>
      <c r="K505" s="491">
        <v>23550</v>
      </c>
      <c r="L505" t="s">
        <v>3424</v>
      </c>
    </row>
    <row r="506" spans="1:12">
      <c r="A506" t="s">
        <v>514</v>
      </c>
      <c r="B506" t="s">
        <v>3357</v>
      </c>
      <c r="C506" s="60" t="s">
        <v>470</v>
      </c>
      <c r="D506" t="s">
        <v>587</v>
      </c>
      <c r="E506" t="s">
        <v>588</v>
      </c>
      <c r="F506" t="s">
        <v>506</v>
      </c>
      <c r="G506" t="s">
        <v>507</v>
      </c>
      <c r="H506" t="s">
        <v>508</v>
      </c>
      <c r="I506" t="s">
        <v>509</v>
      </c>
      <c r="J506" t="s">
        <v>589</v>
      </c>
      <c r="K506" s="491">
        <f>+K505</f>
        <v>23550</v>
      </c>
      <c r="L506" t="s">
        <v>3424</v>
      </c>
    </row>
    <row r="507" spans="1:12">
      <c r="A507" t="s">
        <v>514</v>
      </c>
      <c r="B507" t="s">
        <v>3358</v>
      </c>
      <c r="C507" s="60" t="s">
        <v>470</v>
      </c>
      <c r="D507" t="s">
        <v>587</v>
      </c>
      <c r="E507" t="s">
        <v>588</v>
      </c>
      <c r="F507" t="s">
        <v>506</v>
      </c>
      <c r="G507" t="s">
        <v>507</v>
      </c>
      <c r="H507" t="s">
        <v>508</v>
      </c>
      <c r="I507" t="s">
        <v>509</v>
      </c>
      <c r="J507" t="s">
        <v>589</v>
      </c>
      <c r="K507" s="491">
        <f t="shared" ref="K507:K516" si="40">+K506</f>
        <v>23550</v>
      </c>
      <c r="L507" t="s">
        <v>3424</v>
      </c>
    </row>
    <row r="508" spans="1:12">
      <c r="A508" t="s">
        <v>514</v>
      </c>
      <c r="B508" t="s">
        <v>3359</v>
      </c>
      <c r="C508" s="60" t="s">
        <v>470</v>
      </c>
      <c r="D508" t="s">
        <v>587</v>
      </c>
      <c r="E508" t="s">
        <v>588</v>
      </c>
      <c r="F508" t="s">
        <v>506</v>
      </c>
      <c r="G508" t="s">
        <v>507</v>
      </c>
      <c r="H508" t="s">
        <v>508</v>
      </c>
      <c r="I508" t="s">
        <v>509</v>
      </c>
      <c r="J508" t="s">
        <v>589</v>
      </c>
      <c r="K508" s="491">
        <f t="shared" si="40"/>
        <v>23550</v>
      </c>
      <c r="L508" t="s">
        <v>3424</v>
      </c>
    </row>
    <row r="509" spans="1:12">
      <c r="A509" t="s">
        <v>514</v>
      </c>
      <c r="B509" t="s">
        <v>3360</v>
      </c>
      <c r="C509" s="60" t="s">
        <v>470</v>
      </c>
      <c r="D509" t="s">
        <v>587</v>
      </c>
      <c r="E509" t="s">
        <v>588</v>
      </c>
      <c r="F509" t="s">
        <v>506</v>
      </c>
      <c r="G509" t="s">
        <v>507</v>
      </c>
      <c r="H509" t="s">
        <v>508</v>
      </c>
      <c r="I509" t="s">
        <v>509</v>
      </c>
      <c r="J509" t="s">
        <v>589</v>
      </c>
      <c r="K509" s="491">
        <f t="shared" si="40"/>
        <v>23550</v>
      </c>
      <c r="L509" t="s">
        <v>3424</v>
      </c>
    </row>
    <row r="510" spans="1:12">
      <c r="A510" t="s">
        <v>514</v>
      </c>
      <c r="B510" t="s">
        <v>3361</v>
      </c>
      <c r="C510" s="60" t="s">
        <v>470</v>
      </c>
      <c r="D510" t="s">
        <v>587</v>
      </c>
      <c r="E510" t="s">
        <v>588</v>
      </c>
      <c r="F510" t="s">
        <v>506</v>
      </c>
      <c r="G510" t="s">
        <v>507</v>
      </c>
      <c r="H510" t="s">
        <v>508</v>
      </c>
      <c r="I510" t="s">
        <v>509</v>
      </c>
      <c r="J510" t="s">
        <v>589</v>
      </c>
      <c r="K510" s="491">
        <f t="shared" si="40"/>
        <v>23550</v>
      </c>
      <c r="L510" t="s">
        <v>3424</v>
      </c>
    </row>
    <row r="511" spans="1:12">
      <c r="A511" t="s">
        <v>514</v>
      </c>
      <c r="B511" t="s">
        <v>3362</v>
      </c>
      <c r="C511" s="60" t="s">
        <v>470</v>
      </c>
      <c r="D511" t="s">
        <v>587</v>
      </c>
      <c r="E511" t="s">
        <v>588</v>
      </c>
      <c r="F511" t="s">
        <v>506</v>
      </c>
      <c r="G511" t="s">
        <v>507</v>
      </c>
      <c r="H511" t="s">
        <v>508</v>
      </c>
      <c r="I511" t="s">
        <v>509</v>
      </c>
      <c r="J511" t="s">
        <v>589</v>
      </c>
      <c r="K511" s="491">
        <f t="shared" si="40"/>
        <v>23550</v>
      </c>
      <c r="L511" t="s">
        <v>3424</v>
      </c>
    </row>
    <row r="512" spans="1:12">
      <c r="A512" t="s">
        <v>514</v>
      </c>
      <c r="B512" t="s">
        <v>3363</v>
      </c>
      <c r="C512" s="60" t="s">
        <v>470</v>
      </c>
      <c r="D512" t="s">
        <v>587</v>
      </c>
      <c r="E512" t="s">
        <v>588</v>
      </c>
      <c r="F512" t="s">
        <v>506</v>
      </c>
      <c r="G512" t="s">
        <v>507</v>
      </c>
      <c r="H512" t="s">
        <v>508</v>
      </c>
      <c r="I512" t="s">
        <v>509</v>
      </c>
      <c r="J512" t="s">
        <v>589</v>
      </c>
      <c r="K512" s="491">
        <f t="shared" si="40"/>
        <v>23550</v>
      </c>
      <c r="L512" t="s">
        <v>3424</v>
      </c>
    </row>
    <row r="513" spans="1:12">
      <c r="A513" t="s">
        <v>514</v>
      </c>
      <c r="B513" t="s">
        <v>3364</v>
      </c>
      <c r="C513" s="60" t="s">
        <v>470</v>
      </c>
      <c r="D513" t="s">
        <v>587</v>
      </c>
      <c r="E513" t="s">
        <v>588</v>
      </c>
      <c r="F513" t="s">
        <v>506</v>
      </c>
      <c r="G513" t="s">
        <v>507</v>
      </c>
      <c r="H513" t="s">
        <v>508</v>
      </c>
      <c r="I513" t="s">
        <v>509</v>
      </c>
      <c r="J513" t="s">
        <v>589</v>
      </c>
      <c r="K513" s="491">
        <f t="shared" si="40"/>
        <v>23550</v>
      </c>
      <c r="L513" t="s">
        <v>3424</v>
      </c>
    </row>
    <row r="514" spans="1:12">
      <c r="A514" t="s">
        <v>514</v>
      </c>
      <c r="B514" t="s">
        <v>3365</v>
      </c>
      <c r="C514" s="60" t="s">
        <v>470</v>
      </c>
      <c r="D514" t="s">
        <v>587</v>
      </c>
      <c r="E514" t="s">
        <v>588</v>
      </c>
      <c r="F514" t="s">
        <v>506</v>
      </c>
      <c r="G514" t="s">
        <v>507</v>
      </c>
      <c r="H514" t="s">
        <v>508</v>
      </c>
      <c r="I514" t="s">
        <v>509</v>
      </c>
      <c r="J514" t="s">
        <v>589</v>
      </c>
      <c r="K514" s="491">
        <f t="shared" si="40"/>
        <v>23550</v>
      </c>
      <c r="L514" t="s">
        <v>3424</v>
      </c>
    </row>
    <row r="515" spans="1:12">
      <c r="A515" t="s">
        <v>514</v>
      </c>
      <c r="B515" t="s">
        <v>3366</v>
      </c>
      <c r="C515" s="60" t="s">
        <v>470</v>
      </c>
      <c r="D515" t="s">
        <v>587</v>
      </c>
      <c r="E515" t="s">
        <v>588</v>
      </c>
      <c r="F515" t="s">
        <v>506</v>
      </c>
      <c r="G515" t="s">
        <v>507</v>
      </c>
      <c r="H515" t="s">
        <v>508</v>
      </c>
      <c r="I515" t="s">
        <v>509</v>
      </c>
      <c r="J515" t="s">
        <v>589</v>
      </c>
      <c r="K515" s="491">
        <f t="shared" si="40"/>
        <v>23550</v>
      </c>
      <c r="L515" t="s">
        <v>3424</v>
      </c>
    </row>
    <row r="516" spans="1:12">
      <c r="A516" t="s">
        <v>514</v>
      </c>
      <c r="B516" t="s">
        <v>3367</v>
      </c>
      <c r="C516" s="60" t="s">
        <v>470</v>
      </c>
      <c r="D516" t="s">
        <v>587</v>
      </c>
      <c r="E516" t="s">
        <v>588</v>
      </c>
      <c r="F516" t="s">
        <v>506</v>
      </c>
      <c r="G516" t="s">
        <v>507</v>
      </c>
      <c r="H516" t="s">
        <v>508</v>
      </c>
      <c r="I516" t="s">
        <v>509</v>
      </c>
      <c r="J516" t="s">
        <v>589</v>
      </c>
      <c r="K516" s="491">
        <f t="shared" si="40"/>
        <v>23550</v>
      </c>
      <c r="L516" t="s">
        <v>3424</v>
      </c>
    </row>
    <row r="517" spans="1:12">
      <c r="A517" t="s">
        <v>514</v>
      </c>
      <c r="B517" t="s">
        <v>3356</v>
      </c>
      <c r="C517" s="3" t="s">
        <v>465</v>
      </c>
      <c r="D517" t="s">
        <v>587</v>
      </c>
      <c r="E517" t="s">
        <v>588</v>
      </c>
      <c r="F517" t="s">
        <v>506</v>
      </c>
      <c r="G517" t="s">
        <v>507</v>
      </c>
      <c r="H517" t="s">
        <v>508</v>
      </c>
      <c r="I517" t="s">
        <v>509</v>
      </c>
      <c r="J517" t="s">
        <v>589</v>
      </c>
      <c r="K517" s="491">
        <v>29700</v>
      </c>
      <c r="L517" t="s">
        <v>563</v>
      </c>
    </row>
    <row r="518" spans="1:12">
      <c r="A518" t="s">
        <v>514</v>
      </c>
      <c r="B518" t="s">
        <v>3357</v>
      </c>
      <c r="C518" s="60" t="s">
        <v>465</v>
      </c>
      <c r="D518" t="s">
        <v>587</v>
      </c>
      <c r="E518" t="s">
        <v>588</v>
      </c>
      <c r="F518" t="s">
        <v>506</v>
      </c>
      <c r="G518" t="s">
        <v>507</v>
      </c>
      <c r="H518" t="s">
        <v>508</v>
      </c>
      <c r="I518" t="s">
        <v>509</v>
      </c>
      <c r="J518" t="s">
        <v>589</v>
      </c>
      <c r="K518" s="491">
        <f>+K517</f>
        <v>29700</v>
      </c>
      <c r="L518" t="s">
        <v>563</v>
      </c>
    </row>
    <row r="519" spans="1:12">
      <c r="A519" t="s">
        <v>514</v>
      </c>
      <c r="B519" t="s">
        <v>3358</v>
      </c>
      <c r="C519" s="60" t="s">
        <v>465</v>
      </c>
      <c r="D519" t="s">
        <v>587</v>
      </c>
      <c r="E519" t="s">
        <v>588</v>
      </c>
      <c r="F519" t="s">
        <v>506</v>
      </c>
      <c r="G519" t="s">
        <v>507</v>
      </c>
      <c r="H519" t="s">
        <v>508</v>
      </c>
      <c r="I519" t="s">
        <v>509</v>
      </c>
      <c r="J519" t="s">
        <v>589</v>
      </c>
      <c r="K519" s="491">
        <f t="shared" ref="K519:K528" si="41">+K518</f>
        <v>29700</v>
      </c>
      <c r="L519" t="s">
        <v>563</v>
      </c>
    </row>
    <row r="520" spans="1:12">
      <c r="A520" t="s">
        <v>514</v>
      </c>
      <c r="B520" t="s">
        <v>3359</v>
      </c>
      <c r="C520" s="60" t="s">
        <v>465</v>
      </c>
      <c r="D520" t="s">
        <v>587</v>
      </c>
      <c r="E520" t="s">
        <v>588</v>
      </c>
      <c r="F520" t="s">
        <v>506</v>
      </c>
      <c r="G520" t="s">
        <v>507</v>
      </c>
      <c r="H520" t="s">
        <v>508</v>
      </c>
      <c r="I520" t="s">
        <v>509</v>
      </c>
      <c r="J520" t="s">
        <v>589</v>
      </c>
      <c r="K520" s="491">
        <f t="shared" si="41"/>
        <v>29700</v>
      </c>
      <c r="L520" t="s">
        <v>563</v>
      </c>
    </row>
    <row r="521" spans="1:12">
      <c r="A521" t="s">
        <v>514</v>
      </c>
      <c r="B521" t="s">
        <v>3360</v>
      </c>
      <c r="C521" s="60" t="s">
        <v>465</v>
      </c>
      <c r="D521" t="s">
        <v>587</v>
      </c>
      <c r="E521" t="s">
        <v>588</v>
      </c>
      <c r="F521" t="s">
        <v>506</v>
      </c>
      <c r="G521" t="s">
        <v>507</v>
      </c>
      <c r="H521" t="s">
        <v>508</v>
      </c>
      <c r="I521" t="s">
        <v>509</v>
      </c>
      <c r="J521" t="s">
        <v>589</v>
      </c>
      <c r="K521" s="491">
        <f t="shared" si="41"/>
        <v>29700</v>
      </c>
      <c r="L521" t="s">
        <v>563</v>
      </c>
    </row>
    <row r="522" spans="1:12">
      <c r="A522" t="s">
        <v>514</v>
      </c>
      <c r="B522" t="s">
        <v>3361</v>
      </c>
      <c r="C522" s="60" t="s">
        <v>465</v>
      </c>
      <c r="D522" t="s">
        <v>587</v>
      </c>
      <c r="E522" t="s">
        <v>588</v>
      </c>
      <c r="F522" t="s">
        <v>506</v>
      </c>
      <c r="G522" t="s">
        <v>507</v>
      </c>
      <c r="H522" t="s">
        <v>508</v>
      </c>
      <c r="I522" t="s">
        <v>509</v>
      </c>
      <c r="J522" t="s">
        <v>589</v>
      </c>
      <c r="K522" s="491">
        <f t="shared" si="41"/>
        <v>29700</v>
      </c>
      <c r="L522" t="s">
        <v>563</v>
      </c>
    </row>
    <row r="523" spans="1:12">
      <c r="A523" t="s">
        <v>514</v>
      </c>
      <c r="B523" t="s">
        <v>3362</v>
      </c>
      <c r="C523" s="60" t="s">
        <v>465</v>
      </c>
      <c r="D523" t="s">
        <v>587</v>
      </c>
      <c r="E523" t="s">
        <v>588</v>
      </c>
      <c r="F523" t="s">
        <v>506</v>
      </c>
      <c r="G523" t="s">
        <v>507</v>
      </c>
      <c r="H523" t="s">
        <v>508</v>
      </c>
      <c r="I523" t="s">
        <v>509</v>
      </c>
      <c r="J523" t="s">
        <v>589</v>
      </c>
      <c r="K523" s="491">
        <f t="shared" si="41"/>
        <v>29700</v>
      </c>
      <c r="L523" t="s">
        <v>563</v>
      </c>
    </row>
    <row r="524" spans="1:12">
      <c r="A524" t="s">
        <v>514</v>
      </c>
      <c r="B524" t="s">
        <v>3363</v>
      </c>
      <c r="C524" s="60" t="s">
        <v>465</v>
      </c>
      <c r="D524" t="s">
        <v>587</v>
      </c>
      <c r="E524" t="s">
        <v>588</v>
      </c>
      <c r="F524" t="s">
        <v>506</v>
      </c>
      <c r="G524" t="s">
        <v>507</v>
      </c>
      <c r="H524" t="s">
        <v>508</v>
      </c>
      <c r="I524" t="s">
        <v>509</v>
      </c>
      <c r="J524" t="s">
        <v>589</v>
      </c>
      <c r="K524" s="491">
        <f t="shared" si="41"/>
        <v>29700</v>
      </c>
      <c r="L524" t="s">
        <v>563</v>
      </c>
    </row>
    <row r="525" spans="1:12">
      <c r="A525" t="s">
        <v>514</v>
      </c>
      <c r="B525" t="s">
        <v>3364</v>
      </c>
      <c r="C525" s="60" t="s">
        <v>465</v>
      </c>
      <c r="D525" t="s">
        <v>587</v>
      </c>
      <c r="E525" t="s">
        <v>588</v>
      </c>
      <c r="F525" t="s">
        <v>506</v>
      </c>
      <c r="G525" t="s">
        <v>507</v>
      </c>
      <c r="H525" t="s">
        <v>508</v>
      </c>
      <c r="I525" t="s">
        <v>509</v>
      </c>
      <c r="J525" t="s">
        <v>589</v>
      </c>
      <c r="K525" s="491">
        <f t="shared" si="41"/>
        <v>29700</v>
      </c>
      <c r="L525" t="s">
        <v>563</v>
      </c>
    </row>
    <row r="526" spans="1:12">
      <c r="A526" t="s">
        <v>514</v>
      </c>
      <c r="B526" t="s">
        <v>3365</v>
      </c>
      <c r="C526" s="60" t="s">
        <v>465</v>
      </c>
      <c r="D526" t="s">
        <v>587</v>
      </c>
      <c r="E526" t="s">
        <v>588</v>
      </c>
      <c r="F526" t="s">
        <v>506</v>
      </c>
      <c r="G526" t="s">
        <v>507</v>
      </c>
      <c r="H526" t="s">
        <v>508</v>
      </c>
      <c r="I526" t="s">
        <v>509</v>
      </c>
      <c r="J526" t="s">
        <v>589</v>
      </c>
      <c r="K526" s="491">
        <f t="shared" si="41"/>
        <v>29700</v>
      </c>
      <c r="L526" t="s">
        <v>563</v>
      </c>
    </row>
    <row r="527" spans="1:12">
      <c r="A527" t="s">
        <v>514</v>
      </c>
      <c r="B527" t="s">
        <v>3366</v>
      </c>
      <c r="C527" s="60" t="s">
        <v>465</v>
      </c>
      <c r="D527" t="s">
        <v>587</v>
      </c>
      <c r="E527" t="s">
        <v>588</v>
      </c>
      <c r="F527" t="s">
        <v>506</v>
      </c>
      <c r="G527" t="s">
        <v>507</v>
      </c>
      <c r="H527" t="s">
        <v>508</v>
      </c>
      <c r="I527" t="s">
        <v>509</v>
      </c>
      <c r="J527" t="s">
        <v>589</v>
      </c>
      <c r="K527" s="491">
        <f t="shared" si="41"/>
        <v>29700</v>
      </c>
      <c r="L527" t="s">
        <v>563</v>
      </c>
    </row>
    <row r="528" spans="1:12">
      <c r="A528" t="s">
        <v>514</v>
      </c>
      <c r="B528" t="s">
        <v>3367</v>
      </c>
      <c r="C528" s="60" t="s">
        <v>465</v>
      </c>
      <c r="D528" t="s">
        <v>587</v>
      </c>
      <c r="E528" t="s">
        <v>588</v>
      </c>
      <c r="F528" t="s">
        <v>506</v>
      </c>
      <c r="G528" t="s">
        <v>507</v>
      </c>
      <c r="H528" t="s">
        <v>508</v>
      </c>
      <c r="I528" t="s">
        <v>509</v>
      </c>
      <c r="J528" t="s">
        <v>589</v>
      </c>
      <c r="K528" s="491">
        <f t="shared" si="41"/>
        <v>29700</v>
      </c>
      <c r="L528" t="s">
        <v>563</v>
      </c>
    </row>
    <row r="529" spans="1:12">
      <c r="A529" t="s">
        <v>514</v>
      </c>
      <c r="B529" t="s">
        <v>3356</v>
      </c>
      <c r="C529" s="3" t="s">
        <v>481</v>
      </c>
      <c r="D529" t="s">
        <v>587</v>
      </c>
      <c r="E529" t="s">
        <v>588</v>
      </c>
      <c r="F529" t="s">
        <v>506</v>
      </c>
      <c r="G529" t="s">
        <v>507</v>
      </c>
      <c r="H529" t="s">
        <v>508</v>
      </c>
      <c r="I529" t="s">
        <v>509</v>
      </c>
      <c r="J529" t="s">
        <v>589</v>
      </c>
      <c r="K529" s="491">
        <v>25600</v>
      </c>
      <c r="L529" t="s">
        <v>567</v>
      </c>
    </row>
    <row r="530" spans="1:12">
      <c r="A530" t="s">
        <v>514</v>
      </c>
      <c r="B530" t="s">
        <v>3357</v>
      </c>
      <c r="C530" s="60" t="s">
        <v>481</v>
      </c>
      <c r="D530" t="s">
        <v>587</v>
      </c>
      <c r="E530" t="s">
        <v>588</v>
      </c>
      <c r="F530" t="s">
        <v>506</v>
      </c>
      <c r="G530" t="s">
        <v>507</v>
      </c>
      <c r="H530" t="s">
        <v>508</v>
      </c>
      <c r="I530" t="s">
        <v>509</v>
      </c>
      <c r="J530" t="s">
        <v>589</v>
      </c>
      <c r="K530" s="491">
        <f>+K529</f>
        <v>25600</v>
      </c>
      <c r="L530" t="s">
        <v>567</v>
      </c>
    </row>
    <row r="531" spans="1:12">
      <c r="A531" t="s">
        <v>514</v>
      </c>
      <c r="B531" t="s">
        <v>3358</v>
      </c>
      <c r="C531" s="60" t="s">
        <v>481</v>
      </c>
      <c r="D531" t="s">
        <v>587</v>
      </c>
      <c r="E531" t="s">
        <v>588</v>
      </c>
      <c r="F531" t="s">
        <v>506</v>
      </c>
      <c r="G531" t="s">
        <v>507</v>
      </c>
      <c r="H531" t="s">
        <v>508</v>
      </c>
      <c r="I531" t="s">
        <v>509</v>
      </c>
      <c r="J531" t="s">
        <v>589</v>
      </c>
      <c r="K531" s="491">
        <f t="shared" ref="K531:K540" si="42">+K530</f>
        <v>25600</v>
      </c>
      <c r="L531" t="s">
        <v>567</v>
      </c>
    </row>
    <row r="532" spans="1:12">
      <c r="A532" t="s">
        <v>514</v>
      </c>
      <c r="B532" t="s">
        <v>3359</v>
      </c>
      <c r="C532" s="60" t="s">
        <v>481</v>
      </c>
      <c r="D532" t="s">
        <v>587</v>
      </c>
      <c r="E532" t="s">
        <v>588</v>
      </c>
      <c r="F532" t="s">
        <v>506</v>
      </c>
      <c r="G532" t="s">
        <v>507</v>
      </c>
      <c r="H532" t="s">
        <v>508</v>
      </c>
      <c r="I532" t="s">
        <v>509</v>
      </c>
      <c r="J532" t="s">
        <v>589</v>
      </c>
      <c r="K532" s="491">
        <f t="shared" si="42"/>
        <v>25600</v>
      </c>
      <c r="L532" t="s">
        <v>567</v>
      </c>
    </row>
    <row r="533" spans="1:12">
      <c r="A533" t="s">
        <v>514</v>
      </c>
      <c r="B533" t="s">
        <v>3360</v>
      </c>
      <c r="C533" s="60" t="s">
        <v>481</v>
      </c>
      <c r="D533" t="s">
        <v>587</v>
      </c>
      <c r="E533" t="s">
        <v>588</v>
      </c>
      <c r="F533" t="s">
        <v>506</v>
      </c>
      <c r="G533" t="s">
        <v>507</v>
      </c>
      <c r="H533" t="s">
        <v>508</v>
      </c>
      <c r="I533" t="s">
        <v>509</v>
      </c>
      <c r="J533" t="s">
        <v>589</v>
      </c>
      <c r="K533" s="491">
        <f t="shared" si="42"/>
        <v>25600</v>
      </c>
      <c r="L533" t="s">
        <v>567</v>
      </c>
    </row>
    <row r="534" spans="1:12">
      <c r="A534" t="s">
        <v>514</v>
      </c>
      <c r="B534" t="s">
        <v>3361</v>
      </c>
      <c r="C534" s="60" t="s">
        <v>481</v>
      </c>
      <c r="D534" t="s">
        <v>587</v>
      </c>
      <c r="E534" t="s">
        <v>588</v>
      </c>
      <c r="F534" t="s">
        <v>506</v>
      </c>
      <c r="G534" t="s">
        <v>507</v>
      </c>
      <c r="H534" t="s">
        <v>508</v>
      </c>
      <c r="I534" t="s">
        <v>509</v>
      </c>
      <c r="J534" t="s">
        <v>589</v>
      </c>
      <c r="K534" s="491">
        <f t="shared" si="42"/>
        <v>25600</v>
      </c>
      <c r="L534" t="s">
        <v>567</v>
      </c>
    </row>
    <row r="535" spans="1:12">
      <c r="A535" t="s">
        <v>514</v>
      </c>
      <c r="B535" t="s">
        <v>3362</v>
      </c>
      <c r="C535" s="60" t="s">
        <v>481</v>
      </c>
      <c r="D535" t="s">
        <v>587</v>
      </c>
      <c r="E535" t="s">
        <v>588</v>
      </c>
      <c r="F535" t="s">
        <v>506</v>
      </c>
      <c r="G535" t="s">
        <v>507</v>
      </c>
      <c r="H535" t="s">
        <v>508</v>
      </c>
      <c r="I535" t="s">
        <v>509</v>
      </c>
      <c r="J535" t="s">
        <v>589</v>
      </c>
      <c r="K535" s="491">
        <f t="shared" si="42"/>
        <v>25600</v>
      </c>
      <c r="L535" t="s">
        <v>567</v>
      </c>
    </row>
    <row r="536" spans="1:12">
      <c r="A536" t="s">
        <v>514</v>
      </c>
      <c r="B536" t="s">
        <v>3363</v>
      </c>
      <c r="C536" s="60" t="s">
        <v>481</v>
      </c>
      <c r="D536" t="s">
        <v>587</v>
      </c>
      <c r="E536" t="s">
        <v>588</v>
      </c>
      <c r="F536" t="s">
        <v>506</v>
      </c>
      <c r="G536" t="s">
        <v>507</v>
      </c>
      <c r="H536" t="s">
        <v>508</v>
      </c>
      <c r="I536" t="s">
        <v>509</v>
      </c>
      <c r="J536" t="s">
        <v>589</v>
      </c>
      <c r="K536" s="491">
        <f t="shared" si="42"/>
        <v>25600</v>
      </c>
      <c r="L536" t="s">
        <v>567</v>
      </c>
    </row>
    <row r="537" spans="1:12">
      <c r="A537" t="s">
        <v>514</v>
      </c>
      <c r="B537" t="s">
        <v>3364</v>
      </c>
      <c r="C537" s="60" t="s">
        <v>481</v>
      </c>
      <c r="D537" t="s">
        <v>587</v>
      </c>
      <c r="E537" t="s">
        <v>588</v>
      </c>
      <c r="F537" t="s">
        <v>506</v>
      </c>
      <c r="G537" t="s">
        <v>507</v>
      </c>
      <c r="H537" t="s">
        <v>508</v>
      </c>
      <c r="I537" t="s">
        <v>509</v>
      </c>
      <c r="J537" t="s">
        <v>589</v>
      </c>
      <c r="K537" s="491">
        <f t="shared" si="42"/>
        <v>25600</v>
      </c>
      <c r="L537" t="s">
        <v>567</v>
      </c>
    </row>
    <row r="538" spans="1:12">
      <c r="A538" t="s">
        <v>514</v>
      </c>
      <c r="B538" t="s">
        <v>3365</v>
      </c>
      <c r="C538" s="60" t="s">
        <v>481</v>
      </c>
      <c r="D538" t="s">
        <v>587</v>
      </c>
      <c r="E538" t="s">
        <v>588</v>
      </c>
      <c r="F538" t="s">
        <v>506</v>
      </c>
      <c r="G538" t="s">
        <v>507</v>
      </c>
      <c r="H538" t="s">
        <v>508</v>
      </c>
      <c r="I538" t="s">
        <v>509</v>
      </c>
      <c r="J538" t="s">
        <v>589</v>
      </c>
      <c r="K538" s="491">
        <f t="shared" si="42"/>
        <v>25600</v>
      </c>
      <c r="L538" t="s">
        <v>567</v>
      </c>
    </row>
    <row r="539" spans="1:12">
      <c r="A539" t="s">
        <v>514</v>
      </c>
      <c r="B539" t="s">
        <v>3366</v>
      </c>
      <c r="C539" s="60" t="s">
        <v>481</v>
      </c>
      <c r="D539" t="s">
        <v>587</v>
      </c>
      <c r="E539" t="s">
        <v>588</v>
      </c>
      <c r="F539" t="s">
        <v>506</v>
      </c>
      <c r="G539" t="s">
        <v>507</v>
      </c>
      <c r="H539" t="s">
        <v>508</v>
      </c>
      <c r="I539" t="s">
        <v>509</v>
      </c>
      <c r="J539" t="s">
        <v>589</v>
      </c>
      <c r="K539" s="491">
        <f t="shared" si="42"/>
        <v>25600</v>
      </c>
      <c r="L539" t="s">
        <v>567</v>
      </c>
    </row>
    <row r="540" spans="1:12">
      <c r="A540" t="s">
        <v>514</v>
      </c>
      <c r="B540" t="s">
        <v>3367</v>
      </c>
      <c r="C540" s="60" t="s">
        <v>481</v>
      </c>
      <c r="D540" t="s">
        <v>587</v>
      </c>
      <c r="E540" t="s">
        <v>588</v>
      </c>
      <c r="F540" t="s">
        <v>506</v>
      </c>
      <c r="G540" t="s">
        <v>507</v>
      </c>
      <c r="H540" t="s">
        <v>508</v>
      </c>
      <c r="I540" t="s">
        <v>509</v>
      </c>
      <c r="J540" t="s">
        <v>589</v>
      </c>
      <c r="K540" s="491">
        <f t="shared" si="42"/>
        <v>25600</v>
      </c>
      <c r="L540" t="s">
        <v>567</v>
      </c>
    </row>
    <row r="541" spans="1:12">
      <c r="A541" t="s">
        <v>514</v>
      </c>
      <c r="B541" t="s">
        <v>3356</v>
      </c>
      <c r="C541" s="3" t="s">
        <v>820</v>
      </c>
      <c r="D541" t="s">
        <v>587</v>
      </c>
      <c r="E541" t="s">
        <v>588</v>
      </c>
      <c r="F541" t="s">
        <v>506</v>
      </c>
      <c r="G541" t="s">
        <v>507</v>
      </c>
      <c r="H541" t="s">
        <v>508</v>
      </c>
      <c r="I541" t="s">
        <v>509</v>
      </c>
      <c r="J541" t="s">
        <v>589</v>
      </c>
      <c r="K541" s="491">
        <v>10000</v>
      </c>
      <c r="L541" t="s">
        <v>819</v>
      </c>
    </row>
    <row r="542" spans="1:12">
      <c r="A542" t="s">
        <v>514</v>
      </c>
      <c r="B542" t="s">
        <v>3357</v>
      </c>
      <c r="C542" s="60" t="s">
        <v>820</v>
      </c>
      <c r="D542" t="s">
        <v>587</v>
      </c>
      <c r="E542" t="s">
        <v>588</v>
      </c>
      <c r="F542" t="s">
        <v>506</v>
      </c>
      <c r="G542" t="s">
        <v>507</v>
      </c>
      <c r="H542" t="s">
        <v>508</v>
      </c>
      <c r="I542" t="s">
        <v>509</v>
      </c>
      <c r="J542" t="s">
        <v>589</v>
      </c>
      <c r="K542" s="491">
        <f>+K541</f>
        <v>10000</v>
      </c>
      <c r="L542" t="s">
        <v>819</v>
      </c>
    </row>
    <row r="543" spans="1:12">
      <c r="A543" t="s">
        <v>514</v>
      </c>
      <c r="B543" t="s">
        <v>3358</v>
      </c>
      <c r="C543" s="60" t="s">
        <v>820</v>
      </c>
      <c r="D543" t="s">
        <v>587</v>
      </c>
      <c r="E543" t="s">
        <v>588</v>
      </c>
      <c r="F543" t="s">
        <v>506</v>
      </c>
      <c r="G543" t="s">
        <v>507</v>
      </c>
      <c r="H543" t="s">
        <v>508</v>
      </c>
      <c r="I543" t="s">
        <v>509</v>
      </c>
      <c r="J543" t="s">
        <v>589</v>
      </c>
      <c r="K543" s="491">
        <f>+K542</f>
        <v>10000</v>
      </c>
      <c r="L543" t="s">
        <v>819</v>
      </c>
    </row>
    <row r="544" spans="1:12">
      <c r="A544" t="s">
        <v>514</v>
      </c>
      <c r="B544" t="s">
        <v>3359</v>
      </c>
      <c r="C544" s="60" t="s">
        <v>820</v>
      </c>
      <c r="D544" t="s">
        <v>587</v>
      </c>
      <c r="E544" t="s">
        <v>588</v>
      </c>
      <c r="F544" t="s">
        <v>506</v>
      </c>
      <c r="G544" t="s">
        <v>507</v>
      </c>
      <c r="H544" t="s">
        <v>508</v>
      </c>
      <c r="I544" t="s">
        <v>509</v>
      </c>
      <c r="J544" t="s">
        <v>589</v>
      </c>
      <c r="K544" s="491">
        <f>+K543</f>
        <v>10000</v>
      </c>
      <c r="L544" t="s">
        <v>819</v>
      </c>
    </row>
    <row r="545" spans="1:12">
      <c r="A545" t="s">
        <v>514</v>
      </c>
      <c r="B545" t="s">
        <v>3360</v>
      </c>
      <c r="C545" s="60" t="s">
        <v>820</v>
      </c>
      <c r="D545" t="s">
        <v>587</v>
      </c>
      <c r="E545" t="s">
        <v>588</v>
      </c>
      <c r="F545" t="s">
        <v>506</v>
      </c>
      <c r="G545" t="s">
        <v>507</v>
      </c>
      <c r="H545" t="s">
        <v>508</v>
      </c>
      <c r="I545" t="s">
        <v>509</v>
      </c>
      <c r="J545" t="s">
        <v>589</v>
      </c>
      <c r="K545" s="491">
        <f>+K544</f>
        <v>10000</v>
      </c>
      <c r="L545" t="s">
        <v>819</v>
      </c>
    </row>
    <row r="546" spans="1:12">
      <c r="A546" t="s">
        <v>514</v>
      </c>
      <c r="B546" t="s">
        <v>3361</v>
      </c>
      <c r="C546" s="60" t="s">
        <v>820</v>
      </c>
      <c r="D546" t="s">
        <v>587</v>
      </c>
      <c r="E546" t="s">
        <v>588</v>
      </c>
      <c r="F546" t="s">
        <v>506</v>
      </c>
      <c r="G546" t="s">
        <v>507</v>
      </c>
      <c r="H546" t="s">
        <v>508</v>
      </c>
      <c r="I546" t="s">
        <v>509</v>
      </c>
      <c r="J546" t="s">
        <v>589</v>
      </c>
      <c r="K546" s="491">
        <f>+K545</f>
        <v>10000</v>
      </c>
      <c r="L546" t="s">
        <v>819</v>
      </c>
    </row>
    <row r="547" spans="1:12">
      <c r="A547" t="s">
        <v>514</v>
      </c>
      <c r="B547" t="s">
        <v>3362</v>
      </c>
      <c r="C547" s="60" t="s">
        <v>820</v>
      </c>
      <c r="D547" t="s">
        <v>587</v>
      </c>
      <c r="E547" t="s">
        <v>588</v>
      </c>
      <c r="F547" t="s">
        <v>506</v>
      </c>
      <c r="G547" t="s">
        <v>507</v>
      </c>
      <c r="H547" t="s">
        <v>508</v>
      </c>
      <c r="I547" t="s">
        <v>509</v>
      </c>
      <c r="J547" t="s">
        <v>589</v>
      </c>
      <c r="K547" s="491">
        <v>10000</v>
      </c>
      <c r="L547" t="s">
        <v>819</v>
      </c>
    </row>
    <row r="548" spans="1:12">
      <c r="A548" t="s">
        <v>514</v>
      </c>
      <c r="B548" t="s">
        <v>3363</v>
      </c>
      <c r="C548" s="60" t="s">
        <v>820</v>
      </c>
      <c r="D548" t="s">
        <v>587</v>
      </c>
      <c r="E548" t="s">
        <v>588</v>
      </c>
      <c r="F548" t="s">
        <v>506</v>
      </c>
      <c r="G548" t="s">
        <v>507</v>
      </c>
      <c r="H548" t="s">
        <v>508</v>
      </c>
      <c r="I548" t="s">
        <v>509</v>
      </c>
      <c r="J548" t="s">
        <v>589</v>
      </c>
      <c r="K548" s="491">
        <f>+K547</f>
        <v>10000</v>
      </c>
      <c r="L548" t="s">
        <v>819</v>
      </c>
    </row>
    <row r="549" spans="1:12">
      <c r="A549" t="s">
        <v>514</v>
      </c>
      <c r="B549" t="s">
        <v>3364</v>
      </c>
      <c r="C549" s="60" t="s">
        <v>820</v>
      </c>
      <c r="D549" t="s">
        <v>587</v>
      </c>
      <c r="E549" t="s">
        <v>588</v>
      </c>
      <c r="F549" t="s">
        <v>506</v>
      </c>
      <c r="G549" t="s">
        <v>507</v>
      </c>
      <c r="H549" t="s">
        <v>508</v>
      </c>
      <c r="I549" t="s">
        <v>509</v>
      </c>
      <c r="J549" t="s">
        <v>589</v>
      </c>
      <c r="K549" s="491">
        <f>+K548</f>
        <v>10000</v>
      </c>
      <c r="L549" t="s">
        <v>819</v>
      </c>
    </row>
    <row r="550" spans="1:12">
      <c r="A550" t="s">
        <v>514</v>
      </c>
      <c r="B550" t="s">
        <v>3365</v>
      </c>
      <c r="C550" s="60" t="s">
        <v>820</v>
      </c>
      <c r="D550" t="s">
        <v>587</v>
      </c>
      <c r="E550" t="s">
        <v>588</v>
      </c>
      <c r="F550" t="s">
        <v>506</v>
      </c>
      <c r="G550" t="s">
        <v>507</v>
      </c>
      <c r="H550" t="s">
        <v>508</v>
      </c>
      <c r="I550" t="s">
        <v>509</v>
      </c>
      <c r="J550" t="s">
        <v>589</v>
      </c>
      <c r="K550" s="491">
        <f>+K549</f>
        <v>10000</v>
      </c>
      <c r="L550" t="s">
        <v>819</v>
      </c>
    </row>
    <row r="551" spans="1:12">
      <c r="A551" t="s">
        <v>514</v>
      </c>
      <c r="B551" t="s">
        <v>3366</v>
      </c>
      <c r="C551" s="60" t="s">
        <v>820</v>
      </c>
      <c r="D551" t="s">
        <v>587</v>
      </c>
      <c r="E551" t="s">
        <v>588</v>
      </c>
      <c r="F551" t="s">
        <v>506</v>
      </c>
      <c r="G551" t="s">
        <v>507</v>
      </c>
      <c r="H551" t="s">
        <v>508</v>
      </c>
      <c r="I551" t="s">
        <v>509</v>
      </c>
      <c r="J551" t="s">
        <v>589</v>
      </c>
      <c r="K551" s="491">
        <f>+K550</f>
        <v>10000</v>
      </c>
      <c r="L551" t="s">
        <v>819</v>
      </c>
    </row>
    <row r="552" spans="1:12">
      <c r="A552" t="s">
        <v>514</v>
      </c>
      <c r="B552" t="s">
        <v>3367</v>
      </c>
      <c r="C552" s="60" t="s">
        <v>820</v>
      </c>
      <c r="D552" t="s">
        <v>587</v>
      </c>
      <c r="E552" t="s">
        <v>588</v>
      </c>
      <c r="F552" t="s">
        <v>506</v>
      </c>
      <c r="G552" t="s">
        <v>507</v>
      </c>
      <c r="H552" t="s">
        <v>508</v>
      </c>
      <c r="I552" t="s">
        <v>509</v>
      </c>
      <c r="J552" t="s">
        <v>589</v>
      </c>
      <c r="K552" s="491">
        <f>+K551</f>
        <v>10000</v>
      </c>
      <c r="L552" t="s">
        <v>819</v>
      </c>
    </row>
    <row r="553" spans="1:12">
      <c r="A553" t="s">
        <v>514</v>
      </c>
      <c r="B553" t="s">
        <v>3356</v>
      </c>
      <c r="C553" s="3" t="s">
        <v>822</v>
      </c>
      <c r="D553" t="s">
        <v>587</v>
      </c>
      <c r="E553" t="s">
        <v>588</v>
      </c>
      <c r="F553" t="s">
        <v>506</v>
      </c>
      <c r="G553" t="s">
        <v>507</v>
      </c>
      <c r="H553" t="s">
        <v>508</v>
      </c>
      <c r="I553" t="s">
        <v>509</v>
      </c>
      <c r="J553" t="s">
        <v>589</v>
      </c>
      <c r="K553" s="491">
        <v>24150</v>
      </c>
      <c r="L553" t="s">
        <v>821</v>
      </c>
    </row>
    <row r="554" spans="1:12">
      <c r="A554" t="s">
        <v>514</v>
      </c>
      <c r="B554" t="s">
        <v>3357</v>
      </c>
      <c r="C554" s="60" t="s">
        <v>822</v>
      </c>
      <c r="D554" t="s">
        <v>587</v>
      </c>
      <c r="E554" t="s">
        <v>588</v>
      </c>
      <c r="F554" t="s">
        <v>506</v>
      </c>
      <c r="G554" t="s">
        <v>507</v>
      </c>
      <c r="H554" t="s">
        <v>508</v>
      </c>
      <c r="I554" t="s">
        <v>509</v>
      </c>
      <c r="J554" t="s">
        <v>589</v>
      </c>
      <c r="K554" s="491">
        <f t="shared" ref="K554:K564" si="43">+K553</f>
        <v>24150</v>
      </c>
      <c r="L554" t="s">
        <v>821</v>
      </c>
    </row>
    <row r="555" spans="1:12">
      <c r="A555" t="s">
        <v>514</v>
      </c>
      <c r="B555" t="s">
        <v>3358</v>
      </c>
      <c r="C555" s="60" t="s">
        <v>822</v>
      </c>
      <c r="D555" t="s">
        <v>587</v>
      </c>
      <c r="E555" t="s">
        <v>588</v>
      </c>
      <c r="F555" t="s">
        <v>506</v>
      </c>
      <c r="G555" t="s">
        <v>507</v>
      </c>
      <c r="H555" t="s">
        <v>508</v>
      </c>
      <c r="I555" t="s">
        <v>509</v>
      </c>
      <c r="J555" t="s">
        <v>589</v>
      </c>
      <c r="K555" s="491">
        <f t="shared" si="43"/>
        <v>24150</v>
      </c>
      <c r="L555" t="s">
        <v>821</v>
      </c>
    </row>
    <row r="556" spans="1:12">
      <c r="A556" t="s">
        <v>514</v>
      </c>
      <c r="B556" t="s">
        <v>3359</v>
      </c>
      <c r="C556" s="60" t="s">
        <v>822</v>
      </c>
      <c r="D556" t="s">
        <v>587</v>
      </c>
      <c r="E556" t="s">
        <v>588</v>
      </c>
      <c r="F556" t="s">
        <v>506</v>
      </c>
      <c r="G556" t="s">
        <v>507</v>
      </c>
      <c r="H556" t="s">
        <v>508</v>
      </c>
      <c r="I556" t="s">
        <v>509</v>
      </c>
      <c r="J556" t="s">
        <v>589</v>
      </c>
      <c r="K556" s="491">
        <f t="shared" si="43"/>
        <v>24150</v>
      </c>
      <c r="L556" t="s">
        <v>821</v>
      </c>
    </row>
    <row r="557" spans="1:12">
      <c r="A557" t="s">
        <v>514</v>
      </c>
      <c r="B557" t="s">
        <v>3360</v>
      </c>
      <c r="C557" s="60" t="s">
        <v>822</v>
      </c>
      <c r="D557" t="s">
        <v>587</v>
      </c>
      <c r="E557" t="s">
        <v>588</v>
      </c>
      <c r="F557" t="s">
        <v>506</v>
      </c>
      <c r="G557" t="s">
        <v>507</v>
      </c>
      <c r="H557" t="s">
        <v>508</v>
      </c>
      <c r="I557" t="s">
        <v>509</v>
      </c>
      <c r="J557" t="s">
        <v>589</v>
      </c>
      <c r="K557" s="491">
        <f t="shared" si="43"/>
        <v>24150</v>
      </c>
      <c r="L557" t="s">
        <v>821</v>
      </c>
    </row>
    <row r="558" spans="1:12">
      <c r="A558" t="s">
        <v>514</v>
      </c>
      <c r="B558" t="s">
        <v>3361</v>
      </c>
      <c r="C558" s="60" t="s">
        <v>822</v>
      </c>
      <c r="D558" t="s">
        <v>587</v>
      </c>
      <c r="E558" t="s">
        <v>588</v>
      </c>
      <c r="F558" t="s">
        <v>506</v>
      </c>
      <c r="G558" t="s">
        <v>507</v>
      </c>
      <c r="H558" t="s">
        <v>508</v>
      </c>
      <c r="I558" t="s">
        <v>509</v>
      </c>
      <c r="J558" t="s">
        <v>589</v>
      </c>
      <c r="K558" s="491">
        <f t="shared" si="43"/>
        <v>24150</v>
      </c>
      <c r="L558" t="s">
        <v>821</v>
      </c>
    </row>
    <row r="559" spans="1:12">
      <c r="A559" t="s">
        <v>514</v>
      </c>
      <c r="B559" t="s">
        <v>3362</v>
      </c>
      <c r="C559" s="60" t="s">
        <v>822</v>
      </c>
      <c r="D559" t="s">
        <v>587</v>
      </c>
      <c r="E559" t="s">
        <v>588</v>
      </c>
      <c r="F559" t="s">
        <v>506</v>
      </c>
      <c r="G559" t="s">
        <v>507</v>
      </c>
      <c r="H559" t="s">
        <v>508</v>
      </c>
      <c r="I559" t="s">
        <v>509</v>
      </c>
      <c r="J559" t="s">
        <v>589</v>
      </c>
      <c r="K559" s="491">
        <f t="shared" si="43"/>
        <v>24150</v>
      </c>
      <c r="L559" t="s">
        <v>821</v>
      </c>
    </row>
    <row r="560" spans="1:12">
      <c r="A560" t="s">
        <v>514</v>
      </c>
      <c r="B560" t="s">
        <v>3363</v>
      </c>
      <c r="C560" s="60" t="s">
        <v>822</v>
      </c>
      <c r="D560" t="s">
        <v>587</v>
      </c>
      <c r="E560" t="s">
        <v>588</v>
      </c>
      <c r="F560" t="s">
        <v>506</v>
      </c>
      <c r="G560" t="s">
        <v>507</v>
      </c>
      <c r="H560" t="s">
        <v>508</v>
      </c>
      <c r="I560" t="s">
        <v>509</v>
      </c>
      <c r="J560" t="s">
        <v>589</v>
      </c>
      <c r="K560" s="491">
        <f t="shared" si="43"/>
        <v>24150</v>
      </c>
      <c r="L560" t="s">
        <v>821</v>
      </c>
    </row>
    <row r="561" spans="1:12">
      <c r="A561" t="s">
        <v>514</v>
      </c>
      <c r="B561" t="s">
        <v>3364</v>
      </c>
      <c r="C561" s="60" t="s">
        <v>822</v>
      </c>
      <c r="D561" t="s">
        <v>587</v>
      </c>
      <c r="E561" t="s">
        <v>588</v>
      </c>
      <c r="F561" t="s">
        <v>506</v>
      </c>
      <c r="G561" t="s">
        <v>507</v>
      </c>
      <c r="H561" t="s">
        <v>508</v>
      </c>
      <c r="I561" t="s">
        <v>509</v>
      </c>
      <c r="J561" t="s">
        <v>589</v>
      </c>
      <c r="K561" s="491">
        <f t="shared" si="43"/>
        <v>24150</v>
      </c>
      <c r="L561" t="s">
        <v>821</v>
      </c>
    </row>
    <row r="562" spans="1:12">
      <c r="A562" t="s">
        <v>514</v>
      </c>
      <c r="B562" t="s">
        <v>3365</v>
      </c>
      <c r="C562" s="60" t="s">
        <v>822</v>
      </c>
      <c r="D562" t="s">
        <v>587</v>
      </c>
      <c r="E562" t="s">
        <v>588</v>
      </c>
      <c r="F562" t="s">
        <v>506</v>
      </c>
      <c r="G562" t="s">
        <v>507</v>
      </c>
      <c r="H562" t="s">
        <v>508</v>
      </c>
      <c r="I562" t="s">
        <v>509</v>
      </c>
      <c r="J562" t="s">
        <v>589</v>
      </c>
      <c r="K562" s="491">
        <f t="shared" si="43"/>
        <v>24150</v>
      </c>
      <c r="L562" t="s">
        <v>821</v>
      </c>
    </row>
    <row r="563" spans="1:12">
      <c r="A563" t="s">
        <v>514</v>
      </c>
      <c r="B563" t="s">
        <v>3366</v>
      </c>
      <c r="C563" s="60" t="s">
        <v>822</v>
      </c>
      <c r="D563" t="s">
        <v>587</v>
      </c>
      <c r="E563" t="s">
        <v>588</v>
      </c>
      <c r="F563" t="s">
        <v>506</v>
      </c>
      <c r="G563" t="s">
        <v>507</v>
      </c>
      <c r="H563" t="s">
        <v>508</v>
      </c>
      <c r="I563" t="s">
        <v>509</v>
      </c>
      <c r="J563" t="s">
        <v>589</v>
      </c>
      <c r="K563" s="491">
        <f t="shared" si="43"/>
        <v>24150</v>
      </c>
      <c r="L563" t="s">
        <v>821</v>
      </c>
    </row>
    <row r="564" spans="1:12">
      <c r="A564" t="s">
        <v>514</v>
      </c>
      <c r="B564" t="s">
        <v>3367</v>
      </c>
      <c r="C564" s="60" t="s">
        <v>822</v>
      </c>
      <c r="D564" t="s">
        <v>587</v>
      </c>
      <c r="E564" t="s">
        <v>588</v>
      </c>
      <c r="F564" t="s">
        <v>506</v>
      </c>
      <c r="G564" t="s">
        <v>507</v>
      </c>
      <c r="H564" t="s">
        <v>508</v>
      </c>
      <c r="I564" t="s">
        <v>509</v>
      </c>
      <c r="J564" t="s">
        <v>589</v>
      </c>
      <c r="K564" s="491">
        <f t="shared" si="43"/>
        <v>24150</v>
      </c>
      <c r="L564" t="s">
        <v>821</v>
      </c>
    </row>
    <row r="565" spans="1:12">
      <c r="A565" t="s">
        <v>514</v>
      </c>
      <c r="B565" t="s">
        <v>3356</v>
      </c>
      <c r="C565" s="3" t="s">
        <v>824</v>
      </c>
      <c r="D565" t="s">
        <v>587</v>
      </c>
      <c r="E565" t="s">
        <v>588</v>
      </c>
      <c r="F565" t="s">
        <v>506</v>
      </c>
      <c r="G565" t="s">
        <v>507</v>
      </c>
      <c r="H565" t="s">
        <v>508</v>
      </c>
      <c r="I565" t="s">
        <v>509</v>
      </c>
      <c r="J565" t="s">
        <v>589</v>
      </c>
      <c r="K565" s="491">
        <v>20100</v>
      </c>
      <c r="L565" t="s">
        <v>823</v>
      </c>
    </row>
    <row r="566" spans="1:12">
      <c r="A566" t="s">
        <v>514</v>
      </c>
      <c r="B566" t="s">
        <v>3357</v>
      </c>
      <c r="C566" s="60" t="s">
        <v>824</v>
      </c>
      <c r="D566" t="s">
        <v>587</v>
      </c>
      <c r="E566" t="s">
        <v>588</v>
      </c>
      <c r="F566" t="s">
        <v>506</v>
      </c>
      <c r="G566" t="s">
        <v>507</v>
      </c>
      <c r="H566" t="s">
        <v>508</v>
      </c>
      <c r="I566" t="s">
        <v>509</v>
      </c>
      <c r="J566" t="s">
        <v>589</v>
      </c>
      <c r="K566" s="491">
        <f>+K565</f>
        <v>20100</v>
      </c>
      <c r="L566" t="s">
        <v>823</v>
      </c>
    </row>
    <row r="567" spans="1:12">
      <c r="A567" t="s">
        <v>514</v>
      </c>
      <c r="B567" t="s">
        <v>3358</v>
      </c>
      <c r="C567" s="60" t="s">
        <v>824</v>
      </c>
      <c r="D567" t="s">
        <v>587</v>
      </c>
      <c r="E567" t="s">
        <v>588</v>
      </c>
      <c r="F567" t="s">
        <v>506</v>
      </c>
      <c r="G567" t="s">
        <v>507</v>
      </c>
      <c r="H567" t="s">
        <v>508</v>
      </c>
      <c r="I567" t="s">
        <v>509</v>
      </c>
      <c r="J567" t="s">
        <v>589</v>
      </c>
      <c r="K567" s="491">
        <f>+K566</f>
        <v>20100</v>
      </c>
      <c r="L567" t="s">
        <v>823</v>
      </c>
    </row>
    <row r="568" spans="1:12">
      <c r="A568" t="s">
        <v>514</v>
      </c>
      <c r="B568" t="s">
        <v>3359</v>
      </c>
      <c r="C568" s="60" t="s">
        <v>824</v>
      </c>
      <c r="D568" t="s">
        <v>587</v>
      </c>
      <c r="E568" t="s">
        <v>588</v>
      </c>
      <c r="F568" t="s">
        <v>506</v>
      </c>
      <c r="G568" t="s">
        <v>507</v>
      </c>
      <c r="H568" t="s">
        <v>508</v>
      </c>
      <c r="I568" t="s">
        <v>509</v>
      </c>
      <c r="J568" t="s">
        <v>589</v>
      </c>
      <c r="K568" s="491">
        <f>+K567</f>
        <v>20100</v>
      </c>
      <c r="L568" t="s">
        <v>823</v>
      </c>
    </row>
    <row r="569" spans="1:12">
      <c r="A569" t="s">
        <v>514</v>
      </c>
      <c r="B569" t="s">
        <v>3360</v>
      </c>
      <c r="C569" s="60" t="s">
        <v>824</v>
      </c>
      <c r="D569" t="s">
        <v>587</v>
      </c>
      <c r="E569" t="s">
        <v>588</v>
      </c>
      <c r="F569" t="s">
        <v>506</v>
      </c>
      <c r="G569" t="s">
        <v>507</v>
      </c>
      <c r="H569" t="s">
        <v>508</v>
      </c>
      <c r="I569" t="s">
        <v>509</v>
      </c>
      <c r="J569" t="s">
        <v>589</v>
      </c>
      <c r="K569" s="491">
        <f>+K568</f>
        <v>20100</v>
      </c>
      <c r="L569" t="s">
        <v>823</v>
      </c>
    </row>
    <row r="570" spans="1:12">
      <c r="A570" t="s">
        <v>514</v>
      </c>
      <c r="B570" t="s">
        <v>3361</v>
      </c>
      <c r="C570" s="60" t="s">
        <v>824</v>
      </c>
      <c r="D570" t="s">
        <v>587</v>
      </c>
      <c r="E570" t="s">
        <v>588</v>
      </c>
      <c r="F570" t="s">
        <v>506</v>
      </c>
      <c r="G570" t="s">
        <v>507</v>
      </c>
      <c r="H570" t="s">
        <v>508</v>
      </c>
      <c r="I570" t="s">
        <v>509</v>
      </c>
      <c r="J570" t="s">
        <v>589</v>
      </c>
      <c r="K570" s="491">
        <f>+K569</f>
        <v>20100</v>
      </c>
      <c r="L570" t="s">
        <v>823</v>
      </c>
    </row>
    <row r="571" spans="1:12">
      <c r="A571" t="s">
        <v>514</v>
      </c>
      <c r="B571" t="s">
        <v>3362</v>
      </c>
      <c r="C571" s="60" t="s">
        <v>824</v>
      </c>
      <c r="D571" t="s">
        <v>587</v>
      </c>
      <c r="E571" t="s">
        <v>588</v>
      </c>
      <c r="F571" t="s">
        <v>506</v>
      </c>
      <c r="G571" t="s">
        <v>507</v>
      </c>
      <c r="H571" t="s">
        <v>508</v>
      </c>
      <c r="I571" t="s">
        <v>509</v>
      </c>
      <c r="J571" t="s">
        <v>589</v>
      </c>
      <c r="K571" s="491">
        <f t="shared" ref="K571:K576" si="44">+K570</f>
        <v>20100</v>
      </c>
      <c r="L571" t="s">
        <v>823</v>
      </c>
    </row>
    <row r="572" spans="1:12">
      <c r="A572" t="s">
        <v>514</v>
      </c>
      <c r="B572" t="s">
        <v>3363</v>
      </c>
      <c r="C572" s="60" t="s">
        <v>824</v>
      </c>
      <c r="D572" t="s">
        <v>587</v>
      </c>
      <c r="E572" t="s">
        <v>588</v>
      </c>
      <c r="F572" t="s">
        <v>506</v>
      </c>
      <c r="G572" t="s">
        <v>507</v>
      </c>
      <c r="H572" t="s">
        <v>508</v>
      </c>
      <c r="I572" t="s">
        <v>509</v>
      </c>
      <c r="J572" t="s">
        <v>589</v>
      </c>
      <c r="K572" s="491">
        <f t="shared" si="44"/>
        <v>20100</v>
      </c>
      <c r="L572" t="s">
        <v>823</v>
      </c>
    </row>
    <row r="573" spans="1:12">
      <c r="A573" t="s">
        <v>514</v>
      </c>
      <c r="B573" t="s">
        <v>3364</v>
      </c>
      <c r="C573" s="60" t="s">
        <v>824</v>
      </c>
      <c r="D573" t="s">
        <v>587</v>
      </c>
      <c r="E573" t="s">
        <v>588</v>
      </c>
      <c r="F573" t="s">
        <v>506</v>
      </c>
      <c r="G573" t="s">
        <v>507</v>
      </c>
      <c r="H573" t="s">
        <v>508</v>
      </c>
      <c r="I573" t="s">
        <v>509</v>
      </c>
      <c r="J573" t="s">
        <v>589</v>
      </c>
      <c r="K573" s="491">
        <f t="shared" si="44"/>
        <v>20100</v>
      </c>
      <c r="L573" t="s">
        <v>823</v>
      </c>
    </row>
    <row r="574" spans="1:12">
      <c r="A574" t="s">
        <v>514</v>
      </c>
      <c r="B574" t="s">
        <v>3365</v>
      </c>
      <c r="C574" s="60" t="s">
        <v>824</v>
      </c>
      <c r="D574" t="s">
        <v>587</v>
      </c>
      <c r="E574" t="s">
        <v>588</v>
      </c>
      <c r="F574" t="s">
        <v>506</v>
      </c>
      <c r="G574" t="s">
        <v>507</v>
      </c>
      <c r="H574" t="s">
        <v>508</v>
      </c>
      <c r="I574" t="s">
        <v>509</v>
      </c>
      <c r="J574" t="s">
        <v>589</v>
      </c>
      <c r="K574" s="491">
        <f t="shared" si="44"/>
        <v>20100</v>
      </c>
      <c r="L574" t="s">
        <v>823</v>
      </c>
    </row>
    <row r="575" spans="1:12">
      <c r="A575" t="s">
        <v>514</v>
      </c>
      <c r="B575" t="s">
        <v>3366</v>
      </c>
      <c r="C575" s="60" t="s">
        <v>824</v>
      </c>
      <c r="D575" t="s">
        <v>587</v>
      </c>
      <c r="E575" t="s">
        <v>588</v>
      </c>
      <c r="F575" t="s">
        <v>506</v>
      </c>
      <c r="G575" t="s">
        <v>507</v>
      </c>
      <c r="H575" t="s">
        <v>508</v>
      </c>
      <c r="I575" t="s">
        <v>509</v>
      </c>
      <c r="J575" t="s">
        <v>589</v>
      </c>
      <c r="K575" s="491">
        <f t="shared" si="44"/>
        <v>20100</v>
      </c>
      <c r="L575" t="s">
        <v>823</v>
      </c>
    </row>
    <row r="576" spans="1:12">
      <c r="A576" t="s">
        <v>514</v>
      </c>
      <c r="B576" t="s">
        <v>3367</v>
      </c>
      <c r="C576" s="60" t="s">
        <v>824</v>
      </c>
      <c r="D576" t="s">
        <v>587</v>
      </c>
      <c r="E576" t="s">
        <v>588</v>
      </c>
      <c r="F576" t="s">
        <v>506</v>
      </c>
      <c r="G576" t="s">
        <v>507</v>
      </c>
      <c r="H576" t="s">
        <v>508</v>
      </c>
      <c r="I576" t="s">
        <v>509</v>
      </c>
      <c r="J576" t="s">
        <v>589</v>
      </c>
      <c r="K576" s="491">
        <f t="shared" si="44"/>
        <v>20100</v>
      </c>
      <c r="L576" t="s">
        <v>823</v>
      </c>
    </row>
    <row r="577" spans="1:14">
      <c r="A577" t="s">
        <v>514</v>
      </c>
      <c r="B577" t="s">
        <v>3356</v>
      </c>
      <c r="C577" s="3" t="s">
        <v>826</v>
      </c>
      <c r="D577" t="s">
        <v>587</v>
      </c>
      <c r="E577" t="s">
        <v>588</v>
      </c>
      <c r="F577" t="s">
        <v>506</v>
      </c>
      <c r="G577" t="s">
        <v>507</v>
      </c>
      <c r="H577" t="s">
        <v>508</v>
      </c>
      <c r="I577" t="s">
        <v>509</v>
      </c>
      <c r="J577" t="s">
        <v>589</v>
      </c>
      <c r="K577" s="491">
        <v>23100</v>
      </c>
      <c r="L577" t="s">
        <v>825</v>
      </c>
    </row>
    <row r="578" spans="1:14">
      <c r="A578" t="s">
        <v>514</v>
      </c>
      <c r="B578" t="s">
        <v>3357</v>
      </c>
      <c r="C578" s="60" t="s">
        <v>826</v>
      </c>
      <c r="D578" t="s">
        <v>587</v>
      </c>
      <c r="E578" t="s">
        <v>588</v>
      </c>
      <c r="F578" t="s">
        <v>506</v>
      </c>
      <c r="G578" t="s">
        <v>507</v>
      </c>
      <c r="H578" t="s">
        <v>508</v>
      </c>
      <c r="I578" t="s">
        <v>509</v>
      </c>
      <c r="J578" t="s">
        <v>589</v>
      </c>
      <c r="K578" s="491">
        <v>23100</v>
      </c>
      <c r="L578" t="s">
        <v>825</v>
      </c>
    </row>
    <row r="579" spans="1:14">
      <c r="A579" t="s">
        <v>514</v>
      </c>
      <c r="B579" t="s">
        <v>3358</v>
      </c>
      <c r="C579" s="60" t="s">
        <v>826</v>
      </c>
      <c r="D579" t="s">
        <v>587</v>
      </c>
      <c r="E579" t="s">
        <v>588</v>
      </c>
      <c r="F579" t="s">
        <v>506</v>
      </c>
      <c r="G579" t="s">
        <v>507</v>
      </c>
      <c r="H579" t="s">
        <v>508</v>
      </c>
      <c r="I579" t="s">
        <v>509</v>
      </c>
      <c r="J579" t="s">
        <v>589</v>
      </c>
      <c r="K579" s="491">
        <f>+K578</f>
        <v>23100</v>
      </c>
      <c r="L579" t="s">
        <v>825</v>
      </c>
    </row>
    <row r="580" spans="1:14">
      <c r="A580" t="s">
        <v>514</v>
      </c>
      <c r="B580" t="s">
        <v>3359</v>
      </c>
      <c r="C580" s="60" t="s">
        <v>826</v>
      </c>
      <c r="D580" t="s">
        <v>587</v>
      </c>
      <c r="E580" t="s">
        <v>588</v>
      </c>
      <c r="F580" t="s">
        <v>506</v>
      </c>
      <c r="G580" t="s">
        <v>507</v>
      </c>
      <c r="H580" t="s">
        <v>508</v>
      </c>
      <c r="I580" t="s">
        <v>509</v>
      </c>
      <c r="J580" t="s">
        <v>589</v>
      </c>
      <c r="K580" s="491">
        <f t="shared" ref="K580:K588" si="45">+K579</f>
        <v>23100</v>
      </c>
      <c r="L580" t="s">
        <v>825</v>
      </c>
    </row>
    <row r="581" spans="1:14">
      <c r="A581" t="s">
        <v>514</v>
      </c>
      <c r="B581" t="s">
        <v>3360</v>
      </c>
      <c r="C581" s="60" t="s">
        <v>826</v>
      </c>
      <c r="D581" t="s">
        <v>587</v>
      </c>
      <c r="E581" t="s">
        <v>588</v>
      </c>
      <c r="F581" t="s">
        <v>506</v>
      </c>
      <c r="G581" t="s">
        <v>507</v>
      </c>
      <c r="H581" t="s">
        <v>508</v>
      </c>
      <c r="I581" t="s">
        <v>509</v>
      </c>
      <c r="J581" t="s">
        <v>589</v>
      </c>
      <c r="K581" s="491">
        <f t="shared" si="45"/>
        <v>23100</v>
      </c>
      <c r="L581" t="s">
        <v>825</v>
      </c>
    </row>
    <row r="582" spans="1:14">
      <c r="A582" t="s">
        <v>514</v>
      </c>
      <c r="B582" t="s">
        <v>3361</v>
      </c>
      <c r="C582" s="60" t="s">
        <v>826</v>
      </c>
      <c r="D582" t="s">
        <v>587</v>
      </c>
      <c r="E582" t="s">
        <v>588</v>
      </c>
      <c r="F582" t="s">
        <v>506</v>
      </c>
      <c r="G582" t="s">
        <v>507</v>
      </c>
      <c r="H582" t="s">
        <v>508</v>
      </c>
      <c r="I582" t="s">
        <v>509</v>
      </c>
      <c r="J582" t="s">
        <v>589</v>
      </c>
      <c r="K582" s="491">
        <f t="shared" si="45"/>
        <v>23100</v>
      </c>
      <c r="L582" t="s">
        <v>825</v>
      </c>
    </row>
    <row r="583" spans="1:14">
      <c r="A583" t="s">
        <v>514</v>
      </c>
      <c r="B583" t="s">
        <v>3362</v>
      </c>
      <c r="C583" s="60" t="s">
        <v>826</v>
      </c>
      <c r="D583" t="s">
        <v>587</v>
      </c>
      <c r="E583" t="s">
        <v>588</v>
      </c>
      <c r="F583" t="s">
        <v>506</v>
      </c>
      <c r="G583" t="s">
        <v>507</v>
      </c>
      <c r="H583" t="s">
        <v>508</v>
      </c>
      <c r="I583" t="s">
        <v>509</v>
      </c>
      <c r="J583" t="s">
        <v>589</v>
      </c>
      <c r="K583" s="491">
        <f t="shared" si="45"/>
        <v>23100</v>
      </c>
      <c r="L583" t="s">
        <v>825</v>
      </c>
    </row>
    <row r="584" spans="1:14">
      <c r="A584" t="s">
        <v>514</v>
      </c>
      <c r="B584" t="s">
        <v>3363</v>
      </c>
      <c r="C584" s="60" t="s">
        <v>826</v>
      </c>
      <c r="D584" t="s">
        <v>587</v>
      </c>
      <c r="E584" t="s">
        <v>588</v>
      </c>
      <c r="F584" t="s">
        <v>506</v>
      </c>
      <c r="G584" t="s">
        <v>507</v>
      </c>
      <c r="H584" t="s">
        <v>508</v>
      </c>
      <c r="I584" t="s">
        <v>509</v>
      </c>
      <c r="J584" t="s">
        <v>589</v>
      </c>
      <c r="K584" s="491">
        <f t="shared" si="45"/>
        <v>23100</v>
      </c>
      <c r="L584" t="s">
        <v>825</v>
      </c>
    </row>
    <row r="585" spans="1:14">
      <c r="A585" t="s">
        <v>514</v>
      </c>
      <c r="B585" t="s">
        <v>3364</v>
      </c>
      <c r="C585" s="60" t="s">
        <v>826</v>
      </c>
      <c r="D585" t="s">
        <v>587</v>
      </c>
      <c r="E585" t="s">
        <v>588</v>
      </c>
      <c r="F585" t="s">
        <v>506</v>
      </c>
      <c r="G585" t="s">
        <v>507</v>
      </c>
      <c r="H585" t="s">
        <v>508</v>
      </c>
      <c r="I585" t="s">
        <v>509</v>
      </c>
      <c r="J585" t="s">
        <v>589</v>
      </c>
      <c r="K585" s="491">
        <f t="shared" si="45"/>
        <v>23100</v>
      </c>
      <c r="L585" t="s">
        <v>825</v>
      </c>
    </row>
    <row r="586" spans="1:14">
      <c r="A586" t="s">
        <v>514</v>
      </c>
      <c r="B586" t="s">
        <v>3365</v>
      </c>
      <c r="C586" s="60" t="s">
        <v>826</v>
      </c>
      <c r="D586" t="s">
        <v>587</v>
      </c>
      <c r="E586" t="s">
        <v>588</v>
      </c>
      <c r="F586" t="s">
        <v>506</v>
      </c>
      <c r="G586" t="s">
        <v>507</v>
      </c>
      <c r="H586" t="s">
        <v>508</v>
      </c>
      <c r="I586" t="s">
        <v>509</v>
      </c>
      <c r="J586" t="s">
        <v>589</v>
      </c>
      <c r="K586" s="491">
        <f t="shared" si="45"/>
        <v>23100</v>
      </c>
      <c r="L586" t="s">
        <v>825</v>
      </c>
    </row>
    <row r="587" spans="1:14">
      <c r="A587" t="s">
        <v>514</v>
      </c>
      <c r="B587" t="s">
        <v>3366</v>
      </c>
      <c r="C587" s="60" t="s">
        <v>826</v>
      </c>
      <c r="D587" t="s">
        <v>587</v>
      </c>
      <c r="E587" t="s">
        <v>588</v>
      </c>
      <c r="F587" t="s">
        <v>506</v>
      </c>
      <c r="G587" t="s">
        <v>507</v>
      </c>
      <c r="H587" t="s">
        <v>508</v>
      </c>
      <c r="I587" t="s">
        <v>509</v>
      </c>
      <c r="J587" t="s">
        <v>589</v>
      </c>
      <c r="K587" s="491">
        <f t="shared" si="45"/>
        <v>23100</v>
      </c>
      <c r="L587" t="s">
        <v>825</v>
      </c>
    </row>
    <row r="588" spans="1:14">
      <c r="A588" t="s">
        <v>514</v>
      </c>
      <c r="B588" t="s">
        <v>3367</v>
      </c>
      <c r="C588" s="60" t="s">
        <v>826</v>
      </c>
      <c r="D588" t="s">
        <v>587</v>
      </c>
      <c r="E588" t="s">
        <v>588</v>
      </c>
      <c r="F588" t="s">
        <v>506</v>
      </c>
      <c r="G588" t="s">
        <v>507</v>
      </c>
      <c r="H588" t="s">
        <v>508</v>
      </c>
      <c r="I588" t="s">
        <v>509</v>
      </c>
      <c r="J588" t="s">
        <v>589</v>
      </c>
      <c r="K588" s="491">
        <f t="shared" si="45"/>
        <v>23100</v>
      </c>
      <c r="L588" t="s">
        <v>825</v>
      </c>
    </row>
    <row r="589" spans="1:14">
      <c r="A589" t="s">
        <v>514</v>
      </c>
      <c r="B589" t="s">
        <v>3356</v>
      </c>
      <c r="C589" s="3" t="s">
        <v>375</v>
      </c>
      <c r="D589" t="s">
        <v>587</v>
      </c>
      <c r="E589" t="s">
        <v>588</v>
      </c>
      <c r="F589" t="s">
        <v>506</v>
      </c>
      <c r="G589" t="s">
        <v>507</v>
      </c>
      <c r="H589" t="s">
        <v>508</v>
      </c>
      <c r="I589" t="s">
        <v>509</v>
      </c>
      <c r="J589" t="s">
        <v>589</v>
      </c>
      <c r="K589" s="3">
        <v>12000</v>
      </c>
      <c r="L589" t="s">
        <v>483</v>
      </c>
    </row>
    <row r="590" spans="1:14">
      <c r="A590" t="s">
        <v>514</v>
      </c>
      <c r="B590" t="s">
        <v>3357</v>
      </c>
      <c r="C590" s="60" t="s">
        <v>375</v>
      </c>
      <c r="D590" t="s">
        <v>587</v>
      </c>
      <c r="E590" t="s">
        <v>588</v>
      </c>
      <c r="F590" t="s">
        <v>506</v>
      </c>
      <c r="G590" t="s">
        <v>507</v>
      </c>
      <c r="H590" t="s">
        <v>508</v>
      </c>
      <c r="I590" t="s">
        <v>509</v>
      </c>
      <c r="J590" t="s">
        <v>589</v>
      </c>
      <c r="K590" s="3">
        <v>0</v>
      </c>
      <c r="L590" t="s">
        <v>483</v>
      </c>
      <c r="N590" t="s">
        <v>3442</v>
      </c>
    </row>
    <row r="591" spans="1:14">
      <c r="A591" t="s">
        <v>514</v>
      </c>
      <c r="B591" t="s">
        <v>3358</v>
      </c>
      <c r="C591" s="60" t="s">
        <v>375</v>
      </c>
      <c r="D591" t="s">
        <v>587</v>
      </c>
      <c r="E591" t="s">
        <v>588</v>
      </c>
      <c r="F591" t="s">
        <v>506</v>
      </c>
      <c r="G591" t="s">
        <v>507</v>
      </c>
      <c r="H591" t="s">
        <v>508</v>
      </c>
      <c r="I591" t="s">
        <v>509</v>
      </c>
      <c r="J591" t="s">
        <v>589</v>
      </c>
      <c r="K591" s="3">
        <f t="shared" ref="K591:K600" si="46">+K590</f>
        <v>0</v>
      </c>
      <c r="L591" t="s">
        <v>483</v>
      </c>
      <c r="N591" t="s">
        <v>3442</v>
      </c>
    </row>
    <row r="592" spans="1:14">
      <c r="A592" t="s">
        <v>514</v>
      </c>
      <c r="B592" t="s">
        <v>3359</v>
      </c>
      <c r="C592" s="60" t="s">
        <v>375</v>
      </c>
      <c r="D592" t="s">
        <v>587</v>
      </c>
      <c r="E592" t="s">
        <v>588</v>
      </c>
      <c r="F592" t="s">
        <v>506</v>
      </c>
      <c r="G592" t="s">
        <v>507</v>
      </c>
      <c r="H592" t="s">
        <v>508</v>
      </c>
      <c r="I592" t="s">
        <v>509</v>
      </c>
      <c r="J592" t="s">
        <v>589</v>
      </c>
      <c r="K592" s="3">
        <f t="shared" si="46"/>
        <v>0</v>
      </c>
      <c r="L592" t="s">
        <v>483</v>
      </c>
      <c r="N592" t="s">
        <v>3442</v>
      </c>
    </row>
    <row r="593" spans="1:14">
      <c r="A593" t="s">
        <v>514</v>
      </c>
      <c r="B593" t="s">
        <v>3360</v>
      </c>
      <c r="C593" s="60" t="s">
        <v>375</v>
      </c>
      <c r="D593" t="s">
        <v>587</v>
      </c>
      <c r="E593" t="s">
        <v>588</v>
      </c>
      <c r="F593" t="s">
        <v>506</v>
      </c>
      <c r="G593" t="s">
        <v>507</v>
      </c>
      <c r="H593" t="s">
        <v>508</v>
      </c>
      <c r="I593" t="s">
        <v>509</v>
      </c>
      <c r="J593" t="s">
        <v>589</v>
      </c>
      <c r="K593" s="3">
        <f t="shared" si="46"/>
        <v>0</v>
      </c>
      <c r="L593" t="s">
        <v>483</v>
      </c>
      <c r="N593" t="s">
        <v>3442</v>
      </c>
    </row>
    <row r="594" spans="1:14">
      <c r="A594" t="s">
        <v>514</v>
      </c>
      <c r="B594" t="s">
        <v>3361</v>
      </c>
      <c r="C594" s="60" t="s">
        <v>375</v>
      </c>
      <c r="D594" t="s">
        <v>587</v>
      </c>
      <c r="E594" t="s">
        <v>588</v>
      </c>
      <c r="F594" t="s">
        <v>506</v>
      </c>
      <c r="G594" t="s">
        <v>507</v>
      </c>
      <c r="H594" t="s">
        <v>508</v>
      </c>
      <c r="I594" t="s">
        <v>509</v>
      </c>
      <c r="J594" t="s">
        <v>589</v>
      </c>
      <c r="K594" s="3">
        <f t="shared" si="46"/>
        <v>0</v>
      </c>
      <c r="L594" t="s">
        <v>483</v>
      </c>
      <c r="N594" t="s">
        <v>3442</v>
      </c>
    </row>
    <row r="595" spans="1:14">
      <c r="A595" t="s">
        <v>514</v>
      </c>
      <c r="B595" t="s">
        <v>3362</v>
      </c>
      <c r="C595" s="60" t="s">
        <v>375</v>
      </c>
      <c r="D595" t="s">
        <v>587</v>
      </c>
      <c r="E595" t="s">
        <v>588</v>
      </c>
      <c r="F595" t="s">
        <v>506</v>
      </c>
      <c r="G595" t="s">
        <v>507</v>
      </c>
      <c r="H595" t="s">
        <v>508</v>
      </c>
      <c r="I595" t="s">
        <v>509</v>
      </c>
      <c r="J595" t="s">
        <v>589</v>
      </c>
      <c r="K595" s="3">
        <f t="shared" si="46"/>
        <v>0</v>
      </c>
      <c r="L595" t="s">
        <v>483</v>
      </c>
      <c r="N595" t="s">
        <v>3442</v>
      </c>
    </row>
    <row r="596" spans="1:14">
      <c r="A596" t="s">
        <v>514</v>
      </c>
      <c r="B596" t="s">
        <v>3363</v>
      </c>
      <c r="C596" s="60" t="s">
        <v>375</v>
      </c>
      <c r="D596" t="s">
        <v>587</v>
      </c>
      <c r="E596" t="s">
        <v>588</v>
      </c>
      <c r="F596" t="s">
        <v>506</v>
      </c>
      <c r="G596" t="s">
        <v>507</v>
      </c>
      <c r="H596" t="s">
        <v>508</v>
      </c>
      <c r="I596" t="s">
        <v>509</v>
      </c>
      <c r="J596" t="s">
        <v>589</v>
      </c>
      <c r="K596" s="3">
        <f t="shared" si="46"/>
        <v>0</v>
      </c>
      <c r="L596" t="s">
        <v>483</v>
      </c>
      <c r="N596" t="s">
        <v>3442</v>
      </c>
    </row>
    <row r="597" spans="1:14">
      <c r="A597" t="s">
        <v>514</v>
      </c>
      <c r="B597" t="s">
        <v>3364</v>
      </c>
      <c r="C597" s="60" t="s">
        <v>375</v>
      </c>
      <c r="D597" t="s">
        <v>587</v>
      </c>
      <c r="E597" t="s">
        <v>588</v>
      </c>
      <c r="F597" t="s">
        <v>506</v>
      </c>
      <c r="G597" t="s">
        <v>507</v>
      </c>
      <c r="H597" t="s">
        <v>508</v>
      </c>
      <c r="I597" t="s">
        <v>509</v>
      </c>
      <c r="J597" t="s">
        <v>589</v>
      </c>
      <c r="K597" s="3">
        <f t="shared" si="46"/>
        <v>0</v>
      </c>
      <c r="L597" t="s">
        <v>483</v>
      </c>
      <c r="N597" t="s">
        <v>3442</v>
      </c>
    </row>
    <row r="598" spans="1:14">
      <c r="A598" t="s">
        <v>514</v>
      </c>
      <c r="B598" t="s">
        <v>3365</v>
      </c>
      <c r="C598" s="60" t="s">
        <v>375</v>
      </c>
      <c r="D598" t="s">
        <v>587</v>
      </c>
      <c r="E598" t="s">
        <v>588</v>
      </c>
      <c r="F598" t="s">
        <v>506</v>
      </c>
      <c r="G598" t="s">
        <v>507</v>
      </c>
      <c r="H598" t="s">
        <v>508</v>
      </c>
      <c r="I598" t="s">
        <v>509</v>
      </c>
      <c r="J598" t="s">
        <v>589</v>
      </c>
      <c r="K598" s="3">
        <f t="shared" si="46"/>
        <v>0</v>
      </c>
      <c r="L598" t="s">
        <v>483</v>
      </c>
      <c r="N598" t="s">
        <v>3442</v>
      </c>
    </row>
    <row r="599" spans="1:14">
      <c r="A599" t="s">
        <v>514</v>
      </c>
      <c r="B599" t="s">
        <v>3366</v>
      </c>
      <c r="C599" s="60" t="s">
        <v>375</v>
      </c>
      <c r="D599" t="s">
        <v>587</v>
      </c>
      <c r="E599" t="s">
        <v>588</v>
      </c>
      <c r="F599" t="s">
        <v>506</v>
      </c>
      <c r="G599" t="s">
        <v>507</v>
      </c>
      <c r="H599" t="s">
        <v>508</v>
      </c>
      <c r="I599" t="s">
        <v>509</v>
      </c>
      <c r="J599" t="s">
        <v>589</v>
      </c>
      <c r="K599" s="3">
        <f t="shared" si="46"/>
        <v>0</v>
      </c>
      <c r="L599" t="s">
        <v>483</v>
      </c>
      <c r="N599" t="s">
        <v>3442</v>
      </c>
    </row>
    <row r="600" spans="1:14">
      <c r="A600" t="s">
        <v>514</v>
      </c>
      <c r="B600" t="s">
        <v>3367</v>
      </c>
      <c r="C600" s="60" t="s">
        <v>375</v>
      </c>
      <c r="D600" t="s">
        <v>587</v>
      </c>
      <c r="E600" t="s">
        <v>588</v>
      </c>
      <c r="F600" t="s">
        <v>506</v>
      </c>
      <c r="G600" t="s">
        <v>507</v>
      </c>
      <c r="H600" t="s">
        <v>508</v>
      </c>
      <c r="I600" t="s">
        <v>509</v>
      </c>
      <c r="J600" t="s">
        <v>589</v>
      </c>
      <c r="K600" s="3">
        <f t="shared" si="46"/>
        <v>0</v>
      </c>
      <c r="L600" t="s">
        <v>483</v>
      </c>
      <c r="N600" t="s">
        <v>3442</v>
      </c>
    </row>
    <row r="601" spans="1:14">
      <c r="A601" t="s">
        <v>514</v>
      </c>
      <c r="B601" t="s">
        <v>3356</v>
      </c>
      <c r="C601" s="3" t="s">
        <v>380</v>
      </c>
      <c r="D601" t="s">
        <v>587</v>
      </c>
      <c r="E601" t="s">
        <v>588</v>
      </c>
      <c r="F601" t="s">
        <v>506</v>
      </c>
      <c r="G601" t="s">
        <v>507</v>
      </c>
      <c r="H601" t="s">
        <v>508</v>
      </c>
      <c r="I601" t="s">
        <v>509</v>
      </c>
      <c r="J601" t="s">
        <v>589</v>
      </c>
      <c r="K601" s="3">
        <v>0</v>
      </c>
      <c r="L601" t="s">
        <v>484</v>
      </c>
      <c r="N601" t="s">
        <v>3442</v>
      </c>
    </row>
    <row r="602" spans="1:14">
      <c r="A602" t="s">
        <v>514</v>
      </c>
      <c r="B602" t="s">
        <v>3357</v>
      </c>
      <c r="C602" s="60" t="s">
        <v>380</v>
      </c>
      <c r="D602" t="s">
        <v>587</v>
      </c>
      <c r="E602" t="s">
        <v>588</v>
      </c>
      <c r="F602" t="s">
        <v>506</v>
      </c>
      <c r="G602" t="s">
        <v>507</v>
      </c>
      <c r="H602" t="s">
        <v>508</v>
      </c>
      <c r="I602" t="s">
        <v>509</v>
      </c>
      <c r="J602" t="s">
        <v>589</v>
      </c>
      <c r="K602" s="3">
        <v>0</v>
      </c>
      <c r="L602" t="s">
        <v>484</v>
      </c>
      <c r="N602" t="s">
        <v>3442</v>
      </c>
    </row>
    <row r="603" spans="1:14">
      <c r="A603" t="s">
        <v>514</v>
      </c>
      <c r="B603" t="s">
        <v>3358</v>
      </c>
      <c r="C603" s="60" t="s">
        <v>380</v>
      </c>
      <c r="D603" t="s">
        <v>587</v>
      </c>
      <c r="E603" t="s">
        <v>588</v>
      </c>
      <c r="F603" t="s">
        <v>506</v>
      </c>
      <c r="G603" t="s">
        <v>507</v>
      </c>
      <c r="H603" t="s">
        <v>508</v>
      </c>
      <c r="I603" t="s">
        <v>509</v>
      </c>
      <c r="J603" t="s">
        <v>589</v>
      </c>
      <c r="K603" s="3">
        <f t="shared" ref="K603:K612" si="47">+K602</f>
        <v>0</v>
      </c>
      <c r="L603" t="s">
        <v>484</v>
      </c>
      <c r="N603" t="s">
        <v>3442</v>
      </c>
    </row>
    <row r="604" spans="1:14">
      <c r="A604" t="s">
        <v>514</v>
      </c>
      <c r="B604" t="s">
        <v>3359</v>
      </c>
      <c r="C604" s="60" t="s">
        <v>380</v>
      </c>
      <c r="D604" t="s">
        <v>587</v>
      </c>
      <c r="E604" t="s">
        <v>588</v>
      </c>
      <c r="F604" t="s">
        <v>506</v>
      </c>
      <c r="G604" t="s">
        <v>507</v>
      </c>
      <c r="H604" t="s">
        <v>508</v>
      </c>
      <c r="I604" t="s">
        <v>509</v>
      </c>
      <c r="J604" t="s">
        <v>589</v>
      </c>
      <c r="K604" s="3">
        <f t="shared" si="47"/>
        <v>0</v>
      </c>
      <c r="L604" t="s">
        <v>484</v>
      </c>
      <c r="N604" t="s">
        <v>3442</v>
      </c>
    </row>
    <row r="605" spans="1:14">
      <c r="A605" t="s">
        <v>514</v>
      </c>
      <c r="B605" t="s">
        <v>3360</v>
      </c>
      <c r="C605" s="60" t="s">
        <v>380</v>
      </c>
      <c r="D605" t="s">
        <v>587</v>
      </c>
      <c r="E605" t="s">
        <v>588</v>
      </c>
      <c r="F605" t="s">
        <v>506</v>
      </c>
      <c r="G605" t="s">
        <v>507</v>
      </c>
      <c r="H605" t="s">
        <v>508</v>
      </c>
      <c r="I605" t="s">
        <v>509</v>
      </c>
      <c r="J605" t="s">
        <v>589</v>
      </c>
      <c r="K605" s="3">
        <f t="shared" si="47"/>
        <v>0</v>
      </c>
      <c r="L605" t="s">
        <v>484</v>
      </c>
      <c r="N605" t="s">
        <v>3442</v>
      </c>
    </row>
    <row r="606" spans="1:14">
      <c r="A606" t="s">
        <v>514</v>
      </c>
      <c r="B606" t="s">
        <v>3361</v>
      </c>
      <c r="C606" s="60" t="s">
        <v>380</v>
      </c>
      <c r="D606" t="s">
        <v>587</v>
      </c>
      <c r="E606" t="s">
        <v>588</v>
      </c>
      <c r="F606" t="s">
        <v>506</v>
      </c>
      <c r="G606" t="s">
        <v>507</v>
      </c>
      <c r="H606" t="s">
        <v>508</v>
      </c>
      <c r="I606" t="s">
        <v>509</v>
      </c>
      <c r="J606" t="s">
        <v>589</v>
      </c>
      <c r="K606" s="3">
        <f t="shared" si="47"/>
        <v>0</v>
      </c>
      <c r="L606" t="s">
        <v>484</v>
      </c>
      <c r="N606" t="s">
        <v>3442</v>
      </c>
    </row>
    <row r="607" spans="1:14">
      <c r="A607" t="s">
        <v>514</v>
      </c>
      <c r="B607" t="s">
        <v>3362</v>
      </c>
      <c r="C607" s="60" t="s">
        <v>380</v>
      </c>
      <c r="D607" t="s">
        <v>587</v>
      </c>
      <c r="E607" t="s">
        <v>588</v>
      </c>
      <c r="F607" t="s">
        <v>506</v>
      </c>
      <c r="G607" t="s">
        <v>507</v>
      </c>
      <c r="H607" t="s">
        <v>508</v>
      </c>
      <c r="I607" t="s">
        <v>509</v>
      </c>
      <c r="J607" t="s">
        <v>589</v>
      </c>
      <c r="K607" s="3">
        <f t="shared" si="47"/>
        <v>0</v>
      </c>
      <c r="L607" t="s">
        <v>484</v>
      </c>
      <c r="N607" t="s">
        <v>3442</v>
      </c>
    </row>
    <row r="608" spans="1:14">
      <c r="A608" t="s">
        <v>514</v>
      </c>
      <c r="B608" t="s">
        <v>3363</v>
      </c>
      <c r="C608" s="60" t="s">
        <v>380</v>
      </c>
      <c r="D608" t="s">
        <v>587</v>
      </c>
      <c r="E608" t="s">
        <v>588</v>
      </c>
      <c r="F608" t="s">
        <v>506</v>
      </c>
      <c r="G608" t="s">
        <v>507</v>
      </c>
      <c r="H608" t="s">
        <v>508</v>
      </c>
      <c r="I608" t="s">
        <v>509</v>
      </c>
      <c r="J608" t="s">
        <v>589</v>
      </c>
      <c r="K608" s="3">
        <f t="shared" si="47"/>
        <v>0</v>
      </c>
      <c r="L608" t="s">
        <v>484</v>
      </c>
      <c r="N608" t="s">
        <v>3442</v>
      </c>
    </row>
    <row r="609" spans="1:14">
      <c r="A609" t="s">
        <v>514</v>
      </c>
      <c r="B609" t="s">
        <v>3364</v>
      </c>
      <c r="C609" s="60" t="s">
        <v>380</v>
      </c>
      <c r="D609" t="s">
        <v>587</v>
      </c>
      <c r="E609" t="s">
        <v>588</v>
      </c>
      <c r="F609" t="s">
        <v>506</v>
      </c>
      <c r="G609" t="s">
        <v>507</v>
      </c>
      <c r="H609" t="s">
        <v>508</v>
      </c>
      <c r="I609" t="s">
        <v>509</v>
      </c>
      <c r="J609" t="s">
        <v>589</v>
      </c>
      <c r="K609" s="3">
        <f t="shared" si="47"/>
        <v>0</v>
      </c>
      <c r="L609" t="s">
        <v>484</v>
      </c>
      <c r="N609" t="s">
        <v>3442</v>
      </c>
    </row>
    <row r="610" spans="1:14">
      <c r="A610" t="s">
        <v>514</v>
      </c>
      <c r="B610" t="s">
        <v>3365</v>
      </c>
      <c r="C610" s="60" t="s">
        <v>380</v>
      </c>
      <c r="D610" t="s">
        <v>587</v>
      </c>
      <c r="E610" t="s">
        <v>588</v>
      </c>
      <c r="F610" t="s">
        <v>506</v>
      </c>
      <c r="G610" t="s">
        <v>507</v>
      </c>
      <c r="H610" t="s">
        <v>508</v>
      </c>
      <c r="I610" t="s">
        <v>509</v>
      </c>
      <c r="J610" t="s">
        <v>589</v>
      </c>
      <c r="K610" s="3">
        <f t="shared" si="47"/>
        <v>0</v>
      </c>
      <c r="L610" t="s">
        <v>484</v>
      </c>
      <c r="N610" t="s">
        <v>3442</v>
      </c>
    </row>
    <row r="611" spans="1:14">
      <c r="A611" t="s">
        <v>514</v>
      </c>
      <c r="B611" t="s">
        <v>3366</v>
      </c>
      <c r="C611" s="60" t="s">
        <v>380</v>
      </c>
      <c r="D611" t="s">
        <v>587</v>
      </c>
      <c r="E611" t="s">
        <v>588</v>
      </c>
      <c r="F611" t="s">
        <v>506</v>
      </c>
      <c r="G611" t="s">
        <v>507</v>
      </c>
      <c r="H611" t="s">
        <v>508</v>
      </c>
      <c r="I611" t="s">
        <v>509</v>
      </c>
      <c r="J611" t="s">
        <v>589</v>
      </c>
      <c r="K611" s="3">
        <f t="shared" si="47"/>
        <v>0</v>
      </c>
      <c r="L611" t="s">
        <v>484</v>
      </c>
      <c r="N611" t="s">
        <v>3442</v>
      </c>
    </row>
    <row r="612" spans="1:14">
      <c r="A612" t="s">
        <v>514</v>
      </c>
      <c r="B612" t="s">
        <v>3367</v>
      </c>
      <c r="C612" s="60" t="s">
        <v>380</v>
      </c>
      <c r="D612" t="s">
        <v>587</v>
      </c>
      <c r="E612" t="s">
        <v>588</v>
      </c>
      <c r="F612" t="s">
        <v>506</v>
      </c>
      <c r="G612" t="s">
        <v>507</v>
      </c>
      <c r="H612" t="s">
        <v>508</v>
      </c>
      <c r="I612" t="s">
        <v>509</v>
      </c>
      <c r="J612" t="s">
        <v>589</v>
      </c>
      <c r="K612" s="3">
        <f t="shared" si="47"/>
        <v>0</v>
      </c>
      <c r="L612" t="s">
        <v>484</v>
      </c>
      <c r="N612" t="s">
        <v>3442</v>
      </c>
    </row>
    <row r="613" spans="1:14">
      <c r="A613" t="s">
        <v>514</v>
      </c>
      <c r="B613" t="s">
        <v>3356</v>
      </c>
      <c r="C613" s="3" t="s">
        <v>376</v>
      </c>
      <c r="D613" t="s">
        <v>587</v>
      </c>
      <c r="E613" t="s">
        <v>588</v>
      </c>
      <c r="F613" t="s">
        <v>506</v>
      </c>
      <c r="G613" t="s">
        <v>507</v>
      </c>
      <c r="H613" t="s">
        <v>508</v>
      </c>
      <c r="I613" t="s">
        <v>509</v>
      </c>
      <c r="J613" t="s">
        <v>589</v>
      </c>
      <c r="K613" s="491">
        <v>8000</v>
      </c>
      <c r="L613" t="s">
        <v>485</v>
      </c>
    </row>
    <row r="614" spans="1:14">
      <c r="A614" t="s">
        <v>514</v>
      </c>
      <c r="B614" t="s">
        <v>3357</v>
      </c>
      <c r="C614" s="60" t="s">
        <v>376</v>
      </c>
      <c r="D614" t="s">
        <v>587</v>
      </c>
      <c r="E614" t="s">
        <v>588</v>
      </c>
      <c r="F614" t="s">
        <v>506</v>
      </c>
      <c r="G614" t="s">
        <v>507</v>
      </c>
      <c r="H614" t="s">
        <v>508</v>
      </c>
      <c r="I614" t="s">
        <v>509</v>
      </c>
      <c r="J614" t="s">
        <v>589</v>
      </c>
      <c r="K614" s="491">
        <f>+K613</f>
        <v>8000</v>
      </c>
      <c r="L614" t="s">
        <v>485</v>
      </c>
    </row>
    <row r="615" spans="1:14">
      <c r="A615" t="s">
        <v>514</v>
      </c>
      <c r="B615" t="s">
        <v>3358</v>
      </c>
      <c r="C615" s="60" t="s">
        <v>376</v>
      </c>
      <c r="D615" t="s">
        <v>587</v>
      </c>
      <c r="E615" t="s">
        <v>588</v>
      </c>
      <c r="F615" t="s">
        <v>506</v>
      </c>
      <c r="G615" t="s">
        <v>507</v>
      </c>
      <c r="H615" t="s">
        <v>508</v>
      </c>
      <c r="I615" t="s">
        <v>509</v>
      </c>
      <c r="J615" t="s">
        <v>589</v>
      </c>
      <c r="K615" s="491">
        <f t="shared" ref="K615:K624" si="48">+K614</f>
        <v>8000</v>
      </c>
      <c r="L615" t="s">
        <v>485</v>
      </c>
    </row>
    <row r="616" spans="1:14">
      <c r="A616" t="s">
        <v>514</v>
      </c>
      <c r="B616" t="s">
        <v>3359</v>
      </c>
      <c r="C616" s="60" t="s">
        <v>376</v>
      </c>
      <c r="D616" t="s">
        <v>587</v>
      </c>
      <c r="E616" t="s">
        <v>588</v>
      </c>
      <c r="F616" t="s">
        <v>506</v>
      </c>
      <c r="G616" t="s">
        <v>507</v>
      </c>
      <c r="H616" t="s">
        <v>508</v>
      </c>
      <c r="I616" t="s">
        <v>509</v>
      </c>
      <c r="J616" t="s">
        <v>589</v>
      </c>
      <c r="K616" s="491">
        <f t="shared" si="48"/>
        <v>8000</v>
      </c>
      <c r="L616" t="s">
        <v>485</v>
      </c>
    </row>
    <row r="617" spans="1:14">
      <c r="A617" t="s">
        <v>514</v>
      </c>
      <c r="B617" t="s">
        <v>3360</v>
      </c>
      <c r="C617" s="60" t="s">
        <v>376</v>
      </c>
      <c r="D617" t="s">
        <v>587</v>
      </c>
      <c r="E617" t="s">
        <v>588</v>
      </c>
      <c r="F617" t="s">
        <v>506</v>
      </c>
      <c r="G617" t="s">
        <v>507</v>
      </c>
      <c r="H617" t="s">
        <v>508</v>
      </c>
      <c r="I617" t="s">
        <v>509</v>
      </c>
      <c r="J617" t="s">
        <v>589</v>
      </c>
      <c r="K617" s="491">
        <f t="shared" si="48"/>
        <v>8000</v>
      </c>
      <c r="L617" t="s">
        <v>485</v>
      </c>
    </row>
    <row r="618" spans="1:14">
      <c r="A618" t="s">
        <v>514</v>
      </c>
      <c r="B618" t="s">
        <v>3361</v>
      </c>
      <c r="C618" s="60" t="s">
        <v>376</v>
      </c>
      <c r="D618" t="s">
        <v>587</v>
      </c>
      <c r="E618" t="s">
        <v>588</v>
      </c>
      <c r="F618" t="s">
        <v>506</v>
      </c>
      <c r="G618" t="s">
        <v>507</v>
      </c>
      <c r="H618" t="s">
        <v>508</v>
      </c>
      <c r="I618" t="s">
        <v>509</v>
      </c>
      <c r="J618" t="s">
        <v>589</v>
      </c>
      <c r="K618" s="491">
        <f t="shared" si="48"/>
        <v>8000</v>
      </c>
      <c r="L618" t="s">
        <v>485</v>
      </c>
    </row>
    <row r="619" spans="1:14">
      <c r="A619" t="s">
        <v>514</v>
      </c>
      <c r="B619" t="s">
        <v>3362</v>
      </c>
      <c r="C619" s="60" t="s">
        <v>376</v>
      </c>
      <c r="D619" t="s">
        <v>587</v>
      </c>
      <c r="E619" t="s">
        <v>588</v>
      </c>
      <c r="F619" t="s">
        <v>506</v>
      </c>
      <c r="G619" t="s">
        <v>507</v>
      </c>
      <c r="H619" t="s">
        <v>508</v>
      </c>
      <c r="I619" t="s">
        <v>509</v>
      </c>
      <c r="J619" t="s">
        <v>589</v>
      </c>
      <c r="K619" s="491">
        <f t="shared" si="48"/>
        <v>8000</v>
      </c>
      <c r="L619" t="s">
        <v>485</v>
      </c>
    </row>
    <row r="620" spans="1:14">
      <c r="A620" t="s">
        <v>514</v>
      </c>
      <c r="B620" t="s">
        <v>3363</v>
      </c>
      <c r="C620" s="60" t="s">
        <v>376</v>
      </c>
      <c r="D620" t="s">
        <v>587</v>
      </c>
      <c r="E620" t="s">
        <v>588</v>
      </c>
      <c r="F620" t="s">
        <v>506</v>
      </c>
      <c r="G620" t="s">
        <v>507</v>
      </c>
      <c r="H620" t="s">
        <v>508</v>
      </c>
      <c r="I620" t="s">
        <v>509</v>
      </c>
      <c r="J620" t="s">
        <v>589</v>
      </c>
      <c r="K620" s="491">
        <f t="shared" si="48"/>
        <v>8000</v>
      </c>
      <c r="L620" t="s">
        <v>485</v>
      </c>
    </row>
    <row r="621" spans="1:14">
      <c r="A621" t="s">
        <v>514</v>
      </c>
      <c r="B621" t="s">
        <v>3364</v>
      </c>
      <c r="C621" s="60" t="s">
        <v>376</v>
      </c>
      <c r="D621" t="s">
        <v>587</v>
      </c>
      <c r="E621" t="s">
        <v>588</v>
      </c>
      <c r="F621" t="s">
        <v>506</v>
      </c>
      <c r="G621" t="s">
        <v>507</v>
      </c>
      <c r="H621" t="s">
        <v>508</v>
      </c>
      <c r="I621" t="s">
        <v>509</v>
      </c>
      <c r="J621" t="s">
        <v>589</v>
      </c>
      <c r="K621" s="491">
        <f t="shared" si="48"/>
        <v>8000</v>
      </c>
      <c r="L621" t="s">
        <v>485</v>
      </c>
    </row>
    <row r="622" spans="1:14">
      <c r="A622" t="s">
        <v>514</v>
      </c>
      <c r="B622" t="s">
        <v>3365</v>
      </c>
      <c r="C622" s="60" t="s">
        <v>376</v>
      </c>
      <c r="D622" t="s">
        <v>587</v>
      </c>
      <c r="E622" t="s">
        <v>588</v>
      </c>
      <c r="F622" t="s">
        <v>506</v>
      </c>
      <c r="G622" t="s">
        <v>507</v>
      </c>
      <c r="H622" t="s">
        <v>508</v>
      </c>
      <c r="I622" t="s">
        <v>509</v>
      </c>
      <c r="J622" t="s">
        <v>589</v>
      </c>
      <c r="K622" s="491">
        <f t="shared" si="48"/>
        <v>8000</v>
      </c>
      <c r="L622" t="s">
        <v>485</v>
      </c>
    </row>
    <row r="623" spans="1:14">
      <c r="A623" t="s">
        <v>514</v>
      </c>
      <c r="B623" t="s">
        <v>3366</v>
      </c>
      <c r="C623" s="60" t="s">
        <v>376</v>
      </c>
      <c r="D623" t="s">
        <v>587</v>
      </c>
      <c r="E623" t="s">
        <v>588</v>
      </c>
      <c r="F623" t="s">
        <v>506</v>
      </c>
      <c r="G623" t="s">
        <v>507</v>
      </c>
      <c r="H623" t="s">
        <v>508</v>
      </c>
      <c r="I623" t="s">
        <v>509</v>
      </c>
      <c r="J623" t="s">
        <v>589</v>
      </c>
      <c r="K623" s="491">
        <f t="shared" si="48"/>
        <v>8000</v>
      </c>
      <c r="L623" t="s">
        <v>485</v>
      </c>
    </row>
    <row r="624" spans="1:14">
      <c r="A624" t="s">
        <v>514</v>
      </c>
      <c r="B624" t="s">
        <v>3367</v>
      </c>
      <c r="C624" s="60" t="s">
        <v>376</v>
      </c>
      <c r="D624" t="s">
        <v>587</v>
      </c>
      <c r="E624" t="s">
        <v>588</v>
      </c>
      <c r="F624" t="s">
        <v>506</v>
      </c>
      <c r="G624" t="s">
        <v>507</v>
      </c>
      <c r="H624" t="s">
        <v>508</v>
      </c>
      <c r="I624" t="s">
        <v>509</v>
      </c>
      <c r="J624" t="s">
        <v>589</v>
      </c>
      <c r="K624" s="491">
        <f t="shared" si="48"/>
        <v>8000</v>
      </c>
      <c r="L624" t="s">
        <v>485</v>
      </c>
    </row>
    <row r="625" spans="1:12">
      <c r="A625" t="s">
        <v>514</v>
      </c>
      <c r="B625" t="s">
        <v>3356</v>
      </c>
      <c r="C625" s="3" t="s">
        <v>387</v>
      </c>
      <c r="D625" t="s">
        <v>587</v>
      </c>
      <c r="E625" t="s">
        <v>588</v>
      </c>
      <c r="F625" t="s">
        <v>506</v>
      </c>
      <c r="G625" t="s">
        <v>507</v>
      </c>
      <c r="H625" t="s">
        <v>508</v>
      </c>
      <c r="I625" t="s">
        <v>509</v>
      </c>
      <c r="J625" t="s">
        <v>589</v>
      </c>
      <c r="K625" s="491">
        <v>12500</v>
      </c>
      <c r="L625" t="s">
        <v>486</v>
      </c>
    </row>
    <row r="626" spans="1:12">
      <c r="A626" t="s">
        <v>514</v>
      </c>
      <c r="B626" t="s">
        <v>3357</v>
      </c>
      <c r="C626" s="60" t="s">
        <v>387</v>
      </c>
      <c r="D626" t="s">
        <v>587</v>
      </c>
      <c r="E626" t="s">
        <v>588</v>
      </c>
      <c r="F626" t="s">
        <v>506</v>
      </c>
      <c r="G626" t="s">
        <v>507</v>
      </c>
      <c r="H626" t="s">
        <v>508</v>
      </c>
      <c r="I626" t="s">
        <v>509</v>
      </c>
      <c r="J626" t="s">
        <v>589</v>
      </c>
      <c r="K626" s="491">
        <f>+K625</f>
        <v>12500</v>
      </c>
      <c r="L626" t="s">
        <v>486</v>
      </c>
    </row>
    <row r="627" spans="1:12">
      <c r="A627" t="s">
        <v>514</v>
      </c>
      <c r="B627" t="s">
        <v>3358</v>
      </c>
      <c r="C627" s="60" t="s">
        <v>387</v>
      </c>
      <c r="D627" t="s">
        <v>587</v>
      </c>
      <c r="E627" t="s">
        <v>588</v>
      </c>
      <c r="F627" t="s">
        <v>506</v>
      </c>
      <c r="G627" t="s">
        <v>507</v>
      </c>
      <c r="H627" t="s">
        <v>508</v>
      </c>
      <c r="I627" t="s">
        <v>509</v>
      </c>
      <c r="J627" t="s">
        <v>589</v>
      </c>
      <c r="K627" s="491">
        <f t="shared" ref="K627:K636" si="49">+K626</f>
        <v>12500</v>
      </c>
      <c r="L627" t="s">
        <v>486</v>
      </c>
    </row>
    <row r="628" spans="1:12">
      <c r="A628" t="s">
        <v>514</v>
      </c>
      <c r="B628" t="s">
        <v>3359</v>
      </c>
      <c r="C628" s="60" t="s">
        <v>387</v>
      </c>
      <c r="D628" t="s">
        <v>587</v>
      </c>
      <c r="E628" t="s">
        <v>588</v>
      </c>
      <c r="F628" t="s">
        <v>506</v>
      </c>
      <c r="G628" t="s">
        <v>507</v>
      </c>
      <c r="H628" t="s">
        <v>508</v>
      </c>
      <c r="I628" t="s">
        <v>509</v>
      </c>
      <c r="J628" t="s">
        <v>589</v>
      </c>
      <c r="K628" s="491">
        <f t="shared" si="49"/>
        <v>12500</v>
      </c>
      <c r="L628" t="s">
        <v>486</v>
      </c>
    </row>
    <row r="629" spans="1:12">
      <c r="A629" t="s">
        <v>514</v>
      </c>
      <c r="B629" t="s">
        <v>3360</v>
      </c>
      <c r="C629" s="60" t="s">
        <v>387</v>
      </c>
      <c r="D629" t="s">
        <v>587</v>
      </c>
      <c r="E629" t="s">
        <v>588</v>
      </c>
      <c r="F629" t="s">
        <v>506</v>
      </c>
      <c r="G629" t="s">
        <v>507</v>
      </c>
      <c r="H629" t="s">
        <v>508</v>
      </c>
      <c r="I629" t="s">
        <v>509</v>
      </c>
      <c r="J629" t="s">
        <v>589</v>
      </c>
      <c r="K629" s="491">
        <f t="shared" si="49"/>
        <v>12500</v>
      </c>
      <c r="L629" t="s">
        <v>486</v>
      </c>
    </row>
    <row r="630" spans="1:12">
      <c r="A630" t="s">
        <v>514</v>
      </c>
      <c r="B630" t="s">
        <v>3361</v>
      </c>
      <c r="C630" s="60" t="s">
        <v>387</v>
      </c>
      <c r="D630" t="s">
        <v>587</v>
      </c>
      <c r="E630" t="s">
        <v>588</v>
      </c>
      <c r="F630" t="s">
        <v>506</v>
      </c>
      <c r="G630" t="s">
        <v>507</v>
      </c>
      <c r="H630" t="s">
        <v>508</v>
      </c>
      <c r="I630" t="s">
        <v>509</v>
      </c>
      <c r="J630" t="s">
        <v>589</v>
      </c>
      <c r="K630" s="491">
        <f t="shared" si="49"/>
        <v>12500</v>
      </c>
      <c r="L630" t="s">
        <v>486</v>
      </c>
    </row>
    <row r="631" spans="1:12">
      <c r="A631" t="s">
        <v>514</v>
      </c>
      <c r="B631" t="s">
        <v>3362</v>
      </c>
      <c r="C631" s="60" t="s">
        <v>387</v>
      </c>
      <c r="D631" t="s">
        <v>587</v>
      </c>
      <c r="E631" t="s">
        <v>588</v>
      </c>
      <c r="F631" t="s">
        <v>506</v>
      </c>
      <c r="G631" t="s">
        <v>507</v>
      </c>
      <c r="H631" t="s">
        <v>508</v>
      </c>
      <c r="I631" t="s">
        <v>509</v>
      </c>
      <c r="J631" t="s">
        <v>589</v>
      </c>
      <c r="K631" s="491">
        <f t="shared" si="49"/>
        <v>12500</v>
      </c>
      <c r="L631" t="s">
        <v>486</v>
      </c>
    </row>
    <row r="632" spans="1:12">
      <c r="A632" t="s">
        <v>514</v>
      </c>
      <c r="B632" t="s">
        <v>3363</v>
      </c>
      <c r="C632" s="60" t="s">
        <v>387</v>
      </c>
      <c r="D632" t="s">
        <v>587</v>
      </c>
      <c r="E632" t="s">
        <v>588</v>
      </c>
      <c r="F632" t="s">
        <v>506</v>
      </c>
      <c r="G632" t="s">
        <v>507</v>
      </c>
      <c r="H632" t="s">
        <v>508</v>
      </c>
      <c r="I632" t="s">
        <v>509</v>
      </c>
      <c r="J632" t="s">
        <v>589</v>
      </c>
      <c r="K632" s="491">
        <f t="shared" si="49"/>
        <v>12500</v>
      </c>
      <c r="L632" t="s">
        <v>486</v>
      </c>
    </row>
    <row r="633" spans="1:12">
      <c r="A633" t="s">
        <v>514</v>
      </c>
      <c r="B633" t="s">
        <v>3364</v>
      </c>
      <c r="C633" s="60" t="s">
        <v>387</v>
      </c>
      <c r="D633" t="s">
        <v>587</v>
      </c>
      <c r="E633" t="s">
        <v>588</v>
      </c>
      <c r="F633" t="s">
        <v>506</v>
      </c>
      <c r="G633" t="s">
        <v>507</v>
      </c>
      <c r="H633" t="s">
        <v>508</v>
      </c>
      <c r="I633" t="s">
        <v>509</v>
      </c>
      <c r="J633" t="s">
        <v>589</v>
      </c>
      <c r="K633" s="491">
        <f t="shared" si="49"/>
        <v>12500</v>
      </c>
      <c r="L633" t="s">
        <v>486</v>
      </c>
    </row>
    <row r="634" spans="1:12">
      <c r="A634" t="s">
        <v>514</v>
      </c>
      <c r="B634" t="s">
        <v>3365</v>
      </c>
      <c r="C634" s="60" t="s">
        <v>387</v>
      </c>
      <c r="D634" t="s">
        <v>587</v>
      </c>
      <c r="E634" t="s">
        <v>588</v>
      </c>
      <c r="F634" t="s">
        <v>506</v>
      </c>
      <c r="G634" t="s">
        <v>507</v>
      </c>
      <c r="H634" t="s">
        <v>508</v>
      </c>
      <c r="I634" t="s">
        <v>509</v>
      </c>
      <c r="J634" t="s">
        <v>589</v>
      </c>
      <c r="K634" s="491">
        <f t="shared" si="49"/>
        <v>12500</v>
      </c>
      <c r="L634" t="s">
        <v>486</v>
      </c>
    </row>
    <row r="635" spans="1:12">
      <c r="A635" t="s">
        <v>514</v>
      </c>
      <c r="B635" t="s">
        <v>3366</v>
      </c>
      <c r="C635" s="60" t="s">
        <v>387</v>
      </c>
      <c r="D635" t="s">
        <v>587</v>
      </c>
      <c r="E635" t="s">
        <v>588</v>
      </c>
      <c r="F635" t="s">
        <v>506</v>
      </c>
      <c r="G635" t="s">
        <v>507</v>
      </c>
      <c r="H635" t="s">
        <v>508</v>
      </c>
      <c r="I635" t="s">
        <v>509</v>
      </c>
      <c r="J635" t="s">
        <v>589</v>
      </c>
      <c r="K635" s="491">
        <f t="shared" si="49"/>
        <v>12500</v>
      </c>
      <c r="L635" t="s">
        <v>486</v>
      </c>
    </row>
    <row r="636" spans="1:12">
      <c r="A636" t="s">
        <v>514</v>
      </c>
      <c r="B636" t="s">
        <v>3367</v>
      </c>
      <c r="C636" s="60" t="s">
        <v>387</v>
      </c>
      <c r="D636" t="s">
        <v>587</v>
      </c>
      <c r="E636" t="s">
        <v>588</v>
      </c>
      <c r="F636" t="s">
        <v>506</v>
      </c>
      <c r="G636" t="s">
        <v>507</v>
      </c>
      <c r="H636" t="s">
        <v>508</v>
      </c>
      <c r="I636" t="s">
        <v>509</v>
      </c>
      <c r="J636" t="s">
        <v>589</v>
      </c>
      <c r="K636" s="491">
        <f t="shared" si="49"/>
        <v>12500</v>
      </c>
      <c r="L636" t="s">
        <v>486</v>
      </c>
    </row>
    <row r="637" spans="1:12">
      <c r="A637" t="s">
        <v>514</v>
      </c>
      <c r="B637" t="s">
        <v>3356</v>
      </c>
      <c r="C637" s="3" t="s">
        <v>386</v>
      </c>
      <c r="D637" t="s">
        <v>587</v>
      </c>
      <c r="E637" t="s">
        <v>588</v>
      </c>
      <c r="F637" t="s">
        <v>506</v>
      </c>
      <c r="G637" t="s">
        <v>507</v>
      </c>
      <c r="H637" t="s">
        <v>508</v>
      </c>
      <c r="I637" t="s">
        <v>509</v>
      </c>
      <c r="J637" t="s">
        <v>589</v>
      </c>
      <c r="K637" s="491">
        <v>15000</v>
      </c>
      <c r="L637" t="s">
        <v>487</v>
      </c>
    </row>
    <row r="638" spans="1:12">
      <c r="A638" t="s">
        <v>514</v>
      </c>
      <c r="B638" t="s">
        <v>3357</v>
      </c>
      <c r="C638" s="60" t="s">
        <v>386</v>
      </c>
      <c r="D638" t="s">
        <v>587</v>
      </c>
      <c r="E638" t="s">
        <v>588</v>
      </c>
      <c r="F638" t="s">
        <v>506</v>
      </c>
      <c r="G638" t="s">
        <v>507</v>
      </c>
      <c r="H638" t="s">
        <v>508</v>
      </c>
      <c r="I638" t="s">
        <v>509</v>
      </c>
      <c r="J638" t="s">
        <v>589</v>
      </c>
      <c r="K638" s="491">
        <f>+K637</f>
        <v>15000</v>
      </c>
      <c r="L638" t="s">
        <v>487</v>
      </c>
    </row>
    <row r="639" spans="1:12">
      <c r="A639" t="s">
        <v>514</v>
      </c>
      <c r="B639" t="s">
        <v>3358</v>
      </c>
      <c r="C639" s="60" t="s">
        <v>386</v>
      </c>
      <c r="D639" t="s">
        <v>587</v>
      </c>
      <c r="E639" t="s">
        <v>588</v>
      </c>
      <c r="F639" t="s">
        <v>506</v>
      </c>
      <c r="G639" t="s">
        <v>507</v>
      </c>
      <c r="H639" t="s">
        <v>508</v>
      </c>
      <c r="I639" t="s">
        <v>509</v>
      </c>
      <c r="J639" t="s">
        <v>589</v>
      </c>
      <c r="K639" s="491">
        <f t="shared" ref="K639:K648" si="50">+K638</f>
        <v>15000</v>
      </c>
      <c r="L639" t="s">
        <v>487</v>
      </c>
    </row>
    <row r="640" spans="1:12">
      <c r="A640" t="s">
        <v>514</v>
      </c>
      <c r="B640" t="s">
        <v>3359</v>
      </c>
      <c r="C640" s="60" t="s">
        <v>386</v>
      </c>
      <c r="D640" t="s">
        <v>587</v>
      </c>
      <c r="E640" t="s">
        <v>588</v>
      </c>
      <c r="F640" t="s">
        <v>506</v>
      </c>
      <c r="G640" t="s">
        <v>507</v>
      </c>
      <c r="H640" t="s">
        <v>508</v>
      </c>
      <c r="I640" t="s">
        <v>509</v>
      </c>
      <c r="J640" t="s">
        <v>589</v>
      </c>
      <c r="K640" s="491">
        <f t="shared" si="50"/>
        <v>15000</v>
      </c>
      <c r="L640" t="s">
        <v>487</v>
      </c>
    </row>
    <row r="641" spans="1:14">
      <c r="A641" t="s">
        <v>514</v>
      </c>
      <c r="B641" t="s">
        <v>3360</v>
      </c>
      <c r="C641" s="60" t="s">
        <v>386</v>
      </c>
      <c r="D641" t="s">
        <v>587</v>
      </c>
      <c r="E641" t="s">
        <v>588</v>
      </c>
      <c r="F641" t="s">
        <v>506</v>
      </c>
      <c r="G641" t="s">
        <v>507</v>
      </c>
      <c r="H641" t="s">
        <v>508</v>
      </c>
      <c r="I641" t="s">
        <v>509</v>
      </c>
      <c r="J641" t="s">
        <v>589</v>
      </c>
      <c r="K641" s="491">
        <f t="shared" si="50"/>
        <v>15000</v>
      </c>
      <c r="L641" t="s">
        <v>487</v>
      </c>
    </row>
    <row r="642" spans="1:14">
      <c r="A642" t="s">
        <v>514</v>
      </c>
      <c r="B642" t="s">
        <v>3361</v>
      </c>
      <c r="C642" s="60" t="s">
        <v>386</v>
      </c>
      <c r="D642" t="s">
        <v>587</v>
      </c>
      <c r="E642" t="s">
        <v>588</v>
      </c>
      <c r="F642" t="s">
        <v>506</v>
      </c>
      <c r="G642" t="s">
        <v>507</v>
      </c>
      <c r="H642" t="s">
        <v>508</v>
      </c>
      <c r="I642" t="s">
        <v>509</v>
      </c>
      <c r="J642" t="s">
        <v>589</v>
      </c>
      <c r="K642" s="491">
        <f t="shared" si="50"/>
        <v>15000</v>
      </c>
      <c r="L642" t="s">
        <v>487</v>
      </c>
    </row>
    <row r="643" spans="1:14">
      <c r="A643" t="s">
        <v>514</v>
      </c>
      <c r="B643" t="s">
        <v>3362</v>
      </c>
      <c r="C643" s="60" t="s">
        <v>386</v>
      </c>
      <c r="D643" t="s">
        <v>587</v>
      </c>
      <c r="E643" t="s">
        <v>588</v>
      </c>
      <c r="F643" t="s">
        <v>506</v>
      </c>
      <c r="G643" t="s">
        <v>507</v>
      </c>
      <c r="H643" t="s">
        <v>508</v>
      </c>
      <c r="I643" t="s">
        <v>509</v>
      </c>
      <c r="J643" t="s">
        <v>589</v>
      </c>
      <c r="K643" s="491">
        <f t="shared" si="50"/>
        <v>15000</v>
      </c>
      <c r="L643" t="s">
        <v>487</v>
      </c>
    </row>
    <row r="644" spans="1:14">
      <c r="A644" t="s">
        <v>514</v>
      </c>
      <c r="B644" t="s">
        <v>3363</v>
      </c>
      <c r="C644" s="60" t="s">
        <v>386</v>
      </c>
      <c r="D644" t="s">
        <v>587</v>
      </c>
      <c r="E644" t="s">
        <v>588</v>
      </c>
      <c r="F644" t="s">
        <v>506</v>
      </c>
      <c r="G644" t="s">
        <v>507</v>
      </c>
      <c r="H644" t="s">
        <v>508</v>
      </c>
      <c r="I644" t="s">
        <v>509</v>
      </c>
      <c r="J644" t="s">
        <v>589</v>
      </c>
      <c r="K644" s="491">
        <f t="shared" si="50"/>
        <v>15000</v>
      </c>
      <c r="L644" t="s">
        <v>487</v>
      </c>
    </row>
    <row r="645" spans="1:14">
      <c r="A645" t="s">
        <v>514</v>
      </c>
      <c r="B645" t="s">
        <v>3364</v>
      </c>
      <c r="C645" s="60" t="s">
        <v>386</v>
      </c>
      <c r="D645" t="s">
        <v>587</v>
      </c>
      <c r="E645" t="s">
        <v>588</v>
      </c>
      <c r="F645" t="s">
        <v>506</v>
      </c>
      <c r="G645" t="s">
        <v>507</v>
      </c>
      <c r="H645" t="s">
        <v>508</v>
      </c>
      <c r="I645" t="s">
        <v>509</v>
      </c>
      <c r="J645" t="s">
        <v>589</v>
      </c>
      <c r="K645" s="491">
        <f t="shared" si="50"/>
        <v>15000</v>
      </c>
      <c r="L645" t="s">
        <v>487</v>
      </c>
    </row>
    <row r="646" spans="1:14">
      <c r="A646" t="s">
        <v>514</v>
      </c>
      <c r="B646" t="s">
        <v>3365</v>
      </c>
      <c r="C646" s="60" t="s">
        <v>386</v>
      </c>
      <c r="D646" t="s">
        <v>587</v>
      </c>
      <c r="E646" t="s">
        <v>588</v>
      </c>
      <c r="F646" t="s">
        <v>506</v>
      </c>
      <c r="G646" t="s">
        <v>507</v>
      </c>
      <c r="H646" t="s">
        <v>508</v>
      </c>
      <c r="I646" t="s">
        <v>509</v>
      </c>
      <c r="J646" t="s">
        <v>589</v>
      </c>
      <c r="K646" s="491">
        <f t="shared" si="50"/>
        <v>15000</v>
      </c>
      <c r="L646" t="s">
        <v>487</v>
      </c>
    </row>
    <row r="647" spans="1:14">
      <c r="A647" t="s">
        <v>514</v>
      </c>
      <c r="B647" t="s">
        <v>3366</v>
      </c>
      <c r="C647" s="60" t="s">
        <v>386</v>
      </c>
      <c r="D647" t="s">
        <v>587</v>
      </c>
      <c r="E647" t="s">
        <v>588</v>
      </c>
      <c r="F647" t="s">
        <v>506</v>
      </c>
      <c r="G647" t="s">
        <v>507</v>
      </c>
      <c r="H647" t="s">
        <v>508</v>
      </c>
      <c r="I647" t="s">
        <v>509</v>
      </c>
      <c r="J647" t="s">
        <v>589</v>
      </c>
      <c r="K647" s="491">
        <f t="shared" si="50"/>
        <v>15000</v>
      </c>
      <c r="L647" t="s">
        <v>487</v>
      </c>
    </row>
    <row r="648" spans="1:14">
      <c r="A648" t="s">
        <v>514</v>
      </c>
      <c r="B648" t="s">
        <v>3367</v>
      </c>
      <c r="C648" s="60" t="s">
        <v>386</v>
      </c>
      <c r="D648" t="s">
        <v>587</v>
      </c>
      <c r="E648" t="s">
        <v>588</v>
      </c>
      <c r="F648" t="s">
        <v>506</v>
      </c>
      <c r="G648" t="s">
        <v>507</v>
      </c>
      <c r="H648" t="s">
        <v>508</v>
      </c>
      <c r="I648" t="s">
        <v>509</v>
      </c>
      <c r="J648" t="s">
        <v>589</v>
      </c>
      <c r="K648" s="491">
        <f t="shared" si="50"/>
        <v>15000</v>
      </c>
      <c r="L648" t="s">
        <v>487</v>
      </c>
    </row>
    <row r="649" spans="1:14">
      <c r="A649" t="s">
        <v>514</v>
      </c>
      <c r="B649" t="s">
        <v>3356</v>
      </c>
      <c r="C649" s="3" t="s">
        <v>382</v>
      </c>
      <c r="D649" t="s">
        <v>587</v>
      </c>
      <c r="E649" t="s">
        <v>588</v>
      </c>
      <c r="F649" t="s">
        <v>506</v>
      </c>
      <c r="G649" t="s">
        <v>507</v>
      </c>
      <c r="H649" t="s">
        <v>508</v>
      </c>
      <c r="I649" t="s">
        <v>509</v>
      </c>
      <c r="J649" t="s">
        <v>589</v>
      </c>
      <c r="K649" s="4">
        <v>12000</v>
      </c>
      <c r="L649" t="s">
        <v>488</v>
      </c>
    </row>
    <row r="650" spans="1:14">
      <c r="A650" t="s">
        <v>514</v>
      </c>
      <c r="B650" t="s">
        <v>3357</v>
      </c>
      <c r="C650" s="60" t="s">
        <v>382</v>
      </c>
      <c r="D650" t="s">
        <v>587</v>
      </c>
      <c r="E650" t="s">
        <v>588</v>
      </c>
      <c r="F650" t="s">
        <v>506</v>
      </c>
      <c r="G650" t="s">
        <v>507</v>
      </c>
      <c r="H650" t="s">
        <v>508</v>
      </c>
      <c r="I650" t="s">
        <v>509</v>
      </c>
      <c r="J650" t="s">
        <v>589</v>
      </c>
      <c r="K650" s="4">
        <f>+K649</f>
        <v>12000</v>
      </c>
      <c r="L650" t="s">
        <v>488</v>
      </c>
    </row>
    <row r="651" spans="1:14">
      <c r="A651" t="s">
        <v>514</v>
      </c>
      <c r="B651" t="s">
        <v>3358</v>
      </c>
      <c r="C651" s="60" t="s">
        <v>382</v>
      </c>
      <c r="D651" t="s">
        <v>587</v>
      </c>
      <c r="E651" t="s">
        <v>588</v>
      </c>
      <c r="F651" t="s">
        <v>506</v>
      </c>
      <c r="G651" t="s">
        <v>507</v>
      </c>
      <c r="H651" t="s">
        <v>508</v>
      </c>
      <c r="I651" t="s">
        <v>509</v>
      </c>
      <c r="J651" t="s">
        <v>589</v>
      </c>
      <c r="K651" s="4">
        <f t="shared" ref="K651:K660" si="51">+K650</f>
        <v>12000</v>
      </c>
      <c r="L651" t="s">
        <v>488</v>
      </c>
    </row>
    <row r="652" spans="1:14">
      <c r="A652" t="s">
        <v>514</v>
      </c>
      <c r="B652" t="s">
        <v>3359</v>
      </c>
      <c r="C652" s="60" t="s">
        <v>382</v>
      </c>
      <c r="D652" t="s">
        <v>587</v>
      </c>
      <c r="E652" t="s">
        <v>588</v>
      </c>
      <c r="F652" t="s">
        <v>506</v>
      </c>
      <c r="G652" t="s">
        <v>507</v>
      </c>
      <c r="H652" t="s">
        <v>508</v>
      </c>
      <c r="I652" t="s">
        <v>509</v>
      </c>
      <c r="J652" t="s">
        <v>589</v>
      </c>
      <c r="K652" s="4">
        <f t="shared" si="51"/>
        <v>12000</v>
      </c>
      <c r="L652" t="s">
        <v>488</v>
      </c>
    </row>
    <row r="653" spans="1:14">
      <c r="A653" t="s">
        <v>514</v>
      </c>
      <c r="B653" t="s">
        <v>3360</v>
      </c>
      <c r="C653" s="60" t="s">
        <v>382</v>
      </c>
      <c r="D653" t="s">
        <v>587</v>
      </c>
      <c r="E653" t="s">
        <v>588</v>
      </c>
      <c r="F653" t="s">
        <v>506</v>
      </c>
      <c r="G653" t="s">
        <v>507</v>
      </c>
      <c r="H653" t="s">
        <v>508</v>
      </c>
      <c r="I653" t="s">
        <v>509</v>
      </c>
      <c r="J653" t="s">
        <v>589</v>
      </c>
      <c r="K653" s="4">
        <v>0</v>
      </c>
      <c r="L653" t="s">
        <v>488</v>
      </c>
      <c r="N653" t="s">
        <v>3442</v>
      </c>
    </row>
    <row r="654" spans="1:14">
      <c r="A654" t="s">
        <v>514</v>
      </c>
      <c r="B654" t="s">
        <v>3361</v>
      </c>
      <c r="C654" s="60" t="s">
        <v>382</v>
      </c>
      <c r="D654" t="s">
        <v>587</v>
      </c>
      <c r="E654" t="s">
        <v>588</v>
      </c>
      <c r="F654" t="s">
        <v>506</v>
      </c>
      <c r="G654" t="s">
        <v>507</v>
      </c>
      <c r="H654" t="s">
        <v>508</v>
      </c>
      <c r="I654" t="s">
        <v>509</v>
      </c>
      <c r="J654" t="s">
        <v>589</v>
      </c>
      <c r="K654" s="4">
        <f t="shared" si="51"/>
        <v>0</v>
      </c>
      <c r="L654" t="s">
        <v>488</v>
      </c>
      <c r="N654" t="s">
        <v>3442</v>
      </c>
    </row>
    <row r="655" spans="1:14">
      <c r="A655" t="s">
        <v>514</v>
      </c>
      <c r="B655" t="s">
        <v>3362</v>
      </c>
      <c r="C655" s="60" t="s">
        <v>382</v>
      </c>
      <c r="D655" t="s">
        <v>587</v>
      </c>
      <c r="E655" t="s">
        <v>588</v>
      </c>
      <c r="F655" t="s">
        <v>506</v>
      </c>
      <c r="G655" t="s">
        <v>507</v>
      </c>
      <c r="H655" t="s">
        <v>508</v>
      </c>
      <c r="I655" t="s">
        <v>509</v>
      </c>
      <c r="J655" t="s">
        <v>589</v>
      </c>
      <c r="K655" s="4">
        <f t="shared" si="51"/>
        <v>0</v>
      </c>
      <c r="L655" t="s">
        <v>488</v>
      </c>
      <c r="N655" t="s">
        <v>3442</v>
      </c>
    </row>
    <row r="656" spans="1:14">
      <c r="A656" t="s">
        <v>514</v>
      </c>
      <c r="B656" t="s">
        <v>3363</v>
      </c>
      <c r="C656" s="60" t="s">
        <v>382</v>
      </c>
      <c r="D656" t="s">
        <v>587</v>
      </c>
      <c r="E656" t="s">
        <v>588</v>
      </c>
      <c r="F656" t="s">
        <v>506</v>
      </c>
      <c r="G656" t="s">
        <v>507</v>
      </c>
      <c r="H656" t="s">
        <v>508</v>
      </c>
      <c r="I656" t="s">
        <v>509</v>
      </c>
      <c r="J656" t="s">
        <v>589</v>
      </c>
      <c r="K656" s="4">
        <f t="shared" si="51"/>
        <v>0</v>
      </c>
      <c r="L656" t="s">
        <v>488</v>
      </c>
      <c r="N656" t="s">
        <v>3442</v>
      </c>
    </row>
    <row r="657" spans="1:14">
      <c r="A657" t="s">
        <v>514</v>
      </c>
      <c r="B657" t="s">
        <v>3364</v>
      </c>
      <c r="C657" s="60" t="s">
        <v>382</v>
      </c>
      <c r="D657" t="s">
        <v>587</v>
      </c>
      <c r="E657" t="s">
        <v>588</v>
      </c>
      <c r="F657" t="s">
        <v>506</v>
      </c>
      <c r="G657" t="s">
        <v>507</v>
      </c>
      <c r="H657" t="s">
        <v>508</v>
      </c>
      <c r="I657" t="s">
        <v>509</v>
      </c>
      <c r="J657" t="s">
        <v>589</v>
      </c>
      <c r="K657" s="4">
        <f t="shared" si="51"/>
        <v>0</v>
      </c>
      <c r="L657" t="s">
        <v>488</v>
      </c>
      <c r="N657" t="s">
        <v>3442</v>
      </c>
    </row>
    <row r="658" spans="1:14">
      <c r="A658" t="s">
        <v>514</v>
      </c>
      <c r="B658" t="s">
        <v>3365</v>
      </c>
      <c r="C658" s="60" t="s">
        <v>382</v>
      </c>
      <c r="D658" t="s">
        <v>587</v>
      </c>
      <c r="E658" t="s">
        <v>588</v>
      </c>
      <c r="F658" t="s">
        <v>506</v>
      </c>
      <c r="G658" t="s">
        <v>507</v>
      </c>
      <c r="H658" t="s">
        <v>508</v>
      </c>
      <c r="I658" t="s">
        <v>509</v>
      </c>
      <c r="J658" t="s">
        <v>589</v>
      </c>
      <c r="K658" s="4">
        <f t="shared" si="51"/>
        <v>0</v>
      </c>
      <c r="L658" t="s">
        <v>488</v>
      </c>
      <c r="N658" t="s">
        <v>3442</v>
      </c>
    </row>
    <row r="659" spans="1:14">
      <c r="A659" t="s">
        <v>514</v>
      </c>
      <c r="B659" t="s">
        <v>3366</v>
      </c>
      <c r="C659" s="60" t="s">
        <v>382</v>
      </c>
      <c r="D659" t="s">
        <v>587</v>
      </c>
      <c r="E659" t="s">
        <v>588</v>
      </c>
      <c r="F659" t="s">
        <v>506</v>
      </c>
      <c r="G659" t="s">
        <v>507</v>
      </c>
      <c r="H659" t="s">
        <v>508</v>
      </c>
      <c r="I659" t="s">
        <v>509</v>
      </c>
      <c r="J659" t="s">
        <v>589</v>
      </c>
      <c r="K659" s="4">
        <f t="shared" si="51"/>
        <v>0</v>
      </c>
      <c r="L659" t="s">
        <v>488</v>
      </c>
      <c r="N659" t="s">
        <v>3442</v>
      </c>
    </row>
    <row r="660" spans="1:14">
      <c r="A660" t="s">
        <v>514</v>
      </c>
      <c r="B660" t="s">
        <v>3367</v>
      </c>
      <c r="C660" s="60" t="s">
        <v>382</v>
      </c>
      <c r="D660" t="s">
        <v>587</v>
      </c>
      <c r="E660" t="s">
        <v>588</v>
      </c>
      <c r="F660" t="s">
        <v>506</v>
      </c>
      <c r="G660" t="s">
        <v>507</v>
      </c>
      <c r="H660" t="s">
        <v>508</v>
      </c>
      <c r="I660" t="s">
        <v>509</v>
      </c>
      <c r="J660" t="s">
        <v>589</v>
      </c>
      <c r="K660" s="4">
        <f t="shared" si="51"/>
        <v>0</v>
      </c>
      <c r="L660" t="s">
        <v>488</v>
      </c>
      <c r="N660" t="s">
        <v>3442</v>
      </c>
    </row>
    <row r="661" spans="1:14">
      <c r="A661" t="s">
        <v>514</v>
      </c>
      <c r="B661" t="s">
        <v>3356</v>
      </c>
      <c r="C661" s="3" t="s">
        <v>383</v>
      </c>
      <c r="D661" t="s">
        <v>587</v>
      </c>
      <c r="E661" t="s">
        <v>588</v>
      </c>
      <c r="F661" t="s">
        <v>506</v>
      </c>
      <c r="G661" t="s">
        <v>507</v>
      </c>
      <c r="H661" t="s">
        <v>508</v>
      </c>
      <c r="I661" t="s">
        <v>509</v>
      </c>
      <c r="J661" t="s">
        <v>589</v>
      </c>
      <c r="K661" s="491">
        <v>11500</v>
      </c>
      <c r="L661" t="s">
        <v>489</v>
      </c>
    </row>
    <row r="662" spans="1:14">
      <c r="A662" t="s">
        <v>514</v>
      </c>
      <c r="B662" t="s">
        <v>3357</v>
      </c>
      <c r="C662" s="60" t="s">
        <v>383</v>
      </c>
      <c r="D662" t="s">
        <v>587</v>
      </c>
      <c r="E662" t="s">
        <v>588</v>
      </c>
      <c r="F662" t="s">
        <v>506</v>
      </c>
      <c r="G662" t="s">
        <v>507</v>
      </c>
      <c r="H662" t="s">
        <v>508</v>
      </c>
      <c r="I662" t="s">
        <v>509</v>
      </c>
      <c r="J662" t="s">
        <v>589</v>
      </c>
      <c r="K662" s="491">
        <f>+K661</f>
        <v>11500</v>
      </c>
      <c r="L662" t="s">
        <v>489</v>
      </c>
    </row>
    <row r="663" spans="1:14">
      <c r="A663" t="s">
        <v>514</v>
      </c>
      <c r="B663" t="s">
        <v>3358</v>
      </c>
      <c r="C663" s="60" t="s">
        <v>383</v>
      </c>
      <c r="D663" t="s">
        <v>587</v>
      </c>
      <c r="E663" t="s">
        <v>588</v>
      </c>
      <c r="F663" t="s">
        <v>506</v>
      </c>
      <c r="G663" t="s">
        <v>507</v>
      </c>
      <c r="H663" t="s">
        <v>508</v>
      </c>
      <c r="I663" t="s">
        <v>509</v>
      </c>
      <c r="J663" t="s">
        <v>589</v>
      </c>
      <c r="K663" s="491">
        <f t="shared" ref="K663:K672" si="52">+K662</f>
        <v>11500</v>
      </c>
      <c r="L663" t="s">
        <v>489</v>
      </c>
    </row>
    <row r="664" spans="1:14">
      <c r="A664" t="s">
        <v>514</v>
      </c>
      <c r="B664" t="s">
        <v>3359</v>
      </c>
      <c r="C664" s="60" t="s">
        <v>383</v>
      </c>
      <c r="D664" t="s">
        <v>587</v>
      </c>
      <c r="E664" t="s">
        <v>588</v>
      </c>
      <c r="F664" t="s">
        <v>506</v>
      </c>
      <c r="G664" t="s">
        <v>507</v>
      </c>
      <c r="H664" t="s">
        <v>508</v>
      </c>
      <c r="I664" t="s">
        <v>509</v>
      </c>
      <c r="J664" t="s">
        <v>589</v>
      </c>
      <c r="K664" s="491">
        <f t="shared" si="52"/>
        <v>11500</v>
      </c>
      <c r="L664" t="s">
        <v>489</v>
      </c>
    </row>
    <row r="665" spans="1:14">
      <c r="A665" t="s">
        <v>514</v>
      </c>
      <c r="B665" t="s">
        <v>3360</v>
      </c>
      <c r="C665" s="60" t="s">
        <v>383</v>
      </c>
      <c r="D665" t="s">
        <v>587</v>
      </c>
      <c r="E665" t="s">
        <v>588</v>
      </c>
      <c r="F665" t="s">
        <v>506</v>
      </c>
      <c r="G665" t="s">
        <v>507</v>
      </c>
      <c r="H665" t="s">
        <v>508</v>
      </c>
      <c r="I665" t="s">
        <v>509</v>
      </c>
      <c r="J665" t="s">
        <v>589</v>
      </c>
      <c r="K665" s="491">
        <f t="shared" si="52"/>
        <v>11500</v>
      </c>
      <c r="L665" t="s">
        <v>489</v>
      </c>
    </row>
    <row r="666" spans="1:14">
      <c r="A666" t="s">
        <v>514</v>
      </c>
      <c r="B666" t="s">
        <v>3361</v>
      </c>
      <c r="C666" s="60" t="s">
        <v>383</v>
      </c>
      <c r="D666" t="s">
        <v>587</v>
      </c>
      <c r="E666" t="s">
        <v>588</v>
      </c>
      <c r="F666" t="s">
        <v>506</v>
      </c>
      <c r="G666" t="s">
        <v>507</v>
      </c>
      <c r="H666" t="s">
        <v>508</v>
      </c>
      <c r="I666" t="s">
        <v>509</v>
      </c>
      <c r="J666" t="s">
        <v>589</v>
      </c>
      <c r="K666" s="491">
        <f t="shared" si="52"/>
        <v>11500</v>
      </c>
      <c r="L666" t="s">
        <v>489</v>
      </c>
    </row>
    <row r="667" spans="1:14">
      <c r="A667" t="s">
        <v>514</v>
      </c>
      <c r="B667" t="s">
        <v>3362</v>
      </c>
      <c r="C667" s="60" t="s">
        <v>383</v>
      </c>
      <c r="D667" t="s">
        <v>587</v>
      </c>
      <c r="E667" t="s">
        <v>588</v>
      </c>
      <c r="F667" t="s">
        <v>506</v>
      </c>
      <c r="G667" t="s">
        <v>507</v>
      </c>
      <c r="H667" t="s">
        <v>508</v>
      </c>
      <c r="I667" t="s">
        <v>509</v>
      </c>
      <c r="J667" t="s">
        <v>589</v>
      </c>
      <c r="K667" s="491">
        <f t="shared" si="52"/>
        <v>11500</v>
      </c>
      <c r="L667" t="s">
        <v>489</v>
      </c>
    </row>
    <row r="668" spans="1:14">
      <c r="A668" t="s">
        <v>514</v>
      </c>
      <c r="B668" t="s">
        <v>3363</v>
      </c>
      <c r="C668" s="60" t="s">
        <v>383</v>
      </c>
      <c r="D668" t="s">
        <v>587</v>
      </c>
      <c r="E668" t="s">
        <v>588</v>
      </c>
      <c r="F668" t="s">
        <v>506</v>
      </c>
      <c r="G668" t="s">
        <v>507</v>
      </c>
      <c r="H668" t="s">
        <v>508</v>
      </c>
      <c r="I668" t="s">
        <v>509</v>
      </c>
      <c r="J668" t="s">
        <v>589</v>
      </c>
      <c r="K668" s="491">
        <f t="shared" si="52"/>
        <v>11500</v>
      </c>
      <c r="L668" t="s">
        <v>489</v>
      </c>
    </row>
    <row r="669" spans="1:14">
      <c r="A669" t="s">
        <v>514</v>
      </c>
      <c r="B669" t="s">
        <v>3364</v>
      </c>
      <c r="C669" s="60" t="s">
        <v>383</v>
      </c>
      <c r="D669" t="s">
        <v>587</v>
      </c>
      <c r="E669" t="s">
        <v>588</v>
      </c>
      <c r="F669" t="s">
        <v>506</v>
      </c>
      <c r="G669" t="s">
        <v>507</v>
      </c>
      <c r="H669" t="s">
        <v>508</v>
      </c>
      <c r="I669" t="s">
        <v>509</v>
      </c>
      <c r="J669" t="s">
        <v>589</v>
      </c>
      <c r="K669" s="491">
        <f t="shared" si="52"/>
        <v>11500</v>
      </c>
      <c r="L669" t="s">
        <v>489</v>
      </c>
    </row>
    <row r="670" spans="1:14">
      <c r="A670" t="s">
        <v>514</v>
      </c>
      <c r="B670" t="s">
        <v>3365</v>
      </c>
      <c r="C670" s="60" t="s">
        <v>383</v>
      </c>
      <c r="D670" t="s">
        <v>587</v>
      </c>
      <c r="E670" t="s">
        <v>588</v>
      </c>
      <c r="F670" t="s">
        <v>506</v>
      </c>
      <c r="G670" t="s">
        <v>507</v>
      </c>
      <c r="H670" t="s">
        <v>508</v>
      </c>
      <c r="I670" t="s">
        <v>509</v>
      </c>
      <c r="J670" t="s">
        <v>589</v>
      </c>
      <c r="K670" s="491">
        <f t="shared" si="52"/>
        <v>11500</v>
      </c>
      <c r="L670" t="s">
        <v>489</v>
      </c>
    </row>
    <row r="671" spans="1:14">
      <c r="A671" t="s">
        <v>514</v>
      </c>
      <c r="B671" t="s">
        <v>3366</v>
      </c>
      <c r="C671" s="60" t="s">
        <v>383</v>
      </c>
      <c r="D671" t="s">
        <v>587</v>
      </c>
      <c r="E671" t="s">
        <v>588</v>
      </c>
      <c r="F671" t="s">
        <v>506</v>
      </c>
      <c r="G671" t="s">
        <v>507</v>
      </c>
      <c r="H671" t="s">
        <v>508</v>
      </c>
      <c r="I671" t="s">
        <v>509</v>
      </c>
      <c r="J671" t="s">
        <v>589</v>
      </c>
      <c r="K671" s="491">
        <f t="shared" si="52"/>
        <v>11500</v>
      </c>
      <c r="L671" t="s">
        <v>489</v>
      </c>
    </row>
    <row r="672" spans="1:14">
      <c r="A672" t="s">
        <v>514</v>
      </c>
      <c r="B672" t="s">
        <v>3367</v>
      </c>
      <c r="C672" s="60" t="s">
        <v>383</v>
      </c>
      <c r="D672" t="s">
        <v>587</v>
      </c>
      <c r="E672" t="s">
        <v>588</v>
      </c>
      <c r="F672" t="s">
        <v>506</v>
      </c>
      <c r="G672" t="s">
        <v>507</v>
      </c>
      <c r="H672" t="s">
        <v>508</v>
      </c>
      <c r="I672" t="s">
        <v>509</v>
      </c>
      <c r="J672" t="s">
        <v>589</v>
      </c>
      <c r="K672" s="491">
        <f t="shared" si="52"/>
        <v>11500</v>
      </c>
      <c r="L672" t="s">
        <v>489</v>
      </c>
    </row>
    <row r="673" spans="1:12">
      <c r="A673" t="s">
        <v>514</v>
      </c>
      <c r="B673" t="s">
        <v>3356</v>
      </c>
      <c r="C673" s="3" t="s">
        <v>378</v>
      </c>
      <c r="D673" t="s">
        <v>587</v>
      </c>
      <c r="E673" t="s">
        <v>588</v>
      </c>
      <c r="F673" t="s">
        <v>506</v>
      </c>
      <c r="G673" t="s">
        <v>507</v>
      </c>
      <c r="H673" t="s">
        <v>508</v>
      </c>
      <c r="I673" t="s">
        <v>509</v>
      </c>
      <c r="J673" t="s">
        <v>589</v>
      </c>
      <c r="K673" s="491">
        <v>4000</v>
      </c>
      <c r="L673" t="s">
        <v>490</v>
      </c>
    </row>
    <row r="674" spans="1:12">
      <c r="A674" t="s">
        <v>514</v>
      </c>
      <c r="B674" t="s">
        <v>3357</v>
      </c>
      <c r="C674" s="60" t="s">
        <v>378</v>
      </c>
      <c r="D674" t="s">
        <v>587</v>
      </c>
      <c r="E674" t="s">
        <v>588</v>
      </c>
      <c r="F674" t="s">
        <v>506</v>
      </c>
      <c r="G674" t="s">
        <v>507</v>
      </c>
      <c r="H674" t="s">
        <v>508</v>
      </c>
      <c r="I674" t="s">
        <v>509</v>
      </c>
      <c r="J674" t="s">
        <v>589</v>
      </c>
      <c r="K674" s="491">
        <f>+K673</f>
        <v>4000</v>
      </c>
      <c r="L674" t="s">
        <v>490</v>
      </c>
    </row>
    <row r="675" spans="1:12">
      <c r="A675" t="s">
        <v>514</v>
      </c>
      <c r="B675" t="s">
        <v>3358</v>
      </c>
      <c r="C675" s="60" t="s">
        <v>378</v>
      </c>
      <c r="D675" t="s">
        <v>587</v>
      </c>
      <c r="E675" t="s">
        <v>588</v>
      </c>
      <c r="F675" t="s">
        <v>506</v>
      </c>
      <c r="G675" t="s">
        <v>507</v>
      </c>
      <c r="H675" t="s">
        <v>508</v>
      </c>
      <c r="I675" t="s">
        <v>509</v>
      </c>
      <c r="J675" t="s">
        <v>589</v>
      </c>
      <c r="K675" s="491">
        <f t="shared" ref="K675:K684" si="53">+K674</f>
        <v>4000</v>
      </c>
      <c r="L675" t="s">
        <v>490</v>
      </c>
    </row>
    <row r="676" spans="1:12">
      <c r="A676" t="s">
        <v>514</v>
      </c>
      <c r="B676" t="s">
        <v>3359</v>
      </c>
      <c r="C676" s="60" t="s">
        <v>378</v>
      </c>
      <c r="D676" t="s">
        <v>587</v>
      </c>
      <c r="E676" t="s">
        <v>588</v>
      </c>
      <c r="F676" t="s">
        <v>506</v>
      </c>
      <c r="G676" t="s">
        <v>507</v>
      </c>
      <c r="H676" t="s">
        <v>508</v>
      </c>
      <c r="I676" t="s">
        <v>509</v>
      </c>
      <c r="J676" t="s">
        <v>589</v>
      </c>
      <c r="K676" s="491">
        <f t="shared" si="53"/>
        <v>4000</v>
      </c>
      <c r="L676" t="s">
        <v>490</v>
      </c>
    </row>
    <row r="677" spans="1:12">
      <c r="A677" t="s">
        <v>514</v>
      </c>
      <c r="B677" t="s">
        <v>3360</v>
      </c>
      <c r="C677" s="60" t="s">
        <v>378</v>
      </c>
      <c r="D677" t="s">
        <v>587</v>
      </c>
      <c r="E677" t="s">
        <v>588</v>
      </c>
      <c r="F677" t="s">
        <v>506</v>
      </c>
      <c r="G677" t="s">
        <v>507</v>
      </c>
      <c r="H677" t="s">
        <v>508</v>
      </c>
      <c r="I677" t="s">
        <v>509</v>
      </c>
      <c r="J677" t="s">
        <v>589</v>
      </c>
      <c r="K677" s="491">
        <f t="shared" si="53"/>
        <v>4000</v>
      </c>
      <c r="L677" t="s">
        <v>490</v>
      </c>
    </row>
    <row r="678" spans="1:12">
      <c r="A678" t="s">
        <v>514</v>
      </c>
      <c r="B678" t="s">
        <v>3361</v>
      </c>
      <c r="C678" s="60" t="s">
        <v>378</v>
      </c>
      <c r="D678" t="s">
        <v>587</v>
      </c>
      <c r="E678" t="s">
        <v>588</v>
      </c>
      <c r="F678" t="s">
        <v>506</v>
      </c>
      <c r="G678" t="s">
        <v>507</v>
      </c>
      <c r="H678" t="s">
        <v>508</v>
      </c>
      <c r="I678" t="s">
        <v>509</v>
      </c>
      <c r="J678" t="s">
        <v>589</v>
      </c>
      <c r="K678" s="491">
        <f t="shared" si="53"/>
        <v>4000</v>
      </c>
      <c r="L678" t="s">
        <v>490</v>
      </c>
    </row>
    <row r="679" spans="1:12">
      <c r="A679" t="s">
        <v>514</v>
      </c>
      <c r="B679" t="s">
        <v>3362</v>
      </c>
      <c r="C679" s="60" t="s">
        <v>378</v>
      </c>
      <c r="D679" t="s">
        <v>587</v>
      </c>
      <c r="E679" t="s">
        <v>588</v>
      </c>
      <c r="F679" t="s">
        <v>506</v>
      </c>
      <c r="G679" t="s">
        <v>507</v>
      </c>
      <c r="H679" t="s">
        <v>508</v>
      </c>
      <c r="I679" t="s">
        <v>509</v>
      </c>
      <c r="J679" t="s">
        <v>589</v>
      </c>
      <c r="K679" s="491">
        <f t="shared" si="53"/>
        <v>4000</v>
      </c>
      <c r="L679" t="s">
        <v>490</v>
      </c>
    </row>
    <row r="680" spans="1:12">
      <c r="A680" t="s">
        <v>514</v>
      </c>
      <c r="B680" t="s">
        <v>3363</v>
      </c>
      <c r="C680" s="60" t="s">
        <v>378</v>
      </c>
      <c r="D680" t="s">
        <v>587</v>
      </c>
      <c r="E680" t="s">
        <v>588</v>
      </c>
      <c r="F680" t="s">
        <v>506</v>
      </c>
      <c r="G680" t="s">
        <v>507</v>
      </c>
      <c r="H680" t="s">
        <v>508</v>
      </c>
      <c r="I680" t="s">
        <v>509</v>
      </c>
      <c r="J680" t="s">
        <v>589</v>
      </c>
      <c r="K680" s="491">
        <f t="shared" si="53"/>
        <v>4000</v>
      </c>
      <c r="L680" t="s">
        <v>490</v>
      </c>
    </row>
    <row r="681" spans="1:12">
      <c r="A681" t="s">
        <v>514</v>
      </c>
      <c r="B681" t="s">
        <v>3364</v>
      </c>
      <c r="C681" s="60" t="s">
        <v>378</v>
      </c>
      <c r="D681" t="s">
        <v>587</v>
      </c>
      <c r="E681" t="s">
        <v>588</v>
      </c>
      <c r="F681" t="s">
        <v>506</v>
      </c>
      <c r="G681" t="s">
        <v>507</v>
      </c>
      <c r="H681" t="s">
        <v>508</v>
      </c>
      <c r="I681" t="s">
        <v>509</v>
      </c>
      <c r="J681" t="s">
        <v>589</v>
      </c>
      <c r="K681" s="491">
        <f t="shared" si="53"/>
        <v>4000</v>
      </c>
      <c r="L681" t="s">
        <v>490</v>
      </c>
    </row>
    <row r="682" spans="1:12">
      <c r="A682" t="s">
        <v>514</v>
      </c>
      <c r="B682" t="s">
        <v>3365</v>
      </c>
      <c r="C682" s="60" t="s">
        <v>378</v>
      </c>
      <c r="D682" t="s">
        <v>587</v>
      </c>
      <c r="E682" t="s">
        <v>588</v>
      </c>
      <c r="F682" t="s">
        <v>506</v>
      </c>
      <c r="G682" t="s">
        <v>507</v>
      </c>
      <c r="H682" t="s">
        <v>508</v>
      </c>
      <c r="I682" t="s">
        <v>509</v>
      </c>
      <c r="J682" t="s">
        <v>589</v>
      </c>
      <c r="K682" s="491">
        <f t="shared" si="53"/>
        <v>4000</v>
      </c>
      <c r="L682" t="s">
        <v>490</v>
      </c>
    </row>
    <row r="683" spans="1:12">
      <c r="A683" t="s">
        <v>514</v>
      </c>
      <c r="B683" t="s">
        <v>3366</v>
      </c>
      <c r="C683" s="60" t="s">
        <v>378</v>
      </c>
      <c r="D683" t="s">
        <v>587</v>
      </c>
      <c r="E683" t="s">
        <v>588</v>
      </c>
      <c r="F683" t="s">
        <v>506</v>
      </c>
      <c r="G683" t="s">
        <v>507</v>
      </c>
      <c r="H683" t="s">
        <v>508</v>
      </c>
      <c r="I683" t="s">
        <v>509</v>
      </c>
      <c r="J683" t="s">
        <v>589</v>
      </c>
      <c r="K683" s="491">
        <f t="shared" si="53"/>
        <v>4000</v>
      </c>
      <c r="L683" t="s">
        <v>490</v>
      </c>
    </row>
    <row r="684" spans="1:12">
      <c r="A684" t="s">
        <v>514</v>
      </c>
      <c r="B684" t="s">
        <v>3367</v>
      </c>
      <c r="C684" s="60" t="s">
        <v>378</v>
      </c>
      <c r="D684" t="s">
        <v>587</v>
      </c>
      <c r="E684" t="s">
        <v>588</v>
      </c>
      <c r="F684" t="s">
        <v>506</v>
      </c>
      <c r="G684" t="s">
        <v>507</v>
      </c>
      <c r="H684" t="s">
        <v>508</v>
      </c>
      <c r="I684" t="s">
        <v>509</v>
      </c>
      <c r="J684" t="s">
        <v>589</v>
      </c>
      <c r="K684" s="491">
        <f t="shared" si="53"/>
        <v>4000</v>
      </c>
      <c r="L684" t="s">
        <v>490</v>
      </c>
    </row>
    <row r="685" spans="1:12">
      <c r="A685" t="s">
        <v>514</v>
      </c>
      <c r="B685" t="s">
        <v>3356</v>
      </c>
      <c r="C685" s="3" t="s">
        <v>373</v>
      </c>
      <c r="D685" t="s">
        <v>587</v>
      </c>
      <c r="E685" t="s">
        <v>588</v>
      </c>
      <c r="F685" t="s">
        <v>506</v>
      </c>
      <c r="G685" t="s">
        <v>507</v>
      </c>
      <c r="H685" t="s">
        <v>508</v>
      </c>
      <c r="I685" t="s">
        <v>509</v>
      </c>
      <c r="J685" t="s">
        <v>589</v>
      </c>
      <c r="K685" s="491">
        <v>12000</v>
      </c>
      <c r="L685" t="s">
        <v>491</v>
      </c>
    </row>
    <row r="686" spans="1:12">
      <c r="A686" t="s">
        <v>514</v>
      </c>
      <c r="B686" t="s">
        <v>3357</v>
      </c>
      <c r="C686" s="60" t="s">
        <v>373</v>
      </c>
      <c r="D686" t="s">
        <v>587</v>
      </c>
      <c r="E686" t="s">
        <v>588</v>
      </c>
      <c r="F686" t="s">
        <v>506</v>
      </c>
      <c r="G686" t="s">
        <v>507</v>
      </c>
      <c r="H686" t="s">
        <v>508</v>
      </c>
      <c r="I686" t="s">
        <v>509</v>
      </c>
      <c r="J686" t="s">
        <v>589</v>
      </c>
      <c r="K686" s="491">
        <f>+K685</f>
        <v>12000</v>
      </c>
      <c r="L686" t="s">
        <v>491</v>
      </c>
    </row>
    <row r="687" spans="1:12">
      <c r="A687" t="s">
        <v>514</v>
      </c>
      <c r="B687" t="s">
        <v>3358</v>
      </c>
      <c r="C687" s="60" t="s">
        <v>373</v>
      </c>
      <c r="D687" t="s">
        <v>587</v>
      </c>
      <c r="E687" t="s">
        <v>588</v>
      </c>
      <c r="F687" t="s">
        <v>506</v>
      </c>
      <c r="G687" t="s">
        <v>507</v>
      </c>
      <c r="H687" t="s">
        <v>508</v>
      </c>
      <c r="I687" t="s">
        <v>509</v>
      </c>
      <c r="J687" t="s">
        <v>589</v>
      </c>
      <c r="K687" s="491">
        <f t="shared" ref="K687:K696" si="54">+K686</f>
        <v>12000</v>
      </c>
      <c r="L687" t="s">
        <v>491</v>
      </c>
    </row>
    <row r="688" spans="1:12">
      <c r="A688" t="s">
        <v>514</v>
      </c>
      <c r="B688" t="s">
        <v>3359</v>
      </c>
      <c r="C688" s="60" t="s">
        <v>373</v>
      </c>
      <c r="D688" t="s">
        <v>587</v>
      </c>
      <c r="E688" t="s">
        <v>588</v>
      </c>
      <c r="F688" t="s">
        <v>506</v>
      </c>
      <c r="G688" t="s">
        <v>507</v>
      </c>
      <c r="H688" t="s">
        <v>508</v>
      </c>
      <c r="I688" t="s">
        <v>509</v>
      </c>
      <c r="J688" t="s">
        <v>589</v>
      </c>
      <c r="K688" s="491">
        <f t="shared" si="54"/>
        <v>12000</v>
      </c>
      <c r="L688" t="s">
        <v>491</v>
      </c>
    </row>
    <row r="689" spans="1:12">
      <c r="A689" t="s">
        <v>514</v>
      </c>
      <c r="B689" t="s">
        <v>3360</v>
      </c>
      <c r="C689" s="60" t="s">
        <v>373</v>
      </c>
      <c r="D689" t="s">
        <v>587</v>
      </c>
      <c r="E689" t="s">
        <v>588</v>
      </c>
      <c r="F689" t="s">
        <v>506</v>
      </c>
      <c r="G689" t="s">
        <v>507</v>
      </c>
      <c r="H689" t="s">
        <v>508</v>
      </c>
      <c r="I689" t="s">
        <v>509</v>
      </c>
      <c r="J689" t="s">
        <v>589</v>
      </c>
      <c r="K689" s="491">
        <f t="shared" si="54"/>
        <v>12000</v>
      </c>
      <c r="L689" t="s">
        <v>491</v>
      </c>
    </row>
    <row r="690" spans="1:12">
      <c r="A690" t="s">
        <v>514</v>
      </c>
      <c r="B690" t="s">
        <v>3361</v>
      </c>
      <c r="C690" s="60" t="s">
        <v>373</v>
      </c>
      <c r="D690" t="s">
        <v>587</v>
      </c>
      <c r="E690" t="s">
        <v>588</v>
      </c>
      <c r="F690" t="s">
        <v>506</v>
      </c>
      <c r="G690" t="s">
        <v>507</v>
      </c>
      <c r="H690" t="s">
        <v>508</v>
      </c>
      <c r="I690" t="s">
        <v>509</v>
      </c>
      <c r="J690" t="s">
        <v>589</v>
      </c>
      <c r="K690" s="491">
        <f t="shared" si="54"/>
        <v>12000</v>
      </c>
      <c r="L690" t="s">
        <v>491</v>
      </c>
    </row>
    <row r="691" spans="1:12">
      <c r="A691" t="s">
        <v>514</v>
      </c>
      <c r="B691" t="s">
        <v>3362</v>
      </c>
      <c r="C691" s="60" t="s">
        <v>373</v>
      </c>
      <c r="D691" t="s">
        <v>587</v>
      </c>
      <c r="E691" t="s">
        <v>588</v>
      </c>
      <c r="F691" t="s">
        <v>506</v>
      </c>
      <c r="G691" t="s">
        <v>507</v>
      </c>
      <c r="H691" t="s">
        <v>508</v>
      </c>
      <c r="I691" t="s">
        <v>509</v>
      </c>
      <c r="J691" t="s">
        <v>589</v>
      </c>
      <c r="K691" s="491">
        <f t="shared" si="54"/>
        <v>12000</v>
      </c>
      <c r="L691" t="s">
        <v>491</v>
      </c>
    </row>
    <row r="692" spans="1:12">
      <c r="A692" t="s">
        <v>514</v>
      </c>
      <c r="B692" t="s">
        <v>3363</v>
      </c>
      <c r="C692" s="60" t="s">
        <v>373</v>
      </c>
      <c r="D692" t="s">
        <v>587</v>
      </c>
      <c r="E692" t="s">
        <v>588</v>
      </c>
      <c r="F692" t="s">
        <v>506</v>
      </c>
      <c r="G692" t="s">
        <v>507</v>
      </c>
      <c r="H692" t="s">
        <v>508</v>
      </c>
      <c r="I692" t="s">
        <v>509</v>
      </c>
      <c r="J692" t="s">
        <v>589</v>
      </c>
      <c r="K692" s="491">
        <f t="shared" si="54"/>
        <v>12000</v>
      </c>
      <c r="L692" t="s">
        <v>491</v>
      </c>
    </row>
    <row r="693" spans="1:12">
      <c r="A693" t="s">
        <v>514</v>
      </c>
      <c r="B693" t="s">
        <v>3364</v>
      </c>
      <c r="C693" s="60" t="s">
        <v>373</v>
      </c>
      <c r="D693" t="s">
        <v>587</v>
      </c>
      <c r="E693" t="s">
        <v>588</v>
      </c>
      <c r="F693" t="s">
        <v>506</v>
      </c>
      <c r="G693" t="s">
        <v>507</v>
      </c>
      <c r="H693" t="s">
        <v>508</v>
      </c>
      <c r="I693" t="s">
        <v>509</v>
      </c>
      <c r="J693" t="s">
        <v>589</v>
      </c>
      <c r="K693" s="491">
        <f t="shared" si="54"/>
        <v>12000</v>
      </c>
      <c r="L693" t="s">
        <v>491</v>
      </c>
    </row>
    <row r="694" spans="1:12">
      <c r="A694" t="s">
        <v>514</v>
      </c>
      <c r="B694" t="s">
        <v>3365</v>
      </c>
      <c r="C694" s="60" t="s">
        <v>373</v>
      </c>
      <c r="D694" t="s">
        <v>587</v>
      </c>
      <c r="E694" t="s">
        <v>588</v>
      </c>
      <c r="F694" t="s">
        <v>506</v>
      </c>
      <c r="G694" t="s">
        <v>507</v>
      </c>
      <c r="H694" t="s">
        <v>508</v>
      </c>
      <c r="I694" t="s">
        <v>509</v>
      </c>
      <c r="J694" t="s">
        <v>589</v>
      </c>
      <c r="K694" s="491">
        <f t="shared" si="54"/>
        <v>12000</v>
      </c>
      <c r="L694" t="s">
        <v>491</v>
      </c>
    </row>
    <row r="695" spans="1:12">
      <c r="A695" t="s">
        <v>514</v>
      </c>
      <c r="B695" t="s">
        <v>3366</v>
      </c>
      <c r="C695" s="60" t="s">
        <v>373</v>
      </c>
      <c r="D695" t="s">
        <v>587</v>
      </c>
      <c r="E695" t="s">
        <v>588</v>
      </c>
      <c r="F695" t="s">
        <v>506</v>
      </c>
      <c r="G695" t="s">
        <v>507</v>
      </c>
      <c r="H695" t="s">
        <v>508</v>
      </c>
      <c r="I695" t="s">
        <v>509</v>
      </c>
      <c r="J695" t="s">
        <v>589</v>
      </c>
      <c r="K695" s="491">
        <f t="shared" si="54"/>
        <v>12000</v>
      </c>
      <c r="L695" t="s">
        <v>491</v>
      </c>
    </row>
    <row r="696" spans="1:12">
      <c r="A696" t="s">
        <v>514</v>
      </c>
      <c r="B696" t="s">
        <v>3367</v>
      </c>
      <c r="C696" s="60" t="s">
        <v>373</v>
      </c>
      <c r="D696" t="s">
        <v>587</v>
      </c>
      <c r="E696" t="s">
        <v>588</v>
      </c>
      <c r="F696" t="s">
        <v>506</v>
      </c>
      <c r="G696" t="s">
        <v>507</v>
      </c>
      <c r="H696" t="s">
        <v>508</v>
      </c>
      <c r="I696" t="s">
        <v>509</v>
      </c>
      <c r="J696" t="s">
        <v>589</v>
      </c>
      <c r="K696" s="491">
        <f t="shared" si="54"/>
        <v>12000</v>
      </c>
      <c r="L696" t="s">
        <v>491</v>
      </c>
    </row>
    <row r="697" spans="1:12">
      <c r="A697" t="s">
        <v>514</v>
      </c>
      <c r="B697" t="s">
        <v>3356</v>
      </c>
      <c r="C697" s="3" t="s">
        <v>374</v>
      </c>
      <c r="D697" t="s">
        <v>587</v>
      </c>
      <c r="E697" t="s">
        <v>588</v>
      </c>
      <c r="F697" t="s">
        <v>506</v>
      </c>
      <c r="G697" t="s">
        <v>507</v>
      </c>
      <c r="H697" t="s">
        <v>508</v>
      </c>
      <c r="I697" t="s">
        <v>509</v>
      </c>
      <c r="J697" t="s">
        <v>589</v>
      </c>
      <c r="K697" s="491">
        <v>8000</v>
      </c>
      <c r="L697" t="s">
        <v>492</v>
      </c>
    </row>
    <row r="698" spans="1:12">
      <c r="A698" t="s">
        <v>514</v>
      </c>
      <c r="B698" t="s">
        <v>3357</v>
      </c>
      <c r="C698" s="60" t="s">
        <v>374</v>
      </c>
      <c r="D698" t="s">
        <v>587</v>
      </c>
      <c r="E698" t="s">
        <v>588</v>
      </c>
      <c r="F698" t="s">
        <v>506</v>
      </c>
      <c r="G698" t="s">
        <v>507</v>
      </c>
      <c r="H698" t="s">
        <v>508</v>
      </c>
      <c r="I698" t="s">
        <v>509</v>
      </c>
      <c r="J698" t="s">
        <v>589</v>
      </c>
      <c r="K698" s="491">
        <f>+K697</f>
        <v>8000</v>
      </c>
      <c r="L698" t="s">
        <v>492</v>
      </c>
    </row>
    <row r="699" spans="1:12">
      <c r="A699" t="s">
        <v>514</v>
      </c>
      <c r="B699" t="s">
        <v>3358</v>
      </c>
      <c r="C699" s="60" t="s">
        <v>374</v>
      </c>
      <c r="D699" t="s">
        <v>587</v>
      </c>
      <c r="E699" t="s">
        <v>588</v>
      </c>
      <c r="F699" t="s">
        <v>506</v>
      </c>
      <c r="G699" t="s">
        <v>507</v>
      </c>
      <c r="H699" t="s">
        <v>508</v>
      </c>
      <c r="I699" t="s">
        <v>509</v>
      </c>
      <c r="J699" t="s">
        <v>589</v>
      </c>
      <c r="K699" s="491">
        <f t="shared" ref="K699:K708" si="55">+K698</f>
        <v>8000</v>
      </c>
      <c r="L699" t="s">
        <v>492</v>
      </c>
    </row>
    <row r="700" spans="1:12">
      <c r="A700" t="s">
        <v>514</v>
      </c>
      <c r="B700" t="s">
        <v>3359</v>
      </c>
      <c r="C700" s="60" t="s">
        <v>374</v>
      </c>
      <c r="D700" t="s">
        <v>587</v>
      </c>
      <c r="E700" t="s">
        <v>588</v>
      </c>
      <c r="F700" t="s">
        <v>506</v>
      </c>
      <c r="G700" t="s">
        <v>507</v>
      </c>
      <c r="H700" t="s">
        <v>508</v>
      </c>
      <c r="I700" t="s">
        <v>509</v>
      </c>
      <c r="J700" t="s">
        <v>589</v>
      </c>
      <c r="K700" s="491">
        <f t="shared" si="55"/>
        <v>8000</v>
      </c>
      <c r="L700" t="s">
        <v>492</v>
      </c>
    </row>
    <row r="701" spans="1:12">
      <c r="A701" t="s">
        <v>514</v>
      </c>
      <c r="B701" t="s">
        <v>3360</v>
      </c>
      <c r="C701" s="60" t="s">
        <v>374</v>
      </c>
      <c r="D701" t="s">
        <v>587</v>
      </c>
      <c r="E701" t="s">
        <v>588</v>
      </c>
      <c r="F701" t="s">
        <v>506</v>
      </c>
      <c r="G701" t="s">
        <v>507</v>
      </c>
      <c r="H701" t="s">
        <v>508</v>
      </c>
      <c r="I701" t="s">
        <v>509</v>
      </c>
      <c r="J701" t="s">
        <v>589</v>
      </c>
      <c r="K701" s="491">
        <f t="shared" si="55"/>
        <v>8000</v>
      </c>
      <c r="L701" t="s">
        <v>492</v>
      </c>
    </row>
    <row r="702" spans="1:12">
      <c r="A702" t="s">
        <v>514</v>
      </c>
      <c r="B702" t="s">
        <v>3361</v>
      </c>
      <c r="C702" s="60" t="s">
        <v>374</v>
      </c>
      <c r="D702" t="s">
        <v>587</v>
      </c>
      <c r="E702" t="s">
        <v>588</v>
      </c>
      <c r="F702" t="s">
        <v>506</v>
      </c>
      <c r="G702" t="s">
        <v>507</v>
      </c>
      <c r="H702" t="s">
        <v>508</v>
      </c>
      <c r="I702" t="s">
        <v>509</v>
      </c>
      <c r="J702" t="s">
        <v>589</v>
      </c>
      <c r="K702" s="491">
        <f t="shared" si="55"/>
        <v>8000</v>
      </c>
      <c r="L702" t="s">
        <v>492</v>
      </c>
    </row>
    <row r="703" spans="1:12">
      <c r="A703" t="s">
        <v>514</v>
      </c>
      <c r="B703" t="s">
        <v>3362</v>
      </c>
      <c r="C703" s="60" t="s">
        <v>374</v>
      </c>
      <c r="D703" t="s">
        <v>587</v>
      </c>
      <c r="E703" t="s">
        <v>588</v>
      </c>
      <c r="F703" t="s">
        <v>506</v>
      </c>
      <c r="G703" t="s">
        <v>507</v>
      </c>
      <c r="H703" t="s">
        <v>508</v>
      </c>
      <c r="I703" t="s">
        <v>509</v>
      </c>
      <c r="J703" t="s">
        <v>589</v>
      </c>
      <c r="K703" s="491">
        <f t="shared" si="55"/>
        <v>8000</v>
      </c>
      <c r="L703" t="s">
        <v>492</v>
      </c>
    </row>
    <row r="704" spans="1:12">
      <c r="A704" t="s">
        <v>514</v>
      </c>
      <c r="B704" t="s">
        <v>3363</v>
      </c>
      <c r="C704" s="60" t="s">
        <v>374</v>
      </c>
      <c r="D704" t="s">
        <v>587</v>
      </c>
      <c r="E704" t="s">
        <v>588</v>
      </c>
      <c r="F704" t="s">
        <v>506</v>
      </c>
      <c r="G704" t="s">
        <v>507</v>
      </c>
      <c r="H704" t="s">
        <v>508</v>
      </c>
      <c r="I704" t="s">
        <v>509</v>
      </c>
      <c r="J704" t="s">
        <v>589</v>
      </c>
      <c r="K704" s="491">
        <f t="shared" si="55"/>
        <v>8000</v>
      </c>
      <c r="L704" t="s">
        <v>492</v>
      </c>
    </row>
    <row r="705" spans="1:12">
      <c r="A705" t="s">
        <v>514</v>
      </c>
      <c r="B705" t="s">
        <v>3364</v>
      </c>
      <c r="C705" s="60" t="s">
        <v>374</v>
      </c>
      <c r="D705" t="s">
        <v>587</v>
      </c>
      <c r="E705" t="s">
        <v>588</v>
      </c>
      <c r="F705" t="s">
        <v>506</v>
      </c>
      <c r="G705" t="s">
        <v>507</v>
      </c>
      <c r="H705" t="s">
        <v>508</v>
      </c>
      <c r="I705" t="s">
        <v>509</v>
      </c>
      <c r="J705" t="s">
        <v>589</v>
      </c>
      <c r="K705" s="491">
        <f t="shared" si="55"/>
        <v>8000</v>
      </c>
      <c r="L705" t="s">
        <v>492</v>
      </c>
    </row>
    <row r="706" spans="1:12">
      <c r="A706" t="s">
        <v>514</v>
      </c>
      <c r="B706" t="s">
        <v>3365</v>
      </c>
      <c r="C706" s="60" t="s">
        <v>374</v>
      </c>
      <c r="D706" t="s">
        <v>587</v>
      </c>
      <c r="E706" t="s">
        <v>588</v>
      </c>
      <c r="F706" t="s">
        <v>506</v>
      </c>
      <c r="G706" t="s">
        <v>507</v>
      </c>
      <c r="H706" t="s">
        <v>508</v>
      </c>
      <c r="I706" t="s">
        <v>509</v>
      </c>
      <c r="J706" t="s">
        <v>589</v>
      </c>
      <c r="K706" s="491">
        <f t="shared" si="55"/>
        <v>8000</v>
      </c>
      <c r="L706" t="s">
        <v>492</v>
      </c>
    </row>
    <row r="707" spans="1:12">
      <c r="A707" t="s">
        <v>514</v>
      </c>
      <c r="B707" t="s">
        <v>3366</v>
      </c>
      <c r="C707" s="60" t="s">
        <v>374</v>
      </c>
      <c r="D707" t="s">
        <v>587</v>
      </c>
      <c r="E707" t="s">
        <v>588</v>
      </c>
      <c r="F707" t="s">
        <v>506</v>
      </c>
      <c r="G707" t="s">
        <v>507</v>
      </c>
      <c r="H707" t="s">
        <v>508</v>
      </c>
      <c r="I707" t="s">
        <v>509</v>
      </c>
      <c r="J707" t="s">
        <v>589</v>
      </c>
      <c r="K707" s="491">
        <f t="shared" si="55"/>
        <v>8000</v>
      </c>
      <c r="L707" t="s">
        <v>492</v>
      </c>
    </row>
    <row r="708" spans="1:12">
      <c r="A708" t="s">
        <v>514</v>
      </c>
      <c r="B708" t="s">
        <v>3367</v>
      </c>
      <c r="C708" s="60" t="s">
        <v>374</v>
      </c>
      <c r="D708" t="s">
        <v>587</v>
      </c>
      <c r="E708" t="s">
        <v>588</v>
      </c>
      <c r="F708" t="s">
        <v>506</v>
      </c>
      <c r="G708" t="s">
        <v>507</v>
      </c>
      <c r="H708" t="s">
        <v>508</v>
      </c>
      <c r="I708" t="s">
        <v>509</v>
      </c>
      <c r="J708" t="s">
        <v>589</v>
      </c>
      <c r="K708" s="491">
        <f t="shared" si="55"/>
        <v>8000</v>
      </c>
      <c r="L708" t="s">
        <v>492</v>
      </c>
    </row>
    <row r="709" spans="1:12">
      <c r="A709" t="s">
        <v>514</v>
      </c>
      <c r="B709" t="s">
        <v>3356</v>
      </c>
      <c r="C709" s="3" t="s">
        <v>377</v>
      </c>
      <c r="D709" t="s">
        <v>587</v>
      </c>
      <c r="E709" t="s">
        <v>588</v>
      </c>
      <c r="F709" t="s">
        <v>506</v>
      </c>
      <c r="G709" t="s">
        <v>507</v>
      </c>
      <c r="H709" t="s">
        <v>508</v>
      </c>
      <c r="I709" t="s">
        <v>509</v>
      </c>
      <c r="J709" t="s">
        <v>589</v>
      </c>
      <c r="K709" s="491">
        <v>12000</v>
      </c>
      <c r="L709" t="s">
        <v>493</v>
      </c>
    </row>
    <row r="710" spans="1:12">
      <c r="A710" t="s">
        <v>514</v>
      </c>
      <c r="B710" t="s">
        <v>3357</v>
      </c>
      <c r="C710" s="60" t="s">
        <v>377</v>
      </c>
      <c r="D710" t="s">
        <v>587</v>
      </c>
      <c r="E710" t="s">
        <v>588</v>
      </c>
      <c r="F710" t="s">
        <v>506</v>
      </c>
      <c r="G710" t="s">
        <v>507</v>
      </c>
      <c r="H710" t="s">
        <v>508</v>
      </c>
      <c r="I710" t="s">
        <v>509</v>
      </c>
      <c r="J710" t="s">
        <v>589</v>
      </c>
      <c r="K710" s="491">
        <f>+K709</f>
        <v>12000</v>
      </c>
      <c r="L710" t="s">
        <v>493</v>
      </c>
    </row>
    <row r="711" spans="1:12">
      <c r="A711" t="s">
        <v>514</v>
      </c>
      <c r="B711" t="s">
        <v>3358</v>
      </c>
      <c r="C711" s="60" t="s">
        <v>377</v>
      </c>
      <c r="D711" t="s">
        <v>587</v>
      </c>
      <c r="E711" t="s">
        <v>588</v>
      </c>
      <c r="F711" t="s">
        <v>506</v>
      </c>
      <c r="G711" t="s">
        <v>507</v>
      </c>
      <c r="H711" t="s">
        <v>508</v>
      </c>
      <c r="I711" t="s">
        <v>509</v>
      </c>
      <c r="J711" t="s">
        <v>589</v>
      </c>
      <c r="K711" s="491">
        <f t="shared" ref="K711:K720" si="56">+K710</f>
        <v>12000</v>
      </c>
      <c r="L711" t="s">
        <v>493</v>
      </c>
    </row>
    <row r="712" spans="1:12">
      <c r="A712" t="s">
        <v>514</v>
      </c>
      <c r="B712" t="s">
        <v>3359</v>
      </c>
      <c r="C712" s="60" t="s">
        <v>377</v>
      </c>
      <c r="D712" t="s">
        <v>587</v>
      </c>
      <c r="E712" t="s">
        <v>588</v>
      </c>
      <c r="F712" t="s">
        <v>506</v>
      </c>
      <c r="G712" t="s">
        <v>507</v>
      </c>
      <c r="H712" t="s">
        <v>508</v>
      </c>
      <c r="I712" t="s">
        <v>509</v>
      </c>
      <c r="J712" t="s">
        <v>589</v>
      </c>
      <c r="K712" s="491">
        <f t="shared" si="56"/>
        <v>12000</v>
      </c>
      <c r="L712" t="s">
        <v>493</v>
      </c>
    </row>
    <row r="713" spans="1:12">
      <c r="A713" t="s">
        <v>514</v>
      </c>
      <c r="B713" t="s">
        <v>3360</v>
      </c>
      <c r="C713" s="60" t="s">
        <v>377</v>
      </c>
      <c r="D713" t="s">
        <v>587</v>
      </c>
      <c r="E713" t="s">
        <v>588</v>
      </c>
      <c r="F713" t="s">
        <v>506</v>
      </c>
      <c r="G713" t="s">
        <v>507</v>
      </c>
      <c r="H713" t="s">
        <v>508</v>
      </c>
      <c r="I713" t="s">
        <v>509</v>
      </c>
      <c r="J713" t="s">
        <v>589</v>
      </c>
      <c r="K713" s="491">
        <f t="shared" si="56"/>
        <v>12000</v>
      </c>
      <c r="L713" t="s">
        <v>493</v>
      </c>
    </row>
    <row r="714" spans="1:12">
      <c r="A714" t="s">
        <v>514</v>
      </c>
      <c r="B714" t="s">
        <v>3361</v>
      </c>
      <c r="C714" s="60" t="s">
        <v>377</v>
      </c>
      <c r="D714" t="s">
        <v>587</v>
      </c>
      <c r="E714" t="s">
        <v>588</v>
      </c>
      <c r="F714" t="s">
        <v>506</v>
      </c>
      <c r="G714" t="s">
        <v>507</v>
      </c>
      <c r="H714" t="s">
        <v>508</v>
      </c>
      <c r="I714" t="s">
        <v>509</v>
      </c>
      <c r="J714" t="s">
        <v>589</v>
      </c>
      <c r="K714" s="491">
        <f t="shared" si="56"/>
        <v>12000</v>
      </c>
      <c r="L714" t="s">
        <v>493</v>
      </c>
    </row>
    <row r="715" spans="1:12">
      <c r="A715" t="s">
        <v>514</v>
      </c>
      <c r="B715" t="s">
        <v>3362</v>
      </c>
      <c r="C715" s="60" t="s">
        <v>377</v>
      </c>
      <c r="D715" t="s">
        <v>587</v>
      </c>
      <c r="E715" t="s">
        <v>588</v>
      </c>
      <c r="F715" t="s">
        <v>506</v>
      </c>
      <c r="G715" t="s">
        <v>507</v>
      </c>
      <c r="H715" t="s">
        <v>508</v>
      </c>
      <c r="I715" t="s">
        <v>509</v>
      </c>
      <c r="J715" t="s">
        <v>589</v>
      </c>
      <c r="K715" s="491">
        <f t="shared" si="56"/>
        <v>12000</v>
      </c>
      <c r="L715" t="s">
        <v>493</v>
      </c>
    </row>
    <row r="716" spans="1:12">
      <c r="A716" t="s">
        <v>514</v>
      </c>
      <c r="B716" t="s">
        <v>3363</v>
      </c>
      <c r="C716" s="60" t="s">
        <v>377</v>
      </c>
      <c r="D716" t="s">
        <v>587</v>
      </c>
      <c r="E716" t="s">
        <v>588</v>
      </c>
      <c r="F716" t="s">
        <v>506</v>
      </c>
      <c r="G716" t="s">
        <v>507</v>
      </c>
      <c r="H716" t="s">
        <v>508</v>
      </c>
      <c r="I716" t="s">
        <v>509</v>
      </c>
      <c r="J716" t="s">
        <v>589</v>
      </c>
      <c r="K716" s="491">
        <f t="shared" si="56"/>
        <v>12000</v>
      </c>
      <c r="L716" t="s">
        <v>493</v>
      </c>
    </row>
    <row r="717" spans="1:12">
      <c r="A717" t="s">
        <v>514</v>
      </c>
      <c r="B717" t="s">
        <v>3364</v>
      </c>
      <c r="C717" s="60" t="s">
        <v>377</v>
      </c>
      <c r="D717" t="s">
        <v>587</v>
      </c>
      <c r="E717" t="s">
        <v>588</v>
      </c>
      <c r="F717" t="s">
        <v>506</v>
      </c>
      <c r="G717" t="s">
        <v>507</v>
      </c>
      <c r="H717" t="s">
        <v>508</v>
      </c>
      <c r="I717" t="s">
        <v>509</v>
      </c>
      <c r="J717" t="s">
        <v>589</v>
      </c>
      <c r="K717" s="491">
        <f t="shared" si="56"/>
        <v>12000</v>
      </c>
      <c r="L717" t="s">
        <v>493</v>
      </c>
    </row>
    <row r="718" spans="1:12">
      <c r="A718" t="s">
        <v>514</v>
      </c>
      <c r="B718" t="s">
        <v>3365</v>
      </c>
      <c r="C718" s="60" t="s">
        <v>377</v>
      </c>
      <c r="D718" t="s">
        <v>587</v>
      </c>
      <c r="E718" t="s">
        <v>588</v>
      </c>
      <c r="F718" t="s">
        <v>506</v>
      </c>
      <c r="G718" t="s">
        <v>507</v>
      </c>
      <c r="H718" t="s">
        <v>508</v>
      </c>
      <c r="I718" t="s">
        <v>509</v>
      </c>
      <c r="J718" t="s">
        <v>589</v>
      </c>
      <c r="K718" s="491">
        <f t="shared" si="56"/>
        <v>12000</v>
      </c>
      <c r="L718" t="s">
        <v>493</v>
      </c>
    </row>
    <row r="719" spans="1:12">
      <c r="A719" t="s">
        <v>514</v>
      </c>
      <c r="B719" t="s">
        <v>3366</v>
      </c>
      <c r="C719" s="60" t="s">
        <v>377</v>
      </c>
      <c r="D719" t="s">
        <v>587</v>
      </c>
      <c r="E719" t="s">
        <v>588</v>
      </c>
      <c r="F719" t="s">
        <v>506</v>
      </c>
      <c r="G719" t="s">
        <v>507</v>
      </c>
      <c r="H719" t="s">
        <v>508</v>
      </c>
      <c r="I719" t="s">
        <v>509</v>
      </c>
      <c r="J719" t="s">
        <v>589</v>
      </c>
      <c r="K719" s="491">
        <f t="shared" si="56"/>
        <v>12000</v>
      </c>
      <c r="L719" t="s">
        <v>493</v>
      </c>
    </row>
    <row r="720" spans="1:12">
      <c r="A720" t="s">
        <v>514</v>
      </c>
      <c r="B720" t="s">
        <v>3367</v>
      </c>
      <c r="C720" s="60" t="s">
        <v>377</v>
      </c>
      <c r="D720" t="s">
        <v>587</v>
      </c>
      <c r="E720" t="s">
        <v>588</v>
      </c>
      <c r="F720" t="s">
        <v>506</v>
      </c>
      <c r="G720" t="s">
        <v>507</v>
      </c>
      <c r="H720" t="s">
        <v>508</v>
      </c>
      <c r="I720" t="s">
        <v>509</v>
      </c>
      <c r="J720" t="s">
        <v>589</v>
      </c>
      <c r="K720" s="491">
        <f t="shared" si="56"/>
        <v>12000</v>
      </c>
      <c r="L720" t="s">
        <v>493</v>
      </c>
    </row>
    <row r="721" spans="1:12">
      <c r="A721" t="s">
        <v>514</v>
      </c>
      <c r="B721" t="s">
        <v>3356</v>
      </c>
      <c r="C721" s="3" t="s">
        <v>379</v>
      </c>
      <c r="D721" t="s">
        <v>587</v>
      </c>
      <c r="E721" t="s">
        <v>588</v>
      </c>
      <c r="F721" t="s">
        <v>506</v>
      </c>
      <c r="G721" t="s">
        <v>507</v>
      </c>
      <c r="H721" t="s">
        <v>508</v>
      </c>
      <c r="I721" t="s">
        <v>509</v>
      </c>
      <c r="J721" t="s">
        <v>589</v>
      </c>
      <c r="K721" s="491">
        <v>10000</v>
      </c>
      <c r="L721" t="s">
        <v>494</v>
      </c>
    </row>
    <row r="722" spans="1:12">
      <c r="A722" t="s">
        <v>514</v>
      </c>
      <c r="B722" t="s">
        <v>3357</v>
      </c>
      <c r="C722" s="60" t="s">
        <v>379</v>
      </c>
      <c r="D722" t="s">
        <v>587</v>
      </c>
      <c r="E722" t="s">
        <v>588</v>
      </c>
      <c r="F722" t="s">
        <v>506</v>
      </c>
      <c r="G722" t="s">
        <v>507</v>
      </c>
      <c r="H722" t="s">
        <v>508</v>
      </c>
      <c r="I722" t="s">
        <v>509</v>
      </c>
      <c r="J722" t="s">
        <v>589</v>
      </c>
      <c r="K722" s="491">
        <f>+K721</f>
        <v>10000</v>
      </c>
      <c r="L722" t="s">
        <v>494</v>
      </c>
    </row>
    <row r="723" spans="1:12">
      <c r="A723" t="s">
        <v>514</v>
      </c>
      <c r="B723" t="s">
        <v>3358</v>
      </c>
      <c r="C723" s="60" t="s">
        <v>379</v>
      </c>
      <c r="D723" t="s">
        <v>587</v>
      </c>
      <c r="E723" t="s">
        <v>588</v>
      </c>
      <c r="F723" t="s">
        <v>506</v>
      </c>
      <c r="G723" t="s">
        <v>507</v>
      </c>
      <c r="H723" t="s">
        <v>508</v>
      </c>
      <c r="I723" t="s">
        <v>509</v>
      </c>
      <c r="J723" t="s">
        <v>589</v>
      </c>
      <c r="K723" s="491">
        <f t="shared" ref="K723:K732" si="57">+K722</f>
        <v>10000</v>
      </c>
      <c r="L723" t="s">
        <v>494</v>
      </c>
    </row>
    <row r="724" spans="1:12">
      <c r="A724" t="s">
        <v>514</v>
      </c>
      <c r="B724" t="s">
        <v>3359</v>
      </c>
      <c r="C724" s="60" t="s">
        <v>379</v>
      </c>
      <c r="D724" t="s">
        <v>587</v>
      </c>
      <c r="E724" t="s">
        <v>588</v>
      </c>
      <c r="F724" t="s">
        <v>506</v>
      </c>
      <c r="G724" t="s">
        <v>507</v>
      </c>
      <c r="H724" t="s">
        <v>508</v>
      </c>
      <c r="I724" t="s">
        <v>509</v>
      </c>
      <c r="J724" t="s">
        <v>589</v>
      </c>
      <c r="K724" s="491">
        <f t="shared" si="57"/>
        <v>10000</v>
      </c>
      <c r="L724" t="s">
        <v>494</v>
      </c>
    </row>
    <row r="725" spans="1:12">
      <c r="A725" t="s">
        <v>514</v>
      </c>
      <c r="B725" t="s">
        <v>3360</v>
      </c>
      <c r="C725" s="60" t="s">
        <v>379</v>
      </c>
      <c r="D725" t="s">
        <v>587</v>
      </c>
      <c r="E725" t="s">
        <v>588</v>
      </c>
      <c r="F725" t="s">
        <v>506</v>
      </c>
      <c r="G725" t="s">
        <v>507</v>
      </c>
      <c r="H725" t="s">
        <v>508</v>
      </c>
      <c r="I725" t="s">
        <v>509</v>
      </c>
      <c r="J725" t="s">
        <v>589</v>
      </c>
      <c r="K725" s="491">
        <f t="shared" si="57"/>
        <v>10000</v>
      </c>
      <c r="L725" t="s">
        <v>494</v>
      </c>
    </row>
    <row r="726" spans="1:12">
      <c r="A726" t="s">
        <v>514</v>
      </c>
      <c r="B726" t="s">
        <v>3361</v>
      </c>
      <c r="C726" s="60" t="s">
        <v>379</v>
      </c>
      <c r="D726" t="s">
        <v>587</v>
      </c>
      <c r="E726" t="s">
        <v>588</v>
      </c>
      <c r="F726" t="s">
        <v>506</v>
      </c>
      <c r="G726" t="s">
        <v>507</v>
      </c>
      <c r="H726" t="s">
        <v>508</v>
      </c>
      <c r="I726" t="s">
        <v>509</v>
      </c>
      <c r="J726" t="s">
        <v>589</v>
      </c>
      <c r="K726" s="491">
        <f t="shared" si="57"/>
        <v>10000</v>
      </c>
      <c r="L726" t="s">
        <v>494</v>
      </c>
    </row>
    <row r="727" spans="1:12">
      <c r="A727" t="s">
        <v>514</v>
      </c>
      <c r="B727" t="s">
        <v>3362</v>
      </c>
      <c r="C727" s="60" t="s">
        <v>379</v>
      </c>
      <c r="D727" t="s">
        <v>587</v>
      </c>
      <c r="E727" t="s">
        <v>588</v>
      </c>
      <c r="F727" t="s">
        <v>506</v>
      </c>
      <c r="G727" t="s">
        <v>507</v>
      </c>
      <c r="H727" t="s">
        <v>508</v>
      </c>
      <c r="I727" t="s">
        <v>509</v>
      </c>
      <c r="J727" t="s">
        <v>589</v>
      </c>
      <c r="K727" s="491">
        <f t="shared" si="57"/>
        <v>10000</v>
      </c>
      <c r="L727" t="s">
        <v>494</v>
      </c>
    </row>
    <row r="728" spans="1:12">
      <c r="A728" t="s">
        <v>514</v>
      </c>
      <c r="B728" t="s">
        <v>3363</v>
      </c>
      <c r="C728" s="60" t="s">
        <v>379</v>
      </c>
      <c r="D728" t="s">
        <v>587</v>
      </c>
      <c r="E728" t="s">
        <v>588</v>
      </c>
      <c r="F728" t="s">
        <v>506</v>
      </c>
      <c r="G728" t="s">
        <v>507</v>
      </c>
      <c r="H728" t="s">
        <v>508</v>
      </c>
      <c r="I728" t="s">
        <v>509</v>
      </c>
      <c r="J728" t="s">
        <v>589</v>
      </c>
      <c r="K728" s="491">
        <f t="shared" si="57"/>
        <v>10000</v>
      </c>
      <c r="L728" t="s">
        <v>494</v>
      </c>
    </row>
    <row r="729" spans="1:12">
      <c r="A729" t="s">
        <v>514</v>
      </c>
      <c r="B729" t="s">
        <v>3364</v>
      </c>
      <c r="C729" s="60" t="s">
        <v>379</v>
      </c>
      <c r="D729" t="s">
        <v>587</v>
      </c>
      <c r="E729" t="s">
        <v>588</v>
      </c>
      <c r="F729" t="s">
        <v>506</v>
      </c>
      <c r="G729" t="s">
        <v>507</v>
      </c>
      <c r="H729" t="s">
        <v>508</v>
      </c>
      <c r="I729" t="s">
        <v>509</v>
      </c>
      <c r="J729" t="s">
        <v>589</v>
      </c>
      <c r="K729" s="491">
        <f t="shared" si="57"/>
        <v>10000</v>
      </c>
      <c r="L729" t="s">
        <v>494</v>
      </c>
    </row>
    <row r="730" spans="1:12">
      <c r="A730" t="s">
        <v>514</v>
      </c>
      <c r="B730" t="s">
        <v>3365</v>
      </c>
      <c r="C730" s="60" t="s">
        <v>379</v>
      </c>
      <c r="D730" t="s">
        <v>587</v>
      </c>
      <c r="E730" t="s">
        <v>588</v>
      </c>
      <c r="F730" t="s">
        <v>506</v>
      </c>
      <c r="G730" t="s">
        <v>507</v>
      </c>
      <c r="H730" t="s">
        <v>508</v>
      </c>
      <c r="I730" t="s">
        <v>509</v>
      </c>
      <c r="J730" t="s">
        <v>589</v>
      </c>
      <c r="K730" s="491">
        <f t="shared" si="57"/>
        <v>10000</v>
      </c>
      <c r="L730" t="s">
        <v>494</v>
      </c>
    </row>
    <row r="731" spans="1:12">
      <c r="A731" t="s">
        <v>514</v>
      </c>
      <c r="B731" t="s">
        <v>3366</v>
      </c>
      <c r="C731" s="60" t="s">
        <v>379</v>
      </c>
      <c r="D731" t="s">
        <v>587</v>
      </c>
      <c r="E731" t="s">
        <v>588</v>
      </c>
      <c r="F731" t="s">
        <v>506</v>
      </c>
      <c r="G731" t="s">
        <v>507</v>
      </c>
      <c r="H731" t="s">
        <v>508</v>
      </c>
      <c r="I731" t="s">
        <v>509</v>
      </c>
      <c r="J731" t="s">
        <v>589</v>
      </c>
      <c r="K731" s="491">
        <f t="shared" si="57"/>
        <v>10000</v>
      </c>
      <c r="L731" t="s">
        <v>494</v>
      </c>
    </row>
    <row r="732" spans="1:12">
      <c r="A732" t="s">
        <v>514</v>
      </c>
      <c r="B732" t="s">
        <v>3367</v>
      </c>
      <c r="C732" s="60" t="s">
        <v>379</v>
      </c>
      <c r="D732" t="s">
        <v>587</v>
      </c>
      <c r="E732" t="s">
        <v>588</v>
      </c>
      <c r="F732" t="s">
        <v>506</v>
      </c>
      <c r="G732" t="s">
        <v>507</v>
      </c>
      <c r="H732" t="s">
        <v>508</v>
      </c>
      <c r="I732" t="s">
        <v>509</v>
      </c>
      <c r="J732" t="s">
        <v>589</v>
      </c>
      <c r="K732" s="491">
        <f t="shared" si="57"/>
        <v>10000</v>
      </c>
      <c r="L732" t="s">
        <v>494</v>
      </c>
    </row>
    <row r="733" spans="1:12">
      <c r="A733" t="s">
        <v>514</v>
      </c>
      <c r="B733" t="s">
        <v>3356</v>
      </c>
      <c r="C733" s="3" t="s">
        <v>384</v>
      </c>
      <c r="D733" t="s">
        <v>587</v>
      </c>
      <c r="E733" t="s">
        <v>588</v>
      </c>
      <c r="F733" t="s">
        <v>506</v>
      </c>
      <c r="G733" t="s">
        <v>507</v>
      </c>
      <c r="H733" t="s">
        <v>508</v>
      </c>
      <c r="I733" t="s">
        <v>509</v>
      </c>
      <c r="J733" t="s">
        <v>589</v>
      </c>
      <c r="K733" s="491">
        <v>9600</v>
      </c>
      <c r="L733" t="s">
        <v>495</v>
      </c>
    </row>
    <row r="734" spans="1:12">
      <c r="A734" t="s">
        <v>514</v>
      </c>
      <c r="B734" t="s">
        <v>3357</v>
      </c>
      <c r="C734" s="60" t="s">
        <v>384</v>
      </c>
      <c r="D734" t="s">
        <v>587</v>
      </c>
      <c r="E734" t="s">
        <v>588</v>
      </c>
      <c r="F734" t="s">
        <v>506</v>
      </c>
      <c r="G734" t="s">
        <v>507</v>
      </c>
      <c r="H734" t="s">
        <v>508</v>
      </c>
      <c r="I734" t="s">
        <v>509</v>
      </c>
      <c r="J734" t="s">
        <v>589</v>
      </c>
      <c r="K734" s="491">
        <f>+K733</f>
        <v>9600</v>
      </c>
      <c r="L734" t="s">
        <v>495</v>
      </c>
    </row>
    <row r="735" spans="1:12">
      <c r="A735" t="s">
        <v>514</v>
      </c>
      <c r="B735" t="s">
        <v>3358</v>
      </c>
      <c r="C735" s="60" t="s">
        <v>384</v>
      </c>
      <c r="D735" t="s">
        <v>587</v>
      </c>
      <c r="E735" t="s">
        <v>588</v>
      </c>
      <c r="F735" t="s">
        <v>506</v>
      </c>
      <c r="G735" t="s">
        <v>507</v>
      </c>
      <c r="H735" t="s">
        <v>508</v>
      </c>
      <c r="I735" t="s">
        <v>509</v>
      </c>
      <c r="J735" t="s">
        <v>589</v>
      </c>
      <c r="K735" s="491">
        <f t="shared" ref="K735:K744" si="58">+K734</f>
        <v>9600</v>
      </c>
      <c r="L735" t="s">
        <v>495</v>
      </c>
    </row>
    <row r="736" spans="1:12">
      <c r="A736" t="s">
        <v>514</v>
      </c>
      <c r="B736" t="s">
        <v>3359</v>
      </c>
      <c r="C736" s="60" t="s">
        <v>384</v>
      </c>
      <c r="D736" t="s">
        <v>587</v>
      </c>
      <c r="E736" t="s">
        <v>588</v>
      </c>
      <c r="F736" t="s">
        <v>506</v>
      </c>
      <c r="G736" t="s">
        <v>507</v>
      </c>
      <c r="H736" t="s">
        <v>508</v>
      </c>
      <c r="I736" t="s">
        <v>509</v>
      </c>
      <c r="J736" t="s">
        <v>589</v>
      </c>
      <c r="K736" s="491">
        <f t="shared" si="58"/>
        <v>9600</v>
      </c>
      <c r="L736" t="s">
        <v>495</v>
      </c>
    </row>
    <row r="737" spans="1:15">
      <c r="A737" t="s">
        <v>514</v>
      </c>
      <c r="B737" t="s">
        <v>3360</v>
      </c>
      <c r="C737" s="60" t="s">
        <v>384</v>
      </c>
      <c r="D737" t="s">
        <v>587</v>
      </c>
      <c r="E737" t="s">
        <v>588</v>
      </c>
      <c r="F737" t="s">
        <v>506</v>
      </c>
      <c r="G737" t="s">
        <v>507</v>
      </c>
      <c r="H737" t="s">
        <v>508</v>
      </c>
      <c r="I737" t="s">
        <v>509</v>
      </c>
      <c r="J737" t="s">
        <v>589</v>
      </c>
      <c r="K737" s="491">
        <f t="shared" si="58"/>
        <v>9600</v>
      </c>
      <c r="L737" t="s">
        <v>495</v>
      </c>
    </row>
    <row r="738" spans="1:15">
      <c r="A738" t="s">
        <v>514</v>
      </c>
      <c r="B738" t="s">
        <v>3361</v>
      </c>
      <c r="C738" s="60" t="s">
        <v>384</v>
      </c>
      <c r="D738" t="s">
        <v>587</v>
      </c>
      <c r="E738" t="s">
        <v>588</v>
      </c>
      <c r="F738" t="s">
        <v>506</v>
      </c>
      <c r="G738" t="s">
        <v>507</v>
      </c>
      <c r="H738" t="s">
        <v>508</v>
      </c>
      <c r="I738" t="s">
        <v>509</v>
      </c>
      <c r="J738" t="s">
        <v>589</v>
      </c>
      <c r="K738" s="491">
        <f t="shared" si="58"/>
        <v>9600</v>
      </c>
      <c r="L738" t="s">
        <v>495</v>
      </c>
    </row>
    <row r="739" spans="1:15">
      <c r="A739" t="s">
        <v>514</v>
      </c>
      <c r="B739" t="s">
        <v>3362</v>
      </c>
      <c r="C739" s="60" t="s">
        <v>384</v>
      </c>
      <c r="D739" t="s">
        <v>587</v>
      </c>
      <c r="E739" t="s">
        <v>588</v>
      </c>
      <c r="F739" t="s">
        <v>506</v>
      </c>
      <c r="G739" t="s">
        <v>507</v>
      </c>
      <c r="H739" t="s">
        <v>508</v>
      </c>
      <c r="I739" t="s">
        <v>509</v>
      </c>
      <c r="J739" t="s">
        <v>589</v>
      </c>
      <c r="K739" s="491">
        <f t="shared" si="58"/>
        <v>9600</v>
      </c>
      <c r="L739" t="s">
        <v>495</v>
      </c>
    </row>
    <row r="740" spans="1:15">
      <c r="A740" t="s">
        <v>514</v>
      </c>
      <c r="B740" t="s">
        <v>3363</v>
      </c>
      <c r="C740" s="60" t="s">
        <v>384</v>
      </c>
      <c r="D740" t="s">
        <v>587</v>
      </c>
      <c r="E740" t="s">
        <v>588</v>
      </c>
      <c r="F740" t="s">
        <v>506</v>
      </c>
      <c r="G740" t="s">
        <v>507</v>
      </c>
      <c r="H740" t="s">
        <v>508</v>
      </c>
      <c r="I740" t="s">
        <v>509</v>
      </c>
      <c r="J740" t="s">
        <v>589</v>
      </c>
      <c r="K740" s="491">
        <f t="shared" si="58"/>
        <v>9600</v>
      </c>
      <c r="L740" t="s">
        <v>495</v>
      </c>
    </row>
    <row r="741" spans="1:15">
      <c r="A741" t="s">
        <v>514</v>
      </c>
      <c r="B741" t="s">
        <v>3364</v>
      </c>
      <c r="C741" s="60" t="s">
        <v>384</v>
      </c>
      <c r="D741" t="s">
        <v>587</v>
      </c>
      <c r="E741" t="s">
        <v>588</v>
      </c>
      <c r="F741" t="s">
        <v>506</v>
      </c>
      <c r="G741" t="s">
        <v>507</v>
      </c>
      <c r="H741" t="s">
        <v>508</v>
      </c>
      <c r="I741" t="s">
        <v>509</v>
      </c>
      <c r="J741" t="s">
        <v>589</v>
      </c>
      <c r="K741" s="491">
        <f t="shared" si="58"/>
        <v>9600</v>
      </c>
      <c r="L741" t="s">
        <v>495</v>
      </c>
    </row>
    <row r="742" spans="1:15">
      <c r="A742" t="s">
        <v>514</v>
      </c>
      <c r="B742" t="s">
        <v>3365</v>
      </c>
      <c r="C742" s="60" t="s">
        <v>384</v>
      </c>
      <c r="D742" t="s">
        <v>587</v>
      </c>
      <c r="E742" t="s">
        <v>588</v>
      </c>
      <c r="F742" t="s">
        <v>506</v>
      </c>
      <c r="G742" t="s">
        <v>507</v>
      </c>
      <c r="H742" t="s">
        <v>508</v>
      </c>
      <c r="I742" t="s">
        <v>509</v>
      </c>
      <c r="J742" t="s">
        <v>589</v>
      </c>
      <c r="K742" s="491">
        <f t="shared" si="58"/>
        <v>9600</v>
      </c>
      <c r="L742" t="s">
        <v>495</v>
      </c>
    </row>
    <row r="743" spans="1:15">
      <c r="A743" t="s">
        <v>514</v>
      </c>
      <c r="B743" t="s">
        <v>3366</v>
      </c>
      <c r="C743" s="60" t="s">
        <v>384</v>
      </c>
      <c r="D743" t="s">
        <v>587</v>
      </c>
      <c r="E743" t="s">
        <v>588</v>
      </c>
      <c r="F743" t="s">
        <v>506</v>
      </c>
      <c r="G743" t="s">
        <v>507</v>
      </c>
      <c r="H743" t="s">
        <v>508</v>
      </c>
      <c r="I743" t="s">
        <v>509</v>
      </c>
      <c r="J743" t="s">
        <v>589</v>
      </c>
      <c r="K743" s="491">
        <f t="shared" si="58"/>
        <v>9600</v>
      </c>
      <c r="L743" t="s">
        <v>495</v>
      </c>
    </row>
    <row r="744" spans="1:15">
      <c r="A744" t="s">
        <v>514</v>
      </c>
      <c r="B744" t="s">
        <v>3367</v>
      </c>
      <c r="C744" s="60" t="s">
        <v>384</v>
      </c>
      <c r="D744" t="s">
        <v>587</v>
      </c>
      <c r="E744" t="s">
        <v>588</v>
      </c>
      <c r="F744" t="s">
        <v>506</v>
      </c>
      <c r="G744" t="s">
        <v>507</v>
      </c>
      <c r="H744" t="s">
        <v>508</v>
      </c>
      <c r="I744" t="s">
        <v>509</v>
      </c>
      <c r="J744" t="s">
        <v>589</v>
      </c>
      <c r="K744" s="491">
        <f t="shared" si="58"/>
        <v>9600</v>
      </c>
      <c r="L744" t="s">
        <v>495</v>
      </c>
    </row>
    <row r="745" spans="1:15">
      <c r="A745" t="s">
        <v>514</v>
      </c>
      <c r="B745" t="s">
        <v>3356</v>
      </c>
      <c r="C745" s="3" t="s">
        <v>381</v>
      </c>
      <c r="D745" t="s">
        <v>587</v>
      </c>
      <c r="E745" t="s">
        <v>588</v>
      </c>
      <c r="F745" t="s">
        <v>506</v>
      </c>
      <c r="G745" t="s">
        <v>507</v>
      </c>
      <c r="H745" t="s">
        <v>508</v>
      </c>
      <c r="I745" t="s">
        <v>509</v>
      </c>
      <c r="J745" t="s">
        <v>589</v>
      </c>
      <c r="K745" s="3">
        <v>12000</v>
      </c>
      <c r="L745" t="s">
        <v>496</v>
      </c>
    </row>
    <row r="746" spans="1:15">
      <c r="A746" t="s">
        <v>514</v>
      </c>
      <c r="B746" t="s">
        <v>3357</v>
      </c>
      <c r="C746" s="60" t="s">
        <v>381</v>
      </c>
      <c r="D746" t="s">
        <v>587</v>
      </c>
      <c r="E746" t="s">
        <v>588</v>
      </c>
      <c r="F746" t="s">
        <v>506</v>
      </c>
      <c r="G746" t="s">
        <v>507</v>
      </c>
      <c r="H746" t="s">
        <v>508</v>
      </c>
      <c r="I746" t="s">
        <v>509</v>
      </c>
      <c r="J746" t="s">
        <v>589</v>
      </c>
      <c r="K746" s="3">
        <f>+K745</f>
        <v>12000</v>
      </c>
      <c r="L746" t="s">
        <v>496</v>
      </c>
    </row>
    <row r="747" spans="1:15">
      <c r="A747" t="s">
        <v>514</v>
      </c>
      <c r="B747" t="s">
        <v>3358</v>
      </c>
      <c r="C747" s="60" t="s">
        <v>381</v>
      </c>
      <c r="D747" t="s">
        <v>587</v>
      </c>
      <c r="E747" t="s">
        <v>588</v>
      </c>
      <c r="F747" t="s">
        <v>506</v>
      </c>
      <c r="G747" t="s">
        <v>507</v>
      </c>
      <c r="H747" t="s">
        <v>508</v>
      </c>
      <c r="I747" t="s">
        <v>509</v>
      </c>
      <c r="J747" t="s">
        <v>589</v>
      </c>
      <c r="K747" s="3">
        <f t="shared" ref="K747:K756" si="59">+K746</f>
        <v>12000</v>
      </c>
      <c r="L747" t="s">
        <v>496</v>
      </c>
    </row>
    <row r="748" spans="1:15">
      <c r="A748" t="s">
        <v>514</v>
      </c>
      <c r="B748" t="s">
        <v>3359</v>
      </c>
      <c r="C748" s="60" t="s">
        <v>381</v>
      </c>
      <c r="D748" t="s">
        <v>587</v>
      </c>
      <c r="E748" t="s">
        <v>588</v>
      </c>
      <c r="F748" t="s">
        <v>506</v>
      </c>
      <c r="G748" t="s">
        <v>507</v>
      </c>
      <c r="H748" t="s">
        <v>508</v>
      </c>
      <c r="I748" t="s">
        <v>509</v>
      </c>
      <c r="J748" t="s">
        <v>589</v>
      </c>
      <c r="K748" s="3">
        <f t="shared" si="59"/>
        <v>12000</v>
      </c>
      <c r="L748" t="s">
        <v>496</v>
      </c>
    </row>
    <row r="749" spans="1:15">
      <c r="A749" t="s">
        <v>514</v>
      </c>
      <c r="B749" t="s">
        <v>3360</v>
      </c>
      <c r="C749" s="60" t="s">
        <v>381</v>
      </c>
      <c r="D749" t="s">
        <v>587</v>
      </c>
      <c r="E749" t="s">
        <v>588</v>
      </c>
      <c r="F749" t="s">
        <v>506</v>
      </c>
      <c r="G749" t="s">
        <v>507</v>
      </c>
      <c r="H749" t="s">
        <v>508</v>
      </c>
      <c r="I749" t="s">
        <v>509</v>
      </c>
      <c r="J749" t="s">
        <v>589</v>
      </c>
      <c r="K749" s="3">
        <f t="shared" si="59"/>
        <v>12000</v>
      </c>
      <c r="L749" t="s">
        <v>496</v>
      </c>
    </row>
    <row r="750" spans="1:15">
      <c r="A750" t="s">
        <v>514</v>
      </c>
      <c r="B750" t="s">
        <v>3361</v>
      </c>
      <c r="C750" s="60" t="s">
        <v>381</v>
      </c>
      <c r="D750" t="s">
        <v>587</v>
      </c>
      <c r="E750" t="s">
        <v>588</v>
      </c>
      <c r="F750" t="s">
        <v>506</v>
      </c>
      <c r="G750" t="s">
        <v>507</v>
      </c>
      <c r="H750" t="s">
        <v>508</v>
      </c>
      <c r="I750" t="s">
        <v>509</v>
      </c>
      <c r="J750" t="s">
        <v>589</v>
      </c>
      <c r="K750" s="3">
        <f t="shared" si="59"/>
        <v>12000</v>
      </c>
      <c r="L750" t="s">
        <v>496</v>
      </c>
    </row>
    <row r="751" spans="1:15">
      <c r="A751" t="s">
        <v>514</v>
      </c>
      <c r="B751" t="s">
        <v>3362</v>
      </c>
      <c r="C751" s="60" t="s">
        <v>381</v>
      </c>
      <c r="D751" t="s">
        <v>587</v>
      </c>
      <c r="E751" t="s">
        <v>588</v>
      </c>
      <c r="F751" t="s">
        <v>506</v>
      </c>
      <c r="G751" t="s">
        <v>507</v>
      </c>
      <c r="H751" t="s">
        <v>508</v>
      </c>
      <c r="I751" t="s">
        <v>509</v>
      </c>
      <c r="J751" t="s">
        <v>589</v>
      </c>
      <c r="K751" s="3">
        <v>0</v>
      </c>
      <c r="L751" t="s">
        <v>496</v>
      </c>
      <c r="O751" t="s">
        <v>3442</v>
      </c>
    </row>
    <row r="752" spans="1:15">
      <c r="A752" t="s">
        <v>514</v>
      </c>
      <c r="B752" t="s">
        <v>3363</v>
      </c>
      <c r="C752" s="60" t="s">
        <v>381</v>
      </c>
      <c r="D752" t="s">
        <v>587</v>
      </c>
      <c r="E752" t="s">
        <v>588</v>
      </c>
      <c r="F752" t="s">
        <v>506</v>
      </c>
      <c r="G752" t="s">
        <v>507</v>
      </c>
      <c r="H752" t="s">
        <v>508</v>
      </c>
      <c r="I752" t="s">
        <v>509</v>
      </c>
      <c r="J752" t="s">
        <v>589</v>
      </c>
      <c r="K752" s="3">
        <f t="shared" si="59"/>
        <v>0</v>
      </c>
      <c r="L752" t="s">
        <v>496</v>
      </c>
      <c r="O752" t="s">
        <v>3442</v>
      </c>
    </row>
    <row r="753" spans="1:15">
      <c r="A753" t="s">
        <v>514</v>
      </c>
      <c r="B753" t="s">
        <v>3364</v>
      </c>
      <c r="C753" s="60" t="s">
        <v>381</v>
      </c>
      <c r="D753" t="s">
        <v>587</v>
      </c>
      <c r="E753" t="s">
        <v>588</v>
      </c>
      <c r="F753" t="s">
        <v>506</v>
      </c>
      <c r="G753" t="s">
        <v>507</v>
      </c>
      <c r="H753" t="s">
        <v>508</v>
      </c>
      <c r="I753" t="s">
        <v>509</v>
      </c>
      <c r="J753" t="s">
        <v>589</v>
      </c>
      <c r="K753" s="3">
        <f t="shared" si="59"/>
        <v>0</v>
      </c>
      <c r="L753" t="s">
        <v>496</v>
      </c>
      <c r="O753" t="s">
        <v>3442</v>
      </c>
    </row>
    <row r="754" spans="1:15">
      <c r="A754" t="s">
        <v>514</v>
      </c>
      <c r="B754" t="s">
        <v>3365</v>
      </c>
      <c r="C754" s="60" t="s">
        <v>381</v>
      </c>
      <c r="D754" t="s">
        <v>587</v>
      </c>
      <c r="E754" t="s">
        <v>588</v>
      </c>
      <c r="F754" t="s">
        <v>506</v>
      </c>
      <c r="G754" t="s">
        <v>507</v>
      </c>
      <c r="H754" t="s">
        <v>508</v>
      </c>
      <c r="I754" t="s">
        <v>509</v>
      </c>
      <c r="J754" t="s">
        <v>589</v>
      </c>
      <c r="K754" s="3">
        <f t="shared" si="59"/>
        <v>0</v>
      </c>
      <c r="L754" t="s">
        <v>496</v>
      </c>
      <c r="O754" t="s">
        <v>3442</v>
      </c>
    </row>
    <row r="755" spans="1:15">
      <c r="A755" t="s">
        <v>514</v>
      </c>
      <c r="B755" t="s">
        <v>3366</v>
      </c>
      <c r="C755" s="60" t="s">
        <v>381</v>
      </c>
      <c r="D755" t="s">
        <v>587</v>
      </c>
      <c r="E755" t="s">
        <v>588</v>
      </c>
      <c r="F755" t="s">
        <v>506</v>
      </c>
      <c r="G755" t="s">
        <v>507</v>
      </c>
      <c r="H755" t="s">
        <v>508</v>
      </c>
      <c r="I755" t="s">
        <v>509</v>
      </c>
      <c r="J755" t="s">
        <v>589</v>
      </c>
      <c r="K755" s="3">
        <f t="shared" si="59"/>
        <v>0</v>
      </c>
      <c r="L755" t="s">
        <v>496</v>
      </c>
      <c r="O755" t="s">
        <v>3442</v>
      </c>
    </row>
    <row r="756" spans="1:15">
      <c r="A756" t="s">
        <v>514</v>
      </c>
      <c r="B756" t="s">
        <v>3367</v>
      </c>
      <c r="C756" s="60" t="s">
        <v>381</v>
      </c>
      <c r="D756" t="s">
        <v>587</v>
      </c>
      <c r="E756" t="s">
        <v>588</v>
      </c>
      <c r="F756" t="s">
        <v>506</v>
      </c>
      <c r="G756" t="s">
        <v>507</v>
      </c>
      <c r="H756" t="s">
        <v>508</v>
      </c>
      <c r="I756" t="s">
        <v>509</v>
      </c>
      <c r="J756" t="s">
        <v>589</v>
      </c>
      <c r="K756" s="3">
        <f t="shared" si="59"/>
        <v>0</v>
      </c>
      <c r="L756" t="s">
        <v>496</v>
      </c>
      <c r="O756" t="s">
        <v>3442</v>
      </c>
    </row>
    <row r="757" spans="1:15">
      <c r="A757" t="s">
        <v>514</v>
      </c>
      <c r="B757" t="s">
        <v>3356</v>
      </c>
      <c r="C757" s="3" t="s">
        <v>385</v>
      </c>
      <c r="D757" t="s">
        <v>587</v>
      </c>
      <c r="E757" t="s">
        <v>588</v>
      </c>
      <c r="F757" t="s">
        <v>506</v>
      </c>
      <c r="G757" t="s">
        <v>507</v>
      </c>
      <c r="H757" t="s">
        <v>508</v>
      </c>
      <c r="I757" t="s">
        <v>509</v>
      </c>
      <c r="J757" t="s">
        <v>589</v>
      </c>
      <c r="K757" s="491">
        <v>12500</v>
      </c>
      <c r="L757" t="s">
        <v>497</v>
      </c>
    </row>
    <row r="758" spans="1:15">
      <c r="A758" t="s">
        <v>514</v>
      </c>
      <c r="B758" t="s">
        <v>3357</v>
      </c>
      <c r="C758" s="60" t="s">
        <v>385</v>
      </c>
      <c r="D758" t="s">
        <v>587</v>
      </c>
      <c r="E758" t="s">
        <v>588</v>
      </c>
      <c r="F758" t="s">
        <v>506</v>
      </c>
      <c r="G758" t="s">
        <v>507</v>
      </c>
      <c r="H758" t="s">
        <v>508</v>
      </c>
      <c r="I758" t="s">
        <v>509</v>
      </c>
      <c r="J758" t="s">
        <v>589</v>
      </c>
      <c r="K758" s="491">
        <f>+K757</f>
        <v>12500</v>
      </c>
      <c r="L758" t="s">
        <v>497</v>
      </c>
    </row>
    <row r="759" spans="1:15">
      <c r="A759" t="s">
        <v>514</v>
      </c>
      <c r="B759" t="s">
        <v>3358</v>
      </c>
      <c r="C759" s="60" t="s">
        <v>385</v>
      </c>
      <c r="D759" t="s">
        <v>587</v>
      </c>
      <c r="E759" t="s">
        <v>588</v>
      </c>
      <c r="F759" t="s">
        <v>506</v>
      </c>
      <c r="G759" t="s">
        <v>507</v>
      </c>
      <c r="H759" t="s">
        <v>508</v>
      </c>
      <c r="I759" t="s">
        <v>509</v>
      </c>
      <c r="J759" t="s">
        <v>589</v>
      </c>
      <c r="K759" s="491">
        <f t="shared" ref="K759:K768" si="60">+K758</f>
        <v>12500</v>
      </c>
      <c r="L759" t="s">
        <v>497</v>
      </c>
    </row>
    <row r="760" spans="1:15">
      <c r="A760" t="s">
        <v>514</v>
      </c>
      <c r="B760" t="s">
        <v>3359</v>
      </c>
      <c r="C760" s="60" t="s">
        <v>385</v>
      </c>
      <c r="D760" t="s">
        <v>587</v>
      </c>
      <c r="E760" t="s">
        <v>588</v>
      </c>
      <c r="F760" t="s">
        <v>506</v>
      </c>
      <c r="G760" t="s">
        <v>507</v>
      </c>
      <c r="H760" t="s">
        <v>508</v>
      </c>
      <c r="I760" t="s">
        <v>509</v>
      </c>
      <c r="J760" t="s">
        <v>589</v>
      </c>
      <c r="K760" s="491">
        <f t="shared" si="60"/>
        <v>12500</v>
      </c>
      <c r="L760" t="s">
        <v>497</v>
      </c>
    </row>
    <row r="761" spans="1:15">
      <c r="A761" t="s">
        <v>514</v>
      </c>
      <c r="B761" t="s">
        <v>3360</v>
      </c>
      <c r="C761" s="60" t="s">
        <v>385</v>
      </c>
      <c r="D761" t="s">
        <v>587</v>
      </c>
      <c r="E761" t="s">
        <v>588</v>
      </c>
      <c r="F761" t="s">
        <v>506</v>
      </c>
      <c r="G761" t="s">
        <v>507</v>
      </c>
      <c r="H761" t="s">
        <v>508</v>
      </c>
      <c r="I761" t="s">
        <v>509</v>
      </c>
      <c r="J761" t="s">
        <v>589</v>
      </c>
      <c r="K761" s="491">
        <f t="shared" si="60"/>
        <v>12500</v>
      </c>
      <c r="L761" t="s">
        <v>497</v>
      </c>
    </row>
    <row r="762" spans="1:15">
      <c r="A762" t="s">
        <v>514</v>
      </c>
      <c r="B762" t="s">
        <v>3361</v>
      </c>
      <c r="C762" s="60" t="s">
        <v>385</v>
      </c>
      <c r="D762" t="s">
        <v>587</v>
      </c>
      <c r="E762" t="s">
        <v>588</v>
      </c>
      <c r="F762" t="s">
        <v>506</v>
      </c>
      <c r="G762" t="s">
        <v>507</v>
      </c>
      <c r="H762" t="s">
        <v>508</v>
      </c>
      <c r="I762" t="s">
        <v>509</v>
      </c>
      <c r="J762" t="s">
        <v>589</v>
      </c>
      <c r="K762" s="491">
        <f t="shared" si="60"/>
        <v>12500</v>
      </c>
      <c r="L762" t="s">
        <v>497</v>
      </c>
    </row>
    <row r="763" spans="1:15">
      <c r="A763" t="s">
        <v>514</v>
      </c>
      <c r="B763" t="s">
        <v>3362</v>
      </c>
      <c r="C763" s="60" t="s">
        <v>385</v>
      </c>
      <c r="D763" t="s">
        <v>587</v>
      </c>
      <c r="E763" t="s">
        <v>588</v>
      </c>
      <c r="F763" t="s">
        <v>506</v>
      </c>
      <c r="G763" t="s">
        <v>507</v>
      </c>
      <c r="H763" t="s">
        <v>508</v>
      </c>
      <c r="I763" t="s">
        <v>509</v>
      </c>
      <c r="J763" t="s">
        <v>589</v>
      </c>
      <c r="K763" s="491">
        <f t="shared" si="60"/>
        <v>12500</v>
      </c>
      <c r="L763" t="s">
        <v>497</v>
      </c>
    </row>
    <row r="764" spans="1:15">
      <c r="A764" t="s">
        <v>514</v>
      </c>
      <c r="B764" t="s">
        <v>3363</v>
      </c>
      <c r="C764" s="60" t="s">
        <v>385</v>
      </c>
      <c r="D764" t="s">
        <v>587</v>
      </c>
      <c r="E764" t="s">
        <v>588</v>
      </c>
      <c r="F764" t="s">
        <v>506</v>
      </c>
      <c r="G764" t="s">
        <v>507</v>
      </c>
      <c r="H764" t="s">
        <v>508</v>
      </c>
      <c r="I764" t="s">
        <v>509</v>
      </c>
      <c r="J764" t="s">
        <v>589</v>
      </c>
      <c r="K764" s="491">
        <f t="shared" si="60"/>
        <v>12500</v>
      </c>
      <c r="L764" t="s">
        <v>497</v>
      </c>
    </row>
    <row r="765" spans="1:15">
      <c r="A765" t="s">
        <v>514</v>
      </c>
      <c r="B765" t="s">
        <v>3364</v>
      </c>
      <c r="C765" s="60" t="s">
        <v>385</v>
      </c>
      <c r="D765" t="s">
        <v>587</v>
      </c>
      <c r="E765" t="s">
        <v>588</v>
      </c>
      <c r="F765" t="s">
        <v>506</v>
      </c>
      <c r="G765" t="s">
        <v>507</v>
      </c>
      <c r="H765" t="s">
        <v>508</v>
      </c>
      <c r="I765" t="s">
        <v>509</v>
      </c>
      <c r="J765" t="s">
        <v>589</v>
      </c>
      <c r="K765" s="491">
        <f t="shared" si="60"/>
        <v>12500</v>
      </c>
      <c r="L765" t="s">
        <v>497</v>
      </c>
    </row>
    <row r="766" spans="1:15">
      <c r="A766" t="s">
        <v>514</v>
      </c>
      <c r="B766" t="s">
        <v>3365</v>
      </c>
      <c r="C766" s="60" t="s">
        <v>385</v>
      </c>
      <c r="D766" t="s">
        <v>587</v>
      </c>
      <c r="E766" t="s">
        <v>588</v>
      </c>
      <c r="F766" t="s">
        <v>506</v>
      </c>
      <c r="G766" t="s">
        <v>507</v>
      </c>
      <c r="H766" t="s">
        <v>508</v>
      </c>
      <c r="I766" t="s">
        <v>509</v>
      </c>
      <c r="J766" t="s">
        <v>589</v>
      </c>
      <c r="K766" s="491">
        <f t="shared" si="60"/>
        <v>12500</v>
      </c>
      <c r="L766" t="s">
        <v>497</v>
      </c>
    </row>
    <row r="767" spans="1:15">
      <c r="A767" t="s">
        <v>514</v>
      </c>
      <c r="B767" t="s">
        <v>3366</v>
      </c>
      <c r="C767" s="60" t="s">
        <v>385</v>
      </c>
      <c r="D767" t="s">
        <v>587</v>
      </c>
      <c r="E767" t="s">
        <v>588</v>
      </c>
      <c r="F767" t="s">
        <v>506</v>
      </c>
      <c r="G767" t="s">
        <v>507</v>
      </c>
      <c r="H767" t="s">
        <v>508</v>
      </c>
      <c r="I767" t="s">
        <v>509</v>
      </c>
      <c r="J767" t="s">
        <v>589</v>
      </c>
      <c r="K767" s="491">
        <f t="shared" si="60"/>
        <v>12500</v>
      </c>
      <c r="L767" t="s">
        <v>497</v>
      </c>
    </row>
    <row r="768" spans="1:15">
      <c r="A768" t="s">
        <v>514</v>
      </c>
      <c r="B768" t="s">
        <v>3367</v>
      </c>
      <c r="C768" s="60" t="s">
        <v>385</v>
      </c>
      <c r="D768" t="s">
        <v>587</v>
      </c>
      <c r="E768" t="s">
        <v>588</v>
      </c>
      <c r="F768" t="s">
        <v>506</v>
      </c>
      <c r="G768" t="s">
        <v>507</v>
      </c>
      <c r="H768" t="s">
        <v>508</v>
      </c>
      <c r="I768" t="s">
        <v>509</v>
      </c>
      <c r="J768" t="s">
        <v>589</v>
      </c>
      <c r="K768" s="491">
        <f t="shared" si="60"/>
        <v>12500</v>
      </c>
      <c r="L768" t="s">
        <v>497</v>
      </c>
    </row>
    <row r="769" spans="1:12">
      <c r="A769" t="s">
        <v>514</v>
      </c>
      <c r="B769" t="s">
        <v>3356</v>
      </c>
      <c r="C769" s="3" t="s">
        <v>816</v>
      </c>
      <c r="D769" t="s">
        <v>587</v>
      </c>
      <c r="E769" t="s">
        <v>588</v>
      </c>
      <c r="F769" t="s">
        <v>506</v>
      </c>
      <c r="G769" t="s">
        <v>507</v>
      </c>
      <c r="H769" t="s">
        <v>508</v>
      </c>
      <c r="I769" t="s">
        <v>509</v>
      </c>
      <c r="J769" t="s">
        <v>589</v>
      </c>
      <c r="K769" s="491">
        <v>10000</v>
      </c>
      <c r="L769" t="s">
        <v>815</v>
      </c>
    </row>
    <row r="770" spans="1:12">
      <c r="A770" t="s">
        <v>514</v>
      </c>
      <c r="B770" t="s">
        <v>3357</v>
      </c>
      <c r="C770" s="60" t="s">
        <v>816</v>
      </c>
      <c r="D770" t="s">
        <v>587</v>
      </c>
      <c r="E770" t="s">
        <v>588</v>
      </c>
      <c r="F770" t="s">
        <v>506</v>
      </c>
      <c r="G770" t="s">
        <v>507</v>
      </c>
      <c r="H770" t="s">
        <v>508</v>
      </c>
      <c r="I770" t="s">
        <v>509</v>
      </c>
      <c r="J770" t="s">
        <v>589</v>
      </c>
      <c r="K770" s="491">
        <f>+K769</f>
        <v>10000</v>
      </c>
      <c r="L770" t="s">
        <v>815</v>
      </c>
    </row>
    <row r="771" spans="1:12">
      <c r="A771" t="s">
        <v>514</v>
      </c>
      <c r="B771" t="s">
        <v>3358</v>
      </c>
      <c r="C771" s="60" t="s">
        <v>816</v>
      </c>
      <c r="D771" t="s">
        <v>587</v>
      </c>
      <c r="E771" t="s">
        <v>588</v>
      </c>
      <c r="F771" t="s">
        <v>506</v>
      </c>
      <c r="G771" t="s">
        <v>507</v>
      </c>
      <c r="H771" t="s">
        <v>508</v>
      </c>
      <c r="I771" t="s">
        <v>509</v>
      </c>
      <c r="J771" t="s">
        <v>589</v>
      </c>
      <c r="K771" s="491">
        <f t="shared" ref="K771:K780" si="61">+K770</f>
        <v>10000</v>
      </c>
      <c r="L771" t="s">
        <v>815</v>
      </c>
    </row>
    <row r="772" spans="1:12">
      <c r="A772" t="s">
        <v>514</v>
      </c>
      <c r="B772" t="s">
        <v>3359</v>
      </c>
      <c r="C772" s="60" t="s">
        <v>816</v>
      </c>
      <c r="D772" t="s">
        <v>587</v>
      </c>
      <c r="E772" t="s">
        <v>588</v>
      </c>
      <c r="F772" t="s">
        <v>506</v>
      </c>
      <c r="G772" t="s">
        <v>507</v>
      </c>
      <c r="H772" t="s">
        <v>508</v>
      </c>
      <c r="I772" t="s">
        <v>509</v>
      </c>
      <c r="J772" t="s">
        <v>589</v>
      </c>
      <c r="K772" s="491">
        <f t="shared" si="61"/>
        <v>10000</v>
      </c>
      <c r="L772" t="s">
        <v>815</v>
      </c>
    </row>
    <row r="773" spans="1:12">
      <c r="A773" t="s">
        <v>514</v>
      </c>
      <c r="B773" t="s">
        <v>3360</v>
      </c>
      <c r="C773" s="60" t="s">
        <v>816</v>
      </c>
      <c r="D773" t="s">
        <v>587</v>
      </c>
      <c r="E773" t="s">
        <v>588</v>
      </c>
      <c r="F773" t="s">
        <v>506</v>
      </c>
      <c r="G773" t="s">
        <v>507</v>
      </c>
      <c r="H773" t="s">
        <v>508</v>
      </c>
      <c r="I773" t="s">
        <v>509</v>
      </c>
      <c r="J773" t="s">
        <v>589</v>
      </c>
      <c r="K773" s="491">
        <f t="shared" si="61"/>
        <v>10000</v>
      </c>
      <c r="L773" t="s">
        <v>815</v>
      </c>
    </row>
    <row r="774" spans="1:12">
      <c r="A774" t="s">
        <v>514</v>
      </c>
      <c r="B774" t="s">
        <v>3361</v>
      </c>
      <c r="C774" s="60" t="s">
        <v>816</v>
      </c>
      <c r="D774" t="s">
        <v>587</v>
      </c>
      <c r="E774" t="s">
        <v>588</v>
      </c>
      <c r="F774" t="s">
        <v>506</v>
      </c>
      <c r="G774" t="s">
        <v>507</v>
      </c>
      <c r="H774" t="s">
        <v>508</v>
      </c>
      <c r="I774" t="s">
        <v>509</v>
      </c>
      <c r="J774" t="s">
        <v>589</v>
      </c>
      <c r="K774" s="491">
        <f t="shared" si="61"/>
        <v>10000</v>
      </c>
      <c r="L774" t="s">
        <v>815</v>
      </c>
    </row>
    <row r="775" spans="1:12">
      <c r="A775" t="s">
        <v>514</v>
      </c>
      <c r="B775" t="s">
        <v>3362</v>
      </c>
      <c r="C775" s="60" t="s">
        <v>816</v>
      </c>
      <c r="D775" t="s">
        <v>587</v>
      </c>
      <c r="E775" t="s">
        <v>588</v>
      </c>
      <c r="F775" t="s">
        <v>506</v>
      </c>
      <c r="G775" t="s">
        <v>507</v>
      </c>
      <c r="H775" t="s">
        <v>508</v>
      </c>
      <c r="I775" t="s">
        <v>509</v>
      </c>
      <c r="J775" t="s">
        <v>589</v>
      </c>
      <c r="K775" s="491">
        <f t="shared" si="61"/>
        <v>10000</v>
      </c>
      <c r="L775" t="s">
        <v>815</v>
      </c>
    </row>
    <row r="776" spans="1:12">
      <c r="A776" t="s">
        <v>514</v>
      </c>
      <c r="B776" t="s">
        <v>3363</v>
      </c>
      <c r="C776" s="60" t="s">
        <v>816</v>
      </c>
      <c r="D776" t="s">
        <v>587</v>
      </c>
      <c r="E776" t="s">
        <v>588</v>
      </c>
      <c r="F776" t="s">
        <v>506</v>
      </c>
      <c r="G776" t="s">
        <v>507</v>
      </c>
      <c r="H776" t="s">
        <v>508</v>
      </c>
      <c r="I776" t="s">
        <v>509</v>
      </c>
      <c r="J776" t="s">
        <v>589</v>
      </c>
      <c r="K776" s="491">
        <f t="shared" si="61"/>
        <v>10000</v>
      </c>
      <c r="L776" t="s">
        <v>815</v>
      </c>
    </row>
    <row r="777" spans="1:12">
      <c r="A777" t="s">
        <v>514</v>
      </c>
      <c r="B777" t="s">
        <v>3364</v>
      </c>
      <c r="C777" s="60" t="s">
        <v>816</v>
      </c>
      <c r="D777" t="s">
        <v>587</v>
      </c>
      <c r="E777" t="s">
        <v>588</v>
      </c>
      <c r="F777" t="s">
        <v>506</v>
      </c>
      <c r="G777" t="s">
        <v>507</v>
      </c>
      <c r="H777" t="s">
        <v>508</v>
      </c>
      <c r="I777" t="s">
        <v>509</v>
      </c>
      <c r="J777" t="s">
        <v>589</v>
      </c>
      <c r="K777" s="491">
        <f t="shared" si="61"/>
        <v>10000</v>
      </c>
      <c r="L777" t="s">
        <v>815</v>
      </c>
    </row>
    <row r="778" spans="1:12">
      <c r="A778" t="s">
        <v>514</v>
      </c>
      <c r="B778" t="s">
        <v>3365</v>
      </c>
      <c r="C778" s="60" t="s">
        <v>816</v>
      </c>
      <c r="D778" t="s">
        <v>587</v>
      </c>
      <c r="E778" t="s">
        <v>588</v>
      </c>
      <c r="F778" t="s">
        <v>506</v>
      </c>
      <c r="G778" t="s">
        <v>507</v>
      </c>
      <c r="H778" t="s">
        <v>508</v>
      </c>
      <c r="I778" t="s">
        <v>509</v>
      </c>
      <c r="J778" t="s">
        <v>589</v>
      </c>
      <c r="K778" s="491">
        <f t="shared" si="61"/>
        <v>10000</v>
      </c>
      <c r="L778" t="s">
        <v>815</v>
      </c>
    </row>
    <row r="779" spans="1:12">
      <c r="A779" t="s">
        <v>514</v>
      </c>
      <c r="B779" t="s">
        <v>3366</v>
      </c>
      <c r="C779" s="60" t="s">
        <v>816</v>
      </c>
      <c r="D779" t="s">
        <v>587</v>
      </c>
      <c r="E779" t="s">
        <v>588</v>
      </c>
      <c r="F779" t="s">
        <v>506</v>
      </c>
      <c r="G779" t="s">
        <v>507</v>
      </c>
      <c r="H779" t="s">
        <v>508</v>
      </c>
      <c r="I779" t="s">
        <v>509</v>
      </c>
      <c r="J779" t="s">
        <v>589</v>
      </c>
      <c r="K779" s="491">
        <f t="shared" si="61"/>
        <v>10000</v>
      </c>
      <c r="L779" t="s">
        <v>815</v>
      </c>
    </row>
    <row r="780" spans="1:12">
      <c r="A780" t="s">
        <v>514</v>
      </c>
      <c r="B780" t="s">
        <v>3367</v>
      </c>
      <c r="C780" s="60" t="s">
        <v>816</v>
      </c>
      <c r="D780" t="s">
        <v>587</v>
      </c>
      <c r="E780" t="s">
        <v>588</v>
      </c>
      <c r="F780" t="s">
        <v>506</v>
      </c>
      <c r="G780" t="s">
        <v>507</v>
      </c>
      <c r="H780" t="s">
        <v>508</v>
      </c>
      <c r="I780" t="s">
        <v>509</v>
      </c>
      <c r="J780" t="s">
        <v>589</v>
      </c>
      <c r="K780" s="491">
        <f t="shared" si="61"/>
        <v>10000</v>
      </c>
      <c r="L780" t="s">
        <v>815</v>
      </c>
    </row>
    <row r="781" spans="1:12">
      <c r="A781" t="s">
        <v>514</v>
      </c>
      <c r="B781" t="s">
        <v>3356</v>
      </c>
      <c r="C781" s="3" t="s">
        <v>499</v>
      </c>
      <c r="D781" t="s">
        <v>587</v>
      </c>
      <c r="E781" t="s">
        <v>588</v>
      </c>
      <c r="F781" t="s">
        <v>506</v>
      </c>
      <c r="G781" t="s">
        <v>507</v>
      </c>
      <c r="H781" t="s">
        <v>508</v>
      </c>
      <c r="I781" t="s">
        <v>509</v>
      </c>
      <c r="J781" t="s">
        <v>589</v>
      </c>
      <c r="K781" s="491">
        <v>8160</v>
      </c>
      <c r="L781" s="491" t="s">
        <v>3248</v>
      </c>
    </row>
    <row r="782" spans="1:12">
      <c r="A782" t="s">
        <v>514</v>
      </c>
      <c r="B782" t="s">
        <v>3357</v>
      </c>
      <c r="C782" s="60" t="s">
        <v>499</v>
      </c>
      <c r="D782" t="s">
        <v>587</v>
      </c>
      <c r="E782" t="s">
        <v>588</v>
      </c>
      <c r="F782" t="s">
        <v>506</v>
      </c>
      <c r="G782" t="s">
        <v>507</v>
      </c>
      <c r="H782" t="s">
        <v>508</v>
      </c>
      <c r="I782" t="s">
        <v>509</v>
      </c>
      <c r="J782" t="s">
        <v>589</v>
      </c>
      <c r="K782" s="491">
        <f>+K781</f>
        <v>8160</v>
      </c>
      <c r="L782" s="491" t="s">
        <v>3248</v>
      </c>
    </row>
    <row r="783" spans="1:12">
      <c r="A783" t="s">
        <v>514</v>
      </c>
      <c r="B783" t="s">
        <v>3358</v>
      </c>
      <c r="C783" s="60" t="s">
        <v>499</v>
      </c>
      <c r="D783" t="s">
        <v>587</v>
      </c>
      <c r="E783" t="s">
        <v>588</v>
      </c>
      <c r="F783" t="s">
        <v>506</v>
      </c>
      <c r="G783" t="s">
        <v>507</v>
      </c>
      <c r="H783" t="s">
        <v>508</v>
      </c>
      <c r="I783" t="s">
        <v>509</v>
      </c>
      <c r="J783" t="s">
        <v>589</v>
      </c>
      <c r="K783" s="491">
        <f t="shared" ref="K783:K792" si="62">+K782</f>
        <v>8160</v>
      </c>
      <c r="L783" s="491" t="s">
        <v>3248</v>
      </c>
    </row>
    <row r="784" spans="1:12">
      <c r="A784" t="s">
        <v>514</v>
      </c>
      <c r="B784" t="s">
        <v>3359</v>
      </c>
      <c r="C784" s="60" t="s">
        <v>499</v>
      </c>
      <c r="D784" t="s">
        <v>587</v>
      </c>
      <c r="E784" t="s">
        <v>588</v>
      </c>
      <c r="F784" t="s">
        <v>506</v>
      </c>
      <c r="G784" t="s">
        <v>507</v>
      </c>
      <c r="H784" t="s">
        <v>508</v>
      </c>
      <c r="I784" t="s">
        <v>509</v>
      </c>
      <c r="J784" t="s">
        <v>589</v>
      </c>
      <c r="K784" s="491">
        <f t="shared" si="62"/>
        <v>8160</v>
      </c>
      <c r="L784" s="491" t="s">
        <v>3248</v>
      </c>
    </row>
    <row r="785" spans="1:12">
      <c r="A785" t="s">
        <v>514</v>
      </c>
      <c r="B785" t="s">
        <v>3360</v>
      </c>
      <c r="C785" s="60" t="s">
        <v>499</v>
      </c>
      <c r="D785" t="s">
        <v>587</v>
      </c>
      <c r="E785" t="s">
        <v>588</v>
      </c>
      <c r="F785" t="s">
        <v>506</v>
      </c>
      <c r="G785" t="s">
        <v>507</v>
      </c>
      <c r="H785" t="s">
        <v>508</v>
      </c>
      <c r="I785" t="s">
        <v>509</v>
      </c>
      <c r="J785" t="s">
        <v>589</v>
      </c>
      <c r="K785" s="491">
        <f t="shared" si="62"/>
        <v>8160</v>
      </c>
      <c r="L785" s="491" t="s">
        <v>3248</v>
      </c>
    </row>
    <row r="786" spans="1:12">
      <c r="A786" t="s">
        <v>514</v>
      </c>
      <c r="B786" t="s">
        <v>3361</v>
      </c>
      <c r="C786" s="60" t="s">
        <v>499</v>
      </c>
      <c r="D786" t="s">
        <v>587</v>
      </c>
      <c r="E786" t="s">
        <v>588</v>
      </c>
      <c r="F786" t="s">
        <v>506</v>
      </c>
      <c r="G786" t="s">
        <v>507</v>
      </c>
      <c r="H786" t="s">
        <v>508</v>
      </c>
      <c r="I786" t="s">
        <v>509</v>
      </c>
      <c r="J786" t="s">
        <v>589</v>
      </c>
      <c r="K786" s="491">
        <f t="shared" si="62"/>
        <v>8160</v>
      </c>
      <c r="L786" s="491" t="s">
        <v>3248</v>
      </c>
    </row>
    <row r="787" spans="1:12">
      <c r="A787" t="s">
        <v>514</v>
      </c>
      <c r="B787" t="s">
        <v>3362</v>
      </c>
      <c r="C787" s="60" t="s">
        <v>499</v>
      </c>
      <c r="D787" t="s">
        <v>587</v>
      </c>
      <c r="E787" t="s">
        <v>588</v>
      </c>
      <c r="F787" t="s">
        <v>506</v>
      </c>
      <c r="G787" t="s">
        <v>507</v>
      </c>
      <c r="H787" t="s">
        <v>508</v>
      </c>
      <c r="I787" t="s">
        <v>509</v>
      </c>
      <c r="J787" t="s">
        <v>589</v>
      </c>
      <c r="K787" s="491">
        <f t="shared" si="62"/>
        <v>8160</v>
      </c>
      <c r="L787" s="491" t="s">
        <v>3248</v>
      </c>
    </row>
    <row r="788" spans="1:12">
      <c r="A788" t="s">
        <v>514</v>
      </c>
      <c r="B788" t="s">
        <v>3363</v>
      </c>
      <c r="C788" s="60" t="s">
        <v>499</v>
      </c>
      <c r="D788" t="s">
        <v>587</v>
      </c>
      <c r="E788" t="s">
        <v>588</v>
      </c>
      <c r="F788" t="s">
        <v>506</v>
      </c>
      <c r="G788" t="s">
        <v>507</v>
      </c>
      <c r="H788" t="s">
        <v>508</v>
      </c>
      <c r="I788" t="s">
        <v>509</v>
      </c>
      <c r="J788" t="s">
        <v>589</v>
      </c>
      <c r="K788" s="491">
        <f t="shared" si="62"/>
        <v>8160</v>
      </c>
      <c r="L788" s="491" t="s">
        <v>3248</v>
      </c>
    </row>
    <row r="789" spans="1:12">
      <c r="A789" t="s">
        <v>514</v>
      </c>
      <c r="B789" t="s">
        <v>3364</v>
      </c>
      <c r="C789" s="60" t="s">
        <v>499</v>
      </c>
      <c r="D789" t="s">
        <v>587</v>
      </c>
      <c r="E789" t="s">
        <v>588</v>
      </c>
      <c r="F789" t="s">
        <v>506</v>
      </c>
      <c r="G789" t="s">
        <v>507</v>
      </c>
      <c r="H789" t="s">
        <v>508</v>
      </c>
      <c r="I789" t="s">
        <v>509</v>
      </c>
      <c r="J789" t="s">
        <v>589</v>
      </c>
      <c r="K789" s="491">
        <f t="shared" si="62"/>
        <v>8160</v>
      </c>
      <c r="L789" s="491" t="s">
        <v>3248</v>
      </c>
    </row>
    <row r="790" spans="1:12">
      <c r="A790" t="s">
        <v>514</v>
      </c>
      <c r="B790" t="s">
        <v>3365</v>
      </c>
      <c r="C790" s="60" t="s">
        <v>499</v>
      </c>
      <c r="D790" t="s">
        <v>587</v>
      </c>
      <c r="E790" t="s">
        <v>588</v>
      </c>
      <c r="F790" t="s">
        <v>506</v>
      </c>
      <c r="G790" t="s">
        <v>507</v>
      </c>
      <c r="H790" t="s">
        <v>508</v>
      </c>
      <c r="I790" t="s">
        <v>509</v>
      </c>
      <c r="J790" t="s">
        <v>589</v>
      </c>
      <c r="K790" s="491">
        <f t="shared" si="62"/>
        <v>8160</v>
      </c>
      <c r="L790" s="491" t="s">
        <v>3248</v>
      </c>
    </row>
    <row r="791" spans="1:12">
      <c r="A791" t="s">
        <v>514</v>
      </c>
      <c r="B791" t="s">
        <v>3366</v>
      </c>
      <c r="C791" s="60" t="s">
        <v>499</v>
      </c>
      <c r="D791" t="s">
        <v>587</v>
      </c>
      <c r="E791" t="s">
        <v>588</v>
      </c>
      <c r="F791" t="s">
        <v>506</v>
      </c>
      <c r="G791" t="s">
        <v>507</v>
      </c>
      <c r="H791" t="s">
        <v>508</v>
      </c>
      <c r="I791" t="s">
        <v>509</v>
      </c>
      <c r="J791" t="s">
        <v>589</v>
      </c>
      <c r="K791" s="491">
        <f t="shared" si="62"/>
        <v>8160</v>
      </c>
      <c r="L791" s="491" t="s">
        <v>3248</v>
      </c>
    </row>
    <row r="792" spans="1:12">
      <c r="A792" t="s">
        <v>514</v>
      </c>
      <c r="B792" t="s">
        <v>3367</v>
      </c>
      <c r="C792" s="60" t="s">
        <v>499</v>
      </c>
      <c r="D792" t="s">
        <v>587</v>
      </c>
      <c r="E792" t="s">
        <v>588</v>
      </c>
      <c r="F792" t="s">
        <v>506</v>
      </c>
      <c r="G792" t="s">
        <v>507</v>
      </c>
      <c r="H792" t="s">
        <v>508</v>
      </c>
      <c r="I792" t="s">
        <v>509</v>
      </c>
      <c r="J792" t="s">
        <v>589</v>
      </c>
      <c r="K792" s="491">
        <f t="shared" si="62"/>
        <v>8160</v>
      </c>
      <c r="L792" s="491" t="s">
        <v>3248</v>
      </c>
    </row>
    <row r="793" spans="1:12">
      <c r="A793" t="s">
        <v>514</v>
      </c>
      <c r="B793" t="s">
        <v>3356</v>
      </c>
      <c r="C793" s="3" t="s">
        <v>501</v>
      </c>
      <c r="D793" t="s">
        <v>587</v>
      </c>
      <c r="E793" t="s">
        <v>588</v>
      </c>
      <c r="F793" t="s">
        <v>506</v>
      </c>
      <c r="G793" t="s">
        <v>507</v>
      </c>
      <c r="H793" t="s">
        <v>508</v>
      </c>
      <c r="I793" t="s">
        <v>509</v>
      </c>
      <c r="J793" t="s">
        <v>589</v>
      </c>
      <c r="K793" s="491">
        <v>4000</v>
      </c>
      <c r="L793" s="491" t="s">
        <v>3247</v>
      </c>
    </row>
    <row r="794" spans="1:12">
      <c r="A794" t="s">
        <v>514</v>
      </c>
      <c r="B794" t="s">
        <v>3357</v>
      </c>
      <c r="C794" s="60" t="s">
        <v>501</v>
      </c>
      <c r="D794" t="s">
        <v>587</v>
      </c>
      <c r="E794" t="s">
        <v>588</v>
      </c>
      <c r="F794" t="s">
        <v>506</v>
      </c>
      <c r="G794" t="s">
        <v>507</v>
      </c>
      <c r="H794" t="s">
        <v>508</v>
      </c>
      <c r="I794" t="s">
        <v>509</v>
      </c>
      <c r="J794" t="s">
        <v>589</v>
      </c>
      <c r="K794" s="491">
        <f>+K793</f>
        <v>4000</v>
      </c>
      <c r="L794" s="491" t="s">
        <v>3247</v>
      </c>
    </row>
    <row r="795" spans="1:12">
      <c r="A795" t="s">
        <v>514</v>
      </c>
      <c r="B795" t="s">
        <v>3358</v>
      </c>
      <c r="C795" s="60" t="s">
        <v>501</v>
      </c>
      <c r="D795" t="s">
        <v>587</v>
      </c>
      <c r="E795" t="s">
        <v>588</v>
      </c>
      <c r="F795" t="s">
        <v>506</v>
      </c>
      <c r="G795" t="s">
        <v>507</v>
      </c>
      <c r="H795" t="s">
        <v>508</v>
      </c>
      <c r="I795" t="s">
        <v>509</v>
      </c>
      <c r="J795" t="s">
        <v>589</v>
      </c>
      <c r="K795" s="491">
        <f t="shared" ref="K795:K804" si="63">+K794</f>
        <v>4000</v>
      </c>
      <c r="L795" s="491" t="s">
        <v>3247</v>
      </c>
    </row>
    <row r="796" spans="1:12">
      <c r="A796" t="s">
        <v>514</v>
      </c>
      <c r="B796" t="s">
        <v>3359</v>
      </c>
      <c r="C796" s="60" t="s">
        <v>501</v>
      </c>
      <c r="D796" t="s">
        <v>587</v>
      </c>
      <c r="E796" t="s">
        <v>588</v>
      </c>
      <c r="F796" t="s">
        <v>506</v>
      </c>
      <c r="G796" t="s">
        <v>507</v>
      </c>
      <c r="H796" t="s">
        <v>508</v>
      </c>
      <c r="I796" t="s">
        <v>509</v>
      </c>
      <c r="J796" t="s">
        <v>589</v>
      </c>
      <c r="K796" s="491">
        <f t="shared" si="63"/>
        <v>4000</v>
      </c>
      <c r="L796" s="491" t="s">
        <v>3247</v>
      </c>
    </row>
    <row r="797" spans="1:12">
      <c r="A797" t="s">
        <v>514</v>
      </c>
      <c r="B797" t="s">
        <v>3360</v>
      </c>
      <c r="C797" s="60" t="s">
        <v>501</v>
      </c>
      <c r="D797" t="s">
        <v>587</v>
      </c>
      <c r="E797" t="s">
        <v>588</v>
      </c>
      <c r="F797" t="s">
        <v>506</v>
      </c>
      <c r="G797" t="s">
        <v>507</v>
      </c>
      <c r="H797" t="s">
        <v>508</v>
      </c>
      <c r="I797" t="s">
        <v>509</v>
      </c>
      <c r="J797" t="s">
        <v>589</v>
      </c>
      <c r="K797" s="491">
        <f t="shared" si="63"/>
        <v>4000</v>
      </c>
      <c r="L797" s="491" t="s">
        <v>3247</v>
      </c>
    </row>
    <row r="798" spans="1:12">
      <c r="A798" t="s">
        <v>514</v>
      </c>
      <c r="B798" t="s">
        <v>3361</v>
      </c>
      <c r="C798" s="60" t="s">
        <v>501</v>
      </c>
      <c r="D798" t="s">
        <v>587</v>
      </c>
      <c r="E798" t="s">
        <v>588</v>
      </c>
      <c r="F798" t="s">
        <v>506</v>
      </c>
      <c r="G798" t="s">
        <v>507</v>
      </c>
      <c r="H798" t="s">
        <v>508</v>
      </c>
      <c r="I798" t="s">
        <v>509</v>
      </c>
      <c r="J798" t="s">
        <v>589</v>
      </c>
      <c r="K798" s="491">
        <f t="shared" si="63"/>
        <v>4000</v>
      </c>
      <c r="L798" s="491" t="s">
        <v>3247</v>
      </c>
    </row>
    <row r="799" spans="1:12">
      <c r="A799" t="s">
        <v>514</v>
      </c>
      <c r="B799" t="s">
        <v>3362</v>
      </c>
      <c r="C799" s="60" t="s">
        <v>501</v>
      </c>
      <c r="D799" t="s">
        <v>587</v>
      </c>
      <c r="E799" t="s">
        <v>588</v>
      </c>
      <c r="F799" t="s">
        <v>506</v>
      </c>
      <c r="G799" t="s">
        <v>507</v>
      </c>
      <c r="H799" t="s">
        <v>508</v>
      </c>
      <c r="I799" t="s">
        <v>509</v>
      </c>
      <c r="J799" t="s">
        <v>589</v>
      </c>
      <c r="K799" s="491">
        <f t="shared" si="63"/>
        <v>4000</v>
      </c>
      <c r="L799" s="491" t="s">
        <v>3247</v>
      </c>
    </row>
    <row r="800" spans="1:12">
      <c r="A800" t="s">
        <v>514</v>
      </c>
      <c r="B800" t="s">
        <v>3363</v>
      </c>
      <c r="C800" s="60" t="s">
        <v>501</v>
      </c>
      <c r="D800" t="s">
        <v>587</v>
      </c>
      <c r="E800" t="s">
        <v>588</v>
      </c>
      <c r="F800" t="s">
        <v>506</v>
      </c>
      <c r="G800" t="s">
        <v>507</v>
      </c>
      <c r="H800" t="s">
        <v>508</v>
      </c>
      <c r="I800" t="s">
        <v>509</v>
      </c>
      <c r="J800" t="s">
        <v>589</v>
      </c>
      <c r="K800" s="491">
        <f t="shared" si="63"/>
        <v>4000</v>
      </c>
      <c r="L800" s="491" t="s">
        <v>3247</v>
      </c>
    </row>
    <row r="801" spans="1:12">
      <c r="A801" t="s">
        <v>514</v>
      </c>
      <c r="B801" t="s">
        <v>3364</v>
      </c>
      <c r="C801" s="60" t="s">
        <v>501</v>
      </c>
      <c r="D801" t="s">
        <v>587</v>
      </c>
      <c r="E801" t="s">
        <v>588</v>
      </c>
      <c r="F801" t="s">
        <v>506</v>
      </c>
      <c r="G801" t="s">
        <v>507</v>
      </c>
      <c r="H801" t="s">
        <v>508</v>
      </c>
      <c r="I801" t="s">
        <v>509</v>
      </c>
      <c r="J801" t="s">
        <v>589</v>
      </c>
      <c r="K801" s="491">
        <f t="shared" si="63"/>
        <v>4000</v>
      </c>
      <c r="L801" s="491" t="s">
        <v>3247</v>
      </c>
    </row>
    <row r="802" spans="1:12">
      <c r="A802" t="s">
        <v>514</v>
      </c>
      <c r="B802" t="s">
        <v>3365</v>
      </c>
      <c r="C802" s="60" t="s">
        <v>501</v>
      </c>
      <c r="D802" t="s">
        <v>587</v>
      </c>
      <c r="E802" t="s">
        <v>588</v>
      </c>
      <c r="F802" t="s">
        <v>506</v>
      </c>
      <c r="G802" t="s">
        <v>507</v>
      </c>
      <c r="H802" t="s">
        <v>508</v>
      </c>
      <c r="I802" t="s">
        <v>509</v>
      </c>
      <c r="J802" t="s">
        <v>589</v>
      </c>
      <c r="K802" s="491">
        <f t="shared" si="63"/>
        <v>4000</v>
      </c>
      <c r="L802" s="491" t="s">
        <v>3247</v>
      </c>
    </row>
    <row r="803" spans="1:12">
      <c r="A803" t="s">
        <v>514</v>
      </c>
      <c r="B803" t="s">
        <v>3366</v>
      </c>
      <c r="C803" s="60" t="s">
        <v>501</v>
      </c>
      <c r="D803" t="s">
        <v>587</v>
      </c>
      <c r="E803" t="s">
        <v>588</v>
      </c>
      <c r="F803" t="s">
        <v>506</v>
      </c>
      <c r="G803" t="s">
        <v>507</v>
      </c>
      <c r="H803" t="s">
        <v>508</v>
      </c>
      <c r="I803" t="s">
        <v>509</v>
      </c>
      <c r="J803" t="s">
        <v>589</v>
      </c>
      <c r="K803" s="491">
        <f t="shared" si="63"/>
        <v>4000</v>
      </c>
      <c r="L803" s="491" t="s">
        <v>3247</v>
      </c>
    </row>
    <row r="804" spans="1:12">
      <c r="A804" t="s">
        <v>514</v>
      </c>
      <c r="B804" t="s">
        <v>3367</v>
      </c>
      <c r="C804" s="60" t="s">
        <v>501</v>
      </c>
      <c r="D804" t="s">
        <v>587</v>
      </c>
      <c r="E804" t="s">
        <v>588</v>
      </c>
      <c r="F804" t="s">
        <v>506</v>
      </c>
      <c r="G804" t="s">
        <v>507</v>
      </c>
      <c r="H804" t="s">
        <v>508</v>
      </c>
      <c r="I804" t="s">
        <v>509</v>
      </c>
      <c r="J804" t="s">
        <v>589</v>
      </c>
      <c r="K804" s="491">
        <f t="shared" si="63"/>
        <v>4000</v>
      </c>
      <c r="L804" s="491" t="s">
        <v>3247</v>
      </c>
    </row>
    <row r="805" spans="1:12">
      <c r="A805" t="s">
        <v>514</v>
      </c>
      <c r="B805" t="s">
        <v>3356</v>
      </c>
      <c r="C805" s="311" t="s">
        <v>1858</v>
      </c>
      <c r="D805" t="s">
        <v>587</v>
      </c>
      <c r="E805" t="s">
        <v>588</v>
      </c>
      <c r="F805" t="s">
        <v>506</v>
      </c>
      <c r="G805" t="s">
        <v>507</v>
      </c>
      <c r="H805" t="s">
        <v>508</v>
      </c>
      <c r="I805" t="s">
        <v>509</v>
      </c>
      <c r="J805" t="s">
        <v>589</v>
      </c>
      <c r="K805" s="491">
        <v>35350</v>
      </c>
      <c r="L805" t="s">
        <v>3252</v>
      </c>
    </row>
    <row r="806" spans="1:12">
      <c r="A806" t="s">
        <v>514</v>
      </c>
      <c r="B806" t="s">
        <v>3357</v>
      </c>
      <c r="C806" s="60" t="s">
        <v>1858</v>
      </c>
      <c r="D806" t="s">
        <v>587</v>
      </c>
      <c r="E806" t="s">
        <v>588</v>
      </c>
      <c r="F806" t="s">
        <v>506</v>
      </c>
      <c r="G806" t="s">
        <v>507</v>
      </c>
      <c r="H806" t="s">
        <v>508</v>
      </c>
      <c r="I806" t="s">
        <v>509</v>
      </c>
      <c r="J806" t="s">
        <v>589</v>
      </c>
      <c r="K806" s="491">
        <f>+K805</f>
        <v>35350</v>
      </c>
      <c r="L806" t="s">
        <v>3252</v>
      </c>
    </row>
    <row r="807" spans="1:12">
      <c r="A807" t="s">
        <v>514</v>
      </c>
      <c r="B807" t="s">
        <v>3358</v>
      </c>
      <c r="C807" s="60" t="s">
        <v>1858</v>
      </c>
      <c r="D807" t="s">
        <v>587</v>
      </c>
      <c r="E807" t="s">
        <v>588</v>
      </c>
      <c r="F807" t="s">
        <v>506</v>
      </c>
      <c r="G807" t="s">
        <v>507</v>
      </c>
      <c r="H807" t="s">
        <v>508</v>
      </c>
      <c r="I807" t="s">
        <v>509</v>
      </c>
      <c r="J807" t="s">
        <v>589</v>
      </c>
      <c r="K807" s="491">
        <f t="shared" ref="K807:K816" si="64">+K806</f>
        <v>35350</v>
      </c>
      <c r="L807" t="s">
        <v>3252</v>
      </c>
    </row>
    <row r="808" spans="1:12">
      <c r="A808" t="s">
        <v>514</v>
      </c>
      <c r="B808" t="s">
        <v>3359</v>
      </c>
      <c r="C808" s="60" t="s">
        <v>1858</v>
      </c>
      <c r="D808" t="s">
        <v>587</v>
      </c>
      <c r="E808" t="s">
        <v>588</v>
      </c>
      <c r="F808" t="s">
        <v>506</v>
      </c>
      <c r="G808" t="s">
        <v>507</v>
      </c>
      <c r="H808" t="s">
        <v>508</v>
      </c>
      <c r="I808" t="s">
        <v>509</v>
      </c>
      <c r="J808" t="s">
        <v>589</v>
      </c>
      <c r="K808" s="491">
        <f t="shared" si="64"/>
        <v>35350</v>
      </c>
      <c r="L808" t="s">
        <v>3252</v>
      </c>
    </row>
    <row r="809" spans="1:12">
      <c r="A809" t="s">
        <v>514</v>
      </c>
      <c r="B809" t="s">
        <v>3360</v>
      </c>
      <c r="C809" s="60" t="s">
        <v>1858</v>
      </c>
      <c r="D809" t="s">
        <v>587</v>
      </c>
      <c r="E809" t="s">
        <v>588</v>
      </c>
      <c r="F809" t="s">
        <v>506</v>
      </c>
      <c r="G809" t="s">
        <v>507</v>
      </c>
      <c r="H809" t="s">
        <v>508</v>
      </c>
      <c r="I809" t="s">
        <v>509</v>
      </c>
      <c r="J809" t="s">
        <v>589</v>
      </c>
      <c r="K809" s="491">
        <f t="shared" si="64"/>
        <v>35350</v>
      </c>
      <c r="L809" t="s">
        <v>3252</v>
      </c>
    </row>
    <row r="810" spans="1:12">
      <c r="A810" t="s">
        <v>514</v>
      </c>
      <c r="B810" t="s">
        <v>3361</v>
      </c>
      <c r="C810" s="60" t="s">
        <v>1858</v>
      </c>
      <c r="D810" t="s">
        <v>587</v>
      </c>
      <c r="E810" t="s">
        <v>588</v>
      </c>
      <c r="F810" t="s">
        <v>506</v>
      </c>
      <c r="G810" t="s">
        <v>507</v>
      </c>
      <c r="H810" t="s">
        <v>508</v>
      </c>
      <c r="I810" t="s">
        <v>509</v>
      </c>
      <c r="J810" t="s">
        <v>589</v>
      </c>
      <c r="K810" s="491">
        <f t="shared" si="64"/>
        <v>35350</v>
      </c>
      <c r="L810" t="s">
        <v>3252</v>
      </c>
    </row>
    <row r="811" spans="1:12">
      <c r="A811" t="s">
        <v>514</v>
      </c>
      <c r="B811" t="s">
        <v>3362</v>
      </c>
      <c r="C811" s="60" t="s">
        <v>1858</v>
      </c>
      <c r="D811" t="s">
        <v>587</v>
      </c>
      <c r="E811" t="s">
        <v>588</v>
      </c>
      <c r="F811" t="s">
        <v>506</v>
      </c>
      <c r="G811" t="s">
        <v>507</v>
      </c>
      <c r="H811" t="s">
        <v>508</v>
      </c>
      <c r="I811" t="s">
        <v>509</v>
      </c>
      <c r="J811" t="s">
        <v>589</v>
      </c>
      <c r="K811" s="491">
        <f t="shared" si="64"/>
        <v>35350</v>
      </c>
      <c r="L811" t="s">
        <v>3252</v>
      </c>
    </row>
    <row r="812" spans="1:12">
      <c r="A812" t="s">
        <v>514</v>
      </c>
      <c r="B812" t="s">
        <v>3363</v>
      </c>
      <c r="C812" s="60" t="s">
        <v>1858</v>
      </c>
      <c r="D812" t="s">
        <v>587</v>
      </c>
      <c r="E812" t="s">
        <v>588</v>
      </c>
      <c r="F812" t="s">
        <v>506</v>
      </c>
      <c r="G812" t="s">
        <v>507</v>
      </c>
      <c r="H812" t="s">
        <v>508</v>
      </c>
      <c r="I812" t="s">
        <v>509</v>
      </c>
      <c r="J812" t="s">
        <v>589</v>
      </c>
      <c r="K812" s="491">
        <f t="shared" si="64"/>
        <v>35350</v>
      </c>
      <c r="L812" t="s">
        <v>3252</v>
      </c>
    </row>
    <row r="813" spans="1:12">
      <c r="A813" t="s">
        <v>514</v>
      </c>
      <c r="B813" t="s">
        <v>3364</v>
      </c>
      <c r="C813" s="60" t="s">
        <v>1858</v>
      </c>
      <c r="D813" t="s">
        <v>587</v>
      </c>
      <c r="E813" t="s">
        <v>588</v>
      </c>
      <c r="F813" t="s">
        <v>506</v>
      </c>
      <c r="G813" t="s">
        <v>507</v>
      </c>
      <c r="H813" t="s">
        <v>508</v>
      </c>
      <c r="I813" t="s">
        <v>509</v>
      </c>
      <c r="J813" t="s">
        <v>589</v>
      </c>
      <c r="K813" s="491">
        <f t="shared" si="64"/>
        <v>35350</v>
      </c>
      <c r="L813" t="s">
        <v>3252</v>
      </c>
    </row>
    <row r="814" spans="1:12">
      <c r="A814" t="s">
        <v>514</v>
      </c>
      <c r="B814" t="s">
        <v>3365</v>
      </c>
      <c r="C814" s="60" t="s">
        <v>1858</v>
      </c>
      <c r="D814" t="s">
        <v>587</v>
      </c>
      <c r="E814" t="s">
        <v>588</v>
      </c>
      <c r="F814" t="s">
        <v>506</v>
      </c>
      <c r="G814" t="s">
        <v>507</v>
      </c>
      <c r="H814" t="s">
        <v>508</v>
      </c>
      <c r="I814" t="s">
        <v>509</v>
      </c>
      <c r="J814" t="s">
        <v>589</v>
      </c>
      <c r="K814" s="491">
        <f t="shared" si="64"/>
        <v>35350</v>
      </c>
      <c r="L814" t="s">
        <v>3252</v>
      </c>
    </row>
    <row r="815" spans="1:12">
      <c r="A815" t="s">
        <v>514</v>
      </c>
      <c r="B815" t="s">
        <v>3366</v>
      </c>
      <c r="C815" s="60" t="s">
        <v>1858</v>
      </c>
      <c r="D815" t="s">
        <v>587</v>
      </c>
      <c r="E815" t="s">
        <v>588</v>
      </c>
      <c r="F815" t="s">
        <v>506</v>
      </c>
      <c r="G815" t="s">
        <v>507</v>
      </c>
      <c r="H815" t="s">
        <v>508</v>
      </c>
      <c r="I815" t="s">
        <v>509</v>
      </c>
      <c r="J815" t="s">
        <v>589</v>
      </c>
      <c r="K815" s="491">
        <f t="shared" si="64"/>
        <v>35350</v>
      </c>
      <c r="L815" t="s">
        <v>3252</v>
      </c>
    </row>
    <row r="816" spans="1:12">
      <c r="A816" t="s">
        <v>514</v>
      </c>
      <c r="B816" t="s">
        <v>3367</v>
      </c>
      <c r="C816" s="60" t="s">
        <v>1858</v>
      </c>
      <c r="D816" t="s">
        <v>587</v>
      </c>
      <c r="E816" t="s">
        <v>588</v>
      </c>
      <c r="F816" t="s">
        <v>506</v>
      </c>
      <c r="G816" t="s">
        <v>507</v>
      </c>
      <c r="H816" t="s">
        <v>508</v>
      </c>
      <c r="I816" t="s">
        <v>509</v>
      </c>
      <c r="J816" t="s">
        <v>589</v>
      </c>
      <c r="K816" s="491">
        <f t="shared" si="64"/>
        <v>35350</v>
      </c>
      <c r="L816" t="s">
        <v>3252</v>
      </c>
    </row>
    <row r="817" spans="1:12">
      <c r="A817" t="s">
        <v>514</v>
      </c>
      <c r="B817" t="s">
        <v>3356</v>
      </c>
      <c r="C817" s="3" t="s">
        <v>2074</v>
      </c>
      <c r="D817" t="s">
        <v>587</v>
      </c>
      <c r="E817" t="s">
        <v>588</v>
      </c>
      <c r="F817" t="s">
        <v>506</v>
      </c>
      <c r="G817" t="s">
        <v>507</v>
      </c>
      <c r="H817" t="s">
        <v>508</v>
      </c>
      <c r="I817" t="s">
        <v>509</v>
      </c>
      <c r="J817" t="s">
        <v>589</v>
      </c>
      <c r="K817" s="491">
        <v>11000</v>
      </c>
      <c r="L817" s="102" t="s">
        <v>3251</v>
      </c>
    </row>
    <row r="818" spans="1:12">
      <c r="A818" t="s">
        <v>514</v>
      </c>
      <c r="B818" t="s">
        <v>3357</v>
      </c>
      <c r="C818" s="60" t="s">
        <v>2074</v>
      </c>
      <c r="D818" t="s">
        <v>587</v>
      </c>
      <c r="E818" t="s">
        <v>588</v>
      </c>
      <c r="F818" t="s">
        <v>506</v>
      </c>
      <c r="G818" t="s">
        <v>507</v>
      </c>
      <c r="H818" t="s">
        <v>508</v>
      </c>
      <c r="I818" t="s">
        <v>509</v>
      </c>
      <c r="J818" t="s">
        <v>589</v>
      </c>
      <c r="K818" s="491">
        <f>+K817</f>
        <v>11000</v>
      </c>
      <c r="L818" s="102" t="s">
        <v>3251</v>
      </c>
    </row>
    <row r="819" spans="1:12">
      <c r="A819" t="s">
        <v>514</v>
      </c>
      <c r="B819" t="s">
        <v>3358</v>
      </c>
      <c r="C819" s="60" t="s">
        <v>2074</v>
      </c>
      <c r="D819" t="s">
        <v>587</v>
      </c>
      <c r="E819" t="s">
        <v>588</v>
      </c>
      <c r="F819" t="s">
        <v>506</v>
      </c>
      <c r="G819" t="s">
        <v>507</v>
      </c>
      <c r="H819" t="s">
        <v>508</v>
      </c>
      <c r="I819" t="s">
        <v>509</v>
      </c>
      <c r="J819" t="s">
        <v>589</v>
      </c>
      <c r="K819" s="491">
        <f t="shared" ref="K819:K828" si="65">+K818</f>
        <v>11000</v>
      </c>
      <c r="L819" s="102" t="s">
        <v>3251</v>
      </c>
    </row>
    <row r="820" spans="1:12">
      <c r="A820" t="s">
        <v>514</v>
      </c>
      <c r="B820" t="s">
        <v>3359</v>
      </c>
      <c r="C820" s="60" t="s">
        <v>2074</v>
      </c>
      <c r="D820" t="s">
        <v>587</v>
      </c>
      <c r="E820" t="s">
        <v>588</v>
      </c>
      <c r="F820" t="s">
        <v>506</v>
      </c>
      <c r="G820" t="s">
        <v>507</v>
      </c>
      <c r="H820" t="s">
        <v>508</v>
      </c>
      <c r="I820" t="s">
        <v>509</v>
      </c>
      <c r="J820" t="s">
        <v>589</v>
      </c>
      <c r="K820" s="491">
        <f t="shared" si="65"/>
        <v>11000</v>
      </c>
      <c r="L820" s="102" t="s">
        <v>3251</v>
      </c>
    </row>
    <row r="821" spans="1:12">
      <c r="A821" t="s">
        <v>514</v>
      </c>
      <c r="B821" t="s">
        <v>3360</v>
      </c>
      <c r="C821" s="60" t="s">
        <v>2074</v>
      </c>
      <c r="D821" t="s">
        <v>587</v>
      </c>
      <c r="E821" t="s">
        <v>588</v>
      </c>
      <c r="F821" t="s">
        <v>506</v>
      </c>
      <c r="G821" t="s">
        <v>507</v>
      </c>
      <c r="H821" t="s">
        <v>508</v>
      </c>
      <c r="I821" t="s">
        <v>509</v>
      </c>
      <c r="J821" t="s">
        <v>589</v>
      </c>
      <c r="K821" s="491">
        <f t="shared" si="65"/>
        <v>11000</v>
      </c>
      <c r="L821" s="102" t="s">
        <v>3251</v>
      </c>
    </row>
    <row r="822" spans="1:12">
      <c r="A822" t="s">
        <v>514</v>
      </c>
      <c r="B822" t="s">
        <v>3361</v>
      </c>
      <c r="C822" s="60" t="s">
        <v>2074</v>
      </c>
      <c r="D822" t="s">
        <v>587</v>
      </c>
      <c r="E822" t="s">
        <v>588</v>
      </c>
      <c r="F822" t="s">
        <v>506</v>
      </c>
      <c r="G822" t="s">
        <v>507</v>
      </c>
      <c r="H822" t="s">
        <v>508</v>
      </c>
      <c r="I822" t="s">
        <v>509</v>
      </c>
      <c r="J822" t="s">
        <v>589</v>
      </c>
      <c r="K822" s="491">
        <f t="shared" si="65"/>
        <v>11000</v>
      </c>
      <c r="L822" s="102" t="s">
        <v>3251</v>
      </c>
    </row>
    <row r="823" spans="1:12">
      <c r="A823" t="s">
        <v>514</v>
      </c>
      <c r="B823" t="s">
        <v>3362</v>
      </c>
      <c r="C823" s="60" t="s">
        <v>2074</v>
      </c>
      <c r="D823" t="s">
        <v>587</v>
      </c>
      <c r="E823" t="s">
        <v>588</v>
      </c>
      <c r="F823" t="s">
        <v>506</v>
      </c>
      <c r="G823" t="s">
        <v>507</v>
      </c>
      <c r="H823" t="s">
        <v>508</v>
      </c>
      <c r="I823" t="s">
        <v>509</v>
      </c>
      <c r="J823" t="s">
        <v>589</v>
      </c>
      <c r="K823" s="491">
        <f t="shared" si="65"/>
        <v>11000</v>
      </c>
      <c r="L823" s="102" t="s">
        <v>3251</v>
      </c>
    </row>
    <row r="824" spans="1:12">
      <c r="A824" t="s">
        <v>514</v>
      </c>
      <c r="B824" t="s">
        <v>3363</v>
      </c>
      <c r="C824" s="60" t="s">
        <v>2074</v>
      </c>
      <c r="D824" t="s">
        <v>587</v>
      </c>
      <c r="E824" t="s">
        <v>588</v>
      </c>
      <c r="F824" t="s">
        <v>506</v>
      </c>
      <c r="G824" t="s">
        <v>507</v>
      </c>
      <c r="H824" t="s">
        <v>508</v>
      </c>
      <c r="I824" t="s">
        <v>509</v>
      </c>
      <c r="J824" t="s">
        <v>589</v>
      </c>
      <c r="K824" s="491">
        <f t="shared" si="65"/>
        <v>11000</v>
      </c>
      <c r="L824" s="102" t="s">
        <v>3251</v>
      </c>
    </row>
    <row r="825" spans="1:12">
      <c r="A825" t="s">
        <v>514</v>
      </c>
      <c r="B825" t="s">
        <v>3364</v>
      </c>
      <c r="C825" s="60" t="s">
        <v>2074</v>
      </c>
      <c r="D825" t="s">
        <v>587</v>
      </c>
      <c r="E825" t="s">
        <v>588</v>
      </c>
      <c r="F825" t="s">
        <v>506</v>
      </c>
      <c r="G825" t="s">
        <v>507</v>
      </c>
      <c r="H825" t="s">
        <v>508</v>
      </c>
      <c r="I825" t="s">
        <v>509</v>
      </c>
      <c r="J825" t="s">
        <v>589</v>
      </c>
      <c r="K825" s="491">
        <f t="shared" si="65"/>
        <v>11000</v>
      </c>
      <c r="L825" s="102" t="s">
        <v>3251</v>
      </c>
    </row>
    <row r="826" spans="1:12">
      <c r="A826" t="s">
        <v>514</v>
      </c>
      <c r="B826" t="s">
        <v>3365</v>
      </c>
      <c r="C826" s="60" t="s">
        <v>2074</v>
      </c>
      <c r="D826" t="s">
        <v>587</v>
      </c>
      <c r="E826" t="s">
        <v>588</v>
      </c>
      <c r="F826" t="s">
        <v>506</v>
      </c>
      <c r="G826" t="s">
        <v>507</v>
      </c>
      <c r="H826" t="s">
        <v>508</v>
      </c>
      <c r="I826" t="s">
        <v>509</v>
      </c>
      <c r="J826" t="s">
        <v>589</v>
      </c>
      <c r="K826" s="491">
        <f t="shared" si="65"/>
        <v>11000</v>
      </c>
      <c r="L826" s="102" t="s">
        <v>3251</v>
      </c>
    </row>
    <row r="827" spans="1:12">
      <c r="A827" t="s">
        <v>514</v>
      </c>
      <c r="B827" t="s">
        <v>3366</v>
      </c>
      <c r="C827" s="60" t="s">
        <v>2074</v>
      </c>
      <c r="D827" t="s">
        <v>587</v>
      </c>
      <c r="E827" t="s">
        <v>588</v>
      </c>
      <c r="F827" t="s">
        <v>506</v>
      </c>
      <c r="G827" t="s">
        <v>507</v>
      </c>
      <c r="H827" t="s">
        <v>508</v>
      </c>
      <c r="I827" t="s">
        <v>509</v>
      </c>
      <c r="J827" t="s">
        <v>589</v>
      </c>
      <c r="K827" s="491">
        <f t="shared" si="65"/>
        <v>11000</v>
      </c>
      <c r="L827" s="102" t="s">
        <v>3251</v>
      </c>
    </row>
    <row r="828" spans="1:12">
      <c r="A828" t="s">
        <v>514</v>
      </c>
      <c r="B828" t="s">
        <v>3367</v>
      </c>
      <c r="C828" s="60" t="s">
        <v>2074</v>
      </c>
      <c r="D828" t="s">
        <v>587</v>
      </c>
      <c r="E828" t="s">
        <v>588</v>
      </c>
      <c r="F828" t="s">
        <v>506</v>
      </c>
      <c r="G828" t="s">
        <v>507</v>
      </c>
      <c r="H828" t="s">
        <v>508</v>
      </c>
      <c r="I828" t="s">
        <v>509</v>
      </c>
      <c r="J828" t="s">
        <v>589</v>
      </c>
      <c r="K828" s="491">
        <f t="shared" si="65"/>
        <v>11000</v>
      </c>
      <c r="L828" s="102" t="s">
        <v>3251</v>
      </c>
    </row>
    <row r="829" spans="1:12">
      <c r="A829" t="s">
        <v>514</v>
      </c>
      <c r="B829" t="s">
        <v>3356</v>
      </c>
      <c r="C829" s="3" t="s">
        <v>1833</v>
      </c>
      <c r="D829" t="s">
        <v>587</v>
      </c>
      <c r="E829" t="s">
        <v>588</v>
      </c>
      <c r="F829" t="s">
        <v>506</v>
      </c>
      <c r="G829" t="s">
        <v>507</v>
      </c>
      <c r="H829" t="s">
        <v>508</v>
      </c>
      <c r="I829" t="s">
        <v>509</v>
      </c>
      <c r="J829" t="s">
        <v>589</v>
      </c>
      <c r="K829" s="491">
        <v>17250</v>
      </c>
      <c r="L829" t="s">
        <v>3249</v>
      </c>
    </row>
    <row r="830" spans="1:12">
      <c r="A830" t="s">
        <v>514</v>
      </c>
      <c r="B830" t="s">
        <v>3357</v>
      </c>
      <c r="C830" s="60" t="s">
        <v>1833</v>
      </c>
      <c r="D830" t="s">
        <v>587</v>
      </c>
      <c r="E830" t="s">
        <v>588</v>
      </c>
      <c r="F830" t="s">
        <v>506</v>
      </c>
      <c r="G830" t="s">
        <v>507</v>
      </c>
      <c r="H830" t="s">
        <v>508</v>
      </c>
      <c r="I830" t="s">
        <v>509</v>
      </c>
      <c r="J830" t="s">
        <v>589</v>
      </c>
      <c r="K830" s="491">
        <f>+K829</f>
        <v>17250</v>
      </c>
      <c r="L830" t="s">
        <v>3249</v>
      </c>
    </row>
    <row r="831" spans="1:12">
      <c r="A831" t="s">
        <v>514</v>
      </c>
      <c r="B831" t="s">
        <v>3358</v>
      </c>
      <c r="C831" s="60" t="s">
        <v>1833</v>
      </c>
      <c r="D831" t="s">
        <v>587</v>
      </c>
      <c r="E831" t="s">
        <v>588</v>
      </c>
      <c r="F831" t="s">
        <v>506</v>
      </c>
      <c r="G831" t="s">
        <v>507</v>
      </c>
      <c r="H831" t="s">
        <v>508</v>
      </c>
      <c r="I831" t="s">
        <v>509</v>
      </c>
      <c r="J831" t="s">
        <v>589</v>
      </c>
      <c r="K831" s="491">
        <f t="shared" ref="K831:K840" si="66">+K830</f>
        <v>17250</v>
      </c>
      <c r="L831" t="s">
        <v>3249</v>
      </c>
    </row>
    <row r="832" spans="1:12">
      <c r="A832" t="s">
        <v>514</v>
      </c>
      <c r="B832" t="s">
        <v>3359</v>
      </c>
      <c r="C832" s="60" t="s">
        <v>1833</v>
      </c>
      <c r="D832" t="s">
        <v>587</v>
      </c>
      <c r="E832" t="s">
        <v>588</v>
      </c>
      <c r="F832" t="s">
        <v>506</v>
      </c>
      <c r="G832" t="s">
        <v>507</v>
      </c>
      <c r="H832" t="s">
        <v>508</v>
      </c>
      <c r="I832" t="s">
        <v>509</v>
      </c>
      <c r="J832" t="s">
        <v>589</v>
      </c>
      <c r="K832" s="491">
        <f t="shared" si="66"/>
        <v>17250</v>
      </c>
      <c r="L832" t="s">
        <v>3249</v>
      </c>
    </row>
    <row r="833" spans="1:12">
      <c r="A833" t="s">
        <v>514</v>
      </c>
      <c r="B833" t="s">
        <v>3360</v>
      </c>
      <c r="C833" s="60" t="s">
        <v>1833</v>
      </c>
      <c r="D833" t="s">
        <v>587</v>
      </c>
      <c r="E833" t="s">
        <v>588</v>
      </c>
      <c r="F833" t="s">
        <v>506</v>
      </c>
      <c r="G833" t="s">
        <v>507</v>
      </c>
      <c r="H833" t="s">
        <v>508</v>
      </c>
      <c r="I833" t="s">
        <v>509</v>
      </c>
      <c r="J833" t="s">
        <v>589</v>
      </c>
      <c r="K833" s="491">
        <f t="shared" si="66"/>
        <v>17250</v>
      </c>
      <c r="L833" t="s">
        <v>3249</v>
      </c>
    </row>
    <row r="834" spans="1:12">
      <c r="A834" t="s">
        <v>514</v>
      </c>
      <c r="B834" t="s">
        <v>3361</v>
      </c>
      <c r="C834" s="60" t="s">
        <v>1833</v>
      </c>
      <c r="D834" t="s">
        <v>587</v>
      </c>
      <c r="E834" t="s">
        <v>588</v>
      </c>
      <c r="F834" t="s">
        <v>506</v>
      </c>
      <c r="G834" t="s">
        <v>507</v>
      </c>
      <c r="H834" t="s">
        <v>508</v>
      </c>
      <c r="I834" t="s">
        <v>509</v>
      </c>
      <c r="J834" t="s">
        <v>589</v>
      </c>
      <c r="K834" s="491">
        <f t="shared" si="66"/>
        <v>17250</v>
      </c>
      <c r="L834" t="s">
        <v>3249</v>
      </c>
    </row>
    <row r="835" spans="1:12">
      <c r="A835" t="s">
        <v>514</v>
      </c>
      <c r="B835" t="s">
        <v>3362</v>
      </c>
      <c r="C835" s="60" t="s">
        <v>1833</v>
      </c>
      <c r="D835" t="s">
        <v>587</v>
      </c>
      <c r="E835" t="s">
        <v>588</v>
      </c>
      <c r="F835" t="s">
        <v>506</v>
      </c>
      <c r="G835" t="s">
        <v>507</v>
      </c>
      <c r="H835" t="s">
        <v>508</v>
      </c>
      <c r="I835" t="s">
        <v>509</v>
      </c>
      <c r="J835" t="s">
        <v>589</v>
      </c>
      <c r="K835" s="491">
        <f t="shared" si="66"/>
        <v>17250</v>
      </c>
      <c r="L835" t="s">
        <v>3249</v>
      </c>
    </row>
    <row r="836" spans="1:12">
      <c r="A836" t="s">
        <v>514</v>
      </c>
      <c r="B836" t="s">
        <v>3363</v>
      </c>
      <c r="C836" s="60" t="s">
        <v>1833</v>
      </c>
      <c r="D836" t="s">
        <v>587</v>
      </c>
      <c r="E836" t="s">
        <v>588</v>
      </c>
      <c r="F836" t="s">
        <v>506</v>
      </c>
      <c r="G836" t="s">
        <v>507</v>
      </c>
      <c r="H836" t="s">
        <v>508</v>
      </c>
      <c r="I836" t="s">
        <v>509</v>
      </c>
      <c r="J836" t="s">
        <v>589</v>
      </c>
      <c r="K836" s="491">
        <f t="shared" si="66"/>
        <v>17250</v>
      </c>
      <c r="L836" t="s">
        <v>3249</v>
      </c>
    </row>
    <row r="837" spans="1:12">
      <c r="A837" t="s">
        <v>514</v>
      </c>
      <c r="B837" t="s">
        <v>3364</v>
      </c>
      <c r="C837" s="60" t="s">
        <v>1833</v>
      </c>
      <c r="D837" t="s">
        <v>587</v>
      </c>
      <c r="E837" t="s">
        <v>588</v>
      </c>
      <c r="F837" t="s">
        <v>506</v>
      </c>
      <c r="G837" t="s">
        <v>507</v>
      </c>
      <c r="H837" t="s">
        <v>508</v>
      </c>
      <c r="I837" t="s">
        <v>509</v>
      </c>
      <c r="J837" t="s">
        <v>589</v>
      </c>
      <c r="K837" s="491">
        <f t="shared" si="66"/>
        <v>17250</v>
      </c>
      <c r="L837" t="s">
        <v>3249</v>
      </c>
    </row>
    <row r="838" spans="1:12">
      <c r="A838" t="s">
        <v>514</v>
      </c>
      <c r="B838" t="s">
        <v>3365</v>
      </c>
      <c r="C838" s="60" t="s">
        <v>1833</v>
      </c>
      <c r="D838" t="s">
        <v>587</v>
      </c>
      <c r="E838" t="s">
        <v>588</v>
      </c>
      <c r="F838" t="s">
        <v>506</v>
      </c>
      <c r="G838" t="s">
        <v>507</v>
      </c>
      <c r="H838" t="s">
        <v>508</v>
      </c>
      <c r="I838" t="s">
        <v>509</v>
      </c>
      <c r="J838" t="s">
        <v>589</v>
      </c>
      <c r="K838" s="491">
        <f t="shared" si="66"/>
        <v>17250</v>
      </c>
      <c r="L838" t="s">
        <v>3249</v>
      </c>
    </row>
    <row r="839" spans="1:12">
      <c r="A839" t="s">
        <v>514</v>
      </c>
      <c r="B839" t="s">
        <v>3366</v>
      </c>
      <c r="C839" s="60" t="s">
        <v>1833</v>
      </c>
      <c r="D839" t="s">
        <v>587</v>
      </c>
      <c r="E839" t="s">
        <v>588</v>
      </c>
      <c r="F839" t="s">
        <v>506</v>
      </c>
      <c r="G839" t="s">
        <v>507</v>
      </c>
      <c r="H839" t="s">
        <v>508</v>
      </c>
      <c r="I839" t="s">
        <v>509</v>
      </c>
      <c r="J839" t="s">
        <v>589</v>
      </c>
      <c r="K839" s="491">
        <f t="shared" si="66"/>
        <v>17250</v>
      </c>
      <c r="L839" t="s">
        <v>3249</v>
      </c>
    </row>
    <row r="840" spans="1:12">
      <c r="A840" t="s">
        <v>514</v>
      </c>
      <c r="B840" t="s">
        <v>3367</v>
      </c>
      <c r="C840" s="60" t="s">
        <v>1833</v>
      </c>
      <c r="D840" t="s">
        <v>587</v>
      </c>
      <c r="E840" t="s">
        <v>588</v>
      </c>
      <c r="F840" t="s">
        <v>506</v>
      </c>
      <c r="G840" t="s">
        <v>507</v>
      </c>
      <c r="H840" t="s">
        <v>508</v>
      </c>
      <c r="I840" t="s">
        <v>509</v>
      </c>
      <c r="J840" t="s">
        <v>589</v>
      </c>
      <c r="K840" s="491">
        <f t="shared" si="66"/>
        <v>17250</v>
      </c>
      <c r="L840" t="s">
        <v>3249</v>
      </c>
    </row>
    <row r="841" spans="1:12">
      <c r="A841" t="s">
        <v>514</v>
      </c>
      <c r="B841" t="s">
        <v>3356</v>
      </c>
      <c r="C841" s="3" t="s">
        <v>817</v>
      </c>
      <c r="D841" t="s">
        <v>587</v>
      </c>
      <c r="E841" t="s">
        <v>588</v>
      </c>
      <c r="F841" t="s">
        <v>506</v>
      </c>
      <c r="G841" t="s">
        <v>507</v>
      </c>
      <c r="H841" t="s">
        <v>508</v>
      </c>
      <c r="I841" t="s">
        <v>509</v>
      </c>
      <c r="J841" t="s">
        <v>589</v>
      </c>
      <c r="K841" s="491">
        <v>15000</v>
      </c>
      <c r="L841" t="s">
        <v>3250</v>
      </c>
    </row>
    <row r="842" spans="1:12">
      <c r="A842" t="s">
        <v>514</v>
      </c>
      <c r="B842" t="s">
        <v>3357</v>
      </c>
      <c r="C842" s="60" t="s">
        <v>817</v>
      </c>
      <c r="D842" t="s">
        <v>587</v>
      </c>
      <c r="E842" t="s">
        <v>588</v>
      </c>
      <c r="F842" t="s">
        <v>506</v>
      </c>
      <c r="G842" t="s">
        <v>507</v>
      </c>
      <c r="H842" t="s">
        <v>508</v>
      </c>
      <c r="I842" t="s">
        <v>509</v>
      </c>
      <c r="J842" t="s">
        <v>589</v>
      </c>
      <c r="K842" s="491">
        <f>+K841</f>
        <v>15000</v>
      </c>
      <c r="L842" t="s">
        <v>3250</v>
      </c>
    </row>
    <row r="843" spans="1:12">
      <c r="A843" t="s">
        <v>514</v>
      </c>
      <c r="B843" t="s">
        <v>3358</v>
      </c>
      <c r="C843" s="60" t="s">
        <v>817</v>
      </c>
      <c r="D843" t="s">
        <v>587</v>
      </c>
      <c r="E843" t="s">
        <v>588</v>
      </c>
      <c r="F843" t="s">
        <v>506</v>
      </c>
      <c r="G843" t="s">
        <v>507</v>
      </c>
      <c r="H843" t="s">
        <v>508</v>
      </c>
      <c r="I843" t="s">
        <v>509</v>
      </c>
      <c r="J843" t="s">
        <v>589</v>
      </c>
      <c r="K843" s="491">
        <f t="shared" ref="K843:K845" si="67">+K842</f>
        <v>15000</v>
      </c>
      <c r="L843" t="s">
        <v>3250</v>
      </c>
    </row>
    <row r="844" spans="1:12">
      <c r="A844" t="s">
        <v>514</v>
      </c>
      <c r="B844" t="s">
        <v>3359</v>
      </c>
      <c r="C844" s="60" t="s">
        <v>817</v>
      </c>
      <c r="D844" t="s">
        <v>587</v>
      </c>
      <c r="E844" t="s">
        <v>588</v>
      </c>
      <c r="F844" t="s">
        <v>506</v>
      </c>
      <c r="G844" t="s">
        <v>507</v>
      </c>
      <c r="H844" t="s">
        <v>508</v>
      </c>
      <c r="I844" t="s">
        <v>509</v>
      </c>
      <c r="J844" t="s">
        <v>589</v>
      </c>
      <c r="K844" s="491">
        <f t="shared" si="67"/>
        <v>15000</v>
      </c>
      <c r="L844" t="s">
        <v>3250</v>
      </c>
    </row>
    <row r="845" spans="1:12">
      <c r="A845" t="s">
        <v>514</v>
      </c>
      <c r="B845" t="s">
        <v>3360</v>
      </c>
      <c r="C845" s="60" t="s">
        <v>817</v>
      </c>
      <c r="D845" t="s">
        <v>587</v>
      </c>
      <c r="E845" t="s">
        <v>588</v>
      </c>
      <c r="F845" t="s">
        <v>506</v>
      </c>
      <c r="G845" t="s">
        <v>507</v>
      </c>
      <c r="H845" t="s">
        <v>508</v>
      </c>
      <c r="I845" t="s">
        <v>509</v>
      </c>
      <c r="J845" t="s">
        <v>589</v>
      </c>
      <c r="K845" s="491">
        <f t="shared" si="67"/>
        <v>15000</v>
      </c>
      <c r="L845" t="s">
        <v>3250</v>
      </c>
    </row>
    <row r="846" spans="1:12">
      <c r="A846" t="s">
        <v>514</v>
      </c>
      <c r="B846" t="s">
        <v>3361</v>
      </c>
      <c r="C846" s="60" t="s">
        <v>817</v>
      </c>
      <c r="D846" t="s">
        <v>587</v>
      </c>
      <c r="E846" t="s">
        <v>588</v>
      </c>
      <c r="F846" t="s">
        <v>506</v>
      </c>
      <c r="G846" t="s">
        <v>507</v>
      </c>
      <c r="H846" t="s">
        <v>508</v>
      </c>
      <c r="I846" t="s">
        <v>509</v>
      </c>
      <c r="J846" t="s">
        <v>589</v>
      </c>
      <c r="K846" s="491">
        <v>15000</v>
      </c>
      <c r="L846" t="s">
        <v>3250</v>
      </c>
    </row>
    <row r="847" spans="1:12">
      <c r="A847" t="s">
        <v>514</v>
      </c>
      <c r="B847" t="s">
        <v>3362</v>
      </c>
      <c r="C847" s="60" t="s">
        <v>817</v>
      </c>
      <c r="D847" t="s">
        <v>587</v>
      </c>
      <c r="E847" t="s">
        <v>588</v>
      </c>
      <c r="F847" t="s">
        <v>506</v>
      </c>
      <c r="G847" t="s">
        <v>507</v>
      </c>
      <c r="H847" t="s">
        <v>508</v>
      </c>
      <c r="I847" t="s">
        <v>509</v>
      </c>
      <c r="J847" t="s">
        <v>589</v>
      </c>
      <c r="K847" s="491">
        <v>15000</v>
      </c>
      <c r="L847" t="s">
        <v>3250</v>
      </c>
    </row>
    <row r="848" spans="1:12">
      <c r="A848" t="s">
        <v>514</v>
      </c>
      <c r="B848" t="s">
        <v>3363</v>
      </c>
      <c r="C848" s="60" t="s">
        <v>817</v>
      </c>
      <c r="D848" t="s">
        <v>587</v>
      </c>
      <c r="E848" t="s">
        <v>588</v>
      </c>
      <c r="F848" t="s">
        <v>506</v>
      </c>
      <c r="G848" t="s">
        <v>507</v>
      </c>
      <c r="H848" t="s">
        <v>508</v>
      </c>
      <c r="I848" t="s">
        <v>509</v>
      </c>
      <c r="J848" t="s">
        <v>589</v>
      </c>
      <c r="K848" s="491">
        <v>15000</v>
      </c>
      <c r="L848" t="s">
        <v>3250</v>
      </c>
    </row>
    <row r="849" spans="1:12">
      <c r="A849" t="s">
        <v>514</v>
      </c>
      <c r="B849" t="s">
        <v>3364</v>
      </c>
      <c r="C849" s="60" t="s">
        <v>817</v>
      </c>
      <c r="D849" t="s">
        <v>587</v>
      </c>
      <c r="E849" t="s">
        <v>588</v>
      </c>
      <c r="F849" t="s">
        <v>506</v>
      </c>
      <c r="G849" t="s">
        <v>507</v>
      </c>
      <c r="H849" t="s">
        <v>508</v>
      </c>
      <c r="I849" t="s">
        <v>509</v>
      </c>
      <c r="J849" t="s">
        <v>589</v>
      </c>
      <c r="K849" s="491">
        <v>15000</v>
      </c>
      <c r="L849" t="s">
        <v>3250</v>
      </c>
    </row>
    <row r="850" spans="1:12">
      <c r="A850" t="s">
        <v>514</v>
      </c>
      <c r="B850" t="s">
        <v>3365</v>
      </c>
      <c r="C850" s="60" t="s">
        <v>817</v>
      </c>
      <c r="D850" t="s">
        <v>587</v>
      </c>
      <c r="E850" t="s">
        <v>588</v>
      </c>
      <c r="F850" t="s">
        <v>506</v>
      </c>
      <c r="G850" t="s">
        <v>507</v>
      </c>
      <c r="H850" t="s">
        <v>508</v>
      </c>
      <c r="I850" t="s">
        <v>509</v>
      </c>
      <c r="J850" t="s">
        <v>589</v>
      </c>
      <c r="K850" s="491">
        <v>15000</v>
      </c>
      <c r="L850" t="s">
        <v>3250</v>
      </c>
    </row>
    <row r="851" spans="1:12">
      <c r="A851" t="s">
        <v>514</v>
      </c>
      <c r="B851" t="s">
        <v>3366</v>
      </c>
      <c r="C851" s="60" t="s">
        <v>817</v>
      </c>
      <c r="D851" t="s">
        <v>587</v>
      </c>
      <c r="E851" t="s">
        <v>588</v>
      </c>
      <c r="F851" t="s">
        <v>506</v>
      </c>
      <c r="G851" t="s">
        <v>507</v>
      </c>
      <c r="H851" t="s">
        <v>508</v>
      </c>
      <c r="I851" t="s">
        <v>509</v>
      </c>
      <c r="J851" t="s">
        <v>589</v>
      </c>
      <c r="K851" s="491">
        <v>15000</v>
      </c>
      <c r="L851" t="s">
        <v>3250</v>
      </c>
    </row>
    <row r="852" spans="1:12">
      <c r="A852" t="s">
        <v>514</v>
      </c>
      <c r="B852" t="s">
        <v>3367</v>
      </c>
      <c r="C852" s="60" t="s">
        <v>817</v>
      </c>
      <c r="D852" t="s">
        <v>587</v>
      </c>
      <c r="E852" t="s">
        <v>588</v>
      </c>
      <c r="F852" t="s">
        <v>506</v>
      </c>
      <c r="G852" t="s">
        <v>507</v>
      </c>
      <c r="H852" t="s">
        <v>508</v>
      </c>
      <c r="I852" t="s">
        <v>509</v>
      </c>
      <c r="J852" t="s">
        <v>589</v>
      </c>
      <c r="K852" s="491">
        <v>15000</v>
      </c>
      <c r="L852" t="s">
        <v>3250</v>
      </c>
    </row>
    <row r="853" spans="1:12">
      <c r="A853" t="s">
        <v>514</v>
      </c>
      <c r="B853" t="s">
        <v>3356</v>
      </c>
      <c r="C853" s="3" t="s">
        <v>1808</v>
      </c>
      <c r="D853" t="s">
        <v>587</v>
      </c>
      <c r="E853" t="s">
        <v>588</v>
      </c>
      <c r="F853" t="s">
        <v>506</v>
      </c>
      <c r="G853" t="s">
        <v>507</v>
      </c>
      <c r="H853" t="s">
        <v>508</v>
      </c>
      <c r="I853" t="s">
        <v>509</v>
      </c>
      <c r="J853" t="s">
        <v>589</v>
      </c>
      <c r="K853" s="491">
        <v>13800</v>
      </c>
      <c r="L853" t="s">
        <v>3144</v>
      </c>
    </row>
    <row r="854" spans="1:12">
      <c r="A854" t="s">
        <v>514</v>
      </c>
      <c r="B854" t="s">
        <v>3357</v>
      </c>
      <c r="C854" s="60" t="s">
        <v>1808</v>
      </c>
      <c r="D854" t="s">
        <v>587</v>
      </c>
      <c r="E854" t="s">
        <v>588</v>
      </c>
      <c r="F854" t="s">
        <v>506</v>
      </c>
      <c r="G854" t="s">
        <v>507</v>
      </c>
      <c r="H854" t="s">
        <v>508</v>
      </c>
      <c r="I854" t="s">
        <v>509</v>
      </c>
      <c r="J854" t="s">
        <v>589</v>
      </c>
      <c r="K854" s="491">
        <v>13800</v>
      </c>
      <c r="L854" t="s">
        <v>3144</v>
      </c>
    </row>
    <row r="855" spans="1:12">
      <c r="A855" t="s">
        <v>514</v>
      </c>
      <c r="B855" t="s">
        <v>3358</v>
      </c>
      <c r="C855" s="60" t="s">
        <v>1808</v>
      </c>
      <c r="D855" t="s">
        <v>587</v>
      </c>
      <c r="E855" t="s">
        <v>588</v>
      </c>
      <c r="F855" t="s">
        <v>506</v>
      </c>
      <c r="G855" t="s">
        <v>507</v>
      </c>
      <c r="H855" t="s">
        <v>508</v>
      </c>
      <c r="I855" t="s">
        <v>509</v>
      </c>
      <c r="J855" t="s">
        <v>589</v>
      </c>
      <c r="K855" s="491">
        <v>13800</v>
      </c>
      <c r="L855" t="s">
        <v>3144</v>
      </c>
    </row>
    <row r="856" spans="1:12">
      <c r="A856" t="s">
        <v>514</v>
      </c>
      <c r="B856" t="s">
        <v>3359</v>
      </c>
      <c r="C856" s="60" t="s">
        <v>1808</v>
      </c>
      <c r="D856" t="s">
        <v>587</v>
      </c>
      <c r="E856" t="s">
        <v>588</v>
      </c>
      <c r="F856" t="s">
        <v>506</v>
      </c>
      <c r="G856" t="s">
        <v>507</v>
      </c>
      <c r="H856" t="s">
        <v>508</v>
      </c>
      <c r="I856" t="s">
        <v>509</v>
      </c>
      <c r="J856" t="s">
        <v>589</v>
      </c>
      <c r="K856" s="491">
        <v>13800</v>
      </c>
      <c r="L856" t="s">
        <v>3144</v>
      </c>
    </row>
    <row r="857" spans="1:12">
      <c r="A857" t="s">
        <v>514</v>
      </c>
      <c r="B857" t="s">
        <v>3360</v>
      </c>
      <c r="C857" s="60" t="s">
        <v>1808</v>
      </c>
      <c r="D857" t="s">
        <v>587</v>
      </c>
      <c r="E857" t="s">
        <v>588</v>
      </c>
      <c r="F857" t="s">
        <v>506</v>
      </c>
      <c r="G857" t="s">
        <v>507</v>
      </c>
      <c r="H857" t="s">
        <v>508</v>
      </c>
      <c r="I857" t="s">
        <v>509</v>
      </c>
      <c r="J857" t="s">
        <v>589</v>
      </c>
      <c r="K857" s="491">
        <v>13800</v>
      </c>
      <c r="L857" t="s">
        <v>3144</v>
      </c>
    </row>
    <row r="858" spans="1:12">
      <c r="A858" t="s">
        <v>514</v>
      </c>
      <c r="B858" t="s">
        <v>3361</v>
      </c>
      <c r="C858" s="60" t="s">
        <v>1808</v>
      </c>
      <c r="D858" t="s">
        <v>587</v>
      </c>
      <c r="E858" t="s">
        <v>588</v>
      </c>
      <c r="F858" t="s">
        <v>506</v>
      </c>
      <c r="G858" t="s">
        <v>507</v>
      </c>
      <c r="H858" t="s">
        <v>508</v>
      </c>
      <c r="I858" t="s">
        <v>509</v>
      </c>
      <c r="J858" t="s">
        <v>589</v>
      </c>
      <c r="K858" s="491">
        <v>13800</v>
      </c>
      <c r="L858" t="s">
        <v>3144</v>
      </c>
    </row>
    <row r="859" spans="1:12">
      <c r="A859" t="s">
        <v>514</v>
      </c>
      <c r="B859" t="s">
        <v>3362</v>
      </c>
      <c r="C859" s="60" t="s">
        <v>1808</v>
      </c>
      <c r="D859" t="s">
        <v>587</v>
      </c>
      <c r="E859" t="s">
        <v>588</v>
      </c>
      <c r="F859" t="s">
        <v>506</v>
      </c>
      <c r="G859" t="s">
        <v>507</v>
      </c>
      <c r="H859" t="s">
        <v>508</v>
      </c>
      <c r="I859" t="s">
        <v>509</v>
      </c>
      <c r="J859" t="s">
        <v>589</v>
      </c>
      <c r="K859" s="491">
        <v>13800</v>
      </c>
      <c r="L859" t="s">
        <v>3144</v>
      </c>
    </row>
    <row r="860" spans="1:12">
      <c r="A860" t="s">
        <v>514</v>
      </c>
      <c r="B860" t="s">
        <v>3363</v>
      </c>
      <c r="C860" s="60" t="s">
        <v>1808</v>
      </c>
      <c r="D860" t="s">
        <v>587</v>
      </c>
      <c r="E860" t="s">
        <v>588</v>
      </c>
      <c r="F860" t="s">
        <v>506</v>
      </c>
      <c r="G860" t="s">
        <v>507</v>
      </c>
      <c r="H860" t="s">
        <v>508</v>
      </c>
      <c r="I860" t="s">
        <v>509</v>
      </c>
      <c r="J860" t="s">
        <v>589</v>
      </c>
      <c r="K860" s="491">
        <v>13800</v>
      </c>
      <c r="L860" t="s">
        <v>3144</v>
      </c>
    </row>
    <row r="861" spans="1:12">
      <c r="A861" t="s">
        <v>514</v>
      </c>
      <c r="B861" t="s">
        <v>3364</v>
      </c>
      <c r="C861" s="60" t="s">
        <v>1808</v>
      </c>
      <c r="D861" t="s">
        <v>587</v>
      </c>
      <c r="E861" t="s">
        <v>588</v>
      </c>
      <c r="F861" t="s">
        <v>506</v>
      </c>
      <c r="G861" t="s">
        <v>507</v>
      </c>
      <c r="H861" t="s">
        <v>508</v>
      </c>
      <c r="I861" t="s">
        <v>509</v>
      </c>
      <c r="J861" t="s">
        <v>589</v>
      </c>
      <c r="K861" s="491">
        <v>13800</v>
      </c>
      <c r="L861" t="s">
        <v>3144</v>
      </c>
    </row>
    <row r="862" spans="1:12">
      <c r="A862" t="s">
        <v>514</v>
      </c>
      <c r="B862" t="s">
        <v>3365</v>
      </c>
      <c r="C862" s="60" t="s">
        <v>1808</v>
      </c>
      <c r="D862" t="s">
        <v>587</v>
      </c>
      <c r="E862" t="s">
        <v>588</v>
      </c>
      <c r="F862" t="s">
        <v>506</v>
      </c>
      <c r="G862" t="s">
        <v>507</v>
      </c>
      <c r="H862" t="s">
        <v>508</v>
      </c>
      <c r="I862" t="s">
        <v>509</v>
      </c>
      <c r="J862" t="s">
        <v>589</v>
      </c>
      <c r="K862" s="491">
        <v>13800</v>
      </c>
      <c r="L862" t="s">
        <v>3144</v>
      </c>
    </row>
    <row r="863" spans="1:12">
      <c r="A863" t="s">
        <v>514</v>
      </c>
      <c r="B863" t="s">
        <v>3366</v>
      </c>
      <c r="C863" s="60" t="s">
        <v>1808</v>
      </c>
      <c r="D863" t="s">
        <v>587</v>
      </c>
      <c r="E863" t="s">
        <v>588</v>
      </c>
      <c r="F863" t="s">
        <v>506</v>
      </c>
      <c r="G863" t="s">
        <v>507</v>
      </c>
      <c r="H863" t="s">
        <v>508</v>
      </c>
      <c r="I863" t="s">
        <v>509</v>
      </c>
      <c r="J863" t="s">
        <v>589</v>
      </c>
      <c r="K863" s="491">
        <v>13800</v>
      </c>
      <c r="L863" t="s">
        <v>3144</v>
      </c>
    </row>
    <row r="864" spans="1:12">
      <c r="A864" t="s">
        <v>514</v>
      </c>
      <c r="B864" t="s">
        <v>3367</v>
      </c>
      <c r="C864" s="60" t="s">
        <v>1808</v>
      </c>
      <c r="D864" t="s">
        <v>587</v>
      </c>
      <c r="E864" t="s">
        <v>588</v>
      </c>
      <c r="F864" t="s">
        <v>506</v>
      </c>
      <c r="G864" t="s">
        <v>507</v>
      </c>
      <c r="H864" t="s">
        <v>508</v>
      </c>
      <c r="I864" t="s">
        <v>509</v>
      </c>
      <c r="J864" t="s">
        <v>589</v>
      </c>
      <c r="K864" s="491">
        <v>13800</v>
      </c>
      <c r="L864" t="s">
        <v>3144</v>
      </c>
    </row>
    <row r="865" spans="1:12">
      <c r="A865" t="s">
        <v>514</v>
      </c>
      <c r="B865" t="s">
        <v>3356</v>
      </c>
      <c r="C865" s="3" t="s">
        <v>2269</v>
      </c>
      <c r="D865" t="s">
        <v>587</v>
      </c>
      <c r="E865" t="s">
        <v>588</v>
      </c>
      <c r="F865" t="s">
        <v>506</v>
      </c>
      <c r="G865" t="s">
        <v>507</v>
      </c>
      <c r="H865" t="s">
        <v>508</v>
      </c>
      <c r="I865" t="s">
        <v>509</v>
      </c>
      <c r="J865" t="s">
        <v>589</v>
      </c>
      <c r="K865" s="538">
        <v>12000</v>
      </c>
      <c r="L865" t="s">
        <v>3246</v>
      </c>
    </row>
    <row r="866" spans="1:12">
      <c r="A866" t="s">
        <v>514</v>
      </c>
      <c r="B866" t="s">
        <v>3357</v>
      </c>
      <c r="C866" s="60" t="s">
        <v>2269</v>
      </c>
      <c r="D866" t="s">
        <v>587</v>
      </c>
      <c r="E866" t="s">
        <v>588</v>
      </c>
      <c r="F866" t="s">
        <v>506</v>
      </c>
      <c r="G866" t="s">
        <v>507</v>
      </c>
      <c r="H866" t="s">
        <v>508</v>
      </c>
      <c r="I866" t="s">
        <v>509</v>
      </c>
      <c r="J866" t="s">
        <v>589</v>
      </c>
      <c r="K866" s="538">
        <f t="shared" ref="K866:K876" si="68">K865</f>
        <v>12000</v>
      </c>
      <c r="L866" t="s">
        <v>3246</v>
      </c>
    </row>
    <row r="867" spans="1:12">
      <c r="A867" t="s">
        <v>514</v>
      </c>
      <c r="B867" t="s">
        <v>3358</v>
      </c>
      <c r="C867" s="60" t="s">
        <v>2269</v>
      </c>
      <c r="D867" t="s">
        <v>587</v>
      </c>
      <c r="E867" t="s">
        <v>588</v>
      </c>
      <c r="F867" t="s">
        <v>506</v>
      </c>
      <c r="G867" t="s">
        <v>507</v>
      </c>
      <c r="H867" t="s">
        <v>508</v>
      </c>
      <c r="I867" t="s">
        <v>509</v>
      </c>
      <c r="J867" t="s">
        <v>589</v>
      </c>
      <c r="K867" s="538">
        <f t="shared" si="68"/>
        <v>12000</v>
      </c>
      <c r="L867" t="s">
        <v>3246</v>
      </c>
    </row>
    <row r="868" spans="1:12">
      <c r="A868" t="s">
        <v>514</v>
      </c>
      <c r="B868" t="s">
        <v>3359</v>
      </c>
      <c r="C868" s="60" t="s">
        <v>2269</v>
      </c>
      <c r="D868" t="s">
        <v>587</v>
      </c>
      <c r="E868" t="s">
        <v>588</v>
      </c>
      <c r="F868" t="s">
        <v>506</v>
      </c>
      <c r="G868" t="s">
        <v>507</v>
      </c>
      <c r="H868" t="s">
        <v>508</v>
      </c>
      <c r="I868" t="s">
        <v>509</v>
      </c>
      <c r="J868" t="s">
        <v>589</v>
      </c>
      <c r="K868" s="538">
        <f t="shared" si="68"/>
        <v>12000</v>
      </c>
      <c r="L868" t="s">
        <v>3246</v>
      </c>
    </row>
    <row r="869" spans="1:12">
      <c r="A869" t="s">
        <v>514</v>
      </c>
      <c r="B869" t="s">
        <v>3360</v>
      </c>
      <c r="C869" s="60" t="s">
        <v>2269</v>
      </c>
      <c r="D869" t="s">
        <v>587</v>
      </c>
      <c r="E869" t="s">
        <v>588</v>
      </c>
      <c r="F869" t="s">
        <v>506</v>
      </c>
      <c r="G869" t="s">
        <v>507</v>
      </c>
      <c r="H869" t="s">
        <v>508</v>
      </c>
      <c r="I869" t="s">
        <v>509</v>
      </c>
      <c r="J869" t="s">
        <v>589</v>
      </c>
      <c r="K869" s="538">
        <f t="shared" si="68"/>
        <v>12000</v>
      </c>
      <c r="L869" t="s">
        <v>3246</v>
      </c>
    </row>
    <row r="870" spans="1:12">
      <c r="A870" t="s">
        <v>514</v>
      </c>
      <c r="B870" t="s">
        <v>3361</v>
      </c>
      <c r="C870" s="60" t="s">
        <v>2269</v>
      </c>
      <c r="D870" t="s">
        <v>587</v>
      </c>
      <c r="E870" t="s">
        <v>588</v>
      </c>
      <c r="F870" t="s">
        <v>506</v>
      </c>
      <c r="G870" t="s">
        <v>507</v>
      </c>
      <c r="H870" t="s">
        <v>508</v>
      </c>
      <c r="I870" t="s">
        <v>509</v>
      </c>
      <c r="J870" t="s">
        <v>589</v>
      </c>
      <c r="K870" s="538">
        <f t="shared" si="68"/>
        <v>12000</v>
      </c>
      <c r="L870" t="s">
        <v>3246</v>
      </c>
    </row>
    <row r="871" spans="1:12">
      <c r="A871" t="s">
        <v>514</v>
      </c>
      <c r="B871" t="s">
        <v>3362</v>
      </c>
      <c r="C871" s="60" t="s">
        <v>2269</v>
      </c>
      <c r="D871" t="s">
        <v>587</v>
      </c>
      <c r="E871" t="s">
        <v>588</v>
      </c>
      <c r="F871" t="s">
        <v>506</v>
      </c>
      <c r="G871" t="s">
        <v>507</v>
      </c>
      <c r="H871" t="s">
        <v>508</v>
      </c>
      <c r="I871" t="s">
        <v>509</v>
      </c>
      <c r="J871" t="s">
        <v>589</v>
      </c>
      <c r="K871" s="538">
        <f t="shared" si="68"/>
        <v>12000</v>
      </c>
      <c r="L871" t="s">
        <v>3246</v>
      </c>
    </row>
    <row r="872" spans="1:12">
      <c r="A872" t="s">
        <v>514</v>
      </c>
      <c r="B872" t="s">
        <v>3363</v>
      </c>
      <c r="C872" s="60" t="s">
        <v>2269</v>
      </c>
      <c r="D872" t="s">
        <v>587</v>
      </c>
      <c r="E872" t="s">
        <v>588</v>
      </c>
      <c r="F872" t="s">
        <v>506</v>
      </c>
      <c r="G872" t="s">
        <v>507</v>
      </c>
      <c r="H872" t="s">
        <v>508</v>
      </c>
      <c r="I872" t="s">
        <v>509</v>
      </c>
      <c r="J872" t="s">
        <v>589</v>
      </c>
      <c r="K872" s="538">
        <f t="shared" si="68"/>
        <v>12000</v>
      </c>
      <c r="L872" t="s">
        <v>3246</v>
      </c>
    </row>
    <row r="873" spans="1:12">
      <c r="A873" t="s">
        <v>514</v>
      </c>
      <c r="B873" t="s">
        <v>3364</v>
      </c>
      <c r="C873" s="60" t="s">
        <v>2269</v>
      </c>
      <c r="D873" t="s">
        <v>587</v>
      </c>
      <c r="E873" t="s">
        <v>588</v>
      </c>
      <c r="F873" t="s">
        <v>506</v>
      </c>
      <c r="G873" t="s">
        <v>507</v>
      </c>
      <c r="H873" t="s">
        <v>508</v>
      </c>
      <c r="I873" t="s">
        <v>509</v>
      </c>
      <c r="J873" t="s">
        <v>589</v>
      </c>
      <c r="K873" s="538">
        <f t="shared" si="68"/>
        <v>12000</v>
      </c>
      <c r="L873" t="s">
        <v>3246</v>
      </c>
    </row>
    <row r="874" spans="1:12">
      <c r="A874" t="s">
        <v>514</v>
      </c>
      <c r="B874" t="s">
        <v>3365</v>
      </c>
      <c r="C874" s="60" t="s">
        <v>2269</v>
      </c>
      <c r="D874" t="s">
        <v>587</v>
      </c>
      <c r="E874" t="s">
        <v>588</v>
      </c>
      <c r="F874" t="s">
        <v>506</v>
      </c>
      <c r="G874" t="s">
        <v>507</v>
      </c>
      <c r="H874" t="s">
        <v>508</v>
      </c>
      <c r="I874" t="s">
        <v>509</v>
      </c>
      <c r="J874" t="s">
        <v>589</v>
      </c>
      <c r="K874" s="538">
        <f t="shared" si="68"/>
        <v>12000</v>
      </c>
      <c r="L874" t="s">
        <v>3246</v>
      </c>
    </row>
    <row r="875" spans="1:12">
      <c r="A875" t="s">
        <v>514</v>
      </c>
      <c r="B875" t="s">
        <v>3366</v>
      </c>
      <c r="C875" s="60" t="s">
        <v>2269</v>
      </c>
      <c r="D875" t="s">
        <v>587</v>
      </c>
      <c r="E875" t="s">
        <v>588</v>
      </c>
      <c r="F875" t="s">
        <v>506</v>
      </c>
      <c r="G875" t="s">
        <v>507</v>
      </c>
      <c r="H875" t="s">
        <v>508</v>
      </c>
      <c r="I875" t="s">
        <v>509</v>
      </c>
      <c r="J875" t="s">
        <v>589</v>
      </c>
      <c r="K875" s="538">
        <f t="shared" si="68"/>
        <v>12000</v>
      </c>
      <c r="L875" t="s">
        <v>3246</v>
      </c>
    </row>
    <row r="876" spans="1:12">
      <c r="A876" t="s">
        <v>514</v>
      </c>
      <c r="B876" t="s">
        <v>3367</v>
      </c>
      <c r="C876" s="60" t="s">
        <v>2269</v>
      </c>
      <c r="D876" t="s">
        <v>587</v>
      </c>
      <c r="E876" t="s">
        <v>588</v>
      </c>
      <c r="F876" t="s">
        <v>506</v>
      </c>
      <c r="G876" t="s">
        <v>507</v>
      </c>
      <c r="H876" t="s">
        <v>508</v>
      </c>
      <c r="I876" t="s">
        <v>509</v>
      </c>
      <c r="J876" t="s">
        <v>589</v>
      </c>
      <c r="K876" s="538">
        <f t="shared" si="68"/>
        <v>12000</v>
      </c>
      <c r="L876" t="s">
        <v>3246</v>
      </c>
    </row>
    <row r="877" spans="1:12">
      <c r="A877" t="s">
        <v>514</v>
      </c>
      <c r="B877" t="s">
        <v>3356</v>
      </c>
      <c r="C877" s="3" t="s">
        <v>2089</v>
      </c>
      <c r="D877" t="s">
        <v>587</v>
      </c>
      <c r="E877" t="s">
        <v>588</v>
      </c>
      <c r="F877" t="s">
        <v>506</v>
      </c>
      <c r="G877" t="s">
        <v>507</v>
      </c>
      <c r="H877" t="s">
        <v>508</v>
      </c>
      <c r="I877" t="s">
        <v>509</v>
      </c>
      <c r="J877" t="s">
        <v>589</v>
      </c>
      <c r="K877" s="538">
        <v>12000</v>
      </c>
      <c r="L877" t="s">
        <v>3143</v>
      </c>
    </row>
    <row r="878" spans="1:12">
      <c r="A878" t="s">
        <v>514</v>
      </c>
      <c r="B878" t="s">
        <v>3357</v>
      </c>
      <c r="C878" s="60" t="s">
        <v>2089</v>
      </c>
      <c r="D878" t="s">
        <v>587</v>
      </c>
      <c r="E878" t="s">
        <v>588</v>
      </c>
      <c r="F878" t="s">
        <v>506</v>
      </c>
      <c r="G878" t="s">
        <v>507</v>
      </c>
      <c r="H878" t="s">
        <v>508</v>
      </c>
      <c r="I878" t="s">
        <v>509</v>
      </c>
      <c r="J878" t="s">
        <v>589</v>
      </c>
      <c r="K878" s="538">
        <v>12000</v>
      </c>
      <c r="L878" t="s">
        <v>3143</v>
      </c>
    </row>
    <row r="879" spans="1:12">
      <c r="A879" t="s">
        <v>514</v>
      </c>
      <c r="B879" t="s">
        <v>3358</v>
      </c>
      <c r="C879" s="60" t="s">
        <v>2089</v>
      </c>
      <c r="D879" t="s">
        <v>587</v>
      </c>
      <c r="E879" t="s">
        <v>588</v>
      </c>
      <c r="F879" t="s">
        <v>506</v>
      </c>
      <c r="G879" t="s">
        <v>507</v>
      </c>
      <c r="H879" t="s">
        <v>508</v>
      </c>
      <c r="I879" t="s">
        <v>509</v>
      </c>
      <c r="J879" t="s">
        <v>589</v>
      </c>
      <c r="K879" s="538">
        <v>12000</v>
      </c>
      <c r="L879" t="s">
        <v>3143</v>
      </c>
    </row>
    <row r="880" spans="1:12">
      <c r="A880" t="s">
        <v>514</v>
      </c>
      <c r="B880" t="s">
        <v>3359</v>
      </c>
      <c r="C880" s="60" t="s">
        <v>2089</v>
      </c>
      <c r="D880" t="s">
        <v>587</v>
      </c>
      <c r="E880" t="s">
        <v>588</v>
      </c>
      <c r="F880" t="s">
        <v>506</v>
      </c>
      <c r="G880" t="s">
        <v>507</v>
      </c>
      <c r="H880" t="s">
        <v>508</v>
      </c>
      <c r="I880" t="s">
        <v>509</v>
      </c>
      <c r="J880" t="s">
        <v>589</v>
      </c>
      <c r="K880" s="538">
        <v>12000</v>
      </c>
      <c r="L880" t="s">
        <v>3143</v>
      </c>
    </row>
    <row r="881" spans="1:12">
      <c r="A881" t="s">
        <v>514</v>
      </c>
      <c r="B881" t="s">
        <v>3360</v>
      </c>
      <c r="C881" s="60" t="s">
        <v>2089</v>
      </c>
      <c r="D881" t="s">
        <v>587</v>
      </c>
      <c r="E881" t="s">
        <v>588</v>
      </c>
      <c r="F881" t="s">
        <v>506</v>
      </c>
      <c r="G881" t="s">
        <v>507</v>
      </c>
      <c r="H881" t="s">
        <v>508</v>
      </c>
      <c r="I881" t="s">
        <v>509</v>
      </c>
      <c r="J881" t="s">
        <v>589</v>
      </c>
      <c r="K881" s="538">
        <v>12000</v>
      </c>
      <c r="L881" t="s">
        <v>3143</v>
      </c>
    </row>
    <row r="882" spans="1:12">
      <c r="A882" t="s">
        <v>514</v>
      </c>
      <c r="B882" t="s">
        <v>3361</v>
      </c>
      <c r="C882" s="60" t="s">
        <v>2089</v>
      </c>
      <c r="D882" t="s">
        <v>587</v>
      </c>
      <c r="E882" t="s">
        <v>588</v>
      </c>
      <c r="F882" t="s">
        <v>506</v>
      </c>
      <c r="G882" t="s">
        <v>507</v>
      </c>
      <c r="H882" t="s">
        <v>508</v>
      </c>
      <c r="I882" t="s">
        <v>509</v>
      </c>
      <c r="J882" t="s">
        <v>589</v>
      </c>
      <c r="K882" s="538">
        <v>12000</v>
      </c>
      <c r="L882" t="s">
        <v>3143</v>
      </c>
    </row>
    <row r="883" spans="1:12">
      <c r="A883" t="s">
        <v>514</v>
      </c>
      <c r="B883" t="s">
        <v>3362</v>
      </c>
      <c r="C883" s="60" t="s">
        <v>2089</v>
      </c>
      <c r="D883" t="s">
        <v>587</v>
      </c>
      <c r="E883" t="s">
        <v>588</v>
      </c>
      <c r="F883" t="s">
        <v>506</v>
      </c>
      <c r="G883" t="s">
        <v>507</v>
      </c>
      <c r="H883" t="s">
        <v>508</v>
      </c>
      <c r="I883" t="s">
        <v>509</v>
      </c>
      <c r="J883" t="s">
        <v>589</v>
      </c>
      <c r="K883" s="538">
        <v>12000</v>
      </c>
      <c r="L883" t="s">
        <v>3143</v>
      </c>
    </row>
    <row r="884" spans="1:12">
      <c r="A884" t="s">
        <v>514</v>
      </c>
      <c r="B884" t="s">
        <v>3363</v>
      </c>
      <c r="C884" s="60" t="s">
        <v>2089</v>
      </c>
      <c r="D884" t="s">
        <v>587</v>
      </c>
      <c r="E884" t="s">
        <v>588</v>
      </c>
      <c r="F884" t="s">
        <v>506</v>
      </c>
      <c r="G884" t="s">
        <v>507</v>
      </c>
      <c r="H884" t="s">
        <v>508</v>
      </c>
      <c r="I884" t="s">
        <v>509</v>
      </c>
      <c r="J884" t="s">
        <v>589</v>
      </c>
      <c r="K884" s="538">
        <v>12000</v>
      </c>
      <c r="L884" t="s">
        <v>3143</v>
      </c>
    </row>
    <row r="885" spans="1:12">
      <c r="A885" t="s">
        <v>514</v>
      </c>
      <c r="B885" t="s">
        <v>3364</v>
      </c>
      <c r="C885" s="60" t="s">
        <v>2089</v>
      </c>
      <c r="D885" t="s">
        <v>587</v>
      </c>
      <c r="E885" t="s">
        <v>588</v>
      </c>
      <c r="F885" t="s">
        <v>506</v>
      </c>
      <c r="G885" t="s">
        <v>507</v>
      </c>
      <c r="H885" t="s">
        <v>508</v>
      </c>
      <c r="I885" t="s">
        <v>509</v>
      </c>
      <c r="J885" t="s">
        <v>589</v>
      </c>
      <c r="K885" s="538">
        <v>12000</v>
      </c>
      <c r="L885" t="s">
        <v>3143</v>
      </c>
    </row>
    <row r="886" spans="1:12">
      <c r="A886" t="s">
        <v>514</v>
      </c>
      <c r="B886" t="s">
        <v>3365</v>
      </c>
      <c r="C886" s="60" t="s">
        <v>2089</v>
      </c>
      <c r="D886" t="s">
        <v>587</v>
      </c>
      <c r="E886" t="s">
        <v>588</v>
      </c>
      <c r="F886" t="s">
        <v>506</v>
      </c>
      <c r="G886" t="s">
        <v>507</v>
      </c>
      <c r="H886" t="s">
        <v>508</v>
      </c>
      <c r="I886" t="s">
        <v>509</v>
      </c>
      <c r="J886" t="s">
        <v>589</v>
      </c>
      <c r="K886" s="538">
        <v>12000</v>
      </c>
      <c r="L886" t="s">
        <v>3143</v>
      </c>
    </row>
    <row r="887" spans="1:12">
      <c r="A887" t="s">
        <v>514</v>
      </c>
      <c r="B887" t="s">
        <v>3366</v>
      </c>
      <c r="C887" s="60" t="s">
        <v>2089</v>
      </c>
      <c r="D887" t="s">
        <v>587</v>
      </c>
      <c r="E887" t="s">
        <v>588</v>
      </c>
      <c r="F887" t="s">
        <v>506</v>
      </c>
      <c r="G887" t="s">
        <v>507</v>
      </c>
      <c r="H887" t="s">
        <v>508</v>
      </c>
      <c r="I887" t="s">
        <v>509</v>
      </c>
      <c r="J887" t="s">
        <v>589</v>
      </c>
      <c r="K887" s="538">
        <v>12000</v>
      </c>
      <c r="L887" t="s">
        <v>3143</v>
      </c>
    </row>
    <row r="888" spans="1:12">
      <c r="A888" t="s">
        <v>514</v>
      </c>
      <c r="B888" t="s">
        <v>3367</v>
      </c>
      <c r="C888" s="60" t="s">
        <v>2089</v>
      </c>
      <c r="D888" t="s">
        <v>587</v>
      </c>
      <c r="E888" t="s">
        <v>588</v>
      </c>
      <c r="F888" t="s">
        <v>506</v>
      </c>
      <c r="G888" t="s">
        <v>507</v>
      </c>
      <c r="H888" t="s">
        <v>508</v>
      </c>
      <c r="I888" t="s">
        <v>509</v>
      </c>
      <c r="J888" t="s">
        <v>589</v>
      </c>
      <c r="K888" s="538">
        <v>12000</v>
      </c>
      <c r="L888" t="s">
        <v>3143</v>
      </c>
    </row>
    <row r="889" spans="1:12">
      <c r="A889" t="s">
        <v>514</v>
      </c>
      <c r="B889" t="s">
        <v>3356</v>
      </c>
      <c r="C889" s="3" t="s">
        <v>3241</v>
      </c>
      <c r="D889" t="s">
        <v>587</v>
      </c>
      <c r="E889" t="s">
        <v>588</v>
      </c>
      <c r="F889" t="s">
        <v>506</v>
      </c>
      <c r="G889" t="s">
        <v>507</v>
      </c>
      <c r="H889" t="s">
        <v>508</v>
      </c>
      <c r="I889" t="s">
        <v>509</v>
      </c>
      <c r="J889" t="s">
        <v>589</v>
      </c>
      <c r="K889" s="538">
        <v>9000</v>
      </c>
      <c r="L889" t="s">
        <v>3245</v>
      </c>
    </row>
    <row r="890" spans="1:12">
      <c r="A890" t="s">
        <v>514</v>
      </c>
      <c r="B890" t="s">
        <v>3357</v>
      </c>
      <c r="C890" s="60" t="s">
        <v>3241</v>
      </c>
      <c r="D890" t="s">
        <v>587</v>
      </c>
      <c r="E890" t="s">
        <v>588</v>
      </c>
      <c r="F890" t="s">
        <v>506</v>
      </c>
      <c r="G890" t="s">
        <v>507</v>
      </c>
      <c r="H890" t="s">
        <v>508</v>
      </c>
      <c r="I890" t="s">
        <v>509</v>
      </c>
      <c r="J890" t="s">
        <v>589</v>
      </c>
      <c r="K890" s="538">
        <f>K889</f>
        <v>9000</v>
      </c>
      <c r="L890" t="s">
        <v>3245</v>
      </c>
    </row>
    <row r="891" spans="1:12">
      <c r="A891" t="s">
        <v>514</v>
      </c>
      <c r="B891" t="s">
        <v>3358</v>
      </c>
      <c r="C891" s="60" t="s">
        <v>3241</v>
      </c>
      <c r="D891" t="s">
        <v>587</v>
      </c>
      <c r="E891" t="s">
        <v>588</v>
      </c>
      <c r="F891" t="s">
        <v>506</v>
      </c>
      <c r="G891" t="s">
        <v>507</v>
      </c>
      <c r="H891" t="s">
        <v>508</v>
      </c>
      <c r="I891" t="s">
        <v>509</v>
      </c>
      <c r="J891" t="s">
        <v>589</v>
      </c>
      <c r="K891" s="538">
        <f t="shared" ref="K891:K900" si="69">K890</f>
        <v>9000</v>
      </c>
      <c r="L891" t="s">
        <v>3245</v>
      </c>
    </row>
    <row r="892" spans="1:12">
      <c r="A892" t="s">
        <v>514</v>
      </c>
      <c r="B892" t="s">
        <v>3359</v>
      </c>
      <c r="C892" s="60" t="s">
        <v>3241</v>
      </c>
      <c r="D892" t="s">
        <v>587</v>
      </c>
      <c r="E892" t="s">
        <v>588</v>
      </c>
      <c r="F892" t="s">
        <v>506</v>
      </c>
      <c r="G892" t="s">
        <v>507</v>
      </c>
      <c r="H892" t="s">
        <v>508</v>
      </c>
      <c r="I892" t="s">
        <v>509</v>
      </c>
      <c r="J892" t="s">
        <v>589</v>
      </c>
      <c r="K892" s="538">
        <f t="shared" si="69"/>
        <v>9000</v>
      </c>
      <c r="L892" t="s">
        <v>3245</v>
      </c>
    </row>
    <row r="893" spans="1:12">
      <c r="A893" t="s">
        <v>514</v>
      </c>
      <c r="B893" t="s">
        <v>3360</v>
      </c>
      <c r="C893" s="60" t="s">
        <v>3241</v>
      </c>
      <c r="D893" t="s">
        <v>587</v>
      </c>
      <c r="E893" t="s">
        <v>588</v>
      </c>
      <c r="F893" t="s">
        <v>506</v>
      </c>
      <c r="G893" t="s">
        <v>507</v>
      </c>
      <c r="H893" t="s">
        <v>508</v>
      </c>
      <c r="I893" t="s">
        <v>509</v>
      </c>
      <c r="J893" t="s">
        <v>589</v>
      </c>
      <c r="K893" s="538">
        <f t="shared" si="69"/>
        <v>9000</v>
      </c>
      <c r="L893" t="s">
        <v>3245</v>
      </c>
    </row>
    <row r="894" spans="1:12">
      <c r="A894" t="s">
        <v>514</v>
      </c>
      <c r="B894" t="s">
        <v>3361</v>
      </c>
      <c r="C894" s="60" t="s">
        <v>3241</v>
      </c>
      <c r="D894" t="s">
        <v>587</v>
      </c>
      <c r="E894" t="s">
        <v>588</v>
      </c>
      <c r="F894" t="s">
        <v>506</v>
      </c>
      <c r="G894" t="s">
        <v>507</v>
      </c>
      <c r="H894" t="s">
        <v>508</v>
      </c>
      <c r="I894" t="s">
        <v>509</v>
      </c>
      <c r="J894" t="s">
        <v>589</v>
      </c>
      <c r="K894" s="538">
        <f t="shared" si="69"/>
        <v>9000</v>
      </c>
      <c r="L894" t="s">
        <v>3245</v>
      </c>
    </row>
    <row r="895" spans="1:12">
      <c r="A895" t="s">
        <v>514</v>
      </c>
      <c r="B895" t="s">
        <v>3362</v>
      </c>
      <c r="C895" s="60" t="s">
        <v>3241</v>
      </c>
      <c r="D895" t="s">
        <v>587</v>
      </c>
      <c r="E895" t="s">
        <v>588</v>
      </c>
      <c r="F895" t="s">
        <v>506</v>
      </c>
      <c r="G895" t="s">
        <v>507</v>
      </c>
      <c r="H895" t="s">
        <v>508</v>
      </c>
      <c r="I895" t="s">
        <v>509</v>
      </c>
      <c r="J895" t="s">
        <v>589</v>
      </c>
      <c r="K895" s="538">
        <f t="shared" si="69"/>
        <v>9000</v>
      </c>
      <c r="L895" t="s">
        <v>3245</v>
      </c>
    </row>
    <row r="896" spans="1:12">
      <c r="A896" t="s">
        <v>514</v>
      </c>
      <c r="B896" t="s">
        <v>3363</v>
      </c>
      <c r="C896" s="60" t="s">
        <v>3241</v>
      </c>
      <c r="D896" t="s">
        <v>587</v>
      </c>
      <c r="E896" t="s">
        <v>588</v>
      </c>
      <c r="F896" t="s">
        <v>506</v>
      </c>
      <c r="G896" t="s">
        <v>507</v>
      </c>
      <c r="H896" t="s">
        <v>508</v>
      </c>
      <c r="I896" t="s">
        <v>509</v>
      </c>
      <c r="J896" t="s">
        <v>589</v>
      </c>
      <c r="K896" s="538">
        <f t="shared" si="69"/>
        <v>9000</v>
      </c>
      <c r="L896" t="s">
        <v>3245</v>
      </c>
    </row>
    <row r="897" spans="1:12">
      <c r="A897" t="s">
        <v>514</v>
      </c>
      <c r="B897" t="s">
        <v>3364</v>
      </c>
      <c r="C897" s="60" t="s">
        <v>3241</v>
      </c>
      <c r="D897" t="s">
        <v>587</v>
      </c>
      <c r="E897" t="s">
        <v>588</v>
      </c>
      <c r="F897" t="s">
        <v>506</v>
      </c>
      <c r="G897" t="s">
        <v>507</v>
      </c>
      <c r="H897" t="s">
        <v>508</v>
      </c>
      <c r="I897" t="s">
        <v>509</v>
      </c>
      <c r="J897" t="s">
        <v>589</v>
      </c>
      <c r="K897" s="538">
        <f t="shared" si="69"/>
        <v>9000</v>
      </c>
      <c r="L897" t="s">
        <v>3245</v>
      </c>
    </row>
    <row r="898" spans="1:12">
      <c r="A898" t="s">
        <v>514</v>
      </c>
      <c r="B898" t="s">
        <v>3365</v>
      </c>
      <c r="C898" s="60" t="s">
        <v>3241</v>
      </c>
      <c r="D898" t="s">
        <v>587</v>
      </c>
      <c r="E898" t="s">
        <v>588</v>
      </c>
      <c r="F898" t="s">
        <v>506</v>
      </c>
      <c r="G898" t="s">
        <v>507</v>
      </c>
      <c r="H898" t="s">
        <v>508</v>
      </c>
      <c r="I898" t="s">
        <v>509</v>
      </c>
      <c r="J898" t="s">
        <v>589</v>
      </c>
      <c r="K898" s="538">
        <f t="shared" si="69"/>
        <v>9000</v>
      </c>
      <c r="L898" t="s">
        <v>3245</v>
      </c>
    </row>
    <row r="899" spans="1:12">
      <c r="A899" t="s">
        <v>514</v>
      </c>
      <c r="B899" t="s">
        <v>3366</v>
      </c>
      <c r="C899" s="60" t="s">
        <v>3241</v>
      </c>
      <c r="D899" t="s">
        <v>587</v>
      </c>
      <c r="E899" t="s">
        <v>588</v>
      </c>
      <c r="F899" t="s">
        <v>506</v>
      </c>
      <c r="G899" t="s">
        <v>507</v>
      </c>
      <c r="H899" t="s">
        <v>508</v>
      </c>
      <c r="I899" t="s">
        <v>509</v>
      </c>
      <c r="J899" t="s">
        <v>589</v>
      </c>
      <c r="K899" s="538">
        <f t="shared" si="69"/>
        <v>9000</v>
      </c>
      <c r="L899" t="s">
        <v>3245</v>
      </c>
    </row>
    <row r="900" spans="1:12">
      <c r="A900" t="s">
        <v>514</v>
      </c>
      <c r="B900" t="s">
        <v>3367</v>
      </c>
      <c r="C900" s="60" t="s">
        <v>3241</v>
      </c>
      <c r="D900" t="s">
        <v>587</v>
      </c>
      <c r="E900" t="s">
        <v>588</v>
      </c>
      <c r="F900" t="s">
        <v>506</v>
      </c>
      <c r="G900" t="s">
        <v>507</v>
      </c>
      <c r="H900" t="s">
        <v>508</v>
      </c>
      <c r="I900" t="s">
        <v>509</v>
      </c>
      <c r="J900" t="s">
        <v>589</v>
      </c>
      <c r="K900" s="538">
        <f t="shared" si="69"/>
        <v>9000</v>
      </c>
      <c r="L900" t="s">
        <v>3245</v>
      </c>
    </row>
    <row r="901" spans="1:12">
      <c r="A901" t="s">
        <v>514</v>
      </c>
      <c r="B901" t="s">
        <v>3356</v>
      </c>
      <c r="C901" s="3" t="s">
        <v>1813</v>
      </c>
      <c r="D901" t="s">
        <v>587</v>
      </c>
      <c r="E901" t="s">
        <v>588</v>
      </c>
      <c r="F901" t="s">
        <v>506</v>
      </c>
      <c r="G901" t="s">
        <v>507</v>
      </c>
      <c r="H901" t="s">
        <v>508</v>
      </c>
      <c r="I901" t="s">
        <v>509</v>
      </c>
      <c r="J901" t="s">
        <v>589</v>
      </c>
      <c r="K901" s="576">
        <v>8800</v>
      </c>
      <c r="L901" t="s">
        <v>3395</v>
      </c>
    </row>
    <row r="902" spans="1:12">
      <c r="A902" t="s">
        <v>514</v>
      </c>
      <c r="B902" t="s">
        <v>3357</v>
      </c>
      <c r="C902" s="60" t="str">
        <f>C901</f>
        <v>E5890</v>
      </c>
      <c r="D902" t="s">
        <v>587</v>
      </c>
      <c r="E902" t="s">
        <v>588</v>
      </c>
      <c r="F902" t="s">
        <v>506</v>
      </c>
      <c r="G902" t="s">
        <v>507</v>
      </c>
      <c r="H902" t="s">
        <v>508</v>
      </c>
      <c r="I902" t="s">
        <v>509</v>
      </c>
      <c r="J902" t="s">
        <v>589</v>
      </c>
      <c r="K902" s="576">
        <f>K901</f>
        <v>8800</v>
      </c>
      <c r="L902" t="s">
        <v>3395</v>
      </c>
    </row>
    <row r="903" spans="1:12">
      <c r="A903" t="s">
        <v>514</v>
      </c>
      <c r="B903" t="s">
        <v>3358</v>
      </c>
      <c r="C903" s="60" t="str">
        <f t="shared" ref="C903:C912" si="70">+C902</f>
        <v>E5890</v>
      </c>
      <c r="D903" t="s">
        <v>587</v>
      </c>
      <c r="E903" t="s">
        <v>588</v>
      </c>
      <c r="F903" t="s">
        <v>506</v>
      </c>
      <c r="G903" t="s">
        <v>507</v>
      </c>
      <c r="H903" t="s">
        <v>508</v>
      </c>
      <c r="I903" t="s">
        <v>509</v>
      </c>
      <c r="J903" t="s">
        <v>589</v>
      </c>
      <c r="K903" s="576">
        <f t="shared" ref="K903:K912" si="71">K902</f>
        <v>8800</v>
      </c>
      <c r="L903" t="s">
        <v>3395</v>
      </c>
    </row>
    <row r="904" spans="1:12">
      <c r="A904" t="s">
        <v>514</v>
      </c>
      <c r="B904" t="s">
        <v>3359</v>
      </c>
      <c r="C904" s="60" t="str">
        <f t="shared" si="70"/>
        <v>E5890</v>
      </c>
      <c r="D904" t="s">
        <v>587</v>
      </c>
      <c r="E904" t="s">
        <v>588</v>
      </c>
      <c r="F904" t="s">
        <v>506</v>
      </c>
      <c r="G904" t="s">
        <v>507</v>
      </c>
      <c r="H904" t="s">
        <v>508</v>
      </c>
      <c r="I904" t="s">
        <v>509</v>
      </c>
      <c r="J904" t="s">
        <v>589</v>
      </c>
      <c r="K904" s="576">
        <f t="shared" si="71"/>
        <v>8800</v>
      </c>
      <c r="L904" t="s">
        <v>3395</v>
      </c>
    </row>
    <row r="905" spans="1:12">
      <c r="A905" t="s">
        <v>514</v>
      </c>
      <c r="B905" t="s">
        <v>3360</v>
      </c>
      <c r="C905" s="60" t="str">
        <f t="shared" si="70"/>
        <v>E5890</v>
      </c>
      <c r="D905" t="s">
        <v>587</v>
      </c>
      <c r="E905" t="s">
        <v>588</v>
      </c>
      <c r="F905" t="s">
        <v>506</v>
      </c>
      <c r="G905" t="s">
        <v>507</v>
      </c>
      <c r="H905" t="s">
        <v>508</v>
      </c>
      <c r="I905" t="s">
        <v>509</v>
      </c>
      <c r="J905" t="s">
        <v>589</v>
      </c>
      <c r="K905" s="576">
        <f t="shared" si="71"/>
        <v>8800</v>
      </c>
      <c r="L905" t="s">
        <v>3395</v>
      </c>
    </row>
    <row r="906" spans="1:12">
      <c r="A906" t="s">
        <v>514</v>
      </c>
      <c r="B906" t="s">
        <v>3361</v>
      </c>
      <c r="C906" s="60" t="str">
        <f t="shared" si="70"/>
        <v>E5890</v>
      </c>
      <c r="D906" t="s">
        <v>587</v>
      </c>
      <c r="E906" t="s">
        <v>588</v>
      </c>
      <c r="F906" t="s">
        <v>506</v>
      </c>
      <c r="G906" t="s">
        <v>507</v>
      </c>
      <c r="H906" t="s">
        <v>508</v>
      </c>
      <c r="I906" t="s">
        <v>509</v>
      </c>
      <c r="J906" t="s">
        <v>589</v>
      </c>
      <c r="K906" s="576">
        <f t="shared" si="71"/>
        <v>8800</v>
      </c>
      <c r="L906" t="s">
        <v>3395</v>
      </c>
    </row>
    <row r="907" spans="1:12">
      <c r="A907" t="s">
        <v>514</v>
      </c>
      <c r="B907" t="s">
        <v>3362</v>
      </c>
      <c r="C907" s="60" t="str">
        <f t="shared" si="70"/>
        <v>E5890</v>
      </c>
      <c r="D907" t="s">
        <v>587</v>
      </c>
      <c r="E907" t="s">
        <v>588</v>
      </c>
      <c r="F907" t="s">
        <v>506</v>
      </c>
      <c r="G907" t="s">
        <v>507</v>
      </c>
      <c r="H907" t="s">
        <v>508</v>
      </c>
      <c r="I907" t="s">
        <v>509</v>
      </c>
      <c r="J907" t="s">
        <v>589</v>
      </c>
      <c r="K907" s="576">
        <f t="shared" si="71"/>
        <v>8800</v>
      </c>
      <c r="L907" t="s">
        <v>3395</v>
      </c>
    </row>
    <row r="908" spans="1:12">
      <c r="A908" t="s">
        <v>514</v>
      </c>
      <c r="B908" t="s">
        <v>3363</v>
      </c>
      <c r="C908" s="60" t="str">
        <f t="shared" si="70"/>
        <v>E5890</v>
      </c>
      <c r="D908" t="s">
        <v>587</v>
      </c>
      <c r="E908" t="s">
        <v>588</v>
      </c>
      <c r="F908" t="s">
        <v>506</v>
      </c>
      <c r="G908" t="s">
        <v>507</v>
      </c>
      <c r="H908" t="s">
        <v>508</v>
      </c>
      <c r="I908" t="s">
        <v>509</v>
      </c>
      <c r="J908" t="s">
        <v>589</v>
      </c>
      <c r="K908" s="576">
        <f t="shared" si="71"/>
        <v>8800</v>
      </c>
      <c r="L908" t="s">
        <v>3395</v>
      </c>
    </row>
    <row r="909" spans="1:12">
      <c r="A909" t="s">
        <v>514</v>
      </c>
      <c r="B909" t="s">
        <v>3364</v>
      </c>
      <c r="C909" s="60" t="str">
        <f t="shared" si="70"/>
        <v>E5890</v>
      </c>
      <c r="D909" t="s">
        <v>587</v>
      </c>
      <c r="E909" t="s">
        <v>588</v>
      </c>
      <c r="F909" t="s">
        <v>506</v>
      </c>
      <c r="G909" t="s">
        <v>507</v>
      </c>
      <c r="H909" t="s">
        <v>508</v>
      </c>
      <c r="I909" t="s">
        <v>509</v>
      </c>
      <c r="J909" t="s">
        <v>589</v>
      </c>
      <c r="K909" s="576">
        <f t="shared" si="71"/>
        <v>8800</v>
      </c>
      <c r="L909" t="s">
        <v>3395</v>
      </c>
    </row>
    <row r="910" spans="1:12">
      <c r="A910" t="s">
        <v>514</v>
      </c>
      <c r="B910" t="s">
        <v>3365</v>
      </c>
      <c r="C910" s="60" t="str">
        <f t="shared" si="70"/>
        <v>E5890</v>
      </c>
      <c r="D910" t="s">
        <v>587</v>
      </c>
      <c r="E910" t="s">
        <v>588</v>
      </c>
      <c r="F910" t="s">
        <v>506</v>
      </c>
      <c r="G910" t="s">
        <v>507</v>
      </c>
      <c r="H910" t="s">
        <v>508</v>
      </c>
      <c r="I910" t="s">
        <v>509</v>
      </c>
      <c r="J910" t="s">
        <v>589</v>
      </c>
      <c r="K910" s="576">
        <f t="shared" si="71"/>
        <v>8800</v>
      </c>
      <c r="L910" t="s">
        <v>3395</v>
      </c>
    </row>
    <row r="911" spans="1:12">
      <c r="A911" t="s">
        <v>514</v>
      </c>
      <c r="B911" t="s">
        <v>3366</v>
      </c>
      <c r="C911" s="60" t="str">
        <f t="shared" si="70"/>
        <v>E5890</v>
      </c>
      <c r="D911" t="s">
        <v>587</v>
      </c>
      <c r="E911" t="s">
        <v>588</v>
      </c>
      <c r="F911" t="s">
        <v>506</v>
      </c>
      <c r="G911" t="s">
        <v>507</v>
      </c>
      <c r="H911" t="s">
        <v>508</v>
      </c>
      <c r="I911" t="s">
        <v>509</v>
      </c>
      <c r="J911" t="s">
        <v>589</v>
      </c>
      <c r="K911" s="576">
        <f t="shared" si="71"/>
        <v>8800</v>
      </c>
      <c r="L911" t="s">
        <v>3395</v>
      </c>
    </row>
    <row r="912" spans="1:12">
      <c r="A912" t="s">
        <v>514</v>
      </c>
      <c r="B912" t="s">
        <v>3367</v>
      </c>
      <c r="C912" s="60" t="str">
        <f t="shared" si="70"/>
        <v>E5890</v>
      </c>
      <c r="D912" t="s">
        <v>587</v>
      </c>
      <c r="E912" t="s">
        <v>588</v>
      </c>
      <c r="F912" t="s">
        <v>506</v>
      </c>
      <c r="G912" t="s">
        <v>507</v>
      </c>
      <c r="H912" t="s">
        <v>508</v>
      </c>
      <c r="I912" t="s">
        <v>509</v>
      </c>
      <c r="J912" t="s">
        <v>589</v>
      </c>
      <c r="K912" s="576">
        <f t="shared" si="71"/>
        <v>8800</v>
      </c>
      <c r="L912" t="s">
        <v>3395</v>
      </c>
    </row>
    <row r="913" spans="1:14">
      <c r="A913" t="s">
        <v>514</v>
      </c>
      <c r="B913" t="s">
        <v>3356</v>
      </c>
      <c r="C913" s="3" t="s">
        <v>3400</v>
      </c>
      <c r="D913" t="s">
        <v>587</v>
      </c>
      <c r="E913" t="s">
        <v>588</v>
      </c>
      <c r="F913" t="s">
        <v>506</v>
      </c>
      <c r="G913" t="s">
        <v>507</v>
      </c>
      <c r="H913" t="s">
        <v>508</v>
      </c>
      <c r="I913" t="s">
        <v>509</v>
      </c>
      <c r="J913" t="s">
        <v>589</v>
      </c>
      <c r="K913" s="3">
        <v>0</v>
      </c>
      <c r="L913" t="s">
        <v>3427</v>
      </c>
      <c r="N913" t="s">
        <v>3442</v>
      </c>
    </row>
    <row r="914" spans="1:14">
      <c r="A914" t="s">
        <v>514</v>
      </c>
      <c r="B914" t="s">
        <v>3357</v>
      </c>
      <c r="C914" s="60" t="str">
        <f>C913</f>
        <v>E6730</v>
      </c>
      <c r="D914" t="s">
        <v>587</v>
      </c>
      <c r="E914" t="s">
        <v>588</v>
      </c>
      <c r="F914" t="s">
        <v>506</v>
      </c>
      <c r="G914" t="s">
        <v>507</v>
      </c>
      <c r="H914" t="s">
        <v>508</v>
      </c>
      <c r="I914" t="s">
        <v>509</v>
      </c>
      <c r="J914" t="s">
        <v>589</v>
      </c>
      <c r="K914" s="3">
        <f t="shared" ref="K914:K919" si="72">+K913</f>
        <v>0</v>
      </c>
      <c r="L914" t="s">
        <v>3427</v>
      </c>
      <c r="N914" t="s">
        <v>3442</v>
      </c>
    </row>
    <row r="915" spans="1:14">
      <c r="A915" t="s">
        <v>514</v>
      </c>
      <c r="B915" t="s">
        <v>3358</v>
      </c>
      <c r="C915" s="60" t="str">
        <f t="shared" ref="C915:C924" si="73">+C914</f>
        <v>E6730</v>
      </c>
      <c r="D915" t="s">
        <v>587</v>
      </c>
      <c r="E915" t="s">
        <v>588</v>
      </c>
      <c r="F915" t="s">
        <v>506</v>
      </c>
      <c r="G915" t="s">
        <v>507</v>
      </c>
      <c r="H915" t="s">
        <v>508</v>
      </c>
      <c r="I915" t="s">
        <v>509</v>
      </c>
      <c r="J915" t="s">
        <v>589</v>
      </c>
      <c r="K915" s="3">
        <f t="shared" si="72"/>
        <v>0</v>
      </c>
      <c r="L915" t="s">
        <v>3427</v>
      </c>
      <c r="N915" t="s">
        <v>3442</v>
      </c>
    </row>
    <row r="916" spans="1:14">
      <c r="A916" t="s">
        <v>514</v>
      </c>
      <c r="B916" t="s">
        <v>3359</v>
      </c>
      <c r="C916" s="60" t="str">
        <f t="shared" si="73"/>
        <v>E6730</v>
      </c>
      <c r="D916" t="s">
        <v>587</v>
      </c>
      <c r="E916" t="s">
        <v>588</v>
      </c>
      <c r="F916" t="s">
        <v>506</v>
      </c>
      <c r="G916" t="s">
        <v>507</v>
      </c>
      <c r="H916" t="s">
        <v>508</v>
      </c>
      <c r="I916" t="s">
        <v>509</v>
      </c>
      <c r="J916" t="s">
        <v>589</v>
      </c>
      <c r="K916" s="3">
        <f t="shared" si="72"/>
        <v>0</v>
      </c>
      <c r="L916" t="s">
        <v>3427</v>
      </c>
      <c r="N916" t="s">
        <v>3442</v>
      </c>
    </row>
    <row r="917" spans="1:14">
      <c r="A917" t="s">
        <v>514</v>
      </c>
      <c r="B917" t="s">
        <v>3360</v>
      </c>
      <c r="C917" s="60" t="str">
        <f t="shared" si="73"/>
        <v>E6730</v>
      </c>
      <c r="D917" t="s">
        <v>587</v>
      </c>
      <c r="E917" t="s">
        <v>588</v>
      </c>
      <c r="F917" t="s">
        <v>506</v>
      </c>
      <c r="G917" t="s">
        <v>507</v>
      </c>
      <c r="H917" t="s">
        <v>508</v>
      </c>
      <c r="I917" t="s">
        <v>509</v>
      </c>
      <c r="J917" t="s">
        <v>589</v>
      </c>
      <c r="K917" s="3">
        <f t="shared" si="72"/>
        <v>0</v>
      </c>
      <c r="L917" t="s">
        <v>3427</v>
      </c>
      <c r="N917" t="s">
        <v>3442</v>
      </c>
    </row>
    <row r="918" spans="1:14">
      <c r="A918" t="s">
        <v>514</v>
      </c>
      <c r="B918" t="s">
        <v>3361</v>
      </c>
      <c r="C918" s="60" t="str">
        <f t="shared" si="73"/>
        <v>E6730</v>
      </c>
      <c r="D918" t="s">
        <v>587</v>
      </c>
      <c r="E918" t="s">
        <v>588</v>
      </c>
      <c r="F918" t="s">
        <v>506</v>
      </c>
      <c r="G918" t="s">
        <v>507</v>
      </c>
      <c r="H918" t="s">
        <v>508</v>
      </c>
      <c r="I918" t="s">
        <v>509</v>
      </c>
      <c r="J918" t="s">
        <v>589</v>
      </c>
      <c r="K918" s="3">
        <f t="shared" si="72"/>
        <v>0</v>
      </c>
      <c r="L918" t="s">
        <v>3427</v>
      </c>
      <c r="N918" t="s">
        <v>3442</v>
      </c>
    </row>
    <row r="919" spans="1:14">
      <c r="A919" t="s">
        <v>514</v>
      </c>
      <c r="B919" t="s">
        <v>3362</v>
      </c>
      <c r="C919" s="60" t="str">
        <f t="shared" si="73"/>
        <v>E6730</v>
      </c>
      <c r="D919" t="s">
        <v>587</v>
      </c>
      <c r="E919" t="s">
        <v>588</v>
      </c>
      <c r="F919" t="s">
        <v>506</v>
      </c>
      <c r="G919" t="s">
        <v>507</v>
      </c>
      <c r="H919" t="s">
        <v>508</v>
      </c>
      <c r="I919" t="s">
        <v>509</v>
      </c>
      <c r="J919" t="s">
        <v>589</v>
      </c>
      <c r="K919" s="3">
        <f t="shared" si="72"/>
        <v>0</v>
      </c>
      <c r="L919" t="s">
        <v>3427</v>
      </c>
      <c r="N919" t="s">
        <v>3442</v>
      </c>
    </row>
    <row r="920" spans="1:14">
      <c r="A920" t="s">
        <v>514</v>
      </c>
      <c r="B920" t="s">
        <v>3363</v>
      </c>
      <c r="C920" s="60" t="str">
        <f t="shared" si="73"/>
        <v>E6730</v>
      </c>
      <c r="D920" t="s">
        <v>587</v>
      </c>
      <c r="E920" t="s">
        <v>588</v>
      </c>
      <c r="F920" t="s">
        <v>506</v>
      </c>
      <c r="G920" t="s">
        <v>507</v>
      </c>
      <c r="H920" t="s">
        <v>508</v>
      </c>
      <c r="I920" t="s">
        <v>509</v>
      </c>
      <c r="J920" t="s">
        <v>589</v>
      </c>
      <c r="K920" s="575">
        <v>18000</v>
      </c>
      <c r="L920" t="s">
        <v>3427</v>
      </c>
    </row>
    <row r="921" spans="1:14">
      <c r="A921" t="s">
        <v>514</v>
      </c>
      <c r="B921" t="s">
        <v>3364</v>
      </c>
      <c r="C921" s="60" t="str">
        <f t="shared" si="73"/>
        <v>E6730</v>
      </c>
      <c r="D921" t="s">
        <v>587</v>
      </c>
      <c r="E921" t="s">
        <v>588</v>
      </c>
      <c r="F921" t="s">
        <v>506</v>
      </c>
      <c r="G921" t="s">
        <v>507</v>
      </c>
      <c r="H921" t="s">
        <v>508</v>
      </c>
      <c r="I921" t="s">
        <v>509</v>
      </c>
      <c r="J921" t="s">
        <v>589</v>
      </c>
      <c r="K921" s="575">
        <f t="shared" ref="K921:K924" si="74">K920</f>
        <v>18000</v>
      </c>
      <c r="L921" t="s">
        <v>3427</v>
      </c>
    </row>
    <row r="922" spans="1:14">
      <c r="A922" t="s">
        <v>514</v>
      </c>
      <c r="B922" t="s">
        <v>3365</v>
      </c>
      <c r="C922" s="60" t="str">
        <f t="shared" si="73"/>
        <v>E6730</v>
      </c>
      <c r="D922" t="s">
        <v>587</v>
      </c>
      <c r="E922" t="s">
        <v>588</v>
      </c>
      <c r="F922" t="s">
        <v>506</v>
      </c>
      <c r="G922" t="s">
        <v>507</v>
      </c>
      <c r="H922" t="s">
        <v>508</v>
      </c>
      <c r="I922" t="s">
        <v>509</v>
      </c>
      <c r="J922" t="s">
        <v>589</v>
      </c>
      <c r="K922" s="575">
        <f t="shared" si="74"/>
        <v>18000</v>
      </c>
      <c r="L922" t="s">
        <v>3427</v>
      </c>
    </row>
    <row r="923" spans="1:14">
      <c r="A923" t="s">
        <v>514</v>
      </c>
      <c r="B923" t="s">
        <v>3366</v>
      </c>
      <c r="C923" s="60" t="str">
        <f t="shared" si="73"/>
        <v>E6730</v>
      </c>
      <c r="D923" t="s">
        <v>587</v>
      </c>
      <c r="E923" t="s">
        <v>588</v>
      </c>
      <c r="F923" t="s">
        <v>506</v>
      </c>
      <c r="G923" t="s">
        <v>507</v>
      </c>
      <c r="H923" t="s">
        <v>508</v>
      </c>
      <c r="I923" t="s">
        <v>509</v>
      </c>
      <c r="J923" t="s">
        <v>589</v>
      </c>
      <c r="K923" s="575">
        <f t="shared" si="74"/>
        <v>18000</v>
      </c>
      <c r="L923" t="s">
        <v>3427</v>
      </c>
    </row>
    <row r="924" spans="1:14">
      <c r="A924" t="s">
        <v>514</v>
      </c>
      <c r="B924" t="s">
        <v>3367</v>
      </c>
      <c r="C924" s="60" t="str">
        <f t="shared" si="73"/>
        <v>E6730</v>
      </c>
      <c r="D924" t="s">
        <v>587</v>
      </c>
      <c r="E924" t="s">
        <v>588</v>
      </c>
      <c r="F924" t="s">
        <v>506</v>
      </c>
      <c r="G924" t="s">
        <v>507</v>
      </c>
      <c r="H924" t="s">
        <v>508</v>
      </c>
      <c r="I924" t="s">
        <v>509</v>
      </c>
      <c r="J924" t="s">
        <v>589</v>
      </c>
      <c r="K924" s="575">
        <f t="shared" si="74"/>
        <v>18000</v>
      </c>
      <c r="L924" t="s">
        <v>3427</v>
      </c>
    </row>
    <row r="925" spans="1:14">
      <c r="A925" t="s">
        <v>514</v>
      </c>
      <c r="B925" t="s">
        <v>3356</v>
      </c>
      <c r="C925" s="3" t="s">
        <v>3401</v>
      </c>
      <c r="D925" t="s">
        <v>587</v>
      </c>
      <c r="E925" t="s">
        <v>588</v>
      </c>
      <c r="F925" t="s">
        <v>506</v>
      </c>
      <c r="G925" t="s">
        <v>507</v>
      </c>
      <c r="H925" t="s">
        <v>508</v>
      </c>
      <c r="I925" t="s">
        <v>509</v>
      </c>
      <c r="J925" t="s">
        <v>589</v>
      </c>
      <c r="K925" s="575">
        <v>0</v>
      </c>
      <c r="L925" t="s">
        <v>3426</v>
      </c>
      <c r="N925" t="s">
        <v>3442</v>
      </c>
    </row>
    <row r="926" spans="1:14">
      <c r="A926" t="s">
        <v>514</v>
      </c>
      <c r="B926" t="s">
        <v>3357</v>
      </c>
      <c r="C926" s="60" t="str">
        <f>C925</f>
        <v>E6740</v>
      </c>
      <c r="D926" t="s">
        <v>587</v>
      </c>
      <c r="E926" t="s">
        <v>588</v>
      </c>
      <c r="F926" t="s">
        <v>506</v>
      </c>
      <c r="G926" t="s">
        <v>507</v>
      </c>
      <c r="H926" t="s">
        <v>508</v>
      </c>
      <c r="I926" t="s">
        <v>509</v>
      </c>
      <c r="J926" t="s">
        <v>589</v>
      </c>
      <c r="K926" s="575">
        <f>K925</f>
        <v>0</v>
      </c>
      <c r="L926" t="s">
        <v>3426</v>
      </c>
      <c r="N926" t="s">
        <v>3442</v>
      </c>
    </row>
    <row r="927" spans="1:14">
      <c r="A927" t="s">
        <v>514</v>
      </c>
      <c r="B927" t="s">
        <v>3358</v>
      </c>
      <c r="C927" s="60" t="str">
        <f t="shared" ref="C927:C936" si="75">+C926</f>
        <v>E6740</v>
      </c>
      <c r="D927" t="s">
        <v>587</v>
      </c>
      <c r="E927" t="s">
        <v>588</v>
      </c>
      <c r="F927" t="s">
        <v>506</v>
      </c>
      <c r="G927" t="s">
        <v>507</v>
      </c>
      <c r="H927" t="s">
        <v>508</v>
      </c>
      <c r="I927" t="s">
        <v>509</v>
      </c>
      <c r="J927" t="s">
        <v>589</v>
      </c>
      <c r="K927" s="575">
        <f>K926</f>
        <v>0</v>
      </c>
      <c r="L927" t="s">
        <v>3426</v>
      </c>
      <c r="N927" t="s">
        <v>3442</v>
      </c>
    </row>
    <row r="928" spans="1:14">
      <c r="A928" t="s">
        <v>514</v>
      </c>
      <c r="B928" t="s">
        <v>3359</v>
      </c>
      <c r="C928" s="60" t="str">
        <f t="shared" si="75"/>
        <v>E6740</v>
      </c>
      <c r="D928" t="s">
        <v>587</v>
      </c>
      <c r="E928" t="s">
        <v>588</v>
      </c>
      <c r="F928" t="s">
        <v>506</v>
      </c>
      <c r="G928" t="s">
        <v>507</v>
      </c>
      <c r="H928" t="s">
        <v>508</v>
      </c>
      <c r="I928" t="s">
        <v>509</v>
      </c>
      <c r="J928" t="s">
        <v>589</v>
      </c>
      <c r="K928" s="575">
        <f>K927</f>
        <v>0</v>
      </c>
      <c r="L928" t="s">
        <v>3426</v>
      </c>
      <c r="N928" t="s">
        <v>3442</v>
      </c>
    </row>
    <row r="929" spans="1:14">
      <c r="A929" t="s">
        <v>514</v>
      </c>
      <c r="B929" t="s">
        <v>3360</v>
      </c>
      <c r="C929" s="60" t="str">
        <f t="shared" si="75"/>
        <v>E6740</v>
      </c>
      <c r="D929" t="s">
        <v>587</v>
      </c>
      <c r="E929" t="s">
        <v>588</v>
      </c>
      <c r="F929" t="s">
        <v>506</v>
      </c>
      <c r="G929" t="s">
        <v>507</v>
      </c>
      <c r="H929" t="s">
        <v>508</v>
      </c>
      <c r="I929" t="s">
        <v>509</v>
      </c>
      <c r="J929" t="s">
        <v>589</v>
      </c>
      <c r="K929" s="575">
        <f>K928</f>
        <v>0</v>
      </c>
      <c r="L929" t="s">
        <v>3426</v>
      </c>
      <c r="N929" t="s">
        <v>3442</v>
      </c>
    </row>
    <row r="930" spans="1:14">
      <c r="A930" t="s">
        <v>514</v>
      </c>
      <c r="B930" t="s">
        <v>3361</v>
      </c>
      <c r="C930" s="60" t="str">
        <f t="shared" si="75"/>
        <v>E6740</v>
      </c>
      <c r="D930" t="s">
        <v>587</v>
      </c>
      <c r="E930" t="s">
        <v>588</v>
      </c>
      <c r="F930" t="s">
        <v>506</v>
      </c>
      <c r="G930" t="s">
        <v>507</v>
      </c>
      <c r="H930" t="s">
        <v>508</v>
      </c>
      <c r="I930" t="s">
        <v>509</v>
      </c>
      <c r="J930" t="s">
        <v>589</v>
      </c>
      <c r="K930" s="575">
        <f>K929</f>
        <v>0</v>
      </c>
      <c r="L930" t="s">
        <v>3426</v>
      </c>
      <c r="N930" t="s">
        <v>3442</v>
      </c>
    </row>
    <row r="931" spans="1:14">
      <c r="A931" t="s">
        <v>514</v>
      </c>
      <c r="B931" t="s">
        <v>3362</v>
      </c>
      <c r="C931" s="60" t="str">
        <f t="shared" si="75"/>
        <v>E6740</v>
      </c>
      <c r="D931" t="s">
        <v>587</v>
      </c>
      <c r="E931" t="s">
        <v>588</v>
      </c>
      <c r="F931" t="s">
        <v>506</v>
      </c>
      <c r="G931" t="s">
        <v>507</v>
      </c>
      <c r="H931" t="s">
        <v>508</v>
      </c>
      <c r="I931" t="s">
        <v>509</v>
      </c>
      <c r="J931" t="s">
        <v>589</v>
      </c>
      <c r="K931" s="575">
        <v>18000</v>
      </c>
      <c r="L931" t="s">
        <v>3426</v>
      </c>
      <c r="N931" t="s">
        <v>3442</v>
      </c>
    </row>
    <row r="932" spans="1:14">
      <c r="A932" t="s">
        <v>514</v>
      </c>
      <c r="B932" t="s">
        <v>3363</v>
      </c>
      <c r="C932" s="60" t="str">
        <f t="shared" si="75"/>
        <v>E6740</v>
      </c>
      <c r="D932" t="s">
        <v>587</v>
      </c>
      <c r="E932" t="s">
        <v>588</v>
      </c>
      <c r="F932" t="s">
        <v>506</v>
      </c>
      <c r="G932" t="s">
        <v>507</v>
      </c>
      <c r="H932" t="s">
        <v>508</v>
      </c>
      <c r="I932" t="s">
        <v>509</v>
      </c>
      <c r="J932" t="s">
        <v>589</v>
      </c>
      <c r="K932" s="575">
        <f t="shared" ref="K932:K936" si="76">K931</f>
        <v>18000</v>
      </c>
      <c r="L932" t="s">
        <v>3426</v>
      </c>
    </row>
    <row r="933" spans="1:14">
      <c r="A933" t="s">
        <v>514</v>
      </c>
      <c r="B933" t="s">
        <v>3364</v>
      </c>
      <c r="C933" s="60" t="str">
        <f t="shared" si="75"/>
        <v>E6740</v>
      </c>
      <c r="D933" t="s">
        <v>587</v>
      </c>
      <c r="E933" t="s">
        <v>588</v>
      </c>
      <c r="F933" t="s">
        <v>506</v>
      </c>
      <c r="G933" t="s">
        <v>507</v>
      </c>
      <c r="H933" t="s">
        <v>508</v>
      </c>
      <c r="I933" t="s">
        <v>509</v>
      </c>
      <c r="J933" t="s">
        <v>589</v>
      </c>
      <c r="K933" s="575">
        <f t="shared" si="76"/>
        <v>18000</v>
      </c>
      <c r="L933" t="s">
        <v>3426</v>
      </c>
    </row>
    <row r="934" spans="1:14">
      <c r="A934" t="s">
        <v>514</v>
      </c>
      <c r="B934" t="s">
        <v>3365</v>
      </c>
      <c r="C934" s="60" t="str">
        <f t="shared" si="75"/>
        <v>E6740</v>
      </c>
      <c r="D934" t="s">
        <v>587</v>
      </c>
      <c r="E934" t="s">
        <v>588</v>
      </c>
      <c r="F934" t="s">
        <v>506</v>
      </c>
      <c r="G934" t="s">
        <v>507</v>
      </c>
      <c r="H934" t="s">
        <v>508</v>
      </c>
      <c r="I934" t="s">
        <v>509</v>
      </c>
      <c r="J934" t="s">
        <v>589</v>
      </c>
      <c r="K934" s="575">
        <f t="shared" si="76"/>
        <v>18000</v>
      </c>
      <c r="L934" t="s">
        <v>3426</v>
      </c>
    </row>
    <row r="935" spans="1:14">
      <c r="A935" t="s">
        <v>514</v>
      </c>
      <c r="B935" t="s">
        <v>3366</v>
      </c>
      <c r="C935" s="60" t="str">
        <f t="shared" si="75"/>
        <v>E6740</v>
      </c>
      <c r="D935" t="s">
        <v>587</v>
      </c>
      <c r="E935" t="s">
        <v>588</v>
      </c>
      <c r="F935" t="s">
        <v>506</v>
      </c>
      <c r="G935" t="s">
        <v>507</v>
      </c>
      <c r="H935" t="s">
        <v>508</v>
      </c>
      <c r="I935" t="s">
        <v>509</v>
      </c>
      <c r="J935" t="s">
        <v>589</v>
      </c>
      <c r="K935" s="575">
        <f t="shared" si="76"/>
        <v>18000</v>
      </c>
      <c r="L935" t="s">
        <v>3426</v>
      </c>
    </row>
    <row r="936" spans="1:14">
      <c r="A936" t="s">
        <v>514</v>
      </c>
      <c r="B936" t="s">
        <v>3367</v>
      </c>
      <c r="C936" s="60" t="str">
        <f t="shared" si="75"/>
        <v>E6740</v>
      </c>
      <c r="D936" t="s">
        <v>587</v>
      </c>
      <c r="E936" t="s">
        <v>588</v>
      </c>
      <c r="F936" t="s">
        <v>506</v>
      </c>
      <c r="G936" t="s">
        <v>507</v>
      </c>
      <c r="H936" t="s">
        <v>508</v>
      </c>
      <c r="I936" t="s">
        <v>509</v>
      </c>
      <c r="J936" t="s">
        <v>589</v>
      </c>
      <c r="K936" s="575">
        <f t="shared" si="76"/>
        <v>18000</v>
      </c>
      <c r="L936" t="s">
        <v>3426</v>
      </c>
    </row>
    <row r="937" spans="1:14">
      <c r="A937" t="s">
        <v>514</v>
      </c>
      <c r="B937" t="s">
        <v>3356</v>
      </c>
      <c r="C937" s="3" t="s">
        <v>2079</v>
      </c>
      <c r="D937" t="s">
        <v>587</v>
      </c>
      <c r="E937" t="s">
        <v>588</v>
      </c>
      <c r="F937" t="s">
        <v>506</v>
      </c>
      <c r="G937" t="s">
        <v>507</v>
      </c>
      <c r="H937" t="s">
        <v>508</v>
      </c>
      <c r="I937" t="s">
        <v>509</v>
      </c>
      <c r="J937" t="s">
        <v>589</v>
      </c>
      <c r="K937" s="575">
        <v>0</v>
      </c>
      <c r="L937" t="s">
        <v>3428</v>
      </c>
    </row>
    <row r="938" spans="1:14">
      <c r="A938" t="s">
        <v>514</v>
      </c>
      <c r="B938" t="s">
        <v>3357</v>
      </c>
      <c r="C938" s="3" t="str">
        <f>C937</f>
        <v>E6290</v>
      </c>
      <c r="D938" t="s">
        <v>587</v>
      </c>
      <c r="E938" t="s">
        <v>588</v>
      </c>
      <c r="F938" t="s">
        <v>506</v>
      </c>
      <c r="G938" t="s">
        <v>507</v>
      </c>
      <c r="H938" t="s">
        <v>508</v>
      </c>
      <c r="I938" t="s">
        <v>509</v>
      </c>
      <c r="J938" t="s">
        <v>589</v>
      </c>
      <c r="K938" s="575">
        <v>0</v>
      </c>
      <c r="L938" t="s">
        <v>3428</v>
      </c>
    </row>
    <row r="939" spans="1:14">
      <c r="A939" t="s">
        <v>514</v>
      </c>
      <c r="B939" t="s">
        <v>3358</v>
      </c>
      <c r="C939" s="3" t="str">
        <f t="shared" ref="C939:C948" si="77">+C938</f>
        <v>E6290</v>
      </c>
      <c r="D939" t="s">
        <v>587</v>
      </c>
      <c r="E939" t="s">
        <v>588</v>
      </c>
      <c r="F939" t="s">
        <v>506</v>
      </c>
      <c r="G939" t="s">
        <v>507</v>
      </c>
      <c r="H939" t="s">
        <v>508</v>
      </c>
      <c r="I939" t="s">
        <v>509</v>
      </c>
      <c r="J939" t="s">
        <v>589</v>
      </c>
      <c r="K939" s="575">
        <v>0</v>
      </c>
      <c r="L939" t="s">
        <v>3428</v>
      </c>
    </row>
    <row r="940" spans="1:14">
      <c r="A940" t="s">
        <v>514</v>
      </c>
      <c r="B940" t="s">
        <v>3359</v>
      </c>
      <c r="C940" s="3" t="str">
        <f t="shared" si="77"/>
        <v>E6290</v>
      </c>
      <c r="D940" t="s">
        <v>587</v>
      </c>
      <c r="E940" t="s">
        <v>588</v>
      </c>
      <c r="F940" t="s">
        <v>506</v>
      </c>
      <c r="G940" t="s">
        <v>507</v>
      </c>
      <c r="H940" t="s">
        <v>508</v>
      </c>
      <c r="I940" t="s">
        <v>509</v>
      </c>
      <c r="J940" t="s">
        <v>589</v>
      </c>
      <c r="K940" s="575">
        <v>0</v>
      </c>
      <c r="L940" t="s">
        <v>3428</v>
      </c>
    </row>
    <row r="941" spans="1:14">
      <c r="A941" t="s">
        <v>514</v>
      </c>
      <c r="B941" t="s">
        <v>3360</v>
      </c>
      <c r="C941" s="3" t="str">
        <f t="shared" si="77"/>
        <v>E6290</v>
      </c>
      <c r="D941" t="s">
        <v>587</v>
      </c>
      <c r="E941" t="s">
        <v>588</v>
      </c>
      <c r="F941" t="s">
        <v>506</v>
      </c>
      <c r="G941" t="s">
        <v>507</v>
      </c>
      <c r="H941" t="s">
        <v>508</v>
      </c>
      <c r="I941" t="s">
        <v>509</v>
      </c>
      <c r="J941" t="s">
        <v>589</v>
      </c>
      <c r="K941" s="575">
        <v>0</v>
      </c>
      <c r="L941" t="s">
        <v>3428</v>
      </c>
    </row>
    <row r="942" spans="1:14">
      <c r="A942" t="s">
        <v>514</v>
      </c>
      <c r="B942" t="s">
        <v>3361</v>
      </c>
      <c r="C942" s="3" t="str">
        <f t="shared" si="77"/>
        <v>E6290</v>
      </c>
      <c r="D942" t="s">
        <v>587</v>
      </c>
      <c r="E942" t="s">
        <v>588</v>
      </c>
      <c r="F942" t="s">
        <v>506</v>
      </c>
      <c r="G942" t="s">
        <v>507</v>
      </c>
      <c r="H942" t="s">
        <v>508</v>
      </c>
      <c r="I942" t="s">
        <v>509</v>
      </c>
      <c r="J942" t="s">
        <v>589</v>
      </c>
      <c r="K942" s="575">
        <v>25200</v>
      </c>
      <c r="L942" t="s">
        <v>3428</v>
      </c>
    </row>
    <row r="943" spans="1:14">
      <c r="A943" t="s">
        <v>514</v>
      </c>
      <c r="B943" t="s">
        <v>3362</v>
      </c>
      <c r="C943" s="3" t="str">
        <f t="shared" si="77"/>
        <v>E6290</v>
      </c>
      <c r="D943" t="s">
        <v>587</v>
      </c>
      <c r="E943" t="s">
        <v>588</v>
      </c>
      <c r="F943" t="s">
        <v>506</v>
      </c>
      <c r="G943" t="s">
        <v>507</v>
      </c>
      <c r="H943" t="s">
        <v>508</v>
      </c>
      <c r="I943" t="s">
        <v>509</v>
      </c>
      <c r="J943" t="s">
        <v>589</v>
      </c>
      <c r="K943" s="575">
        <f t="shared" ref="K943:K948" si="78">K942</f>
        <v>25200</v>
      </c>
      <c r="L943" t="s">
        <v>3428</v>
      </c>
    </row>
    <row r="944" spans="1:14">
      <c r="A944" t="s">
        <v>514</v>
      </c>
      <c r="B944" t="s">
        <v>3363</v>
      </c>
      <c r="C944" s="3" t="str">
        <f t="shared" si="77"/>
        <v>E6290</v>
      </c>
      <c r="D944" t="s">
        <v>587</v>
      </c>
      <c r="E944" t="s">
        <v>588</v>
      </c>
      <c r="F944" t="s">
        <v>506</v>
      </c>
      <c r="G944" t="s">
        <v>507</v>
      </c>
      <c r="H944" t="s">
        <v>508</v>
      </c>
      <c r="I944" t="s">
        <v>509</v>
      </c>
      <c r="J944" t="s">
        <v>589</v>
      </c>
      <c r="K944" s="575">
        <f t="shared" si="78"/>
        <v>25200</v>
      </c>
      <c r="L944" t="s">
        <v>3428</v>
      </c>
    </row>
    <row r="945" spans="1:14">
      <c r="A945" t="s">
        <v>514</v>
      </c>
      <c r="B945" t="s">
        <v>3364</v>
      </c>
      <c r="C945" s="3" t="str">
        <f t="shared" si="77"/>
        <v>E6290</v>
      </c>
      <c r="D945" t="s">
        <v>587</v>
      </c>
      <c r="E945" t="s">
        <v>588</v>
      </c>
      <c r="F945" t="s">
        <v>506</v>
      </c>
      <c r="G945" t="s">
        <v>507</v>
      </c>
      <c r="H945" t="s">
        <v>508</v>
      </c>
      <c r="I945" t="s">
        <v>509</v>
      </c>
      <c r="J945" t="s">
        <v>589</v>
      </c>
      <c r="K945" s="575">
        <f t="shared" si="78"/>
        <v>25200</v>
      </c>
      <c r="L945" t="s">
        <v>3428</v>
      </c>
    </row>
    <row r="946" spans="1:14">
      <c r="A946" t="s">
        <v>514</v>
      </c>
      <c r="B946" t="s">
        <v>3365</v>
      </c>
      <c r="C946" s="3" t="str">
        <f t="shared" si="77"/>
        <v>E6290</v>
      </c>
      <c r="D946" t="s">
        <v>587</v>
      </c>
      <c r="E946" t="s">
        <v>588</v>
      </c>
      <c r="F946" t="s">
        <v>506</v>
      </c>
      <c r="G946" t="s">
        <v>507</v>
      </c>
      <c r="H946" t="s">
        <v>508</v>
      </c>
      <c r="I946" t="s">
        <v>509</v>
      </c>
      <c r="J946" t="s">
        <v>589</v>
      </c>
      <c r="K946" s="575">
        <f t="shared" si="78"/>
        <v>25200</v>
      </c>
      <c r="L946" t="s">
        <v>3428</v>
      </c>
    </row>
    <row r="947" spans="1:14">
      <c r="A947" t="s">
        <v>514</v>
      </c>
      <c r="B947" t="s">
        <v>3366</v>
      </c>
      <c r="C947" s="3" t="str">
        <f t="shared" si="77"/>
        <v>E6290</v>
      </c>
      <c r="D947" t="s">
        <v>587</v>
      </c>
      <c r="E947" t="s">
        <v>588</v>
      </c>
      <c r="F947" t="s">
        <v>506</v>
      </c>
      <c r="G947" t="s">
        <v>507</v>
      </c>
      <c r="H947" t="s">
        <v>508</v>
      </c>
      <c r="I947" t="s">
        <v>509</v>
      </c>
      <c r="J947" t="s">
        <v>589</v>
      </c>
      <c r="K947" s="575">
        <f t="shared" si="78"/>
        <v>25200</v>
      </c>
      <c r="L947" t="s">
        <v>3428</v>
      </c>
    </row>
    <row r="948" spans="1:14">
      <c r="A948" t="s">
        <v>514</v>
      </c>
      <c r="B948" t="s">
        <v>3367</v>
      </c>
      <c r="C948" s="3" t="str">
        <f t="shared" si="77"/>
        <v>E6290</v>
      </c>
      <c r="D948" t="s">
        <v>587</v>
      </c>
      <c r="E948" t="s">
        <v>588</v>
      </c>
      <c r="F948" t="s">
        <v>506</v>
      </c>
      <c r="G948" t="s">
        <v>507</v>
      </c>
      <c r="H948" t="s">
        <v>508</v>
      </c>
      <c r="I948" t="s">
        <v>509</v>
      </c>
      <c r="J948" t="s">
        <v>589</v>
      </c>
      <c r="K948" s="575">
        <f t="shared" si="78"/>
        <v>25200</v>
      </c>
      <c r="L948" t="s">
        <v>3428</v>
      </c>
    </row>
    <row r="949" spans="1:14">
      <c r="A949" t="s">
        <v>514</v>
      </c>
      <c r="B949" t="s">
        <v>3356</v>
      </c>
      <c r="C949" s="3" t="s">
        <v>3402</v>
      </c>
      <c r="D949" t="s">
        <v>587</v>
      </c>
      <c r="E949" t="s">
        <v>588</v>
      </c>
      <c r="F949" t="s">
        <v>506</v>
      </c>
      <c r="G949" t="s">
        <v>507</v>
      </c>
      <c r="H949" t="s">
        <v>508</v>
      </c>
      <c r="I949" t="s">
        <v>509</v>
      </c>
      <c r="J949" t="s">
        <v>589</v>
      </c>
      <c r="K949" s="503">
        <v>0</v>
      </c>
      <c r="L949" t="s">
        <v>3429</v>
      </c>
      <c r="N949" t="s">
        <v>3442</v>
      </c>
    </row>
    <row r="950" spans="1:14">
      <c r="A950" t="s">
        <v>514</v>
      </c>
      <c r="B950" t="s">
        <v>3357</v>
      </c>
      <c r="C950" s="60" t="str">
        <f>C949</f>
        <v>E6760</v>
      </c>
      <c r="D950" t="s">
        <v>587</v>
      </c>
      <c r="E950" t="s">
        <v>588</v>
      </c>
      <c r="F950" t="s">
        <v>506</v>
      </c>
      <c r="G950" t="s">
        <v>507</v>
      </c>
      <c r="H950" t="s">
        <v>508</v>
      </c>
      <c r="I950" t="s">
        <v>509</v>
      </c>
      <c r="J950" t="s">
        <v>589</v>
      </c>
      <c r="K950" s="503">
        <v>0</v>
      </c>
      <c r="L950" t="s">
        <v>3429</v>
      </c>
      <c r="N950" t="s">
        <v>3442</v>
      </c>
    </row>
    <row r="951" spans="1:14">
      <c r="A951" t="s">
        <v>514</v>
      </c>
      <c r="B951" t="s">
        <v>3358</v>
      </c>
      <c r="C951" s="60" t="str">
        <f t="shared" ref="C951:C960" si="79">+C950</f>
        <v>E6760</v>
      </c>
      <c r="D951" t="s">
        <v>587</v>
      </c>
      <c r="E951" t="s">
        <v>588</v>
      </c>
      <c r="F951" t="s">
        <v>506</v>
      </c>
      <c r="G951" t="s">
        <v>507</v>
      </c>
      <c r="H951" t="s">
        <v>508</v>
      </c>
      <c r="I951" t="s">
        <v>509</v>
      </c>
      <c r="J951" t="s">
        <v>589</v>
      </c>
      <c r="K951" s="503">
        <v>0</v>
      </c>
      <c r="L951" t="s">
        <v>3429</v>
      </c>
      <c r="N951" t="s">
        <v>3442</v>
      </c>
    </row>
    <row r="952" spans="1:14">
      <c r="A952" t="s">
        <v>514</v>
      </c>
      <c r="B952" t="s">
        <v>3359</v>
      </c>
      <c r="C952" s="60" t="str">
        <f t="shared" si="79"/>
        <v>E6760</v>
      </c>
      <c r="D952" t="s">
        <v>587</v>
      </c>
      <c r="E952" t="s">
        <v>588</v>
      </c>
      <c r="F952" t="s">
        <v>506</v>
      </c>
      <c r="G952" t="s">
        <v>507</v>
      </c>
      <c r="H952" t="s">
        <v>508</v>
      </c>
      <c r="I952" t="s">
        <v>509</v>
      </c>
      <c r="J952" t="s">
        <v>589</v>
      </c>
      <c r="K952" s="503">
        <v>0</v>
      </c>
      <c r="L952" t="s">
        <v>3429</v>
      </c>
      <c r="N952" t="s">
        <v>3442</v>
      </c>
    </row>
    <row r="953" spans="1:14">
      <c r="A953" t="s">
        <v>514</v>
      </c>
      <c r="B953" t="s">
        <v>3360</v>
      </c>
      <c r="C953" s="60" t="str">
        <f t="shared" si="79"/>
        <v>E6760</v>
      </c>
      <c r="D953" t="s">
        <v>587</v>
      </c>
      <c r="E953" t="s">
        <v>588</v>
      </c>
      <c r="F953" t="s">
        <v>506</v>
      </c>
      <c r="G953" t="s">
        <v>507</v>
      </c>
      <c r="H953" t="s">
        <v>508</v>
      </c>
      <c r="I953" t="s">
        <v>509</v>
      </c>
      <c r="J953" t="s">
        <v>589</v>
      </c>
      <c r="K953" s="503">
        <v>0</v>
      </c>
      <c r="L953" t="s">
        <v>3429</v>
      </c>
      <c r="N953" t="s">
        <v>3442</v>
      </c>
    </row>
    <row r="954" spans="1:14">
      <c r="A954" t="s">
        <v>514</v>
      </c>
      <c r="B954" t="s">
        <v>3361</v>
      </c>
      <c r="C954" s="60" t="str">
        <f t="shared" si="79"/>
        <v>E6760</v>
      </c>
      <c r="D954" t="s">
        <v>587</v>
      </c>
      <c r="E954" t="s">
        <v>588</v>
      </c>
      <c r="F954" t="s">
        <v>506</v>
      </c>
      <c r="G954" t="s">
        <v>507</v>
      </c>
      <c r="H954" t="s">
        <v>508</v>
      </c>
      <c r="I954" t="s">
        <v>509</v>
      </c>
      <c r="J954" t="s">
        <v>589</v>
      </c>
      <c r="K954" s="503">
        <v>0</v>
      </c>
      <c r="L954" t="s">
        <v>3429</v>
      </c>
      <c r="N954" t="s">
        <v>3442</v>
      </c>
    </row>
    <row r="955" spans="1:14">
      <c r="A955" t="s">
        <v>514</v>
      </c>
      <c r="B955" t="s">
        <v>3362</v>
      </c>
      <c r="C955" s="60" t="str">
        <f t="shared" si="79"/>
        <v>E6760</v>
      </c>
      <c r="D955" t="s">
        <v>587</v>
      </c>
      <c r="E955" t="s">
        <v>588</v>
      </c>
      <c r="F955" t="s">
        <v>506</v>
      </c>
      <c r="G955" t="s">
        <v>507</v>
      </c>
      <c r="H955" t="s">
        <v>508</v>
      </c>
      <c r="I955" t="s">
        <v>509</v>
      </c>
      <c r="J955" t="s">
        <v>589</v>
      </c>
      <c r="K955" s="503">
        <v>0</v>
      </c>
      <c r="L955" t="s">
        <v>3429</v>
      </c>
      <c r="N955" t="s">
        <v>3442</v>
      </c>
    </row>
    <row r="956" spans="1:14">
      <c r="A956" t="s">
        <v>514</v>
      </c>
      <c r="B956" t="s">
        <v>3363</v>
      </c>
      <c r="C956" s="60" t="str">
        <f t="shared" si="79"/>
        <v>E6760</v>
      </c>
      <c r="D956" t="s">
        <v>587</v>
      </c>
      <c r="E956" t="s">
        <v>588</v>
      </c>
      <c r="F956" t="s">
        <v>506</v>
      </c>
      <c r="G956" t="s">
        <v>507</v>
      </c>
      <c r="H956" t="s">
        <v>508</v>
      </c>
      <c r="I956" t="s">
        <v>509</v>
      </c>
      <c r="J956" t="s">
        <v>589</v>
      </c>
      <c r="K956" s="503">
        <v>0</v>
      </c>
      <c r="L956" t="s">
        <v>3429</v>
      </c>
      <c r="N956" t="s">
        <v>3442</v>
      </c>
    </row>
    <row r="957" spans="1:14">
      <c r="A957" t="s">
        <v>514</v>
      </c>
      <c r="B957" t="s">
        <v>3364</v>
      </c>
      <c r="C957" s="60" t="str">
        <f t="shared" si="79"/>
        <v>E6760</v>
      </c>
      <c r="D957" t="s">
        <v>587</v>
      </c>
      <c r="E957" t="s">
        <v>588</v>
      </c>
      <c r="F957" t="s">
        <v>506</v>
      </c>
      <c r="G957" t="s">
        <v>507</v>
      </c>
      <c r="H957" t="s">
        <v>508</v>
      </c>
      <c r="I957" t="s">
        <v>509</v>
      </c>
      <c r="J957" t="s">
        <v>589</v>
      </c>
      <c r="K957" s="503">
        <v>0</v>
      </c>
      <c r="L957" t="s">
        <v>3429</v>
      </c>
      <c r="N957" t="s">
        <v>3442</v>
      </c>
    </row>
    <row r="958" spans="1:14">
      <c r="A958" t="s">
        <v>514</v>
      </c>
      <c r="B958" t="s">
        <v>3365</v>
      </c>
      <c r="C958" s="60" t="str">
        <f t="shared" si="79"/>
        <v>E6760</v>
      </c>
      <c r="D958" t="s">
        <v>587</v>
      </c>
      <c r="E958" t="s">
        <v>588</v>
      </c>
      <c r="F958" t="s">
        <v>506</v>
      </c>
      <c r="G958" t="s">
        <v>507</v>
      </c>
      <c r="H958" t="s">
        <v>508</v>
      </c>
      <c r="I958" t="s">
        <v>509</v>
      </c>
      <c r="J958" t="s">
        <v>589</v>
      </c>
      <c r="K958" s="503">
        <v>0</v>
      </c>
      <c r="L958" t="s">
        <v>3429</v>
      </c>
      <c r="N958" t="s">
        <v>3442</v>
      </c>
    </row>
    <row r="959" spans="1:14">
      <c r="A959" t="s">
        <v>514</v>
      </c>
      <c r="B959" t="s">
        <v>3366</v>
      </c>
      <c r="C959" s="60" t="str">
        <f t="shared" si="79"/>
        <v>E6760</v>
      </c>
      <c r="D959" t="s">
        <v>587</v>
      </c>
      <c r="E959" t="s">
        <v>588</v>
      </c>
      <c r="F959" t="s">
        <v>506</v>
      </c>
      <c r="G959" t="s">
        <v>507</v>
      </c>
      <c r="H959" t="s">
        <v>508</v>
      </c>
      <c r="I959" t="s">
        <v>509</v>
      </c>
      <c r="J959" t="s">
        <v>589</v>
      </c>
      <c r="K959" s="503">
        <v>18000</v>
      </c>
      <c r="L959" t="s">
        <v>3429</v>
      </c>
    </row>
    <row r="960" spans="1:14">
      <c r="A960" t="s">
        <v>514</v>
      </c>
      <c r="B960" t="s">
        <v>3367</v>
      </c>
      <c r="C960" s="60" t="str">
        <f t="shared" si="79"/>
        <v>E6760</v>
      </c>
      <c r="D960" t="s">
        <v>587</v>
      </c>
      <c r="E960" t="s">
        <v>588</v>
      </c>
      <c r="F960" t="s">
        <v>506</v>
      </c>
      <c r="G960" t="s">
        <v>507</v>
      </c>
      <c r="H960" t="s">
        <v>508</v>
      </c>
      <c r="I960" t="s">
        <v>509</v>
      </c>
      <c r="J960" t="s">
        <v>589</v>
      </c>
      <c r="K960" s="503">
        <f>K959</f>
        <v>18000</v>
      </c>
      <c r="L960" t="s">
        <v>3429</v>
      </c>
    </row>
  </sheetData>
  <autoFilter ref="A1:Y960" xr:uid="{4F9822E8-9017-4468-97A7-045895F2E427}"/>
  <pageMargins left="0.7" right="0.7" top="0.75" bottom="0.75" header="0.3" footer="0.3"/>
  <customProperties>
    <customPr name="Longview.RefreshTimestamp" r:id="rId1"/>
  </customPropertie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1DB6A-41DE-4898-AD01-F4B26FAF26AB}">
  <sheetPr>
    <tabColor theme="9" tint="0.59999389629810485"/>
  </sheetPr>
  <dimension ref="A1:AB960"/>
  <sheetViews>
    <sheetView zoomScale="85" zoomScaleNormal="85" workbookViewId="0">
      <pane xSplit="4" ySplit="6" topLeftCell="H809" activePane="bottomRight" state="frozen"/>
      <selection pane="topRight" activeCell="E1" sqref="E1"/>
      <selection pane="bottomLeft" activeCell="A7" sqref="A7"/>
      <selection pane="bottomRight" activeCell="K865" sqref="K865"/>
    </sheetView>
  </sheetViews>
  <sheetFormatPr baseColWidth="10" defaultRowHeight="15"/>
  <cols>
    <col min="1" max="1" width="14.85546875" bestFit="1" customWidth="1"/>
    <col min="3" max="3" width="8.85546875" bestFit="1" customWidth="1"/>
    <col min="4" max="4" width="18" bestFit="1" customWidth="1"/>
    <col min="5" max="5" width="20.42578125" bestFit="1" customWidth="1"/>
    <col min="6" max="6" width="18.28515625" bestFit="1" customWidth="1"/>
    <col min="7" max="7" width="14.7109375" bestFit="1" customWidth="1"/>
    <col min="8" max="8" width="14.5703125" bestFit="1" customWidth="1"/>
    <col min="9" max="9" width="17.28515625" bestFit="1" customWidth="1"/>
    <col min="10" max="10" width="18.28515625" bestFit="1" customWidth="1"/>
    <col min="11" max="11" width="9.5703125" style="502" bestFit="1" customWidth="1"/>
  </cols>
  <sheetData>
    <row r="1" spans="1:28">
      <c r="A1" t="s">
        <v>586</v>
      </c>
      <c r="B1" t="s">
        <v>3356</v>
      </c>
      <c r="C1" s="3" t="str">
        <f>+'2-Préparation saisie LV PROD'!B5</f>
        <v>E5030</v>
      </c>
      <c r="D1" t="s">
        <v>587</v>
      </c>
      <c r="E1" t="s">
        <v>588</v>
      </c>
      <c r="F1" t="s">
        <v>506</v>
      </c>
      <c r="G1" t="s">
        <v>507</v>
      </c>
      <c r="H1" t="s">
        <v>508</v>
      </c>
      <c r="I1" t="s">
        <v>509</v>
      </c>
      <c r="J1" t="s">
        <v>589</v>
      </c>
      <c r="K1" s="502">
        <v>-22.32</v>
      </c>
      <c r="L1" t="s">
        <v>3271</v>
      </c>
      <c r="P1">
        <v>-20.16</v>
      </c>
      <c r="Q1" s="342" t="s">
        <v>3430</v>
      </c>
      <c r="R1" s="343" t="s">
        <v>3431</v>
      </c>
      <c r="S1" s="343" t="s">
        <v>3432</v>
      </c>
      <c r="T1" s="343" t="s">
        <v>3433</v>
      </c>
      <c r="U1" s="343" t="s">
        <v>3434</v>
      </c>
      <c r="V1" s="343" t="s">
        <v>3435</v>
      </c>
      <c r="W1" s="343" t="s">
        <v>3436</v>
      </c>
      <c r="X1" s="343" t="s">
        <v>3437</v>
      </c>
      <c r="Y1" s="343" t="s">
        <v>3438</v>
      </c>
      <c r="Z1" s="343" t="s">
        <v>3439</v>
      </c>
      <c r="AA1" s="343" t="s">
        <v>3440</v>
      </c>
      <c r="AB1" s="344" t="s">
        <v>3441</v>
      </c>
    </row>
    <row r="2" spans="1:28">
      <c r="A2" t="s">
        <v>586</v>
      </c>
      <c r="B2" t="s">
        <v>3357</v>
      </c>
      <c r="C2" s="60" t="str">
        <f>+C1</f>
        <v>E5030</v>
      </c>
      <c r="D2" t="s">
        <v>587</v>
      </c>
      <c r="E2" t="s">
        <v>588</v>
      </c>
      <c r="F2" t="s">
        <v>506</v>
      </c>
      <c r="G2" t="s">
        <v>507</v>
      </c>
      <c r="H2" t="s">
        <v>508</v>
      </c>
      <c r="I2" t="s">
        <v>509</v>
      </c>
      <c r="J2" t="s">
        <v>589</v>
      </c>
      <c r="K2" s="502">
        <v>-20.16</v>
      </c>
      <c r="L2" t="s">
        <v>3271</v>
      </c>
      <c r="M2" s="4"/>
      <c r="N2" s="4"/>
      <c r="O2" s="4"/>
      <c r="P2" s="4"/>
      <c r="Q2" s="345">
        <v>31</v>
      </c>
      <c r="R2" s="346">
        <v>28</v>
      </c>
      <c r="S2" s="347">
        <v>31</v>
      </c>
      <c r="T2" s="347">
        <v>30</v>
      </c>
      <c r="U2" s="347">
        <v>31</v>
      </c>
      <c r="V2" s="347">
        <v>30</v>
      </c>
      <c r="W2" s="347">
        <v>31</v>
      </c>
      <c r="X2" s="347">
        <v>31</v>
      </c>
      <c r="Y2" s="347">
        <v>30</v>
      </c>
      <c r="Z2" s="347">
        <v>31</v>
      </c>
      <c r="AA2" s="347">
        <v>30</v>
      </c>
      <c r="AB2" s="348">
        <v>31</v>
      </c>
    </row>
    <row r="3" spans="1:28" ht="15.75" thickBot="1">
      <c r="A3" t="s">
        <v>586</v>
      </c>
      <c r="B3" t="s">
        <v>3358</v>
      </c>
      <c r="C3" s="60" t="str">
        <f t="shared" ref="C3:C12" si="0">+C2</f>
        <v>E5030</v>
      </c>
      <c r="D3" t="s">
        <v>587</v>
      </c>
      <c r="E3" t="s">
        <v>588</v>
      </c>
      <c r="F3" t="s">
        <v>506</v>
      </c>
      <c r="G3" t="s">
        <v>507</v>
      </c>
      <c r="H3" t="s">
        <v>508</v>
      </c>
      <c r="I3" t="s">
        <v>509</v>
      </c>
      <c r="J3" t="s">
        <v>589</v>
      </c>
      <c r="K3" s="502">
        <v>-22.32</v>
      </c>
      <c r="L3" t="s">
        <v>3271</v>
      </c>
      <c r="P3" t="s">
        <v>3154</v>
      </c>
      <c r="Q3" s="349">
        <f>-ROUND((Q$2*24)-(Q$2*24)*97/100,2)</f>
        <v>-22.32</v>
      </c>
      <c r="R3" s="352">
        <f t="shared" ref="R3:AB3" si="1">-ROUND((R$2*24)-(R$2*24)*97/100,2)</f>
        <v>-20.16</v>
      </c>
      <c r="S3" s="350">
        <f t="shared" si="1"/>
        <v>-22.32</v>
      </c>
      <c r="T3" s="350">
        <f t="shared" si="1"/>
        <v>-21.6</v>
      </c>
      <c r="U3" s="350">
        <f t="shared" si="1"/>
        <v>-22.32</v>
      </c>
      <c r="V3" s="350">
        <f t="shared" si="1"/>
        <v>-21.6</v>
      </c>
      <c r="W3" s="350">
        <f t="shared" si="1"/>
        <v>-22.32</v>
      </c>
      <c r="X3" s="350">
        <f t="shared" si="1"/>
        <v>-22.32</v>
      </c>
      <c r="Y3" s="350">
        <f t="shared" si="1"/>
        <v>-21.6</v>
      </c>
      <c r="Z3" s="350">
        <f t="shared" si="1"/>
        <v>-22.32</v>
      </c>
      <c r="AA3" s="350">
        <f t="shared" si="1"/>
        <v>-21.6</v>
      </c>
      <c r="AB3" s="351">
        <f t="shared" si="1"/>
        <v>-22.32</v>
      </c>
    </row>
    <row r="4" spans="1:28">
      <c r="A4" t="s">
        <v>586</v>
      </c>
      <c r="B4" t="s">
        <v>3359</v>
      </c>
      <c r="C4" s="60" t="str">
        <f t="shared" si="0"/>
        <v>E5030</v>
      </c>
      <c r="D4" t="s">
        <v>587</v>
      </c>
      <c r="E4" t="s">
        <v>588</v>
      </c>
      <c r="F4" t="s">
        <v>506</v>
      </c>
      <c r="G4" t="s">
        <v>507</v>
      </c>
      <c r="H4" t="s">
        <v>508</v>
      </c>
      <c r="I4" t="s">
        <v>509</v>
      </c>
      <c r="J4" t="s">
        <v>589</v>
      </c>
      <c r="K4" s="502">
        <v>-21.6</v>
      </c>
      <c r="L4" t="s">
        <v>3271</v>
      </c>
      <c r="P4" t="s">
        <v>3153</v>
      </c>
      <c r="Q4">
        <f t="shared" ref="Q4:AB4" si="2">-ROUND((Q$2*24)-(Q$2*24)*0/100,2)</f>
        <v>-744</v>
      </c>
      <c r="R4">
        <f t="shared" si="2"/>
        <v>-672</v>
      </c>
      <c r="S4">
        <f t="shared" si="2"/>
        <v>-744</v>
      </c>
      <c r="T4">
        <f t="shared" si="2"/>
        <v>-720</v>
      </c>
      <c r="U4">
        <f t="shared" si="2"/>
        <v>-744</v>
      </c>
      <c r="V4">
        <f t="shared" si="2"/>
        <v>-720</v>
      </c>
      <c r="W4">
        <f t="shared" si="2"/>
        <v>-744</v>
      </c>
      <c r="X4">
        <f t="shared" si="2"/>
        <v>-744</v>
      </c>
      <c r="Y4">
        <f t="shared" si="2"/>
        <v>-720</v>
      </c>
      <c r="Z4">
        <f t="shared" si="2"/>
        <v>-744</v>
      </c>
      <c r="AA4">
        <f t="shared" si="2"/>
        <v>-720</v>
      </c>
      <c r="AB4">
        <f t="shared" si="2"/>
        <v>-744</v>
      </c>
    </row>
    <row r="5" spans="1:28" ht="21">
      <c r="A5" t="s">
        <v>586</v>
      </c>
      <c r="B5" t="s">
        <v>3360</v>
      </c>
      <c r="C5" s="60" t="str">
        <f t="shared" si="0"/>
        <v>E5030</v>
      </c>
      <c r="D5" t="s">
        <v>587</v>
      </c>
      <c r="E5" t="s">
        <v>588</v>
      </c>
      <c r="F5" t="s">
        <v>506</v>
      </c>
      <c r="G5" t="s">
        <v>507</v>
      </c>
      <c r="H5" t="s">
        <v>508</v>
      </c>
      <c r="I5" t="s">
        <v>509</v>
      </c>
      <c r="J5" t="s">
        <v>589</v>
      </c>
      <c r="K5" s="502">
        <v>-22.32</v>
      </c>
      <c r="L5" t="s">
        <v>3271</v>
      </c>
      <c r="M5" s="499"/>
      <c r="N5" s="499"/>
      <c r="O5" s="499"/>
      <c r="P5" s="4"/>
      <c r="Q5" s="4"/>
      <c r="R5" s="4"/>
      <c r="S5" s="4"/>
      <c r="T5" s="4"/>
    </row>
    <row r="6" spans="1:28" ht="21">
      <c r="A6" t="s">
        <v>586</v>
      </c>
      <c r="B6" t="s">
        <v>3361</v>
      </c>
      <c r="C6" s="60" t="str">
        <f t="shared" si="0"/>
        <v>E5030</v>
      </c>
      <c r="D6" t="s">
        <v>587</v>
      </c>
      <c r="E6" t="s">
        <v>588</v>
      </c>
      <c r="F6" t="s">
        <v>506</v>
      </c>
      <c r="G6" t="s">
        <v>507</v>
      </c>
      <c r="H6" t="s">
        <v>508</v>
      </c>
      <c r="I6" t="s">
        <v>509</v>
      </c>
      <c r="J6" t="s">
        <v>589</v>
      </c>
      <c r="K6" s="502">
        <v>-21.6</v>
      </c>
      <c r="L6" t="s">
        <v>3271</v>
      </c>
      <c r="M6" s="500"/>
      <c r="N6" s="4"/>
      <c r="O6" s="4"/>
      <c r="P6" s="4"/>
      <c r="Q6" s="4"/>
      <c r="R6" s="4"/>
      <c r="S6" s="4"/>
      <c r="T6" s="4"/>
    </row>
    <row r="7" spans="1:28">
      <c r="A7" t="s">
        <v>586</v>
      </c>
      <c r="B7" t="s">
        <v>3362</v>
      </c>
      <c r="C7" s="60" t="str">
        <f t="shared" si="0"/>
        <v>E5030</v>
      </c>
      <c r="D7" t="s">
        <v>587</v>
      </c>
      <c r="E7" t="s">
        <v>588</v>
      </c>
      <c r="F7" t="s">
        <v>506</v>
      </c>
      <c r="G7" t="s">
        <v>507</v>
      </c>
      <c r="H7" t="s">
        <v>508</v>
      </c>
      <c r="I7" t="s">
        <v>509</v>
      </c>
      <c r="J7" t="s">
        <v>589</v>
      </c>
      <c r="K7" s="502">
        <v>-22.32</v>
      </c>
      <c r="L7" t="s">
        <v>3271</v>
      </c>
    </row>
    <row r="8" spans="1:28">
      <c r="A8" t="s">
        <v>586</v>
      </c>
      <c r="B8" t="s">
        <v>3363</v>
      </c>
      <c r="C8" s="60" t="str">
        <f t="shared" si="0"/>
        <v>E5030</v>
      </c>
      <c r="D8" t="s">
        <v>587</v>
      </c>
      <c r="E8" t="s">
        <v>588</v>
      </c>
      <c r="F8" t="s">
        <v>506</v>
      </c>
      <c r="G8" t="s">
        <v>507</v>
      </c>
      <c r="H8" t="s">
        <v>508</v>
      </c>
      <c r="I8" t="s">
        <v>509</v>
      </c>
      <c r="J8" t="s">
        <v>589</v>
      </c>
      <c r="K8" s="502">
        <v>-22.32</v>
      </c>
      <c r="L8" t="s">
        <v>3271</v>
      </c>
    </row>
    <row r="9" spans="1:28">
      <c r="A9" t="s">
        <v>586</v>
      </c>
      <c r="B9" t="s">
        <v>3364</v>
      </c>
      <c r="C9" s="60" t="str">
        <f t="shared" si="0"/>
        <v>E5030</v>
      </c>
      <c r="D9" t="s">
        <v>587</v>
      </c>
      <c r="E9" t="s">
        <v>588</v>
      </c>
      <c r="F9" t="s">
        <v>506</v>
      </c>
      <c r="G9" t="s">
        <v>507</v>
      </c>
      <c r="H9" t="s">
        <v>508</v>
      </c>
      <c r="I9" t="s">
        <v>509</v>
      </c>
      <c r="J9" t="s">
        <v>589</v>
      </c>
      <c r="K9" s="502">
        <v>-21.6</v>
      </c>
      <c r="L9" t="s">
        <v>3271</v>
      </c>
    </row>
    <row r="10" spans="1:28">
      <c r="A10" t="s">
        <v>586</v>
      </c>
      <c r="B10" t="s">
        <v>3365</v>
      </c>
      <c r="C10" s="60" t="str">
        <f t="shared" si="0"/>
        <v>E5030</v>
      </c>
      <c r="D10" t="s">
        <v>587</v>
      </c>
      <c r="E10" t="s">
        <v>588</v>
      </c>
      <c r="F10" t="s">
        <v>506</v>
      </c>
      <c r="G10" t="s">
        <v>507</v>
      </c>
      <c r="H10" t="s">
        <v>508</v>
      </c>
      <c r="I10" t="s">
        <v>509</v>
      </c>
      <c r="J10" t="s">
        <v>589</v>
      </c>
      <c r="K10" s="502">
        <v>-22.32</v>
      </c>
      <c r="L10" t="s">
        <v>3271</v>
      </c>
    </row>
    <row r="11" spans="1:28">
      <c r="A11" t="s">
        <v>586</v>
      </c>
      <c r="B11" t="s">
        <v>3366</v>
      </c>
      <c r="C11" s="60" t="str">
        <f t="shared" si="0"/>
        <v>E5030</v>
      </c>
      <c r="D11" t="s">
        <v>587</v>
      </c>
      <c r="E11" t="s">
        <v>588</v>
      </c>
      <c r="F11" t="s">
        <v>506</v>
      </c>
      <c r="G11" t="s">
        <v>507</v>
      </c>
      <c r="H11" t="s">
        <v>508</v>
      </c>
      <c r="I11" t="s">
        <v>509</v>
      </c>
      <c r="J11" t="s">
        <v>589</v>
      </c>
      <c r="K11" s="502">
        <v>-21.6</v>
      </c>
      <c r="L11" t="s">
        <v>3271</v>
      </c>
    </row>
    <row r="12" spans="1:28">
      <c r="A12" t="s">
        <v>586</v>
      </c>
      <c r="B12" t="s">
        <v>3367</v>
      </c>
      <c r="C12" s="60" t="str">
        <f t="shared" si="0"/>
        <v>E5030</v>
      </c>
      <c r="D12" t="s">
        <v>587</v>
      </c>
      <c r="E12" t="s">
        <v>588</v>
      </c>
      <c r="F12" t="s">
        <v>506</v>
      </c>
      <c r="G12" t="s">
        <v>507</v>
      </c>
      <c r="H12" t="s">
        <v>508</v>
      </c>
      <c r="I12" t="s">
        <v>509</v>
      </c>
      <c r="J12" t="s">
        <v>589</v>
      </c>
      <c r="K12" s="502">
        <v>-22.32</v>
      </c>
      <c r="L12" t="s">
        <v>3271</v>
      </c>
    </row>
    <row r="13" spans="1:28">
      <c r="A13" t="s">
        <v>586</v>
      </c>
      <c r="B13" t="s">
        <v>3356</v>
      </c>
      <c r="C13" s="3" t="str">
        <f>+'2-Préparation saisie LV PROD'!B6</f>
        <v>E5040</v>
      </c>
      <c r="D13" t="s">
        <v>587</v>
      </c>
      <c r="E13" t="s">
        <v>588</v>
      </c>
      <c r="F13" t="s">
        <v>506</v>
      </c>
      <c r="G13" t="s">
        <v>507</v>
      </c>
      <c r="H13" t="s">
        <v>508</v>
      </c>
      <c r="I13" t="s">
        <v>509</v>
      </c>
      <c r="J13" t="s">
        <v>589</v>
      </c>
      <c r="K13" s="502">
        <v>-22.32</v>
      </c>
      <c r="L13" t="s">
        <v>284</v>
      </c>
    </row>
    <row r="14" spans="1:28">
      <c r="A14" t="s">
        <v>586</v>
      </c>
      <c r="B14" t="s">
        <v>3357</v>
      </c>
      <c r="C14" s="60" t="str">
        <f>C13</f>
        <v>E5040</v>
      </c>
      <c r="D14" t="s">
        <v>587</v>
      </c>
      <c r="E14" t="s">
        <v>588</v>
      </c>
      <c r="F14" t="s">
        <v>506</v>
      </c>
      <c r="G14" t="s">
        <v>507</v>
      </c>
      <c r="H14" t="s">
        <v>508</v>
      </c>
      <c r="I14" t="s">
        <v>509</v>
      </c>
      <c r="J14" t="s">
        <v>589</v>
      </c>
      <c r="K14" s="502">
        <f>K2</f>
        <v>-20.16</v>
      </c>
      <c r="L14" t="s">
        <v>284</v>
      </c>
    </row>
    <row r="15" spans="1:28">
      <c r="A15" t="s">
        <v>586</v>
      </c>
      <c r="B15" t="s">
        <v>3358</v>
      </c>
      <c r="C15" s="60" t="str">
        <f t="shared" ref="C15:C24" si="3">+C14</f>
        <v>E5040</v>
      </c>
      <c r="D15" t="s">
        <v>587</v>
      </c>
      <c r="E15" t="s">
        <v>588</v>
      </c>
      <c r="F15" t="s">
        <v>506</v>
      </c>
      <c r="G15" t="s">
        <v>507</v>
      </c>
      <c r="H15" t="s">
        <v>508</v>
      </c>
      <c r="I15" t="s">
        <v>509</v>
      </c>
      <c r="J15" t="s">
        <v>589</v>
      </c>
      <c r="K15" s="502">
        <v>-22.32</v>
      </c>
      <c r="L15" t="s">
        <v>284</v>
      </c>
    </row>
    <row r="16" spans="1:28">
      <c r="A16" t="s">
        <v>586</v>
      </c>
      <c r="B16" t="s">
        <v>3359</v>
      </c>
      <c r="C16" s="60" t="str">
        <f t="shared" si="3"/>
        <v>E5040</v>
      </c>
      <c r="D16" t="s">
        <v>587</v>
      </c>
      <c r="E16" t="s">
        <v>588</v>
      </c>
      <c r="F16" t="s">
        <v>506</v>
      </c>
      <c r="G16" t="s">
        <v>507</v>
      </c>
      <c r="H16" t="s">
        <v>508</v>
      </c>
      <c r="I16" t="s">
        <v>509</v>
      </c>
      <c r="J16" t="s">
        <v>589</v>
      </c>
      <c r="K16" s="502">
        <v>-21.6</v>
      </c>
      <c r="L16" t="s">
        <v>284</v>
      </c>
    </row>
    <row r="17" spans="1:12">
      <c r="A17" t="s">
        <v>586</v>
      </c>
      <c r="B17" t="s">
        <v>3360</v>
      </c>
      <c r="C17" s="60" t="str">
        <f t="shared" si="3"/>
        <v>E5040</v>
      </c>
      <c r="D17" t="s">
        <v>587</v>
      </c>
      <c r="E17" t="s">
        <v>588</v>
      </c>
      <c r="F17" t="s">
        <v>506</v>
      </c>
      <c r="G17" t="s">
        <v>507</v>
      </c>
      <c r="H17" t="s">
        <v>508</v>
      </c>
      <c r="I17" t="s">
        <v>509</v>
      </c>
      <c r="J17" t="s">
        <v>589</v>
      </c>
      <c r="K17" s="502">
        <v>-22.32</v>
      </c>
      <c r="L17" t="s">
        <v>284</v>
      </c>
    </row>
    <row r="18" spans="1:12">
      <c r="A18" t="s">
        <v>586</v>
      </c>
      <c r="B18" t="s">
        <v>3361</v>
      </c>
      <c r="C18" s="60" t="str">
        <f t="shared" si="3"/>
        <v>E5040</v>
      </c>
      <c r="D18" t="s">
        <v>587</v>
      </c>
      <c r="E18" t="s">
        <v>588</v>
      </c>
      <c r="F18" t="s">
        <v>506</v>
      </c>
      <c r="G18" t="s">
        <v>507</v>
      </c>
      <c r="H18" t="s">
        <v>508</v>
      </c>
      <c r="I18" t="s">
        <v>509</v>
      </c>
      <c r="J18" t="s">
        <v>589</v>
      </c>
      <c r="K18" s="502">
        <v>-21.6</v>
      </c>
      <c r="L18" t="s">
        <v>284</v>
      </c>
    </row>
    <row r="19" spans="1:12">
      <c r="A19" t="s">
        <v>586</v>
      </c>
      <c r="B19" t="s">
        <v>3362</v>
      </c>
      <c r="C19" s="60" t="str">
        <f t="shared" si="3"/>
        <v>E5040</v>
      </c>
      <c r="D19" t="s">
        <v>587</v>
      </c>
      <c r="E19" t="s">
        <v>588</v>
      </c>
      <c r="F19" t="s">
        <v>506</v>
      </c>
      <c r="G19" t="s">
        <v>507</v>
      </c>
      <c r="H19" t="s">
        <v>508</v>
      </c>
      <c r="I19" t="s">
        <v>509</v>
      </c>
      <c r="J19" t="s">
        <v>589</v>
      </c>
      <c r="K19" s="502">
        <v>-22.32</v>
      </c>
      <c r="L19" t="s">
        <v>284</v>
      </c>
    </row>
    <row r="20" spans="1:12">
      <c r="A20" t="s">
        <v>586</v>
      </c>
      <c r="B20" t="s">
        <v>3363</v>
      </c>
      <c r="C20" s="60" t="str">
        <f t="shared" si="3"/>
        <v>E5040</v>
      </c>
      <c r="D20" t="s">
        <v>587</v>
      </c>
      <c r="E20" t="s">
        <v>588</v>
      </c>
      <c r="F20" t="s">
        <v>506</v>
      </c>
      <c r="G20" t="s">
        <v>507</v>
      </c>
      <c r="H20" t="s">
        <v>508</v>
      </c>
      <c r="I20" t="s">
        <v>509</v>
      </c>
      <c r="J20" t="s">
        <v>589</v>
      </c>
      <c r="K20" s="502">
        <v>-22.32</v>
      </c>
      <c r="L20" t="s">
        <v>284</v>
      </c>
    </row>
    <row r="21" spans="1:12">
      <c r="A21" t="s">
        <v>586</v>
      </c>
      <c r="B21" t="s">
        <v>3364</v>
      </c>
      <c r="C21" s="60" t="str">
        <f t="shared" si="3"/>
        <v>E5040</v>
      </c>
      <c r="D21" t="s">
        <v>587</v>
      </c>
      <c r="E21" t="s">
        <v>588</v>
      </c>
      <c r="F21" t="s">
        <v>506</v>
      </c>
      <c r="G21" t="s">
        <v>507</v>
      </c>
      <c r="H21" t="s">
        <v>508</v>
      </c>
      <c r="I21" t="s">
        <v>509</v>
      </c>
      <c r="J21" t="s">
        <v>589</v>
      </c>
      <c r="K21" s="502">
        <v>-21.6</v>
      </c>
      <c r="L21" t="s">
        <v>284</v>
      </c>
    </row>
    <row r="22" spans="1:12">
      <c r="A22" t="s">
        <v>586</v>
      </c>
      <c r="B22" t="s">
        <v>3365</v>
      </c>
      <c r="C22" s="60" t="str">
        <f t="shared" si="3"/>
        <v>E5040</v>
      </c>
      <c r="D22" t="s">
        <v>587</v>
      </c>
      <c r="E22" t="s">
        <v>588</v>
      </c>
      <c r="F22" t="s">
        <v>506</v>
      </c>
      <c r="G22" t="s">
        <v>507</v>
      </c>
      <c r="H22" t="s">
        <v>508</v>
      </c>
      <c r="I22" t="s">
        <v>509</v>
      </c>
      <c r="J22" t="s">
        <v>589</v>
      </c>
      <c r="K22" s="502">
        <v>-22.32</v>
      </c>
      <c r="L22" t="s">
        <v>284</v>
      </c>
    </row>
    <row r="23" spans="1:12">
      <c r="A23" t="s">
        <v>586</v>
      </c>
      <c r="B23" t="s">
        <v>3366</v>
      </c>
      <c r="C23" s="60" t="str">
        <f t="shared" si="3"/>
        <v>E5040</v>
      </c>
      <c r="D23" t="s">
        <v>587</v>
      </c>
      <c r="E23" t="s">
        <v>588</v>
      </c>
      <c r="F23" t="s">
        <v>506</v>
      </c>
      <c r="G23" t="s">
        <v>507</v>
      </c>
      <c r="H23" t="s">
        <v>508</v>
      </c>
      <c r="I23" t="s">
        <v>509</v>
      </c>
      <c r="J23" t="s">
        <v>589</v>
      </c>
      <c r="K23" s="502">
        <v>-21.6</v>
      </c>
      <c r="L23" t="s">
        <v>284</v>
      </c>
    </row>
    <row r="24" spans="1:12">
      <c r="A24" t="s">
        <v>586</v>
      </c>
      <c r="B24" t="s">
        <v>3367</v>
      </c>
      <c r="C24" s="60" t="str">
        <f t="shared" si="3"/>
        <v>E5040</v>
      </c>
      <c r="D24" t="s">
        <v>587</v>
      </c>
      <c r="E24" t="s">
        <v>588</v>
      </c>
      <c r="F24" t="s">
        <v>506</v>
      </c>
      <c r="G24" t="s">
        <v>507</v>
      </c>
      <c r="H24" t="s">
        <v>508</v>
      </c>
      <c r="I24" t="s">
        <v>509</v>
      </c>
      <c r="J24" t="s">
        <v>589</v>
      </c>
      <c r="K24" s="502">
        <v>-22.32</v>
      </c>
      <c r="L24" t="s">
        <v>284</v>
      </c>
    </row>
    <row r="25" spans="1:12">
      <c r="A25" t="s">
        <v>586</v>
      </c>
      <c r="B25" t="s">
        <v>3356</v>
      </c>
      <c r="C25" s="3" t="str">
        <f>+'2-Préparation saisie LV PROD'!B7</f>
        <v>E5050</v>
      </c>
      <c r="D25" t="s">
        <v>587</v>
      </c>
      <c r="E25" t="s">
        <v>588</v>
      </c>
      <c r="F25" t="s">
        <v>506</v>
      </c>
      <c r="G25" t="s">
        <v>507</v>
      </c>
      <c r="H25" t="s">
        <v>508</v>
      </c>
      <c r="I25" t="s">
        <v>509</v>
      </c>
      <c r="J25" t="s">
        <v>589</v>
      </c>
      <c r="K25" s="502">
        <v>-22.32</v>
      </c>
      <c r="L25" t="s">
        <v>285</v>
      </c>
    </row>
    <row r="26" spans="1:12">
      <c r="A26" t="s">
        <v>586</v>
      </c>
      <c r="B26" t="s">
        <v>3357</v>
      </c>
      <c r="C26" s="60" t="str">
        <f>C25</f>
        <v>E5050</v>
      </c>
      <c r="D26" t="s">
        <v>587</v>
      </c>
      <c r="E26" t="s">
        <v>588</v>
      </c>
      <c r="F26" t="s">
        <v>506</v>
      </c>
      <c r="G26" t="s">
        <v>507</v>
      </c>
      <c r="H26" t="s">
        <v>508</v>
      </c>
      <c r="I26" t="s">
        <v>509</v>
      </c>
      <c r="J26" t="s">
        <v>589</v>
      </c>
      <c r="K26" s="502">
        <f>K14</f>
        <v>-20.16</v>
      </c>
      <c r="L26" t="s">
        <v>285</v>
      </c>
    </row>
    <row r="27" spans="1:12">
      <c r="A27" t="s">
        <v>586</v>
      </c>
      <c r="B27" t="s">
        <v>3358</v>
      </c>
      <c r="C27" s="60" t="str">
        <f t="shared" ref="C27:C36" si="4">+C26</f>
        <v>E5050</v>
      </c>
      <c r="D27" t="s">
        <v>587</v>
      </c>
      <c r="E27" t="s">
        <v>588</v>
      </c>
      <c r="F27" t="s">
        <v>506</v>
      </c>
      <c r="G27" t="s">
        <v>507</v>
      </c>
      <c r="H27" t="s">
        <v>508</v>
      </c>
      <c r="I27" t="s">
        <v>509</v>
      </c>
      <c r="J27" t="s">
        <v>589</v>
      </c>
      <c r="K27" s="502">
        <v>-22.32</v>
      </c>
      <c r="L27" t="s">
        <v>285</v>
      </c>
    </row>
    <row r="28" spans="1:12">
      <c r="A28" t="s">
        <v>586</v>
      </c>
      <c r="B28" t="s">
        <v>3359</v>
      </c>
      <c r="C28" s="60" t="str">
        <f t="shared" si="4"/>
        <v>E5050</v>
      </c>
      <c r="D28" t="s">
        <v>587</v>
      </c>
      <c r="E28" t="s">
        <v>588</v>
      </c>
      <c r="F28" t="s">
        <v>506</v>
      </c>
      <c r="G28" t="s">
        <v>507</v>
      </c>
      <c r="H28" t="s">
        <v>508</v>
      </c>
      <c r="I28" t="s">
        <v>509</v>
      </c>
      <c r="J28" t="s">
        <v>589</v>
      </c>
      <c r="K28" s="502">
        <v>-21.6</v>
      </c>
      <c r="L28" t="s">
        <v>285</v>
      </c>
    </row>
    <row r="29" spans="1:12">
      <c r="A29" t="s">
        <v>586</v>
      </c>
      <c r="B29" t="s">
        <v>3360</v>
      </c>
      <c r="C29" s="60" t="str">
        <f t="shared" si="4"/>
        <v>E5050</v>
      </c>
      <c r="D29" t="s">
        <v>587</v>
      </c>
      <c r="E29" t="s">
        <v>588</v>
      </c>
      <c r="F29" t="s">
        <v>506</v>
      </c>
      <c r="G29" t="s">
        <v>507</v>
      </c>
      <c r="H29" t="s">
        <v>508</v>
      </c>
      <c r="I29" t="s">
        <v>509</v>
      </c>
      <c r="J29" t="s">
        <v>589</v>
      </c>
      <c r="K29" s="502">
        <v>-22.32</v>
      </c>
      <c r="L29" t="s">
        <v>285</v>
      </c>
    </row>
    <row r="30" spans="1:12">
      <c r="A30" t="s">
        <v>586</v>
      </c>
      <c r="B30" t="s">
        <v>3361</v>
      </c>
      <c r="C30" s="60" t="str">
        <f t="shared" si="4"/>
        <v>E5050</v>
      </c>
      <c r="D30" t="s">
        <v>587</v>
      </c>
      <c r="E30" t="s">
        <v>588</v>
      </c>
      <c r="F30" t="s">
        <v>506</v>
      </c>
      <c r="G30" t="s">
        <v>507</v>
      </c>
      <c r="H30" t="s">
        <v>508</v>
      </c>
      <c r="I30" t="s">
        <v>509</v>
      </c>
      <c r="J30" t="s">
        <v>589</v>
      </c>
      <c r="K30" s="502">
        <v>-21.6</v>
      </c>
      <c r="L30" t="s">
        <v>285</v>
      </c>
    </row>
    <row r="31" spans="1:12">
      <c r="A31" t="s">
        <v>586</v>
      </c>
      <c r="B31" t="s">
        <v>3362</v>
      </c>
      <c r="C31" s="60" t="str">
        <f t="shared" si="4"/>
        <v>E5050</v>
      </c>
      <c r="D31" t="s">
        <v>587</v>
      </c>
      <c r="E31" t="s">
        <v>588</v>
      </c>
      <c r="F31" t="s">
        <v>506</v>
      </c>
      <c r="G31" t="s">
        <v>507</v>
      </c>
      <c r="H31" t="s">
        <v>508</v>
      </c>
      <c r="I31" t="s">
        <v>509</v>
      </c>
      <c r="J31" t="s">
        <v>589</v>
      </c>
      <c r="K31" s="502">
        <v>-22.32</v>
      </c>
      <c r="L31" t="s">
        <v>285</v>
      </c>
    </row>
    <row r="32" spans="1:12">
      <c r="A32" t="s">
        <v>586</v>
      </c>
      <c r="B32" t="s">
        <v>3363</v>
      </c>
      <c r="C32" s="60" t="str">
        <f t="shared" si="4"/>
        <v>E5050</v>
      </c>
      <c r="D32" t="s">
        <v>587</v>
      </c>
      <c r="E32" t="s">
        <v>588</v>
      </c>
      <c r="F32" t="s">
        <v>506</v>
      </c>
      <c r="G32" t="s">
        <v>507</v>
      </c>
      <c r="H32" t="s">
        <v>508</v>
      </c>
      <c r="I32" t="s">
        <v>509</v>
      </c>
      <c r="J32" t="s">
        <v>589</v>
      </c>
      <c r="K32" s="502">
        <v>-22.32</v>
      </c>
      <c r="L32" t="s">
        <v>285</v>
      </c>
    </row>
    <row r="33" spans="1:12">
      <c r="A33" t="s">
        <v>586</v>
      </c>
      <c r="B33" t="s">
        <v>3364</v>
      </c>
      <c r="C33" s="60" t="str">
        <f t="shared" si="4"/>
        <v>E5050</v>
      </c>
      <c r="D33" t="s">
        <v>587</v>
      </c>
      <c r="E33" t="s">
        <v>588</v>
      </c>
      <c r="F33" t="s">
        <v>506</v>
      </c>
      <c r="G33" t="s">
        <v>507</v>
      </c>
      <c r="H33" t="s">
        <v>508</v>
      </c>
      <c r="I33" t="s">
        <v>509</v>
      </c>
      <c r="J33" t="s">
        <v>589</v>
      </c>
      <c r="K33" s="502">
        <v>-21.6</v>
      </c>
      <c r="L33" t="s">
        <v>285</v>
      </c>
    </row>
    <row r="34" spans="1:12">
      <c r="A34" t="s">
        <v>586</v>
      </c>
      <c r="B34" t="s">
        <v>3365</v>
      </c>
      <c r="C34" s="60" t="str">
        <f t="shared" si="4"/>
        <v>E5050</v>
      </c>
      <c r="D34" t="s">
        <v>587</v>
      </c>
      <c r="E34" t="s">
        <v>588</v>
      </c>
      <c r="F34" t="s">
        <v>506</v>
      </c>
      <c r="G34" t="s">
        <v>507</v>
      </c>
      <c r="H34" t="s">
        <v>508</v>
      </c>
      <c r="I34" t="s">
        <v>509</v>
      </c>
      <c r="J34" t="s">
        <v>589</v>
      </c>
      <c r="K34" s="502">
        <v>-22.32</v>
      </c>
      <c r="L34" t="s">
        <v>285</v>
      </c>
    </row>
    <row r="35" spans="1:12">
      <c r="A35" t="s">
        <v>586</v>
      </c>
      <c r="B35" t="s">
        <v>3366</v>
      </c>
      <c r="C35" s="60" t="str">
        <f t="shared" si="4"/>
        <v>E5050</v>
      </c>
      <c r="D35" t="s">
        <v>587</v>
      </c>
      <c r="E35" t="s">
        <v>588</v>
      </c>
      <c r="F35" t="s">
        <v>506</v>
      </c>
      <c r="G35" t="s">
        <v>507</v>
      </c>
      <c r="H35" t="s">
        <v>508</v>
      </c>
      <c r="I35" t="s">
        <v>509</v>
      </c>
      <c r="J35" t="s">
        <v>589</v>
      </c>
      <c r="K35" s="502">
        <v>-21.6</v>
      </c>
      <c r="L35" t="s">
        <v>285</v>
      </c>
    </row>
    <row r="36" spans="1:12">
      <c r="A36" t="s">
        <v>586</v>
      </c>
      <c r="B36" t="s">
        <v>3367</v>
      </c>
      <c r="C36" s="60" t="str">
        <f t="shared" si="4"/>
        <v>E5050</v>
      </c>
      <c r="D36" t="s">
        <v>587</v>
      </c>
      <c r="E36" t="s">
        <v>588</v>
      </c>
      <c r="F36" t="s">
        <v>506</v>
      </c>
      <c r="G36" t="s">
        <v>507</v>
      </c>
      <c r="H36" t="s">
        <v>508</v>
      </c>
      <c r="I36" t="s">
        <v>509</v>
      </c>
      <c r="J36" t="s">
        <v>589</v>
      </c>
      <c r="K36" s="502">
        <v>-22.32</v>
      </c>
      <c r="L36" t="s">
        <v>285</v>
      </c>
    </row>
    <row r="37" spans="1:12">
      <c r="A37" t="s">
        <v>586</v>
      </c>
      <c r="B37" t="s">
        <v>3356</v>
      </c>
      <c r="C37" s="3" t="str">
        <f>+'2-Préparation saisie LV PROD'!B8</f>
        <v>E5070</v>
      </c>
      <c r="D37" t="s">
        <v>587</v>
      </c>
      <c r="E37" t="s">
        <v>588</v>
      </c>
      <c r="F37" t="s">
        <v>506</v>
      </c>
      <c r="G37" t="s">
        <v>507</v>
      </c>
      <c r="H37" t="s">
        <v>508</v>
      </c>
      <c r="I37" t="s">
        <v>509</v>
      </c>
      <c r="J37" t="s">
        <v>589</v>
      </c>
      <c r="K37" s="502">
        <v>-22.32</v>
      </c>
      <c r="L37" t="s">
        <v>528</v>
      </c>
    </row>
    <row r="38" spans="1:12">
      <c r="A38" t="s">
        <v>586</v>
      </c>
      <c r="B38" t="s">
        <v>3357</v>
      </c>
      <c r="C38" s="60" t="str">
        <f>C37</f>
        <v>E5070</v>
      </c>
      <c r="D38" t="s">
        <v>587</v>
      </c>
      <c r="E38" t="s">
        <v>588</v>
      </c>
      <c r="F38" t="s">
        <v>506</v>
      </c>
      <c r="G38" t="s">
        <v>507</v>
      </c>
      <c r="H38" t="s">
        <v>508</v>
      </c>
      <c r="I38" t="s">
        <v>509</v>
      </c>
      <c r="J38" t="s">
        <v>589</v>
      </c>
      <c r="K38" s="502">
        <f>K26</f>
        <v>-20.16</v>
      </c>
      <c r="L38" t="s">
        <v>528</v>
      </c>
    </row>
    <row r="39" spans="1:12">
      <c r="A39" t="s">
        <v>586</v>
      </c>
      <c r="B39" t="s">
        <v>3358</v>
      </c>
      <c r="C39" s="60" t="str">
        <f t="shared" ref="C39:C48" si="5">+C38</f>
        <v>E5070</v>
      </c>
      <c r="D39" t="s">
        <v>587</v>
      </c>
      <c r="E39" t="s">
        <v>588</v>
      </c>
      <c r="F39" t="s">
        <v>506</v>
      </c>
      <c r="G39" t="s">
        <v>507</v>
      </c>
      <c r="H39" t="s">
        <v>508</v>
      </c>
      <c r="I39" t="s">
        <v>509</v>
      </c>
      <c r="J39" t="s">
        <v>589</v>
      </c>
      <c r="K39" s="502">
        <v>-22.32</v>
      </c>
      <c r="L39" t="s">
        <v>528</v>
      </c>
    </row>
    <row r="40" spans="1:12">
      <c r="A40" t="s">
        <v>586</v>
      </c>
      <c r="B40" t="s">
        <v>3359</v>
      </c>
      <c r="C40" s="60" t="str">
        <f t="shared" si="5"/>
        <v>E5070</v>
      </c>
      <c r="D40" t="s">
        <v>587</v>
      </c>
      <c r="E40" t="s">
        <v>588</v>
      </c>
      <c r="F40" t="s">
        <v>506</v>
      </c>
      <c r="G40" t="s">
        <v>507</v>
      </c>
      <c r="H40" t="s">
        <v>508</v>
      </c>
      <c r="I40" t="s">
        <v>509</v>
      </c>
      <c r="J40" t="s">
        <v>589</v>
      </c>
      <c r="K40" s="502">
        <v>-21.6</v>
      </c>
      <c r="L40" t="s">
        <v>528</v>
      </c>
    </row>
    <row r="41" spans="1:12">
      <c r="A41" t="s">
        <v>586</v>
      </c>
      <c r="B41" t="s">
        <v>3360</v>
      </c>
      <c r="C41" s="60" t="str">
        <f t="shared" si="5"/>
        <v>E5070</v>
      </c>
      <c r="D41" t="s">
        <v>587</v>
      </c>
      <c r="E41" t="s">
        <v>588</v>
      </c>
      <c r="F41" t="s">
        <v>506</v>
      </c>
      <c r="G41" t="s">
        <v>507</v>
      </c>
      <c r="H41" t="s">
        <v>508</v>
      </c>
      <c r="I41" t="s">
        <v>509</v>
      </c>
      <c r="J41" t="s">
        <v>589</v>
      </c>
      <c r="K41" s="502">
        <v>-22.32</v>
      </c>
      <c r="L41" t="s">
        <v>528</v>
      </c>
    </row>
    <row r="42" spans="1:12">
      <c r="A42" t="s">
        <v>586</v>
      </c>
      <c r="B42" t="s">
        <v>3361</v>
      </c>
      <c r="C42" s="60" t="str">
        <f t="shared" si="5"/>
        <v>E5070</v>
      </c>
      <c r="D42" t="s">
        <v>587</v>
      </c>
      <c r="E42" t="s">
        <v>588</v>
      </c>
      <c r="F42" t="s">
        <v>506</v>
      </c>
      <c r="G42" t="s">
        <v>507</v>
      </c>
      <c r="H42" t="s">
        <v>508</v>
      </c>
      <c r="I42" t="s">
        <v>509</v>
      </c>
      <c r="J42" t="s">
        <v>589</v>
      </c>
      <c r="K42" s="502">
        <v>-21.6</v>
      </c>
      <c r="L42" t="s">
        <v>528</v>
      </c>
    </row>
    <row r="43" spans="1:12">
      <c r="A43" t="s">
        <v>586</v>
      </c>
      <c r="B43" t="s">
        <v>3362</v>
      </c>
      <c r="C43" s="60" t="str">
        <f t="shared" si="5"/>
        <v>E5070</v>
      </c>
      <c r="D43" t="s">
        <v>587</v>
      </c>
      <c r="E43" t="s">
        <v>588</v>
      </c>
      <c r="F43" t="s">
        <v>506</v>
      </c>
      <c r="G43" t="s">
        <v>507</v>
      </c>
      <c r="H43" t="s">
        <v>508</v>
      </c>
      <c r="I43" t="s">
        <v>509</v>
      </c>
      <c r="J43" t="s">
        <v>589</v>
      </c>
      <c r="K43" s="502">
        <v>-22.32</v>
      </c>
      <c r="L43" t="s">
        <v>528</v>
      </c>
    </row>
    <row r="44" spans="1:12">
      <c r="A44" t="s">
        <v>586</v>
      </c>
      <c r="B44" t="s">
        <v>3363</v>
      </c>
      <c r="C44" s="60" t="str">
        <f t="shared" si="5"/>
        <v>E5070</v>
      </c>
      <c r="D44" t="s">
        <v>587</v>
      </c>
      <c r="E44" t="s">
        <v>588</v>
      </c>
      <c r="F44" t="s">
        <v>506</v>
      </c>
      <c r="G44" t="s">
        <v>507</v>
      </c>
      <c r="H44" t="s">
        <v>508</v>
      </c>
      <c r="I44" t="s">
        <v>509</v>
      </c>
      <c r="J44" t="s">
        <v>589</v>
      </c>
      <c r="K44" s="502">
        <v>-22.32</v>
      </c>
      <c r="L44" t="s">
        <v>528</v>
      </c>
    </row>
    <row r="45" spans="1:12">
      <c r="A45" t="s">
        <v>586</v>
      </c>
      <c r="B45" t="s">
        <v>3364</v>
      </c>
      <c r="C45" s="60" t="str">
        <f t="shared" si="5"/>
        <v>E5070</v>
      </c>
      <c r="D45" t="s">
        <v>587</v>
      </c>
      <c r="E45" t="s">
        <v>588</v>
      </c>
      <c r="F45" t="s">
        <v>506</v>
      </c>
      <c r="G45" t="s">
        <v>507</v>
      </c>
      <c r="H45" t="s">
        <v>508</v>
      </c>
      <c r="I45" t="s">
        <v>509</v>
      </c>
      <c r="J45" t="s">
        <v>589</v>
      </c>
      <c r="K45" s="502">
        <v>-21.6</v>
      </c>
      <c r="L45" t="s">
        <v>528</v>
      </c>
    </row>
    <row r="46" spans="1:12">
      <c r="A46" t="s">
        <v>586</v>
      </c>
      <c r="B46" t="s">
        <v>3365</v>
      </c>
      <c r="C46" s="60" t="str">
        <f t="shared" si="5"/>
        <v>E5070</v>
      </c>
      <c r="D46" t="s">
        <v>587</v>
      </c>
      <c r="E46" t="s">
        <v>588</v>
      </c>
      <c r="F46" t="s">
        <v>506</v>
      </c>
      <c r="G46" t="s">
        <v>507</v>
      </c>
      <c r="H46" t="s">
        <v>508</v>
      </c>
      <c r="I46" t="s">
        <v>509</v>
      </c>
      <c r="J46" t="s">
        <v>589</v>
      </c>
      <c r="K46" s="502">
        <v>-22.32</v>
      </c>
      <c r="L46" t="s">
        <v>528</v>
      </c>
    </row>
    <row r="47" spans="1:12">
      <c r="A47" t="s">
        <v>586</v>
      </c>
      <c r="B47" t="s">
        <v>3366</v>
      </c>
      <c r="C47" s="60" t="str">
        <f t="shared" si="5"/>
        <v>E5070</v>
      </c>
      <c r="D47" t="s">
        <v>587</v>
      </c>
      <c r="E47" t="s">
        <v>588</v>
      </c>
      <c r="F47" t="s">
        <v>506</v>
      </c>
      <c r="G47" t="s">
        <v>507</v>
      </c>
      <c r="H47" t="s">
        <v>508</v>
      </c>
      <c r="I47" t="s">
        <v>509</v>
      </c>
      <c r="J47" t="s">
        <v>589</v>
      </c>
      <c r="K47" s="502">
        <v>-21.6</v>
      </c>
      <c r="L47" t="s">
        <v>528</v>
      </c>
    </row>
    <row r="48" spans="1:12">
      <c r="A48" t="s">
        <v>586</v>
      </c>
      <c r="B48" t="s">
        <v>3367</v>
      </c>
      <c r="C48" s="60" t="str">
        <f t="shared" si="5"/>
        <v>E5070</v>
      </c>
      <c r="D48" t="s">
        <v>587</v>
      </c>
      <c r="E48" t="s">
        <v>588</v>
      </c>
      <c r="F48" t="s">
        <v>506</v>
      </c>
      <c r="G48" t="s">
        <v>507</v>
      </c>
      <c r="H48" t="s">
        <v>508</v>
      </c>
      <c r="I48" t="s">
        <v>509</v>
      </c>
      <c r="J48" t="s">
        <v>589</v>
      </c>
      <c r="K48" s="502">
        <v>-22.32</v>
      </c>
      <c r="L48" t="s">
        <v>528</v>
      </c>
    </row>
    <row r="49" spans="1:12">
      <c r="A49" t="s">
        <v>586</v>
      </c>
      <c r="B49" t="s">
        <v>3356</v>
      </c>
      <c r="C49" s="3" t="str">
        <f>+'2-Préparation saisie LV PROD'!B9</f>
        <v>E5080</v>
      </c>
      <c r="D49" t="s">
        <v>587</v>
      </c>
      <c r="E49" t="s">
        <v>588</v>
      </c>
      <c r="F49" t="s">
        <v>506</v>
      </c>
      <c r="G49" t="s">
        <v>507</v>
      </c>
      <c r="H49" t="s">
        <v>508</v>
      </c>
      <c r="I49" t="s">
        <v>509</v>
      </c>
      <c r="J49" t="s">
        <v>589</v>
      </c>
      <c r="K49" s="502">
        <v>-22.32</v>
      </c>
      <c r="L49" t="s">
        <v>529</v>
      </c>
    </row>
    <row r="50" spans="1:12">
      <c r="A50" t="s">
        <v>586</v>
      </c>
      <c r="B50" t="s">
        <v>3357</v>
      </c>
      <c r="C50" s="60" t="str">
        <f>C49</f>
        <v>E5080</v>
      </c>
      <c r="D50" t="s">
        <v>587</v>
      </c>
      <c r="E50" t="s">
        <v>588</v>
      </c>
      <c r="F50" t="s">
        <v>506</v>
      </c>
      <c r="G50" t="s">
        <v>507</v>
      </c>
      <c r="H50" t="s">
        <v>508</v>
      </c>
      <c r="I50" t="s">
        <v>509</v>
      </c>
      <c r="J50" t="s">
        <v>589</v>
      </c>
      <c r="K50" s="502">
        <f>K38</f>
        <v>-20.16</v>
      </c>
      <c r="L50" t="s">
        <v>529</v>
      </c>
    </row>
    <row r="51" spans="1:12">
      <c r="A51" t="s">
        <v>586</v>
      </c>
      <c r="B51" t="s">
        <v>3358</v>
      </c>
      <c r="C51" s="60" t="str">
        <f t="shared" ref="C51:C60" si="6">+C50</f>
        <v>E5080</v>
      </c>
      <c r="D51" t="s">
        <v>587</v>
      </c>
      <c r="E51" t="s">
        <v>588</v>
      </c>
      <c r="F51" t="s">
        <v>506</v>
      </c>
      <c r="G51" t="s">
        <v>507</v>
      </c>
      <c r="H51" t="s">
        <v>508</v>
      </c>
      <c r="I51" t="s">
        <v>509</v>
      </c>
      <c r="J51" t="s">
        <v>589</v>
      </c>
      <c r="K51" s="502">
        <v>-22.32</v>
      </c>
      <c r="L51" t="s">
        <v>529</v>
      </c>
    </row>
    <row r="52" spans="1:12">
      <c r="A52" t="s">
        <v>586</v>
      </c>
      <c r="B52" t="s">
        <v>3359</v>
      </c>
      <c r="C52" s="60" t="str">
        <f t="shared" si="6"/>
        <v>E5080</v>
      </c>
      <c r="D52" t="s">
        <v>587</v>
      </c>
      <c r="E52" t="s">
        <v>588</v>
      </c>
      <c r="F52" t="s">
        <v>506</v>
      </c>
      <c r="G52" t="s">
        <v>507</v>
      </c>
      <c r="H52" t="s">
        <v>508</v>
      </c>
      <c r="I52" t="s">
        <v>509</v>
      </c>
      <c r="J52" t="s">
        <v>589</v>
      </c>
      <c r="K52" s="502">
        <v>-21.6</v>
      </c>
      <c r="L52" t="s">
        <v>529</v>
      </c>
    </row>
    <row r="53" spans="1:12">
      <c r="A53" t="s">
        <v>586</v>
      </c>
      <c r="B53" t="s">
        <v>3360</v>
      </c>
      <c r="C53" s="60" t="str">
        <f t="shared" si="6"/>
        <v>E5080</v>
      </c>
      <c r="D53" t="s">
        <v>587</v>
      </c>
      <c r="E53" t="s">
        <v>588</v>
      </c>
      <c r="F53" t="s">
        <v>506</v>
      </c>
      <c r="G53" t="s">
        <v>507</v>
      </c>
      <c r="H53" t="s">
        <v>508</v>
      </c>
      <c r="I53" t="s">
        <v>509</v>
      </c>
      <c r="J53" t="s">
        <v>589</v>
      </c>
      <c r="K53" s="502">
        <v>-22.32</v>
      </c>
      <c r="L53" t="s">
        <v>529</v>
      </c>
    </row>
    <row r="54" spans="1:12">
      <c r="A54" t="s">
        <v>586</v>
      </c>
      <c r="B54" t="s">
        <v>3361</v>
      </c>
      <c r="C54" s="60" t="str">
        <f t="shared" si="6"/>
        <v>E5080</v>
      </c>
      <c r="D54" t="s">
        <v>587</v>
      </c>
      <c r="E54" t="s">
        <v>588</v>
      </c>
      <c r="F54" t="s">
        <v>506</v>
      </c>
      <c r="G54" t="s">
        <v>507</v>
      </c>
      <c r="H54" t="s">
        <v>508</v>
      </c>
      <c r="I54" t="s">
        <v>509</v>
      </c>
      <c r="J54" t="s">
        <v>589</v>
      </c>
      <c r="K54" s="502">
        <v>-21.6</v>
      </c>
      <c r="L54" t="s">
        <v>529</v>
      </c>
    </row>
    <row r="55" spans="1:12">
      <c r="A55" t="s">
        <v>586</v>
      </c>
      <c r="B55" t="s">
        <v>3362</v>
      </c>
      <c r="C55" s="60" t="str">
        <f t="shared" si="6"/>
        <v>E5080</v>
      </c>
      <c r="D55" t="s">
        <v>587</v>
      </c>
      <c r="E55" t="s">
        <v>588</v>
      </c>
      <c r="F55" t="s">
        <v>506</v>
      </c>
      <c r="G55" t="s">
        <v>507</v>
      </c>
      <c r="H55" t="s">
        <v>508</v>
      </c>
      <c r="I55" t="s">
        <v>509</v>
      </c>
      <c r="J55" t="s">
        <v>589</v>
      </c>
      <c r="K55" s="502">
        <v>-22.32</v>
      </c>
      <c r="L55" t="s">
        <v>529</v>
      </c>
    </row>
    <row r="56" spans="1:12">
      <c r="A56" t="s">
        <v>586</v>
      </c>
      <c r="B56" t="s">
        <v>3363</v>
      </c>
      <c r="C56" s="60" t="str">
        <f t="shared" si="6"/>
        <v>E5080</v>
      </c>
      <c r="D56" t="s">
        <v>587</v>
      </c>
      <c r="E56" t="s">
        <v>588</v>
      </c>
      <c r="F56" t="s">
        <v>506</v>
      </c>
      <c r="G56" t="s">
        <v>507</v>
      </c>
      <c r="H56" t="s">
        <v>508</v>
      </c>
      <c r="I56" t="s">
        <v>509</v>
      </c>
      <c r="J56" t="s">
        <v>589</v>
      </c>
      <c r="K56" s="502">
        <v>-22.32</v>
      </c>
      <c r="L56" t="s">
        <v>529</v>
      </c>
    </row>
    <row r="57" spans="1:12">
      <c r="A57" t="s">
        <v>586</v>
      </c>
      <c r="B57" t="s">
        <v>3364</v>
      </c>
      <c r="C57" s="60" t="str">
        <f t="shared" si="6"/>
        <v>E5080</v>
      </c>
      <c r="D57" t="s">
        <v>587</v>
      </c>
      <c r="E57" t="s">
        <v>588</v>
      </c>
      <c r="F57" t="s">
        <v>506</v>
      </c>
      <c r="G57" t="s">
        <v>507</v>
      </c>
      <c r="H57" t="s">
        <v>508</v>
      </c>
      <c r="I57" t="s">
        <v>509</v>
      </c>
      <c r="J57" t="s">
        <v>589</v>
      </c>
      <c r="K57" s="502">
        <v>-21.6</v>
      </c>
      <c r="L57" t="s">
        <v>529</v>
      </c>
    </row>
    <row r="58" spans="1:12">
      <c r="A58" t="s">
        <v>586</v>
      </c>
      <c r="B58" t="s">
        <v>3365</v>
      </c>
      <c r="C58" s="60" t="str">
        <f t="shared" si="6"/>
        <v>E5080</v>
      </c>
      <c r="D58" t="s">
        <v>587</v>
      </c>
      <c r="E58" t="s">
        <v>588</v>
      </c>
      <c r="F58" t="s">
        <v>506</v>
      </c>
      <c r="G58" t="s">
        <v>507</v>
      </c>
      <c r="H58" t="s">
        <v>508</v>
      </c>
      <c r="I58" t="s">
        <v>509</v>
      </c>
      <c r="J58" t="s">
        <v>589</v>
      </c>
      <c r="K58" s="502">
        <v>-22.32</v>
      </c>
      <c r="L58" t="s">
        <v>529</v>
      </c>
    </row>
    <row r="59" spans="1:12">
      <c r="A59" t="s">
        <v>586</v>
      </c>
      <c r="B59" t="s">
        <v>3366</v>
      </c>
      <c r="C59" s="60" t="str">
        <f t="shared" si="6"/>
        <v>E5080</v>
      </c>
      <c r="D59" t="s">
        <v>587</v>
      </c>
      <c r="E59" t="s">
        <v>588</v>
      </c>
      <c r="F59" t="s">
        <v>506</v>
      </c>
      <c r="G59" t="s">
        <v>507</v>
      </c>
      <c r="H59" t="s">
        <v>508</v>
      </c>
      <c r="I59" t="s">
        <v>509</v>
      </c>
      <c r="J59" t="s">
        <v>589</v>
      </c>
      <c r="K59" s="502">
        <v>-21.6</v>
      </c>
      <c r="L59" t="s">
        <v>529</v>
      </c>
    </row>
    <row r="60" spans="1:12">
      <c r="A60" t="s">
        <v>586</v>
      </c>
      <c r="B60" t="s">
        <v>3367</v>
      </c>
      <c r="C60" s="60" t="str">
        <f t="shared" si="6"/>
        <v>E5080</v>
      </c>
      <c r="D60" t="s">
        <v>587</v>
      </c>
      <c r="E60" t="s">
        <v>588</v>
      </c>
      <c r="F60" t="s">
        <v>506</v>
      </c>
      <c r="G60" t="s">
        <v>507</v>
      </c>
      <c r="H60" t="s">
        <v>508</v>
      </c>
      <c r="I60" t="s">
        <v>509</v>
      </c>
      <c r="J60" t="s">
        <v>589</v>
      </c>
      <c r="K60" s="502">
        <v>-22.32</v>
      </c>
      <c r="L60" t="s">
        <v>529</v>
      </c>
    </row>
    <row r="61" spans="1:12">
      <c r="A61" t="s">
        <v>586</v>
      </c>
      <c r="B61" t="s">
        <v>3356</v>
      </c>
      <c r="C61" s="3" t="str">
        <f>+'2-Préparation saisie LV PROD'!B10</f>
        <v>E5090</v>
      </c>
      <c r="D61" t="s">
        <v>587</v>
      </c>
      <c r="E61" t="s">
        <v>588</v>
      </c>
      <c r="F61" t="s">
        <v>506</v>
      </c>
      <c r="G61" t="s">
        <v>507</v>
      </c>
      <c r="H61" t="s">
        <v>508</v>
      </c>
      <c r="I61" t="s">
        <v>509</v>
      </c>
      <c r="J61" t="s">
        <v>589</v>
      </c>
      <c r="K61" s="502">
        <v>-22.32</v>
      </c>
      <c r="L61" t="s">
        <v>530</v>
      </c>
    </row>
    <row r="62" spans="1:12">
      <c r="A62" t="s">
        <v>586</v>
      </c>
      <c r="B62" t="s">
        <v>3357</v>
      </c>
      <c r="C62" s="60" t="str">
        <f>C61</f>
        <v>E5090</v>
      </c>
      <c r="D62" t="s">
        <v>587</v>
      </c>
      <c r="E62" t="s">
        <v>588</v>
      </c>
      <c r="F62" t="s">
        <v>506</v>
      </c>
      <c r="G62" t="s">
        <v>507</v>
      </c>
      <c r="H62" t="s">
        <v>508</v>
      </c>
      <c r="I62" t="s">
        <v>509</v>
      </c>
      <c r="J62" t="s">
        <v>589</v>
      </c>
      <c r="K62" s="502">
        <f>K50</f>
        <v>-20.16</v>
      </c>
      <c r="L62" t="s">
        <v>530</v>
      </c>
    </row>
    <row r="63" spans="1:12">
      <c r="A63" t="s">
        <v>586</v>
      </c>
      <c r="B63" t="s">
        <v>3358</v>
      </c>
      <c r="C63" s="60" t="str">
        <f t="shared" ref="C63:C72" si="7">+C62</f>
        <v>E5090</v>
      </c>
      <c r="D63" t="s">
        <v>587</v>
      </c>
      <c r="E63" t="s">
        <v>588</v>
      </c>
      <c r="F63" t="s">
        <v>506</v>
      </c>
      <c r="G63" t="s">
        <v>507</v>
      </c>
      <c r="H63" t="s">
        <v>508</v>
      </c>
      <c r="I63" t="s">
        <v>509</v>
      </c>
      <c r="J63" t="s">
        <v>589</v>
      </c>
      <c r="K63" s="502">
        <v>-22.32</v>
      </c>
      <c r="L63" t="s">
        <v>530</v>
      </c>
    </row>
    <row r="64" spans="1:12">
      <c r="A64" t="s">
        <v>586</v>
      </c>
      <c r="B64" t="s">
        <v>3359</v>
      </c>
      <c r="C64" s="60" t="str">
        <f t="shared" si="7"/>
        <v>E5090</v>
      </c>
      <c r="D64" t="s">
        <v>587</v>
      </c>
      <c r="E64" t="s">
        <v>588</v>
      </c>
      <c r="F64" t="s">
        <v>506</v>
      </c>
      <c r="G64" t="s">
        <v>507</v>
      </c>
      <c r="H64" t="s">
        <v>508</v>
      </c>
      <c r="I64" t="s">
        <v>509</v>
      </c>
      <c r="J64" t="s">
        <v>589</v>
      </c>
      <c r="K64" s="502">
        <v>-21.6</v>
      </c>
      <c r="L64" t="s">
        <v>530</v>
      </c>
    </row>
    <row r="65" spans="1:12">
      <c r="A65" t="s">
        <v>586</v>
      </c>
      <c r="B65" t="s">
        <v>3360</v>
      </c>
      <c r="C65" s="60" t="str">
        <f t="shared" si="7"/>
        <v>E5090</v>
      </c>
      <c r="D65" t="s">
        <v>587</v>
      </c>
      <c r="E65" t="s">
        <v>588</v>
      </c>
      <c r="F65" t="s">
        <v>506</v>
      </c>
      <c r="G65" t="s">
        <v>507</v>
      </c>
      <c r="H65" t="s">
        <v>508</v>
      </c>
      <c r="I65" t="s">
        <v>509</v>
      </c>
      <c r="J65" t="s">
        <v>589</v>
      </c>
      <c r="K65" s="502">
        <v>-22.32</v>
      </c>
      <c r="L65" t="s">
        <v>530</v>
      </c>
    </row>
    <row r="66" spans="1:12">
      <c r="A66" t="s">
        <v>586</v>
      </c>
      <c r="B66" t="s">
        <v>3361</v>
      </c>
      <c r="C66" s="60" t="str">
        <f t="shared" si="7"/>
        <v>E5090</v>
      </c>
      <c r="D66" t="s">
        <v>587</v>
      </c>
      <c r="E66" t="s">
        <v>588</v>
      </c>
      <c r="F66" t="s">
        <v>506</v>
      </c>
      <c r="G66" t="s">
        <v>507</v>
      </c>
      <c r="H66" t="s">
        <v>508</v>
      </c>
      <c r="I66" t="s">
        <v>509</v>
      </c>
      <c r="J66" t="s">
        <v>589</v>
      </c>
      <c r="K66" s="502">
        <v>-21.6</v>
      </c>
      <c r="L66" t="s">
        <v>530</v>
      </c>
    </row>
    <row r="67" spans="1:12">
      <c r="A67" t="s">
        <v>586</v>
      </c>
      <c r="B67" t="s">
        <v>3362</v>
      </c>
      <c r="C67" s="60" t="str">
        <f t="shared" si="7"/>
        <v>E5090</v>
      </c>
      <c r="D67" t="s">
        <v>587</v>
      </c>
      <c r="E67" t="s">
        <v>588</v>
      </c>
      <c r="F67" t="s">
        <v>506</v>
      </c>
      <c r="G67" t="s">
        <v>507</v>
      </c>
      <c r="H67" t="s">
        <v>508</v>
      </c>
      <c r="I67" t="s">
        <v>509</v>
      </c>
      <c r="J67" t="s">
        <v>589</v>
      </c>
      <c r="K67" s="502">
        <v>-22.32</v>
      </c>
      <c r="L67" t="s">
        <v>530</v>
      </c>
    </row>
    <row r="68" spans="1:12">
      <c r="A68" t="s">
        <v>586</v>
      </c>
      <c r="B68" t="s">
        <v>3363</v>
      </c>
      <c r="C68" s="60" t="str">
        <f t="shared" si="7"/>
        <v>E5090</v>
      </c>
      <c r="D68" t="s">
        <v>587</v>
      </c>
      <c r="E68" t="s">
        <v>588</v>
      </c>
      <c r="F68" t="s">
        <v>506</v>
      </c>
      <c r="G68" t="s">
        <v>507</v>
      </c>
      <c r="H68" t="s">
        <v>508</v>
      </c>
      <c r="I68" t="s">
        <v>509</v>
      </c>
      <c r="J68" t="s">
        <v>589</v>
      </c>
      <c r="K68" s="502">
        <v>-22.32</v>
      </c>
      <c r="L68" t="s">
        <v>530</v>
      </c>
    </row>
    <row r="69" spans="1:12">
      <c r="A69" t="s">
        <v>586</v>
      </c>
      <c r="B69" t="s">
        <v>3364</v>
      </c>
      <c r="C69" s="60" t="str">
        <f t="shared" si="7"/>
        <v>E5090</v>
      </c>
      <c r="D69" t="s">
        <v>587</v>
      </c>
      <c r="E69" t="s">
        <v>588</v>
      </c>
      <c r="F69" t="s">
        <v>506</v>
      </c>
      <c r="G69" t="s">
        <v>507</v>
      </c>
      <c r="H69" t="s">
        <v>508</v>
      </c>
      <c r="I69" t="s">
        <v>509</v>
      </c>
      <c r="J69" t="s">
        <v>589</v>
      </c>
      <c r="K69" s="502">
        <v>-21.6</v>
      </c>
      <c r="L69" t="s">
        <v>530</v>
      </c>
    </row>
    <row r="70" spans="1:12">
      <c r="A70" t="s">
        <v>586</v>
      </c>
      <c r="B70" t="s">
        <v>3365</v>
      </c>
      <c r="C70" s="60" t="str">
        <f t="shared" si="7"/>
        <v>E5090</v>
      </c>
      <c r="D70" t="s">
        <v>587</v>
      </c>
      <c r="E70" t="s">
        <v>588</v>
      </c>
      <c r="F70" t="s">
        <v>506</v>
      </c>
      <c r="G70" t="s">
        <v>507</v>
      </c>
      <c r="H70" t="s">
        <v>508</v>
      </c>
      <c r="I70" t="s">
        <v>509</v>
      </c>
      <c r="J70" t="s">
        <v>589</v>
      </c>
      <c r="K70" s="502">
        <v>-22.32</v>
      </c>
      <c r="L70" t="s">
        <v>530</v>
      </c>
    </row>
    <row r="71" spans="1:12">
      <c r="A71" t="s">
        <v>586</v>
      </c>
      <c r="B71" t="s">
        <v>3366</v>
      </c>
      <c r="C71" s="60" t="str">
        <f t="shared" si="7"/>
        <v>E5090</v>
      </c>
      <c r="D71" t="s">
        <v>587</v>
      </c>
      <c r="E71" t="s">
        <v>588</v>
      </c>
      <c r="F71" t="s">
        <v>506</v>
      </c>
      <c r="G71" t="s">
        <v>507</v>
      </c>
      <c r="H71" t="s">
        <v>508</v>
      </c>
      <c r="I71" t="s">
        <v>509</v>
      </c>
      <c r="J71" t="s">
        <v>589</v>
      </c>
      <c r="K71" s="502">
        <v>-21.6</v>
      </c>
      <c r="L71" t="s">
        <v>530</v>
      </c>
    </row>
    <row r="72" spans="1:12">
      <c r="A72" t="s">
        <v>586</v>
      </c>
      <c r="B72" t="s">
        <v>3367</v>
      </c>
      <c r="C72" s="60" t="str">
        <f t="shared" si="7"/>
        <v>E5090</v>
      </c>
      <c r="D72" t="s">
        <v>587</v>
      </c>
      <c r="E72" t="s">
        <v>588</v>
      </c>
      <c r="F72" t="s">
        <v>506</v>
      </c>
      <c r="G72" t="s">
        <v>507</v>
      </c>
      <c r="H72" t="s">
        <v>508</v>
      </c>
      <c r="I72" t="s">
        <v>509</v>
      </c>
      <c r="J72" t="s">
        <v>589</v>
      </c>
      <c r="K72" s="502">
        <v>-22.32</v>
      </c>
      <c r="L72" t="s">
        <v>530</v>
      </c>
    </row>
    <row r="73" spans="1:12">
      <c r="A73" t="s">
        <v>586</v>
      </c>
      <c r="B73" t="s">
        <v>3356</v>
      </c>
      <c r="C73" s="3" t="str">
        <f>+'2-Préparation saisie LV PROD'!B11</f>
        <v>E5100</v>
      </c>
      <c r="D73" t="s">
        <v>587</v>
      </c>
      <c r="E73" t="s">
        <v>588</v>
      </c>
      <c r="F73" t="s">
        <v>506</v>
      </c>
      <c r="G73" t="s">
        <v>507</v>
      </c>
      <c r="H73" t="s">
        <v>508</v>
      </c>
      <c r="I73" t="s">
        <v>509</v>
      </c>
      <c r="J73" t="s">
        <v>589</v>
      </c>
      <c r="K73" s="502">
        <v>-22.32</v>
      </c>
      <c r="L73" t="s">
        <v>531</v>
      </c>
    </row>
    <row r="74" spans="1:12">
      <c r="A74" t="s">
        <v>586</v>
      </c>
      <c r="B74" t="s">
        <v>3357</v>
      </c>
      <c r="C74" s="60" t="str">
        <f>C73</f>
        <v>E5100</v>
      </c>
      <c r="D74" t="s">
        <v>587</v>
      </c>
      <c r="E74" t="s">
        <v>588</v>
      </c>
      <c r="F74" t="s">
        <v>506</v>
      </c>
      <c r="G74" t="s">
        <v>507</v>
      </c>
      <c r="H74" t="s">
        <v>508</v>
      </c>
      <c r="I74" t="s">
        <v>509</v>
      </c>
      <c r="J74" t="s">
        <v>589</v>
      </c>
      <c r="K74" s="502">
        <f>K62</f>
        <v>-20.16</v>
      </c>
      <c r="L74" t="s">
        <v>531</v>
      </c>
    </row>
    <row r="75" spans="1:12">
      <c r="A75" t="s">
        <v>586</v>
      </c>
      <c r="B75" t="s">
        <v>3358</v>
      </c>
      <c r="C75" s="60" t="str">
        <f t="shared" ref="C75:C84" si="8">+C74</f>
        <v>E5100</v>
      </c>
      <c r="D75" t="s">
        <v>587</v>
      </c>
      <c r="E75" t="s">
        <v>588</v>
      </c>
      <c r="F75" t="s">
        <v>506</v>
      </c>
      <c r="G75" t="s">
        <v>507</v>
      </c>
      <c r="H75" t="s">
        <v>508</v>
      </c>
      <c r="I75" t="s">
        <v>509</v>
      </c>
      <c r="J75" t="s">
        <v>589</v>
      </c>
      <c r="K75" s="502">
        <v>-22.32</v>
      </c>
      <c r="L75" t="s">
        <v>531</v>
      </c>
    </row>
    <row r="76" spans="1:12">
      <c r="A76" t="s">
        <v>586</v>
      </c>
      <c r="B76" t="s">
        <v>3359</v>
      </c>
      <c r="C76" s="60" t="str">
        <f t="shared" si="8"/>
        <v>E5100</v>
      </c>
      <c r="D76" t="s">
        <v>587</v>
      </c>
      <c r="E76" t="s">
        <v>588</v>
      </c>
      <c r="F76" t="s">
        <v>506</v>
      </c>
      <c r="G76" t="s">
        <v>507</v>
      </c>
      <c r="H76" t="s">
        <v>508</v>
      </c>
      <c r="I76" t="s">
        <v>509</v>
      </c>
      <c r="J76" t="s">
        <v>589</v>
      </c>
      <c r="K76" s="502">
        <v>-21.6</v>
      </c>
      <c r="L76" t="s">
        <v>531</v>
      </c>
    </row>
    <row r="77" spans="1:12">
      <c r="A77" t="s">
        <v>586</v>
      </c>
      <c r="B77" t="s">
        <v>3360</v>
      </c>
      <c r="C77" s="60" t="str">
        <f t="shared" si="8"/>
        <v>E5100</v>
      </c>
      <c r="D77" t="s">
        <v>587</v>
      </c>
      <c r="E77" t="s">
        <v>588</v>
      </c>
      <c r="F77" t="s">
        <v>506</v>
      </c>
      <c r="G77" t="s">
        <v>507</v>
      </c>
      <c r="H77" t="s">
        <v>508</v>
      </c>
      <c r="I77" t="s">
        <v>509</v>
      </c>
      <c r="J77" t="s">
        <v>589</v>
      </c>
      <c r="K77" s="502">
        <v>-22.32</v>
      </c>
      <c r="L77" t="s">
        <v>531</v>
      </c>
    </row>
    <row r="78" spans="1:12">
      <c r="A78" t="s">
        <v>586</v>
      </c>
      <c r="B78" t="s">
        <v>3361</v>
      </c>
      <c r="C78" s="60" t="str">
        <f t="shared" si="8"/>
        <v>E5100</v>
      </c>
      <c r="D78" t="s">
        <v>587</v>
      </c>
      <c r="E78" t="s">
        <v>588</v>
      </c>
      <c r="F78" t="s">
        <v>506</v>
      </c>
      <c r="G78" t="s">
        <v>507</v>
      </c>
      <c r="H78" t="s">
        <v>508</v>
      </c>
      <c r="I78" t="s">
        <v>509</v>
      </c>
      <c r="J78" t="s">
        <v>589</v>
      </c>
      <c r="K78" s="502">
        <v>-21.6</v>
      </c>
      <c r="L78" t="s">
        <v>531</v>
      </c>
    </row>
    <row r="79" spans="1:12">
      <c r="A79" t="s">
        <v>586</v>
      </c>
      <c r="B79" t="s">
        <v>3362</v>
      </c>
      <c r="C79" s="60" t="str">
        <f t="shared" si="8"/>
        <v>E5100</v>
      </c>
      <c r="D79" t="s">
        <v>587</v>
      </c>
      <c r="E79" t="s">
        <v>588</v>
      </c>
      <c r="F79" t="s">
        <v>506</v>
      </c>
      <c r="G79" t="s">
        <v>507</v>
      </c>
      <c r="H79" t="s">
        <v>508</v>
      </c>
      <c r="I79" t="s">
        <v>509</v>
      </c>
      <c r="J79" t="s">
        <v>589</v>
      </c>
      <c r="K79" s="502">
        <v>-22.32</v>
      </c>
      <c r="L79" t="s">
        <v>531</v>
      </c>
    </row>
    <row r="80" spans="1:12">
      <c r="A80" t="s">
        <v>586</v>
      </c>
      <c r="B80" t="s">
        <v>3363</v>
      </c>
      <c r="C80" s="60" t="str">
        <f t="shared" si="8"/>
        <v>E5100</v>
      </c>
      <c r="D80" t="s">
        <v>587</v>
      </c>
      <c r="E80" t="s">
        <v>588</v>
      </c>
      <c r="F80" t="s">
        <v>506</v>
      </c>
      <c r="G80" t="s">
        <v>507</v>
      </c>
      <c r="H80" t="s">
        <v>508</v>
      </c>
      <c r="I80" t="s">
        <v>509</v>
      </c>
      <c r="J80" t="s">
        <v>589</v>
      </c>
      <c r="K80" s="502">
        <v>-22.32</v>
      </c>
      <c r="L80" t="s">
        <v>531</v>
      </c>
    </row>
    <row r="81" spans="1:12">
      <c r="A81" t="s">
        <v>586</v>
      </c>
      <c r="B81" t="s">
        <v>3364</v>
      </c>
      <c r="C81" s="60" t="str">
        <f t="shared" si="8"/>
        <v>E5100</v>
      </c>
      <c r="D81" t="s">
        <v>587</v>
      </c>
      <c r="E81" t="s">
        <v>588</v>
      </c>
      <c r="F81" t="s">
        <v>506</v>
      </c>
      <c r="G81" t="s">
        <v>507</v>
      </c>
      <c r="H81" t="s">
        <v>508</v>
      </c>
      <c r="I81" t="s">
        <v>509</v>
      </c>
      <c r="J81" t="s">
        <v>589</v>
      </c>
      <c r="K81" s="502">
        <v>-21.6</v>
      </c>
      <c r="L81" t="s">
        <v>531</v>
      </c>
    </row>
    <row r="82" spans="1:12">
      <c r="A82" t="s">
        <v>586</v>
      </c>
      <c r="B82" t="s">
        <v>3365</v>
      </c>
      <c r="C82" s="60" t="str">
        <f t="shared" si="8"/>
        <v>E5100</v>
      </c>
      <c r="D82" t="s">
        <v>587</v>
      </c>
      <c r="E82" t="s">
        <v>588</v>
      </c>
      <c r="F82" t="s">
        <v>506</v>
      </c>
      <c r="G82" t="s">
        <v>507</v>
      </c>
      <c r="H82" t="s">
        <v>508</v>
      </c>
      <c r="I82" t="s">
        <v>509</v>
      </c>
      <c r="J82" t="s">
        <v>589</v>
      </c>
      <c r="K82" s="502">
        <v>-22.32</v>
      </c>
      <c r="L82" t="s">
        <v>531</v>
      </c>
    </row>
    <row r="83" spans="1:12">
      <c r="A83" t="s">
        <v>586</v>
      </c>
      <c r="B83" t="s">
        <v>3366</v>
      </c>
      <c r="C83" s="60" t="str">
        <f t="shared" si="8"/>
        <v>E5100</v>
      </c>
      <c r="D83" t="s">
        <v>587</v>
      </c>
      <c r="E83" t="s">
        <v>588</v>
      </c>
      <c r="F83" t="s">
        <v>506</v>
      </c>
      <c r="G83" t="s">
        <v>507</v>
      </c>
      <c r="H83" t="s">
        <v>508</v>
      </c>
      <c r="I83" t="s">
        <v>509</v>
      </c>
      <c r="J83" t="s">
        <v>589</v>
      </c>
      <c r="K83" s="502">
        <v>-21.6</v>
      </c>
      <c r="L83" t="s">
        <v>531</v>
      </c>
    </row>
    <row r="84" spans="1:12">
      <c r="A84" t="s">
        <v>586</v>
      </c>
      <c r="B84" t="s">
        <v>3367</v>
      </c>
      <c r="C84" s="60" t="str">
        <f t="shared" si="8"/>
        <v>E5100</v>
      </c>
      <c r="D84" t="s">
        <v>587</v>
      </c>
      <c r="E84" t="s">
        <v>588</v>
      </c>
      <c r="F84" t="s">
        <v>506</v>
      </c>
      <c r="G84" t="s">
        <v>507</v>
      </c>
      <c r="H84" t="s">
        <v>508</v>
      </c>
      <c r="I84" t="s">
        <v>509</v>
      </c>
      <c r="J84" t="s">
        <v>589</v>
      </c>
      <c r="K84" s="502">
        <v>-22.32</v>
      </c>
      <c r="L84" t="s">
        <v>531</v>
      </c>
    </row>
    <row r="85" spans="1:12">
      <c r="A85" t="s">
        <v>586</v>
      </c>
      <c r="B85" t="s">
        <v>3356</v>
      </c>
      <c r="C85" s="3" t="str">
        <f>+'2-Préparation saisie LV PROD'!B12</f>
        <v>E5110</v>
      </c>
      <c r="D85" t="s">
        <v>587</v>
      </c>
      <c r="E85" t="s">
        <v>588</v>
      </c>
      <c r="F85" t="s">
        <v>506</v>
      </c>
      <c r="G85" t="s">
        <v>507</v>
      </c>
      <c r="H85" t="s">
        <v>508</v>
      </c>
      <c r="I85" t="s">
        <v>509</v>
      </c>
      <c r="J85" t="s">
        <v>589</v>
      </c>
      <c r="K85" s="502">
        <v>-744</v>
      </c>
      <c r="L85" t="s">
        <v>532</v>
      </c>
    </row>
    <row r="86" spans="1:12">
      <c r="A86" t="s">
        <v>586</v>
      </c>
      <c r="B86" t="s">
        <v>3357</v>
      </c>
      <c r="C86" s="60" t="str">
        <f>C85</f>
        <v>E5110</v>
      </c>
      <c r="D86" t="s">
        <v>587</v>
      </c>
      <c r="E86" t="s">
        <v>588</v>
      </c>
      <c r="F86" t="s">
        <v>506</v>
      </c>
      <c r="G86" t="s">
        <v>507</v>
      </c>
      <c r="H86" t="s">
        <v>508</v>
      </c>
      <c r="I86" t="s">
        <v>509</v>
      </c>
      <c r="J86" t="s">
        <v>589</v>
      </c>
      <c r="K86" s="502">
        <v>-672</v>
      </c>
      <c r="L86" t="s">
        <v>532</v>
      </c>
    </row>
    <row r="87" spans="1:12">
      <c r="A87" t="s">
        <v>586</v>
      </c>
      <c r="B87" t="s">
        <v>3358</v>
      </c>
      <c r="C87" s="60" t="str">
        <f t="shared" ref="C87:C96" si="9">+C86</f>
        <v>E5110</v>
      </c>
      <c r="D87" t="s">
        <v>587</v>
      </c>
      <c r="E87" t="s">
        <v>588</v>
      </c>
      <c r="F87" t="s">
        <v>506</v>
      </c>
      <c r="G87" t="s">
        <v>507</v>
      </c>
      <c r="H87" t="s">
        <v>508</v>
      </c>
      <c r="I87" t="s">
        <v>509</v>
      </c>
      <c r="J87" t="s">
        <v>589</v>
      </c>
      <c r="K87" s="502">
        <v>-744</v>
      </c>
      <c r="L87" t="s">
        <v>532</v>
      </c>
    </row>
    <row r="88" spans="1:12">
      <c r="A88" t="s">
        <v>586</v>
      </c>
      <c r="B88" t="s">
        <v>3359</v>
      </c>
      <c r="C88" s="60" t="str">
        <f t="shared" si="9"/>
        <v>E5110</v>
      </c>
      <c r="D88" t="s">
        <v>587</v>
      </c>
      <c r="E88" t="s">
        <v>588</v>
      </c>
      <c r="F88" t="s">
        <v>506</v>
      </c>
      <c r="G88" t="s">
        <v>507</v>
      </c>
      <c r="H88" t="s">
        <v>508</v>
      </c>
      <c r="I88" t="s">
        <v>509</v>
      </c>
      <c r="J88" t="s">
        <v>589</v>
      </c>
      <c r="K88" s="502">
        <v>-720</v>
      </c>
      <c r="L88" t="s">
        <v>532</v>
      </c>
    </row>
    <row r="89" spans="1:12">
      <c r="A89" t="s">
        <v>586</v>
      </c>
      <c r="B89" t="s">
        <v>3360</v>
      </c>
      <c r="C89" s="60" t="str">
        <f t="shared" si="9"/>
        <v>E5110</v>
      </c>
      <c r="D89" t="s">
        <v>587</v>
      </c>
      <c r="E89" t="s">
        <v>588</v>
      </c>
      <c r="F89" t="s">
        <v>506</v>
      </c>
      <c r="G89" t="s">
        <v>507</v>
      </c>
      <c r="H89" t="s">
        <v>508</v>
      </c>
      <c r="I89" t="s">
        <v>509</v>
      </c>
      <c r="J89" t="s">
        <v>589</v>
      </c>
      <c r="K89" s="502">
        <v>-744</v>
      </c>
      <c r="L89" t="s">
        <v>532</v>
      </c>
    </row>
    <row r="90" spans="1:12">
      <c r="A90" t="s">
        <v>586</v>
      </c>
      <c r="B90" t="s">
        <v>3361</v>
      </c>
      <c r="C90" s="60" t="str">
        <f t="shared" si="9"/>
        <v>E5110</v>
      </c>
      <c r="D90" t="s">
        <v>587</v>
      </c>
      <c r="E90" t="s">
        <v>588</v>
      </c>
      <c r="F90" t="s">
        <v>506</v>
      </c>
      <c r="G90" t="s">
        <v>507</v>
      </c>
      <c r="H90" t="s">
        <v>508</v>
      </c>
      <c r="I90" t="s">
        <v>509</v>
      </c>
      <c r="J90" t="s">
        <v>589</v>
      </c>
      <c r="K90" s="502">
        <v>-720</v>
      </c>
      <c r="L90" t="s">
        <v>532</v>
      </c>
    </row>
    <row r="91" spans="1:12">
      <c r="A91" t="s">
        <v>586</v>
      </c>
      <c r="B91" t="s">
        <v>3362</v>
      </c>
      <c r="C91" s="60" t="str">
        <f t="shared" si="9"/>
        <v>E5110</v>
      </c>
      <c r="D91" t="s">
        <v>587</v>
      </c>
      <c r="E91" t="s">
        <v>588</v>
      </c>
      <c r="F91" t="s">
        <v>506</v>
      </c>
      <c r="G91" t="s">
        <v>507</v>
      </c>
      <c r="H91" t="s">
        <v>508</v>
      </c>
      <c r="I91" t="s">
        <v>509</v>
      </c>
      <c r="J91" t="s">
        <v>589</v>
      </c>
      <c r="K91" s="502">
        <v>-744</v>
      </c>
      <c r="L91" t="s">
        <v>532</v>
      </c>
    </row>
    <row r="92" spans="1:12">
      <c r="A92" t="s">
        <v>586</v>
      </c>
      <c r="B92" t="s">
        <v>3363</v>
      </c>
      <c r="C92" s="60" t="str">
        <f t="shared" si="9"/>
        <v>E5110</v>
      </c>
      <c r="D92" t="s">
        <v>587</v>
      </c>
      <c r="E92" t="s">
        <v>588</v>
      </c>
      <c r="F92" t="s">
        <v>506</v>
      </c>
      <c r="G92" t="s">
        <v>507</v>
      </c>
      <c r="H92" t="s">
        <v>508</v>
      </c>
      <c r="I92" t="s">
        <v>509</v>
      </c>
      <c r="J92" t="s">
        <v>589</v>
      </c>
      <c r="K92" s="502">
        <v>-744</v>
      </c>
      <c r="L92" t="s">
        <v>532</v>
      </c>
    </row>
    <row r="93" spans="1:12">
      <c r="A93" t="s">
        <v>586</v>
      </c>
      <c r="B93" t="s">
        <v>3364</v>
      </c>
      <c r="C93" s="60" t="str">
        <f t="shared" si="9"/>
        <v>E5110</v>
      </c>
      <c r="D93" t="s">
        <v>587</v>
      </c>
      <c r="E93" t="s">
        <v>588</v>
      </c>
      <c r="F93" t="s">
        <v>506</v>
      </c>
      <c r="G93" t="s">
        <v>507</v>
      </c>
      <c r="H93" t="s">
        <v>508</v>
      </c>
      <c r="I93" t="s">
        <v>509</v>
      </c>
      <c r="J93" t="s">
        <v>589</v>
      </c>
      <c r="K93" s="502">
        <v>-720</v>
      </c>
      <c r="L93" t="s">
        <v>532</v>
      </c>
    </row>
    <row r="94" spans="1:12">
      <c r="A94" t="s">
        <v>586</v>
      </c>
      <c r="B94" t="s">
        <v>3365</v>
      </c>
      <c r="C94" s="60" t="str">
        <f t="shared" si="9"/>
        <v>E5110</v>
      </c>
      <c r="D94" t="s">
        <v>587</v>
      </c>
      <c r="E94" t="s">
        <v>588</v>
      </c>
      <c r="F94" t="s">
        <v>506</v>
      </c>
      <c r="G94" t="s">
        <v>507</v>
      </c>
      <c r="H94" t="s">
        <v>508</v>
      </c>
      <c r="I94" t="s">
        <v>509</v>
      </c>
      <c r="J94" t="s">
        <v>589</v>
      </c>
      <c r="K94" s="502">
        <v>-744</v>
      </c>
      <c r="L94" t="s">
        <v>532</v>
      </c>
    </row>
    <row r="95" spans="1:12">
      <c r="A95" t="s">
        <v>586</v>
      </c>
      <c r="B95" t="s">
        <v>3366</v>
      </c>
      <c r="C95" s="60" t="str">
        <f t="shared" si="9"/>
        <v>E5110</v>
      </c>
      <c r="D95" t="s">
        <v>587</v>
      </c>
      <c r="E95" t="s">
        <v>588</v>
      </c>
      <c r="F95" t="s">
        <v>506</v>
      </c>
      <c r="G95" t="s">
        <v>507</v>
      </c>
      <c r="H95" t="s">
        <v>508</v>
      </c>
      <c r="I95" t="s">
        <v>509</v>
      </c>
      <c r="J95" t="s">
        <v>589</v>
      </c>
      <c r="K95" s="502">
        <v>-720</v>
      </c>
      <c r="L95" t="s">
        <v>532</v>
      </c>
    </row>
    <row r="96" spans="1:12">
      <c r="A96" t="s">
        <v>586</v>
      </c>
      <c r="B96" t="s">
        <v>3367</v>
      </c>
      <c r="C96" s="60" t="str">
        <f t="shared" si="9"/>
        <v>E5110</v>
      </c>
      <c r="D96" t="s">
        <v>587</v>
      </c>
      <c r="E96" t="s">
        <v>588</v>
      </c>
      <c r="F96" t="s">
        <v>506</v>
      </c>
      <c r="G96" t="s">
        <v>507</v>
      </c>
      <c r="H96" t="s">
        <v>508</v>
      </c>
      <c r="I96" t="s">
        <v>509</v>
      </c>
      <c r="J96" t="s">
        <v>589</v>
      </c>
      <c r="K96" s="502">
        <v>-744</v>
      </c>
      <c r="L96" t="s">
        <v>532</v>
      </c>
    </row>
    <row r="97" spans="1:12">
      <c r="A97" t="s">
        <v>586</v>
      </c>
      <c r="B97" t="s">
        <v>3356</v>
      </c>
      <c r="C97" s="3" t="str">
        <f>+'2-Préparation saisie LV PROD'!B13</f>
        <v>E5120</v>
      </c>
      <c r="D97" t="s">
        <v>587</v>
      </c>
      <c r="E97" t="s">
        <v>588</v>
      </c>
      <c r="F97" t="s">
        <v>506</v>
      </c>
      <c r="G97" t="s">
        <v>507</v>
      </c>
      <c r="H97" t="s">
        <v>508</v>
      </c>
      <c r="I97" t="s">
        <v>509</v>
      </c>
      <c r="J97" t="s">
        <v>589</v>
      </c>
      <c r="K97" s="502">
        <v>-744</v>
      </c>
      <c r="L97" t="s">
        <v>841</v>
      </c>
    </row>
    <row r="98" spans="1:12">
      <c r="A98" t="s">
        <v>586</v>
      </c>
      <c r="B98" t="s">
        <v>3357</v>
      </c>
      <c r="C98" s="60" t="str">
        <f>C97</f>
        <v>E5120</v>
      </c>
      <c r="D98" t="s">
        <v>587</v>
      </c>
      <c r="E98" t="s">
        <v>588</v>
      </c>
      <c r="F98" t="s">
        <v>506</v>
      </c>
      <c r="G98" t="s">
        <v>507</v>
      </c>
      <c r="H98" t="s">
        <v>508</v>
      </c>
      <c r="I98" t="s">
        <v>509</v>
      </c>
      <c r="J98" t="s">
        <v>589</v>
      </c>
      <c r="K98" s="502">
        <v>-672</v>
      </c>
      <c r="L98" t="s">
        <v>841</v>
      </c>
    </row>
    <row r="99" spans="1:12">
      <c r="A99" t="s">
        <v>586</v>
      </c>
      <c r="B99" t="s">
        <v>3358</v>
      </c>
      <c r="C99" s="60" t="str">
        <f t="shared" ref="C99:C108" si="10">+C98</f>
        <v>E5120</v>
      </c>
      <c r="D99" t="s">
        <v>587</v>
      </c>
      <c r="E99" t="s">
        <v>588</v>
      </c>
      <c r="F99" t="s">
        <v>506</v>
      </c>
      <c r="G99" t="s">
        <v>507</v>
      </c>
      <c r="H99" t="s">
        <v>508</v>
      </c>
      <c r="I99" t="s">
        <v>509</v>
      </c>
      <c r="J99" t="s">
        <v>589</v>
      </c>
      <c r="K99" s="502">
        <v>-744</v>
      </c>
      <c r="L99" t="s">
        <v>841</v>
      </c>
    </row>
    <row r="100" spans="1:12">
      <c r="A100" t="s">
        <v>586</v>
      </c>
      <c r="B100" t="s">
        <v>3359</v>
      </c>
      <c r="C100" s="60" t="str">
        <f t="shared" si="10"/>
        <v>E5120</v>
      </c>
      <c r="D100" t="s">
        <v>587</v>
      </c>
      <c r="E100" t="s">
        <v>588</v>
      </c>
      <c r="F100" t="s">
        <v>506</v>
      </c>
      <c r="G100" t="s">
        <v>507</v>
      </c>
      <c r="H100" t="s">
        <v>508</v>
      </c>
      <c r="I100" t="s">
        <v>509</v>
      </c>
      <c r="J100" t="s">
        <v>589</v>
      </c>
      <c r="K100" s="502">
        <v>-720</v>
      </c>
      <c r="L100" t="s">
        <v>841</v>
      </c>
    </row>
    <row r="101" spans="1:12">
      <c r="A101" t="s">
        <v>586</v>
      </c>
      <c r="B101" t="s">
        <v>3360</v>
      </c>
      <c r="C101" s="60" t="str">
        <f t="shared" si="10"/>
        <v>E5120</v>
      </c>
      <c r="D101" t="s">
        <v>587</v>
      </c>
      <c r="E101" t="s">
        <v>588</v>
      </c>
      <c r="F101" t="s">
        <v>506</v>
      </c>
      <c r="G101" t="s">
        <v>507</v>
      </c>
      <c r="H101" t="s">
        <v>508</v>
      </c>
      <c r="I101" t="s">
        <v>509</v>
      </c>
      <c r="J101" t="s">
        <v>589</v>
      </c>
      <c r="K101" s="502">
        <v>-744</v>
      </c>
      <c r="L101" t="s">
        <v>841</v>
      </c>
    </row>
    <row r="102" spans="1:12">
      <c r="A102" t="s">
        <v>586</v>
      </c>
      <c r="B102" t="s">
        <v>3361</v>
      </c>
      <c r="C102" s="60" t="str">
        <f t="shared" si="10"/>
        <v>E5120</v>
      </c>
      <c r="D102" t="s">
        <v>587</v>
      </c>
      <c r="E102" t="s">
        <v>588</v>
      </c>
      <c r="F102" t="s">
        <v>506</v>
      </c>
      <c r="G102" t="s">
        <v>507</v>
      </c>
      <c r="H102" t="s">
        <v>508</v>
      </c>
      <c r="I102" t="s">
        <v>509</v>
      </c>
      <c r="J102" t="s">
        <v>589</v>
      </c>
      <c r="K102" s="502">
        <v>-720</v>
      </c>
      <c r="L102" t="s">
        <v>841</v>
      </c>
    </row>
    <row r="103" spans="1:12">
      <c r="A103" t="s">
        <v>586</v>
      </c>
      <c r="B103" t="s">
        <v>3362</v>
      </c>
      <c r="C103" s="60" t="str">
        <f t="shared" si="10"/>
        <v>E5120</v>
      </c>
      <c r="D103" t="s">
        <v>587</v>
      </c>
      <c r="E103" t="s">
        <v>588</v>
      </c>
      <c r="F103" t="s">
        <v>506</v>
      </c>
      <c r="G103" t="s">
        <v>507</v>
      </c>
      <c r="H103" t="s">
        <v>508</v>
      </c>
      <c r="I103" t="s">
        <v>509</v>
      </c>
      <c r="J103" t="s">
        <v>589</v>
      </c>
      <c r="K103" s="502">
        <v>-744</v>
      </c>
      <c r="L103" t="s">
        <v>841</v>
      </c>
    </row>
    <row r="104" spans="1:12">
      <c r="A104" t="s">
        <v>586</v>
      </c>
      <c r="B104" t="s">
        <v>3363</v>
      </c>
      <c r="C104" s="60" t="str">
        <f t="shared" si="10"/>
        <v>E5120</v>
      </c>
      <c r="D104" t="s">
        <v>587</v>
      </c>
      <c r="E104" t="s">
        <v>588</v>
      </c>
      <c r="F104" t="s">
        <v>506</v>
      </c>
      <c r="G104" t="s">
        <v>507</v>
      </c>
      <c r="H104" t="s">
        <v>508</v>
      </c>
      <c r="I104" t="s">
        <v>509</v>
      </c>
      <c r="J104" t="s">
        <v>589</v>
      </c>
      <c r="K104" s="502">
        <v>-744</v>
      </c>
      <c r="L104" t="s">
        <v>841</v>
      </c>
    </row>
    <row r="105" spans="1:12">
      <c r="A105" t="s">
        <v>586</v>
      </c>
      <c r="B105" t="s">
        <v>3364</v>
      </c>
      <c r="C105" s="60" t="str">
        <f t="shared" si="10"/>
        <v>E5120</v>
      </c>
      <c r="D105" t="s">
        <v>587</v>
      </c>
      <c r="E105" t="s">
        <v>588</v>
      </c>
      <c r="F105" t="s">
        <v>506</v>
      </c>
      <c r="G105" t="s">
        <v>507</v>
      </c>
      <c r="H105" t="s">
        <v>508</v>
      </c>
      <c r="I105" t="s">
        <v>509</v>
      </c>
      <c r="J105" t="s">
        <v>589</v>
      </c>
      <c r="K105" s="502">
        <v>-720</v>
      </c>
      <c r="L105" t="s">
        <v>841</v>
      </c>
    </row>
    <row r="106" spans="1:12">
      <c r="A106" t="s">
        <v>586</v>
      </c>
      <c r="B106" t="s">
        <v>3365</v>
      </c>
      <c r="C106" s="60" t="str">
        <f t="shared" si="10"/>
        <v>E5120</v>
      </c>
      <c r="D106" t="s">
        <v>587</v>
      </c>
      <c r="E106" t="s">
        <v>588</v>
      </c>
      <c r="F106" t="s">
        <v>506</v>
      </c>
      <c r="G106" t="s">
        <v>507</v>
      </c>
      <c r="H106" t="s">
        <v>508</v>
      </c>
      <c r="I106" t="s">
        <v>509</v>
      </c>
      <c r="J106" t="s">
        <v>589</v>
      </c>
      <c r="K106" s="502">
        <v>-744</v>
      </c>
      <c r="L106" t="s">
        <v>841</v>
      </c>
    </row>
    <row r="107" spans="1:12">
      <c r="A107" t="s">
        <v>586</v>
      </c>
      <c r="B107" t="s">
        <v>3366</v>
      </c>
      <c r="C107" s="60" t="str">
        <f t="shared" si="10"/>
        <v>E5120</v>
      </c>
      <c r="D107" t="s">
        <v>587</v>
      </c>
      <c r="E107" t="s">
        <v>588</v>
      </c>
      <c r="F107" t="s">
        <v>506</v>
      </c>
      <c r="G107" t="s">
        <v>507</v>
      </c>
      <c r="H107" t="s">
        <v>508</v>
      </c>
      <c r="I107" t="s">
        <v>509</v>
      </c>
      <c r="J107" t="s">
        <v>589</v>
      </c>
      <c r="K107" s="502">
        <v>-720</v>
      </c>
      <c r="L107" t="s">
        <v>841</v>
      </c>
    </row>
    <row r="108" spans="1:12">
      <c r="A108" t="s">
        <v>586</v>
      </c>
      <c r="B108" t="s">
        <v>3367</v>
      </c>
      <c r="C108" s="60" t="str">
        <f t="shared" si="10"/>
        <v>E5120</v>
      </c>
      <c r="D108" t="s">
        <v>587</v>
      </c>
      <c r="E108" t="s">
        <v>588</v>
      </c>
      <c r="F108" t="s">
        <v>506</v>
      </c>
      <c r="G108" t="s">
        <v>507</v>
      </c>
      <c r="H108" t="s">
        <v>508</v>
      </c>
      <c r="I108" t="s">
        <v>509</v>
      </c>
      <c r="J108" t="s">
        <v>589</v>
      </c>
      <c r="K108" s="502">
        <v>-744</v>
      </c>
      <c r="L108" t="s">
        <v>841</v>
      </c>
    </row>
    <row r="109" spans="1:12">
      <c r="A109" t="s">
        <v>586</v>
      </c>
      <c r="B109" t="s">
        <v>3356</v>
      </c>
      <c r="C109" s="3" t="str">
        <f>+'2-Préparation saisie LV PROD'!B14</f>
        <v>E5150</v>
      </c>
      <c r="D109" t="s">
        <v>587</v>
      </c>
      <c r="E109" t="s">
        <v>588</v>
      </c>
      <c r="F109" t="s">
        <v>506</v>
      </c>
      <c r="G109" t="s">
        <v>507</v>
      </c>
      <c r="H109" t="s">
        <v>508</v>
      </c>
      <c r="I109" t="s">
        <v>509</v>
      </c>
      <c r="J109" t="s">
        <v>589</v>
      </c>
      <c r="K109" s="502">
        <v>-22.32</v>
      </c>
      <c r="L109" t="s">
        <v>295</v>
      </c>
    </row>
    <row r="110" spans="1:12">
      <c r="A110" t="s">
        <v>586</v>
      </c>
      <c r="B110" t="s">
        <v>3357</v>
      </c>
      <c r="C110" s="60" t="str">
        <f>C109</f>
        <v>E5150</v>
      </c>
      <c r="D110" t="s">
        <v>587</v>
      </c>
      <c r="E110" t="s">
        <v>588</v>
      </c>
      <c r="F110" t="s">
        <v>506</v>
      </c>
      <c r="G110" t="s">
        <v>507</v>
      </c>
      <c r="H110" t="s">
        <v>508</v>
      </c>
      <c r="I110" t="s">
        <v>509</v>
      </c>
      <c r="J110" t="s">
        <v>589</v>
      </c>
      <c r="K110" s="502">
        <f>K74</f>
        <v>-20.16</v>
      </c>
      <c r="L110" t="s">
        <v>295</v>
      </c>
    </row>
    <row r="111" spans="1:12">
      <c r="A111" t="s">
        <v>586</v>
      </c>
      <c r="B111" t="s">
        <v>3358</v>
      </c>
      <c r="C111" s="60" t="str">
        <f t="shared" ref="C111:C120" si="11">+C110</f>
        <v>E5150</v>
      </c>
      <c r="D111" t="s">
        <v>587</v>
      </c>
      <c r="E111" t="s">
        <v>588</v>
      </c>
      <c r="F111" t="s">
        <v>506</v>
      </c>
      <c r="G111" t="s">
        <v>507</v>
      </c>
      <c r="H111" t="s">
        <v>508</v>
      </c>
      <c r="I111" t="s">
        <v>509</v>
      </c>
      <c r="J111" t="s">
        <v>589</v>
      </c>
      <c r="K111" s="502">
        <v>-22.32</v>
      </c>
      <c r="L111" t="s">
        <v>295</v>
      </c>
    </row>
    <row r="112" spans="1:12">
      <c r="A112" t="s">
        <v>586</v>
      </c>
      <c r="B112" t="s">
        <v>3359</v>
      </c>
      <c r="C112" s="60" t="str">
        <f t="shared" si="11"/>
        <v>E5150</v>
      </c>
      <c r="D112" t="s">
        <v>587</v>
      </c>
      <c r="E112" t="s">
        <v>588</v>
      </c>
      <c r="F112" t="s">
        <v>506</v>
      </c>
      <c r="G112" t="s">
        <v>507</v>
      </c>
      <c r="H112" t="s">
        <v>508</v>
      </c>
      <c r="I112" t="s">
        <v>509</v>
      </c>
      <c r="J112" t="s">
        <v>589</v>
      </c>
      <c r="K112" s="502">
        <v>-21.6</v>
      </c>
      <c r="L112" t="s">
        <v>295</v>
      </c>
    </row>
    <row r="113" spans="1:12">
      <c r="A113" t="s">
        <v>586</v>
      </c>
      <c r="B113" t="s">
        <v>3360</v>
      </c>
      <c r="C113" s="60" t="str">
        <f t="shared" si="11"/>
        <v>E5150</v>
      </c>
      <c r="D113" t="s">
        <v>587</v>
      </c>
      <c r="E113" t="s">
        <v>588</v>
      </c>
      <c r="F113" t="s">
        <v>506</v>
      </c>
      <c r="G113" t="s">
        <v>507</v>
      </c>
      <c r="H113" t="s">
        <v>508</v>
      </c>
      <c r="I113" t="s">
        <v>509</v>
      </c>
      <c r="J113" t="s">
        <v>589</v>
      </c>
      <c r="K113" s="502">
        <v>-22.32</v>
      </c>
      <c r="L113" t="s">
        <v>295</v>
      </c>
    </row>
    <row r="114" spans="1:12">
      <c r="A114" t="s">
        <v>586</v>
      </c>
      <c r="B114" t="s">
        <v>3361</v>
      </c>
      <c r="C114" s="60" t="str">
        <f t="shared" si="11"/>
        <v>E5150</v>
      </c>
      <c r="D114" t="s">
        <v>587</v>
      </c>
      <c r="E114" t="s">
        <v>588</v>
      </c>
      <c r="F114" t="s">
        <v>506</v>
      </c>
      <c r="G114" t="s">
        <v>507</v>
      </c>
      <c r="H114" t="s">
        <v>508</v>
      </c>
      <c r="I114" t="s">
        <v>509</v>
      </c>
      <c r="J114" t="s">
        <v>589</v>
      </c>
      <c r="K114" s="502">
        <v>-21.6</v>
      </c>
      <c r="L114" t="s">
        <v>295</v>
      </c>
    </row>
    <row r="115" spans="1:12">
      <c r="A115" t="s">
        <v>586</v>
      </c>
      <c r="B115" t="s">
        <v>3362</v>
      </c>
      <c r="C115" s="60" t="str">
        <f t="shared" si="11"/>
        <v>E5150</v>
      </c>
      <c r="D115" t="s">
        <v>587</v>
      </c>
      <c r="E115" t="s">
        <v>588</v>
      </c>
      <c r="F115" t="s">
        <v>506</v>
      </c>
      <c r="G115" t="s">
        <v>507</v>
      </c>
      <c r="H115" t="s">
        <v>508</v>
      </c>
      <c r="I115" t="s">
        <v>509</v>
      </c>
      <c r="J115" t="s">
        <v>589</v>
      </c>
      <c r="K115" s="502">
        <v>-22.32</v>
      </c>
      <c r="L115" t="s">
        <v>295</v>
      </c>
    </row>
    <row r="116" spans="1:12">
      <c r="A116" t="s">
        <v>586</v>
      </c>
      <c r="B116" t="s">
        <v>3363</v>
      </c>
      <c r="C116" s="60" t="str">
        <f t="shared" si="11"/>
        <v>E5150</v>
      </c>
      <c r="D116" t="s">
        <v>587</v>
      </c>
      <c r="E116" t="s">
        <v>588</v>
      </c>
      <c r="F116" t="s">
        <v>506</v>
      </c>
      <c r="G116" t="s">
        <v>507</v>
      </c>
      <c r="H116" t="s">
        <v>508</v>
      </c>
      <c r="I116" t="s">
        <v>509</v>
      </c>
      <c r="J116" t="s">
        <v>589</v>
      </c>
      <c r="K116" s="502">
        <v>-22.32</v>
      </c>
      <c r="L116" t="s">
        <v>295</v>
      </c>
    </row>
    <row r="117" spans="1:12">
      <c r="A117" t="s">
        <v>586</v>
      </c>
      <c r="B117" t="s">
        <v>3364</v>
      </c>
      <c r="C117" s="60" t="str">
        <f t="shared" si="11"/>
        <v>E5150</v>
      </c>
      <c r="D117" t="s">
        <v>587</v>
      </c>
      <c r="E117" t="s">
        <v>588</v>
      </c>
      <c r="F117" t="s">
        <v>506</v>
      </c>
      <c r="G117" t="s">
        <v>507</v>
      </c>
      <c r="H117" t="s">
        <v>508</v>
      </c>
      <c r="I117" t="s">
        <v>509</v>
      </c>
      <c r="J117" t="s">
        <v>589</v>
      </c>
      <c r="K117" s="502">
        <v>-21.6</v>
      </c>
      <c r="L117" t="s">
        <v>295</v>
      </c>
    </row>
    <row r="118" spans="1:12">
      <c r="A118" t="s">
        <v>586</v>
      </c>
      <c r="B118" t="s">
        <v>3365</v>
      </c>
      <c r="C118" s="60" t="str">
        <f t="shared" si="11"/>
        <v>E5150</v>
      </c>
      <c r="D118" t="s">
        <v>587</v>
      </c>
      <c r="E118" t="s">
        <v>588</v>
      </c>
      <c r="F118" t="s">
        <v>506</v>
      </c>
      <c r="G118" t="s">
        <v>507</v>
      </c>
      <c r="H118" t="s">
        <v>508</v>
      </c>
      <c r="I118" t="s">
        <v>509</v>
      </c>
      <c r="J118" t="s">
        <v>589</v>
      </c>
      <c r="K118" s="502">
        <v>-22.32</v>
      </c>
      <c r="L118" t="s">
        <v>295</v>
      </c>
    </row>
    <row r="119" spans="1:12">
      <c r="A119" t="s">
        <v>586</v>
      </c>
      <c r="B119" t="s">
        <v>3366</v>
      </c>
      <c r="C119" s="60" t="str">
        <f t="shared" si="11"/>
        <v>E5150</v>
      </c>
      <c r="D119" t="s">
        <v>587</v>
      </c>
      <c r="E119" t="s">
        <v>588</v>
      </c>
      <c r="F119" t="s">
        <v>506</v>
      </c>
      <c r="G119" t="s">
        <v>507</v>
      </c>
      <c r="H119" t="s">
        <v>508</v>
      </c>
      <c r="I119" t="s">
        <v>509</v>
      </c>
      <c r="J119" t="s">
        <v>589</v>
      </c>
      <c r="K119" s="502">
        <v>-21.6</v>
      </c>
      <c r="L119" t="s">
        <v>295</v>
      </c>
    </row>
    <row r="120" spans="1:12">
      <c r="A120" t="s">
        <v>586</v>
      </c>
      <c r="B120" t="s">
        <v>3367</v>
      </c>
      <c r="C120" s="60" t="str">
        <f t="shared" si="11"/>
        <v>E5150</v>
      </c>
      <c r="D120" t="s">
        <v>587</v>
      </c>
      <c r="E120" t="s">
        <v>588</v>
      </c>
      <c r="F120" t="s">
        <v>506</v>
      </c>
      <c r="G120" t="s">
        <v>507</v>
      </c>
      <c r="H120" t="s">
        <v>508</v>
      </c>
      <c r="I120" t="s">
        <v>509</v>
      </c>
      <c r="J120" t="s">
        <v>589</v>
      </c>
      <c r="K120" s="502">
        <v>-22.32</v>
      </c>
      <c r="L120" t="s">
        <v>295</v>
      </c>
    </row>
    <row r="121" spans="1:12">
      <c r="A121" t="s">
        <v>586</v>
      </c>
      <c r="B121" t="s">
        <v>3356</v>
      </c>
      <c r="C121" s="3" t="str">
        <f>+'2-Préparation saisie LV PROD'!B15</f>
        <v>E5130</v>
      </c>
      <c r="D121" t="s">
        <v>587</v>
      </c>
      <c r="E121" t="s">
        <v>588</v>
      </c>
      <c r="F121" t="s">
        <v>506</v>
      </c>
      <c r="G121" t="s">
        <v>507</v>
      </c>
      <c r="H121" t="s">
        <v>508</v>
      </c>
      <c r="I121" t="s">
        <v>509</v>
      </c>
      <c r="J121" t="s">
        <v>589</v>
      </c>
      <c r="K121" s="502">
        <v>-22.32</v>
      </c>
      <c r="L121" t="s">
        <v>288</v>
      </c>
    </row>
    <row r="122" spans="1:12">
      <c r="A122" t="s">
        <v>586</v>
      </c>
      <c r="B122" t="s">
        <v>3357</v>
      </c>
      <c r="C122" s="60" t="str">
        <f>C121</f>
        <v>E5130</v>
      </c>
      <c r="D122" t="s">
        <v>587</v>
      </c>
      <c r="E122" t="s">
        <v>588</v>
      </c>
      <c r="F122" t="s">
        <v>506</v>
      </c>
      <c r="G122" t="s">
        <v>507</v>
      </c>
      <c r="H122" t="s">
        <v>508</v>
      </c>
      <c r="I122" t="s">
        <v>509</v>
      </c>
      <c r="J122" t="s">
        <v>589</v>
      </c>
      <c r="K122" s="502">
        <f>K110</f>
        <v>-20.16</v>
      </c>
      <c r="L122" t="s">
        <v>288</v>
      </c>
    </row>
    <row r="123" spans="1:12">
      <c r="A123" t="s">
        <v>586</v>
      </c>
      <c r="B123" t="s">
        <v>3358</v>
      </c>
      <c r="C123" s="60" t="str">
        <f t="shared" ref="C123:C132" si="12">+C122</f>
        <v>E5130</v>
      </c>
      <c r="D123" t="s">
        <v>587</v>
      </c>
      <c r="E123" t="s">
        <v>588</v>
      </c>
      <c r="F123" t="s">
        <v>506</v>
      </c>
      <c r="G123" t="s">
        <v>507</v>
      </c>
      <c r="H123" t="s">
        <v>508</v>
      </c>
      <c r="I123" t="s">
        <v>509</v>
      </c>
      <c r="J123" t="s">
        <v>589</v>
      </c>
      <c r="K123" s="502">
        <v>-22.32</v>
      </c>
      <c r="L123" t="s">
        <v>288</v>
      </c>
    </row>
    <row r="124" spans="1:12">
      <c r="A124" t="s">
        <v>586</v>
      </c>
      <c r="B124" t="s">
        <v>3359</v>
      </c>
      <c r="C124" s="60" t="str">
        <f t="shared" si="12"/>
        <v>E5130</v>
      </c>
      <c r="D124" t="s">
        <v>587</v>
      </c>
      <c r="E124" t="s">
        <v>588</v>
      </c>
      <c r="F124" t="s">
        <v>506</v>
      </c>
      <c r="G124" t="s">
        <v>507</v>
      </c>
      <c r="H124" t="s">
        <v>508</v>
      </c>
      <c r="I124" t="s">
        <v>509</v>
      </c>
      <c r="J124" t="s">
        <v>589</v>
      </c>
      <c r="K124" s="502">
        <v>-21.6</v>
      </c>
      <c r="L124" t="s">
        <v>288</v>
      </c>
    </row>
    <row r="125" spans="1:12">
      <c r="A125" t="s">
        <v>586</v>
      </c>
      <c r="B125" t="s">
        <v>3360</v>
      </c>
      <c r="C125" s="60" t="str">
        <f t="shared" si="12"/>
        <v>E5130</v>
      </c>
      <c r="D125" t="s">
        <v>587</v>
      </c>
      <c r="E125" t="s">
        <v>588</v>
      </c>
      <c r="F125" t="s">
        <v>506</v>
      </c>
      <c r="G125" t="s">
        <v>507</v>
      </c>
      <c r="H125" t="s">
        <v>508</v>
      </c>
      <c r="I125" t="s">
        <v>509</v>
      </c>
      <c r="J125" t="s">
        <v>589</v>
      </c>
      <c r="K125" s="502">
        <v>-22.32</v>
      </c>
      <c r="L125" t="s">
        <v>288</v>
      </c>
    </row>
    <row r="126" spans="1:12">
      <c r="A126" t="s">
        <v>586</v>
      </c>
      <c r="B126" t="s">
        <v>3361</v>
      </c>
      <c r="C126" s="60" t="str">
        <f t="shared" si="12"/>
        <v>E5130</v>
      </c>
      <c r="D126" t="s">
        <v>587</v>
      </c>
      <c r="E126" t="s">
        <v>588</v>
      </c>
      <c r="F126" t="s">
        <v>506</v>
      </c>
      <c r="G126" t="s">
        <v>507</v>
      </c>
      <c r="H126" t="s">
        <v>508</v>
      </c>
      <c r="I126" t="s">
        <v>509</v>
      </c>
      <c r="J126" t="s">
        <v>589</v>
      </c>
      <c r="K126" s="502">
        <v>-21.6</v>
      </c>
      <c r="L126" t="s">
        <v>288</v>
      </c>
    </row>
    <row r="127" spans="1:12">
      <c r="A127" t="s">
        <v>586</v>
      </c>
      <c r="B127" t="s">
        <v>3362</v>
      </c>
      <c r="C127" s="60" t="str">
        <f t="shared" si="12"/>
        <v>E5130</v>
      </c>
      <c r="D127" t="s">
        <v>587</v>
      </c>
      <c r="E127" t="s">
        <v>588</v>
      </c>
      <c r="F127" t="s">
        <v>506</v>
      </c>
      <c r="G127" t="s">
        <v>507</v>
      </c>
      <c r="H127" t="s">
        <v>508</v>
      </c>
      <c r="I127" t="s">
        <v>509</v>
      </c>
      <c r="J127" t="s">
        <v>589</v>
      </c>
      <c r="K127" s="502">
        <v>-22.32</v>
      </c>
      <c r="L127" t="s">
        <v>288</v>
      </c>
    </row>
    <row r="128" spans="1:12">
      <c r="A128" t="s">
        <v>586</v>
      </c>
      <c r="B128" t="s">
        <v>3363</v>
      </c>
      <c r="C128" s="60" t="str">
        <f t="shared" si="12"/>
        <v>E5130</v>
      </c>
      <c r="D128" t="s">
        <v>587</v>
      </c>
      <c r="E128" t="s">
        <v>588</v>
      </c>
      <c r="F128" t="s">
        <v>506</v>
      </c>
      <c r="G128" t="s">
        <v>507</v>
      </c>
      <c r="H128" t="s">
        <v>508</v>
      </c>
      <c r="I128" t="s">
        <v>509</v>
      </c>
      <c r="J128" t="s">
        <v>589</v>
      </c>
      <c r="K128" s="502">
        <v>-22.32</v>
      </c>
      <c r="L128" t="s">
        <v>288</v>
      </c>
    </row>
    <row r="129" spans="1:12">
      <c r="A129" t="s">
        <v>586</v>
      </c>
      <c r="B129" t="s">
        <v>3364</v>
      </c>
      <c r="C129" s="60" t="str">
        <f t="shared" si="12"/>
        <v>E5130</v>
      </c>
      <c r="D129" t="s">
        <v>587</v>
      </c>
      <c r="E129" t="s">
        <v>588</v>
      </c>
      <c r="F129" t="s">
        <v>506</v>
      </c>
      <c r="G129" t="s">
        <v>507</v>
      </c>
      <c r="H129" t="s">
        <v>508</v>
      </c>
      <c r="I129" t="s">
        <v>509</v>
      </c>
      <c r="J129" t="s">
        <v>589</v>
      </c>
      <c r="K129" s="502">
        <v>-21.6</v>
      </c>
      <c r="L129" t="s">
        <v>288</v>
      </c>
    </row>
    <row r="130" spans="1:12">
      <c r="A130" t="s">
        <v>586</v>
      </c>
      <c r="B130" t="s">
        <v>3365</v>
      </c>
      <c r="C130" s="60" t="str">
        <f t="shared" si="12"/>
        <v>E5130</v>
      </c>
      <c r="D130" t="s">
        <v>587</v>
      </c>
      <c r="E130" t="s">
        <v>588</v>
      </c>
      <c r="F130" t="s">
        <v>506</v>
      </c>
      <c r="G130" t="s">
        <v>507</v>
      </c>
      <c r="H130" t="s">
        <v>508</v>
      </c>
      <c r="I130" t="s">
        <v>509</v>
      </c>
      <c r="J130" t="s">
        <v>589</v>
      </c>
      <c r="K130" s="502">
        <v>-22.32</v>
      </c>
      <c r="L130" t="s">
        <v>288</v>
      </c>
    </row>
    <row r="131" spans="1:12">
      <c r="A131" t="s">
        <v>586</v>
      </c>
      <c r="B131" t="s">
        <v>3366</v>
      </c>
      <c r="C131" s="60" t="str">
        <f t="shared" si="12"/>
        <v>E5130</v>
      </c>
      <c r="D131" t="s">
        <v>587</v>
      </c>
      <c r="E131" t="s">
        <v>588</v>
      </c>
      <c r="F131" t="s">
        <v>506</v>
      </c>
      <c r="G131" t="s">
        <v>507</v>
      </c>
      <c r="H131" t="s">
        <v>508</v>
      </c>
      <c r="I131" t="s">
        <v>509</v>
      </c>
      <c r="J131" t="s">
        <v>589</v>
      </c>
      <c r="K131" s="502">
        <v>-21.6</v>
      </c>
      <c r="L131" t="s">
        <v>288</v>
      </c>
    </row>
    <row r="132" spans="1:12">
      <c r="A132" t="s">
        <v>586</v>
      </c>
      <c r="B132" t="s">
        <v>3367</v>
      </c>
      <c r="C132" s="60" t="str">
        <f t="shared" si="12"/>
        <v>E5130</v>
      </c>
      <c r="D132" t="s">
        <v>587</v>
      </c>
      <c r="E132" t="s">
        <v>588</v>
      </c>
      <c r="F132" t="s">
        <v>506</v>
      </c>
      <c r="G132" t="s">
        <v>507</v>
      </c>
      <c r="H132" t="s">
        <v>508</v>
      </c>
      <c r="I132" t="s">
        <v>509</v>
      </c>
      <c r="J132" t="s">
        <v>589</v>
      </c>
      <c r="K132" s="502">
        <v>-22.32</v>
      </c>
      <c r="L132" t="s">
        <v>288</v>
      </c>
    </row>
    <row r="133" spans="1:12">
      <c r="A133" t="s">
        <v>586</v>
      </c>
      <c r="B133" t="s">
        <v>3356</v>
      </c>
      <c r="C133" s="3" t="str">
        <f>+'2-Préparation saisie LV PROD'!B16</f>
        <v>E5140</v>
      </c>
      <c r="D133" t="s">
        <v>587</v>
      </c>
      <c r="E133" t="s">
        <v>588</v>
      </c>
      <c r="F133" t="s">
        <v>506</v>
      </c>
      <c r="G133" t="s">
        <v>507</v>
      </c>
      <c r="H133" t="s">
        <v>508</v>
      </c>
      <c r="I133" t="s">
        <v>509</v>
      </c>
      <c r="J133" t="s">
        <v>589</v>
      </c>
      <c r="K133" s="502">
        <v>-22.32</v>
      </c>
      <c r="L133" t="s">
        <v>289</v>
      </c>
    </row>
    <row r="134" spans="1:12">
      <c r="A134" t="s">
        <v>586</v>
      </c>
      <c r="B134" t="s">
        <v>3357</v>
      </c>
      <c r="C134" s="60" t="str">
        <f>C133</f>
        <v>E5140</v>
      </c>
      <c r="D134" t="s">
        <v>587</v>
      </c>
      <c r="E134" t="s">
        <v>588</v>
      </c>
      <c r="F134" t="s">
        <v>506</v>
      </c>
      <c r="G134" t="s">
        <v>507</v>
      </c>
      <c r="H134" t="s">
        <v>508</v>
      </c>
      <c r="I134" t="s">
        <v>509</v>
      </c>
      <c r="J134" t="s">
        <v>589</v>
      </c>
      <c r="K134" s="502">
        <f>K122</f>
        <v>-20.16</v>
      </c>
      <c r="L134" t="s">
        <v>289</v>
      </c>
    </row>
    <row r="135" spans="1:12">
      <c r="A135" t="s">
        <v>586</v>
      </c>
      <c r="B135" t="s">
        <v>3358</v>
      </c>
      <c r="C135" s="60" t="str">
        <f t="shared" ref="C135:C144" si="13">+C134</f>
        <v>E5140</v>
      </c>
      <c r="D135" t="s">
        <v>587</v>
      </c>
      <c r="E135" t="s">
        <v>588</v>
      </c>
      <c r="F135" t="s">
        <v>506</v>
      </c>
      <c r="G135" t="s">
        <v>507</v>
      </c>
      <c r="H135" t="s">
        <v>508</v>
      </c>
      <c r="I135" t="s">
        <v>509</v>
      </c>
      <c r="J135" t="s">
        <v>589</v>
      </c>
      <c r="K135" s="502">
        <v>-22.32</v>
      </c>
      <c r="L135" t="s">
        <v>289</v>
      </c>
    </row>
    <row r="136" spans="1:12">
      <c r="A136" t="s">
        <v>586</v>
      </c>
      <c r="B136" t="s">
        <v>3359</v>
      </c>
      <c r="C136" s="60" t="str">
        <f t="shared" si="13"/>
        <v>E5140</v>
      </c>
      <c r="D136" t="s">
        <v>587</v>
      </c>
      <c r="E136" t="s">
        <v>588</v>
      </c>
      <c r="F136" t="s">
        <v>506</v>
      </c>
      <c r="G136" t="s">
        <v>507</v>
      </c>
      <c r="H136" t="s">
        <v>508</v>
      </c>
      <c r="I136" t="s">
        <v>509</v>
      </c>
      <c r="J136" t="s">
        <v>589</v>
      </c>
      <c r="K136" s="502">
        <v>-21.6</v>
      </c>
      <c r="L136" t="s">
        <v>289</v>
      </c>
    </row>
    <row r="137" spans="1:12">
      <c r="A137" t="s">
        <v>586</v>
      </c>
      <c r="B137" t="s">
        <v>3360</v>
      </c>
      <c r="C137" s="60" t="str">
        <f t="shared" si="13"/>
        <v>E5140</v>
      </c>
      <c r="D137" t="s">
        <v>587</v>
      </c>
      <c r="E137" t="s">
        <v>588</v>
      </c>
      <c r="F137" t="s">
        <v>506</v>
      </c>
      <c r="G137" t="s">
        <v>507</v>
      </c>
      <c r="H137" t="s">
        <v>508</v>
      </c>
      <c r="I137" t="s">
        <v>509</v>
      </c>
      <c r="J137" t="s">
        <v>589</v>
      </c>
      <c r="K137" s="502">
        <v>-22.32</v>
      </c>
      <c r="L137" t="s">
        <v>289</v>
      </c>
    </row>
    <row r="138" spans="1:12">
      <c r="A138" t="s">
        <v>586</v>
      </c>
      <c r="B138" t="s">
        <v>3361</v>
      </c>
      <c r="C138" s="60" t="str">
        <f t="shared" si="13"/>
        <v>E5140</v>
      </c>
      <c r="D138" t="s">
        <v>587</v>
      </c>
      <c r="E138" t="s">
        <v>588</v>
      </c>
      <c r="F138" t="s">
        <v>506</v>
      </c>
      <c r="G138" t="s">
        <v>507</v>
      </c>
      <c r="H138" t="s">
        <v>508</v>
      </c>
      <c r="I138" t="s">
        <v>509</v>
      </c>
      <c r="J138" t="s">
        <v>589</v>
      </c>
      <c r="K138" s="502">
        <v>-21.6</v>
      </c>
      <c r="L138" t="s">
        <v>289</v>
      </c>
    </row>
    <row r="139" spans="1:12">
      <c r="A139" t="s">
        <v>586</v>
      </c>
      <c r="B139" t="s">
        <v>3362</v>
      </c>
      <c r="C139" s="60" t="str">
        <f t="shared" si="13"/>
        <v>E5140</v>
      </c>
      <c r="D139" t="s">
        <v>587</v>
      </c>
      <c r="E139" t="s">
        <v>588</v>
      </c>
      <c r="F139" t="s">
        <v>506</v>
      </c>
      <c r="G139" t="s">
        <v>507</v>
      </c>
      <c r="H139" t="s">
        <v>508</v>
      </c>
      <c r="I139" t="s">
        <v>509</v>
      </c>
      <c r="J139" t="s">
        <v>589</v>
      </c>
      <c r="K139" s="502">
        <v>-22.32</v>
      </c>
      <c r="L139" t="s">
        <v>289</v>
      </c>
    </row>
    <row r="140" spans="1:12">
      <c r="A140" t="s">
        <v>586</v>
      </c>
      <c r="B140" t="s">
        <v>3363</v>
      </c>
      <c r="C140" s="60" t="str">
        <f t="shared" si="13"/>
        <v>E5140</v>
      </c>
      <c r="D140" t="s">
        <v>587</v>
      </c>
      <c r="E140" t="s">
        <v>588</v>
      </c>
      <c r="F140" t="s">
        <v>506</v>
      </c>
      <c r="G140" t="s">
        <v>507</v>
      </c>
      <c r="H140" t="s">
        <v>508</v>
      </c>
      <c r="I140" t="s">
        <v>509</v>
      </c>
      <c r="J140" t="s">
        <v>589</v>
      </c>
      <c r="K140" s="502">
        <v>-22.32</v>
      </c>
      <c r="L140" t="s">
        <v>289</v>
      </c>
    </row>
    <row r="141" spans="1:12">
      <c r="A141" t="s">
        <v>586</v>
      </c>
      <c r="B141" t="s">
        <v>3364</v>
      </c>
      <c r="C141" s="60" t="str">
        <f t="shared" si="13"/>
        <v>E5140</v>
      </c>
      <c r="D141" t="s">
        <v>587</v>
      </c>
      <c r="E141" t="s">
        <v>588</v>
      </c>
      <c r="F141" t="s">
        <v>506</v>
      </c>
      <c r="G141" t="s">
        <v>507</v>
      </c>
      <c r="H141" t="s">
        <v>508</v>
      </c>
      <c r="I141" t="s">
        <v>509</v>
      </c>
      <c r="J141" t="s">
        <v>589</v>
      </c>
      <c r="K141" s="502">
        <v>-21.6</v>
      </c>
      <c r="L141" t="s">
        <v>289</v>
      </c>
    </row>
    <row r="142" spans="1:12">
      <c r="A142" t="s">
        <v>586</v>
      </c>
      <c r="B142" t="s">
        <v>3365</v>
      </c>
      <c r="C142" s="60" t="str">
        <f t="shared" si="13"/>
        <v>E5140</v>
      </c>
      <c r="D142" t="s">
        <v>587</v>
      </c>
      <c r="E142" t="s">
        <v>588</v>
      </c>
      <c r="F142" t="s">
        <v>506</v>
      </c>
      <c r="G142" t="s">
        <v>507</v>
      </c>
      <c r="H142" t="s">
        <v>508</v>
      </c>
      <c r="I142" t="s">
        <v>509</v>
      </c>
      <c r="J142" t="s">
        <v>589</v>
      </c>
      <c r="K142" s="502">
        <v>-22.32</v>
      </c>
      <c r="L142" t="s">
        <v>289</v>
      </c>
    </row>
    <row r="143" spans="1:12">
      <c r="A143" t="s">
        <v>586</v>
      </c>
      <c r="B143" t="s">
        <v>3366</v>
      </c>
      <c r="C143" s="60" t="str">
        <f t="shared" si="13"/>
        <v>E5140</v>
      </c>
      <c r="D143" t="s">
        <v>587</v>
      </c>
      <c r="E143" t="s">
        <v>588</v>
      </c>
      <c r="F143" t="s">
        <v>506</v>
      </c>
      <c r="G143" t="s">
        <v>507</v>
      </c>
      <c r="H143" t="s">
        <v>508</v>
      </c>
      <c r="I143" t="s">
        <v>509</v>
      </c>
      <c r="J143" t="s">
        <v>589</v>
      </c>
      <c r="K143" s="502">
        <v>-21.6</v>
      </c>
      <c r="L143" t="s">
        <v>289</v>
      </c>
    </row>
    <row r="144" spans="1:12">
      <c r="A144" t="s">
        <v>586</v>
      </c>
      <c r="B144" t="s">
        <v>3367</v>
      </c>
      <c r="C144" s="60" t="str">
        <f t="shared" si="13"/>
        <v>E5140</v>
      </c>
      <c r="D144" t="s">
        <v>587</v>
      </c>
      <c r="E144" t="s">
        <v>588</v>
      </c>
      <c r="F144" t="s">
        <v>506</v>
      </c>
      <c r="G144" t="s">
        <v>507</v>
      </c>
      <c r="H144" t="s">
        <v>508</v>
      </c>
      <c r="I144" t="s">
        <v>509</v>
      </c>
      <c r="J144" t="s">
        <v>589</v>
      </c>
      <c r="K144" s="502">
        <v>-22.32</v>
      </c>
      <c r="L144" t="s">
        <v>289</v>
      </c>
    </row>
    <row r="145" spans="1:12">
      <c r="A145" t="s">
        <v>586</v>
      </c>
      <c r="B145" t="s">
        <v>3356</v>
      </c>
      <c r="C145" s="3" t="str">
        <f>+'2-Préparation saisie LV PROD'!B17</f>
        <v>E5160</v>
      </c>
      <c r="D145" t="s">
        <v>587</v>
      </c>
      <c r="E145" t="s">
        <v>588</v>
      </c>
      <c r="F145" t="s">
        <v>506</v>
      </c>
      <c r="G145" t="s">
        <v>507</v>
      </c>
      <c r="H145" t="s">
        <v>508</v>
      </c>
      <c r="I145" t="s">
        <v>509</v>
      </c>
      <c r="J145" t="s">
        <v>589</v>
      </c>
      <c r="K145" s="502">
        <v>-22.32</v>
      </c>
      <c r="L145" t="s">
        <v>296</v>
      </c>
    </row>
    <row r="146" spans="1:12">
      <c r="A146" t="s">
        <v>586</v>
      </c>
      <c r="B146" t="s">
        <v>3357</v>
      </c>
      <c r="C146" s="60" t="str">
        <f>C145</f>
        <v>E5160</v>
      </c>
      <c r="D146" t="s">
        <v>587</v>
      </c>
      <c r="E146" t="s">
        <v>588</v>
      </c>
      <c r="F146" t="s">
        <v>506</v>
      </c>
      <c r="G146" t="s">
        <v>507</v>
      </c>
      <c r="H146" t="s">
        <v>508</v>
      </c>
      <c r="I146" t="s">
        <v>509</v>
      </c>
      <c r="J146" t="s">
        <v>589</v>
      </c>
      <c r="K146" s="502">
        <f>K134</f>
        <v>-20.16</v>
      </c>
      <c r="L146" t="s">
        <v>296</v>
      </c>
    </row>
    <row r="147" spans="1:12">
      <c r="A147" t="s">
        <v>586</v>
      </c>
      <c r="B147" t="s">
        <v>3358</v>
      </c>
      <c r="C147" s="60" t="str">
        <f t="shared" ref="C147:C156" si="14">+C146</f>
        <v>E5160</v>
      </c>
      <c r="D147" t="s">
        <v>587</v>
      </c>
      <c r="E147" t="s">
        <v>588</v>
      </c>
      <c r="F147" t="s">
        <v>506</v>
      </c>
      <c r="G147" t="s">
        <v>507</v>
      </c>
      <c r="H147" t="s">
        <v>508</v>
      </c>
      <c r="I147" t="s">
        <v>509</v>
      </c>
      <c r="J147" t="s">
        <v>589</v>
      </c>
      <c r="K147" s="502">
        <v>-22.32</v>
      </c>
      <c r="L147" t="s">
        <v>296</v>
      </c>
    </row>
    <row r="148" spans="1:12">
      <c r="A148" t="s">
        <v>586</v>
      </c>
      <c r="B148" t="s">
        <v>3359</v>
      </c>
      <c r="C148" s="60" t="str">
        <f t="shared" si="14"/>
        <v>E5160</v>
      </c>
      <c r="D148" t="s">
        <v>587</v>
      </c>
      <c r="E148" t="s">
        <v>588</v>
      </c>
      <c r="F148" t="s">
        <v>506</v>
      </c>
      <c r="G148" t="s">
        <v>507</v>
      </c>
      <c r="H148" t="s">
        <v>508</v>
      </c>
      <c r="I148" t="s">
        <v>509</v>
      </c>
      <c r="J148" t="s">
        <v>589</v>
      </c>
      <c r="K148" s="502">
        <v>-21.6</v>
      </c>
      <c r="L148" t="s">
        <v>296</v>
      </c>
    </row>
    <row r="149" spans="1:12">
      <c r="A149" t="s">
        <v>586</v>
      </c>
      <c r="B149" t="s">
        <v>3360</v>
      </c>
      <c r="C149" s="60" t="str">
        <f t="shared" si="14"/>
        <v>E5160</v>
      </c>
      <c r="D149" t="s">
        <v>587</v>
      </c>
      <c r="E149" t="s">
        <v>588</v>
      </c>
      <c r="F149" t="s">
        <v>506</v>
      </c>
      <c r="G149" t="s">
        <v>507</v>
      </c>
      <c r="H149" t="s">
        <v>508</v>
      </c>
      <c r="I149" t="s">
        <v>509</v>
      </c>
      <c r="J149" t="s">
        <v>589</v>
      </c>
      <c r="K149" s="502">
        <v>-22.32</v>
      </c>
      <c r="L149" t="s">
        <v>296</v>
      </c>
    </row>
    <row r="150" spans="1:12">
      <c r="A150" t="s">
        <v>586</v>
      </c>
      <c r="B150" t="s">
        <v>3361</v>
      </c>
      <c r="C150" s="60" t="str">
        <f t="shared" si="14"/>
        <v>E5160</v>
      </c>
      <c r="D150" t="s">
        <v>587</v>
      </c>
      <c r="E150" t="s">
        <v>588</v>
      </c>
      <c r="F150" t="s">
        <v>506</v>
      </c>
      <c r="G150" t="s">
        <v>507</v>
      </c>
      <c r="H150" t="s">
        <v>508</v>
      </c>
      <c r="I150" t="s">
        <v>509</v>
      </c>
      <c r="J150" t="s">
        <v>589</v>
      </c>
      <c r="K150" s="502">
        <v>-21.6</v>
      </c>
      <c r="L150" t="s">
        <v>296</v>
      </c>
    </row>
    <row r="151" spans="1:12">
      <c r="A151" t="s">
        <v>586</v>
      </c>
      <c r="B151" t="s">
        <v>3362</v>
      </c>
      <c r="C151" s="60" t="str">
        <f t="shared" si="14"/>
        <v>E5160</v>
      </c>
      <c r="D151" t="s">
        <v>587</v>
      </c>
      <c r="E151" t="s">
        <v>588</v>
      </c>
      <c r="F151" t="s">
        <v>506</v>
      </c>
      <c r="G151" t="s">
        <v>507</v>
      </c>
      <c r="H151" t="s">
        <v>508</v>
      </c>
      <c r="I151" t="s">
        <v>509</v>
      </c>
      <c r="J151" t="s">
        <v>589</v>
      </c>
      <c r="K151" s="502">
        <v>-22.32</v>
      </c>
      <c r="L151" t="s">
        <v>296</v>
      </c>
    </row>
    <row r="152" spans="1:12">
      <c r="A152" t="s">
        <v>586</v>
      </c>
      <c r="B152" t="s">
        <v>3363</v>
      </c>
      <c r="C152" s="60" t="str">
        <f t="shared" si="14"/>
        <v>E5160</v>
      </c>
      <c r="D152" t="s">
        <v>587</v>
      </c>
      <c r="E152" t="s">
        <v>588</v>
      </c>
      <c r="F152" t="s">
        <v>506</v>
      </c>
      <c r="G152" t="s">
        <v>507</v>
      </c>
      <c r="H152" t="s">
        <v>508</v>
      </c>
      <c r="I152" t="s">
        <v>509</v>
      </c>
      <c r="J152" t="s">
        <v>589</v>
      </c>
      <c r="K152" s="502">
        <v>-22.32</v>
      </c>
      <c r="L152" t="s">
        <v>296</v>
      </c>
    </row>
    <row r="153" spans="1:12">
      <c r="A153" t="s">
        <v>586</v>
      </c>
      <c r="B153" t="s">
        <v>3364</v>
      </c>
      <c r="C153" s="60" t="str">
        <f t="shared" si="14"/>
        <v>E5160</v>
      </c>
      <c r="D153" t="s">
        <v>587</v>
      </c>
      <c r="E153" t="s">
        <v>588</v>
      </c>
      <c r="F153" t="s">
        <v>506</v>
      </c>
      <c r="G153" t="s">
        <v>507</v>
      </c>
      <c r="H153" t="s">
        <v>508</v>
      </c>
      <c r="I153" t="s">
        <v>509</v>
      </c>
      <c r="J153" t="s">
        <v>589</v>
      </c>
      <c r="K153" s="502">
        <v>-21.6</v>
      </c>
      <c r="L153" t="s">
        <v>296</v>
      </c>
    </row>
    <row r="154" spans="1:12">
      <c r="A154" t="s">
        <v>586</v>
      </c>
      <c r="B154" t="s">
        <v>3365</v>
      </c>
      <c r="C154" s="60" t="str">
        <f t="shared" si="14"/>
        <v>E5160</v>
      </c>
      <c r="D154" t="s">
        <v>587</v>
      </c>
      <c r="E154" t="s">
        <v>588</v>
      </c>
      <c r="F154" t="s">
        <v>506</v>
      </c>
      <c r="G154" t="s">
        <v>507</v>
      </c>
      <c r="H154" t="s">
        <v>508</v>
      </c>
      <c r="I154" t="s">
        <v>509</v>
      </c>
      <c r="J154" t="s">
        <v>589</v>
      </c>
      <c r="K154" s="502">
        <v>-22.32</v>
      </c>
      <c r="L154" t="s">
        <v>296</v>
      </c>
    </row>
    <row r="155" spans="1:12">
      <c r="A155" t="s">
        <v>586</v>
      </c>
      <c r="B155" t="s">
        <v>3366</v>
      </c>
      <c r="C155" s="60" t="str">
        <f t="shared" si="14"/>
        <v>E5160</v>
      </c>
      <c r="D155" t="s">
        <v>587</v>
      </c>
      <c r="E155" t="s">
        <v>588</v>
      </c>
      <c r="F155" t="s">
        <v>506</v>
      </c>
      <c r="G155" t="s">
        <v>507</v>
      </c>
      <c r="H155" t="s">
        <v>508</v>
      </c>
      <c r="I155" t="s">
        <v>509</v>
      </c>
      <c r="J155" t="s">
        <v>589</v>
      </c>
      <c r="K155" s="502">
        <v>-21.6</v>
      </c>
      <c r="L155" t="s">
        <v>296</v>
      </c>
    </row>
    <row r="156" spans="1:12">
      <c r="A156" t="s">
        <v>586</v>
      </c>
      <c r="B156" t="s">
        <v>3367</v>
      </c>
      <c r="C156" s="60" t="str">
        <f t="shared" si="14"/>
        <v>E5160</v>
      </c>
      <c r="D156" t="s">
        <v>587</v>
      </c>
      <c r="E156" t="s">
        <v>588</v>
      </c>
      <c r="F156" t="s">
        <v>506</v>
      </c>
      <c r="G156" t="s">
        <v>507</v>
      </c>
      <c r="H156" t="s">
        <v>508</v>
      </c>
      <c r="I156" t="s">
        <v>509</v>
      </c>
      <c r="J156" t="s">
        <v>589</v>
      </c>
      <c r="K156" s="502">
        <v>-22.32</v>
      </c>
      <c r="L156" t="s">
        <v>296</v>
      </c>
    </row>
    <row r="157" spans="1:12">
      <c r="A157" t="s">
        <v>586</v>
      </c>
      <c r="B157" t="s">
        <v>3356</v>
      </c>
      <c r="C157" s="3" t="str">
        <f>+'2-Préparation saisie LV PROD'!B18</f>
        <v>E5170</v>
      </c>
      <c r="D157" t="s">
        <v>587</v>
      </c>
      <c r="E157" t="s">
        <v>588</v>
      </c>
      <c r="F157" t="s">
        <v>506</v>
      </c>
      <c r="G157" t="s">
        <v>507</v>
      </c>
      <c r="H157" t="s">
        <v>508</v>
      </c>
      <c r="I157" t="s">
        <v>509</v>
      </c>
      <c r="J157" t="s">
        <v>589</v>
      </c>
      <c r="K157" s="502">
        <v>-22.32</v>
      </c>
      <c r="L157" t="s">
        <v>3417</v>
      </c>
    </row>
    <row r="158" spans="1:12">
      <c r="A158" t="s">
        <v>586</v>
      </c>
      <c r="B158" t="s">
        <v>3357</v>
      </c>
      <c r="C158" s="60" t="str">
        <f>C157</f>
        <v>E5170</v>
      </c>
      <c r="D158" t="s">
        <v>587</v>
      </c>
      <c r="E158" t="s">
        <v>588</v>
      </c>
      <c r="F158" t="s">
        <v>506</v>
      </c>
      <c r="G158" t="s">
        <v>507</v>
      </c>
      <c r="H158" t="s">
        <v>508</v>
      </c>
      <c r="I158" t="s">
        <v>509</v>
      </c>
      <c r="J158" t="s">
        <v>589</v>
      </c>
      <c r="K158" s="502">
        <f>K146</f>
        <v>-20.16</v>
      </c>
      <c r="L158" t="s">
        <v>3417</v>
      </c>
    </row>
    <row r="159" spans="1:12">
      <c r="A159" t="s">
        <v>586</v>
      </c>
      <c r="B159" t="s">
        <v>3358</v>
      </c>
      <c r="C159" s="60" t="str">
        <f t="shared" ref="C159:C168" si="15">+C158</f>
        <v>E5170</v>
      </c>
      <c r="D159" t="s">
        <v>587</v>
      </c>
      <c r="E159" t="s">
        <v>588</v>
      </c>
      <c r="F159" t="s">
        <v>506</v>
      </c>
      <c r="G159" t="s">
        <v>507</v>
      </c>
      <c r="H159" t="s">
        <v>508</v>
      </c>
      <c r="I159" t="s">
        <v>509</v>
      </c>
      <c r="J159" t="s">
        <v>589</v>
      </c>
      <c r="K159" s="502">
        <v>-22.32</v>
      </c>
      <c r="L159" t="s">
        <v>3417</v>
      </c>
    </row>
    <row r="160" spans="1:12">
      <c r="A160" t="s">
        <v>586</v>
      </c>
      <c r="B160" t="s">
        <v>3359</v>
      </c>
      <c r="C160" s="60" t="str">
        <f t="shared" si="15"/>
        <v>E5170</v>
      </c>
      <c r="D160" t="s">
        <v>587</v>
      </c>
      <c r="E160" t="s">
        <v>588</v>
      </c>
      <c r="F160" t="s">
        <v>506</v>
      </c>
      <c r="G160" t="s">
        <v>507</v>
      </c>
      <c r="H160" t="s">
        <v>508</v>
      </c>
      <c r="I160" t="s">
        <v>509</v>
      </c>
      <c r="J160" t="s">
        <v>589</v>
      </c>
      <c r="K160" s="502">
        <v>-21.6</v>
      </c>
      <c r="L160" t="s">
        <v>3417</v>
      </c>
    </row>
    <row r="161" spans="1:12">
      <c r="A161" t="s">
        <v>586</v>
      </c>
      <c r="B161" t="s">
        <v>3360</v>
      </c>
      <c r="C161" s="60" t="str">
        <f t="shared" si="15"/>
        <v>E5170</v>
      </c>
      <c r="D161" t="s">
        <v>587</v>
      </c>
      <c r="E161" t="s">
        <v>588</v>
      </c>
      <c r="F161" t="s">
        <v>506</v>
      </c>
      <c r="G161" t="s">
        <v>507</v>
      </c>
      <c r="H161" t="s">
        <v>508</v>
      </c>
      <c r="I161" t="s">
        <v>509</v>
      </c>
      <c r="J161" t="s">
        <v>589</v>
      </c>
      <c r="K161" s="502">
        <v>-22.32</v>
      </c>
      <c r="L161" t="s">
        <v>3417</v>
      </c>
    </row>
    <row r="162" spans="1:12">
      <c r="A162" t="s">
        <v>586</v>
      </c>
      <c r="B162" t="s">
        <v>3361</v>
      </c>
      <c r="C162" s="60" t="str">
        <f t="shared" si="15"/>
        <v>E5170</v>
      </c>
      <c r="D162" t="s">
        <v>587</v>
      </c>
      <c r="E162" t="s">
        <v>588</v>
      </c>
      <c r="F162" t="s">
        <v>506</v>
      </c>
      <c r="G162" t="s">
        <v>507</v>
      </c>
      <c r="H162" t="s">
        <v>508</v>
      </c>
      <c r="I162" t="s">
        <v>509</v>
      </c>
      <c r="J162" t="s">
        <v>589</v>
      </c>
      <c r="K162" s="502">
        <v>-21.6</v>
      </c>
      <c r="L162" t="s">
        <v>3417</v>
      </c>
    </row>
    <row r="163" spans="1:12">
      <c r="A163" t="s">
        <v>586</v>
      </c>
      <c r="B163" t="s">
        <v>3362</v>
      </c>
      <c r="C163" s="60" t="str">
        <f t="shared" si="15"/>
        <v>E5170</v>
      </c>
      <c r="D163" t="s">
        <v>587</v>
      </c>
      <c r="E163" t="s">
        <v>588</v>
      </c>
      <c r="F163" t="s">
        <v>506</v>
      </c>
      <c r="G163" t="s">
        <v>507</v>
      </c>
      <c r="H163" t="s">
        <v>508</v>
      </c>
      <c r="I163" t="s">
        <v>509</v>
      </c>
      <c r="J163" t="s">
        <v>589</v>
      </c>
      <c r="K163" s="502">
        <v>-22.32</v>
      </c>
      <c r="L163" t="s">
        <v>3417</v>
      </c>
    </row>
    <row r="164" spans="1:12">
      <c r="A164" t="s">
        <v>586</v>
      </c>
      <c r="B164" t="s">
        <v>3363</v>
      </c>
      <c r="C164" s="60" t="str">
        <f t="shared" si="15"/>
        <v>E5170</v>
      </c>
      <c r="D164" t="s">
        <v>587</v>
      </c>
      <c r="E164" t="s">
        <v>588</v>
      </c>
      <c r="F164" t="s">
        <v>506</v>
      </c>
      <c r="G164" t="s">
        <v>507</v>
      </c>
      <c r="H164" t="s">
        <v>508</v>
      </c>
      <c r="I164" t="s">
        <v>509</v>
      </c>
      <c r="J164" t="s">
        <v>589</v>
      </c>
      <c r="K164" s="502">
        <v>-22.32</v>
      </c>
      <c r="L164" t="s">
        <v>3417</v>
      </c>
    </row>
    <row r="165" spans="1:12">
      <c r="A165" t="s">
        <v>586</v>
      </c>
      <c r="B165" t="s">
        <v>3364</v>
      </c>
      <c r="C165" s="60" t="str">
        <f t="shared" si="15"/>
        <v>E5170</v>
      </c>
      <c r="D165" t="s">
        <v>587</v>
      </c>
      <c r="E165" t="s">
        <v>588</v>
      </c>
      <c r="F165" t="s">
        <v>506</v>
      </c>
      <c r="G165" t="s">
        <v>507</v>
      </c>
      <c r="H165" t="s">
        <v>508</v>
      </c>
      <c r="I165" t="s">
        <v>509</v>
      </c>
      <c r="J165" t="s">
        <v>589</v>
      </c>
      <c r="K165" s="502">
        <v>-21.6</v>
      </c>
      <c r="L165" t="s">
        <v>3417</v>
      </c>
    </row>
    <row r="166" spans="1:12">
      <c r="A166" t="s">
        <v>586</v>
      </c>
      <c r="B166" t="s">
        <v>3365</v>
      </c>
      <c r="C166" s="60" t="str">
        <f t="shared" si="15"/>
        <v>E5170</v>
      </c>
      <c r="D166" t="s">
        <v>587</v>
      </c>
      <c r="E166" t="s">
        <v>588</v>
      </c>
      <c r="F166" t="s">
        <v>506</v>
      </c>
      <c r="G166" t="s">
        <v>507</v>
      </c>
      <c r="H166" t="s">
        <v>508</v>
      </c>
      <c r="I166" t="s">
        <v>509</v>
      </c>
      <c r="J166" t="s">
        <v>589</v>
      </c>
      <c r="K166" s="502">
        <v>-22.32</v>
      </c>
      <c r="L166" t="s">
        <v>3417</v>
      </c>
    </row>
    <row r="167" spans="1:12">
      <c r="A167" t="s">
        <v>586</v>
      </c>
      <c r="B167" t="s">
        <v>3366</v>
      </c>
      <c r="C167" s="60" t="str">
        <f t="shared" si="15"/>
        <v>E5170</v>
      </c>
      <c r="D167" t="s">
        <v>587</v>
      </c>
      <c r="E167" t="s">
        <v>588</v>
      </c>
      <c r="F167" t="s">
        <v>506</v>
      </c>
      <c r="G167" t="s">
        <v>507</v>
      </c>
      <c r="H167" t="s">
        <v>508</v>
      </c>
      <c r="I167" t="s">
        <v>509</v>
      </c>
      <c r="J167" t="s">
        <v>589</v>
      </c>
      <c r="K167" s="502">
        <v>-21.6</v>
      </c>
      <c r="L167" t="s">
        <v>3417</v>
      </c>
    </row>
    <row r="168" spans="1:12">
      <c r="A168" t="s">
        <v>586</v>
      </c>
      <c r="B168" t="s">
        <v>3367</v>
      </c>
      <c r="C168" s="60" t="str">
        <f t="shared" si="15"/>
        <v>E5170</v>
      </c>
      <c r="D168" t="s">
        <v>587</v>
      </c>
      <c r="E168" t="s">
        <v>588</v>
      </c>
      <c r="F168" t="s">
        <v>506</v>
      </c>
      <c r="G168" t="s">
        <v>507</v>
      </c>
      <c r="H168" t="s">
        <v>508</v>
      </c>
      <c r="I168" t="s">
        <v>509</v>
      </c>
      <c r="J168" t="s">
        <v>589</v>
      </c>
      <c r="K168" s="502">
        <v>-22.32</v>
      </c>
      <c r="L168" t="s">
        <v>3417</v>
      </c>
    </row>
    <row r="169" spans="1:12">
      <c r="A169" t="s">
        <v>586</v>
      </c>
      <c r="B169" t="s">
        <v>3356</v>
      </c>
      <c r="C169" s="3" t="str">
        <f>+'2-Préparation saisie LV PROD'!B19</f>
        <v>E5180</v>
      </c>
      <c r="D169" t="s">
        <v>587</v>
      </c>
      <c r="E169" t="s">
        <v>588</v>
      </c>
      <c r="F169" t="s">
        <v>506</v>
      </c>
      <c r="G169" t="s">
        <v>507</v>
      </c>
      <c r="H169" t="s">
        <v>508</v>
      </c>
      <c r="I169" t="s">
        <v>509</v>
      </c>
      <c r="J169" t="s">
        <v>589</v>
      </c>
      <c r="K169" s="502">
        <v>-22.32</v>
      </c>
      <c r="L169" t="s">
        <v>297</v>
      </c>
    </row>
    <row r="170" spans="1:12">
      <c r="A170" t="s">
        <v>586</v>
      </c>
      <c r="B170" t="s">
        <v>3357</v>
      </c>
      <c r="C170" s="60" t="str">
        <f>C169</f>
        <v>E5180</v>
      </c>
      <c r="D170" t="s">
        <v>587</v>
      </c>
      <c r="E170" t="s">
        <v>588</v>
      </c>
      <c r="F170" t="s">
        <v>506</v>
      </c>
      <c r="G170" t="s">
        <v>507</v>
      </c>
      <c r="H170" t="s">
        <v>508</v>
      </c>
      <c r="I170" t="s">
        <v>509</v>
      </c>
      <c r="J170" t="s">
        <v>589</v>
      </c>
      <c r="K170" s="502">
        <f>K158</f>
        <v>-20.16</v>
      </c>
      <c r="L170" t="s">
        <v>297</v>
      </c>
    </row>
    <row r="171" spans="1:12">
      <c r="A171" t="s">
        <v>586</v>
      </c>
      <c r="B171" t="s">
        <v>3358</v>
      </c>
      <c r="C171" s="60" t="str">
        <f t="shared" ref="C171:C180" si="16">+C170</f>
        <v>E5180</v>
      </c>
      <c r="D171" t="s">
        <v>587</v>
      </c>
      <c r="E171" t="s">
        <v>588</v>
      </c>
      <c r="F171" t="s">
        <v>506</v>
      </c>
      <c r="G171" t="s">
        <v>507</v>
      </c>
      <c r="H171" t="s">
        <v>508</v>
      </c>
      <c r="I171" t="s">
        <v>509</v>
      </c>
      <c r="J171" t="s">
        <v>589</v>
      </c>
      <c r="K171" s="502">
        <v>-22.32</v>
      </c>
      <c r="L171" t="s">
        <v>297</v>
      </c>
    </row>
    <row r="172" spans="1:12">
      <c r="A172" t="s">
        <v>586</v>
      </c>
      <c r="B172" t="s">
        <v>3359</v>
      </c>
      <c r="C172" s="60" t="str">
        <f t="shared" si="16"/>
        <v>E5180</v>
      </c>
      <c r="D172" t="s">
        <v>587</v>
      </c>
      <c r="E172" t="s">
        <v>588</v>
      </c>
      <c r="F172" t="s">
        <v>506</v>
      </c>
      <c r="G172" t="s">
        <v>507</v>
      </c>
      <c r="H172" t="s">
        <v>508</v>
      </c>
      <c r="I172" t="s">
        <v>509</v>
      </c>
      <c r="J172" t="s">
        <v>589</v>
      </c>
      <c r="K172" s="502">
        <v>-21.6</v>
      </c>
      <c r="L172" t="s">
        <v>297</v>
      </c>
    </row>
    <row r="173" spans="1:12">
      <c r="A173" t="s">
        <v>586</v>
      </c>
      <c r="B173" t="s">
        <v>3360</v>
      </c>
      <c r="C173" s="60" t="str">
        <f t="shared" si="16"/>
        <v>E5180</v>
      </c>
      <c r="D173" t="s">
        <v>587</v>
      </c>
      <c r="E173" t="s">
        <v>588</v>
      </c>
      <c r="F173" t="s">
        <v>506</v>
      </c>
      <c r="G173" t="s">
        <v>507</v>
      </c>
      <c r="H173" t="s">
        <v>508</v>
      </c>
      <c r="I173" t="s">
        <v>509</v>
      </c>
      <c r="J173" t="s">
        <v>589</v>
      </c>
      <c r="K173" s="502">
        <v>-22.32</v>
      </c>
      <c r="L173" t="s">
        <v>297</v>
      </c>
    </row>
    <row r="174" spans="1:12">
      <c r="A174" t="s">
        <v>586</v>
      </c>
      <c r="B174" t="s">
        <v>3361</v>
      </c>
      <c r="C174" s="60" t="str">
        <f t="shared" si="16"/>
        <v>E5180</v>
      </c>
      <c r="D174" t="s">
        <v>587</v>
      </c>
      <c r="E174" t="s">
        <v>588</v>
      </c>
      <c r="F174" t="s">
        <v>506</v>
      </c>
      <c r="G174" t="s">
        <v>507</v>
      </c>
      <c r="H174" t="s">
        <v>508</v>
      </c>
      <c r="I174" t="s">
        <v>509</v>
      </c>
      <c r="J174" t="s">
        <v>589</v>
      </c>
      <c r="K174" s="502">
        <v>-21.6</v>
      </c>
      <c r="L174" t="s">
        <v>297</v>
      </c>
    </row>
    <row r="175" spans="1:12">
      <c r="A175" t="s">
        <v>586</v>
      </c>
      <c r="B175" t="s">
        <v>3362</v>
      </c>
      <c r="C175" s="60" t="str">
        <f t="shared" si="16"/>
        <v>E5180</v>
      </c>
      <c r="D175" t="s">
        <v>587</v>
      </c>
      <c r="E175" t="s">
        <v>588</v>
      </c>
      <c r="F175" t="s">
        <v>506</v>
      </c>
      <c r="G175" t="s">
        <v>507</v>
      </c>
      <c r="H175" t="s">
        <v>508</v>
      </c>
      <c r="I175" t="s">
        <v>509</v>
      </c>
      <c r="J175" t="s">
        <v>589</v>
      </c>
      <c r="K175" s="502">
        <v>-22.32</v>
      </c>
      <c r="L175" t="s">
        <v>297</v>
      </c>
    </row>
    <row r="176" spans="1:12">
      <c r="A176" t="s">
        <v>586</v>
      </c>
      <c r="B176" t="s">
        <v>3363</v>
      </c>
      <c r="C176" s="60" t="str">
        <f t="shared" si="16"/>
        <v>E5180</v>
      </c>
      <c r="D176" t="s">
        <v>587</v>
      </c>
      <c r="E176" t="s">
        <v>588</v>
      </c>
      <c r="F176" t="s">
        <v>506</v>
      </c>
      <c r="G176" t="s">
        <v>507</v>
      </c>
      <c r="H176" t="s">
        <v>508</v>
      </c>
      <c r="I176" t="s">
        <v>509</v>
      </c>
      <c r="J176" t="s">
        <v>589</v>
      </c>
      <c r="K176" s="502">
        <v>-22.32</v>
      </c>
      <c r="L176" t="s">
        <v>297</v>
      </c>
    </row>
    <row r="177" spans="1:12">
      <c r="A177" t="s">
        <v>586</v>
      </c>
      <c r="B177" t="s">
        <v>3364</v>
      </c>
      <c r="C177" s="60" t="str">
        <f t="shared" si="16"/>
        <v>E5180</v>
      </c>
      <c r="D177" t="s">
        <v>587</v>
      </c>
      <c r="E177" t="s">
        <v>588</v>
      </c>
      <c r="F177" t="s">
        <v>506</v>
      </c>
      <c r="G177" t="s">
        <v>507</v>
      </c>
      <c r="H177" t="s">
        <v>508</v>
      </c>
      <c r="I177" t="s">
        <v>509</v>
      </c>
      <c r="J177" t="s">
        <v>589</v>
      </c>
      <c r="K177" s="502">
        <v>-21.6</v>
      </c>
      <c r="L177" t="s">
        <v>297</v>
      </c>
    </row>
    <row r="178" spans="1:12">
      <c r="A178" t="s">
        <v>586</v>
      </c>
      <c r="B178" t="s">
        <v>3365</v>
      </c>
      <c r="C178" s="60" t="str">
        <f t="shared" si="16"/>
        <v>E5180</v>
      </c>
      <c r="D178" t="s">
        <v>587</v>
      </c>
      <c r="E178" t="s">
        <v>588</v>
      </c>
      <c r="F178" t="s">
        <v>506</v>
      </c>
      <c r="G178" t="s">
        <v>507</v>
      </c>
      <c r="H178" t="s">
        <v>508</v>
      </c>
      <c r="I178" t="s">
        <v>509</v>
      </c>
      <c r="J178" t="s">
        <v>589</v>
      </c>
      <c r="K178" s="502">
        <v>-22.32</v>
      </c>
      <c r="L178" t="s">
        <v>297</v>
      </c>
    </row>
    <row r="179" spans="1:12">
      <c r="A179" t="s">
        <v>586</v>
      </c>
      <c r="B179" t="s">
        <v>3366</v>
      </c>
      <c r="C179" s="60" t="str">
        <f t="shared" si="16"/>
        <v>E5180</v>
      </c>
      <c r="D179" t="s">
        <v>587</v>
      </c>
      <c r="E179" t="s">
        <v>588</v>
      </c>
      <c r="F179" t="s">
        <v>506</v>
      </c>
      <c r="G179" t="s">
        <v>507</v>
      </c>
      <c r="H179" t="s">
        <v>508</v>
      </c>
      <c r="I179" t="s">
        <v>509</v>
      </c>
      <c r="J179" t="s">
        <v>589</v>
      </c>
      <c r="K179" s="502">
        <v>-21.6</v>
      </c>
      <c r="L179" t="s">
        <v>297</v>
      </c>
    </row>
    <row r="180" spans="1:12">
      <c r="A180" t="s">
        <v>586</v>
      </c>
      <c r="B180" t="s">
        <v>3367</v>
      </c>
      <c r="C180" s="60" t="str">
        <f t="shared" si="16"/>
        <v>E5180</v>
      </c>
      <c r="D180" t="s">
        <v>587</v>
      </c>
      <c r="E180" t="s">
        <v>588</v>
      </c>
      <c r="F180" t="s">
        <v>506</v>
      </c>
      <c r="G180" t="s">
        <v>507</v>
      </c>
      <c r="H180" t="s">
        <v>508</v>
      </c>
      <c r="I180" t="s">
        <v>509</v>
      </c>
      <c r="J180" t="s">
        <v>589</v>
      </c>
      <c r="K180" s="502">
        <v>-22.32</v>
      </c>
      <c r="L180" t="s">
        <v>297</v>
      </c>
    </row>
    <row r="181" spans="1:12">
      <c r="A181" t="s">
        <v>586</v>
      </c>
      <c r="B181" t="s">
        <v>3356</v>
      </c>
      <c r="C181" s="3" t="str">
        <f>+'2-Préparation saisie LV PROD'!B20</f>
        <v>E5210</v>
      </c>
      <c r="D181" t="s">
        <v>587</v>
      </c>
      <c r="E181" t="s">
        <v>588</v>
      </c>
      <c r="F181" t="s">
        <v>506</v>
      </c>
      <c r="G181" t="s">
        <v>507</v>
      </c>
      <c r="H181" t="s">
        <v>508</v>
      </c>
      <c r="I181" t="s">
        <v>509</v>
      </c>
      <c r="J181" t="s">
        <v>589</v>
      </c>
      <c r="K181" s="502">
        <v>-22.32</v>
      </c>
      <c r="L181" t="s">
        <v>527</v>
      </c>
    </row>
    <row r="182" spans="1:12">
      <c r="A182" t="s">
        <v>586</v>
      </c>
      <c r="B182" t="s">
        <v>3357</v>
      </c>
      <c r="C182" s="60" t="str">
        <f>C181</f>
        <v>E5210</v>
      </c>
      <c r="D182" t="s">
        <v>587</v>
      </c>
      <c r="E182" t="s">
        <v>588</v>
      </c>
      <c r="F182" t="s">
        <v>506</v>
      </c>
      <c r="G182" t="s">
        <v>507</v>
      </c>
      <c r="H182" t="s">
        <v>508</v>
      </c>
      <c r="I182" t="s">
        <v>509</v>
      </c>
      <c r="J182" t="s">
        <v>589</v>
      </c>
      <c r="K182" s="502">
        <v>-20.16</v>
      </c>
      <c r="L182" t="s">
        <v>527</v>
      </c>
    </row>
    <row r="183" spans="1:12">
      <c r="A183" t="s">
        <v>586</v>
      </c>
      <c r="B183" t="s">
        <v>3358</v>
      </c>
      <c r="C183" s="60" t="str">
        <f t="shared" ref="C183:C192" si="17">+C182</f>
        <v>E5210</v>
      </c>
      <c r="D183" t="s">
        <v>587</v>
      </c>
      <c r="E183" t="s">
        <v>588</v>
      </c>
      <c r="F183" t="s">
        <v>506</v>
      </c>
      <c r="G183" t="s">
        <v>507</v>
      </c>
      <c r="H183" t="s">
        <v>508</v>
      </c>
      <c r="I183" t="s">
        <v>509</v>
      </c>
      <c r="J183" t="s">
        <v>589</v>
      </c>
      <c r="K183" s="502">
        <v>-22.32</v>
      </c>
      <c r="L183" t="s">
        <v>527</v>
      </c>
    </row>
    <row r="184" spans="1:12">
      <c r="A184" t="s">
        <v>586</v>
      </c>
      <c r="B184" t="s">
        <v>3359</v>
      </c>
      <c r="C184" s="60" t="str">
        <f t="shared" si="17"/>
        <v>E5210</v>
      </c>
      <c r="D184" t="s">
        <v>587</v>
      </c>
      <c r="E184" t="s">
        <v>588</v>
      </c>
      <c r="F184" t="s">
        <v>506</v>
      </c>
      <c r="G184" t="s">
        <v>507</v>
      </c>
      <c r="H184" t="s">
        <v>508</v>
      </c>
      <c r="I184" t="s">
        <v>509</v>
      </c>
      <c r="J184" t="s">
        <v>589</v>
      </c>
      <c r="K184" s="502">
        <v>-21.6</v>
      </c>
      <c r="L184" t="s">
        <v>527</v>
      </c>
    </row>
    <row r="185" spans="1:12">
      <c r="A185" t="s">
        <v>586</v>
      </c>
      <c r="B185" t="s">
        <v>3360</v>
      </c>
      <c r="C185" s="60" t="str">
        <f t="shared" si="17"/>
        <v>E5210</v>
      </c>
      <c r="D185" t="s">
        <v>587</v>
      </c>
      <c r="E185" t="s">
        <v>588</v>
      </c>
      <c r="F185" t="s">
        <v>506</v>
      </c>
      <c r="G185" t="s">
        <v>507</v>
      </c>
      <c r="H185" t="s">
        <v>508</v>
      </c>
      <c r="I185" t="s">
        <v>509</v>
      </c>
      <c r="J185" t="s">
        <v>589</v>
      </c>
      <c r="K185" s="502">
        <v>-22.32</v>
      </c>
      <c r="L185" t="s">
        <v>527</v>
      </c>
    </row>
    <row r="186" spans="1:12">
      <c r="A186" t="s">
        <v>586</v>
      </c>
      <c r="B186" t="s">
        <v>3361</v>
      </c>
      <c r="C186" s="60" t="str">
        <f t="shared" si="17"/>
        <v>E5210</v>
      </c>
      <c r="D186" t="s">
        <v>587</v>
      </c>
      <c r="E186" t="s">
        <v>588</v>
      </c>
      <c r="F186" t="s">
        <v>506</v>
      </c>
      <c r="G186" t="s">
        <v>507</v>
      </c>
      <c r="H186" t="s">
        <v>508</v>
      </c>
      <c r="I186" t="s">
        <v>509</v>
      </c>
      <c r="J186" t="s">
        <v>589</v>
      </c>
      <c r="K186" s="502">
        <v>-21.6</v>
      </c>
      <c r="L186" t="s">
        <v>527</v>
      </c>
    </row>
    <row r="187" spans="1:12">
      <c r="A187" t="s">
        <v>586</v>
      </c>
      <c r="B187" t="s">
        <v>3362</v>
      </c>
      <c r="C187" s="60" t="str">
        <f t="shared" si="17"/>
        <v>E5210</v>
      </c>
      <c r="D187" t="s">
        <v>587</v>
      </c>
      <c r="E187" t="s">
        <v>588</v>
      </c>
      <c r="F187" t="s">
        <v>506</v>
      </c>
      <c r="G187" t="s">
        <v>507</v>
      </c>
      <c r="H187" t="s">
        <v>508</v>
      </c>
      <c r="I187" t="s">
        <v>509</v>
      </c>
      <c r="J187" t="s">
        <v>589</v>
      </c>
      <c r="K187" s="502">
        <v>-22.32</v>
      </c>
      <c r="L187" t="s">
        <v>527</v>
      </c>
    </row>
    <row r="188" spans="1:12">
      <c r="A188" t="s">
        <v>586</v>
      </c>
      <c r="B188" t="s">
        <v>3363</v>
      </c>
      <c r="C188" s="60" t="str">
        <f t="shared" si="17"/>
        <v>E5210</v>
      </c>
      <c r="D188" t="s">
        <v>587</v>
      </c>
      <c r="E188" t="s">
        <v>588</v>
      </c>
      <c r="F188" t="s">
        <v>506</v>
      </c>
      <c r="G188" t="s">
        <v>507</v>
      </c>
      <c r="H188" t="s">
        <v>508</v>
      </c>
      <c r="I188" t="s">
        <v>509</v>
      </c>
      <c r="J188" t="s">
        <v>589</v>
      </c>
      <c r="K188" s="502">
        <v>-22.32</v>
      </c>
      <c r="L188" t="s">
        <v>527</v>
      </c>
    </row>
    <row r="189" spans="1:12">
      <c r="A189" t="s">
        <v>586</v>
      </c>
      <c r="B189" t="s">
        <v>3364</v>
      </c>
      <c r="C189" s="60" t="str">
        <f t="shared" si="17"/>
        <v>E5210</v>
      </c>
      <c r="D189" t="s">
        <v>587</v>
      </c>
      <c r="E189" t="s">
        <v>588</v>
      </c>
      <c r="F189" t="s">
        <v>506</v>
      </c>
      <c r="G189" t="s">
        <v>507</v>
      </c>
      <c r="H189" t="s">
        <v>508</v>
      </c>
      <c r="I189" t="s">
        <v>509</v>
      </c>
      <c r="J189" t="s">
        <v>589</v>
      </c>
      <c r="K189" s="502">
        <v>-21.6</v>
      </c>
      <c r="L189" t="s">
        <v>527</v>
      </c>
    </row>
    <row r="190" spans="1:12">
      <c r="A190" t="s">
        <v>586</v>
      </c>
      <c r="B190" t="s">
        <v>3365</v>
      </c>
      <c r="C190" s="60" t="str">
        <f t="shared" si="17"/>
        <v>E5210</v>
      </c>
      <c r="D190" t="s">
        <v>587</v>
      </c>
      <c r="E190" t="s">
        <v>588</v>
      </c>
      <c r="F190" t="s">
        <v>506</v>
      </c>
      <c r="G190" t="s">
        <v>507</v>
      </c>
      <c r="H190" t="s">
        <v>508</v>
      </c>
      <c r="I190" t="s">
        <v>509</v>
      </c>
      <c r="J190" t="s">
        <v>589</v>
      </c>
      <c r="K190" s="502">
        <v>-22.32</v>
      </c>
      <c r="L190" t="s">
        <v>527</v>
      </c>
    </row>
    <row r="191" spans="1:12">
      <c r="A191" t="s">
        <v>586</v>
      </c>
      <c r="B191" t="s">
        <v>3366</v>
      </c>
      <c r="C191" s="60" t="str">
        <f t="shared" si="17"/>
        <v>E5210</v>
      </c>
      <c r="D191" t="s">
        <v>587</v>
      </c>
      <c r="E191" t="s">
        <v>588</v>
      </c>
      <c r="F191" t="s">
        <v>506</v>
      </c>
      <c r="G191" t="s">
        <v>507</v>
      </c>
      <c r="H191" t="s">
        <v>508</v>
      </c>
      <c r="I191" t="s">
        <v>509</v>
      </c>
      <c r="J191" t="s">
        <v>589</v>
      </c>
      <c r="K191" s="502">
        <v>-21.6</v>
      </c>
      <c r="L191" t="s">
        <v>527</v>
      </c>
    </row>
    <row r="192" spans="1:12">
      <c r="A192" t="s">
        <v>586</v>
      </c>
      <c r="B192" t="s">
        <v>3367</v>
      </c>
      <c r="C192" s="60" t="str">
        <f t="shared" si="17"/>
        <v>E5210</v>
      </c>
      <c r="D192" t="s">
        <v>587</v>
      </c>
      <c r="E192" t="s">
        <v>588</v>
      </c>
      <c r="F192" t="s">
        <v>506</v>
      </c>
      <c r="G192" t="s">
        <v>507</v>
      </c>
      <c r="H192" t="s">
        <v>508</v>
      </c>
      <c r="I192" t="s">
        <v>509</v>
      </c>
      <c r="J192" t="s">
        <v>589</v>
      </c>
      <c r="K192" s="502">
        <v>-22.32</v>
      </c>
      <c r="L192" t="s">
        <v>527</v>
      </c>
    </row>
    <row r="193" spans="1:12">
      <c r="A193" t="s">
        <v>586</v>
      </c>
      <c r="B193" t="s">
        <v>3356</v>
      </c>
      <c r="C193" s="3" t="str">
        <f>+'2-Préparation saisie LV PROD'!B21</f>
        <v>E5270</v>
      </c>
      <c r="D193" t="s">
        <v>587</v>
      </c>
      <c r="E193" t="s">
        <v>588</v>
      </c>
      <c r="F193" t="s">
        <v>506</v>
      </c>
      <c r="G193" t="s">
        <v>507</v>
      </c>
      <c r="H193" t="s">
        <v>508</v>
      </c>
      <c r="I193" t="s">
        <v>509</v>
      </c>
      <c r="J193" t="s">
        <v>589</v>
      </c>
      <c r="K193" s="502">
        <v>-22.32</v>
      </c>
      <c r="L193" t="s">
        <v>538</v>
      </c>
    </row>
    <row r="194" spans="1:12">
      <c r="A194" t="s">
        <v>586</v>
      </c>
      <c r="B194" t="s">
        <v>3357</v>
      </c>
      <c r="C194" s="60" t="str">
        <f>C193</f>
        <v>E5270</v>
      </c>
      <c r="D194" t="s">
        <v>587</v>
      </c>
      <c r="E194" t="s">
        <v>588</v>
      </c>
      <c r="F194" t="s">
        <v>506</v>
      </c>
      <c r="G194" t="s">
        <v>507</v>
      </c>
      <c r="H194" t="s">
        <v>508</v>
      </c>
      <c r="I194" t="s">
        <v>509</v>
      </c>
      <c r="J194" t="s">
        <v>589</v>
      </c>
      <c r="K194" s="502">
        <f>K182</f>
        <v>-20.16</v>
      </c>
      <c r="L194" t="s">
        <v>538</v>
      </c>
    </row>
    <row r="195" spans="1:12">
      <c r="A195" t="s">
        <v>586</v>
      </c>
      <c r="B195" t="s">
        <v>3358</v>
      </c>
      <c r="C195" s="60" t="str">
        <f t="shared" ref="C195:C204" si="18">+C194</f>
        <v>E5270</v>
      </c>
      <c r="D195" t="s">
        <v>587</v>
      </c>
      <c r="E195" t="s">
        <v>588</v>
      </c>
      <c r="F195" t="s">
        <v>506</v>
      </c>
      <c r="G195" t="s">
        <v>507</v>
      </c>
      <c r="H195" t="s">
        <v>508</v>
      </c>
      <c r="I195" t="s">
        <v>509</v>
      </c>
      <c r="J195" t="s">
        <v>589</v>
      </c>
      <c r="K195" s="502">
        <v>-22.32</v>
      </c>
      <c r="L195" t="s">
        <v>538</v>
      </c>
    </row>
    <row r="196" spans="1:12">
      <c r="A196" t="s">
        <v>586</v>
      </c>
      <c r="B196" t="s">
        <v>3359</v>
      </c>
      <c r="C196" s="60" t="str">
        <f t="shared" si="18"/>
        <v>E5270</v>
      </c>
      <c r="D196" t="s">
        <v>587</v>
      </c>
      <c r="E196" t="s">
        <v>588</v>
      </c>
      <c r="F196" t="s">
        <v>506</v>
      </c>
      <c r="G196" t="s">
        <v>507</v>
      </c>
      <c r="H196" t="s">
        <v>508</v>
      </c>
      <c r="I196" t="s">
        <v>509</v>
      </c>
      <c r="J196" t="s">
        <v>589</v>
      </c>
      <c r="K196" s="502">
        <v>-21.6</v>
      </c>
      <c r="L196" t="s">
        <v>538</v>
      </c>
    </row>
    <row r="197" spans="1:12">
      <c r="A197" t="s">
        <v>586</v>
      </c>
      <c r="B197" t="s">
        <v>3360</v>
      </c>
      <c r="C197" s="60" t="str">
        <f t="shared" si="18"/>
        <v>E5270</v>
      </c>
      <c r="D197" t="s">
        <v>587</v>
      </c>
      <c r="E197" t="s">
        <v>588</v>
      </c>
      <c r="F197" t="s">
        <v>506</v>
      </c>
      <c r="G197" t="s">
        <v>507</v>
      </c>
      <c r="H197" t="s">
        <v>508</v>
      </c>
      <c r="I197" t="s">
        <v>509</v>
      </c>
      <c r="J197" t="s">
        <v>589</v>
      </c>
      <c r="K197" s="502">
        <v>-22.32</v>
      </c>
      <c r="L197" t="s">
        <v>538</v>
      </c>
    </row>
    <row r="198" spans="1:12">
      <c r="A198" t="s">
        <v>586</v>
      </c>
      <c r="B198" t="s">
        <v>3361</v>
      </c>
      <c r="C198" s="60" t="str">
        <f t="shared" si="18"/>
        <v>E5270</v>
      </c>
      <c r="D198" t="s">
        <v>587</v>
      </c>
      <c r="E198" t="s">
        <v>588</v>
      </c>
      <c r="F198" t="s">
        <v>506</v>
      </c>
      <c r="G198" t="s">
        <v>507</v>
      </c>
      <c r="H198" t="s">
        <v>508</v>
      </c>
      <c r="I198" t="s">
        <v>509</v>
      </c>
      <c r="J198" t="s">
        <v>589</v>
      </c>
      <c r="K198" s="502">
        <v>-21.6</v>
      </c>
      <c r="L198" t="s">
        <v>538</v>
      </c>
    </row>
    <row r="199" spans="1:12">
      <c r="A199" t="s">
        <v>586</v>
      </c>
      <c r="B199" t="s">
        <v>3362</v>
      </c>
      <c r="C199" s="60" t="str">
        <f t="shared" si="18"/>
        <v>E5270</v>
      </c>
      <c r="D199" t="s">
        <v>587</v>
      </c>
      <c r="E199" t="s">
        <v>588</v>
      </c>
      <c r="F199" t="s">
        <v>506</v>
      </c>
      <c r="G199" t="s">
        <v>507</v>
      </c>
      <c r="H199" t="s">
        <v>508</v>
      </c>
      <c r="I199" t="s">
        <v>509</v>
      </c>
      <c r="J199" t="s">
        <v>589</v>
      </c>
      <c r="K199" s="502">
        <v>-22.32</v>
      </c>
      <c r="L199" t="s">
        <v>538</v>
      </c>
    </row>
    <row r="200" spans="1:12">
      <c r="A200" t="s">
        <v>586</v>
      </c>
      <c r="B200" t="s">
        <v>3363</v>
      </c>
      <c r="C200" s="60" t="str">
        <f t="shared" si="18"/>
        <v>E5270</v>
      </c>
      <c r="D200" t="s">
        <v>587</v>
      </c>
      <c r="E200" t="s">
        <v>588</v>
      </c>
      <c r="F200" t="s">
        <v>506</v>
      </c>
      <c r="G200" t="s">
        <v>507</v>
      </c>
      <c r="H200" t="s">
        <v>508</v>
      </c>
      <c r="I200" t="s">
        <v>509</v>
      </c>
      <c r="J200" t="s">
        <v>589</v>
      </c>
      <c r="K200" s="502">
        <v>-22.32</v>
      </c>
      <c r="L200" t="s">
        <v>538</v>
      </c>
    </row>
    <row r="201" spans="1:12">
      <c r="A201" t="s">
        <v>586</v>
      </c>
      <c r="B201" t="s">
        <v>3364</v>
      </c>
      <c r="C201" s="60" t="str">
        <f t="shared" si="18"/>
        <v>E5270</v>
      </c>
      <c r="D201" t="s">
        <v>587</v>
      </c>
      <c r="E201" t="s">
        <v>588</v>
      </c>
      <c r="F201" t="s">
        <v>506</v>
      </c>
      <c r="G201" t="s">
        <v>507</v>
      </c>
      <c r="H201" t="s">
        <v>508</v>
      </c>
      <c r="I201" t="s">
        <v>509</v>
      </c>
      <c r="J201" t="s">
        <v>589</v>
      </c>
      <c r="K201" s="502">
        <v>-21.6</v>
      </c>
      <c r="L201" t="s">
        <v>538</v>
      </c>
    </row>
    <row r="202" spans="1:12">
      <c r="A202" t="s">
        <v>586</v>
      </c>
      <c r="B202" t="s">
        <v>3365</v>
      </c>
      <c r="C202" s="60" t="str">
        <f t="shared" si="18"/>
        <v>E5270</v>
      </c>
      <c r="D202" t="s">
        <v>587</v>
      </c>
      <c r="E202" t="s">
        <v>588</v>
      </c>
      <c r="F202" t="s">
        <v>506</v>
      </c>
      <c r="G202" t="s">
        <v>507</v>
      </c>
      <c r="H202" t="s">
        <v>508</v>
      </c>
      <c r="I202" t="s">
        <v>509</v>
      </c>
      <c r="J202" t="s">
        <v>589</v>
      </c>
      <c r="K202" s="502">
        <v>-22.32</v>
      </c>
      <c r="L202" t="s">
        <v>538</v>
      </c>
    </row>
    <row r="203" spans="1:12">
      <c r="A203" t="s">
        <v>586</v>
      </c>
      <c r="B203" t="s">
        <v>3366</v>
      </c>
      <c r="C203" s="60" t="str">
        <f t="shared" si="18"/>
        <v>E5270</v>
      </c>
      <c r="D203" t="s">
        <v>587</v>
      </c>
      <c r="E203" t="s">
        <v>588</v>
      </c>
      <c r="F203" t="s">
        <v>506</v>
      </c>
      <c r="G203" t="s">
        <v>507</v>
      </c>
      <c r="H203" t="s">
        <v>508</v>
      </c>
      <c r="I203" t="s">
        <v>509</v>
      </c>
      <c r="J203" t="s">
        <v>589</v>
      </c>
      <c r="K203" s="502">
        <v>-21.6</v>
      </c>
      <c r="L203" t="s">
        <v>538</v>
      </c>
    </row>
    <row r="204" spans="1:12">
      <c r="A204" t="s">
        <v>586</v>
      </c>
      <c r="B204" t="s">
        <v>3367</v>
      </c>
      <c r="C204" s="60" t="str">
        <f t="shared" si="18"/>
        <v>E5270</v>
      </c>
      <c r="D204" t="s">
        <v>587</v>
      </c>
      <c r="E204" t="s">
        <v>588</v>
      </c>
      <c r="F204" t="s">
        <v>506</v>
      </c>
      <c r="G204" t="s">
        <v>507</v>
      </c>
      <c r="H204" t="s">
        <v>508</v>
      </c>
      <c r="I204" t="s">
        <v>509</v>
      </c>
      <c r="J204" t="s">
        <v>589</v>
      </c>
      <c r="K204" s="502">
        <v>-22.32</v>
      </c>
      <c r="L204" t="s">
        <v>538</v>
      </c>
    </row>
    <row r="205" spans="1:12">
      <c r="A205" t="s">
        <v>586</v>
      </c>
      <c r="B205" t="s">
        <v>3356</v>
      </c>
      <c r="C205" s="3" t="str">
        <f>+'2-Préparation saisie LV PROD'!B22</f>
        <v>E5280</v>
      </c>
      <c r="D205" t="s">
        <v>587</v>
      </c>
      <c r="E205" t="s">
        <v>588</v>
      </c>
      <c r="F205" t="s">
        <v>506</v>
      </c>
      <c r="G205" t="s">
        <v>507</v>
      </c>
      <c r="H205" t="s">
        <v>508</v>
      </c>
      <c r="I205" t="s">
        <v>509</v>
      </c>
      <c r="J205" t="s">
        <v>589</v>
      </c>
      <c r="K205" s="502">
        <v>-22.32</v>
      </c>
      <c r="L205" t="s">
        <v>541</v>
      </c>
    </row>
    <row r="206" spans="1:12">
      <c r="A206" t="s">
        <v>586</v>
      </c>
      <c r="B206" t="s">
        <v>3357</v>
      </c>
      <c r="C206" s="60" t="str">
        <f>C205</f>
        <v>E5280</v>
      </c>
      <c r="D206" t="s">
        <v>587</v>
      </c>
      <c r="E206" t="s">
        <v>588</v>
      </c>
      <c r="F206" t="s">
        <v>506</v>
      </c>
      <c r="G206" t="s">
        <v>507</v>
      </c>
      <c r="H206" t="s">
        <v>508</v>
      </c>
      <c r="I206" t="s">
        <v>509</v>
      </c>
      <c r="J206" t="s">
        <v>589</v>
      </c>
      <c r="K206" s="502">
        <f>K194</f>
        <v>-20.16</v>
      </c>
      <c r="L206" t="s">
        <v>541</v>
      </c>
    </row>
    <row r="207" spans="1:12">
      <c r="A207" t="s">
        <v>586</v>
      </c>
      <c r="B207" t="s">
        <v>3358</v>
      </c>
      <c r="C207" s="60" t="str">
        <f t="shared" ref="C207:C216" si="19">+C206</f>
        <v>E5280</v>
      </c>
      <c r="D207" t="s">
        <v>587</v>
      </c>
      <c r="E207" t="s">
        <v>588</v>
      </c>
      <c r="F207" t="s">
        <v>506</v>
      </c>
      <c r="G207" t="s">
        <v>507</v>
      </c>
      <c r="H207" t="s">
        <v>508</v>
      </c>
      <c r="I207" t="s">
        <v>509</v>
      </c>
      <c r="J207" t="s">
        <v>589</v>
      </c>
      <c r="K207" s="502">
        <v>-22.32</v>
      </c>
      <c r="L207" t="s">
        <v>541</v>
      </c>
    </row>
    <row r="208" spans="1:12">
      <c r="A208" t="s">
        <v>586</v>
      </c>
      <c r="B208" t="s">
        <v>3359</v>
      </c>
      <c r="C208" s="60" t="str">
        <f t="shared" si="19"/>
        <v>E5280</v>
      </c>
      <c r="D208" t="s">
        <v>587</v>
      </c>
      <c r="E208" t="s">
        <v>588</v>
      </c>
      <c r="F208" t="s">
        <v>506</v>
      </c>
      <c r="G208" t="s">
        <v>507</v>
      </c>
      <c r="H208" t="s">
        <v>508</v>
      </c>
      <c r="I208" t="s">
        <v>509</v>
      </c>
      <c r="J208" t="s">
        <v>589</v>
      </c>
      <c r="K208" s="502">
        <v>-21.6</v>
      </c>
      <c r="L208" t="s">
        <v>541</v>
      </c>
    </row>
    <row r="209" spans="1:12">
      <c r="A209" t="s">
        <v>586</v>
      </c>
      <c r="B209" t="s">
        <v>3360</v>
      </c>
      <c r="C209" s="60" t="str">
        <f t="shared" si="19"/>
        <v>E5280</v>
      </c>
      <c r="D209" t="s">
        <v>587</v>
      </c>
      <c r="E209" t="s">
        <v>588</v>
      </c>
      <c r="F209" t="s">
        <v>506</v>
      </c>
      <c r="G209" t="s">
        <v>507</v>
      </c>
      <c r="H209" t="s">
        <v>508</v>
      </c>
      <c r="I209" t="s">
        <v>509</v>
      </c>
      <c r="J209" t="s">
        <v>589</v>
      </c>
      <c r="K209" s="502">
        <v>-22.32</v>
      </c>
      <c r="L209" t="s">
        <v>541</v>
      </c>
    </row>
    <row r="210" spans="1:12">
      <c r="A210" t="s">
        <v>586</v>
      </c>
      <c r="B210" t="s">
        <v>3361</v>
      </c>
      <c r="C210" s="60" t="str">
        <f t="shared" si="19"/>
        <v>E5280</v>
      </c>
      <c r="D210" t="s">
        <v>587</v>
      </c>
      <c r="E210" t="s">
        <v>588</v>
      </c>
      <c r="F210" t="s">
        <v>506</v>
      </c>
      <c r="G210" t="s">
        <v>507</v>
      </c>
      <c r="H210" t="s">
        <v>508</v>
      </c>
      <c r="I210" t="s">
        <v>509</v>
      </c>
      <c r="J210" t="s">
        <v>589</v>
      </c>
      <c r="K210" s="502">
        <v>-21.6</v>
      </c>
      <c r="L210" t="s">
        <v>541</v>
      </c>
    </row>
    <row r="211" spans="1:12">
      <c r="A211" t="s">
        <v>586</v>
      </c>
      <c r="B211" t="s">
        <v>3362</v>
      </c>
      <c r="C211" s="60" t="str">
        <f t="shared" si="19"/>
        <v>E5280</v>
      </c>
      <c r="D211" t="s">
        <v>587</v>
      </c>
      <c r="E211" t="s">
        <v>588</v>
      </c>
      <c r="F211" t="s">
        <v>506</v>
      </c>
      <c r="G211" t="s">
        <v>507</v>
      </c>
      <c r="H211" t="s">
        <v>508</v>
      </c>
      <c r="I211" t="s">
        <v>509</v>
      </c>
      <c r="J211" t="s">
        <v>589</v>
      </c>
      <c r="K211" s="502">
        <v>-22.32</v>
      </c>
      <c r="L211" t="s">
        <v>541</v>
      </c>
    </row>
    <row r="212" spans="1:12">
      <c r="A212" t="s">
        <v>586</v>
      </c>
      <c r="B212" t="s">
        <v>3363</v>
      </c>
      <c r="C212" s="60" t="str">
        <f t="shared" si="19"/>
        <v>E5280</v>
      </c>
      <c r="D212" t="s">
        <v>587</v>
      </c>
      <c r="E212" t="s">
        <v>588</v>
      </c>
      <c r="F212" t="s">
        <v>506</v>
      </c>
      <c r="G212" t="s">
        <v>507</v>
      </c>
      <c r="H212" t="s">
        <v>508</v>
      </c>
      <c r="I212" t="s">
        <v>509</v>
      </c>
      <c r="J212" t="s">
        <v>589</v>
      </c>
      <c r="K212" s="502">
        <v>-22.32</v>
      </c>
      <c r="L212" t="s">
        <v>541</v>
      </c>
    </row>
    <row r="213" spans="1:12">
      <c r="A213" t="s">
        <v>586</v>
      </c>
      <c r="B213" t="s">
        <v>3364</v>
      </c>
      <c r="C213" s="60" t="str">
        <f t="shared" si="19"/>
        <v>E5280</v>
      </c>
      <c r="D213" t="s">
        <v>587</v>
      </c>
      <c r="E213" t="s">
        <v>588</v>
      </c>
      <c r="F213" t="s">
        <v>506</v>
      </c>
      <c r="G213" t="s">
        <v>507</v>
      </c>
      <c r="H213" t="s">
        <v>508</v>
      </c>
      <c r="I213" t="s">
        <v>509</v>
      </c>
      <c r="J213" t="s">
        <v>589</v>
      </c>
      <c r="K213" s="502">
        <v>-21.6</v>
      </c>
      <c r="L213" t="s">
        <v>541</v>
      </c>
    </row>
    <row r="214" spans="1:12">
      <c r="A214" t="s">
        <v>586</v>
      </c>
      <c r="B214" t="s">
        <v>3365</v>
      </c>
      <c r="C214" s="60" t="str">
        <f t="shared" si="19"/>
        <v>E5280</v>
      </c>
      <c r="D214" t="s">
        <v>587</v>
      </c>
      <c r="E214" t="s">
        <v>588</v>
      </c>
      <c r="F214" t="s">
        <v>506</v>
      </c>
      <c r="G214" t="s">
        <v>507</v>
      </c>
      <c r="H214" t="s">
        <v>508</v>
      </c>
      <c r="I214" t="s">
        <v>509</v>
      </c>
      <c r="J214" t="s">
        <v>589</v>
      </c>
      <c r="K214" s="502">
        <v>-22.32</v>
      </c>
      <c r="L214" t="s">
        <v>541</v>
      </c>
    </row>
    <row r="215" spans="1:12">
      <c r="A215" t="s">
        <v>586</v>
      </c>
      <c r="B215" t="s">
        <v>3366</v>
      </c>
      <c r="C215" s="60" t="str">
        <f t="shared" si="19"/>
        <v>E5280</v>
      </c>
      <c r="D215" t="s">
        <v>587</v>
      </c>
      <c r="E215" t="s">
        <v>588</v>
      </c>
      <c r="F215" t="s">
        <v>506</v>
      </c>
      <c r="G215" t="s">
        <v>507</v>
      </c>
      <c r="H215" t="s">
        <v>508</v>
      </c>
      <c r="I215" t="s">
        <v>509</v>
      </c>
      <c r="J215" t="s">
        <v>589</v>
      </c>
      <c r="K215" s="502">
        <v>-21.6</v>
      </c>
      <c r="L215" t="s">
        <v>541</v>
      </c>
    </row>
    <row r="216" spans="1:12">
      <c r="A216" t="s">
        <v>586</v>
      </c>
      <c r="B216" t="s">
        <v>3367</v>
      </c>
      <c r="C216" s="60" t="str">
        <f t="shared" si="19"/>
        <v>E5280</v>
      </c>
      <c r="D216" t="s">
        <v>587</v>
      </c>
      <c r="E216" t="s">
        <v>588</v>
      </c>
      <c r="F216" t="s">
        <v>506</v>
      </c>
      <c r="G216" t="s">
        <v>507</v>
      </c>
      <c r="H216" t="s">
        <v>508</v>
      </c>
      <c r="I216" t="s">
        <v>509</v>
      </c>
      <c r="J216" t="s">
        <v>589</v>
      </c>
      <c r="K216" s="502">
        <v>-22.32</v>
      </c>
      <c r="L216" t="s">
        <v>541</v>
      </c>
    </row>
    <row r="217" spans="1:12">
      <c r="A217" t="s">
        <v>586</v>
      </c>
      <c r="B217" t="s">
        <v>3356</v>
      </c>
      <c r="C217" s="3" t="str">
        <f>+'2-Préparation saisie LV PROD'!B23</f>
        <v>E5300</v>
      </c>
      <c r="D217" t="s">
        <v>587</v>
      </c>
      <c r="E217" t="s">
        <v>588</v>
      </c>
      <c r="F217" t="s">
        <v>506</v>
      </c>
      <c r="G217" t="s">
        <v>507</v>
      </c>
      <c r="H217" t="s">
        <v>508</v>
      </c>
      <c r="I217" t="s">
        <v>509</v>
      </c>
      <c r="J217" t="s">
        <v>589</v>
      </c>
      <c r="K217" s="502">
        <v>-22.32</v>
      </c>
      <c r="L217" t="s">
        <v>213</v>
      </c>
    </row>
    <row r="218" spans="1:12">
      <c r="A218" t="s">
        <v>586</v>
      </c>
      <c r="B218" t="s">
        <v>3357</v>
      </c>
      <c r="C218" s="60" t="str">
        <f>C217</f>
        <v>E5300</v>
      </c>
      <c r="D218" t="s">
        <v>587</v>
      </c>
      <c r="E218" t="s">
        <v>588</v>
      </c>
      <c r="F218" t="s">
        <v>506</v>
      </c>
      <c r="G218" t="s">
        <v>507</v>
      </c>
      <c r="H218" t="s">
        <v>508</v>
      </c>
      <c r="I218" t="s">
        <v>509</v>
      </c>
      <c r="J218" t="s">
        <v>589</v>
      </c>
      <c r="K218" s="502">
        <f>K206</f>
        <v>-20.16</v>
      </c>
      <c r="L218" t="s">
        <v>213</v>
      </c>
    </row>
    <row r="219" spans="1:12">
      <c r="A219" t="s">
        <v>586</v>
      </c>
      <c r="B219" t="s">
        <v>3358</v>
      </c>
      <c r="C219" s="60" t="str">
        <f t="shared" ref="C219:C228" si="20">+C218</f>
        <v>E5300</v>
      </c>
      <c r="D219" t="s">
        <v>587</v>
      </c>
      <c r="E219" t="s">
        <v>588</v>
      </c>
      <c r="F219" t="s">
        <v>506</v>
      </c>
      <c r="G219" t="s">
        <v>507</v>
      </c>
      <c r="H219" t="s">
        <v>508</v>
      </c>
      <c r="I219" t="s">
        <v>509</v>
      </c>
      <c r="J219" t="s">
        <v>589</v>
      </c>
      <c r="K219" s="502">
        <v>-22.32</v>
      </c>
      <c r="L219" t="s">
        <v>213</v>
      </c>
    </row>
    <row r="220" spans="1:12">
      <c r="A220" t="s">
        <v>586</v>
      </c>
      <c r="B220" t="s">
        <v>3359</v>
      </c>
      <c r="C220" s="60" t="str">
        <f t="shared" si="20"/>
        <v>E5300</v>
      </c>
      <c r="D220" t="s">
        <v>587</v>
      </c>
      <c r="E220" t="s">
        <v>588</v>
      </c>
      <c r="F220" t="s">
        <v>506</v>
      </c>
      <c r="G220" t="s">
        <v>507</v>
      </c>
      <c r="H220" t="s">
        <v>508</v>
      </c>
      <c r="I220" t="s">
        <v>509</v>
      </c>
      <c r="J220" t="s">
        <v>589</v>
      </c>
      <c r="K220" s="502">
        <v>-21.6</v>
      </c>
      <c r="L220" t="s">
        <v>213</v>
      </c>
    </row>
    <row r="221" spans="1:12">
      <c r="A221" t="s">
        <v>586</v>
      </c>
      <c r="B221" t="s">
        <v>3360</v>
      </c>
      <c r="C221" s="60" t="str">
        <f t="shared" si="20"/>
        <v>E5300</v>
      </c>
      <c r="D221" t="s">
        <v>587</v>
      </c>
      <c r="E221" t="s">
        <v>588</v>
      </c>
      <c r="F221" t="s">
        <v>506</v>
      </c>
      <c r="G221" t="s">
        <v>507</v>
      </c>
      <c r="H221" t="s">
        <v>508</v>
      </c>
      <c r="I221" t="s">
        <v>509</v>
      </c>
      <c r="J221" t="s">
        <v>589</v>
      </c>
      <c r="K221" s="502">
        <v>-22.32</v>
      </c>
      <c r="L221" t="s">
        <v>213</v>
      </c>
    </row>
    <row r="222" spans="1:12">
      <c r="A222" t="s">
        <v>586</v>
      </c>
      <c r="B222" t="s">
        <v>3361</v>
      </c>
      <c r="C222" s="60" t="str">
        <f t="shared" si="20"/>
        <v>E5300</v>
      </c>
      <c r="D222" t="s">
        <v>587</v>
      </c>
      <c r="E222" t="s">
        <v>588</v>
      </c>
      <c r="F222" t="s">
        <v>506</v>
      </c>
      <c r="G222" t="s">
        <v>507</v>
      </c>
      <c r="H222" t="s">
        <v>508</v>
      </c>
      <c r="I222" t="s">
        <v>509</v>
      </c>
      <c r="J222" t="s">
        <v>589</v>
      </c>
      <c r="K222" s="502">
        <v>-21.6</v>
      </c>
      <c r="L222" t="s">
        <v>213</v>
      </c>
    </row>
    <row r="223" spans="1:12">
      <c r="A223" t="s">
        <v>586</v>
      </c>
      <c r="B223" t="s">
        <v>3362</v>
      </c>
      <c r="C223" s="60" t="str">
        <f t="shared" si="20"/>
        <v>E5300</v>
      </c>
      <c r="D223" t="s">
        <v>587</v>
      </c>
      <c r="E223" t="s">
        <v>588</v>
      </c>
      <c r="F223" t="s">
        <v>506</v>
      </c>
      <c r="G223" t="s">
        <v>507</v>
      </c>
      <c r="H223" t="s">
        <v>508</v>
      </c>
      <c r="I223" t="s">
        <v>509</v>
      </c>
      <c r="J223" t="s">
        <v>589</v>
      </c>
      <c r="K223" s="502">
        <v>-22.32</v>
      </c>
      <c r="L223" t="s">
        <v>213</v>
      </c>
    </row>
    <row r="224" spans="1:12">
      <c r="A224" t="s">
        <v>586</v>
      </c>
      <c r="B224" t="s">
        <v>3363</v>
      </c>
      <c r="C224" s="60" t="str">
        <f t="shared" si="20"/>
        <v>E5300</v>
      </c>
      <c r="D224" t="s">
        <v>587</v>
      </c>
      <c r="E224" t="s">
        <v>588</v>
      </c>
      <c r="F224" t="s">
        <v>506</v>
      </c>
      <c r="G224" t="s">
        <v>507</v>
      </c>
      <c r="H224" t="s">
        <v>508</v>
      </c>
      <c r="I224" t="s">
        <v>509</v>
      </c>
      <c r="J224" t="s">
        <v>589</v>
      </c>
      <c r="K224" s="502">
        <v>-22.32</v>
      </c>
      <c r="L224" t="s">
        <v>213</v>
      </c>
    </row>
    <row r="225" spans="1:12">
      <c r="A225" t="s">
        <v>586</v>
      </c>
      <c r="B225" t="s">
        <v>3364</v>
      </c>
      <c r="C225" s="60" t="str">
        <f t="shared" si="20"/>
        <v>E5300</v>
      </c>
      <c r="D225" t="s">
        <v>587</v>
      </c>
      <c r="E225" t="s">
        <v>588</v>
      </c>
      <c r="F225" t="s">
        <v>506</v>
      </c>
      <c r="G225" t="s">
        <v>507</v>
      </c>
      <c r="H225" t="s">
        <v>508</v>
      </c>
      <c r="I225" t="s">
        <v>509</v>
      </c>
      <c r="J225" t="s">
        <v>589</v>
      </c>
      <c r="K225" s="502">
        <v>-21.6</v>
      </c>
      <c r="L225" t="s">
        <v>213</v>
      </c>
    </row>
    <row r="226" spans="1:12">
      <c r="A226" t="s">
        <v>586</v>
      </c>
      <c r="B226" t="s">
        <v>3365</v>
      </c>
      <c r="C226" s="60" t="str">
        <f t="shared" si="20"/>
        <v>E5300</v>
      </c>
      <c r="D226" t="s">
        <v>587</v>
      </c>
      <c r="E226" t="s">
        <v>588</v>
      </c>
      <c r="F226" t="s">
        <v>506</v>
      </c>
      <c r="G226" t="s">
        <v>507</v>
      </c>
      <c r="H226" t="s">
        <v>508</v>
      </c>
      <c r="I226" t="s">
        <v>509</v>
      </c>
      <c r="J226" t="s">
        <v>589</v>
      </c>
      <c r="K226" s="502">
        <v>-22.32</v>
      </c>
      <c r="L226" t="s">
        <v>213</v>
      </c>
    </row>
    <row r="227" spans="1:12">
      <c r="A227" t="s">
        <v>586</v>
      </c>
      <c r="B227" t="s">
        <v>3366</v>
      </c>
      <c r="C227" s="60" t="str">
        <f t="shared" si="20"/>
        <v>E5300</v>
      </c>
      <c r="D227" t="s">
        <v>587</v>
      </c>
      <c r="E227" t="s">
        <v>588</v>
      </c>
      <c r="F227" t="s">
        <v>506</v>
      </c>
      <c r="G227" t="s">
        <v>507</v>
      </c>
      <c r="H227" t="s">
        <v>508</v>
      </c>
      <c r="I227" t="s">
        <v>509</v>
      </c>
      <c r="J227" t="s">
        <v>589</v>
      </c>
      <c r="K227" s="502">
        <v>-21.6</v>
      </c>
      <c r="L227" t="s">
        <v>213</v>
      </c>
    </row>
    <row r="228" spans="1:12">
      <c r="A228" t="s">
        <v>586</v>
      </c>
      <c r="B228" t="s">
        <v>3367</v>
      </c>
      <c r="C228" s="60" t="str">
        <f t="shared" si="20"/>
        <v>E5300</v>
      </c>
      <c r="D228" t="s">
        <v>587</v>
      </c>
      <c r="E228" t="s">
        <v>588</v>
      </c>
      <c r="F228" t="s">
        <v>506</v>
      </c>
      <c r="G228" t="s">
        <v>507</v>
      </c>
      <c r="H228" t="s">
        <v>508</v>
      </c>
      <c r="I228" t="s">
        <v>509</v>
      </c>
      <c r="J228" t="s">
        <v>589</v>
      </c>
      <c r="K228" s="502">
        <v>-22.32</v>
      </c>
      <c r="L228" t="s">
        <v>213</v>
      </c>
    </row>
    <row r="229" spans="1:12">
      <c r="A229" t="s">
        <v>586</v>
      </c>
      <c r="B229" t="s">
        <v>3356</v>
      </c>
      <c r="C229" s="3" t="str">
        <f>+'2-Préparation saisie LV PROD'!B24</f>
        <v>E5310</v>
      </c>
      <c r="D229" t="s">
        <v>587</v>
      </c>
      <c r="E229" t="s">
        <v>588</v>
      </c>
      <c r="F229" t="s">
        <v>506</v>
      </c>
      <c r="G229" t="s">
        <v>507</v>
      </c>
      <c r="H229" t="s">
        <v>508</v>
      </c>
      <c r="I229" t="s">
        <v>509</v>
      </c>
      <c r="J229" t="s">
        <v>589</v>
      </c>
      <c r="K229" s="502">
        <v>-22.32</v>
      </c>
      <c r="L229" t="s">
        <v>214</v>
      </c>
    </row>
    <row r="230" spans="1:12">
      <c r="A230" t="s">
        <v>586</v>
      </c>
      <c r="B230" t="s">
        <v>3357</v>
      </c>
      <c r="C230" s="60" t="str">
        <f>C229</f>
        <v>E5310</v>
      </c>
      <c r="D230" t="s">
        <v>587</v>
      </c>
      <c r="E230" t="s">
        <v>588</v>
      </c>
      <c r="F230" t="s">
        <v>506</v>
      </c>
      <c r="G230" t="s">
        <v>507</v>
      </c>
      <c r="H230" t="s">
        <v>508</v>
      </c>
      <c r="I230" t="s">
        <v>509</v>
      </c>
      <c r="J230" t="s">
        <v>589</v>
      </c>
      <c r="K230" s="502">
        <f>K218</f>
        <v>-20.16</v>
      </c>
      <c r="L230" t="s">
        <v>214</v>
      </c>
    </row>
    <row r="231" spans="1:12">
      <c r="A231" t="s">
        <v>586</v>
      </c>
      <c r="B231" t="s">
        <v>3358</v>
      </c>
      <c r="C231" s="60" t="str">
        <f t="shared" ref="C231:C240" si="21">+C230</f>
        <v>E5310</v>
      </c>
      <c r="D231" t="s">
        <v>587</v>
      </c>
      <c r="E231" t="s">
        <v>588</v>
      </c>
      <c r="F231" t="s">
        <v>506</v>
      </c>
      <c r="G231" t="s">
        <v>507</v>
      </c>
      <c r="H231" t="s">
        <v>508</v>
      </c>
      <c r="I231" t="s">
        <v>509</v>
      </c>
      <c r="J231" t="s">
        <v>589</v>
      </c>
      <c r="K231" s="502">
        <v>-22.32</v>
      </c>
      <c r="L231" t="s">
        <v>214</v>
      </c>
    </row>
    <row r="232" spans="1:12">
      <c r="A232" t="s">
        <v>586</v>
      </c>
      <c r="B232" t="s">
        <v>3359</v>
      </c>
      <c r="C232" s="60" t="str">
        <f t="shared" si="21"/>
        <v>E5310</v>
      </c>
      <c r="D232" t="s">
        <v>587</v>
      </c>
      <c r="E232" t="s">
        <v>588</v>
      </c>
      <c r="F232" t="s">
        <v>506</v>
      </c>
      <c r="G232" t="s">
        <v>507</v>
      </c>
      <c r="H232" t="s">
        <v>508</v>
      </c>
      <c r="I232" t="s">
        <v>509</v>
      </c>
      <c r="J232" t="s">
        <v>589</v>
      </c>
      <c r="K232" s="502">
        <v>-21.6</v>
      </c>
      <c r="L232" t="s">
        <v>214</v>
      </c>
    </row>
    <row r="233" spans="1:12">
      <c r="A233" t="s">
        <v>586</v>
      </c>
      <c r="B233" t="s">
        <v>3360</v>
      </c>
      <c r="C233" s="60" t="str">
        <f t="shared" si="21"/>
        <v>E5310</v>
      </c>
      <c r="D233" t="s">
        <v>587</v>
      </c>
      <c r="E233" t="s">
        <v>588</v>
      </c>
      <c r="F233" t="s">
        <v>506</v>
      </c>
      <c r="G233" t="s">
        <v>507</v>
      </c>
      <c r="H233" t="s">
        <v>508</v>
      </c>
      <c r="I233" t="s">
        <v>509</v>
      </c>
      <c r="J233" t="s">
        <v>589</v>
      </c>
      <c r="K233" s="502">
        <v>-22.32</v>
      </c>
      <c r="L233" t="s">
        <v>214</v>
      </c>
    </row>
    <row r="234" spans="1:12">
      <c r="A234" t="s">
        <v>586</v>
      </c>
      <c r="B234" t="s">
        <v>3361</v>
      </c>
      <c r="C234" s="60" t="str">
        <f t="shared" si="21"/>
        <v>E5310</v>
      </c>
      <c r="D234" t="s">
        <v>587</v>
      </c>
      <c r="E234" t="s">
        <v>588</v>
      </c>
      <c r="F234" t="s">
        <v>506</v>
      </c>
      <c r="G234" t="s">
        <v>507</v>
      </c>
      <c r="H234" t="s">
        <v>508</v>
      </c>
      <c r="I234" t="s">
        <v>509</v>
      </c>
      <c r="J234" t="s">
        <v>589</v>
      </c>
      <c r="K234" s="502">
        <v>-21.6</v>
      </c>
      <c r="L234" t="s">
        <v>214</v>
      </c>
    </row>
    <row r="235" spans="1:12">
      <c r="A235" t="s">
        <v>586</v>
      </c>
      <c r="B235" t="s">
        <v>3362</v>
      </c>
      <c r="C235" s="60" t="str">
        <f t="shared" si="21"/>
        <v>E5310</v>
      </c>
      <c r="D235" t="s">
        <v>587</v>
      </c>
      <c r="E235" t="s">
        <v>588</v>
      </c>
      <c r="F235" t="s">
        <v>506</v>
      </c>
      <c r="G235" t="s">
        <v>507</v>
      </c>
      <c r="H235" t="s">
        <v>508</v>
      </c>
      <c r="I235" t="s">
        <v>509</v>
      </c>
      <c r="J235" t="s">
        <v>589</v>
      </c>
      <c r="K235" s="502">
        <v>-22.32</v>
      </c>
      <c r="L235" t="s">
        <v>214</v>
      </c>
    </row>
    <row r="236" spans="1:12">
      <c r="A236" t="s">
        <v>586</v>
      </c>
      <c r="B236" t="s">
        <v>3363</v>
      </c>
      <c r="C236" s="60" t="str">
        <f t="shared" si="21"/>
        <v>E5310</v>
      </c>
      <c r="D236" t="s">
        <v>587</v>
      </c>
      <c r="E236" t="s">
        <v>588</v>
      </c>
      <c r="F236" t="s">
        <v>506</v>
      </c>
      <c r="G236" t="s">
        <v>507</v>
      </c>
      <c r="H236" t="s">
        <v>508</v>
      </c>
      <c r="I236" t="s">
        <v>509</v>
      </c>
      <c r="J236" t="s">
        <v>589</v>
      </c>
      <c r="K236" s="502">
        <v>-22.32</v>
      </c>
      <c r="L236" t="s">
        <v>214</v>
      </c>
    </row>
    <row r="237" spans="1:12">
      <c r="A237" t="s">
        <v>586</v>
      </c>
      <c r="B237" t="s">
        <v>3364</v>
      </c>
      <c r="C237" s="60" t="str">
        <f t="shared" si="21"/>
        <v>E5310</v>
      </c>
      <c r="D237" t="s">
        <v>587</v>
      </c>
      <c r="E237" t="s">
        <v>588</v>
      </c>
      <c r="F237" t="s">
        <v>506</v>
      </c>
      <c r="G237" t="s">
        <v>507</v>
      </c>
      <c r="H237" t="s">
        <v>508</v>
      </c>
      <c r="I237" t="s">
        <v>509</v>
      </c>
      <c r="J237" t="s">
        <v>589</v>
      </c>
      <c r="K237" s="502">
        <v>-21.6</v>
      </c>
      <c r="L237" t="s">
        <v>214</v>
      </c>
    </row>
    <row r="238" spans="1:12">
      <c r="A238" t="s">
        <v>586</v>
      </c>
      <c r="B238" t="s">
        <v>3365</v>
      </c>
      <c r="C238" s="60" t="str">
        <f t="shared" si="21"/>
        <v>E5310</v>
      </c>
      <c r="D238" t="s">
        <v>587</v>
      </c>
      <c r="E238" t="s">
        <v>588</v>
      </c>
      <c r="F238" t="s">
        <v>506</v>
      </c>
      <c r="G238" t="s">
        <v>507</v>
      </c>
      <c r="H238" t="s">
        <v>508</v>
      </c>
      <c r="I238" t="s">
        <v>509</v>
      </c>
      <c r="J238" t="s">
        <v>589</v>
      </c>
      <c r="K238" s="502">
        <v>-22.32</v>
      </c>
      <c r="L238" t="s">
        <v>214</v>
      </c>
    </row>
    <row r="239" spans="1:12">
      <c r="A239" t="s">
        <v>586</v>
      </c>
      <c r="B239" t="s">
        <v>3366</v>
      </c>
      <c r="C239" s="60" t="str">
        <f t="shared" si="21"/>
        <v>E5310</v>
      </c>
      <c r="D239" t="s">
        <v>587</v>
      </c>
      <c r="E239" t="s">
        <v>588</v>
      </c>
      <c r="F239" t="s">
        <v>506</v>
      </c>
      <c r="G239" t="s">
        <v>507</v>
      </c>
      <c r="H239" t="s">
        <v>508</v>
      </c>
      <c r="I239" t="s">
        <v>509</v>
      </c>
      <c r="J239" t="s">
        <v>589</v>
      </c>
      <c r="K239" s="502">
        <v>-21.6</v>
      </c>
      <c r="L239" t="s">
        <v>214</v>
      </c>
    </row>
    <row r="240" spans="1:12">
      <c r="A240" t="s">
        <v>586</v>
      </c>
      <c r="B240" t="s">
        <v>3367</v>
      </c>
      <c r="C240" s="60" t="str">
        <f t="shared" si="21"/>
        <v>E5310</v>
      </c>
      <c r="D240" t="s">
        <v>587</v>
      </c>
      <c r="E240" t="s">
        <v>588</v>
      </c>
      <c r="F240" t="s">
        <v>506</v>
      </c>
      <c r="G240" t="s">
        <v>507</v>
      </c>
      <c r="H240" t="s">
        <v>508</v>
      </c>
      <c r="I240" t="s">
        <v>509</v>
      </c>
      <c r="J240" t="s">
        <v>589</v>
      </c>
      <c r="K240" s="502">
        <v>-22.32</v>
      </c>
      <c r="L240" t="s">
        <v>214</v>
      </c>
    </row>
    <row r="241" spans="1:12">
      <c r="A241" t="s">
        <v>586</v>
      </c>
      <c r="B241" t="s">
        <v>3356</v>
      </c>
      <c r="C241" s="3" t="str">
        <f>+'2-Préparation saisie LV PROD'!B25</f>
        <v>E5320</v>
      </c>
      <c r="D241" t="s">
        <v>587</v>
      </c>
      <c r="E241" t="s">
        <v>588</v>
      </c>
      <c r="F241" t="s">
        <v>506</v>
      </c>
      <c r="G241" t="s">
        <v>507</v>
      </c>
      <c r="H241" t="s">
        <v>508</v>
      </c>
      <c r="I241" t="s">
        <v>509</v>
      </c>
      <c r="J241" t="s">
        <v>589</v>
      </c>
      <c r="K241" s="502">
        <v>-22.32</v>
      </c>
      <c r="L241" t="s">
        <v>301</v>
      </c>
    </row>
    <row r="242" spans="1:12">
      <c r="A242" t="s">
        <v>586</v>
      </c>
      <c r="B242" t="s">
        <v>3357</v>
      </c>
      <c r="C242" s="60" t="str">
        <f>C241</f>
        <v>E5320</v>
      </c>
      <c r="D242" t="s">
        <v>587</v>
      </c>
      <c r="E242" t="s">
        <v>588</v>
      </c>
      <c r="F242" t="s">
        <v>506</v>
      </c>
      <c r="G242" t="s">
        <v>507</v>
      </c>
      <c r="H242" t="s">
        <v>508</v>
      </c>
      <c r="I242" t="s">
        <v>509</v>
      </c>
      <c r="J242" t="s">
        <v>589</v>
      </c>
      <c r="K242" s="502">
        <f>K230</f>
        <v>-20.16</v>
      </c>
      <c r="L242" t="s">
        <v>301</v>
      </c>
    </row>
    <row r="243" spans="1:12">
      <c r="A243" t="s">
        <v>586</v>
      </c>
      <c r="B243" t="s">
        <v>3358</v>
      </c>
      <c r="C243" s="60" t="str">
        <f t="shared" ref="C243:C252" si="22">+C242</f>
        <v>E5320</v>
      </c>
      <c r="D243" t="s">
        <v>587</v>
      </c>
      <c r="E243" t="s">
        <v>588</v>
      </c>
      <c r="F243" t="s">
        <v>506</v>
      </c>
      <c r="G243" t="s">
        <v>507</v>
      </c>
      <c r="H243" t="s">
        <v>508</v>
      </c>
      <c r="I243" t="s">
        <v>509</v>
      </c>
      <c r="J243" t="s">
        <v>589</v>
      </c>
      <c r="K243" s="502">
        <v>-22.32</v>
      </c>
      <c r="L243" t="s">
        <v>301</v>
      </c>
    </row>
    <row r="244" spans="1:12">
      <c r="A244" t="s">
        <v>586</v>
      </c>
      <c r="B244" t="s">
        <v>3359</v>
      </c>
      <c r="C244" s="60" t="str">
        <f t="shared" si="22"/>
        <v>E5320</v>
      </c>
      <c r="D244" t="s">
        <v>587</v>
      </c>
      <c r="E244" t="s">
        <v>588</v>
      </c>
      <c r="F244" t="s">
        <v>506</v>
      </c>
      <c r="G244" t="s">
        <v>507</v>
      </c>
      <c r="H244" t="s">
        <v>508</v>
      </c>
      <c r="I244" t="s">
        <v>509</v>
      </c>
      <c r="J244" t="s">
        <v>589</v>
      </c>
      <c r="K244" s="502">
        <v>-21.6</v>
      </c>
      <c r="L244" t="s">
        <v>301</v>
      </c>
    </row>
    <row r="245" spans="1:12">
      <c r="A245" t="s">
        <v>586</v>
      </c>
      <c r="B245" t="s">
        <v>3360</v>
      </c>
      <c r="C245" s="60" t="str">
        <f t="shared" si="22"/>
        <v>E5320</v>
      </c>
      <c r="D245" t="s">
        <v>587</v>
      </c>
      <c r="E245" t="s">
        <v>588</v>
      </c>
      <c r="F245" t="s">
        <v>506</v>
      </c>
      <c r="G245" t="s">
        <v>507</v>
      </c>
      <c r="H245" t="s">
        <v>508</v>
      </c>
      <c r="I245" t="s">
        <v>509</v>
      </c>
      <c r="J245" t="s">
        <v>589</v>
      </c>
      <c r="K245" s="502">
        <v>-22.32</v>
      </c>
      <c r="L245" t="s">
        <v>301</v>
      </c>
    </row>
    <row r="246" spans="1:12">
      <c r="A246" t="s">
        <v>586</v>
      </c>
      <c r="B246" t="s">
        <v>3361</v>
      </c>
      <c r="C246" s="60" t="str">
        <f t="shared" si="22"/>
        <v>E5320</v>
      </c>
      <c r="D246" t="s">
        <v>587</v>
      </c>
      <c r="E246" t="s">
        <v>588</v>
      </c>
      <c r="F246" t="s">
        <v>506</v>
      </c>
      <c r="G246" t="s">
        <v>507</v>
      </c>
      <c r="H246" t="s">
        <v>508</v>
      </c>
      <c r="I246" t="s">
        <v>509</v>
      </c>
      <c r="J246" t="s">
        <v>589</v>
      </c>
      <c r="K246" s="502">
        <v>-21.6</v>
      </c>
      <c r="L246" t="s">
        <v>301</v>
      </c>
    </row>
    <row r="247" spans="1:12">
      <c r="A247" t="s">
        <v>586</v>
      </c>
      <c r="B247" t="s">
        <v>3362</v>
      </c>
      <c r="C247" s="60" t="str">
        <f t="shared" si="22"/>
        <v>E5320</v>
      </c>
      <c r="D247" t="s">
        <v>587</v>
      </c>
      <c r="E247" t="s">
        <v>588</v>
      </c>
      <c r="F247" t="s">
        <v>506</v>
      </c>
      <c r="G247" t="s">
        <v>507</v>
      </c>
      <c r="H247" t="s">
        <v>508</v>
      </c>
      <c r="I247" t="s">
        <v>509</v>
      </c>
      <c r="J247" t="s">
        <v>589</v>
      </c>
      <c r="K247" s="502">
        <v>-22.32</v>
      </c>
      <c r="L247" t="s">
        <v>301</v>
      </c>
    </row>
    <row r="248" spans="1:12">
      <c r="A248" t="s">
        <v>586</v>
      </c>
      <c r="B248" t="s">
        <v>3363</v>
      </c>
      <c r="C248" s="60" t="str">
        <f t="shared" si="22"/>
        <v>E5320</v>
      </c>
      <c r="D248" t="s">
        <v>587</v>
      </c>
      <c r="E248" t="s">
        <v>588</v>
      </c>
      <c r="F248" t="s">
        <v>506</v>
      </c>
      <c r="G248" t="s">
        <v>507</v>
      </c>
      <c r="H248" t="s">
        <v>508</v>
      </c>
      <c r="I248" t="s">
        <v>509</v>
      </c>
      <c r="J248" t="s">
        <v>589</v>
      </c>
      <c r="K248" s="502">
        <v>-22.32</v>
      </c>
      <c r="L248" t="s">
        <v>301</v>
      </c>
    </row>
    <row r="249" spans="1:12">
      <c r="A249" t="s">
        <v>586</v>
      </c>
      <c r="B249" t="s">
        <v>3364</v>
      </c>
      <c r="C249" s="60" t="str">
        <f t="shared" si="22"/>
        <v>E5320</v>
      </c>
      <c r="D249" t="s">
        <v>587</v>
      </c>
      <c r="E249" t="s">
        <v>588</v>
      </c>
      <c r="F249" t="s">
        <v>506</v>
      </c>
      <c r="G249" t="s">
        <v>507</v>
      </c>
      <c r="H249" t="s">
        <v>508</v>
      </c>
      <c r="I249" t="s">
        <v>509</v>
      </c>
      <c r="J249" t="s">
        <v>589</v>
      </c>
      <c r="K249" s="502">
        <v>-21.6</v>
      </c>
      <c r="L249" t="s">
        <v>301</v>
      </c>
    </row>
    <row r="250" spans="1:12">
      <c r="A250" t="s">
        <v>586</v>
      </c>
      <c r="B250" t="s">
        <v>3365</v>
      </c>
      <c r="C250" s="60" t="str">
        <f t="shared" si="22"/>
        <v>E5320</v>
      </c>
      <c r="D250" t="s">
        <v>587</v>
      </c>
      <c r="E250" t="s">
        <v>588</v>
      </c>
      <c r="F250" t="s">
        <v>506</v>
      </c>
      <c r="G250" t="s">
        <v>507</v>
      </c>
      <c r="H250" t="s">
        <v>508</v>
      </c>
      <c r="I250" t="s">
        <v>509</v>
      </c>
      <c r="J250" t="s">
        <v>589</v>
      </c>
      <c r="K250" s="502">
        <v>-22.32</v>
      </c>
      <c r="L250" t="s">
        <v>301</v>
      </c>
    </row>
    <row r="251" spans="1:12">
      <c r="A251" t="s">
        <v>586</v>
      </c>
      <c r="B251" t="s">
        <v>3366</v>
      </c>
      <c r="C251" s="60" t="str">
        <f t="shared" si="22"/>
        <v>E5320</v>
      </c>
      <c r="D251" t="s">
        <v>587</v>
      </c>
      <c r="E251" t="s">
        <v>588</v>
      </c>
      <c r="F251" t="s">
        <v>506</v>
      </c>
      <c r="G251" t="s">
        <v>507</v>
      </c>
      <c r="H251" t="s">
        <v>508</v>
      </c>
      <c r="I251" t="s">
        <v>509</v>
      </c>
      <c r="J251" t="s">
        <v>589</v>
      </c>
      <c r="K251" s="502">
        <v>-21.6</v>
      </c>
      <c r="L251" t="s">
        <v>301</v>
      </c>
    </row>
    <row r="252" spans="1:12">
      <c r="A252" t="s">
        <v>586</v>
      </c>
      <c r="B252" t="s">
        <v>3367</v>
      </c>
      <c r="C252" s="60" t="str">
        <f t="shared" si="22"/>
        <v>E5320</v>
      </c>
      <c r="D252" t="s">
        <v>587</v>
      </c>
      <c r="E252" t="s">
        <v>588</v>
      </c>
      <c r="F252" t="s">
        <v>506</v>
      </c>
      <c r="G252" t="s">
        <v>507</v>
      </c>
      <c r="H252" t="s">
        <v>508</v>
      </c>
      <c r="I252" t="s">
        <v>509</v>
      </c>
      <c r="J252" t="s">
        <v>589</v>
      </c>
      <c r="K252" s="502">
        <v>-22.32</v>
      </c>
      <c r="L252" t="s">
        <v>301</v>
      </c>
    </row>
    <row r="253" spans="1:12">
      <c r="A253" t="s">
        <v>586</v>
      </c>
      <c r="B253" t="s">
        <v>3356</v>
      </c>
      <c r="C253" s="3" t="str">
        <f>+'2-Préparation saisie LV PROD'!B26</f>
        <v>E5290</v>
      </c>
      <c r="D253" t="s">
        <v>587</v>
      </c>
      <c r="E253" t="s">
        <v>588</v>
      </c>
      <c r="F253" t="s">
        <v>506</v>
      </c>
      <c r="G253" t="s">
        <v>507</v>
      </c>
      <c r="H253" t="s">
        <v>508</v>
      </c>
      <c r="I253" t="s">
        <v>509</v>
      </c>
      <c r="J253" t="s">
        <v>589</v>
      </c>
      <c r="K253" s="502">
        <v>-22.32</v>
      </c>
      <c r="L253" t="s">
        <v>3277</v>
      </c>
    </row>
    <row r="254" spans="1:12">
      <c r="A254" t="s">
        <v>586</v>
      </c>
      <c r="B254" t="s">
        <v>3357</v>
      </c>
      <c r="C254" s="60" t="str">
        <f>C253</f>
        <v>E5290</v>
      </c>
      <c r="D254" t="s">
        <v>587</v>
      </c>
      <c r="E254" t="s">
        <v>588</v>
      </c>
      <c r="F254" t="s">
        <v>506</v>
      </c>
      <c r="G254" t="s">
        <v>507</v>
      </c>
      <c r="H254" t="s">
        <v>508</v>
      </c>
      <c r="I254" t="s">
        <v>509</v>
      </c>
      <c r="J254" t="s">
        <v>589</v>
      </c>
      <c r="K254" s="502">
        <f>K242</f>
        <v>-20.16</v>
      </c>
      <c r="L254" t="s">
        <v>3277</v>
      </c>
    </row>
    <row r="255" spans="1:12">
      <c r="A255" t="s">
        <v>586</v>
      </c>
      <c r="B255" t="s">
        <v>3358</v>
      </c>
      <c r="C255" s="60" t="str">
        <f t="shared" ref="C255:C264" si="23">+C254</f>
        <v>E5290</v>
      </c>
      <c r="D255" t="s">
        <v>587</v>
      </c>
      <c r="E255" t="s">
        <v>588</v>
      </c>
      <c r="F255" t="s">
        <v>506</v>
      </c>
      <c r="G255" t="s">
        <v>507</v>
      </c>
      <c r="H255" t="s">
        <v>508</v>
      </c>
      <c r="I255" t="s">
        <v>509</v>
      </c>
      <c r="J255" t="s">
        <v>589</v>
      </c>
      <c r="K255" s="502">
        <v>-22.32</v>
      </c>
      <c r="L255" t="s">
        <v>3277</v>
      </c>
    </row>
    <row r="256" spans="1:12">
      <c r="A256" t="s">
        <v>586</v>
      </c>
      <c r="B256" t="s">
        <v>3359</v>
      </c>
      <c r="C256" s="60" t="str">
        <f t="shared" si="23"/>
        <v>E5290</v>
      </c>
      <c r="D256" t="s">
        <v>587</v>
      </c>
      <c r="E256" t="s">
        <v>588</v>
      </c>
      <c r="F256" t="s">
        <v>506</v>
      </c>
      <c r="G256" t="s">
        <v>507</v>
      </c>
      <c r="H256" t="s">
        <v>508</v>
      </c>
      <c r="I256" t="s">
        <v>509</v>
      </c>
      <c r="J256" t="s">
        <v>589</v>
      </c>
      <c r="K256" s="502">
        <v>-21.6</v>
      </c>
      <c r="L256" t="s">
        <v>3277</v>
      </c>
    </row>
    <row r="257" spans="1:12">
      <c r="A257" t="s">
        <v>586</v>
      </c>
      <c r="B257" t="s">
        <v>3360</v>
      </c>
      <c r="C257" s="60" t="str">
        <f t="shared" si="23"/>
        <v>E5290</v>
      </c>
      <c r="D257" t="s">
        <v>587</v>
      </c>
      <c r="E257" t="s">
        <v>588</v>
      </c>
      <c r="F257" t="s">
        <v>506</v>
      </c>
      <c r="G257" t="s">
        <v>507</v>
      </c>
      <c r="H257" t="s">
        <v>508</v>
      </c>
      <c r="I257" t="s">
        <v>509</v>
      </c>
      <c r="J257" t="s">
        <v>589</v>
      </c>
      <c r="K257" s="502">
        <v>-22.32</v>
      </c>
      <c r="L257" t="s">
        <v>3277</v>
      </c>
    </row>
    <row r="258" spans="1:12">
      <c r="A258" t="s">
        <v>586</v>
      </c>
      <c r="B258" t="s">
        <v>3361</v>
      </c>
      <c r="C258" s="60" t="str">
        <f t="shared" si="23"/>
        <v>E5290</v>
      </c>
      <c r="D258" t="s">
        <v>587</v>
      </c>
      <c r="E258" t="s">
        <v>588</v>
      </c>
      <c r="F258" t="s">
        <v>506</v>
      </c>
      <c r="G258" t="s">
        <v>507</v>
      </c>
      <c r="H258" t="s">
        <v>508</v>
      </c>
      <c r="I258" t="s">
        <v>509</v>
      </c>
      <c r="J258" t="s">
        <v>589</v>
      </c>
      <c r="K258" s="502">
        <v>-21.6</v>
      </c>
      <c r="L258" t="s">
        <v>3277</v>
      </c>
    </row>
    <row r="259" spans="1:12">
      <c r="A259" t="s">
        <v>586</v>
      </c>
      <c r="B259" t="s">
        <v>3362</v>
      </c>
      <c r="C259" s="60" t="str">
        <f t="shared" si="23"/>
        <v>E5290</v>
      </c>
      <c r="D259" t="s">
        <v>587</v>
      </c>
      <c r="E259" t="s">
        <v>588</v>
      </c>
      <c r="F259" t="s">
        <v>506</v>
      </c>
      <c r="G259" t="s">
        <v>507</v>
      </c>
      <c r="H259" t="s">
        <v>508</v>
      </c>
      <c r="I259" t="s">
        <v>509</v>
      </c>
      <c r="J259" t="s">
        <v>589</v>
      </c>
      <c r="K259" s="502">
        <v>-22.32</v>
      </c>
      <c r="L259" t="s">
        <v>3277</v>
      </c>
    </row>
    <row r="260" spans="1:12">
      <c r="A260" t="s">
        <v>586</v>
      </c>
      <c r="B260" t="s">
        <v>3363</v>
      </c>
      <c r="C260" s="60" t="str">
        <f t="shared" si="23"/>
        <v>E5290</v>
      </c>
      <c r="D260" t="s">
        <v>587</v>
      </c>
      <c r="E260" t="s">
        <v>588</v>
      </c>
      <c r="F260" t="s">
        <v>506</v>
      </c>
      <c r="G260" t="s">
        <v>507</v>
      </c>
      <c r="H260" t="s">
        <v>508</v>
      </c>
      <c r="I260" t="s">
        <v>509</v>
      </c>
      <c r="J260" t="s">
        <v>589</v>
      </c>
      <c r="K260" s="502">
        <v>-22.32</v>
      </c>
      <c r="L260" t="s">
        <v>3277</v>
      </c>
    </row>
    <row r="261" spans="1:12">
      <c r="A261" t="s">
        <v>586</v>
      </c>
      <c r="B261" t="s">
        <v>3364</v>
      </c>
      <c r="C261" s="60" t="str">
        <f t="shared" si="23"/>
        <v>E5290</v>
      </c>
      <c r="D261" t="s">
        <v>587</v>
      </c>
      <c r="E261" t="s">
        <v>588</v>
      </c>
      <c r="F261" t="s">
        <v>506</v>
      </c>
      <c r="G261" t="s">
        <v>507</v>
      </c>
      <c r="H261" t="s">
        <v>508</v>
      </c>
      <c r="I261" t="s">
        <v>509</v>
      </c>
      <c r="J261" t="s">
        <v>589</v>
      </c>
      <c r="K261" s="502">
        <v>-21.6</v>
      </c>
      <c r="L261" t="s">
        <v>3277</v>
      </c>
    </row>
    <row r="262" spans="1:12">
      <c r="A262" t="s">
        <v>586</v>
      </c>
      <c r="B262" t="s">
        <v>3365</v>
      </c>
      <c r="C262" s="60" t="str">
        <f t="shared" si="23"/>
        <v>E5290</v>
      </c>
      <c r="D262" t="s">
        <v>587</v>
      </c>
      <c r="E262" t="s">
        <v>588</v>
      </c>
      <c r="F262" t="s">
        <v>506</v>
      </c>
      <c r="G262" t="s">
        <v>507</v>
      </c>
      <c r="H262" t="s">
        <v>508</v>
      </c>
      <c r="I262" t="s">
        <v>509</v>
      </c>
      <c r="J262" t="s">
        <v>589</v>
      </c>
      <c r="K262" s="502">
        <v>-22.32</v>
      </c>
      <c r="L262" t="s">
        <v>3277</v>
      </c>
    </row>
    <row r="263" spans="1:12">
      <c r="A263" t="s">
        <v>586</v>
      </c>
      <c r="B263" t="s">
        <v>3366</v>
      </c>
      <c r="C263" s="60" t="str">
        <f t="shared" si="23"/>
        <v>E5290</v>
      </c>
      <c r="D263" t="s">
        <v>587</v>
      </c>
      <c r="E263" t="s">
        <v>588</v>
      </c>
      <c r="F263" t="s">
        <v>506</v>
      </c>
      <c r="G263" t="s">
        <v>507</v>
      </c>
      <c r="H263" t="s">
        <v>508</v>
      </c>
      <c r="I263" t="s">
        <v>509</v>
      </c>
      <c r="J263" t="s">
        <v>589</v>
      </c>
      <c r="K263" s="502">
        <v>-21.6</v>
      </c>
      <c r="L263" t="s">
        <v>3277</v>
      </c>
    </row>
    <row r="264" spans="1:12">
      <c r="A264" t="s">
        <v>586</v>
      </c>
      <c r="B264" t="s">
        <v>3367</v>
      </c>
      <c r="C264" s="60" t="str">
        <f t="shared" si="23"/>
        <v>E5290</v>
      </c>
      <c r="D264" t="s">
        <v>587</v>
      </c>
      <c r="E264" t="s">
        <v>588</v>
      </c>
      <c r="F264" t="s">
        <v>506</v>
      </c>
      <c r="G264" t="s">
        <v>507</v>
      </c>
      <c r="H264" t="s">
        <v>508</v>
      </c>
      <c r="I264" t="s">
        <v>509</v>
      </c>
      <c r="J264" t="s">
        <v>589</v>
      </c>
      <c r="K264" s="502">
        <v>-22.32</v>
      </c>
      <c r="L264" t="s">
        <v>3277</v>
      </c>
    </row>
    <row r="265" spans="1:12">
      <c r="A265" t="s">
        <v>586</v>
      </c>
      <c r="B265" t="s">
        <v>3356</v>
      </c>
      <c r="C265" s="3" t="str">
        <f>+'2-Préparation saisie LV PROD'!B27</f>
        <v>E5360</v>
      </c>
      <c r="D265" t="s">
        <v>587</v>
      </c>
      <c r="E265" t="s">
        <v>588</v>
      </c>
      <c r="F265" t="s">
        <v>506</v>
      </c>
      <c r="G265" t="s">
        <v>507</v>
      </c>
      <c r="H265" t="s">
        <v>508</v>
      </c>
      <c r="I265" t="s">
        <v>509</v>
      </c>
      <c r="J265" t="s">
        <v>589</v>
      </c>
      <c r="K265" s="502">
        <v>-22.32</v>
      </c>
      <c r="L265" t="s">
        <v>546</v>
      </c>
    </row>
    <row r="266" spans="1:12">
      <c r="A266" t="s">
        <v>586</v>
      </c>
      <c r="B266" t="s">
        <v>3357</v>
      </c>
      <c r="C266" s="60" t="str">
        <f>C265</f>
        <v>E5360</v>
      </c>
      <c r="D266" t="s">
        <v>587</v>
      </c>
      <c r="E266" t="s">
        <v>588</v>
      </c>
      <c r="F266" t="s">
        <v>506</v>
      </c>
      <c r="G266" t="s">
        <v>507</v>
      </c>
      <c r="H266" t="s">
        <v>508</v>
      </c>
      <c r="I266" t="s">
        <v>509</v>
      </c>
      <c r="J266" t="s">
        <v>589</v>
      </c>
      <c r="K266" s="502">
        <f>K254</f>
        <v>-20.16</v>
      </c>
      <c r="L266" t="s">
        <v>546</v>
      </c>
    </row>
    <row r="267" spans="1:12">
      <c r="A267" t="s">
        <v>586</v>
      </c>
      <c r="B267" t="s">
        <v>3358</v>
      </c>
      <c r="C267" s="60" t="str">
        <f t="shared" ref="C267:C276" si="24">+C266</f>
        <v>E5360</v>
      </c>
      <c r="D267" t="s">
        <v>587</v>
      </c>
      <c r="E267" t="s">
        <v>588</v>
      </c>
      <c r="F267" t="s">
        <v>506</v>
      </c>
      <c r="G267" t="s">
        <v>507</v>
      </c>
      <c r="H267" t="s">
        <v>508</v>
      </c>
      <c r="I267" t="s">
        <v>509</v>
      </c>
      <c r="J267" t="s">
        <v>589</v>
      </c>
      <c r="K267" s="502">
        <v>-22.32</v>
      </c>
      <c r="L267" t="s">
        <v>546</v>
      </c>
    </row>
    <row r="268" spans="1:12">
      <c r="A268" t="s">
        <v>586</v>
      </c>
      <c r="B268" t="s">
        <v>3359</v>
      </c>
      <c r="C268" s="60" t="str">
        <f t="shared" si="24"/>
        <v>E5360</v>
      </c>
      <c r="D268" t="s">
        <v>587</v>
      </c>
      <c r="E268" t="s">
        <v>588</v>
      </c>
      <c r="F268" t="s">
        <v>506</v>
      </c>
      <c r="G268" t="s">
        <v>507</v>
      </c>
      <c r="H268" t="s">
        <v>508</v>
      </c>
      <c r="I268" t="s">
        <v>509</v>
      </c>
      <c r="J268" t="s">
        <v>589</v>
      </c>
      <c r="K268" s="502">
        <v>-21.6</v>
      </c>
      <c r="L268" t="s">
        <v>546</v>
      </c>
    </row>
    <row r="269" spans="1:12">
      <c r="A269" t="s">
        <v>586</v>
      </c>
      <c r="B269" t="s">
        <v>3360</v>
      </c>
      <c r="C269" s="60" t="str">
        <f t="shared" si="24"/>
        <v>E5360</v>
      </c>
      <c r="D269" t="s">
        <v>587</v>
      </c>
      <c r="E269" t="s">
        <v>588</v>
      </c>
      <c r="F269" t="s">
        <v>506</v>
      </c>
      <c r="G269" t="s">
        <v>507</v>
      </c>
      <c r="H269" t="s">
        <v>508</v>
      </c>
      <c r="I269" t="s">
        <v>509</v>
      </c>
      <c r="J269" t="s">
        <v>589</v>
      </c>
      <c r="K269" s="502">
        <v>-22.32</v>
      </c>
      <c r="L269" t="s">
        <v>546</v>
      </c>
    </row>
    <row r="270" spans="1:12">
      <c r="A270" t="s">
        <v>586</v>
      </c>
      <c r="B270" t="s">
        <v>3361</v>
      </c>
      <c r="C270" s="60" t="str">
        <f t="shared" si="24"/>
        <v>E5360</v>
      </c>
      <c r="D270" t="s">
        <v>587</v>
      </c>
      <c r="E270" t="s">
        <v>588</v>
      </c>
      <c r="F270" t="s">
        <v>506</v>
      </c>
      <c r="G270" t="s">
        <v>507</v>
      </c>
      <c r="H270" t="s">
        <v>508</v>
      </c>
      <c r="I270" t="s">
        <v>509</v>
      </c>
      <c r="J270" t="s">
        <v>589</v>
      </c>
      <c r="K270" s="502">
        <v>-21.6</v>
      </c>
      <c r="L270" t="s">
        <v>546</v>
      </c>
    </row>
    <row r="271" spans="1:12">
      <c r="A271" t="s">
        <v>586</v>
      </c>
      <c r="B271" t="s">
        <v>3362</v>
      </c>
      <c r="C271" s="60" t="str">
        <f t="shared" si="24"/>
        <v>E5360</v>
      </c>
      <c r="D271" t="s">
        <v>587</v>
      </c>
      <c r="E271" t="s">
        <v>588</v>
      </c>
      <c r="F271" t="s">
        <v>506</v>
      </c>
      <c r="G271" t="s">
        <v>507</v>
      </c>
      <c r="H271" t="s">
        <v>508</v>
      </c>
      <c r="I271" t="s">
        <v>509</v>
      </c>
      <c r="J271" t="s">
        <v>589</v>
      </c>
      <c r="K271" s="502">
        <v>-22.32</v>
      </c>
      <c r="L271" t="s">
        <v>546</v>
      </c>
    </row>
    <row r="272" spans="1:12">
      <c r="A272" t="s">
        <v>586</v>
      </c>
      <c r="B272" t="s">
        <v>3363</v>
      </c>
      <c r="C272" s="60" t="str">
        <f t="shared" si="24"/>
        <v>E5360</v>
      </c>
      <c r="D272" t="s">
        <v>587</v>
      </c>
      <c r="E272" t="s">
        <v>588</v>
      </c>
      <c r="F272" t="s">
        <v>506</v>
      </c>
      <c r="G272" t="s">
        <v>507</v>
      </c>
      <c r="H272" t="s">
        <v>508</v>
      </c>
      <c r="I272" t="s">
        <v>509</v>
      </c>
      <c r="J272" t="s">
        <v>589</v>
      </c>
      <c r="K272" s="502">
        <v>-22.32</v>
      </c>
      <c r="L272" t="s">
        <v>546</v>
      </c>
    </row>
    <row r="273" spans="1:12">
      <c r="A273" t="s">
        <v>586</v>
      </c>
      <c r="B273" t="s">
        <v>3364</v>
      </c>
      <c r="C273" s="60" t="str">
        <f t="shared" si="24"/>
        <v>E5360</v>
      </c>
      <c r="D273" t="s">
        <v>587</v>
      </c>
      <c r="E273" t="s">
        <v>588</v>
      </c>
      <c r="F273" t="s">
        <v>506</v>
      </c>
      <c r="G273" t="s">
        <v>507</v>
      </c>
      <c r="H273" t="s">
        <v>508</v>
      </c>
      <c r="I273" t="s">
        <v>509</v>
      </c>
      <c r="J273" t="s">
        <v>589</v>
      </c>
      <c r="K273" s="502">
        <v>-21.6</v>
      </c>
      <c r="L273" t="s">
        <v>546</v>
      </c>
    </row>
    <row r="274" spans="1:12">
      <c r="A274" t="s">
        <v>586</v>
      </c>
      <c r="B274" t="s">
        <v>3365</v>
      </c>
      <c r="C274" s="60" t="str">
        <f t="shared" si="24"/>
        <v>E5360</v>
      </c>
      <c r="D274" t="s">
        <v>587</v>
      </c>
      <c r="E274" t="s">
        <v>588</v>
      </c>
      <c r="F274" t="s">
        <v>506</v>
      </c>
      <c r="G274" t="s">
        <v>507</v>
      </c>
      <c r="H274" t="s">
        <v>508</v>
      </c>
      <c r="I274" t="s">
        <v>509</v>
      </c>
      <c r="J274" t="s">
        <v>589</v>
      </c>
      <c r="K274" s="502">
        <v>-22.32</v>
      </c>
      <c r="L274" t="s">
        <v>546</v>
      </c>
    </row>
    <row r="275" spans="1:12">
      <c r="A275" t="s">
        <v>586</v>
      </c>
      <c r="B275" t="s">
        <v>3366</v>
      </c>
      <c r="C275" s="60" t="str">
        <f t="shared" si="24"/>
        <v>E5360</v>
      </c>
      <c r="D275" t="s">
        <v>587</v>
      </c>
      <c r="E275" t="s">
        <v>588</v>
      </c>
      <c r="F275" t="s">
        <v>506</v>
      </c>
      <c r="G275" t="s">
        <v>507</v>
      </c>
      <c r="H275" t="s">
        <v>508</v>
      </c>
      <c r="I275" t="s">
        <v>509</v>
      </c>
      <c r="J275" t="s">
        <v>589</v>
      </c>
      <c r="K275" s="502">
        <v>-21.6</v>
      </c>
      <c r="L275" t="s">
        <v>546</v>
      </c>
    </row>
    <row r="276" spans="1:12">
      <c r="A276" t="s">
        <v>586</v>
      </c>
      <c r="B276" t="s">
        <v>3367</v>
      </c>
      <c r="C276" s="60" t="str">
        <f t="shared" si="24"/>
        <v>E5360</v>
      </c>
      <c r="D276" t="s">
        <v>587</v>
      </c>
      <c r="E276" t="s">
        <v>588</v>
      </c>
      <c r="F276" t="s">
        <v>506</v>
      </c>
      <c r="G276" t="s">
        <v>507</v>
      </c>
      <c r="H276" t="s">
        <v>508</v>
      </c>
      <c r="I276" t="s">
        <v>509</v>
      </c>
      <c r="J276" t="s">
        <v>589</v>
      </c>
      <c r="K276" s="502">
        <v>-22.32</v>
      </c>
      <c r="L276" t="s">
        <v>546</v>
      </c>
    </row>
    <row r="277" spans="1:12">
      <c r="A277" t="s">
        <v>586</v>
      </c>
      <c r="B277" t="s">
        <v>3356</v>
      </c>
      <c r="C277" s="3" t="str">
        <f>+'2-Préparation saisie LV PROD'!B28</f>
        <v>E5391</v>
      </c>
      <c r="D277" t="s">
        <v>587</v>
      </c>
      <c r="E277" t="s">
        <v>588</v>
      </c>
      <c r="F277" t="s">
        <v>506</v>
      </c>
      <c r="G277" t="s">
        <v>507</v>
      </c>
      <c r="H277" t="s">
        <v>508</v>
      </c>
      <c r="I277" t="s">
        <v>509</v>
      </c>
      <c r="J277" t="s">
        <v>589</v>
      </c>
      <c r="K277" s="502">
        <v>-22.32</v>
      </c>
      <c r="L277" t="s">
        <v>547</v>
      </c>
    </row>
    <row r="278" spans="1:12">
      <c r="A278" t="s">
        <v>586</v>
      </c>
      <c r="B278" t="s">
        <v>3357</v>
      </c>
      <c r="C278" s="60" t="str">
        <f>C277</f>
        <v>E5391</v>
      </c>
      <c r="D278" t="s">
        <v>587</v>
      </c>
      <c r="E278" t="s">
        <v>588</v>
      </c>
      <c r="F278" t="s">
        <v>506</v>
      </c>
      <c r="G278" t="s">
        <v>507</v>
      </c>
      <c r="H278" t="s">
        <v>508</v>
      </c>
      <c r="I278" t="s">
        <v>509</v>
      </c>
      <c r="J278" t="s">
        <v>589</v>
      </c>
      <c r="K278" s="502">
        <f>K266</f>
        <v>-20.16</v>
      </c>
      <c r="L278" t="s">
        <v>547</v>
      </c>
    </row>
    <row r="279" spans="1:12">
      <c r="A279" t="s">
        <v>586</v>
      </c>
      <c r="B279" t="s">
        <v>3358</v>
      </c>
      <c r="C279" s="60" t="str">
        <f t="shared" ref="C279:C288" si="25">+C278</f>
        <v>E5391</v>
      </c>
      <c r="D279" t="s">
        <v>587</v>
      </c>
      <c r="E279" t="s">
        <v>588</v>
      </c>
      <c r="F279" t="s">
        <v>506</v>
      </c>
      <c r="G279" t="s">
        <v>507</v>
      </c>
      <c r="H279" t="s">
        <v>508</v>
      </c>
      <c r="I279" t="s">
        <v>509</v>
      </c>
      <c r="J279" t="s">
        <v>589</v>
      </c>
      <c r="K279" s="502">
        <v>-22.32</v>
      </c>
      <c r="L279" t="s">
        <v>547</v>
      </c>
    </row>
    <row r="280" spans="1:12">
      <c r="A280" t="s">
        <v>586</v>
      </c>
      <c r="B280" t="s">
        <v>3359</v>
      </c>
      <c r="C280" s="60" t="str">
        <f t="shared" si="25"/>
        <v>E5391</v>
      </c>
      <c r="D280" t="s">
        <v>587</v>
      </c>
      <c r="E280" t="s">
        <v>588</v>
      </c>
      <c r="F280" t="s">
        <v>506</v>
      </c>
      <c r="G280" t="s">
        <v>507</v>
      </c>
      <c r="H280" t="s">
        <v>508</v>
      </c>
      <c r="I280" t="s">
        <v>509</v>
      </c>
      <c r="J280" t="s">
        <v>589</v>
      </c>
      <c r="K280" s="502">
        <v>-21.6</v>
      </c>
      <c r="L280" t="s">
        <v>547</v>
      </c>
    </row>
    <row r="281" spans="1:12">
      <c r="A281" t="s">
        <v>586</v>
      </c>
      <c r="B281" t="s">
        <v>3360</v>
      </c>
      <c r="C281" s="60" t="str">
        <f t="shared" si="25"/>
        <v>E5391</v>
      </c>
      <c r="D281" t="s">
        <v>587</v>
      </c>
      <c r="E281" t="s">
        <v>588</v>
      </c>
      <c r="F281" t="s">
        <v>506</v>
      </c>
      <c r="G281" t="s">
        <v>507</v>
      </c>
      <c r="H281" t="s">
        <v>508</v>
      </c>
      <c r="I281" t="s">
        <v>509</v>
      </c>
      <c r="J281" t="s">
        <v>589</v>
      </c>
      <c r="K281" s="502">
        <v>-22.32</v>
      </c>
      <c r="L281" t="s">
        <v>547</v>
      </c>
    </row>
    <row r="282" spans="1:12">
      <c r="A282" t="s">
        <v>586</v>
      </c>
      <c r="B282" t="s">
        <v>3361</v>
      </c>
      <c r="C282" s="60" t="str">
        <f t="shared" si="25"/>
        <v>E5391</v>
      </c>
      <c r="D282" t="s">
        <v>587</v>
      </c>
      <c r="E282" t="s">
        <v>588</v>
      </c>
      <c r="F282" t="s">
        <v>506</v>
      </c>
      <c r="G282" t="s">
        <v>507</v>
      </c>
      <c r="H282" t="s">
        <v>508</v>
      </c>
      <c r="I282" t="s">
        <v>509</v>
      </c>
      <c r="J282" t="s">
        <v>589</v>
      </c>
      <c r="K282" s="502">
        <v>-21.6</v>
      </c>
      <c r="L282" t="s">
        <v>547</v>
      </c>
    </row>
    <row r="283" spans="1:12">
      <c r="A283" t="s">
        <v>586</v>
      </c>
      <c r="B283" t="s">
        <v>3362</v>
      </c>
      <c r="C283" s="60" t="str">
        <f t="shared" si="25"/>
        <v>E5391</v>
      </c>
      <c r="D283" t="s">
        <v>587</v>
      </c>
      <c r="E283" t="s">
        <v>588</v>
      </c>
      <c r="F283" t="s">
        <v>506</v>
      </c>
      <c r="G283" t="s">
        <v>507</v>
      </c>
      <c r="H283" t="s">
        <v>508</v>
      </c>
      <c r="I283" t="s">
        <v>509</v>
      </c>
      <c r="J283" t="s">
        <v>589</v>
      </c>
      <c r="K283" s="502">
        <v>-22.32</v>
      </c>
      <c r="L283" t="s">
        <v>547</v>
      </c>
    </row>
    <row r="284" spans="1:12">
      <c r="A284" t="s">
        <v>586</v>
      </c>
      <c r="B284" t="s">
        <v>3363</v>
      </c>
      <c r="C284" s="60" t="str">
        <f t="shared" si="25"/>
        <v>E5391</v>
      </c>
      <c r="D284" t="s">
        <v>587</v>
      </c>
      <c r="E284" t="s">
        <v>588</v>
      </c>
      <c r="F284" t="s">
        <v>506</v>
      </c>
      <c r="G284" t="s">
        <v>507</v>
      </c>
      <c r="H284" t="s">
        <v>508</v>
      </c>
      <c r="I284" t="s">
        <v>509</v>
      </c>
      <c r="J284" t="s">
        <v>589</v>
      </c>
      <c r="K284" s="502">
        <v>-22.32</v>
      </c>
      <c r="L284" t="s">
        <v>547</v>
      </c>
    </row>
    <row r="285" spans="1:12">
      <c r="A285" t="s">
        <v>586</v>
      </c>
      <c r="B285" t="s">
        <v>3364</v>
      </c>
      <c r="C285" s="60" t="str">
        <f t="shared" si="25"/>
        <v>E5391</v>
      </c>
      <c r="D285" t="s">
        <v>587</v>
      </c>
      <c r="E285" t="s">
        <v>588</v>
      </c>
      <c r="F285" t="s">
        <v>506</v>
      </c>
      <c r="G285" t="s">
        <v>507</v>
      </c>
      <c r="H285" t="s">
        <v>508</v>
      </c>
      <c r="I285" t="s">
        <v>509</v>
      </c>
      <c r="J285" t="s">
        <v>589</v>
      </c>
      <c r="K285" s="502">
        <v>-21.6</v>
      </c>
      <c r="L285" t="s">
        <v>547</v>
      </c>
    </row>
    <row r="286" spans="1:12">
      <c r="A286" t="s">
        <v>586</v>
      </c>
      <c r="B286" t="s">
        <v>3365</v>
      </c>
      <c r="C286" s="60" t="str">
        <f t="shared" si="25"/>
        <v>E5391</v>
      </c>
      <c r="D286" t="s">
        <v>587</v>
      </c>
      <c r="E286" t="s">
        <v>588</v>
      </c>
      <c r="F286" t="s">
        <v>506</v>
      </c>
      <c r="G286" t="s">
        <v>507</v>
      </c>
      <c r="H286" t="s">
        <v>508</v>
      </c>
      <c r="I286" t="s">
        <v>509</v>
      </c>
      <c r="J286" t="s">
        <v>589</v>
      </c>
      <c r="K286" s="502">
        <v>-22.32</v>
      </c>
      <c r="L286" t="s">
        <v>547</v>
      </c>
    </row>
    <row r="287" spans="1:12">
      <c r="A287" t="s">
        <v>586</v>
      </c>
      <c r="B287" t="s">
        <v>3366</v>
      </c>
      <c r="C287" s="60" t="str">
        <f t="shared" si="25"/>
        <v>E5391</v>
      </c>
      <c r="D287" t="s">
        <v>587</v>
      </c>
      <c r="E287" t="s">
        <v>588</v>
      </c>
      <c r="F287" t="s">
        <v>506</v>
      </c>
      <c r="G287" t="s">
        <v>507</v>
      </c>
      <c r="H287" t="s">
        <v>508</v>
      </c>
      <c r="I287" t="s">
        <v>509</v>
      </c>
      <c r="J287" t="s">
        <v>589</v>
      </c>
      <c r="K287" s="502">
        <v>-21.6</v>
      </c>
      <c r="L287" t="s">
        <v>547</v>
      </c>
    </row>
    <row r="288" spans="1:12">
      <c r="A288" t="s">
        <v>586</v>
      </c>
      <c r="B288" t="s">
        <v>3367</v>
      </c>
      <c r="C288" s="60" t="str">
        <f t="shared" si="25"/>
        <v>E5391</v>
      </c>
      <c r="D288" t="s">
        <v>587</v>
      </c>
      <c r="E288" t="s">
        <v>588</v>
      </c>
      <c r="F288" t="s">
        <v>506</v>
      </c>
      <c r="G288" t="s">
        <v>507</v>
      </c>
      <c r="H288" t="s">
        <v>508</v>
      </c>
      <c r="I288" t="s">
        <v>509</v>
      </c>
      <c r="J288" t="s">
        <v>589</v>
      </c>
      <c r="K288" s="502">
        <v>-22.32</v>
      </c>
      <c r="L288" t="s">
        <v>547</v>
      </c>
    </row>
    <row r="289" spans="1:12">
      <c r="A289" t="s">
        <v>586</v>
      </c>
      <c r="B289" t="s">
        <v>3356</v>
      </c>
      <c r="C289" s="3" t="str">
        <f>+'2-Préparation saisie LV PROD'!B29</f>
        <v>E5392</v>
      </c>
      <c r="D289" t="s">
        <v>587</v>
      </c>
      <c r="E289" t="s">
        <v>588</v>
      </c>
      <c r="F289" t="s">
        <v>506</v>
      </c>
      <c r="G289" t="s">
        <v>507</v>
      </c>
      <c r="H289" t="s">
        <v>508</v>
      </c>
      <c r="I289" t="s">
        <v>509</v>
      </c>
      <c r="J289" t="s">
        <v>589</v>
      </c>
      <c r="K289" s="502">
        <v>-22.32</v>
      </c>
      <c r="L289" t="s">
        <v>548</v>
      </c>
    </row>
    <row r="290" spans="1:12">
      <c r="A290" t="s">
        <v>586</v>
      </c>
      <c r="B290" t="s">
        <v>3357</v>
      </c>
      <c r="C290" s="60" t="str">
        <f>C289</f>
        <v>E5392</v>
      </c>
      <c r="D290" t="s">
        <v>587</v>
      </c>
      <c r="E290" t="s">
        <v>588</v>
      </c>
      <c r="F290" t="s">
        <v>506</v>
      </c>
      <c r="G290" t="s">
        <v>507</v>
      </c>
      <c r="H290" t="s">
        <v>508</v>
      </c>
      <c r="I290" t="s">
        <v>509</v>
      </c>
      <c r="J290" t="s">
        <v>589</v>
      </c>
      <c r="K290" s="502">
        <f>K278</f>
        <v>-20.16</v>
      </c>
      <c r="L290" t="s">
        <v>548</v>
      </c>
    </row>
    <row r="291" spans="1:12">
      <c r="A291" t="s">
        <v>586</v>
      </c>
      <c r="B291" t="s">
        <v>3358</v>
      </c>
      <c r="C291" s="60" t="str">
        <f t="shared" ref="C291:C300" si="26">+C290</f>
        <v>E5392</v>
      </c>
      <c r="D291" t="s">
        <v>587</v>
      </c>
      <c r="E291" t="s">
        <v>588</v>
      </c>
      <c r="F291" t="s">
        <v>506</v>
      </c>
      <c r="G291" t="s">
        <v>507</v>
      </c>
      <c r="H291" t="s">
        <v>508</v>
      </c>
      <c r="I291" t="s">
        <v>509</v>
      </c>
      <c r="J291" t="s">
        <v>589</v>
      </c>
      <c r="K291" s="502">
        <v>-22.32</v>
      </c>
      <c r="L291" t="s">
        <v>548</v>
      </c>
    </row>
    <row r="292" spans="1:12">
      <c r="A292" t="s">
        <v>586</v>
      </c>
      <c r="B292" t="s">
        <v>3359</v>
      </c>
      <c r="C292" s="60" t="str">
        <f t="shared" si="26"/>
        <v>E5392</v>
      </c>
      <c r="D292" t="s">
        <v>587</v>
      </c>
      <c r="E292" t="s">
        <v>588</v>
      </c>
      <c r="F292" t="s">
        <v>506</v>
      </c>
      <c r="G292" t="s">
        <v>507</v>
      </c>
      <c r="H292" t="s">
        <v>508</v>
      </c>
      <c r="I292" t="s">
        <v>509</v>
      </c>
      <c r="J292" t="s">
        <v>589</v>
      </c>
      <c r="K292" s="502">
        <v>-21.6</v>
      </c>
      <c r="L292" t="s">
        <v>548</v>
      </c>
    </row>
    <row r="293" spans="1:12">
      <c r="A293" t="s">
        <v>586</v>
      </c>
      <c r="B293" t="s">
        <v>3360</v>
      </c>
      <c r="C293" s="60" t="str">
        <f t="shared" si="26"/>
        <v>E5392</v>
      </c>
      <c r="D293" t="s">
        <v>587</v>
      </c>
      <c r="E293" t="s">
        <v>588</v>
      </c>
      <c r="F293" t="s">
        <v>506</v>
      </c>
      <c r="G293" t="s">
        <v>507</v>
      </c>
      <c r="H293" t="s">
        <v>508</v>
      </c>
      <c r="I293" t="s">
        <v>509</v>
      </c>
      <c r="J293" t="s">
        <v>589</v>
      </c>
      <c r="K293" s="502">
        <v>-22.32</v>
      </c>
      <c r="L293" t="s">
        <v>548</v>
      </c>
    </row>
    <row r="294" spans="1:12">
      <c r="A294" t="s">
        <v>586</v>
      </c>
      <c r="B294" t="s">
        <v>3361</v>
      </c>
      <c r="C294" s="60" t="str">
        <f t="shared" si="26"/>
        <v>E5392</v>
      </c>
      <c r="D294" t="s">
        <v>587</v>
      </c>
      <c r="E294" t="s">
        <v>588</v>
      </c>
      <c r="F294" t="s">
        <v>506</v>
      </c>
      <c r="G294" t="s">
        <v>507</v>
      </c>
      <c r="H294" t="s">
        <v>508</v>
      </c>
      <c r="I294" t="s">
        <v>509</v>
      </c>
      <c r="J294" t="s">
        <v>589</v>
      </c>
      <c r="K294" s="502">
        <v>-21.6</v>
      </c>
      <c r="L294" t="s">
        <v>548</v>
      </c>
    </row>
    <row r="295" spans="1:12">
      <c r="A295" t="s">
        <v>586</v>
      </c>
      <c r="B295" t="s">
        <v>3362</v>
      </c>
      <c r="C295" s="60" t="str">
        <f t="shared" si="26"/>
        <v>E5392</v>
      </c>
      <c r="D295" t="s">
        <v>587</v>
      </c>
      <c r="E295" t="s">
        <v>588</v>
      </c>
      <c r="F295" t="s">
        <v>506</v>
      </c>
      <c r="G295" t="s">
        <v>507</v>
      </c>
      <c r="H295" t="s">
        <v>508</v>
      </c>
      <c r="I295" t="s">
        <v>509</v>
      </c>
      <c r="J295" t="s">
        <v>589</v>
      </c>
      <c r="K295" s="502">
        <v>-22.32</v>
      </c>
      <c r="L295" t="s">
        <v>548</v>
      </c>
    </row>
    <row r="296" spans="1:12">
      <c r="A296" t="s">
        <v>586</v>
      </c>
      <c r="B296" t="s">
        <v>3363</v>
      </c>
      <c r="C296" s="60" t="str">
        <f t="shared" si="26"/>
        <v>E5392</v>
      </c>
      <c r="D296" t="s">
        <v>587</v>
      </c>
      <c r="E296" t="s">
        <v>588</v>
      </c>
      <c r="F296" t="s">
        <v>506</v>
      </c>
      <c r="G296" t="s">
        <v>507</v>
      </c>
      <c r="H296" t="s">
        <v>508</v>
      </c>
      <c r="I296" t="s">
        <v>509</v>
      </c>
      <c r="J296" t="s">
        <v>589</v>
      </c>
      <c r="K296" s="502">
        <v>-22.32</v>
      </c>
      <c r="L296" t="s">
        <v>548</v>
      </c>
    </row>
    <row r="297" spans="1:12">
      <c r="A297" t="s">
        <v>586</v>
      </c>
      <c r="B297" t="s">
        <v>3364</v>
      </c>
      <c r="C297" s="60" t="str">
        <f t="shared" si="26"/>
        <v>E5392</v>
      </c>
      <c r="D297" t="s">
        <v>587</v>
      </c>
      <c r="E297" t="s">
        <v>588</v>
      </c>
      <c r="F297" t="s">
        <v>506</v>
      </c>
      <c r="G297" t="s">
        <v>507</v>
      </c>
      <c r="H297" t="s">
        <v>508</v>
      </c>
      <c r="I297" t="s">
        <v>509</v>
      </c>
      <c r="J297" t="s">
        <v>589</v>
      </c>
      <c r="K297" s="502">
        <v>-21.6</v>
      </c>
      <c r="L297" t="s">
        <v>548</v>
      </c>
    </row>
    <row r="298" spans="1:12">
      <c r="A298" t="s">
        <v>586</v>
      </c>
      <c r="B298" t="s">
        <v>3365</v>
      </c>
      <c r="C298" s="60" t="str">
        <f t="shared" si="26"/>
        <v>E5392</v>
      </c>
      <c r="D298" t="s">
        <v>587</v>
      </c>
      <c r="E298" t="s">
        <v>588</v>
      </c>
      <c r="F298" t="s">
        <v>506</v>
      </c>
      <c r="G298" t="s">
        <v>507</v>
      </c>
      <c r="H298" t="s">
        <v>508</v>
      </c>
      <c r="I298" t="s">
        <v>509</v>
      </c>
      <c r="J298" t="s">
        <v>589</v>
      </c>
      <c r="K298" s="502">
        <v>-22.32</v>
      </c>
      <c r="L298" t="s">
        <v>548</v>
      </c>
    </row>
    <row r="299" spans="1:12">
      <c r="A299" t="s">
        <v>586</v>
      </c>
      <c r="B299" t="s">
        <v>3366</v>
      </c>
      <c r="C299" s="60" t="str">
        <f t="shared" si="26"/>
        <v>E5392</v>
      </c>
      <c r="D299" t="s">
        <v>587</v>
      </c>
      <c r="E299" t="s">
        <v>588</v>
      </c>
      <c r="F299" t="s">
        <v>506</v>
      </c>
      <c r="G299" t="s">
        <v>507</v>
      </c>
      <c r="H299" t="s">
        <v>508</v>
      </c>
      <c r="I299" t="s">
        <v>509</v>
      </c>
      <c r="J299" t="s">
        <v>589</v>
      </c>
      <c r="K299" s="502">
        <v>-21.6</v>
      </c>
      <c r="L299" t="s">
        <v>548</v>
      </c>
    </row>
    <row r="300" spans="1:12">
      <c r="A300" t="s">
        <v>586</v>
      </c>
      <c r="B300" t="s">
        <v>3367</v>
      </c>
      <c r="C300" s="60" t="str">
        <f t="shared" si="26"/>
        <v>E5392</v>
      </c>
      <c r="D300" t="s">
        <v>587</v>
      </c>
      <c r="E300" t="s">
        <v>588</v>
      </c>
      <c r="F300" t="s">
        <v>506</v>
      </c>
      <c r="G300" t="s">
        <v>507</v>
      </c>
      <c r="H300" t="s">
        <v>508</v>
      </c>
      <c r="I300" t="s">
        <v>509</v>
      </c>
      <c r="J300" t="s">
        <v>589</v>
      </c>
      <c r="K300" s="502">
        <v>-22.32</v>
      </c>
      <c r="L300" t="s">
        <v>548</v>
      </c>
    </row>
    <row r="301" spans="1:12">
      <c r="A301" t="s">
        <v>586</v>
      </c>
      <c r="B301" t="s">
        <v>3356</v>
      </c>
      <c r="C301" s="3" t="str">
        <f>+'2-Préparation saisie LV PROD'!B30</f>
        <v>E5393</v>
      </c>
      <c r="D301" t="s">
        <v>587</v>
      </c>
      <c r="E301" t="s">
        <v>588</v>
      </c>
      <c r="F301" t="s">
        <v>506</v>
      </c>
      <c r="G301" t="s">
        <v>507</v>
      </c>
      <c r="H301" t="s">
        <v>508</v>
      </c>
      <c r="I301" t="s">
        <v>509</v>
      </c>
      <c r="J301" t="s">
        <v>589</v>
      </c>
      <c r="K301" s="502">
        <v>-22.32</v>
      </c>
      <c r="L301" t="s">
        <v>3418</v>
      </c>
    </row>
    <row r="302" spans="1:12">
      <c r="A302" t="s">
        <v>586</v>
      </c>
      <c r="B302" t="s">
        <v>3357</v>
      </c>
      <c r="C302" s="60" t="str">
        <f>C301</f>
        <v>E5393</v>
      </c>
      <c r="D302" t="s">
        <v>587</v>
      </c>
      <c r="E302" t="s">
        <v>588</v>
      </c>
      <c r="F302" t="s">
        <v>506</v>
      </c>
      <c r="G302" t="s">
        <v>507</v>
      </c>
      <c r="H302" t="s">
        <v>508</v>
      </c>
      <c r="I302" t="s">
        <v>509</v>
      </c>
      <c r="J302" t="s">
        <v>589</v>
      </c>
      <c r="K302" s="502">
        <f>K290</f>
        <v>-20.16</v>
      </c>
      <c r="L302" t="s">
        <v>3418</v>
      </c>
    </row>
    <row r="303" spans="1:12">
      <c r="A303" t="s">
        <v>586</v>
      </c>
      <c r="B303" t="s">
        <v>3358</v>
      </c>
      <c r="C303" s="60" t="str">
        <f t="shared" ref="C303:C312" si="27">+C302</f>
        <v>E5393</v>
      </c>
      <c r="D303" t="s">
        <v>587</v>
      </c>
      <c r="E303" t="s">
        <v>588</v>
      </c>
      <c r="F303" t="s">
        <v>506</v>
      </c>
      <c r="G303" t="s">
        <v>507</v>
      </c>
      <c r="H303" t="s">
        <v>508</v>
      </c>
      <c r="I303" t="s">
        <v>509</v>
      </c>
      <c r="J303" t="s">
        <v>589</v>
      </c>
      <c r="K303" s="502">
        <v>-22.32</v>
      </c>
      <c r="L303" t="s">
        <v>3418</v>
      </c>
    </row>
    <row r="304" spans="1:12">
      <c r="A304" t="s">
        <v>586</v>
      </c>
      <c r="B304" t="s">
        <v>3359</v>
      </c>
      <c r="C304" s="60" t="str">
        <f t="shared" si="27"/>
        <v>E5393</v>
      </c>
      <c r="D304" t="s">
        <v>587</v>
      </c>
      <c r="E304" t="s">
        <v>588</v>
      </c>
      <c r="F304" t="s">
        <v>506</v>
      </c>
      <c r="G304" t="s">
        <v>507</v>
      </c>
      <c r="H304" t="s">
        <v>508</v>
      </c>
      <c r="I304" t="s">
        <v>509</v>
      </c>
      <c r="J304" t="s">
        <v>589</v>
      </c>
      <c r="K304" s="502">
        <v>-21.6</v>
      </c>
      <c r="L304" t="s">
        <v>3418</v>
      </c>
    </row>
    <row r="305" spans="1:12">
      <c r="A305" t="s">
        <v>586</v>
      </c>
      <c r="B305" t="s">
        <v>3360</v>
      </c>
      <c r="C305" s="60" t="str">
        <f t="shared" si="27"/>
        <v>E5393</v>
      </c>
      <c r="D305" t="s">
        <v>587</v>
      </c>
      <c r="E305" t="s">
        <v>588</v>
      </c>
      <c r="F305" t="s">
        <v>506</v>
      </c>
      <c r="G305" t="s">
        <v>507</v>
      </c>
      <c r="H305" t="s">
        <v>508</v>
      </c>
      <c r="I305" t="s">
        <v>509</v>
      </c>
      <c r="J305" t="s">
        <v>589</v>
      </c>
      <c r="K305" s="502">
        <v>-22.32</v>
      </c>
      <c r="L305" t="s">
        <v>3418</v>
      </c>
    </row>
    <row r="306" spans="1:12">
      <c r="A306" t="s">
        <v>586</v>
      </c>
      <c r="B306" t="s">
        <v>3361</v>
      </c>
      <c r="C306" s="60" t="str">
        <f t="shared" si="27"/>
        <v>E5393</v>
      </c>
      <c r="D306" t="s">
        <v>587</v>
      </c>
      <c r="E306" t="s">
        <v>588</v>
      </c>
      <c r="F306" t="s">
        <v>506</v>
      </c>
      <c r="G306" t="s">
        <v>507</v>
      </c>
      <c r="H306" t="s">
        <v>508</v>
      </c>
      <c r="I306" t="s">
        <v>509</v>
      </c>
      <c r="J306" t="s">
        <v>589</v>
      </c>
      <c r="K306" s="502">
        <v>-21.6</v>
      </c>
      <c r="L306" t="s">
        <v>3418</v>
      </c>
    </row>
    <row r="307" spans="1:12">
      <c r="A307" t="s">
        <v>586</v>
      </c>
      <c r="B307" t="s">
        <v>3362</v>
      </c>
      <c r="C307" s="60" t="str">
        <f t="shared" si="27"/>
        <v>E5393</v>
      </c>
      <c r="D307" t="s">
        <v>587</v>
      </c>
      <c r="E307" t="s">
        <v>588</v>
      </c>
      <c r="F307" t="s">
        <v>506</v>
      </c>
      <c r="G307" t="s">
        <v>507</v>
      </c>
      <c r="H307" t="s">
        <v>508</v>
      </c>
      <c r="I307" t="s">
        <v>509</v>
      </c>
      <c r="J307" t="s">
        <v>589</v>
      </c>
      <c r="K307" s="502">
        <v>-22.32</v>
      </c>
      <c r="L307" t="s">
        <v>3418</v>
      </c>
    </row>
    <row r="308" spans="1:12">
      <c r="A308" t="s">
        <v>586</v>
      </c>
      <c r="B308" t="s">
        <v>3363</v>
      </c>
      <c r="C308" s="60" t="str">
        <f t="shared" si="27"/>
        <v>E5393</v>
      </c>
      <c r="D308" t="s">
        <v>587</v>
      </c>
      <c r="E308" t="s">
        <v>588</v>
      </c>
      <c r="F308" t="s">
        <v>506</v>
      </c>
      <c r="G308" t="s">
        <v>507</v>
      </c>
      <c r="H308" t="s">
        <v>508</v>
      </c>
      <c r="I308" t="s">
        <v>509</v>
      </c>
      <c r="J308" t="s">
        <v>589</v>
      </c>
      <c r="K308" s="502">
        <v>-22.32</v>
      </c>
      <c r="L308" t="s">
        <v>3418</v>
      </c>
    </row>
    <row r="309" spans="1:12">
      <c r="A309" t="s">
        <v>586</v>
      </c>
      <c r="B309" t="s">
        <v>3364</v>
      </c>
      <c r="C309" s="60" t="str">
        <f t="shared" si="27"/>
        <v>E5393</v>
      </c>
      <c r="D309" t="s">
        <v>587</v>
      </c>
      <c r="E309" t="s">
        <v>588</v>
      </c>
      <c r="F309" t="s">
        <v>506</v>
      </c>
      <c r="G309" t="s">
        <v>507</v>
      </c>
      <c r="H309" t="s">
        <v>508</v>
      </c>
      <c r="I309" t="s">
        <v>509</v>
      </c>
      <c r="J309" t="s">
        <v>589</v>
      </c>
      <c r="K309" s="502">
        <v>-21.6</v>
      </c>
      <c r="L309" t="s">
        <v>3418</v>
      </c>
    </row>
    <row r="310" spans="1:12">
      <c r="A310" t="s">
        <v>586</v>
      </c>
      <c r="B310" t="s">
        <v>3365</v>
      </c>
      <c r="C310" s="60" t="str">
        <f t="shared" si="27"/>
        <v>E5393</v>
      </c>
      <c r="D310" t="s">
        <v>587</v>
      </c>
      <c r="E310" t="s">
        <v>588</v>
      </c>
      <c r="F310" t="s">
        <v>506</v>
      </c>
      <c r="G310" t="s">
        <v>507</v>
      </c>
      <c r="H310" t="s">
        <v>508</v>
      </c>
      <c r="I310" t="s">
        <v>509</v>
      </c>
      <c r="J310" t="s">
        <v>589</v>
      </c>
      <c r="K310" s="502">
        <v>-22.32</v>
      </c>
      <c r="L310" t="s">
        <v>3418</v>
      </c>
    </row>
    <row r="311" spans="1:12">
      <c r="A311" t="s">
        <v>586</v>
      </c>
      <c r="B311" t="s">
        <v>3366</v>
      </c>
      <c r="C311" s="60" t="str">
        <f t="shared" si="27"/>
        <v>E5393</v>
      </c>
      <c r="D311" t="s">
        <v>587</v>
      </c>
      <c r="E311" t="s">
        <v>588</v>
      </c>
      <c r="F311" t="s">
        <v>506</v>
      </c>
      <c r="G311" t="s">
        <v>507</v>
      </c>
      <c r="H311" t="s">
        <v>508</v>
      </c>
      <c r="I311" t="s">
        <v>509</v>
      </c>
      <c r="J311" t="s">
        <v>589</v>
      </c>
      <c r="K311" s="502">
        <v>-21.6</v>
      </c>
      <c r="L311" t="s">
        <v>3418</v>
      </c>
    </row>
    <row r="312" spans="1:12">
      <c r="A312" t="s">
        <v>586</v>
      </c>
      <c r="B312" t="s">
        <v>3367</v>
      </c>
      <c r="C312" s="60" t="str">
        <f t="shared" si="27"/>
        <v>E5393</v>
      </c>
      <c r="D312" t="s">
        <v>587</v>
      </c>
      <c r="E312" t="s">
        <v>588</v>
      </c>
      <c r="F312" t="s">
        <v>506</v>
      </c>
      <c r="G312" t="s">
        <v>507</v>
      </c>
      <c r="H312" t="s">
        <v>508</v>
      </c>
      <c r="I312" t="s">
        <v>509</v>
      </c>
      <c r="J312" t="s">
        <v>589</v>
      </c>
      <c r="K312" s="502">
        <v>-22.32</v>
      </c>
      <c r="L312" t="s">
        <v>3418</v>
      </c>
    </row>
    <row r="313" spans="1:12">
      <c r="A313" t="s">
        <v>586</v>
      </c>
      <c r="B313" t="s">
        <v>3356</v>
      </c>
      <c r="C313" s="3" t="str">
        <f>+'2-Préparation saisie LV PROD'!B31</f>
        <v>E5394</v>
      </c>
      <c r="D313" t="s">
        <v>587</v>
      </c>
      <c r="E313" t="s">
        <v>588</v>
      </c>
      <c r="F313" t="s">
        <v>506</v>
      </c>
      <c r="G313" t="s">
        <v>507</v>
      </c>
      <c r="H313" t="s">
        <v>508</v>
      </c>
      <c r="I313" t="s">
        <v>509</v>
      </c>
      <c r="J313" t="s">
        <v>589</v>
      </c>
      <c r="K313" s="502">
        <v>-22.32</v>
      </c>
      <c r="L313" t="s">
        <v>304</v>
      </c>
    </row>
    <row r="314" spans="1:12">
      <c r="A314" t="s">
        <v>586</v>
      </c>
      <c r="B314" t="s">
        <v>3357</v>
      </c>
      <c r="C314" s="60" t="str">
        <f>C313</f>
        <v>E5394</v>
      </c>
      <c r="D314" t="s">
        <v>587</v>
      </c>
      <c r="E314" t="s">
        <v>588</v>
      </c>
      <c r="F314" t="s">
        <v>506</v>
      </c>
      <c r="G314" t="s">
        <v>507</v>
      </c>
      <c r="H314" t="s">
        <v>508</v>
      </c>
      <c r="I314" t="s">
        <v>509</v>
      </c>
      <c r="J314" t="s">
        <v>589</v>
      </c>
      <c r="K314" s="502">
        <f>K302</f>
        <v>-20.16</v>
      </c>
      <c r="L314" t="s">
        <v>304</v>
      </c>
    </row>
    <row r="315" spans="1:12">
      <c r="A315" t="s">
        <v>586</v>
      </c>
      <c r="B315" t="s">
        <v>3358</v>
      </c>
      <c r="C315" s="60" t="str">
        <f t="shared" ref="C315:C324" si="28">+C314</f>
        <v>E5394</v>
      </c>
      <c r="D315" t="s">
        <v>587</v>
      </c>
      <c r="E315" t="s">
        <v>588</v>
      </c>
      <c r="F315" t="s">
        <v>506</v>
      </c>
      <c r="G315" t="s">
        <v>507</v>
      </c>
      <c r="H315" t="s">
        <v>508</v>
      </c>
      <c r="I315" t="s">
        <v>509</v>
      </c>
      <c r="J315" t="s">
        <v>589</v>
      </c>
      <c r="K315" s="502">
        <v>-22.32</v>
      </c>
      <c r="L315" t="s">
        <v>304</v>
      </c>
    </row>
    <row r="316" spans="1:12">
      <c r="A316" t="s">
        <v>586</v>
      </c>
      <c r="B316" t="s">
        <v>3359</v>
      </c>
      <c r="C316" s="60" t="str">
        <f t="shared" si="28"/>
        <v>E5394</v>
      </c>
      <c r="D316" t="s">
        <v>587</v>
      </c>
      <c r="E316" t="s">
        <v>588</v>
      </c>
      <c r="F316" t="s">
        <v>506</v>
      </c>
      <c r="G316" t="s">
        <v>507</v>
      </c>
      <c r="H316" t="s">
        <v>508</v>
      </c>
      <c r="I316" t="s">
        <v>509</v>
      </c>
      <c r="J316" t="s">
        <v>589</v>
      </c>
      <c r="K316" s="502">
        <v>-21.6</v>
      </c>
      <c r="L316" t="s">
        <v>304</v>
      </c>
    </row>
    <row r="317" spans="1:12">
      <c r="A317" t="s">
        <v>586</v>
      </c>
      <c r="B317" t="s">
        <v>3360</v>
      </c>
      <c r="C317" s="60" t="str">
        <f t="shared" si="28"/>
        <v>E5394</v>
      </c>
      <c r="D317" t="s">
        <v>587</v>
      </c>
      <c r="E317" t="s">
        <v>588</v>
      </c>
      <c r="F317" t="s">
        <v>506</v>
      </c>
      <c r="G317" t="s">
        <v>507</v>
      </c>
      <c r="H317" t="s">
        <v>508</v>
      </c>
      <c r="I317" t="s">
        <v>509</v>
      </c>
      <c r="J317" t="s">
        <v>589</v>
      </c>
      <c r="K317" s="502">
        <v>-22.32</v>
      </c>
      <c r="L317" t="s">
        <v>304</v>
      </c>
    </row>
    <row r="318" spans="1:12">
      <c r="A318" t="s">
        <v>586</v>
      </c>
      <c r="B318" t="s">
        <v>3361</v>
      </c>
      <c r="C318" s="60" t="str">
        <f t="shared" si="28"/>
        <v>E5394</v>
      </c>
      <c r="D318" t="s">
        <v>587</v>
      </c>
      <c r="E318" t="s">
        <v>588</v>
      </c>
      <c r="F318" t="s">
        <v>506</v>
      </c>
      <c r="G318" t="s">
        <v>507</v>
      </c>
      <c r="H318" t="s">
        <v>508</v>
      </c>
      <c r="I318" t="s">
        <v>509</v>
      </c>
      <c r="J318" t="s">
        <v>589</v>
      </c>
      <c r="K318" s="502">
        <v>-21.6</v>
      </c>
      <c r="L318" t="s">
        <v>304</v>
      </c>
    </row>
    <row r="319" spans="1:12">
      <c r="A319" t="s">
        <v>586</v>
      </c>
      <c r="B319" t="s">
        <v>3362</v>
      </c>
      <c r="C319" s="60" t="str">
        <f t="shared" si="28"/>
        <v>E5394</v>
      </c>
      <c r="D319" t="s">
        <v>587</v>
      </c>
      <c r="E319" t="s">
        <v>588</v>
      </c>
      <c r="F319" t="s">
        <v>506</v>
      </c>
      <c r="G319" t="s">
        <v>507</v>
      </c>
      <c r="H319" t="s">
        <v>508</v>
      </c>
      <c r="I319" t="s">
        <v>509</v>
      </c>
      <c r="J319" t="s">
        <v>589</v>
      </c>
      <c r="K319" s="502">
        <v>-22.32</v>
      </c>
      <c r="L319" t="s">
        <v>304</v>
      </c>
    </row>
    <row r="320" spans="1:12">
      <c r="A320" t="s">
        <v>586</v>
      </c>
      <c r="B320" t="s">
        <v>3363</v>
      </c>
      <c r="C320" s="60" t="str">
        <f t="shared" si="28"/>
        <v>E5394</v>
      </c>
      <c r="D320" t="s">
        <v>587</v>
      </c>
      <c r="E320" t="s">
        <v>588</v>
      </c>
      <c r="F320" t="s">
        <v>506</v>
      </c>
      <c r="G320" t="s">
        <v>507</v>
      </c>
      <c r="H320" t="s">
        <v>508</v>
      </c>
      <c r="I320" t="s">
        <v>509</v>
      </c>
      <c r="J320" t="s">
        <v>589</v>
      </c>
      <c r="K320" s="502">
        <v>-22.32</v>
      </c>
      <c r="L320" t="s">
        <v>304</v>
      </c>
    </row>
    <row r="321" spans="1:12">
      <c r="A321" t="s">
        <v>586</v>
      </c>
      <c r="B321" t="s">
        <v>3364</v>
      </c>
      <c r="C321" s="60" t="str">
        <f t="shared" si="28"/>
        <v>E5394</v>
      </c>
      <c r="D321" t="s">
        <v>587</v>
      </c>
      <c r="E321" t="s">
        <v>588</v>
      </c>
      <c r="F321" t="s">
        <v>506</v>
      </c>
      <c r="G321" t="s">
        <v>507</v>
      </c>
      <c r="H321" t="s">
        <v>508</v>
      </c>
      <c r="I321" t="s">
        <v>509</v>
      </c>
      <c r="J321" t="s">
        <v>589</v>
      </c>
      <c r="K321" s="502">
        <v>-21.6</v>
      </c>
      <c r="L321" t="s">
        <v>304</v>
      </c>
    </row>
    <row r="322" spans="1:12">
      <c r="A322" t="s">
        <v>586</v>
      </c>
      <c r="B322" t="s">
        <v>3365</v>
      </c>
      <c r="C322" s="60" t="str">
        <f t="shared" si="28"/>
        <v>E5394</v>
      </c>
      <c r="D322" t="s">
        <v>587</v>
      </c>
      <c r="E322" t="s">
        <v>588</v>
      </c>
      <c r="F322" t="s">
        <v>506</v>
      </c>
      <c r="G322" t="s">
        <v>507</v>
      </c>
      <c r="H322" t="s">
        <v>508</v>
      </c>
      <c r="I322" t="s">
        <v>509</v>
      </c>
      <c r="J322" t="s">
        <v>589</v>
      </c>
      <c r="K322" s="502">
        <v>-22.32</v>
      </c>
      <c r="L322" t="s">
        <v>304</v>
      </c>
    </row>
    <row r="323" spans="1:12">
      <c r="A323" t="s">
        <v>586</v>
      </c>
      <c r="B323" t="s">
        <v>3366</v>
      </c>
      <c r="C323" s="60" t="str">
        <f t="shared" si="28"/>
        <v>E5394</v>
      </c>
      <c r="D323" t="s">
        <v>587</v>
      </c>
      <c r="E323" t="s">
        <v>588</v>
      </c>
      <c r="F323" t="s">
        <v>506</v>
      </c>
      <c r="G323" t="s">
        <v>507</v>
      </c>
      <c r="H323" t="s">
        <v>508</v>
      </c>
      <c r="I323" t="s">
        <v>509</v>
      </c>
      <c r="J323" t="s">
        <v>589</v>
      </c>
      <c r="K323" s="502">
        <v>-21.6</v>
      </c>
      <c r="L323" t="s">
        <v>304</v>
      </c>
    </row>
    <row r="324" spans="1:12">
      <c r="A324" t="s">
        <v>586</v>
      </c>
      <c r="B324" t="s">
        <v>3367</v>
      </c>
      <c r="C324" s="60" t="str">
        <f t="shared" si="28"/>
        <v>E5394</v>
      </c>
      <c r="D324" t="s">
        <v>587</v>
      </c>
      <c r="E324" t="s">
        <v>588</v>
      </c>
      <c r="F324" t="s">
        <v>506</v>
      </c>
      <c r="G324" t="s">
        <v>507</v>
      </c>
      <c r="H324" t="s">
        <v>508</v>
      </c>
      <c r="I324" t="s">
        <v>509</v>
      </c>
      <c r="J324" t="s">
        <v>589</v>
      </c>
      <c r="K324" s="502">
        <v>-22.32</v>
      </c>
      <c r="L324" t="s">
        <v>304</v>
      </c>
    </row>
    <row r="325" spans="1:12">
      <c r="A325" t="s">
        <v>586</v>
      </c>
      <c r="B325" t="s">
        <v>3356</v>
      </c>
      <c r="C325" s="3" t="str">
        <f>+'2-Préparation saisie LV PROD'!B32</f>
        <v>E5395</v>
      </c>
      <c r="D325" t="s">
        <v>587</v>
      </c>
      <c r="E325" t="s">
        <v>588</v>
      </c>
      <c r="F325" t="s">
        <v>506</v>
      </c>
      <c r="G325" t="s">
        <v>507</v>
      </c>
      <c r="H325" t="s">
        <v>508</v>
      </c>
      <c r="I325" t="s">
        <v>509</v>
      </c>
      <c r="J325" t="s">
        <v>589</v>
      </c>
      <c r="K325" s="502">
        <v>-22.32</v>
      </c>
      <c r="L325" t="s">
        <v>3419</v>
      </c>
    </row>
    <row r="326" spans="1:12">
      <c r="A326" t="s">
        <v>586</v>
      </c>
      <c r="B326" t="s">
        <v>3357</v>
      </c>
      <c r="C326" s="60" t="str">
        <f>C325</f>
        <v>E5395</v>
      </c>
      <c r="D326" t="s">
        <v>587</v>
      </c>
      <c r="E326" t="s">
        <v>588</v>
      </c>
      <c r="F326" t="s">
        <v>506</v>
      </c>
      <c r="G326" t="s">
        <v>507</v>
      </c>
      <c r="H326" t="s">
        <v>508</v>
      </c>
      <c r="I326" t="s">
        <v>509</v>
      </c>
      <c r="J326" t="s">
        <v>589</v>
      </c>
      <c r="K326" s="502">
        <f>K314</f>
        <v>-20.16</v>
      </c>
      <c r="L326" t="s">
        <v>3419</v>
      </c>
    </row>
    <row r="327" spans="1:12">
      <c r="A327" t="s">
        <v>586</v>
      </c>
      <c r="B327" t="s">
        <v>3358</v>
      </c>
      <c r="C327" s="60" t="str">
        <f t="shared" ref="C327:C336" si="29">+C326</f>
        <v>E5395</v>
      </c>
      <c r="D327" t="s">
        <v>587</v>
      </c>
      <c r="E327" t="s">
        <v>588</v>
      </c>
      <c r="F327" t="s">
        <v>506</v>
      </c>
      <c r="G327" t="s">
        <v>507</v>
      </c>
      <c r="H327" t="s">
        <v>508</v>
      </c>
      <c r="I327" t="s">
        <v>509</v>
      </c>
      <c r="J327" t="s">
        <v>589</v>
      </c>
      <c r="K327" s="502">
        <v>-22.32</v>
      </c>
      <c r="L327" t="s">
        <v>3419</v>
      </c>
    </row>
    <row r="328" spans="1:12">
      <c r="A328" t="s">
        <v>586</v>
      </c>
      <c r="B328" t="s">
        <v>3359</v>
      </c>
      <c r="C328" s="60" t="str">
        <f t="shared" si="29"/>
        <v>E5395</v>
      </c>
      <c r="D328" t="s">
        <v>587</v>
      </c>
      <c r="E328" t="s">
        <v>588</v>
      </c>
      <c r="F328" t="s">
        <v>506</v>
      </c>
      <c r="G328" t="s">
        <v>507</v>
      </c>
      <c r="H328" t="s">
        <v>508</v>
      </c>
      <c r="I328" t="s">
        <v>509</v>
      </c>
      <c r="J328" t="s">
        <v>589</v>
      </c>
      <c r="K328" s="502">
        <v>-21.6</v>
      </c>
      <c r="L328" t="s">
        <v>3419</v>
      </c>
    </row>
    <row r="329" spans="1:12">
      <c r="A329" t="s">
        <v>586</v>
      </c>
      <c r="B329" t="s">
        <v>3360</v>
      </c>
      <c r="C329" s="60" t="str">
        <f t="shared" si="29"/>
        <v>E5395</v>
      </c>
      <c r="D329" t="s">
        <v>587</v>
      </c>
      <c r="E329" t="s">
        <v>588</v>
      </c>
      <c r="F329" t="s">
        <v>506</v>
      </c>
      <c r="G329" t="s">
        <v>507</v>
      </c>
      <c r="H329" t="s">
        <v>508</v>
      </c>
      <c r="I329" t="s">
        <v>509</v>
      </c>
      <c r="J329" t="s">
        <v>589</v>
      </c>
      <c r="K329" s="502">
        <v>-22.32</v>
      </c>
      <c r="L329" t="s">
        <v>3419</v>
      </c>
    </row>
    <row r="330" spans="1:12">
      <c r="A330" t="s">
        <v>586</v>
      </c>
      <c r="B330" t="s">
        <v>3361</v>
      </c>
      <c r="C330" s="60" t="str">
        <f t="shared" si="29"/>
        <v>E5395</v>
      </c>
      <c r="D330" t="s">
        <v>587</v>
      </c>
      <c r="E330" t="s">
        <v>588</v>
      </c>
      <c r="F330" t="s">
        <v>506</v>
      </c>
      <c r="G330" t="s">
        <v>507</v>
      </c>
      <c r="H330" t="s">
        <v>508</v>
      </c>
      <c r="I330" t="s">
        <v>509</v>
      </c>
      <c r="J330" t="s">
        <v>589</v>
      </c>
      <c r="K330" s="502">
        <v>-21.6</v>
      </c>
      <c r="L330" t="s">
        <v>3419</v>
      </c>
    </row>
    <row r="331" spans="1:12">
      <c r="A331" t="s">
        <v>586</v>
      </c>
      <c r="B331" t="s">
        <v>3362</v>
      </c>
      <c r="C331" s="60" t="str">
        <f t="shared" si="29"/>
        <v>E5395</v>
      </c>
      <c r="D331" t="s">
        <v>587</v>
      </c>
      <c r="E331" t="s">
        <v>588</v>
      </c>
      <c r="F331" t="s">
        <v>506</v>
      </c>
      <c r="G331" t="s">
        <v>507</v>
      </c>
      <c r="H331" t="s">
        <v>508</v>
      </c>
      <c r="I331" t="s">
        <v>509</v>
      </c>
      <c r="J331" t="s">
        <v>589</v>
      </c>
      <c r="K331" s="502">
        <v>-22.32</v>
      </c>
      <c r="L331" t="s">
        <v>3419</v>
      </c>
    </row>
    <row r="332" spans="1:12">
      <c r="A332" t="s">
        <v>586</v>
      </c>
      <c r="B332" t="s">
        <v>3363</v>
      </c>
      <c r="C332" s="60" t="str">
        <f t="shared" si="29"/>
        <v>E5395</v>
      </c>
      <c r="D332" t="s">
        <v>587</v>
      </c>
      <c r="E332" t="s">
        <v>588</v>
      </c>
      <c r="F332" t="s">
        <v>506</v>
      </c>
      <c r="G332" t="s">
        <v>507</v>
      </c>
      <c r="H332" t="s">
        <v>508</v>
      </c>
      <c r="I332" t="s">
        <v>509</v>
      </c>
      <c r="J332" t="s">
        <v>589</v>
      </c>
      <c r="K332" s="502">
        <v>-22.32</v>
      </c>
      <c r="L332" t="s">
        <v>3419</v>
      </c>
    </row>
    <row r="333" spans="1:12">
      <c r="A333" t="s">
        <v>586</v>
      </c>
      <c r="B333" t="s">
        <v>3364</v>
      </c>
      <c r="C333" s="60" t="str">
        <f t="shared" si="29"/>
        <v>E5395</v>
      </c>
      <c r="D333" t="s">
        <v>587</v>
      </c>
      <c r="E333" t="s">
        <v>588</v>
      </c>
      <c r="F333" t="s">
        <v>506</v>
      </c>
      <c r="G333" t="s">
        <v>507</v>
      </c>
      <c r="H333" t="s">
        <v>508</v>
      </c>
      <c r="I333" t="s">
        <v>509</v>
      </c>
      <c r="J333" t="s">
        <v>589</v>
      </c>
      <c r="K333" s="502">
        <v>-21.6</v>
      </c>
      <c r="L333" t="s">
        <v>3419</v>
      </c>
    </row>
    <row r="334" spans="1:12">
      <c r="A334" t="s">
        <v>586</v>
      </c>
      <c r="B334" t="s">
        <v>3365</v>
      </c>
      <c r="C334" s="60" t="str">
        <f t="shared" si="29"/>
        <v>E5395</v>
      </c>
      <c r="D334" t="s">
        <v>587</v>
      </c>
      <c r="E334" t="s">
        <v>588</v>
      </c>
      <c r="F334" t="s">
        <v>506</v>
      </c>
      <c r="G334" t="s">
        <v>507</v>
      </c>
      <c r="H334" t="s">
        <v>508</v>
      </c>
      <c r="I334" t="s">
        <v>509</v>
      </c>
      <c r="J334" t="s">
        <v>589</v>
      </c>
      <c r="K334" s="502">
        <v>-22.32</v>
      </c>
      <c r="L334" t="s">
        <v>3419</v>
      </c>
    </row>
    <row r="335" spans="1:12">
      <c r="A335" t="s">
        <v>586</v>
      </c>
      <c r="B335" t="s">
        <v>3366</v>
      </c>
      <c r="C335" s="60" t="str">
        <f t="shared" si="29"/>
        <v>E5395</v>
      </c>
      <c r="D335" t="s">
        <v>587</v>
      </c>
      <c r="E335" t="s">
        <v>588</v>
      </c>
      <c r="F335" t="s">
        <v>506</v>
      </c>
      <c r="G335" t="s">
        <v>507</v>
      </c>
      <c r="H335" t="s">
        <v>508</v>
      </c>
      <c r="I335" t="s">
        <v>509</v>
      </c>
      <c r="J335" t="s">
        <v>589</v>
      </c>
      <c r="K335" s="502">
        <v>-21.6</v>
      </c>
      <c r="L335" t="s">
        <v>3419</v>
      </c>
    </row>
    <row r="336" spans="1:12">
      <c r="A336" t="s">
        <v>586</v>
      </c>
      <c r="B336" t="s">
        <v>3367</v>
      </c>
      <c r="C336" s="60" t="str">
        <f t="shared" si="29"/>
        <v>E5395</v>
      </c>
      <c r="D336" t="s">
        <v>587</v>
      </c>
      <c r="E336" t="s">
        <v>588</v>
      </c>
      <c r="F336" t="s">
        <v>506</v>
      </c>
      <c r="G336" t="s">
        <v>507</v>
      </c>
      <c r="H336" t="s">
        <v>508</v>
      </c>
      <c r="I336" t="s">
        <v>509</v>
      </c>
      <c r="J336" t="s">
        <v>589</v>
      </c>
      <c r="K336" s="502">
        <v>-22.32</v>
      </c>
      <c r="L336" t="s">
        <v>3419</v>
      </c>
    </row>
    <row r="337" spans="1:12">
      <c r="A337" t="s">
        <v>586</v>
      </c>
      <c r="B337" t="s">
        <v>3356</v>
      </c>
      <c r="C337" s="3" t="str">
        <f>+'2-Préparation saisie LV PROD'!B33</f>
        <v>E5396</v>
      </c>
      <c r="D337" t="s">
        <v>587</v>
      </c>
      <c r="E337" t="s">
        <v>588</v>
      </c>
      <c r="F337" t="s">
        <v>506</v>
      </c>
      <c r="G337" t="s">
        <v>507</v>
      </c>
      <c r="H337" t="s">
        <v>508</v>
      </c>
      <c r="I337" t="s">
        <v>509</v>
      </c>
      <c r="J337" t="s">
        <v>589</v>
      </c>
      <c r="K337" s="502">
        <v>-22.32</v>
      </c>
      <c r="L337" t="s">
        <v>280</v>
      </c>
    </row>
    <row r="338" spans="1:12">
      <c r="A338" t="s">
        <v>586</v>
      </c>
      <c r="B338" t="s">
        <v>3357</v>
      </c>
      <c r="C338" s="60" t="str">
        <f>C337</f>
        <v>E5396</v>
      </c>
      <c r="D338" t="s">
        <v>587</v>
      </c>
      <c r="E338" t="s">
        <v>588</v>
      </c>
      <c r="F338" t="s">
        <v>506</v>
      </c>
      <c r="G338" t="s">
        <v>507</v>
      </c>
      <c r="H338" t="s">
        <v>508</v>
      </c>
      <c r="I338" t="s">
        <v>509</v>
      </c>
      <c r="J338" t="s">
        <v>589</v>
      </c>
      <c r="K338" s="502">
        <f>K326</f>
        <v>-20.16</v>
      </c>
      <c r="L338" t="s">
        <v>280</v>
      </c>
    </row>
    <row r="339" spans="1:12">
      <c r="A339" t="s">
        <v>586</v>
      </c>
      <c r="B339" t="s">
        <v>3358</v>
      </c>
      <c r="C339" s="60" t="str">
        <f t="shared" ref="C339:C348" si="30">+C338</f>
        <v>E5396</v>
      </c>
      <c r="D339" t="s">
        <v>587</v>
      </c>
      <c r="E339" t="s">
        <v>588</v>
      </c>
      <c r="F339" t="s">
        <v>506</v>
      </c>
      <c r="G339" t="s">
        <v>507</v>
      </c>
      <c r="H339" t="s">
        <v>508</v>
      </c>
      <c r="I339" t="s">
        <v>509</v>
      </c>
      <c r="J339" t="s">
        <v>589</v>
      </c>
      <c r="K339" s="502">
        <v>-22.32</v>
      </c>
      <c r="L339" t="s">
        <v>280</v>
      </c>
    </row>
    <row r="340" spans="1:12">
      <c r="A340" t="s">
        <v>586</v>
      </c>
      <c r="B340" t="s">
        <v>3359</v>
      </c>
      <c r="C340" s="60" t="str">
        <f t="shared" si="30"/>
        <v>E5396</v>
      </c>
      <c r="D340" t="s">
        <v>587</v>
      </c>
      <c r="E340" t="s">
        <v>588</v>
      </c>
      <c r="F340" t="s">
        <v>506</v>
      </c>
      <c r="G340" t="s">
        <v>507</v>
      </c>
      <c r="H340" t="s">
        <v>508</v>
      </c>
      <c r="I340" t="s">
        <v>509</v>
      </c>
      <c r="J340" t="s">
        <v>589</v>
      </c>
      <c r="K340" s="502">
        <v>-21.6</v>
      </c>
      <c r="L340" t="s">
        <v>280</v>
      </c>
    </row>
    <row r="341" spans="1:12">
      <c r="A341" t="s">
        <v>586</v>
      </c>
      <c r="B341" t="s">
        <v>3360</v>
      </c>
      <c r="C341" s="60" t="str">
        <f t="shared" si="30"/>
        <v>E5396</v>
      </c>
      <c r="D341" t="s">
        <v>587</v>
      </c>
      <c r="E341" t="s">
        <v>588</v>
      </c>
      <c r="F341" t="s">
        <v>506</v>
      </c>
      <c r="G341" t="s">
        <v>507</v>
      </c>
      <c r="H341" t="s">
        <v>508</v>
      </c>
      <c r="I341" t="s">
        <v>509</v>
      </c>
      <c r="J341" t="s">
        <v>589</v>
      </c>
      <c r="K341" s="502">
        <v>-22.32</v>
      </c>
      <c r="L341" t="s">
        <v>280</v>
      </c>
    </row>
    <row r="342" spans="1:12">
      <c r="A342" t="s">
        <v>586</v>
      </c>
      <c r="B342" t="s">
        <v>3361</v>
      </c>
      <c r="C342" s="60" t="str">
        <f t="shared" si="30"/>
        <v>E5396</v>
      </c>
      <c r="D342" t="s">
        <v>587</v>
      </c>
      <c r="E342" t="s">
        <v>588</v>
      </c>
      <c r="F342" t="s">
        <v>506</v>
      </c>
      <c r="G342" t="s">
        <v>507</v>
      </c>
      <c r="H342" t="s">
        <v>508</v>
      </c>
      <c r="I342" t="s">
        <v>509</v>
      </c>
      <c r="J342" t="s">
        <v>589</v>
      </c>
      <c r="K342" s="502">
        <v>-21.6</v>
      </c>
      <c r="L342" t="s">
        <v>280</v>
      </c>
    </row>
    <row r="343" spans="1:12">
      <c r="A343" t="s">
        <v>586</v>
      </c>
      <c r="B343" t="s">
        <v>3362</v>
      </c>
      <c r="C343" s="60" t="str">
        <f t="shared" si="30"/>
        <v>E5396</v>
      </c>
      <c r="D343" t="s">
        <v>587</v>
      </c>
      <c r="E343" t="s">
        <v>588</v>
      </c>
      <c r="F343" t="s">
        <v>506</v>
      </c>
      <c r="G343" t="s">
        <v>507</v>
      </c>
      <c r="H343" t="s">
        <v>508</v>
      </c>
      <c r="I343" t="s">
        <v>509</v>
      </c>
      <c r="J343" t="s">
        <v>589</v>
      </c>
      <c r="K343" s="502">
        <v>-22.32</v>
      </c>
      <c r="L343" t="s">
        <v>280</v>
      </c>
    </row>
    <row r="344" spans="1:12">
      <c r="A344" t="s">
        <v>586</v>
      </c>
      <c r="B344" t="s">
        <v>3363</v>
      </c>
      <c r="C344" s="60" t="str">
        <f t="shared" si="30"/>
        <v>E5396</v>
      </c>
      <c r="D344" t="s">
        <v>587</v>
      </c>
      <c r="E344" t="s">
        <v>588</v>
      </c>
      <c r="F344" t="s">
        <v>506</v>
      </c>
      <c r="G344" t="s">
        <v>507</v>
      </c>
      <c r="H344" t="s">
        <v>508</v>
      </c>
      <c r="I344" t="s">
        <v>509</v>
      </c>
      <c r="J344" t="s">
        <v>589</v>
      </c>
      <c r="K344" s="502">
        <v>-22.32</v>
      </c>
      <c r="L344" t="s">
        <v>280</v>
      </c>
    </row>
    <row r="345" spans="1:12">
      <c r="A345" t="s">
        <v>586</v>
      </c>
      <c r="B345" t="s">
        <v>3364</v>
      </c>
      <c r="C345" s="60" t="str">
        <f t="shared" si="30"/>
        <v>E5396</v>
      </c>
      <c r="D345" t="s">
        <v>587</v>
      </c>
      <c r="E345" t="s">
        <v>588</v>
      </c>
      <c r="F345" t="s">
        <v>506</v>
      </c>
      <c r="G345" t="s">
        <v>507</v>
      </c>
      <c r="H345" t="s">
        <v>508</v>
      </c>
      <c r="I345" t="s">
        <v>509</v>
      </c>
      <c r="J345" t="s">
        <v>589</v>
      </c>
      <c r="K345" s="502">
        <v>-21.6</v>
      </c>
      <c r="L345" t="s">
        <v>280</v>
      </c>
    </row>
    <row r="346" spans="1:12">
      <c r="A346" t="s">
        <v>586</v>
      </c>
      <c r="B346" t="s">
        <v>3365</v>
      </c>
      <c r="C346" s="60" t="str">
        <f t="shared" si="30"/>
        <v>E5396</v>
      </c>
      <c r="D346" t="s">
        <v>587</v>
      </c>
      <c r="E346" t="s">
        <v>588</v>
      </c>
      <c r="F346" t="s">
        <v>506</v>
      </c>
      <c r="G346" t="s">
        <v>507</v>
      </c>
      <c r="H346" t="s">
        <v>508</v>
      </c>
      <c r="I346" t="s">
        <v>509</v>
      </c>
      <c r="J346" t="s">
        <v>589</v>
      </c>
      <c r="K346" s="502">
        <v>-22.32</v>
      </c>
      <c r="L346" t="s">
        <v>280</v>
      </c>
    </row>
    <row r="347" spans="1:12">
      <c r="A347" t="s">
        <v>586</v>
      </c>
      <c r="B347" t="s">
        <v>3366</v>
      </c>
      <c r="C347" s="60" t="str">
        <f t="shared" si="30"/>
        <v>E5396</v>
      </c>
      <c r="D347" t="s">
        <v>587</v>
      </c>
      <c r="E347" t="s">
        <v>588</v>
      </c>
      <c r="F347" t="s">
        <v>506</v>
      </c>
      <c r="G347" t="s">
        <v>507</v>
      </c>
      <c r="H347" t="s">
        <v>508</v>
      </c>
      <c r="I347" t="s">
        <v>509</v>
      </c>
      <c r="J347" t="s">
        <v>589</v>
      </c>
      <c r="K347" s="502">
        <v>-21.6</v>
      </c>
      <c r="L347" t="s">
        <v>280</v>
      </c>
    </row>
    <row r="348" spans="1:12">
      <c r="A348" t="s">
        <v>586</v>
      </c>
      <c r="B348" t="s">
        <v>3367</v>
      </c>
      <c r="C348" s="60" t="str">
        <f t="shared" si="30"/>
        <v>E5396</v>
      </c>
      <c r="D348" t="s">
        <v>587</v>
      </c>
      <c r="E348" t="s">
        <v>588</v>
      </c>
      <c r="F348" t="s">
        <v>506</v>
      </c>
      <c r="G348" t="s">
        <v>507</v>
      </c>
      <c r="H348" t="s">
        <v>508</v>
      </c>
      <c r="I348" t="s">
        <v>509</v>
      </c>
      <c r="J348" t="s">
        <v>589</v>
      </c>
      <c r="K348" s="502">
        <v>-22.32</v>
      </c>
      <c r="L348" t="s">
        <v>280</v>
      </c>
    </row>
    <row r="349" spans="1:12">
      <c r="A349" t="s">
        <v>586</v>
      </c>
      <c r="B349" t="s">
        <v>3356</v>
      </c>
      <c r="C349" s="3" t="str">
        <f>+'2-Préparation saisie LV PROD'!B34</f>
        <v>E5397</v>
      </c>
      <c r="D349" t="s">
        <v>587</v>
      </c>
      <c r="E349" t="s">
        <v>588</v>
      </c>
      <c r="F349" t="s">
        <v>506</v>
      </c>
      <c r="G349" t="s">
        <v>507</v>
      </c>
      <c r="H349" t="s">
        <v>508</v>
      </c>
      <c r="I349" t="s">
        <v>509</v>
      </c>
      <c r="J349" t="s">
        <v>589</v>
      </c>
      <c r="K349" s="502">
        <v>-22.32</v>
      </c>
      <c r="L349" t="s">
        <v>305</v>
      </c>
    </row>
    <row r="350" spans="1:12">
      <c r="A350" t="s">
        <v>586</v>
      </c>
      <c r="B350" t="s">
        <v>3357</v>
      </c>
      <c r="C350" s="60" t="str">
        <f>C349</f>
        <v>E5397</v>
      </c>
      <c r="D350" t="s">
        <v>587</v>
      </c>
      <c r="E350" t="s">
        <v>588</v>
      </c>
      <c r="F350" t="s">
        <v>506</v>
      </c>
      <c r="G350" t="s">
        <v>507</v>
      </c>
      <c r="H350" t="s">
        <v>508</v>
      </c>
      <c r="I350" t="s">
        <v>509</v>
      </c>
      <c r="J350" t="s">
        <v>589</v>
      </c>
      <c r="K350" s="502">
        <f>K338</f>
        <v>-20.16</v>
      </c>
      <c r="L350" t="s">
        <v>305</v>
      </c>
    </row>
    <row r="351" spans="1:12">
      <c r="A351" t="s">
        <v>586</v>
      </c>
      <c r="B351" t="s">
        <v>3358</v>
      </c>
      <c r="C351" s="60" t="str">
        <f t="shared" ref="C351:C360" si="31">+C350</f>
        <v>E5397</v>
      </c>
      <c r="D351" t="s">
        <v>587</v>
      </c>
      <c r="E351" t="s">
        <v>588</v>
      </c>
      <c r="F351" t="s">
        <v>506</v>
      </c>
      <c r="G351" t="s">
        <v>507</v>
      </c>
      <c r="H351" t="s">
        <v>508</v>
      </c>
      <c r="I351" t="s">
        <v>509</v>
      </c>
      <c r="J351" t="s">
        <v>589</v>
      </c>
      <c r="K351" s="502">
        <v>-22.32</v>
      </c>
      <c r="L351" t="s">
        <v>305</v>
      </c>
    </row>
    <row r="352" spans="1:12">
      <c r="A352" t="s">
        <v>586</v>
      </c>
      <c r="B352" t="s">
        <v>3359</v>
      </c>
      <c r="C352" s="60" t="str">
        <f t="shared" si="31"/>
        <v>E5397</v>
      </c>
      <c r="D352" t="s">
        <v>587</v>
      </c>
      <c r="E352" t="s">
        <v>588</v>
      </c>
      <c r="F352" t="s">
        <v>506</v>
      </c>
      <c r="G352" t="s">
        <v>507</v>
      </c>
      <c r="H352" t="s">
        <v>508</v>
      </c>
      <c r="I352" t="s">
        <v>509</v>
      </c>
      <c r="J352" t="s">
        <v>589</v>
      </c>
      <c r="K352" s="502">
        <v>-21.6</v>
      </c>
      <c r="L352" t="s">
        <v>305</v>
      </c>
    </row>
    <row r="353" spans="1:12">
      <c r="A353" t="s">
        <v>586</v>
      </c>
      <c r="B353" t="s">
        <v>3360</v>
      </c>
      <c r="C353" s="60" t="str">
        <f t="shared" si="31"/>
        <v>E5397</v>
      </c>
      <c r="D353" t="s">
        <v>587</v>
      </c>
      <c r="E353" t="s">
        <v>588</v>
      </c>
      <c r="F353" t="s">
        <v>506</v>
      </c>
      <c r="G353" t="s">
        <v>507</v>
      </c>
      <c r="H353" t="s">
        <v>508</v>
      </c>
      <c r="I353" t="s">
        <v>509</v>
      </c>
      <c r="J353" t="s">
        <v>589</v>
      </c>
      <c r="K353" s="502">
        <v>-22.32</v>
      </c>
      <c r="L353" t="s">
        <v>305</v>
      </c>
    </row>
    <row r="354" spans="1:12">
      <c r="A354" t="s">
        <v>586</v>
      </c>
      <c r="B354" t="s">
        <v>3361</v>
      </c>
      <c r="C354" s="60" t="str">
        <f t="shared" si="31"/>
        <v>E5397</v>
      </c>
      <c r="D354" t="s">
        <v>587</v>
      </c>
      <c r="E354" t="s">
        <v>588</v>
      </c>
      <c r="F354" t="s">
        <v>506</v>
      </c>
      <c r="G354" t="s">
        <v>507</v>
      </c>
      <c r="H354" t="s">
        <v>508</v>
      </c>
      <c r="I354" t="s">
        <v>509</v>
      </c>
      <c r="J354" t="s">
        <v>589</v>
      </c>
      <c r="K354" s="502">
        <v>-21.6</v>
      </c>
      <c r="L354" t="s">
        <v>305</v>
      </c>
    </row>
    <row r="355" spans="1:12">
      <c r="A355" t="s">
        <v>586</v>
      </c>
      <c r="B355" t="s">
        <v>3362</v>
      </c>
      <c r="C355" s="60" t="str">
        <f t="shared" si="31"/>
        <v>E5397</v>
      </c>
      <c r="D355" t="s">
        <v>587</v>
      </c>
      <c r="E355" t="s">
        <v>588</v>
      </c>
      <c r="F355" t="s">
        <v>506</v>
      </c>
      <c r="G355" t="s">
        <v>507</v>
      </c>
      <c r="H355" t="s">
        <v>508</v>
      </c>
      <c r="I355" t="s">
        <v>509</v>
      </c>
      <c r="J355" t="s">
        <v>589</v>
      </c>
      <c r="K355" s="502">
        <v>-22.32</v>
      </c>
      <c r="L355" t="s">
        <v>305</v>
      </c>
    </row>
    <row r="356" spans="1:12">
      <c r="A356" t="s">
        <v>586</v>
      </c>
      <c r="B356" t="s">
        <v>3363</v>
      </c>
      <c r="C356" s="60" t="str">
        <f t="shared" si="31"/>
        <v>E5397</v>
      </c>
      <c r="D356" t="s">
        <v>587</v>
      </c>
      <c r="E356" t="s">
        <v>588</v>
      </c>
      <c r="F356" t="s">
        <v>506</v>
      </c>
      <c r="G356" t="s">
        <v>507</v>
      </c>
      <c r="H356" t="s">
        <v>508</v>
      </c>
      <c r="I356" t="s">
        <v>509</v>
      </c>
      <c r="J356" t="s">
        <v>589</v>
      </c>
      <c r="K356" s="502">
        <v>-22.32</v>
      </c>
      <c r="L356" t="s">
        <v>305</v>
      </c>
    </row>
    <row r="357" spans="1:12">
      <c r="A357" t="s">
        <v>586</v>
      </c>
      <c r="B357" t="s">
        <v>3364</v>
      </c>
      <c r="C357" s="60" t="str">
        <f t="shared" si="31"/>
        <v>E5397</v>
      </c>
      <c r="D357" t="s">
        <v>587</v>
      </c>
      <c r="E357" t="s">
        <v>588</v>
      </c>
      <c r="F357" t="s">
        <v>506</v>
      </c>
      <c r="G357" t="s">
        <v>507</v>
      </c>
      <c r="H357" t="s">
        <v>508</v>
      </c>
      <c r="I357" t="s">
        <v>509</v>
      </c>
      <c r="J357" t="s">
        <v>589</v>
      </c>
      <c r="K357" s="502">
        <v>-21.6</v>
      </c>
      <c r="L357" t="s">
        <v>305</v>
      </c>
    </row>
    <row r="358" spans="1:12">
      <c r="A358" t="s">
        <v>586</v>
      </c>
      <c r="B358" t="s">
        <v>3365</v>
      </c>
      <c r="C358" s="60" t="str">
        <f t="shared" si="31"/>
        <v>E5397</v>
      </c>
      <c r="D358" t="s">
        <v>587</v>
      </c>
      <c r="E358" t="s">
        <v>588</v>
      </c>
      <c r="F358" t="s">
        <v>506</v>
      </c>
      <c r="G358" t="s">
        <v>507</v>
      </c>
      <c r="H358" t="s">
        <v>508</v>
      </c>
      <c r="I358" t="s">
        <v>509</v>
      </c>
      <c r="J358" t="s">
        <v>589</v>
      </c>
      <c r="K358" s="502">
        <v>-22.32</v>
      </c>
      <c r="L358" t="s">
        <v>305</v>
      </c>
    </row>
    <row r="359" spans="1:12">
      <c r="A359" t="s">
        <v>586</v>
      </c>
      <c r="B359" t="s">
        <v>3366</v>
      </c>
      <c r="C359" s="60" t="str">
        <f t="shared" si="31"/>
        <v>E5397</v>
      </c>
      <c r="D359" t="s">
        <v>587</v>
      </c>
      <c r="E359" t="s">
        <v>588</v>
      </c>
      <c r="F359" t="s">
        <v>506</v>
      </c>
      <c r="G359" t="s">
        <v>507</v>
      </c>
      <c r="H359" t="s">
        <v>508</v>
      </c>
      <c r="I359" t="s">
        <v>509</v>
      </c>
      <c r="J359" t="s">
        <v>589</v>
      </c>
      <c r="K359" s="502">
        <v>-21.6</v>
      </c>
      <c r="L359" t="s">
        <v>305</v>
      </c>
    </row>
    <row r="360" spans="1:12">
      <c r="A360" t="s">
        <v>586</v>
      </c>
      <c r="B360" t="s">
        <v>3367</v>
      </c>
      <c r="C360" s="60" t="str">
        <f t="shared" si="31"/>
        <v>E5397</v>
      </c>
      <c r="D360" t="s">
        <v>587</v>
      </c>
      <c r="E360" t="s">
        <v>588</v>
      </c>
      <c r="F360" t="s">
        <v>506</v>
      </c>
      <c r="G360" t="s">
        <v>507</v>
      </c>
      <c r="H360" t="s">
        <v>508</v>
      </c>
      <c r="I360" t="s">
        <v>509</v>
      </c>
      <c r="J360" t="s">
        <v>589</v>
      </c>
      <c r="K360" s="502">
        <v>-22.32</v>
      </c>
      <c r="L360" t="s">
        <v>305</v>
      </c>
    </row>
    <row r="361" spans="1:12">
      <c r="A361" t="s">
        <v>586</v>
      </c>
      <c r="B361" t="s">
        <v>3356</v>
      </c>
      <c r="C361" s="3" t="str">
        <f>+'2-Préparation saisie LV PROD'!B35</f>
        <v>E5398</v>
      </c>
      <c r="D361" t="s">
        <v>587</v>
      </c>
      <c r="E361" t="s">
        <v>588</v>
      </c>
      <c r="F361" t="s">
        <v>506</v>
      </c>
      <c r="G361" t="s">
        <v>507</v>
      </c>
      <c r="H361" t="s">
        <v>508</v>
      </c>
      <c r="I361" t="s">
        <v>509</v>
      </c>
      <c r="J361" t="s">
        <v>589</v>
      </c>
      <c r="K361" s="502">
        <v>-22.32</v>
      </c>
      <c r="L361" t="s">
        <v>3420</v>
      </c>
    </row>
    <row r="362" spans="1:12">
      <c r="A362" t="s">
        <v>586</v>
      </c>
      <c r="B362" t="s">
        <v>3357</v>
      </c>
      <c r="C362" s="60" t="str">
        <f>C361</f>
        <v>E5398</v>
      </c>
      <c r="D362" t="s">
        <v>587</v>
      </c>
      <c r="E362" t="s">
        <v>588</v>
      </c>
      <c r="F362" t="s">
        <v>506</v>
      </c>
      <c r="G362" t="s">
        <v>507</v>
      </c>
      <c r="H362" t="s">
        <v>508</v>
      </c>
      <c r="I362" t="s">
        <v>509</v>
      </c>
      <c r="J362" t="s">
        <v>589</v>
      </c>
      <c r="K362" s="502">
        <f>K350</f>
        <v>-20.16</v>
      </c>
      <c r="L362" t="s">
        <v>3420</v>
      </c>
    </row>
    <row r="363" spans="1:12">
      <c r="A363" t="s">
        <v>586</v>
      </c>
      <c r="B363" t="s">
        <v>3358</v>
      </c>
      <c r="C363" s="60" t="str">
        <f t="shared" ref="C363:C372" si="32">+C362</f>
        <v>E5398</v>
      </c>
      <c r="D363" t="s">
        <v>587</v>
      </c>
      <c r="E363" t="s">
        <v>588</v>
      </c>
      <c r="F363" t="s">
        <v>506</v>
      </c>
      <c r="G363" t="s">
        <v>507</v>
      </c>
      <c r="H363" t="s">
        <v>508</v>
      </c>
      <c r="I363" t="s">
        <v>509</v>
      </c>
      <c r="J363" t="s">
        <v>589</v>
      </c>
      <c r="K363" s="502">
        <v>-22.32</v>
      </c>
      <c r="L363" t="s">
        <v>3420</v>
      </c>
    </row>
    <row r="364" spans="1:12">
      <c r="A364" t="s">
        <v>586</v>
      </c>
      <c r="B364" t="s">
        <v>3359</v>
      </c>
      <c r="C364" s="60" t="str">
        <f t="shared" si="32"/>
        <v>E5398</v>
      </c>
      <c r="D364" t="s">
        <v>587</v>
      </c>
      <c r="E364" t="s">
        <v>588</v>
      </c>
      <c r="F364" t="s">
        <v>506</v>
      </c>
      <c r="G364" t="s">
        <v>507</v>
      </c>
      <c r="H364" t="s">
        <v>508</v>
      </c>
      <c r="I364" t="s">
        <v>509</v>
      </c>
      <c r="J364" t="s">
        <v>589</v>
      </c>
      <c r="K364" s="502">
        <v>-21.6</v>
      </c>
      <c r="L364" t="s">
        <v>3420</v>
      </c>
    </row>
    <row r="365" spans="1:12">
      <c r="A365" t="s">
        <v>586</v>
      </c>
      <c r="B365" t="s">
        <v>3360</v>
      </c>
      <c r="C365" s="60" t="str">
        <f t="shared" si="32"/>
        <v>E5398</v>
      </c>
      <c r="D365" t="s">
        <v>587</v>
      </c>
      <c r="E365" t="s">
        <v>588</v>
      </c>
      <c r="F365" t="s">
        <v>506</v>
      </c>
      <c r="G365" t="s">
        <v>507</v>
      </c>
      <c r="H365" t="s">
        <v>508</v>
      </c>
      <c r="I365" t="s">
        <v>509</v>
      </c>
      <c r="J365" t="s">
        <v>589</v>
      </c>
      <c r="K365" s="502">
        <v>-22.32</v>
      </c>
      <c r="L365" t="s">
        <v>3420</v>
      </c>
    </row>
    <row r="366" spans="1:12">
      <c r="A366" t="s">
        <v>586</v>
      </c>
      <c r="B366" t="s">
        <v>3361</v>
      </c>
      <c r="C366" s="60" t="str">
        <f t="shared" si="32"/>
        <v>E5398</v>
      </c>
      <c r="D366" t="s">
        <v>587</v>
      </c>
      <c r="E366" t="s">
        <v>588</v>
      </c>
      <c r="F366" t="s">
        <v>506</v>
      </c>
      <c r="G366" t="s">
        <v>507</v>
      </c>
      <c r="H366" t="s">
        <v>508</v>
      </c>
      <c r="I366" t="s">
        <v>509</v>
      </c>
      <c r="J366" t="s">
        <v>589</v>
      </c>
      <c r="K366" s="502">
        <v>-21.6</v>
      </c>
      <c r="L366" t="s">
        <v>3420</v>
      </c>
    </row>
    <row r="367" spans="1:12">
      <c r="A367" t="s">
        <v>586</v>
      </c>
      <c r="B367" t="s">
        <v>3362</v>
      </c>
      <c r="C367" s="60" t="str">
        <f t="shared" si="32"/>
        <v>E5398</v>
      </c>
      <c r="D367" t="s">
        <v>587</v>
      </c>
      <c r="E367" t="s">
        <v>588</v>
      </c>
      <c r="F367" t="s">
        <v>506</v>
      </c>
      <c r="G367" t="s">
        <v>507</v>
      </c>
      <c r="H367" t="s">
        <v>508</v>
      </c>
      <c r="I367" t="s">
        <v>509</v>
      </c>
      <c r="J367" t="s">
        <v>589</v>
      </c>
      <c r="K367" s="502">
        <v>-22.32</v>
      </c>
      <c r="L367" t="s">
        <v>3420</v>
      </c>
    </row>
    <row r="368" spans="1:12">
      <c r="A368" t="s">
        <v>586</v>
      </c>
      <c r="B368" t="s">
        <v>3363</v>
      </c>
      <c r="C368" s="60" t="str">
        <f t="shared" si="32"/>
        <v>E5398</v>
      </c>
      <c r="D368" t="s">
        <v>587</v>
      </c>
      <c r="E368" t="s">
        <v>588</v>
      </c>
      <c r="F368" t="s">
        <v>506</v>
      </c>
      <c r="G368" t="s">
        <v>507</v>
      </c>
      <c r="H368" t="s">
        <v>508</v>
      </c>
      <c r="I368" t="s">
        <v>509</v>
      </c>
      <c r="J368" t="s">
        <v>589</v>
      </c>
      <c r="K368" s="502">
        <v>-22.32</v>
      </c>
      <c r="L368" t="s">
        <v>3420</v>
      </c>
    </row>
    <row r="369" spans="1:12">
      <c r="A369" t="s">
        <v>586</v>
      </c>
      <c r="B369" t="s">
        <v>3364</v>
      </c>
      <c r="C369" s="60" t="str">
        <f t="shared" si="32"/>
        <v>E5398</v>
      </c>
      <c r="D369" t="s">
        <v>587</v>
      </c>
      <c r="E369" t="s">
        <v>588</v>
      </c>
      <c r="F369" t="s">
        <v>506</v>
      </c>
      <c r="G369" t="s">
        <v>507</v>
      </c>
      <c r="H369" t="s">
        <v>508</v>
      </c>
      <c r="I369" t="s">
        <v>509</v>
      </c>
      <c r="J369" t="s">
        <v>589</v>
      </c>
      <c r="K369" s="502">
        <v>-21.6</v>
      </c>
      <c r="L369" t="s">
        <v>3420</v>
      </c>
    </row>
    <row r="370" spans="1:12">
      <c r="A370" t="s">
        <v>586</v>
      </c>
      <c r="B370" t="s">
        <v>3365</v>
      </c>
      <c r="C370" s="60" t="str">
        <f t="shared" si="32"/>
        <v>E5398</v>
      </c>
      <c r="D370" t="s">
        <v>587</v>
      </c>
      <c r="E370" t="s">
        <v>588</v>
      </c>
      <c r="F370" t="s">
        <v>506</v>
      </c>
      <c r="G370" t="s">
        <v>507</v>
      </c>
      <c r="H370" t="s">
        <v>508</v>
      </c>
      <c r="I370" t="s">
        <v>509</v>
      </c>
      <c r="J370" t="s">
        <v>589</v>
      </c>
      <c r="K370" s="502">
        <v>-22.32</v>
      </c>
      <c r="L370" t="s">
        <v>3420</v>
      </c>
    </row>
    <row r="371" spans="1:12">
      <c r="A371" t="s">
        <v>586</v>
      </c>
      <c r="B371" t="s">
        <v>3366</v>
      </c>
      <c r="C371" s="60" t="str">
        <f t="shared" si="32"/>
        <v>E5398</v>
      </c>
      <c r="D371" t="s">
        <v>587</v>
      </c>
      <c r="E371" t="s">
        <v>588</v>
      </c>
      <c r="F371" t="s">
        <v>506</v>
      </c>
      <c r="G371" t="s">
        <v>507</v>
      </c>
      <c r="H371" t="s">
        <v>508</v>
      </c>
      <c r="I371" t="s">
        <v>509</v>
      </c>
      <c r="J371" t="s">
        <v>589</v>
      </c>
      <c r="K371" s="502">
        <v>-21.6</v>
      </c>
      <c r="L371" t="s">
        <v>3420</v>
      </c>
    </row>
    <row r="372" spans="1:12">
      <c r="A372" t="s">
        <v>586</v>
      </c>
      <c r="B372" t="s">
        <v>3367</v>
      </c>
      <c r="C372" s="60" t="str">
        <f t="shared" si="32"/>
        <v>E5398</v>
      </c>
      <c r="D372" t="s">
        <v>587</v>
      </c>
      <c r="E372" t="s">
        <v>588</v>
      </c>
      <c r="F372" t="s">
        <v>506</v>
      </c>
      <c r="G372" t="s">
        <v>507</v>
      </c>
      <c r="H372" t="s">
        <v>508</v>
      </c>
      <c r="I372" t="s">
        <v>509</v>
      </c>
      <c r="J372" t="s">
        <v>589</v>
      </c>
      <c r="K372" s="502">
        <v>-22.32</v>
      </c>
      <c r="L372" t="s">
        <v>3420</v>
      </c>
    </row>
    <row r="373" spans="1:12">
      <c r="A373" t="s">
        <v>586</v>
      </c>
      <c r="B373" t="s">
        <v>3356</v>
      </c>
      <c r="C373" s="3" t="str">
        <f>+'2-Préparation saisie LV PROD'!B36</f>
        <v>E5399</v>
      </c>
      <c r="D373" t="s">
        <v>587</v>
      </c>
      <c r="E373" t="s">
        <v>588</v>
      </c>
      <c r="F373" t="s">
        <v>506</v>
      </c>
      <c r="G373" t="s">
        <v>507</v>
      </c>
      <c r="H373" t="s">
        <v>508</v>
      </c>
      <c r="I373" t="s">
        <v>509</v>
      </c>
      <c r="J373" t="s">
        <v>589</v>
      </c>
      <c r="K373" s="502">
        <v>-22.32</v>
      </c>
      <c r="L373" t="s">
        <v>3421</v>
      </c>
    </row>
    <row r="374" spans="1:12">
      <c r="A374" t="s">
        <v>586</v>
      </c>
      <c r="B374" t="s">
        <v>3357</v>
      </c>
      <c r="C374" s="60" t="str">
        <f>C373</f>
        <v>E5399</v>
      </c>
      <c r="D374" t="s">
        <v>587</v>
      </c>
      <c r="E374" t="s">
        <v>588</v>
      </c>
      <c r="F374" t="s">
        <v>506</v>
      </c>
      <c r="G374" t="s">
        <v>507</v>
      </c>
      <c r="H374" t="s">
        <v>508</v>
      </c>
      <c r="I374" t="s">
        <v>509</v>
      </c>
      <c r="J374" t="s">
        <v>589</v>
      </c>
      <c r="K374" s="502">
        <f>K362</f>
        <v>-20.16</v>
      </c>
      <c r="L374" t="s">
        <v>3421</v>
      </c>
    </row>
    <row r="375" spans="1:12">
      <c r="A375" t="s">
        <v>586</v>
      </c>
      <c r="B375" t="s">
        <v>3358</v>
      </c>
      <c r="C375" s="60" t="str">
        <f t="shared" ref="C375:C384" si="33">+C374</f>
        <v>E5399</v>
      </c>
      <c r="D375" t="s">
        <v>587</v>
      </c>
      <c r="E375" t="s">
        <v>588</v>
      </c>
      <c r="F375" t="s">
        <v>506</v>
      </c>
      <c r="G375" t="s">
        <v>507</v>
      </c>
      <c r="H375" t="s">
        <v>508</v>
      </c>
      <c r="I375" t="s">
        <v>509</v>
      </c>
      <c r="J375" t="s">
        <v>589</v>
      </c>
      <c r="K375" s="502">
        <v>-22.32</v>
      </c>
      <c r="L375" t="s">
        <v>3421</v>
      </c>
    </row>
    <row r="376" spans="1:12">
      <c r="A376" t="s">
        <v>586</v>
      </c>
      <c r="B376" t="s">
        <v>3359</v>
      </c>
      <c r="C376" s="60" t="str">
        <f t="shared" si="33"/>
        <v>E5399</v>
      </c>
      <c r="D376" t="s">
        <v>587</v>
      </c>
      <c r="E376" t="s">
        <v>588</v>
      </c>
      <c r="F376" t="s">
        <v>506</v>
      </c>
      <c r="G376" t="s">
        <v>507</v>
      </c>
      <c r="H376" t="s">
        <v>508</v>
      </c>
      <c r="I376" t="s">
        <v>509</v>
      </c>
      <c r="J376" t="s">
        <v>589</v>
      </c>
      <c r="K376" s="502">
        <v>-21.6</v>
      </c>
      <c r="L376" t="s">
        <v>3421</v>
      </c>
    </row>
    <row r="377" spans="1:12">
      <c r="A377" t="s">
        <v>586</v>
      </c>
      <c r="B377" t="s">
        <v>3360</v>
      </c>
      <c r="C377" s="60" t="str">
        <f t="shared" si="33"/>
        <v>E5399</v>
      </c>
      <c r="D377" t="s">
        <v>587</v>
      </c>
      <c r="E377" t="s">
        <v>588</v>
      </c>
      <c r="F377" t="s">
        <v>506</v>
      </c>
      <c r="G377" t="s">
        <v>507</v>
      </c>
      <c r="H377" t="s">
        <v>508</v>
      </c>
      <c r="I377" t="s">
        <v>509</v>
      </c>
      <c r="J377" t="s">
        <v>589</v>
      </c>
      <c r="K377" s="502">
        <v>-22.32</v>
      </c>
      <c r="L377" t="s">
        <v>3421</v>
      </c>
    </row>
    <row r="378" spans="1:12">
      <c r="A378" t="s">
        <v>586</v>
      </c>
      <c r="B378" t="s">
        <v>3361</v>
      </c>
      <c r="C378" s="60" t="str">
        <f t="shared" si="33"/>
        <v>E5399</v>
      </c>
      <c r="D378" t="s">
        <v>587</v>
      </c>
      <c r="E378" t="s">
        <v>588</v>
      </c>
      <c r="F378" t="s">
        <v>506</v>
      </c>
      <c r="G378" t="s">
        <v>507</v>
      </c>
      <c r="H378" t="s">
        <v>508</v>
      </c>
      <c r="I378" t="s">
        <v>509</v>
      </c>
      <c r="J378" t="s">
        <v>589</v>
      </c>
      <c r="K378" s="502">
        <v>-21.6</v>
      </c>
      <c r="L378" t="s">
        <v>3421</v>
      </c>
    </row>
    <row r="379" spans="1:12">
      <c r="A379" t="s">
        <v>586</v>
      </c>
      <c r="B379" t="s">
        <v>3362</v>
      </c>
      <c r="C379" s="60" t="str">
        <f t="shared" si="33"/>
        <v>E5399</v>
      </c>
      <c r="D379" t="s">
        <v>587</v>
      </c>
      <c r="E379" t="s">
        <v>588</v>
      </c>
      <c r="F379" t="s">
        <v>506</v>
      </c>
      <c r="G379" t="s">
        <v>507</v>
      </c>
      <c r="H379" t="s">
        <v>508</v>
      </c>
      <c r="I379" t="s">
        <v>509</v>
      </c>
      <c r="J379" t="s">
        <v>589</v>
      </c>
      <c r="K379" s="502">
        <v>-22.32</v>
      </c>
      <c r="L379" t="s">
        <v>3421</v>
      </c>
    </row>
    <row r="380" spans="1:12">
      <c r="A380" t="s">
        <v>586</v>
      </c>
      <c r="B380" t="s">
        <v>3363</v>
      </c>
      <c r="C380" s="60" t="str">
        <f t="shared" si="33"/>
        <v>E5399</v>
      </c>
      <c r="D380" t="s">
        <v>587</v>
      </c>
      <c r="E380" t="s">
        <v>588</v>
      </c>
      <c r="F380" t="s">
        <v>506</v>
      </c>
      <c r="G380" t="s">
        <v>507</v>
      </c>
      <c r="H380" t="s">
        <v>508</v>
      </c>
      <c r="I380" t="s">
        <v>509</v>
      </c>
      <c r="J380" t="s">
        <v>589</v>
      </c>
      <c r="K380" s="502">
        <v>-22.32</v>
      </c>
      <c r="L380" t="s">
        <v>3421</v>
      </c>
    </row>
    <row r="381" spans="1:12">
      <c r="A381" t="s">
        <v>586</v>
      </c>
      <c r="B381" t="s">
        <v>3364</v>
      </c>
      <c r="C381" s="60" t="str">
        <f t="shared" si="33"/>
        <v>E5399</v>
      </c>
      <c r="D381" t="s">
        <v>587</v>
      </c>
      <c r="E381" t="s">
        <v>588</v>
      </c>
      <c r="F381" t="s">
        <v>506</v>
      </c>
      <c r="G381" t="s">
        <v>507</v>
      </c>
      <c r="H381" t="s">
        <v>508</v>
      </c>
      <c r="I381" t="s">
        <v>509</v>
      </c>
      <c r="J381" t="s">
        <v>589</v>
      </c>
      <c r="K381" s="502">
        <v>-21.6</v>
      </c>
      <c r="L381" t="s">
        <v>3421</v>
      </c>
    </row>
    <row r="382" spans="1:12">
      <c r="A382" t="s">
        <v>586</v>
      </c>
      <c r="B382" t="s">
        <v>3365</v>
      </c>
      <c r="C382" s="60" t="str">
        <f t="shared" si="33"/>
        <v>E5399</v>
      </c>
      <c r="D382" t="s">
        <v>587</v>
      </c>
      <c r="E382" t="s">
        <v>588</v>
      </c>
      <c r="F382" t="s">
        <v>506</v>
      </c>
      <c r="G382" t="s">
        <v>507</v>
      </c>
      <c r="H382" t="s">
        <v>508</v>
      </c>
      <c r="I382" t="s">
        <v>509</v>
      </c>
      <c r="J382" t="s">
        <v>589</v>
      </c>
      <c r="K382" s="502">
        <v>-22.32</v>
      </c>
      <c r="L382" t="s">
        <v>3421</v>
      </c>
    </row>
    <row r="383" spans="1:12">
      <c r="A383" t="s">
        <v>586</v>
      </c>
      <c r="B383" t="s">
        <v>3366</v>
      </c>
      <c r="C383" s="60" t="str">
        <f t="shared" si="33"/>
        <v>E5399</v>
      </c>
      <c r="D383" t="s">
        <v>587</v>
      </c>
      <c r="E383" t="s">
        <v>588</v>
      </c>
      <c r="F383" t="s">
        <v>506</v>
      </c>
      <c r="G383" t="s">
        <v>507</v>
      </c>
      <c r="H383" t="s">
        <v>508</v>
      </c>
      <c r="I383" t="s">
        <v>509</v>
      </c>
      <c r="J383" t="s">
        <v>589</v>
      </c>
      <c r="K383" s="502">
        <v>-21.6</v>
      </c>
      <c r="L383" t="s">
        <v>3421</v>
      </c>
    </row>
    <row r="384" spans="1:12">
      <c r="A384" t="s">
        <v>586</v>
      </c>
      <c r="B384" t="s">
        <v>3367</v>
      </c>
      <c r="C384" s="60" t="str">
        <f t="shared" si="33"/>
        <v>E5399</v>
      </c>
      <c r="D384" t="s">
        <v>587</v>
      </c>
      <c r="E384" t="s">
        <v>588</v>
      </c>
      <c r="F384" t="s">
        <v>506</v>
      </c>
      <c r="G384" t="s">
        <v>507</v>
      </c>
      <c r="H384" t="s">
        <v>508</v>
      </c>
      <c r="I384" t="s">
        <v>509</v>
      </c>
      <c r="J384" t="s">
        <v>589</v>
      </c>
      <c r="K384" s="502">
        <v>-22.32</v>
      </c>
      <c r="L384" t="s">
        <v>3421</v>
      </c>
    </row>
    <row r="385" spans="1:12">
      <c r="A385" t="s">
        <v>586</v>
      </c>
      <c r="B385" t="s">
        <v>3356</v>
      </c>
      <c r="C385" s="3" t="str">
        <f>+'2-Préparation saisie LV PROD'!B37</f>
        <v>E5400</v>
      </c>
      <c r="D385" t="s">
        <v>587</v>
      </c>
      <c r="E385" t="s">
        <v>588</v>
      </c>
      <c r="F385" t="s">
        <v>506</v>
      </c>
      <c r="G385" t="s">
        <v>507</v>
      </c>
      <c r="H385" t="s">
        <v>508</v>
      </c>
      <c r="I385" t="s">
        <v>509</v>
      </c>
      <c r="J385" t="s">
        <v>589</v>
      </c>
      <c r="K385" s="502">
        <v>-22.32</v>
      </c>
      <c r="L385" t="s">
        <v>3422</v>
      </c>
    </row>
    <row r="386" spans="1:12">
      <c r="A386" t="s">
        <v>586</v>
      </c>
      <c r="B386" t="s">
        <v>3357</v>
      </c>
      <c r="C386" s="60" t="str">
        <f>C385</f>
        <v>E5400</v>
      </c>
      <c r="D386" t="s">
        <v>587</v>
      </c>
      <c r="E386" t="s">
        <v>588</v>
      </c>
      <c r="F386" t="s">
        <v>506</v>
      </c>
      <c r="G386" t="s">
        <v>507</v>
      </c>
      <c r="H386" t="s">
        <v>508</v>
      </c>
      <c r="I386" t="s">
        <v>509</v>
      </c>
      <c r="J386" t="s">
        <v>589</v>
      </c>
      <c r="K386" s="502">
        <f>K374</f>
        <v>-20.16</v>
      </c>
      <c r="L386" t="s">
        <v>3422</v>
      </c>
    </row>
    <row r="387" spans="1:12">
      <c r="A387" t="s">
        <v>586</v>
      </c>
      <c r="B387" t="s">
        <v>3358</v>
      </c>
      <c r="C387" s="60" t="str">
        <f t="shared" ref="C387:C396" si="34">+C386</f>
        <v>E5400</v>
      </c>
      <c r="D387" t="s">
        <v>587</v>
      </c>
      <c r="E387" t="s">
        <v>588</v>
      </c>
      <c r="F387" t="s">
        <v>506</v>
      </c>
      <c r="G387" t="s">
        <v>507</v>
      </c>
      <c r="H387" t="s">
        <v>508</v>
      </c>
      <c r="I387" t="s">
        <v>509</v>
      </c>
      <c r="J387" t="s">
        <v>589</v>
      </c>
      <c r="K387" s="502">
        <v>-22.32</v>
      </c>
      <c r="L387" t="s">
        <v>3422</v>
      </c>
    </row>
    <row r="388" spans="1:12">
      <c r="A388" t="s">
        <v>586</v>
      </c>
      <c r="B388" t="s">
        <v>3359</v>
      </c>
      <c r="C388" s="60" t="str">
        <f t="shared" si="34"/>
        <v>E5400</v>
      </c>
      <c r="D388" t="s">
        <v>587</v>
      </c>
      <c r="E388" t="s">
        <v>588</v>
      </c>
      <c r="F388" t="s">
        <v>506</v>
      </c>
      <c r="G388" t="s">
        <v>507</v>
      </c>
      <c r="H388" t="s">
        <v>508</v>
      </c>
      <c r="I388" t="s">
        <v>509</v>
      </c>
      <c r="J388" t="s">
        <v>589</v>
      </c>
      <c r="K388" s="502">
        <v>-21.6</v>
      </c>
      <c r="L388" t="s">
        <v>3422</v>
      </c>
    </row>
    <row r="389" spans="1:12">
      <c r="A389" t="s">
        <v>586</v>
      </c>
      <c r="B389" t="s">
        <v>3360</v>
      </c>
      <c r="C389" s="60" t="str">
        <f t="shared" si="34"/>
        <v>E5400</v>
      </c>
      <c r="D389" t="s">
        <v>587</v>
      </c>
      <c r="E389" t="s">
        <v>588</v>
      </c>
      <c r="F389" t="s">
        <v>506</v>
      </c>
      <c r="G389" t="s">
        <v>507</v>
      </c>
      <c r="H389" t="s">
        <v>508</v>
      </c>
      <c r="I389" t="s">
        <v>509</v>
      </c>
      <c r="J389" t="s">
        <v>589</v>
      </c>
      <c r="K389" s="502">
        <v>-22.32</v>
      </c>
      <c r="L389" t="s">
        <v>3422</v>
      </c>
    </row>
    <row r="390" spans="1:12">
      <c r="A390" t="s">
        <v>586</v>
      </c>
      <c r="B390" t="s">
        <v>3361</v>
      </c>
      <c r="C390" s="60" t="str">
        <f t="shared" si="34"/>
        <v>E5400</v>
      </c>
      <c r="D390" t="s">
        <v>587</v>
      </c>
      <c r="E390" t="s">
        <v>588</v>
      </c>
      <c r="F390" t="s">
        <v>506</v>
      </c>
      <c r="G390" t="s">
        <v>507</v>
      </c>
      <c r="H390" t="s">
        <v>508</v>
      </c>
      <c r="I390" t="s">
        <v>509</v>
      </c>
      <c r="J390" t="s">
        <v>589</v>
      </c>
      <c r="K390" s="502">
        <v>-21.6</v>
      </c>
      <c r="L390" t="s">
        <v>3422</v>
      </c>
    </row>
    <row r="391" spans="1:12">
      <c r="A391" t="s">
        <v>586</v>
      </c>
      <c r="B391" t="s">
        <v>3362</v>
      </c>
      <c r="C391" s="60" t="str">
        <f t="shared" si="34"/>
        <v>E5400</v>
      </c>
      <c r="D391" t="s">
        <v>587</v>
      </c>
      <c r="E391" t="s">
        <v>588</v>
      </c>
      <c r="F391" t="s">
        <v>506</v>
      </c>
      <c r="G391" t="s">
        <v>507</v>
      </c>
      <c r="H391" t="s">
        <v>508</v>
      </c>
      <c r="I391" t="s">
        <v>509</v>
      </c>
      <c r="J391" t="s">
        <v>589</v>
      </c>
      <c r="K391" s="502">
        <v>-22.32</v>
      </c>
      <c r="L391" t="s">
        <v>3422</v>
      </c>
    </row>
    <row r="392" spans="1:12">
      <c r="A392" t="s">
        <v>586</v>
      </c>
      <c r="B392" t="s">
        <v>3363</v>
      </c>
      <c r="C392" s="60" t="str">
        <f t="shared" si="34"/>
        <v>E5400</v>
      </c>
      <c r="D392" t="s">
        <v>587</v>
      </c>
      <c r="E392" t="s">
        <v>588</v>
      </c>
      <c r="F392" t="s">
        <v>506</v>
      </c>
      <c r="G392" t="s">
        <v>507</v>
      </c>
      <c r="H392" t="s">
        <v>508</v>
      </c>
      <c r="I392" t="s">
        <v>509</v>
      </c>
      <c r="J392" t="s">
        <v>589</v>
      </c>
      <c r="K392" s="502">
        <v>-22.32</v>
      </c>
      <c r="L392" t="s">
        <v>3422</v>
      </c>
    </row>
    <row r="393" spans="1:12">
      <c r="A393" t="s">
        <v>586</v>
      </c>
      <c r="B393" t="s">
        <v>3364</v>
      </c>
      <c r="C393" s="60" t="str">
        <f t="shared" si="34"/>
        <v>E5400</v>
      </c>
      <c r="D393" t="s">
        <v>587</v>
      </c>
      <c r="E393" t="s">
        <v>588</v>
      </c>
      <c r="F393" t="s">
        <v>506</v>
      </c>
      <c r="G393" t="s">
        <v>507</v>
      </c>
      <c r="H393" t="s">
        <v>508</v>
      </c>
      <c r="I393" t="s">
        <v>509</v>
      </c>
      <c r="J393" t="s">
        <v>589</v>
      </c>
      <c r="K393" s="502">
        <v>-21.6</v>
      </c>
      <c r="L393" t="s">
        <v>3422</v>
      </c>
    </row>
    <row r="394" spans="1:12">
      <c r="A394" t="s">
        <v>586</v>
      </c>
      <c r="B394" t="s">
        <v>3365</v>
      </c>
      <c r="C394" s="60" t="str">
        <f t="shared" si="34"/>
        <v>E5400</v>
      </c>
      <c r="D394" t="s">
        <v>587</v>
      </c>
      <c r="E394" t="s">
        <v>588</v>
      </c>
      <c r="F394" t="s">
        <v>506</v>
      </c>
      <c r="G394" t="s">
        <v>507</v>
      </c>
      <c r="H394" t="s">
        <v>508</v>
      </c>
      <c r="I394" t="s">
        <v>509</v>
      </c>
      <c r="J394" t="s">
        <v>589</v>
      </c>
      <c r="K394" s="502">
        <v>-22.32</v>
      </c>
      <c r="L394" t="s">
        <v>3422</v>
      </c>
    </row>
    <row r="395" spans="1:12">
      <c r="A395" t="s">
        <v>586</v>
      </c>
      <c r="B395" t="s">
        <v>3366</v>
      </c>
      <c r="C395" s="60" t="str">
        <f t="shared" si="34"/>
        <v>E5400</v>
      </c>
      <c r="D395" t="s">
        <v>587</v>
      </c>
      <c r="E395" t="s">
        <v>588</v>
      </c>
      <c r="F395" t="s">
        <v>506</v>
      </c>
      <c r="G395" t="s">
        <v>507</v>
      </c>
      <c r="H395" t="s">
        <v>508</v>
      </c>
      <c r="I395" t="s">
        <v>509</v>
      </c>
      <c r="J395" t="s">
        <v>589</v>
      </c>
      <c r="K395" s="502">
        <v>-21.6</v>
      </c>
      <c r="L395" t="s">
        <v>3422</v>
      </c>
    </row>
    <row r="396" spans="1:12">
      <c r="A396" t="s">
        <v>586</v>
      </c>
      <c r="B396" t="s">
        <v>3367</v>
      </c>
      <c r="C396" s="60" t="str">
        <f t="shared" si="34"/>
        <v>E5400</v>
      </c>
      <c r="D396" t="s">
        <v>587</v>
      </c>
      <c r="E396" t="s">
        <v>588</v>
      </c>
      <c r="F396" t="s">
        <v>506</v>
      </c>
      <c r="G396" t="s">
        <v>507</v>
      </c>
      <c r="H396" t="s">
        <v>508</v>
      </c>
      <c r="I396" t="s">
        <v>509</v>
      </c>
      <c r="J396" t="s">
        <v>589</v>
      </c>
      <c r="K396" s="502">
        <v>-22.32</v>
      </c>
      <c r="L396" t="s">
        <v>3422</v>
      </c>
    </row>
    <row r="397" spans="1:12">
      <c r="A397" t="s">
        <v>586</v>
      </c>
      <c r="B397" t="s">
        <v>3356</v>
      </c>
      <c r="C397" s="3" t="str">
        <f>+'2-Préparation saisie LV PROD'!B38</f>
        <v>E5401</v>
      </c>
      <c r="D397" t="s">
        <v>587</v>
      </c>
      <c r="E397" t="s">
        <v>588</v>
      </c>
      <c r="F397" t="s">
        <v>506</v>
      </c>
      <c r="G397" t="s">
        <v>507</v>
      </c>
      <c r="H397" t="s">
        <v>508</v>
      </c>
      <c r="I397" t="s">
        <v>509</v>
      </c>
      <c r="J397" t="s">
        <v>589</v>
      </c>
      <c r="K397" s="502">
        <v>-22.32</v>
      </c>
      <c r="L397" t="s">
        <v>306</v>
      </c>
    </row>
    <row r="398" spans="1:12">
      <c r="A398" t="s">
        <v>586</v>
      </c>
      <c r="B398" t="s">
        <v>3357</v>
      </c>
      <c r="C398" s="60" t="str">
        <f>C397</f>
        <v>E5401</v>
      </c>
      <c r="D398" t="s">
        <v>587</v>
      </c>
      <c r="E398" t="s">
        <v>588</v>
      </c>
      <c r="F398" t="s">
        <v>506</v>
      </c>
      <c r="G398" t="s">
        <v>507</v>
      </c>
      <c r="H398" t="s">
        <v>508</v>
      </c>
      <c r="I398" t="s">
        <v>509</v>
      </c>
      <c r="J398" t="s">
        <v>589</v>
      </c>
      <c r="K398" s="502">
        <f>K386</f>
        <v>-20.16</v>
      </c>
      <c r="L398" t="s">
        <v>306</v>
      </c>
    </row>
    <row r="399" spans="1:12">
      <c r="A399" t="s">
        <v>586</v>
      </c>
      <c r="B399" t="s">
        <v>3358</v>
      </c>
      <c r="C399" s="60" t="str">
        <f t="shared" ref="C399:C408" si="35">+C398</f>
        <v>E5401</v>
      </c>
      <c r="D399" t="s">
        <v>587</v>
      </c>
      <c r="E399" t="s">
        <v>588</v>
      </c>
      <c r="F399" t="s">
        <v>506</v>
      </c>
      <c r="G399" t="s">
        <v>507</v>
      </c>
      <c r="H399" t="s">
        <v>508</v>
      </c>
      <c r="I399" t="s">
        <v>509</v>
      </c>
      <c r="J399" t="s">
        <v>589</v>
      </c>
      <c r="K399" s="502">
        <v>-22.32</v>
      </c>
      <c r="L399" t="s">
        <v>306</v>
      </c>
    </row>
    <row r="400" spans="1:12">
      <c r="A400" t="s">
        <v>586</v>
      </c>
      <c r="B400" t="s">
        <v>3359</v>
      </c>
      <c r="C400" s="60" t="str">
        <f t="shared" si="35"/>
        <v>E5401</v>
      </c>
      <c r="D400" t="s">
        <v>587</v>
      </c>
      <c r="E400" t="s">
        <v>588</v>
      </c>
      <c r="F400" t="s">
        <v>506</v>
      </c>
      <c r="G400" t="s">
        <v>507</v>
      </c>
      <c r="H400" t="s">
        <v>508</v>
      </c>
      <c r="I400" t="s">
        <v>509</v>
      </c>
      <c r="J400" t="s">
        <v>589</v>
      </c>
      <c r="K400" s="502">
        <v>-21.6</v>
      </c>
      <c r="L400" t="s">
        <v>306</v>
      </c>
    </row>
    <row r="401" spans="1:12">
      <c r="A401" t="s">
        <v>586</v>
      </c>
      <c r="B401" t="s">
        <v>3360</v>
      </c>
      <c r="C401" s="60" t="str">
        <f t="shared" si="35"/>
        <v>E5401</v>
      </c>
      <c r="D401" t="s">
        <v>587</v>
      </c>
      <c r="E401" t="s">
        <v>588</v>
      </c>
      <c r="F401" t="s">
        <v>506</v>
      </c>
      <c r="G401" t="s">
        <v>507</v>
      </c>
      <c r="H401" t="s">
        <v>508</v>
      </c>
      <c r="I401" t="s">
        <v>509</v>
      </c>
      <c r="J401" t="s">
        <v>589</v>
      </c>
      <c r="K401" s="502">
        <v>-22.32</v>
      </c>
      <c r="L401" t="s">
        <v>306</v>
      </c>
    </row>
    <row r="402" spans="1:12">
      <c r="A402" t="s">
        <v>586</v>
      </c>
      <c r="B402" t="s">
        <v>3361</v>
      </c>
      <c r="C402" s="60" t="str">
        <f t="shared" si="35"/>
        <v>E5401</v>
      </c>
      <c r="D402" t="s">
        <v>587</v>
      </c>
      <c r="E402" t="s">
        <v>588</v>
      </c>
      <c r="F402" t="s">
        <v>506</v>
      </c>
      <c r="G402" t="s">
        <v>507</v>
      </c>
      <c r="H402" t="s">
        <v>508</v>
      </c>
      <c r="I402" t="s">
        <v>509</v>
      </c>
      <c r="J402" t="s">
        <v>589</v>
      </c>
      <c r="K402" s="502">
        <v>-21.6</v>
      </c>
      <c r="L402" t="s">
        <v>306</v>
      </c>
    </row>
    <row r="403" spans="1:12">
      <c r="A403" t="s">
        <v>586</v>
      </c>
      <c r="B403" t="s">
        <v>3362</v>
      </c>
      <c r="C403" s="60" t="str">
        <f t="shared" si="35"/>
        <v>E5401</v>
      </c>
      <c r="D403" t="s">
        <v>587</v>
      </c>
      <c r="E403" t="s">
        <v>588</v>
      </c>
      <c r="F403" t="s">
        <v>506</v>
      </c>
      <c r="G403" t="s">
        <v>507</v>
      </c>
      <c r="H403" t="s">
        <v>508</v>
      </c>
      <c r="I403" t="s">
        <v>509</v>
      </c>
      <c r="J403" t="s">
        <v>589</v>
      </c>
      <c r="K403" s="502">
        <v>-22.32</v>
      </c>
      <c r="L403" t="s">
        <v>306</v>
      </c>
    </row>
    <row r="404" spans="1:12">
      <c r="A404" t="s">
        <v>586</v>
      </c>
      <c r="B404" t="s">
        <v>3363</v>
      </c>
      <c r="C404" s="60" t="str">
        <f t="shared" si="35"/>
        <v>E5401</v>
      </c>
      <c r="D404" t="s">
        <v>587</v>
      </c>
      <c r="E404" t="s">
        <v>588</v>
      </c>
      <c r="F404" t="s">
        <v>506</v>
      </c>
      <c r="G404" t="s">
        <v>507</v>
      </c>
      <c r="H404" t="s">
        <v>508</v>
      </c>
      <c r="I404" t="s">
        <v>509</v>
      </c>
      <c r="J404" t="s">
        <v>589</v>
      </c>
      <c r="K404" s="502">
        <v>-22.32</v>
      </c>
      <c r="L404" t="s">
        <v>306</v>
      </c>
    </row>
    <row r="405" spans="1:12">
      <c r="A405" t="s">
        <v>586</v>
      </c>
      <c r="B405" t="s">
        <v>3364</v>
      </c>
      <c r="C405" s="60" t="str">
        <f t="shared" si="35"/>
        <v>E5401</v>
      </c>
      <c r="D405" t="s">
        <v>587</v>
      </c>
      <c r="E405" t="s">
        <v>588</v>
      </c>
      <c r="F405" t="s">
        <v>506</v>
      </c>
      <c r="G405" t="s">
        <v>507</v>
      </c>
      <c r="H405" t="s">
        <v>508</v>
      </c>
      <c r="I405" t="s">
        <v>509</v>
      </c>
      <c r="J405" t="s">
        <v>589</v>
      </c>
      <c r="K405" s="502">
        <v>-21.6</v>
      </c>
      <c r="L405" t="s">
        <v>306</v>
      </c>
    </row>
    <row r="406" spans="1:12">
      <c r="A406" t="s">
        <v>586</v>
      </c>
      <c r="B406" t="s">
        <v>3365</v>
      </c>
      <c r="C406" s="60" t="str">
        <f t="shared" si="35"/>
        <v>E5401</v>
      </c>
      <c r="D406" t="s">
        <v>587</v>
      </c>
      <c r="E406" t="s">
        <v>588</v>
      </c>
      <c r="F406" t="s">
        <v>506</v>
      </c>
      <c r="G406" t="s">
        <v>507</v>
      </c>
      <c r="H406" t="s">
        <v>508</v>
      </c>
      <c r="I406" t="s">
        <v>509</v>
      </c>
      <c r="J406" t="s">
        <v>589</v>
      </c>
      <c r="K406" s="502">
        <v>-22.32</v>
      </c>
      <c r="L406" t="s">
        <v>306</v>
      </c>
    </row>
    <row r="407" spans="1:12">
      <c r="A407" t="s">
        <v>586</v>
      </c>
      <c r="B407" t="s">
        <v>3366</v>
      </c>
      <c r="C407" s="60" t="str">
        <f t="shared" si="35"/>
        <v>E5401</v>
      </c>
      <c r="D407" t="s">
        <v>587</v>
      </c>
      <c r="E407" t="s">
        <v>588</v>
      </c>
      <c r="F407" t="s">
        <v>506</v>
      </c>
      <c r="G407" t="s">
        <v>507</v>
      </c>
      <c r="H407" t="s">
        <v>508</v>
      </c>
      <c r="I407" t="s">
        <v>509</v>
      </c>
      <c r="J407" t="s">
        <v>589</v>
      </c>
      <c r="K407" s="502">
        <v>-21.6</v>
      </c>
      <c r="L407" t="s">
        <v>306</v>
      </c>
    </row>
    <row r="408" spans="1:12">
      <c r="A408" t="s">
        <v>586</v>
      </c>
      <c r="B408" t="s">
        <v>3367</v>
      </c>
      <c r="C408" s="60" t="str">
        <f t="shared" si="35"/>
        <v>E5401</v>
      </c>
      <c r="D408" t="s">
        <v>587</v>
      </c>
      <c r="E408" t="s">
        <v>588</v>
      </c>
      <c r="F408" t="s">
        <v>506</v>
      </c>
      <c r="G408" t="s">
        <v>507</v>
      </c>
      <c r="H408" t="s">
        <v>508</v>
      </c>
      <c r="I408" t="s">
        <v>509</v>
      </c>
      <c r="J408" t="s">
        <v>589</v>
      </c>
      <c r="K408" s="502">
        <v>-22.32</v>
      </c>
      <c r="L408" t="s">
        <v>306</v>
      </c>
    </row>
    <row r="409" spans="1:12">
      <c r="A409" t="s">
        <v>586</v>
      </c>
      <c r="B409" t="s">
        <v>3356</v>
      </c>
      <c r="C409" s="3" t="str">
        <f>+'2-Préparation saisie LV PROD'!B39</f>
        <v>E5402</v>
      </c>
      <c r="D409" t="s">
        <v>587</v>
      </c>
      <c r="E409" t="s">
        <v>588</v>
      </c>
      <c r="F409" t="s">
        <v>506</v>
      </c>
      <c r="G409" t="s">
        <v>507</v>
      </c>
      <c r="H409" t="s">
        <v>508</v>
      </c>
      <c r="I409" t="s">
        <v>509</v>
      </c>
      <c r="J409" t="s">
        <v>589</v>
      </c>
      <c r="K409" s="502">
        <v>-22.32</v>
      </c>
      <c r="L409" t="s">
        <v>307</v>
      </c>
    </row>
    <row r="410" spans="1:12">
      <c r="A410" t="s">
        <v>586</v>
      </c>
      <c r="B410" t="s">
        <v>3357</v>
      </c>
      <c r="C410" s="60" t="str">
        <f>C409</f>
        <v>E5402</v>
      </c>
      <c r="D410" t="s">
        <v>587</v>
      </c>
      <c r="E410" t="s">
        <v>588</v>
      </c>
      <c r="F410" t="s">
        <v>506</v>
      </c>
      <c r="G410" t="s">
        <v>507</v>
      </c>
      <c r="H410" t="s">
        <v>508</v>
      </c>
      <c r="I410" t="s">
        <v>509</v>
      </c>
      <c r="J410" t="s">
        <v>589</v>
      </c>
      <c r="K410" s="502">
        <f>K398</f>
        <v>-20.16</v>
      </c>
      <c r="L410" t="s">
        <v>307</v>
      </c>
    </row>
    <row r="411" spans="1:12">
      <c r="A411" t="s">
        <v>586</v>
      </c>
      <c r="B411" t="s">
        <v>3358</v>
      </c>
      <c r="C411" s="60" t="str">
        <f t="shared" ref="C411:C420" si="36">+C410</f>
        <v>E5402</v>
      </c>
      <c r="D411" t="s">
        <v>587</v>
      </c>
      <c r="E411" t="s">
        <v>588</v>
      </c>
      <c r="F411" t="s">
        <v>506</v>
      </c>
      <c r="G411" t="s">
        <v>507</v>
      </c>
      <c r="H411" t="s">
        <v>508</v>
      </c>
      <c r="I411" t="s">
        <v>509</v>
      </c>
      <c r="J411" t="s">
        <v>589</v>
      </c>
      <c r="K411" s="502">
        <v>-22.32</v>
      </c>
      <c r="L411" t="s">
        <v>307</v>
      </c>
    </row>
    <row r="412" spans="1:12">
      <c r="A412" t="s">
        <v>586</v>
      </c>
      <c r="B412" t="s">
        <v>3359</v>
      </c>
      <c r="C412" s="60" t="str">
        <f t="shared" si="36"/>
        <v>E5402</v>
      </c>
      <c r="D412" t="s">
        <v>587</v>
      </c>
      <c r="E412" t="s">
        <v>588</v>
      </c>
      <c r="F412" t="s">
        <v>506</v>
      </c>
      <c r="G412" t="s">
        <v>507</v>
      </c>
      <c r="H412" t="s">
        <v>508</v>
      </c>
      <c r="I412" t="s">
        <v>509</v>
      </c>
      <c r="J412" t="s">
        <v>589</v>
      </c>
      <c r="K412" s="502">
        <v>-21.6</v>
      </c>
      <c r="L412" t="s">
        <v>307</v>
      </c>
    </row>
    <row r="413" spans="1:12">
      <c r="A413" t="s">
        <v>586</v>
      </c>
      <c r="B413" t="s">
        <v>3360</v>
      </c>
      <c r="C413" s="60" t="str">
        <f t="shared" si="36"/>
        <v>E5402</v>
      </c>
      <c r="D413" t="s">
        <v>587</v>
      </c>
      <c r="E413" t="s">
        <v>588</v>
      </c>
      <c r="F413" t="s">
        <v>506</v>
      </c>
      <c r="G413" t="s">
        <v>507</v>
      </c>
      <c r="H413" t="s">
        <v>508</v>
      </c>
      <c r="I413" t="s">
        <v>509</v>
      </c>
      <c r="J413" t="s">
        <v>589</v>
      </c>
      <c r="K413" s="502">
        <v>-22.32</v>
      </c>
      <c r="L413" t="s">
        <v>307</v>
      </c>
    </row>
    <row r="414" spans="1:12">
      <c r="A414" t="s">
        <v>586</v>
      </c>
      <c r="B414" t="s">
        <v>3361</v>
      </c>
      <c r="C414" s="60" t="str">
        <f t="shared" si="36"/>
        <v>E5402</v>
      </c>
      <c r="D414" t="s">
        <v>587</v>
      </c>
      <c r="E414" t="s">
        <v>588</v>
      </c>
      <c r="F414" t="s">
        <v>506</v>
      </c>
      <c r="G414" t="s">
        <v>507</v>
      </c>
      <c r="H414" t="s">
        <v>508</v>
      </c>
      <c r="I414" t="s">
        <v>509</v>
      </c>
      <c r="J414" t="s">
        <v>589</v>
      </c>
      <c r="K414" s="502">
        <v>-21.6</v>
      </c>
      <c r="L414" t="s">
        <v>307</v>
      </c>
    </row>
    <row r="415" spans="1:12">
      <c r="A415" t="s">
        <v>586</v>
      </c>
      <c r="B415" t="s">
        <v>3362</v>
      </c>
      <c r="C415" s="60" t="str">
        <f t="shared" si="36"/>
        <v>E5402</v>
      </c>
      <c r="D415" t="s">
        <v>587</v>
      </c>
      <c r="E415" t="s">
        <v>588</v>
      </c>
      <c r="F415" t="s">
        <v>506</v>
      </c>
      <c r="G415" t="s">
        <v>507</v>
      </c>
      <c r="H415" t="s">
        <v>508</v>
      </c>
      <c r="I415" t="s">
        <v>509</v>
      </c>
      <c r="J415" t="s">
        <v>589</v>
      </c>
      <c r="K415" s="502">
        <v>-22.32</v>
      </c>
      <c r="L415" t="s">
        <v>307</v>
      </c>
    </row>
    <row r="416" spans="1:12">
      <c r="A416" t="s">
        <v>586</v>
      </c>
      <c r="B416" t="s">
        <v>3363</v>
      </c>
      <c r="C416" s="60" t="str">
        <f t="shared" si="36"/>
        <v>E5402</v>
      </c>
      <c r="D416" t="s">
        <v>587</v>
      </c>
      <c r="E416" t="s">
        <v>588</v>
      </c>
      <c r="F416" t="s">
        <v>506</v>
      </c>
      <c r="G416" t="s">
        <v>507</v>
      </c>
      <c r="H416" t="s">
        <v>508</v>
      </c>
      <c r="I416" t="s">
        <v>509</v>
      </c>
      <c r="J416" t="s">
        <v>589</v>
      </c>
      <c r="K416" s="502">
        <v>-22.32</v>
      </c>
      <c r="L416" t="s">
        <v>307</v>
      </c>
    </row>
    <row r="417" spans="1:12">
      <c r="A417" t="s">
        <v>586</v>
      </c>
      <c r="B417" t="s">
        <v>3364</v>
      </c>
      <c r="C417" s="60" t="str">
        <f t="shared" si="36"/>
        <v>E5402</v>
      </c>
      <c r="D417" t="s">
        <v>587</v>
      </c>
      <c r="E417" t="s">
        <v>588</v>
      </c>
      <c r="F417" t="s">
        <v>506</v>
      </c>
      <c r="G417" t="s">
        <v>507</v>
      </c>
      <c r="H417" t="s">
        <v>508</v>
      </c>
      <c r="I417" t="s">
        <v>509</v>
      </c>
      <c r="J417" t="s">
        <v>589</v>
      </c>
      <c r="K417" s="502">
        <v>-21.6</v>
      </c>
      <c r="L417" t="s">
        <v>307</v>
      </c>
    </row>
    <row r="418" spans="1:12">
      <c r="A418" t="s">
        <v>586</v>
      </c>
      <c r="B418" t="s">
        <v>3365</v>
      </c>
      <c r="C418" s="60" t="str">
        <f t="shared" si="36"/>
        <v>E5402</v>
      </c>
      <c r="D418" t="s">
        <v>587</v>
      </c>
      <c r="E418" t="s">
        <v>588</v>
      </c>
      <c r="F418" t="s">
        <v>506</v>
      </c>
      <c r="G418" t="s">
        <v>507</v>
      </c>
      <c r="H418" t="s">
        <v>508</v>
      </c>
      <c r="I418" t="s">
        <v>509</v>
      </c>
      <c r="J418" t="s">
        <v>589</v>
      </c>
      <c r="K418" s="502">
        <v>-22.32</v>
      </c>
      <c r="L418" t="s">
        <v>307</v>
      </c>
    </row>
    <row r="419" spans="1:12">
      <c r="A419" t="s">
        <v>586</v>
      </c>
      <c r="B419" t="s">
        <v>3366</v>
      </c>
      <c r="C419" s="60" t="str">
        <f t="shared" si="36"/>
        <v>E5402</v>
      </c>
      <c r="D419" t="s">
        <v>587</v>
      </c>
      <c r="E419" t="s">
        <v>588</v>
      </c>
      <c r="F419" t="s">
        <v>506</v>
      </c>
      <c r="G419" t="s">
        <v>507</v>
      </c>
      <c r="H419" t="s">
        <v>508</v>
      </c>
      <c r="I419" t="s">
        <v>509</v>
      </c>
      <c r="J419" t="s">
        <v>589</v>
      </c>
      <c r="K419" s="502">
        <v>-21.6</v>
      </c>
      <c r="L419" t="s">
        <v>307</v>
      </c>
    </row>
    <row r="420" spans="1:12">
      <c r="A420" t="s">
        <v>586</v>
      </c>
      <c r="B420" t="s">
        <v>3367</v>
      </c>
      <c r="C420" s="60" t="str">
        <f t="shared" si="36"/>
        <v>E5402</v>
      </c>
      <c r="D420" t="s">
        <v>587</v>
      </c>
      <c r="E420" t="s">
        <v>588</v>
      </c>
      <c r="F420" t="s">
        <v>506</v>
      </c>
      <c r="G420" t="s">
        <v>507</v>
      </c>
      <c r="H420" t="s">
        <v>508</v>
      </c>
      <c r="I420" t="s">
        <v>509</v>
      </c>
      <c r="J420" t="s">
        <v>589</v>
      </c>
      <c r="K420" s="502">
        <v>-22.32</v>
      </c>
      <c r="L420" t="s">
        <v>307</v>
      </c>
    </row>
    <row r="421" spans="1:12">
      <c r="A421" t="s">
        <v>586</v>
      </c>
      <c r="B421" t="s">
        <v>3356</v>
      </c>
      <c r="C421" s="3" t="str">
        <f>+'2-Préparation saisie LV PROD'!B40</f>
        <v>E5570</v>
      </c>
      <c r="D421" t="s">
        <v>587</v>
      </c>
      <c r="E421" t="s">
        <v>588</v>
      </c>
      <c r="F421" t="s">
        <v>506</v>
      </c>
      <c r="G421" t="s">
        <v>507</v>
      </c>
      <c r="H421" t="s">
        <v>508</v>
      </c>
      <c r="I421" t="s">
        <v>509</v>
      </c>
      <c r="J421" t="s">
        <v>589</v>
      </c>
      <c r="K421" s="502">
        <v>-22.32</v>
      </c>
      <c r="L421" t="s">
        <v>308</v>
      </c>
    </row>
    <row r="422" spans="1:12">
      <c r="A422" t="s">
        <v>586</v>
      </c>
      <c r="B422" t="s">
        <v>3357</v>
      </c>
      <c r="C422" s="60" t="str">
        <f>C421</f>
        <v>E5570</v>
      </c>
      <c r="D422" t="s">
        <v>587</v>
      </c>
      <c r="E422" t="s">
        <v>588</v>
      </c>
      <c r="F422" t="s">
        <v>506</v>
      </c>
      <c r="G422" t="s">
        <v>507</v>
      </c>
      <c r="H422" t="s">
        <v>508</v>
      </c>
      <c r="I422" t="s">
        <v>509</v>
      </c>
      <c r="J422" t="s">
        <v>589</v>
      </c>
      <c r="K422" s="502">
        <f>K410</f>
        <v>-20.16</v>
      </c>
      <c r="L422" t="s">
        <v>308</v>
      </c>
    </row>
    <row r="423" spans="1:12">
      <c r="A423" t="s">
        <v>586</v>
      </c>
      <c r="B423" t="s">
        <v>3358</v>
      </c>
      <c r="C423" s="60" t="str">
        <f t="shared" ref="C423:C432" si="37">+C422</f>
        <v>E5570</v>
      </c>
      <c r="D423" t="s">
        <v>587</v>
      </c>
      <c r="E423" t="s">
        <v>588</v>
      </c>
      <c r="F423" t="s">
        <v>506</v>
      </c>
      <c r="G423" t="s">
        <v>507</v>
      </c>
      <c r="H423" t="s">
        <v>508</v>
      </c>
      <c r="I423" t="s">
        <v>509</v>
      </c>
      <c r="J423" t="s">
        <v>589</v>
      </c>
      <c r="K423" s="502">
        <v>-22.32</v>
      </c>
      <c r="L423" t="s">
        <v>308</v>
      </c>
    </row>
    <row r="424" spans="1:12">
      <c r="A424" t="s">
        <v>586</v>
      </c>
      <c r="B424" t="s">
        <v>3359</v>
      </c>
      <c r="C424" s="60" t="str">
        <f t="shared" si="37"/>
        <v>E5570</v>
      </c>
      <c r="D424" t="s">
        <v>587</v>
      </c>
      <c r="E424" t="s">
        <v>588</v>
      </c>
      <c r="F424" t="s">
        <v>506</v>
      </c>
      <c r="G424" t="s">
        <v>507</v>
      </c>
      <c r="H424" t="s">
        <v>508</v>
      </c>
      <c r="I424" t="s">
        <v>509</v>
      </c>
      <c r="J424" t="s">
        <v>589</v>
      </c>
      <c r="K424" s="502">
        <v>-21.6</v>
      </c>
      <c r="L424" t="s">
        <v>308</v>
      </c>
    </row>
    <row r="425" spans="1:12">
      <c r="A425" t="s">
        <v>586</v>
      </c>
      <c r="B425" t="s">
        <v>3360</v>
      </c>
      <c r="C425" s="60" t="str">
        <f t="shared" si="37"/>
        <v>E5570</v>
      </c>
      <c r="D425" t="s">
        <v>587</v>
      </c>
      <c r="E425" t="s">
        <v>588</v>
      </c>
      <c r="F425" t="s">
        <v>506</v>
      </c>
      <c r="G425" t="s">
        <v>507</v>
      </c>
      <c r="H425" t="s">
        <v>508</v>
      </c>
      <c r="I425" t="s">
        <v>509</v>
      </c>
      <c r="J425" t="s">
        <v>589</v>
      </c>
      <c r="K425" s="502">
        <v>-22.32</v>
      </c>
      <c r="L425" t="s">
        <v>308</v>
      </c>
    </row>
    <row r="426" spans="1:12">
      <c r="A426" t="s">
        <v>586</v>
      </c>
      <c r="B426" t="s">
        <v>3361</v>
      </c>
      <c r="C426" s="60" t="str">
        <f t="shared" si="37"/>
        <v>E5570</v>
      </c>
      <c r="D426" t="s">
        <v>587</v>
      </c>
      <c r="E426" t="s">
        <v>588</v>
      </c>
      <c r="F426" t="s">
        <v>506</v>
      </c>
      <c r="G426" t="s">
        <v>507</v>
      </c>
      <c r="H426" t="s">
        <v>508</v>
      </c>
      <c r="I426" t="s">
        <v>509</v>
      </c>
      <c r="J426" t="s">
        <v>589</v>
      </c>
      <c r="K426" s="502">
        <v>-21.6</v>
      </c>
      <c r="L426" t="s">
        <v>308</v>
      </c>
    </row>
    <row r="427" spans="1:12">
      <c r="A427" t="s">
        <v>586</v>
      </c>
      <c r="B427" t="s">
        <v>3362</v>
      </c>
      <c r="C427" s="60" t="str">
        <f t="shared" si="37"/>
        <v>E5570</v>
      </c>
      <c r="D427" t="s">
        <v>587</v>
      </c>
      <c r="E427" t="s">
        <v>588</v>
      </c>
      <c r="F427" t="s">
        <v>506</v>
      </c>
      <c r="G427" t="s">
        <v>507</v>
      </c>
      <c r="H427" t="s">
        <v>508</v>
      </c>
      <c r="I427" t="s">
        <v>509</v>
      </c>
      <c r="J427" t="s">
        <v>589</v>
      </c>
      <c r="K427" s="502">
        <v>-22.32</v>
      </c>
      <c r="L427" t="s">
        <v>308</v>
      </c>
    </row>
    <row r="428" spans="1:12">
      <c r="A428" t="s">
        <v>586</v>
      </c>
      <c r="B428" t="s">
        <v>3363</v>
      </c>
      <c r="C428" s="60" t="str">
        <f t="shared" si="37"/>
        <v>E5570</v>
      </c>
      <c r="D428" t="s">
        <v>587</v>
      </c>
      <c r="E428" t="s">
        <v>588</v>
      </c>
      <c r="F428" t="s">
        <v>506</v>
      </c>
      <c r="G428" t="s">
        <v>507</v>
      </c>
      <c r="H428" t="s">
        <v>508</v>
      </c>
      <c r="I428" t="s">
        <v>509</v>
      </c>
      <c r="J428" t="s">
        <v>589</v>
      </c>
      <c r="K428" s="502">
        <v>-22.32</v>
      </c>
      <c r="L428" t="s">
        <v>308</v>
      </c>
    </row>
    <row r="429" spans="1:12">
      <c r="A429" t="s">
        <v>586</v>
      </c>
      <c r="B429" t="s">
        <v>3364</v>
      </c>
      <c r="C429" s="60" t="str">
        <f t="shared" si="37"/>
        <v>E5570</v>
      </c>
      <c r="D429" t="s">
        <v>587</v>
      </c>
      <c r="E429" t="s">
        <v>588</v>
      </c>
      <c r="F429" t="s">
        <v>506</v>
      </c>
      <c r="G429" t="s">
        <v>507</v>
      </c>
      <c r="H429" t="s">
        <v>508</v>
      </c>
      <c r="I429" t="s">
        <v>509</v>
      </c>
      <c r="J429" t="s">
        <v>589</v>
      </c>
      <c r="K429" s="502">
        <v>-21.6</v>
      </c>
      <c r="L429" t="s">
        <v>308</v>
      </c>
    </row>
    <row r="430" spans="1:12">
      <c r="A430" t="s">
        <v>586</v>
      </c>
      <c r="B430" t="s">
        <v>3365</v>
      </c>
      <c r="C430" s="60" t="str">
        <f t="shared" si="37"/>
        <v>E5570</v>
      </c>
      <c r="D430" t="s">
        <v>587</v>
      </c>
      <c r="E430" t="s">
        <v>588</v>
      </c>
      <c r="F430" t="s">
        <v>506</v>
      </c>
      <c r="G430" t="s">
        <v>507</v>
      </c>
      <c r="H430" t="s">
        <v>508</v>
      </c>
      <c r="I430" t="s">
        <v>509</v>
      </c>
      <c r="J430" t="s">
        <v>589</v>
      </c>
      <c r="K430" s="502">
        <v>-22.32</v>
      </c>
      <c r="L430" t="s">
        <v>308</v>
      </c>
    </row>
    <row r="431" spans="1:12">
      <c r="A431" t="s">
        <v>586</v>
      </c>
      <c r="B431" t="s">
        <v>3366</v>
      </c>
      <c r="C431" s="60" t="str">
        <f t="shared" si="37"/>
        <v>E5570</v>
      </c>
      <c r="D431" t="s">
        <v>587</v>
      </c>
      <c r="E431" t="s">
        <v>588</v>
      </c>
      <c r="F431" t="s">
        <v>506</v>
      </c>
      <c r="G431" t="s">
        <v>507</v>
      </c>
      <c r="H431" t="s">
        <v>508</v>
      </c>
      <c r="I431" t="s">
        <v>509</v>
      </c>
      <c r="J431" t="s">
        <v>589</v>
      </c>
      <c r="K431" s="502">
        <v>-21.6</v>
      </c>
      <c r="L431" t="s">
        <v>308</v>
      </c>
    </row>
    <row r="432" spans="1:12">
      <c r="A432" t="s">
        <v>586</v>
      </c>
      <c r="B432" t="s">
        <v>3367</v>
      </c>
      <c r="C432" s="60" t="str">
        <f t="shared" si="37"/>
        <v>E5570</v>
      </c>
      <c r="D432" t="s">
        <v>587</v>
      </c>
      <c r="E432" t="s">
        <v>588</v>
      </c>
      <c r="F432" t="s">
        <v>506</v>
      </c>
      <c r="G432" t="s">
        <v>507</v>
      </c>
      <c r="H432" t="s">
        <v>508</v>
      </c>
      <c r="I432" t="s">
        <v>509</v>
      </c>
      <c r="J432" t="s">
        <v>589</v>
      </c>
      <c r="K432" s="502">
        <v>-22.32</v>
      </c>
      <c r="L432" t="s">
        <v>308</v>
      </c>
    </row>
    <row r="433" spans="1:12">
      <c r="A433" t="s">
        <v>586</v>
      </c>
      <c r="B433" t="s">
        <v>3356</v>
      </c>
      <c r="C433" s="3" t="str">
        <f>+'2-Préparation saisie LV PROD'!B41</f>
        <v>E5560</v>
      </c>
      <c r="D433" t="s">
        <v>587</v>
      </c>
      <c r="E433" t="s">
        <v>588</v>
      </c>
      <c r="F433" t="s">
        <v>506</v>
      </c>
      <c r="G433" t="s">
        <v>507</v>
      </c>
      <c r="H433" t="s">
        <v>508</v>
      </c>
      <c r="I433" t="s">
        <v>509</v>
      </c>
      <c r="J433" t="s">
        <v>589</v>
      </c>
      <c r="K433" s="502">
        <v>-22.32</v>
      </c>
      <c r="L433" t="s">
        <v>215</v>
      </c>
    </row>
    <row r="434" spans="1:12">
      <c r="A434" t="s">
        <v>586</v>
      </c>
      <c r="B434" t="s">
        <v>3357</v>
      </c>
      <c r="C434" s="60" t="str">
        <f>C433</f>
        <v>E5560</v>
      </c>
      <c r="D434" t="s">
        <v>587</v>
      </c>
      <c r="E434" t="s">
        <v>588</v>
      </c>
      <c r="F434" t="s">
        <v>506</v>
      </c>
      <c r="G434" t="s">
        <v>507</v>
      </c>
      <c r="H434" t="s">
        <v>508</v>
      </c>
      <c r="I434" t="s">
        <v>509</v>
      </c>
      <c r="J434" t="s">
        <v>589</v>
      </c>
      <c r="K434" s="502">
        <f>K422</f>
        <v>-20.16</v>
      </c>
      <c r="L434" t="s">
        <v>215</v>
      </c>
    </row>
    <row r="435" spans="1:12">
      <c r="A435" t="s">
        <v>586</v>
      </c>
      <c r="B435" t="s">
        <v>3358</v>
      </c>
      <c r="C435" s="60" t="str">
        <f t="shared" ref="C435:C444" si="38">+C434</f>
        <v>E5560</v>
      </c>
      <c r="D435" t="s">
        <v>587</v>
      </c>
      <c r="E435" t="s">
        <v>588</v>
      </c>
      <c r="F435" t="s">
        <v>506</v>
      </c>
      <c r="G435" t="s">
        <v>507</v>
      </c>
      <c r="H435" t="s">
        <v>508</v>
      </c>
      <c r="I435" t="s">
        <v>509</v>
      </c>
      <c r="J435" t="s">
        <v>589</v>
      </c>
      <c r="K435" s="502">
        <v>-22.32</v>
      </c>
      <c r="L435" t="s">
        <v>215</v>
      </c>
    </row>
    <row r="436" spans="1:12">
      <c r="A436" t="s">
        <v>586</v>
      </c>
      <c r="B436" t="s">
        <v>3359</v>
      </c>
      <c r="C436" s="60" t="str">
        <f t="shared" si="38"/>
        <v>E5560</v>
      </c>
      <c r="D436" t="s">
        <v>587</v>
      </c>
      <c r="E436" t="s">
        <v>588</v>
      </c>
      <c r="F436" t="s">
        <v>506</v>
      </c>
      <c r="G436" t="s">
        <v>507</v>
      </c>
      <c r="H436" t="s">
        <v>508</v>
      </c>
      <c r="I436" t="s">
        <v>509</v>
      </c>
      <c r="J436" t="s">
        <v>589</v>
      </c>
      <c r="K436" s="502">
        <v>-21.6</v>
      </c>
      <c r="L436" t="s">
        <v>215</v>
      </c>
    </row>
    <row r="437" spans="1:12">
      <c r="A437" t="s">
        <v>586</v>
      </c>
      <c r="B437" t="s">
        <v>3360</v>
      </c>
      <c r="C437" s="60" t="str">
        <f t="shared" si="38"/>
        <v>E5560</v>
      </c>
      <c r="D437" t="s">
        <v>587</v>
      </c>
      <c r="E437" t="s">
        <v>588</v>
      </c>
      <c r="F437" t="s">
        <v>506</v>
      </c>
      <c r="G437" t="s">
        <v>507</v>
      </c>
      <c r="H437" t="s">
        <v>508</v>
      </c>
      <c r="I437" t="s">
        <v>509</v>
      </c>
      <c r="J437" t="s">
        <v>589</v>
      </c>
      <c r="K437" s="502">
        <v>-22.32</v>
      </c>
      <c r="L437" t="s">
        <v>215</v>
      </c>
    </row>
    <row r="438" spans="1:12">
      <c r="A438" t="s">
        <v>586</v>
      </c>
      <c r="B438" t="s">
        <v>3361</v>
      </c>
      <c r="C438" s="60" t="str">
        <f t="shared" si="38"/>
        <v>E5560</v>
      </c>
      <c r="D438" t="s">
        <v>587</v>
      </c>
      <c r="E438" t="s">
        <v>588</v>
      </c>
      <c r="F438" t="s">
        <v>506</v>
      </c>
      <c r="G438" t="s">
        <v>507</v>
      </c>
      <c r="H438" t="s">
        <v>508</v>
      </c>
      <c r="I438" t="s">
        <v>509</v>
      </c>
      <c r="J438" t="s">
        <v>589</v>
      </c>
      <c r="K438" s="502">
        <v>-21.6</v>
      </c>
      <c r="L438" t="s">
        <v>215</v>
      </c>
    </row>
    <row r="439" spans="1:12">
      <c r="A439" t="s">
        <v>586</v>
      </c>
      <c r="B439" t="s">
        <v>3362</v>
      </c>
      <c r="C439" s="60" t="str">
        <f t="shared" si="38"/>
        <v>E5560</v>
      </c>
      <c r="D439" t="s">
        <v>587</v>
      </c>
      <c r="E439" t="s">
        <v>588</v>
      </c>
      <c r="F439" t="s">
        <v>506</v>
      </c>
      <c r="G439" t="s">
        <v>507</v>
      </c>
      <c r="H439" t="s">
        <v>508</v>
      </c>
      <c r="I439" t="s">
        <v>509</v>
      </c>
      <c r="J439" t="s">
        <v>589</v>
      </c>
      <c r="K439" s="502">
        <v>-22.32</v>
      </c>
      <c r="L439" t="s">
        <v>215</v>
      </c>
    </row>
    <row r="440" spans="1:12">
      <c r="A440" t="s">
        <v>586</v>
      </c>
      <c r="B440" t="s">
        <v>3363</v>
      </c>
      <c r="C440" s="60" t="str">
        <f t="shared" si="38"/>
        <v>E5560</v>
      </c>
      <c r="D440" t="s">
        <v>587</v>
      </c>
      <c r="E440" t="s">
        <v>588</v>
      </c>
      <c r="F440" t="s">
        <v>506</v>
      </c>
      <c r="G440" t="s">
        <v>507</v>
      </c>
      <c r="H440" t="s">
        <v>508</v>
      </c>
      <c r="I440" t="s">
        <v>509</v>
      </c>
      <c r="J440" t="s">
        <v>589</v>
      </c>
      <c r="K440" s="502">
        <v>-22.32</v>
      </c>
      <c r="L440" t="s">
        <v>215</v>
      </c>
    </row>
    <row r="441" spans="1:12">
      <c r="A441" t="s">
        <v>586</v>
      </c>
      <c r="B441" t="s">
        <v>3364</v>
      </c>
      <c r="C441" s="60" t="str">
        <f t="shared" si="38"/>
        <v>E5560</v>
      </c>
      <c r="D441" t="s">
        <v>587</v>
      </c>
      <c r="E441" t="s">
        <v>588</v>
      </c>
      <c r="F441" t="s">
        <v>506</v>
      </c>
      <c r="G441" t="s">
        <v>507</v>
      </c>
      <c r="H441" t="s">
        <v>508</v>
      </c>
      <c r="I441" t="s">
        <v>509</v>
      </c>
      <c r="J441" t="s">
        <v>589</v>
      </c>
      <c r="K441" s="502">
        <v>-21.6</v>
      </c>
      <c r="L441" t="s">
        <v>215</v>
      </c>
    </row>
    <row r="442" spans="1:12">
      <c r="A442" t="s">
        <v>586</v>
      </c>
      <c r="B442" t="s">
        <v>3365</v>
      </c>
      <c r="C442" s="60" t="str">
        <f t="shared" si="38"/>
        <v>E5560</v>
      </c>
      <c r="D442" t="s">
        <v>587</v>
      </c>
      <c r="E442" t="s">
        <v>588</v>
      </c>
      <c r="F442" t="s">
        <v>506</v>
      </c>
      <c r="G442" t="s">
        <v>507</v>
      </c>
      <c r="H442" t="s">
        <v>508</v>
      </c>
      <c r="I442" t="s">
        <v>509</v>
      </c>
      <c r="J442" t="s">
        <v>589</v>
      </c>
      <c r="K442" s="502">
        <v>-22.32</v>
      </c>
      <c r="L442" t="s">
        <v>215</v>
      </c>
    </row>
    <row r="443" spans="1:12">
      <c r="A443" t="s">
        <v>586</v>
      </c>
      <c r="B443" t="s">
        <v>3366</v>
      </c>
      <c r="C443" s="60" t="str">
        <f t="shared" si="38"/>
        <v>E5560</v>
      </c>
      <c r="D443" t="s">
        <v>587</v>
      </c>
      <c r="E443" t="s">
        <v>588</v>
      </c>
      <c r="F443" t="s">
        <v>506</v>
      </c>
      <c r="G443" t="s">
        <v>507</v>
      </c>
      <c r="H443" t="s">
        <v>508</v>
      </c>
      <c r="I443" t="s">
        <v>509</v>
      </c>
      <c r="J443" t="s">
        <v>589</v>
      </c>
      <c r="K443" s="502">
        <v>-21.6</v>
      </c>
      <c r="L443" t="s">
        <v>215</v>
      </c>
    </row>
    <row r="444" spans="1:12">
      <c r="A444" t="s">
        <v>586</v>
      </c>
      <c r="B444" t="s">
        <v>3367</v>
      </c>
      <c r="C444" s="60" t="str">
        <f t="shared" si="38"/>
        <v>E5560</v>
      </c>
      <c r="D444" t="s">
        <v>587</v>
      </c>
      <c r="E444" t="s">
        <v>588</v>
      </c>
      <c r="F444" t="s">
        <v>506</v>
      </c>
      <c r="G444" t="s">
        <v>507</v>
      </c>
      <c r="H444" t="s">
        <v>508</v>
      </c>
      <c r="I444" t="s">
        <v>509</v>
      </c>
      <c r="J444" t="s">
        <v>589</v>
      </c>
      <c r="K444" s="502">
        <v>-22.32</v>
      </c>
      <c r="L444" t="s">
        <v>215</v>
      </c>
    </row>
    <row r="445" spans="1:12">
      <c r="A445" t="s">
        <v>586</v>
      </c>
      <c r="B445" t="s">
        <v>3356</v>
      </c>
      <c r="C445" s="3" t="str">
        <f>+'2-Préparation saisie LV PROD'!B42</f>
        <v>E5700</v>
      </c>
      <c r="D445" t="s">
        <v>587</v>
      </c>
      <c r="E445" t="s">
        <v>588</v>
      </c>
      <c r="F445" t="s">
        <v>506</v>
      </c>
      <c r="G445" t="s">
        <v>507</v>
      </c>
      <c r="H445" t="s">
        <v>508</v>
      </c>
      <c r="I445" t="s">
        <v>509</v>
      </c>
      <c r="J445" t="s">
        <v>589</v>
      </c>
      <c r="K445" s="502">
        <v>-22.32</v>
      </c>
      <c r="L445" t="s">
        <v>565</v>
      </c>
    </row>
    <row r="446" spans="1:12">
      <c r="A446" t="s">
        <v>586</v>
      </c>
      <c r="B446" t="s">
        <v>3357</v>
      </c>
      <c r="C446" s="60" t="str">
        <f>C445</f>
        <v>E5700</v>
      </c>
      <c r="D446" t="s">
        <v>587</v>
      </c>
      <c r="E446" t="s">
        <v>588</v>
      </c>
      <c r="F446" t="s">
        <v>506</v>
      </c>
      <c r="G446" t="s">
        <v>507</v>
      </c>
      <c r="H446" t="s">
        <v>508</v>
      </c>
      <c r="I446" t="s">
        <v>509</v>
      </c>
      <c r="J446" t="s">
        <v>589</v>
      </c>
      <c r="K446" s="502">
        <f>K434</f>
        <v>-20.16</v>
      </c>
      <c r="L446" t="s">
        <v>565</v>
      </c>
    </row>
    <row r="447" spans="1:12">
      <c r="A447" t="s">
        <v>586</v>
      </c>
      <c r="B447" t="s">
        <v>3358</v>
      </c>
      <c r="C447" s="60" t="str">
        <f t="shared" ref="C447:C456" si="39">+C446</f>
        <v>E5700</v>
      </c>
      <c r="D447" t="s">
        <v>587</v>
      </c>
      <c r="E447" t="s">
        <v>588</v>
      </c>
      <c r="F447" t="s">
        <v>506</v>
      </c>
      <c r="G447" t="s">
        <v>507</v>
      </c>
      <c r="H447" t="s">
        <v>508</v>
      </c>
      <c r="I447" t="s">
        <v>509</v>
      </c>
      <c r="J447" t="s">
        <v>589</v>
      </c>
      <c r="K447" s="502">
        <v>-22.32</v>
      </c>
      <c r="L447" t="s">
        <v>565</v>
      </c>
    </row>
    <row r="448" spans="1:12">
      <c r="A448" t="s">
        <v>586</v>
      </c>
      <c r="B448" t="s">
        <v>3359</v>
      </c>
      <c r="C448" s="60" t="str">
        <f t="shared" si="39"/>
        <v>E5700</v>
      </c>
      <c r="D448" t="s">
        <v>587</v>
      </c>
      <c r="E448" t="s">
        <v>588</v>
      </c>
      <c r="F448" t="s">
        <v>506</v>
      </c>
      <c r="G448" t="s">
        <v>507</v>
      </c>
      <c r="H448" t="s">
        <v>508</v>
      </c>
      <c r="I448" t="s">
        <v>509</v>
      </c>
      <c r="J448" t="s">
        <v>589</v>
      </c>
      <c r="K448" s="502">
        <v>-21.6</v>
      </c>
      <c r="L448" t="s">
        <v>565</v>
      </c>
    </row>
    <row r="449" spans="1:12">
      <c r="A449" t="s">
        <v>586</v>
      </c>
      <c r="B449" t="s">
        <v>3360</v>
      </c>
      <c r="C449" s="60" t="str">
        <f t="shared" si="39"/>
        <v>E5700</v>
      </c>
      <c r="D449" t="s">
        <v>587</v>
      </c>
      <c r="E449" t="s">
        <v>588</v>
      </c>
      <c r="F449" t="s">
        <v>506</v>
      </c>
      <c r="G449" t="s">
        <v>507</v>
      </c>
      <c r="H449" t="s">
        <v>508</v>
      </c>
      <c r="I449" t="s">
        <v>509</v>
      </c>
      <c r="J449" t="s">
        <v>589</v>
      </c>
      <c r="K449" s="502">
        <v>-22.32</v>
      </c>
      <c r="L449" t="s">
        <v>565</v>
      </c>
    </row>
    <row r="450" spans="1:12">
      <c r="A450" t="s">
        <v>586</v>
      </c>
      <c r="B450" t="s">
        <v>3361</v>
      </c>
      <c r="C450" s="60" t="str">
        <f t="shared" si="39"/>
        <v>E5700</v>
      </c>
      <c r="D450" t="s">
        <v>587</v>
      </c>
      <c r="E450" t="s">
        <v>588</v>
      </c>
      <c r="F450" t="s">
        <v>506</v>
      </c>
      <c r="G450" t="s">
        <v>507</v>
      </c>
      <c r="H450" t="s">
        <v>508</v>
      </c>
      <c r="I450" t="s">
        <v>509</v>
      </c>
      <c r="J450" t="s">
        <v>589</v>
      </c>
      <c r="K450" s="502">
        <v>-21.6</v>
      </c>
      <c r="L450" t="s">
        <v>565</v>
      </c>
    </row>
    <row r="451" spans="1:12">
      <c r="A451" t="s">
        <v>586</v>
      </c>
      <c r="B451" t="s">
        <v>3362</v>
      </c>
      <c r="C451" s="60" t="str">
        <f t="shared" si="39"/>
        <v>E5700</v>
      </c>
      <c r="D451" t="s">
        <v>587</v>
      </c>
      <c r="E451" t="s">
        <v>588</v>
      </c>
      <c r="F451" t="s">
        <v>506</v>
      </c>
      <c r="G451" t="s">
        <v>507</v>
      </c>
      <c r="H451" t="s">
        <v>508</v>
      </c>
      <c r="I451" t="s">
        <v>509</v>
      </c>
      <c r="J451" t="s">
        <v>589</v>
      </c>
      <c r="K451" s="502">
        <v>-22.32</v>
      </c>
      <c r="L451" t="s">
        <v>565</v>
      </c>
    </row>
    <row r="452" spans="1:12">
      <c r="A452" t="s">
        <v>586</v>
      </c>
      <c r="B452" t="s">
        <v>3363</v>
      </c>
      <c r="C452" s="60" t="str">
        <f t="shared" si="39"/>
        <v>E5700</v>
      </c>
      <c r="D452" t="s">
        <v>587</v>
      </c>
      <c r="E452" t="s">
        <v>588</v>
      </c>
      <c r="F452" t="s">
        <v>506</v>
      </c>
      <c r="G452" t="s">
        <v>507</v>
      </c>
      <c r="H452" t="s">
        <v>508</v>
      </c>
      <c r="I452" t="s">
        <v>509</v>
      </c>
      <c r="J452" t="s">
        <v>589</v>
      </c>
      <c r="K452" s="502">
        <v>-22.32</v>
      </c>
      <c r="L452" t="s">
        <v>565</v>
      </c>
    </row>
    <row r="453" spans="1:12">
      <c r="A453" t="s">
        <v>586</v>
      </c>
      <c r="B453" t="s">
        <v>3364</v>
      </c>
      <c r="C453" s="60" t="str">
        <f t="shared" si="39"/>
        <v>E5700</v>
      </c>
      <c r="D453" t="s">
        <v>587</v>
      </c>
      <c r="E453" t="s">
        <v>588</v>
      </c>
      <c r="F453" t="s">
        <v>506</v>
      </c>
      <c r="G453" t="s">
        <v>507</v>
      </c>
      <c r="H453" t="s">
        <v>508</v>
      </c>
      <c r="I453" t="s">
        <v>509</v>
      </c>
      <c r="J453" t="s">
        <v>589</v>
      </c>
      <c r="K453" s="502">
        <v>-21.6</v>
      </c>
      <c r="L453" t="s">
        <v>565</v>
      </c>
    </row>
    <row r="454" spans="1:12">
      <c r="A454" t="s">
        <v>586</v>
      </c>
      <c r="B454" t="s">
        <v>3365</v>
      </c>
      <c r="C454" s="60" t="str">
        <f t="shared" si="39"/>
        <v>E5700</v>
      </c>
      <c r="D454" t="s">
        <v>587</v>
      </c>
      <c r="E454" t="s">
        <v>588</v>
      </c>
      <c r="F454" t="s">
        <v>506</v>
      </c>
      <c r="G454" t="s">
        <v>507</v>
      </c>
      <c r="H454" t="s">
        <v>508</v>
      </c>
      <c r="I454" t="s">
        <v>509</v>
      </c>
      <c r="J454" t="s">
        <v>589</v>
      </c>
      <c r="K454" s="502">
        <v>-22.32</v>
      </c>
      <c r="L454" t="s">
        <v>565</v>
      </c>
    </row>
    <row r="455" spans="1:12">
      <c r="A455" t="s">
        <v>586</v>
      </c>
      <c r="B455" t="s">
        <v>3366</v>
      </c>
      <c r="C455" s="60" t="str">
        <f t="shared" si="39"/>
        <v>E5700</v>
      </c>
      <c r="D455" t="s">
        <v>587</v>
      </c>
      <c r="E455" t="s">
        <v>588</v>
      </c>
      <c r="F455" t="s">
        <v>506</v>
      </c>
      <c r="G455" t="s">
        <v>507</v>
      </c>
      <c r="H455" t="s">
        <v>508</v>
      </c>
      <c r="I455" t="s">
        <v>509</v>
      </c>
      <c r="J455" t="s">
        <v>589</v>
      </c>
      <c r="K455" s="502">
        <v>-21.6</v>
      </c>
      <c r="L455" t="s">
        <v>565</v>
      </c>
    </row>
    <row r="456" spans="1:12">
      <c r="A456" t="s">
        <v>586</v>
      </c>
      <c r="B456" t="s">
        <v>3367</v>
      </c>
      <c r="C456" s="60" t="str">
        <f t="shared" si="39"/>
        <v>E5700</v>
      </c>
      <c r="D456" t="s">
        <v>587</v>
      </c>
      <c r="E456" t="s">
        <v>588</v>
      </c>
      <c r="F456" t="s">
        <v>506</v>
      </c>
      <c r="G456" t="s">
        <v>507</v>
      </c>
      <c r="H456" t="s">
        <v>508</v>
      </c>
      <c r="I456" t="s">
        <v>509</v>
      </c>
      <c r="J456" t="s">
        <v>589</v>
      </c>
      <c r="K456" s="502">
        <v>-22.32</v>
      </c>
      <c r="L456" t="s">
        <v>565</v>
      </c>
    </row>
    <row r="457" spans="1:12">
      <c r="A457" t="s">
        <v>586</v>
      </c>
      <c r="B457" t="s">
        <v>3356</v>
      </c>
      <c r="C457" s="3" t="str">
        <f>+'2-Préparation saisie LV PROD'!B43</f>
        <v>E5600</v>
      </c>
      <c r="D457" t="s">
        <v>587</v>
      </c>
      <c r="E457" t="s">
        <v>588</v>
      </c>
      <c r="F457" t="s">
        <v>506</v>
      </c>
      <c r="G457" t="s">
        <v>507</v>
      </c>
      <c r="H457" t="s">
        <v>508</v>
      </c>
      <c r="I457" t="s">
        <v>509</v>
      </c>
      <c r="J457" t="s">
        <v>589</v>
      </c>
      <c r="K457" s="502">
        <v>-22.32</v>
      </c>
      <c r="L457" t="s">
        <v>564</v>
      </c>
    </row>
    <row r="458" spans="1:12">
      <c r="A458" t="s">
        <v>586</v>
      </c>
      <c r="B458" t="s">
        <v>3357</v>
      </c>
      <c r="C458" s="60" t="str">
        <f>C457</f>
        <v>E5600</v>
      </c>
      <c r="D458" t="s">
        <v>587</v>
      </c>
      <c r="E458" t="s">
        <v>588</v>
      </c>
      <c r="F458" t="s">
        <v>506</v>
      </c>
      <c r="G458" t="s">
        <v>507</v>
      </c>
      <c r="H458" t="s">
        <v>508</v>
      </c>
      <c r="I458" t="s">
        <v>509</v>
      </c>
      <c r="J458" t="s">
        <v>589</v>
      </c>
      <c r="K458" s="502">
        <f>K446</f>
        <v>-20.16</v>
      </c>
      <c r="L458" t="s">
        <v>564</v>
      </c>
    </row>
    <row r="459" spans="1:12">
      <c r="A459" t="s">
        <v>586</v>
      </c>
      <c r="B459" t="s">
        <v>3358</v>
      </c>
      <c r="C459" s="60" t="str">
        <f t="shared" ref="C459:C468" si="40">+C458</f>
        <v>E5600</v>
      </c>
      <c r="D459" t="s">
        <v>587</v>
      </c>
      <c r="E459" t="s">
        <v>588</v>
      </c>
      <c r="F459" t="s">
        <v>506</v>
      </c>
      <c r="G459" t="s">
        <v>507</v>
      </c>
      <c r="H459" t="s">
        <v>508</v>
      </c>
      <c r="I459" t="s">
        <v>509</v>
      </c>
      <c r="J459" t="s">
        <v>589</v>
      </c>
      <c r="K459" s="502">
        <v>-22.32</v>
      </c>
      <c r="L459" t="s">
        <v>564</v>
      </c>
    </row>
    <row r="460" spans="1:12">
      <c r="A460" t="s">
        <v>586</v>
      </c>
      <c r="B460" t="s">
        <v>3359</v>
      </c>
      <c r="C460" s="60" t="str">
        <f t="shared" si="40"/>
        <v>E5600</v>
      </c>
      <c r="D460" t="s">
        <v>587</v>
      </c>
      <c r="E460" t="s">
        <v>588</v>
      </c>
      <c r="F460" t="s">
        <v>506</v>
      </c>
      <c r="G460" t="s">
        <v>507</v>
      </c>
      <c r="H460" t="s">
        <v>508</v>
      </c>
      <c r="I460" t="s">
        <v>509</v>
      </c>
      <c r="J460" t="s">
        <v>589</v>
      </c>
      <c r="K460" s="502">
        <v>-21.6</v>
      </c>
      <c r="L460" t="s">
        <v>564</v>
      </c>
    </row>
    <row r="461" spans="1:12">
      <c r="A461" t="s">
        <v>586</v>
      </c>
      <c r="B461" t="s">
        <v>3360</v>
      </c>
      <c r="C461" s="60" t="str">
        <f t="shared" si="40"/>
        <v>E5600</v>
      </c>
      <c r="D461" t="s">
        <v>587</v>
      </c>
      <c r="E461" t="s">
        <v>588</v>
      </c>
      <c r="F461" t="s">
        <v>506</v>
      </c>
      <c r="G461" t="s">
        <v>507</v>
      </c>
      <c r="H461" t="s">
        <v>508</v>
      </c>
      <c r="I461" t="s">
        <v>509</v>
      </c>
      <c r="J461" t="s">
        <v>589</v>
      </c>
      <c r="K461" s="502">
        <v>-22.32</v>
      </c>
      <c r="L461" t="s">
        <v>564</v>
      </c>
    </row>
    <row r="462" spans="1:12">
      <c r="A462" t="s">
        <v>586</v>
      </c>
      <c r="B462" t="s">
        <v>3361</v>
      </c>
      <c r="C462" s="60" t="str">
        <f t="shared" si="40"/>
        <v>E5600</v>
      </c>
      <c r="D462" t="s">
        <v>587</v>
      </c>
      <c r="E462" t="s">
        <v>588</v>
      </c>
      <c r="F462" t="s">
        <v>506</v>
      </c>
      <c r="G462" t="s">
        <v>507</v>
      </c>
      <c r="H462" t="s">
        <v>508</v>
      </c>
      <c r="I462" t="s">
        <v>509</v>
      </c>
      <c r="J462" t="s">
        <v>589</v>
      </c>
      <c r="K462" s="502">
        <v>-21.6</v>
      </c>
      <c r="L462" t="s">
        <v>564</v>
      </c>
    </row>
    <row r="463" spans="1:12">
      <c r="A463" t="s">
        <v>586</v>
      </c>
      <c r="B463" t="s">
        <v>3362</v>
      </c>
      <c r="C463" s="60" t="str">
        <f t="shared" si="40"/>
        <v>E5600</v>
      </c>
      <c r="D463" t="s">
        <v>587</v>
      </c>
      <c r="E463" t="s">
        <v>588</v>
      </c>
      <c r="F463" t="s">
        <v>506</v>
      </c>
      <c r="G463" t="s">
        <v>507</v>
      </c>
      <c r="H463" t="s">
        <v>508</v>
      </c>
      <c r="I463" t="s">
        <v>509</v>
      </c>
      <c r="J463" t="s">
        <v>589</v>
      </c>
      <c r="K463" s="502">
        <v>-22.32</v>
      </c>
      <c r="L463" t="s">
        <v>564</v>
      </c>
    </row>
    <row r="464" spans="1:12">
      <c r="A464" t="s">
        <v>586</v>
      </c>
      <c r="B464" t="s">
        <v>3363</v>
      </c>
      <c r="C464" s="60" t="str">
        <f t="shared" si="40"/>
        <v>E5600</v>
      </c>
      <c r="D464" t="s">
        <v>587</v>
      </c>
      <c r="E464" t="s">
        <v>588</v>
      </c>
      <c r="F464" t="s">
        <v>506</v>
      </c>
      <c r="G464" t="s">
        <v>507</v>
      </c>
      <c r="H464" t="s">
        <v>508</v>
      </c>
      <c r="I464" t="s">
        <v>509</v>
      </c>
      <c r="J464" t="s">
        <v>589</v>
      </c>
      <c r="K464" s="502">
        <v>-22.32</v>
      </c>
      <c r="L464" t="s">
        <v>564</v>
      </c>
    </row>
    <row r="465" spans="1:12">
      <c r="A465" t="s">
        <v>586</v>
      </c>
      <c r="B465" t="s">
        <v>3364</v>
      </c>
      <c r="C465" s="60" t="str">
        <f t="shared" si="40"/>
        <v>E5600</v>
      </c>
      <c r="D465" t="s">
        <v>587</v>
      </c>
      <c r="E465" t="s">
        <v>588</v>
      </c>
      <c r="F465" t="s">
        <v>506</v>
      </c>
      <c r="G465" t="s">
        <v>507</v>
      </c>
      <c r="H465" t="s">
        <v>508</v>
      </c>
      <c r="I465" t="s">
        <v>509</v>
      </c>
      <c r="J465" t="s">
        <v>589</v>
      </c>
      <c r="K465" s="502">
        <v>-21.6</v>
      </c>
      <c r="L465" t="s">
        <v>564</v>
      </c>
    </row>
    <row r="466" spans="1:12">
      <c r="A466" t="s">
        <v>586</v>
      </c>
      <c r="B466" t="s">
        <v>3365</v>
      </c>
      <c r="C466" s="60" t="str">
        <f t="shared" si="40"/>
        <v>E5600</v>
      </c>
      <c r="D466" t="s">
        <v>587</v>
      </c>
      <c r="E466" t="s">
        <v>588</v>
      </c>
      <c r="F466" t="s">
        <v>506</v>
      </c>
      <c r="G466" t="s">
        <v>507</v>
      </c>
      <c r="H466" t="s">
        <v>508</v>
      </c>
      <c r="I466" t="s">
        <v>509</v>
      </c>
      <c r="J466" t="s">
        <v>589</v>
      </c>
      <c r="K466" s="502">
        <v>-22.32</v>
      </c>
      <c r="L466" t="s">
        <v>564</v>
      </c>
    </row>
    <row r="467" spans="1:12">
      <c r="A467" t="s">
        <v>586</v>
      </c>
      <c r="B467" t="s">
        <v>3366</v>
      </c>
      <c r="C467" s="60" t="str">
        <f t="shared" si="40"/>
        <v>E5600</v>
      </c>
      <c r="D467" t="s">
        <v>587</v>
      </c>
      <c r="E467" t="s">
        <v>588</v>
      </c>
      <c r="F467" t="s">
        <v>506</v>
      </c>
      <c r="G467" t="s">
        <v>507</v>
      </c>
      <c r="H467" t="s">
        <v>508</v>
      </c>
      <c r="I467" t="s">
        <v>509</v>
      </c>
      <c r="J467" t="s">
        <v>589</v>
      </c>
      <c r="K467" s="502">
        <v>-21.6</v>
      </c>
      <c r="L467" t="s">
        <v>564</v>
      </c>
    </row>
    <row r="468" spans="1:12">
      <c r="A468" t="s">
        <v>586</v>
      </c>
      <c r="B468" t="s">
        <v>3367</v>
      </c>
      <c r="C468" s="60" t="str">
        <f t="shared" si="40"/>
        <v>E5600</v>
      </c>
      <c r="D468" t="s">
        <v>587</v>
      </c>
      <c r="E468" t="s">
        <v>588</v>
      </c>
      <c r="F468" t="s">
        <v>506</v>
      </c>
      <c r="G468" t="s">
        <v>507</v>
      </c>
      <c r="H468" t="s">
        <v>508</v>
      </c>
      <c r="I468" t="s">
        <v>509</v>
      </c>
      <c r="J468" t="s">
        <v>589</v>
      </c>
      <c r="K468" s="502">
        <v>-22.32</v>
      </c>
      <c r="L468" t="s">
        <v>564</v>
      </c>
    </row>
    <row r="469" spans="1:12">
      <c r="A469" t="s">
        <v>586</v>
      </c>
      <c r="B469" t="s">
        <v>3356</v>
      </c>
      <c r="C469" s="3" t="str">
        <f>+'2-Préparation saisie LV PROD'!B44</f>
        <v>E5770</v>
      </c>
      <c r="D469" t="s">
        <v>587</v>
      </c>
      <c r="E469" t="s">
        <v>588</v>
      </c>
      <c r="F469" t="s">
        <v>506</v>
      </c>
      <c r="G469" t="s">
        <v>507</v>
      </c>
      <c r="H469" t="s">
        <v>508</v>
      </c>
      <c r="I469" t="s">
        <v>509</v>
      </c>
      <c r="J469" t="s">
        <v>589</v>
      </c>
      <c r="K469" s="502">
        <v>-22.32</v>
      </c>
      <c r="L469" t="s">
        <v>566</v>
      </c>
    </row>
    <row r="470" spans="1:12">
      <c r="A470" t="s">
        <v>586</v>
      </c>
      <c r="B470" t="s">
        <v>3357</v>
      </c>
      <c r="C470" s="60" t="str">
        <f>C469</f>
        <v>E5770</v>
      </c>
      <c r="D470" t="s">
        <v>587</v>
      </c>
      <c r="E470" t="s">
        <v>588</v>
      </c>
      <c r="F470" t="s">
        <v>506</v>
      </c>
      <c r="G470" t="s">
        <v>507</v>
      </c>
      <c r="H470" t="s">
        <v>508</v>
      </c>
      <c r="I470" t="s">
        <v>509</v>
      </c>
      <c r="J470" t="s">
        <v>589</v>
      </c>
      <c r="K470" s="502">
        <f>K458</f>
        <v>-20.16</v>
      </c>
      <c r="L470" t="s">
        <v>566</v>
      </c>
    </row>
    <row r="471" spans="1:12">
      <c r="A471" t="s">
        <v>586</v>
      </c>
      <c r="B471" t="s">
        <v>3358</v>
      </c>
      <c r="C471" s="60" t="str">
        <f t="shared" ref="C471:C480" si="41">+C470</f>
        <v>E5770</v>
      </c>
      <c r="D471" t="s">
        <v>587</v>
      </c>
      <c r="E471" t="s">
        <v>588</v>
      </c>
      <c r="F471" t="s">
        <v>506</v>
      </c>
      <c r="G471" t="s">
        <v>507</v>
      </c>
      <c r="H471" t="s">
        <v>508</v>
      </c>
      <c r="I471" t="s">
        <v>509</v>
      </c>
      <c r="J471" t="s">
        <v>589</v>
      </c>
      <c r="K471" s="502">
        <v>-22.32</v>
      </c>
      <c r="L471" t="s">
        <v>566</v>
      </c>
    </row>
    <row r="472" spans="1:12">
      <c r="A472" t="s">
        <v>586</v>
      </c>
      <c r="B472" t="s">
        <v>3359</v>
      </c>
      <c r="C472" s="60" t="str">
        <f t="shared" si="41"/>
        <v>E5770</v>
      </c>
      <c r="D472" t="s">
        <v>587</v>
      </c>
      <c r="E472" t="s">
        <v>588</v>
      </c>
      <c r="F472" t="s">
        <v>506</v>
      </c>
      <c r="G472" t="s">
        <v>507</v>
      </c>
      <c r="H472" t="s">
        <v>508</v>
      </c>
      <c r="I472" t="s">
        <v>509</v>
      </c>
      <c r="J472" t="s">
        <v>589</v>
      </c>
      <c r="K472" s="502">
        <v>-21.6</v>
      </c>
      <c r="L472" t="s">
        <v>566</v>
      </c>
    </row>
    <row r="473" spans="1:12">
      <c r="A473" t="s">
        <v>586</v>
      </c>
      <c r="B473" t="s">
        <v>3360</v>
      </c>
      <c r="C473" s="60" t="str">
        <f t="shared" si="41"/>
        <v>E5770</v>
      </c>
      <c r="D473" t="s">
        <v>587</v>
      </c>
      <c r="E473" t="s">
        <v>588</v>
      </c>
      <c r="F473" t="s">
        <v>506</v>
      </c>
      <c r="G473" t="s">
        <v>507</v>
      </c>
      <c r="H473" t="s">
        <v>508</v>
      </c>
      <c r="I473" t="s">
        <v>509</v>
      </c>
      <c r="J473" t="s">
        <v>589</v>
      </c>
      <c r="K473" s="502">
        <v>-22.32</v>
      </c>
      <c r="L473" t="s">
        <v>566</v>
      </c>
    </row>
    <row r="474" spans="1:12">
      <c r="A474" t="s">
        <v>586</v>
      </c>
      <c r="B474" t="s">
        <v>3361</v>
      </c>
      <c r="C474" s="60" t="str">
        <f t="shared" si="41"/>
        <v>E5770</v>
      </c>
      <c r="D474" t="s">
        <v>587</v>
      </c>
      <c r="E474" t="s">
        <v>588</v>
      </c>
      <c r="F474" t="s">
        <v>506</v>
      </c>
      <c r="G474" t="s">
        <v>507</v>
      </c>
      <c r="H474" t="s">
        <v>508</v>
      </c>
      <c r="I474" t="s">
        <v>509</v>
      </c>
      <c r="J474" t="s">
        <v>589</v>
      </c>
      <c r="K474" s="502">
        <v>-21.6</v>
      </c>
      <c r="L474" t="s">
        <v>566</v>
      </c>
    </row>
    <row r="475" spans="1:12">
      <c r="A475" t="s">
        <v>586</v>
      </c>
      <c r="B475" t="s">
        <v>3362</v>
      </c>
      <c r="C475" s="60" t="str">
        <f t="shared" si="41"/>
        <v>E5770</v>
      </c>
      <c r="D475" t="s">
        <v>587</v>
      </c>
      <c r="E475" t="s">
        <v>588</v>
      </c>
      <c r="F475" t="s">
        <v>506</v>
      </c>
      <c r="G475" t="s">
        <v>507</v>
      </c>
      <c r="H475" t="s">
        <v>508</v>
      </c>
      <c r="I475" t="s">
        <v>509</v>
      </c>
      <c r="J475" t="s">
        <v>589</v>
      </c>
      <c r="K475" s="502">
        <v>-22.32</v>
      </c>
      <c r="L475" t="s">
        <v>566</v>
      </c>
    </row>
    <row r="476" spans="1:12">
      <c r="A476" t="s">
        <v>586</v>
      </c>
      <c r="B476" t="s">
        <v>3363</v>
      </c>
      <c r="C476" s="60" t="str">
        <f t="shared" si="41"/>
        <v>E5770</v>
      </c>
      <c r="D476" t="s">
        <v>587</v>
      </c>
      <c r="E476" t="s">
        <v>588</v>
      </c>
      <c r="F476" t="s">
        <v>506</v>
      </c>
      <c r="G476" t="s">
        <v>507</v>
      </c>
      <c r="H476" t="s">
        <v>508</v>
      </c>
      <c r="I476" t="s">
        <v>509</v>
      </c>
      <c r="J476" t="s">
        <v>589</v>
      </c>
      <c r="K476" s="502">
        <v>-22.32</v>
      </c>
      <c r="L476" t="s">
        <v>566</v>
      </c>
    </row>
    <row r="477" spans="1:12">
      <c r="A477" t="s">
        <v>586</v>
      </c>
      <c r="B477" t="s">
        <v>3364</v>
      </c>
      <c r="C477" s="60" t="str">
        <f t="shared" si="41"/>
        <v>E5770</v>
      </c>
      <c r="D477" t="s">
        <v>587</v>
      </c>
      <c r="E477" t="s">
        <v>588</v>
      </c>
      <c r="F477" t="s">
        <v>506</v>
      </c>
      <c r="G477" t="s">
        <v>507</v>
      </c>
      <c r="H477" t="s">
        <v>508</v>
      </c>
      <c r="I477" t="s">
        <v>509</v>
      </c>
      <c r="J477" t="s">
        <v>589</v>
      </c>
      <c r="K477" s="502">
        <v>-21.6</v>
      </c>
      <c r="L477" t="s">
        <v>566</v>
      </c>
    </row>
    <row r="478" spans="1:12">
      <c r="A478" t="s">
        <v>586</v>
      </c>
      <c r="B478" t="s">
        <v>3365</v>
      </c>
      <c r="C478" s="60" t="str">
        <f t="shared" si="41"/>
        <v>E5770</v>
      </c>
      <c r="D478" t="s">
        <v>587</v>
      </c>
      <c r="E478" t="s">
        <v>588</v>
      </c>
      <c r="F478" t="s">
        <v>506</v>
      </c>
      <c r="G478" t="s">
        <v>507</v>
      </c>
      <c r="H478" t="s">
        <v>508</v>
      </c>
      <c r="I478" t="s">
        <v>509</v>
      </c>
      <c r="J478" t="s">
        <v>589</v>
      </c>
      <c r="K478" s="502">
        <v>-22.32</v>
      </c>
      <c r="L478" t="s">
        <v>566</v>
      </c>
    </row>
    <row r="479" spans="1:12">
      <c r="A479" t="s">
        <v>586</v>
      </c>
      <c r="B479" t="s">
        <v>3366</v>
      </c>
      <c r="C479" s="60" t="str">
        <f t="shared" si="41"/>
        <v>E5770</v>
      </c>
      <c r="D479" t="s">
        <v>587</v>
      </c>
      <c r="E479" t="s">
        <v>588</v>
      </c>
      <c r="F479" t="s">
        <v>506</v>
      </c>
      <c r="G479" t="s">
        <v>507</v>
      </c>
      <c r="H479" t="s">
        <v>508</v>
      </c>
      <c r="I479" t="s">
        <v>509</v>
      </c>
      <c r="J479" t="s">
        <v>589</v>
      </c>
      <c r="K479" s="502">
        <v>-21.6</v>
      </c>
      <c r="L479" t="s">
        <v>566</v>
      </c>
    </row>
    <row r="480" spans="1:12">
      <c r="A480" t="s">
        <v>586</v>
      </c>
      <c r="B480" t="s">
        <v>3367</v>
      </c>
      <c r="C480" s="60" t="str">
        <f t="shared" si="41"/>
        <v>E5770</v>
      </c>
      <c r="D480" t="s">
        <v>587</v>
      </c>
      <c r="E480" t="s">
        <v>588</v>
      </c>
      <c r="F480" t="s">
        <v>506</v>
      </c>
      <c r="G480" t="s">
        <v>507</v>
      </c>
      <c r="H480" t="s">
        <v>508</v>
      </c>
      <c r="I480" t="s">
        <v>509</v>
      </c>
      <c r="J480" t="s">
        <v>589</v>
      </c>
      <c r="K480" s="502">
        <v>-22.32</v>
      </c>
      <c r="L480" t="s">
        <v>566</v>
      </c>
    </row>
    <row r="481" spans="1:12">
      <c r="A481" t="s">
        <v>586</v>
      </c>
      <c r="B481" t="s">
        <v>3356</v>
      </c>
      <c r="C481" s="3" t="str">
        <f>+'2-Préparation saisie LV PROD'!B45</f>
        <v>E5630</v>
      </c>
      <c r="D481" t="s">
        <v>587</v>
      </c>
      <c r="E481" t="s">
        <v>588</v>
      </c>
      <c r="F481" t="s">
        <v>506</v>
      </c>
      <c r="G481" t="s">
        <v>507</v>
      </c>
      <c r="H481" t="s">
        <v>508</v>
      </c>
      <c r="I481" t="s">
        <v>509</v>
      </c>
      <c r="J481" t="s">
        <v>589</v>
      </c>
      <c r="K481" s="502">
        <v>-22.32</v>
      </c>
      <c r="L481" t="s">
        <v>3423</v>
      </c>
    </row>
    <row r="482" spans="1:12">
      <c r="A482" t="s">
        <v>586</v>
      </c>
      <c r="B482" t="s">
        <v>3357</v>
      </c>
      <c r="C482" s="60" t="str">
        <f>C481</f>
        <v>E5630</v>
      </c>
      <c r="D482" t="s">
        <v>587</v>
      </c>
      <c r="E482" t="s">
        <v>588</v>
      </c>
      <c r="F482" t="s">
        <v>506</v>
      </c>
      <c r="G482" t="s">
        <v>507</v>
      </c>
      <c r="H482" t="s">
        <v>508</v>
      </c>
      <c r="I482" t="s">
        <v>509</v>
      </c>
      <c r="J482" t="s">
        <v>589</v>
      </c>
      <c r="K482" s="502">
        <f>K470</f>
        <v>-20.16</v>
      </c>
      <c r="L482" t="s">
        <v>3423</v>
      </c>
    </row>
    <row r="483" spans="1:12">
      <c r="A483" t="s">
        <v>586</v>
      </c>
      <c r="B483" t="s">
        <v>3358</v>
      </c>
      <c r="C483" s="60" t="str">
        <f t="shared" ref="C483:C492" si="42">+C482</f>
        <v>E5630</v>
      </c>
      <c r="D483" t="s">
        <v>587</v>
      </c>
      <c r="E483" t="s">
        <v>588</v>
      </c>
      <c r="F483" t="s">
        <v>506</v>
      </c>
      <c r="G483" t="s">
        <v>507</v>
      </c>
      <c r="H483" t="s">
        <v>508</v>
      </c>
      <c r="I483" t="s">
        <v>509</v>
      </c>
      <c r="J483" t="s">
        <v>589</v>
      </c>
      <c r="K483" s="502">
        <v>-22.32</v>
      </c>
      <c r="L483" t="s">
        <v>3423</v>
      </c>
    </row>
    <row r="484" spans="1:12">
      <c r="A484" t="s">
        <v>586</v>
      </c>
      <c r="B484" t="s">
        <v>3359</v>
      </c>
      <c r="C484" s="60" t="str">
        <f t="shared" si="42"/>
        <v>E5630</v>
      </c>
      <c r="D484" t="s">
        <v>587</v>
      </c>
      <c r="E484" t="s">
        <v>588</v>
      </c>
      <c r="F484" t="s">
        <v>506</v>
      </c>
      <c r="G484" t="s">
        <v>507</v>
      </c>
      <c r="H484" t="s">
        <v>508</v>
      </c>
      <c r="I484" t="s">
        <v>509</v>
      </c>
      <c r="J484" t="s">
        <v>589</v>
      </c>
      <c r="K484" s="502">
        <v>-21.6</v>
      </c>
      <c r="L484" t="s">
        <v>3423</v>
      </c>
    </row>
    <row r="485" spans="1:12">
      <c r="A485" t="s">
        <v>586</v>
      </c>
      <c r="B485" t="s">
        <v>3360</v>
      </c>
      <c r="C485" s="60" t="str">
        <f t="shared" si="42"/>
        <v>E5630</v>
      </c>
      <c r="D485" t="s">
        <v>587</v>
      </c>
      <c r="E485" t="s">
        <v>588</v>
      </c>
      <c r="F485" t="s">
        <v>506</v>
      </c>
      <c r="G485" t="s">
        <v>507</v>
      </c>
      <c r="H485" t="s">
        <v>508</v>
      </c>
      <c r="I485" t="s">
        <v>509</v>
      </c>
      <c r="J485" t="s">
        <v>589</v>
      </c>
      <c r="K485" s="502">
        <v>-22.32</v>
      </c>
      <c r="L485" t="s">
        <v>3423</v>
      </c>
    </row>
    <row r="486" spans="1:12">
      <c r="A486" t="s">
        <v>586</v>
      </c>
      <c r="B486" t="s">
        <v>3361</v>
      </c>
      <c r="C486" s="60" t="str">
        <f t="shared" si="42"/>
        <v>E5630</v>
      </c>
      <c r="D486" t="s">
        <v>587</v>
      </c>
      <c r="E486" t="s">
        <v>588</v>
      </c>
      <c r="F486" t="s">
        <v>506</v>
      </c>
      <c r="G486" t="s">
        <v>507</v>
      </c>
      <c r="H486" t="s">
        <v>508</v>
      </c>
      <c r="I486" t="s">
        <v>509</v>
      </c>
      <c r="J486" t="s">
        <v>589</v>
      </c>
      <c r="K486" s="502">
        <v>-21.6</v>
      </c>
      <c r="L486" t="s">
        <v>3423</v>
      </c>
    </row>
    <row r="487" spans="1:12">
      <c r="A487" t="s">
        <v>586</v>
      </c>
      <c r="B487" t="s">
        <v>3362</v>
      </c>
      <c r="C487" s="60" t="str">
        <f t="shared" si="42"/>
        <v>E5630</v>
      </c>
      <c r="D487" t="s">
        <v>587</v>
      </c>
      <c r="E487" t="s">
        <v>588</v>
      </c>
      <c r="F487" t="s">
        <v>506</v>
      </c>
      <c r="G487" t="s">
        <v>507</v>
      </c>
      <c r="H487" t="s">
        <v>508</v>
      </c>
      <c r="I487" t="s">
        <v>509</v>
      </c>
      <c r="J487" t="s">
        <v>589</v>
      </c>
      <c r="K487" s="502">
        <v>-22.32</v>
      </c>
      <c r="L487" t="s">
        <v>3423</v>
      </c>
    </row>
    <row r="488" spans="1:12">
      <c r="A488" t="s">
        <v>586</v>
      </c>
      <c r="B488" t="s">
        <v>3363</v>
      </c>
      <c r="C488" s="60" t="str">
        <f t="shared" si="42"/>
        <v>E5630</v>
      </c>
      <c r="D488" t="s">
        <v>587</v>
      </c>
      <c r="E488" t="s">
        <v>588</v>
      </c>
      <c r="F488" t="s">
        <v>506</v>
      </c>
      <c r="G488" t="s">
        <v>507</v>
      </c>
      <c r="H488" t="s">
        <v>508</v>
      </c>
      <c r="I488" t="s">
        <v>509</v>
      </c>
      <c r="J488" t="s">
        <v>589</v>
      </c>
      <c r="K488" s="502">
        <v>-22.32</v>
      </c>
      <c r="L488" t="s">
        <v>3423</v>
      </c>
    </row>
    <row r="489" spans="1:12">
      <c r="A489" t="s">
        <v>586</v>
      </c>
      <c r="B489" t="s">
        <v>3364</v>
      </c>
      <c r="C489" s="60" t="str">
        <f t="shared" si="42"/>
        <v>E5630</v>
      </c>
      <c r="D489" t="s">
        <v>587</v>
      </c>
      <c r="E489" t="s">
        <v>588</v>
      </c>
      <c r="F489" t="s">
        <v>506</v>
      </c>
      <c r="G489" t="s">
        <v>507</v>
      </c>
      <c r="H489" t="s">
        <v>508</v>
      </c>
      <c r="I489" t="s">
        <v>509</v>
      </c>
      <c r="J489" t="s">
        <v>589</v>
      </c>
      <c r="K489" s="502">
        <v>-21.6</v>
      </c>
      <c r="L489" t="s">
        <v>3423</v>
      </c>
    </row>
    <row r="490" spans="1:12">
      <c r="A490" t="s">
        <v>586</v>
      </c>
      <c r="B490" t="s">
        <v>3365</v>
      </c>
      <c r="C490" s="60" t="str">
        <f t="shared" si="42"/>
        <v>E5630</v>
      </c>
      <c r="D490" t="s">
        <v>587</v>
      </c>
      <c r="E490" t="s">
        <v>588</v>
      </c>
      <c r="F490" t="s">
        <v>506</v>
      </c>
      <c r="G490" t="s">
        <v>507</v>
      </c>
      <c r="H490" t="s">
        <v>508</v>
      </c>
      <c r="I490" t="s">
        <v>509</v>
      </c>
      <c r="J490" t="s">
        <v>589</v>
      </c>
      <c r="K490" s="502">
        <v>-22.32</v>
      </c>
      <c r="L490" t="s">
        <v>3423</v>
      </c>
    </row>
    <row r="491" spans="1:12">
      <c r="A491" t="s">
        <v>586</v>
      </c>
      <c r="B491" t="s">
        <v>3366</v>
      </c>
      <c r="C491" s="60" t="str">
        <f t="shared" si="42"/>
        <v>E5630</v>
      </c>
      <c r="D491" t="s">
        <v>587</v>
      </c>
      <c r="E491" t="s">
        <v>588</v>
      </c>
      <c r="F491" t="s">
        <v>506</v>
      </c>
      <c r="G491" t="s">
        <v>507</v>
      </c>
      <c r="H491" t="s">
        <v>508</v>
      </c>
      <c r="I491" t="s">
        <v>509</v>
      </c>
      <c r="J491" t="s">
        <v>589</v>
      </c>
      <c r="K491" s="502">
        <v>-21.6</v>
      </c>
      <c r="L491" t="s">
        <v>3423</v>
      </c>
    </row>
    <row r="492" spans="1:12">
      <c r="A492" t="s">
        <v>586</v>
      </c>
      <c r="B492" t="s">
        <v>3367</v>
      </c>
      <c r="C492" s="60" t="str">
        <f t="shared" si="42"/>
        <v>E5630</v>
      </c>
      <c r="D492" t="s">
        <v>587</v>
      </c>
      <c r="E492" t="s">
        <v>588</v>
      </c>
      <c r="F492" t="s">
        <v>506</v>
      </c>
      <c r="G492" t="s">
        <v>507</v>
      </c>
      <c r="H492" t="s">
        <v>508</v>
      </c>
      <c r="I492" t="s">
        <v>509</v>
      </c>
      <c r="J492" t="s">
        <v>589</v>
      </c>
      <c r="K492" s="502">
        <v>-22.32</v>
      </c>
      <c r="L492" t="s">
        <v>3423</v>
      </c>
    </row>
    <row r="493" spans="1:12">
      <c r="A493" t="s">
        <v>586</v>
      </c>
      <c r="B493" t="s">
        <v>3356</v>
      </c>
      <c r="C493" s="3" t="str">
        <f>+'2-Préparation saisie LV PROD'!B46</f>
        <v>E5690</v>
      </c>
      <c r="D493" t="s">
        <v>587</v>
      </c>
      <c r="E493" t="s">
        <v>588</v>
      </c>
      <c r="F493" t="s">
        <v>506</v>
      </c>
      <c r="G493" t="s">
        <v>507</v>
      </c>
      <c r="H493" t="s">
        <v>508</v>
      </c>
      <c r="I493" t="s">
        <v>509</v>
      </c>
      <c r="J493" t="s">
        <v>589</v>
      </c>
      <c r="K493" s="502">
        <v>-22.32</v>
      </c>
      <c r="L493" t="s">
        <v>558</v>
      </c>
    </row>
    <row r="494" spans="1:12">
      <c r="A494" t="s">
        <v>586</v>
      </c>
      <c r="B494" t="s">
        <v>3357</v>
      </c>
      <c r="C494" s="60" t="str">
        <f>C493</f>
        <v>E5690</v>
      </c>
      <c r="D494" t="s">
        <v>587</v>
      </c>
      <c r="E494" t="s">
        <v>588</v>
      </c>
      <c r="F494" t="s">
        <v>506</v>
      </c>
      <c r="G494" t="s">
        <v>507</v>
      </c>
      <c r="H494" t="s">
        <v>508</v>
      </c>
      <c r="I494" t="s">
        <v>509</v>
      </c>
      <c r="J494" t="s">
        <v>589</v>
      </c>
      <c r="K494" s="502">
        <f>K482</f>
        <v>-20.16</v>
      </c>
      <c r="L494" t="s">
        <v>558</v>
      </c>
    </row>
    <row r="495" spans="1:12">
      <c r="A495" t="s">
        <v>586</v>
      </c>
      <c r="B495" t="s">
        <v>3358</v>
      </c>
      <c r="C495" s="60" t="str">
        <f t="shared" ref="C495:C504" si="43">+C494</f>
        <v>E5690</v>
      </c>
      <c r="D495" t="s">
        <v>587</v>
      </c>
      <c r="E495" t="s">
        <v>588</v>
      </c>
      <c r="F495" t="s">
        <v>506</v>
      </c>
      <c r="G495" t="s">
        <v>507</v>
      </c>
      <c r="H495" t="s">
        <v>508</v>
      </c>
      <c r="I495" t="s">
        <v>509</v>
      </c>
      <c r="J495" t="s">
        <v>589</v>
      </c>
      <c r="K495" s="502">
        <v>-22.32</v>
      </c>
      <c r="L495" t="s">
        <v>558</v>
      </c>
    </row>
    <row r="496" spans="1:12">
      <c r="A496" t="s">
        <v>586</v>
      </c>
      <c r="B496" t="s">
        <v>3359</v>
      </c>
      <c r="C496" s="60" t="str">
        <f t="shared" si="43"/>
        <v>E5690</v>
      </c>
      <c r="D496" t="s">
        <v>587</v>
      </c>
      <c r="E496" t="s">
        <v>588</v>
      </c>
      <c r="F496" t="s">
        <v>506</v>
      </c>
      <c r="G496" t="s">
        <v>507</v>
      </c>
      <c r="H496" t="s">
        <v>508</v>
      </c>
      <c r="I496" t="s">
        <v>509</v>
      </c>
      <c r="J496" t="s">
        <v>589</v>
      </c>
      <c r="K496" s="502">
        <v>-21.6</v>
      </c>
      <c r="L496" t="s">
        <v>558</v>
      </c>
    </row>
    <row r="497" spans="1:12">
      <c r="A497" t="s">
        <v>586</v>
      </c>
      <c r="B497" t="s">
        <v>3360</v>
      </c>
      <c r="C497" s="60" t="str">
        <f t="shared" si="43"/>
        <v>E5690</v>
      </c>
      <c r="D497" t="s">
        <v>587</v>
      </c>
      <c r="E497" t="s">
        <v>588</v>
      </c>
      <c r="F497" t="s">
        <v>506</v>
      </c>
      <c r="G497" t="s">
        <v>507</v>
      </c>
      <c r="H497" t="s">
        <v>508</v>
      </c>
      <c r="I497" t="s">
        <v>509</v>
      </c>
      <c r="J497" t="s">
        <v>589</v>
      </c>
      <c r="K497" s="502">
        <v>-22.32</v>
      </c>
      <c r="L497" t="s">
        <v>558</v>
      </c>
    </row>
    <row r="498" spans="1:12">
      <c r="A498" t="s">
        <v>586</v>
      </c>
      <c r="B498" t="s">
        <v>3361</v>
      </c>
      <c r="C498" s="60" t="str">
        <f t="shared" si="43"/>
        <v>E5690</v>
      </c>
      <c r="D498" t="s">
        <v>587</v>
      </c>
      <c r="E498" t="s">
        <v>588</v>
      </c>
      <c r="F498" t="s">
        <v>506</v>
      </c>
      <c r="G498" t="s">
        <v>507</v>
      </c>
      <c r="H498" t="s">
        <v>508</v>
      </c>
      <c r="I498" t="s">
        <v>509</v>
      </c>
      <c r="J498" t="s">
        <v>589</v>
      </c>
      <c r="K498" s="502">
        <v>-21.6</v>
      </c>
      <c r="L498" t="s">
        <v>558</v>
      </c>
    </row>
    <row r="499" spans="1:12">
      <c r="A499" t="s">
        <v>586</v>
      </c>
      <c r="B499" t="s">
        <v>3362</v>
      </c>
      <c r="C499" s="60" t="str">
        <f t="shared" si="43"/>
        <v>E5690</v>
      </c>
      <c r="D499" t="s">
        <v>587</v>
      </c>
      <c r="E499" t="s">
        <v>588</v>
      </c>
      <c r="F499" t="s">
        <v>506</v>
      </c>
      <c r="G499" t="s">
        <v>507</v>
      </c>
      <c r="H499" t="s">
        <v>508</v>
      </c>
      <c r="I499" t="s">
        <v>509</v>
      </c>
      <c r="J499" t="s">
        <v>589</v>
      </c>
      <c r="K499" s="502">
        <v>-22.32</v>
      </c>
      <c r="L499" t="s">
        <v>558</v>
      </c>
    </row>
    <row r="500" spans="1:12">
      <c r="A500" t="s">
        <v>586</v>
      </c>
      <c r="B500" t="s">
        <v>3363</v>
      </c>
      <c r="C500" s="60" t="str">
        <f t="shared" si="43"/>
        <v>E5690</v>
      </c>
      <c r="D500" t="s">
        <v>587</v>
      </c>
      <c r="E500" t="s">
        <v>588</v>
      </c>
      <c r="F500" t="s">
        <v>506</v>
      </c>
      <c r="G500" t="s">
        <v>507</v>
      </c>
      <c r="H500" t="s">
        <v>508</v>
      </c>
      <c r="I500" t="s">
        <v>509</v>
      </c>
      <c r="J500" t="s">
        <v>589</v>
      </c>
      <c r="K500" s="502">
        <v>-22.32</v>
      </c>
      <c r="L500" t="s">
        <v>558</v>
      </c>
    </row>
    <row r="501" spans="1:12">
      <c r="A501" t="s">
        <v>586</v>
      </c>
      <c r="B501" t="s">
        <v>3364</v>
      </c>
      <c r="C501" s="60" t="str">
        <f t="shared" si="43"/>
        <v>E5690</v>
      </c>
      <c r="D501" t="s">
        <v>587</v>
      </c>
      <c r="E501" t="s">
        <v>588</v>
      </c>
      <c r="F501" t="s">
        <v>506</v>
      </c>
      <c r="G501" t="s">
        <v>507</v>
      </c>
      <c r="H501" t="s">
        <v>508</v>
      </c>
      <c r="I501" t="s">
        <v>509</v>
      </c>
      <c r="J501" t="s">
        <v>589</v>
      </c>
      <c r="K501" s="502">
        <v>-21.6</v>
      </c>
      <c r="L501" t="s">
        <v>558</v>
      </c>
    </row>
    <row r="502" spans="1:12">
      <c r="A502" t="s">
        <v>586</v>
      </c>
      <c r="B502" t="s">
        <v>3365</v>
      </c>
      <c r="C502" s="60" t="str">
        <f t="shared" si="43"/>
        <v>E5690</v>
      </c>
      <c r="D502" t="s">
        <v>587</v>
      </c>
      <c r="E502" t="s">
        <v>588</v>
      </c>
      <c r="F502" t="s">
        <v>506</v>
      </c>
      <c r="G502" t="s">
        <v>507</v>
      </c>
      <c r="H502" t="s">
        <v>508</v>
      </c>
      <c r="I502" t="s">
        <v>509</v>
      </c>
      <c r="J502" t="s">
        <v>589</v>
      </c>
      <c r="K502" s="502">
        <v>-22.32</v>
      </c>
      <c r="L502" t="s">
        <v>558</v>
      </c>
    </row>
    <row r="503" spans="1:12">
      <c r="A503" t="s">
        <v>586</v>
      </c>
      <c r="B503" t="s">
        <v>3366</v>
      </c>
      <c r="C503" s="60" t="str">
        <f t="shared" si="43"/>
        <v>E5690</v>
      </c>
      <c r="D503" t="s">
        <v>587</v>
      </c>
      <c r="E503" t="s">
        <v>588</v>
      </c>
      <c r="F503" t="s">
        <v>506</v>
      </c>
      <c r="G503" t="s">
        <v>507</v>
      </c>
      <c r="H503" t="s">
        <v>508</v>
      </c>
      <c r="I503" t="s">
        <v>509</v>
      </c>
      <c r="J503" t="s">
        <v>589</v>
      </c>
      <c r="K503" s="502">
        <v>-21.6</v>
      </c>
      <c r="L503" t="s">
        <v>558</v>
      </c>
    </row>
    <row r="504" spans="1:12">
      <c r="A504" t="s">
        <v>586</v>
      </c>
      <c r="B504" t="s">
        <v>3367</v>
      </c>
      <c r="C504" s="60" t="str">
        <f t="shared" si="43"/>
        <v>E5690</v>
      </c>
      <c r="D504" t="s">
        <v>587</v>
      </c>
      <c r="E504" t="s">
        <v>588</v>
      </c>
      <c r="F504" t="s">
        <v>506</v>
      </c>
      <c r="G504" t="s">
        <v>507</v>
      </c>
      <c r="H504" t="s">
        <v>508</v>
      </c>
      <c r="I504" t="s">
        <v>509</v>
      </c>
      <c r="J504" t="s">
        <v>589</v>
      </c>
      <c r="K504" s="502">
        <v>-22.32</v>
      </c>
      <c r="L504" t="s">
        <v>558</v>
      </c>
    </row>
    <row r="505" spans="1:12">
      <c r="A505" t="s">
        <v>586</v>
      </c>
      <c r="B505" t="s">
        <v>3356</v>
      </c>
      <c r="C505" s="3" t="str">
        <f>+'2-Préparation saisie LV PROD'!B47</f>
        <v>E5640</v>
      </c>
      <c r="D505" t="s">
        <v>587</v>
      </c>
      <c r="E505" t="s">
        <v>588</v>
      </c>
      <c r="F505" t="s">
        <v>506</v>
      </c>
      <c r="G505" t="s">
        <v>507</v>
      </c>
      <c r="H505" t="s">
        <v>508</v>
      </c>
      <c r="I505" t="s">
        <v>509</v>
      </c>
      <c r="J505" t="s">
        <v>589</v>
      </c>
      <c r="K505" s="502">
        <v>-22.32</v>
      </c>
      <c r="L505" t="s">
        <v>3424</v>
      </c>
    </row>
    <row r="506" spans="1:12">
      <c r="A506" t="s">
        <v>586</v>
      </c>
      <c r="B506" t="s">
        <v>3357</v>
      </c>
      <c r="C506" s="60" t="str">
        <f>C505</f>
        <v>E5640</v>
      </c>
      <c r="D506" t="s">
        <v>587</v>
      </c>
      <c r="E506" t="s">
        <v>588</v>
      </c>
      <c r="F506" t="s">
        <v>506</v>
      </c>
      <c r="G506" t="s">
        <v>507</v>
      </c>
      <c r="H506" t="s">
        <v>508</v>
      </c>
      <c r="I506" t="s">
        <v>509</v>
      </c>
      <c r="J506" t="s">
        <v>589</v>
      </c>
      <c r="K506" s="502">
        <f>K494</f>
        <v>-20.16</v>
      </c>
      <c r="L506" t="s">
        <v>3424</v>
      </c>
    </row>
    <row r="507" spans="1:12">
      <c r="A507" t="s">
        <v>586</v>
      </c>
      <c r="B507" t="s">
        <v>3358</v>
      </c>
      <c r="C507" s="60" t="str">
        <f t="shared" ref="C507:C516" si="44">+C506</f>
        <v>E5640</v>
      </c>
      <c r="D507" t="s">
        <v>587</v>
      </c>
      <c r="E507" t="s">
        <v>588</v>
      </c>
      <c r="F507" t="s">
        <v>506</v>
      </c>
      <c r="G507" t="s">
        <v>507</v>
      </c>
      <c r="H507" t="s">
        <v>508</v>
      </c>
      <c r="I507" t="s">
        <v>509</v>
      </c>
      <c r="J507" t="s">
        <v>589</v>
      </c>
      <c r="K507" s="502">
        <v>-22.32</v>
      </c>
      <c r="L507" t="s">
        <v>3424</v>
      </c>
    </row>
    <row r="508" spans="1:12">
      <c r="A508" t="s">
        <v>586</v>
      </c>
      <c r="B508" t="s">
        <v>3359</v>
      </c>
      <c r="C508" s="60" t="str">
        <f t="shared" si="44"/>
        <v>E5640</v>
      </c>
      <c r="D508" t="s">
        <v>587</v>
      </c>
      <c r="E508" t="s">
        <v>588</v>
      </c>
      <c r="F508" t="s">
        <v>506</v>
      </c>
      <c r="G508" t="s">
        <v>507</v>
      </c>
      <c r="H508" t="s">
        <v>508</v>
      </c>
      <c r="I508" t="s">
        <v>509</v>
      </c>
      <c r="J508" t="s">
        <v>589</v>
      </c>
      <c r="K508" s="502">
        <v>-21.6</v>
      </c>
      <c r="L508" t="s">
        <v>3424</v>
      </c>
    </row>
    <row r="509" spans="1:12">
      <c r="A509" t="s">
        <v>586</v>
      </c>
      <c r="B509" t="s">
        <v>3360</v>
      </c>
      <c r="C509" s="60" t="str">
        <f t="shared" si="44"/>
        <v>E5640</v>
      </c>
      <c r="D509" t="s">
        <v>587</v>
      </c>
      <c r="E509" t="s">
        <v>588</v>
      </c>
      <c r="F509" t="s">
        <v>506</v>
      </c>
      <c r="G509" t="s">
        <v>507</v>
      </c>
      <c r="H509" t="s">
        <v>508</v>
      </c>
      <c r="I509" t="s">
        <v>509</v>
      </c>
      <c r="J509" t="s">
        <v>589</v>
      </c>
      <c r="K509" s="502">
        <v>-22.32</v>
      </c>
      <c r="L509" t="s">
        <v>3424</v>
      </c>
    </row>
    <row r="510" spans="1:12">
      <c r="A510" t="s">
        <v>586</v>
      </c>
      <c r="B510" t="s">
        <v>3361</v>
      </c>
      <c r="C510" s="60" t="str">
        <f t="shared" si="44"/>
        <v>E5640</v>
      </c>
      <c r="D510" t="s">
        <v>587</v>
      </c>
      <c r="E510" t="s">
        <v>588</v>
      </c>
      <c r="F510" t="s">
        <v>506</v>
      </c>
      <c r="G510" t="s">
        <v>507</v>
      </c>
      <c r="H510" t="s">
        <v>508</v>
      </c>
      <c r="I510" t="s">
        <v>509</v>
      </c>
      <c r="J510" t="s">
        <v>589</v>
      </c>
      <c r="K510" s="502">
        <v>-21.6</v>
      </c>
      <c r="L510" t="s">
        <v>3424</v>
      </c>
    </row>
    <row r="511" spans="1:12">
      <c r="A511" t="s">
        <v>586</v>
      </c>
      <c r="B511" t="s">
        <v>3362</v>
      </c>
      <c r="C511" s="60" t="str">
        <f t="shared" si="44"/>
        <v>E5640</v>
      </c>
      <c r="D511" t="s">
        <v>587</v>
      </c>
      <c r="E511" t="s">
        <v>588</v>
      </c>
      <c r="F511" t="s">
        <v>506</v>
      </c>
      <c r="G511" t="s">
        <v>507</v>
      </c>
      <c r="H511" t="s">
        <v>508</v>
      </c>
      <c r="I511" t="s">
        <v>509</v>
      </c>
      <c r="J511" t="s">
        <v>589</v>
      </c>
      <c r="K511" s="502">
        <v>-22.32</v>
      </c>
      <c r="L511" t="s">
        <v>3424</v>
      </c>
    </row>
    <row r="512" spans="1:12">
      <c r="A512" t="s">
        <v>586</v>
      </c>
      <c r="B512" t="s">
        <v>3363</v>
      </c>
      <c r="C512" s="60" t="str">
        <f t="shared" si="44"/>
        <v>E5640</v>
      </c>
      <c r="D512" t="s">
        <v>587</v>
      </c>
      <c r="E512" t="s">
        <v>588</v>
      </c>
      <c r="F512" t="s">
        <v>506</v>
      </c>
      <c r="G512" t="s">
        <v>507</v>
      </c>
      <c r="H512" t="s">
        <v>508</v>
      </c>
      <c r="I512" t="s">
        <v>509</v>
      </c>
      <c r="J512" t="s">
        <v>589</v>
      </c>
      <c r="K512" s="502">
        <v>-22.32</v>
      </c>
      <c r="L512" t="s">
        <v>3424</v>
      </c>
    </row>
    <row r="513" spans="1:12">
      <c r="A513" t="s">
        <v>586</v>
      </c>
      <c r="B513" t="s">
        <v>3364</v>
      </c>
      <c r="C513" s="60" t="str">
        <f t="shared" si="44"/>
        <v>E5640</v>
      </c>
      <c r="D513" t="s">
        <v>587</v>
      </c>
      <c r="E513" t="s">
        <v>588</v>
      </c>
      <c r="F513" t="s">
        <v>506</v>
      </c>
      <c r="G513" t="s">
        <v>507</v>
      </c>
      <c r="H513" t="s">
        <v>508</v>
      </c>
      <c r="I513" t="s">
        <v>509</v>
      </c>
      <c r="J513" t="s">
        <v>589</v>
      </c>
      <c r="K513" s="502">
        <v>-21.6</v>
      </c>
      <c r="L513" t="s">
        <v>3424</v>
      </c>
    </row>
    <row r="514" spans="1:12">
      <c r="A514" t="s">
        <v>586</v>
      </c>
      <c r="B514" t="s">
        <v>3365</v>
      </c>
      <c r="C514" s="60" t="str">
        <f t="shared" si="44"/>
        <v>E5640</v>
      </c>
      <c r="D514" t="s">
        <v>587</v>
      </c>
      <c r="E514" t="s">
        <v>588</v>
      </c>
      <c r="F514" t="s">
        <v>506</v>
      </c>
      <c r="G514" t="s">
        <v>507</v>
      </c>
      <c r="H514" t="s">
        <v>508</v>
      </c>
      <c r="I514" t="s">
        <v>509</v>
      </c>
      <c r="J514" t="s">
        <v>589</v>
      </c>
      <c r="K514" s="502">
        <v>-22.32</v>
      </c>
      <c r="L514" t="s">
        <v>3424</v>
      </c>
    </row>
    <row r="515" spans="1:12">
      <c r="A515" t="s">
        <v>586</v>
      </c>
      <c r="B515" t="s">
        <v>3366</v>
      </c>
      <c r="C515" s="60" t="str">
        <f t="shared" si="44"/>
        <v>E5640</v>
      </c>
      <c r="D515" t="s">
        <v>587</v>
      </c>
      <c r="E515" t="s">
        <v>588</v>
      </c>
      <c r="F515" t="s">
        <v>506</v>
      </c>
      <c r="G515" t="s">
        <v>507</v>
      </c>
      <c r="H515" t="s">
        <v>508</v>
      </c>
      <c r="I515" t="s">
        <v>509</v>
      </c>
      <c r="J515" t="s">
        <v>589</v>
      </c>
      <c r="K515" s="502">
        <v>-21.6</v>
      </c>
      <c r="L515" t="s">
        <v>3424</v>
      </c>
    </row>
    <row r="516" spans="1:12">
      <c r="A516" t="s">
        <v>586</v>
      </c>
      <c r="B516" t="s">
        <v>3367</v>
      </c>
      <c r="C516" s="60" t="str">
        <f t="shared" si="44"/>
        <v>E5640</v>
      </c>
      <c r="D516" t="s">
        <v>587</v>
      </c>
      <c r="E516" t="s">
        <v>588</v>
      </c>
      <c r="F516" t="s">
        <v>506</v>
      </c>
      <c r="G516" t="s">
        <v>507</v>
      </c>
      <c r="H516" t="s">
        <v>508</v>
      </c>
      <c r="I516" t="s">
        <v>509</v>
      </c>
      <c r="J516" t="s">
        <v>589</v>
      </c>
      <c r="K516" s="502">
        <v>-22.32</v>
      </c>
      <c r="L516" t="s">
        <v>3424</v>
      </c>
    </row>
    <row r="517" spans="1:12">
      <c r="A517" t="s">
        <v>586</v>
      </c>
      <c r="B517" t="s">
        <v>3356</v>
      </c>
      <c r="C517" s="3" t="str">
        <f>+'2-Préparation saisie LV PROD'!B48</f>
        <v>E5620</v>
      </c>
      <c r="D517" t="s">
        <v>587</v>
      </c>
      <c r="E517" t="s">
        <v>588</v>
      </c>
      <c r="F517" t="s">
        <v>506</v>
      </c>
      <c r="G517" t="s">
        <v>507</v>
      </c>
      <c r="H517" t="s">
        <v>508</v>
      </c>
      <c r="I517" t="s">
        <v>509</v>
      </c>
      <c r="J517" t="s">
        <v>589</v>
      </c>
      <c r="K517" s="502">
        <v>-22.32</v>
      </c>
      <c r="L517" t="s">
        <v>563</v>
      </c>
    </row>
    <row r="518" spans="1:12">
      <c r="A518" t="s">
        <v>586</v>
      </c>
      <c r="B518" t="s">
        <v>3357</v>
      </c>
      <c r="C518" s="60" t="str">
        <f>C517</f>
        <v>E5620</v>
      </c>
      <c r="D518" t="s">
        <v>587</v>
      </c>
      <c r="E518" t="s">
        <v>588</v>
      </c>
      <c r="F518" t="s">
        <v>506</v>
      </c>
      <c r="G518" t="s">
        <v>507</v>
      </c>
      <c r="H518" t="s">
        <v>508</v>
      </c>
      <c r="I518" t="s">
        <v>509</v>
      </c>
      <c r="J518" t="s">
        <v>589</v>
      </c>
      <c r="K518" s="502">
        <f>K506</f>
        <v>-20.16</v>
      </c>
      <c r="L518" t="s">
        <v>563</v>
      </c>
    </row>
    <row r="519" spans="1:12">
      <c r="A519" t="s">
        <v>586</v>
      </c>
      <c r="B519" t="s">
        <v>3358</v>
      </c>
      <c r="C519" s="60" t="str">
        <f t="shared" ref="C519:C528" si="45">+C518</f>
        <v>E5620</v>
      </c>
      <c r="D519" t="s">
        <v>587</v>
      </c>
      <c r="E519" t="s">
        <v>588</v>
      </c>
      <c r="F519" t="s">
        <v>506</v>
      </c>
      <c r="G519" t="s">
        <v>507</v>
      </c>
      <c r="H519" t="s">
        <v>508</v>
      </c>
      <c r="I519" t="s">
        <v>509</v>
      </c>
      <c r="J519" t="s">
        <v>589</v>
      </c>
      <c r="K519" s="502">
        <v>-22.32</v>
      </c>
      <c r="L519" t="s">
        <v>563</v>
      </c>
    </row>
    <row r="520" spans="1:12">
      <c r="A520" t="s">
        <v>586</v>
      </c>
      <c r="B520" t="s">
        <v>3359</v>
      </c>
      <c r="C520" s="60" t="str">
        <f t="shared" si="45"/>
        <v>E5620</v>
      </c>
      <c r="D520" t="s">
        <v>587</v>
      </c>
      <c r="E520" t="s">
        <v>588</v>
      </c>
      <c r="F520" t="s">
        <v>506</v>
      </c>
      <c r="G520" t="s">
        <v>507</v>
      </c>
      <c r="H520" t="s">
        <v>508</v>
      </c>
      <c r="I520" t="s">
        <v>509</v>
      </c>
      <c r="J520" t="s">
        <v>589</v>
      </c>
      <c r="K520" s="502">
        <v>-21.6</v>
      </c>
      <c r="L520" t="s">
        <v>563</v>
      </c>
    </row>
    <row r="521" spans="1:12">
      <c r="A521" t="s">
        <v>586</v>
      </c>
      <c r="B521" t="s">
        <v>3360</v>
      </c>
      <c r="C521" s="60" t="str">
        <f t="shared" si="45"/>
        <v>E5620</v>
      </c>
      <c r="D521" t="s">
        <v>587</v>
      </c>
      <c r="E521" t="s">
        <v>588</v>
      </c>
      <c r="F521" t="s">
        <v>506</v>
      </c>
      <c r="G521" t="s">
        <v>507</v>
      </c>
      <c r="H521" t="s">
        <v>508</v>
      </c>
      <c r="I521" t="s">
        <v>509</v>
      </c>
      <c r="J521" t="s">
        <v>589</v>
      </c>
      <c r="K521" s="502">
        <v>-22.32</v>
      </c>
      <c r="L521" t="s">
        <v>563</v>
      </c>
    </row>
    <row r="522" spans="1:12">
      <c r="A522" t="s">
        <v>586</v>
      </c>
      <c r="B522" t="s">
        <v>3361</v>
      </c>
      <c r="C522" s="60" t="str">
        <f t="shared" si="45"/>
        <v>E5620</v>
      </c>
      <c r="D522" t="s">
        <v>587</v>
      </c>
      <c r="E522" t="s">
        <v>588</v>
      </c>
      <c r="F522" t="s">
        <v>506</v>
      </c>
      <c r="G522" t="s">
        <v>507</v>
      </c>
      <c r="H522" t="s">
        <v>508</v>
      </c>
      <c r="I522" t="s">
        <v>509</v>
      </c>
      <c r="J522" t="s">
        <v>589</v>
      </c>
      <c r="K522" s="502">
        <v>-21.6</v>
      </c>
      <c r="L522" t="s">
        <v>563</v>
      </c>
    </row>
    <row r="523" spans="1:12">
      <c r="A523" t="s">
        <v>586</v>
      </c>
      <c r="B523" t="s">
        <v>3362</v>
      </c>
      <c r="C523" s="60" t="str">
        <f t="shared" si="45"/>
        <v>E5620</v>
      </c>
      <c r="D523" t="s">
        <v>587</v>
      </c>
      <c r="E523" t="s">
        <v>588</v>
      </c>
      <c r="F523" t="s">
        <v>506</v>
      </c>
      <c r="G523" t="s">
        <v>507</v>
      </c>
      <c r="H523" t="s">
        <v>508</v>
      </c>
      <c r="I523" t="s">
        <v>509</v>
      </c>
      <c r="J523" t="s">
        <v>589</v>
      </c>
      <c r="K523" s="502">
        <v>-22.32</v>
      </c>
      <c r="L523" t="s">
        <v>563</v>
      </c>
    </row>
    <row r="524" spans="1:12">
      <c r="A524" t="s">
        <v>586</v>
      </c>
      <c r="B524" t="s">
        <v>3363</v>
      </c>
      <c r="C524" s="60" t="str">
        <f t="shared" si="45"/>
        <v>E5620</v>
      </c>
      <c r="D524" t="s">
        <v>587</v>
      </c>
      <c r="E524" t="s">
        <v>588</v>
      </c>
      <c r="F524" t="s">
        <v>506</v>
      </c>
      <c r="G524" t="s">
        <v>507</v>
      </c>
      <c r="H524" t="s">
        <v>508</v>
      </c>
      <c r="I524" t="s">
        <v>509</v>
      </c>
      <c r="J524" t="s">
        <v>589</v>
      </c>
      <c r="K524" s="502">
        <v>-22.32</v>
      </c>
      <c r="L524" t="s">
        <v>563</v>
      </c>
    </row>
    <row r="525" spans="1:12">
      <c r="A525" t="s">
        <v>586</v>
      </c>
      <c r="B525" t="s">
        <v>3364</v>
      </c>
      <c r="C525" s="60" t="str">
        <f t="shared" si="45"/>
        <v>E5620</v>
      </c>
      <c r="D525" t="s">
        <v>587</v>
      </c>
      <c r="E525" t="s">
        <v>588</v>
      </c>
      <c r="F525" t="s">
        <v>506</v>
      </c>
      <c r="G525" t="s">
        <v>507</v>
      </c>
      <c r="H525" t="s">
        <v>508</v>
      </c>
      <c r="I525" t="s">
        <v>509</v>
      </c>
      <c r="J525" t="s">
        <v>589</v>
      </c>
      <c r="K525" s="502">
        <v>-21.6</v>
      </c>
      <c r="L525" t="s">
        <v>563</v>
      </c>
    </row>
    <row r="526" spans="1:12">
      <c r="A526" t="s">
        <v>586</v>
      </c>
      <c r="B526" t="s">
        <v>3365</v>
      </c>
      <c r="C526" s="60" t="str">
        <f t="shared" si="45"/>
        <v>E5620</v>
      </c>
      <c r="D526" t="s">
        <v>587</v>
      </c>
      <c r="E526" t="s">
        <v>588</v>
      </c>
      <c r="F526" t="s">
        <v>506</v>
      </c>
      <c r="G526" t="s">
        <v>507</v>
      </c>
      <c r="H526" t="s">
        <v>508</v>
      </c>
      <c r="I526" t="s">
        <v>509</v>
      </c>
      <c r="J526" t="s">
        <v>589</v>
      </c>
      <c r="K526" s="502">
        <v>-22.32</v>
      </c>
      <c r="L526" t="s">
        <v>563</v>
      </c>
    </row>
    <row r="527" spans="1:12">
      <c r="A527" t="s">
        <v>586</v>
      </c>
      <c r="B527" t="s">
        <v>3366</v>
      </c>
      <c r="C527" s="60" t="str">
        <f t="shared" si="45"/>
        <v>E5620</v>
      </c>
      <c r="D527" t="s">
        <v>587</v>
      </c>
      <c r="E527" t="s">
        <v>588</v>
      </c>
      <c r="F527" t="s">
        <v>506</v>
      </c>
      <c r="G527" t="s">
        <v>507</v>
      </c>
      <c r="H527" t="s">
        <v>508</v>
      </c>
      <c r="I527" t="s">
        <v>509</v>
      </c>
      <c r="J527" t="s">
        <v>589</v>
      </c>
      <c r="K527" s="502">
        <v>-21.6</v>
      </c>
      <c r="L527" t="s">
        <v>563</v>
      </c>
    </row>
    <row r="528" spans="1:12">
      <c r="A528" t="s">
        <v>586</v>
      </c>
      <c r="B528" t="s">
        <v>3367</v>
      </c>
      <c r="C528" s="60" t="str">
        <f t="shared" si="45"/>
        <v>E5620</v>
      </c>
      <c r="D528" t="s">
        <v>587</v>
      </c>
      <c r="E528" t="s">
        <v>588</v>
      </c>
      <c r="F528" t="s">
        <v>506</v>
      </c>
      <c r="G528" t="s">
        <v>507</v>
      </c>
      <c r="H528" t="s">
        <v>508</v>
      </c>
      <c r="I528" t="s">
        <v>509</v>
      </c>
      <c r="J528" t="s">
        <v>589</v>
      </c>
      <c r="K528" s="502">
        <v>-22.32</v>
      </c>
      <c r="L528" t="s">
        <v>563</v>
      </c>
    </row>
    <row r="529" spans="1:12">
      <c r="A529" t="s">
        <v>586</v>
      </c>
      <c r="B529" t="s">
        <v>3356</v>
      </c>
      <c r="C529" s="3" t="str">
        <f>+'2-Préparation saisie LV PROD'!B49</f>
        <v>E5810</v>
      </c>
      <c r="D529" t="s">
        <v>587</v>
      </c>
      <c r="E529" t="s">
        <v>588</v>
      </c>
      <c r="F529" t="s">
        <v>506</v>
      </c>
      <c r="G529" t="s">
        <v>507</v>
      </c>
      <c r="H529" t="s">
        <v>508</v>
      </c>
      <c r="I529" t="s">
        <v>509</v>
      </c>
      <c r="J529" t="s">
        <v>589</v>
      </c>
      <c r="K529" s="502">
        <v>-22.32</v>
      </c>
      <c r="L529" t="s">
        <v>567</v>
      </c>
    </row>
    <row r="530" spans="1:12">
      <c r="A530" t="s">
        <v>586</v>
      </c>
      <c r="B530" t="s">
        <v>3357</v>
      </c>
      <c r="C530" s="60" t="str">
        <f>C529</f>
        <v>E5810</v>
      </c>
      <c r="D530" t="s">
        <v>587</v>
      </c>
      <c r="E530" t="s">
        <v>588</v>
      </c>
      <c r="F530" t="s">
        <v>506</v>
      </c>
      <c r="G530" t="s">
        <v>507</v>
      </c>
      <c r="H530" t="s">
        <v>508</v>
      </c>
      <c r="I530" t="s">
        <v>509</v>
      </c>
      <c r="J530" t="s">
        <v>589</v>
      </c>
      <c r="K530" s="502">
        <f>K518</f>
        <v>-20.16</v>
      </c>
      <c r="L530" t="s">
        <v>567</v>
      </c>
    </row>
    <row r="531" spans="1:12">
      <c r="A531" t="s">
        <v>586</v>
      </c>
      <c r="B531" t="s">
        <v>3358</v>
      </c>
      <c r="C531" s="60" t="str">
        <f t="shared" ref="C531:C540" si="46">+C530</f>
        <v>E5810</v>
      </c>
      <c r="D531" t="s">
        <v>587</v>
      </c>
      <c r="E531" t="s">
        <v>588</v>
      </c>
      <c r="F531" t="s">
        <v>506</v>
      </c>
      <c r="G531" t="s">
        <v>507</v>
      </c>
      <c r="H531" t="s">
        <v>508</v>
      </c>
      <c r="I531" t="s">
        <v>509</v>
      </c>
      <c r="J531" t="s">
        <v>589</v>
      </c>
      <c r="K531" s="502">
        <v>-22.32</v>
      </c>
      <c r="L531" t="s">
        <v>567</v>
      </c>
    </row>
    <row r="532" spans="1:12">
      <c r="A532" t="s">
        <v>586</v>
      </c>
      <c r="B532" t="s">
        <v>3359</v>
      </c>
      <c r="C532" s="60" t="str">
        <f t="shared" si="46"/>
        <v>E5810</v>
      </c>
      <c r="D532" t="s">
        <v>587</v>
      </c>
      <c r="E532" t="s">
        <v>588</v>
      </c>
      <c r="F532" t="s">
        <v>506</v>
      </c>
      <c r="G532" t="s">
        <v>507</v>
      </c>
      <c r="H532" t="s">
        <v>508</v>
      </c>
      <c r="I532" t="s">
        <v>509</v>
      </c>
      <c r="J532" t="s">
        <v>589</v>
      </c>
      <c r="K532" s="502">
        <v>-21.6</v>
      </c>
      <c r="L532" t="s">
        <v>567</v>
      </c>
    </row>
    <row r="533" spans="1:12">
      <c r="A533" t="s">
        <v>586</v>
      </c>
      <c r="B533" t="s">
        <v>3360</v>
      </c>
      <c r="C533" s="60" t="str">
        <f t="shared" si="46"/>
        <v>E5810</v>
      </c>
      <c r="D533" t="s">
        <v>587</v>
      </c>
      <c r="E533" t="s">
        <v>588</v>
      </c>
      <c r="F533" t="s">
        <v>506</v>
      </c>
      <c r="G533" t="s">
        <v>507</v>
      </c>
      <c r="H533" t="s">
        <v>508</v>
      </c>
      <c r="I533" t="s">
        <v>509</v>
      </c>
      <c r="J533" t="s">
        <v>589</v>
      </c>
      <c r="K533" s="502">
        <v>-22.32</v>
      </c>
      <c r="L533" t="s">
        <v>567</v>
      </c>
    </row>
    <row r="534" spans="1:12">
      <c r="A534" t="s">
        <v>586</v>
      </c>
      <c r="B534" t="s">
        <v>3361</v>
      </c>
      <c r="C534" s="60" t="str">
        <f t="shared" si="46"/>
        <v>E5810</v>
      </c>
      <c r="D534" t="s">
        <v>587</v>
      </c>
      <c r="E534" t="s">
        <v>588</v>
      </c>
      <c r="F534" t="s">
        <v>506</v>
      </c>
      <c r="G534" t="s">
        <v>507</v>
      </c>
      <c r="H534" t="s">
        <v>508</v>
      </c>
      <c r="I534" t="s">
        <v>509</v>
      </c>
      <c r="J534" t="s">
        <v>589</v>
      </c>
      <c r="K534" s="502">
        <v>-21.6</v>
      </c>
      <c r="L534" t="s">
        <v>567</v>
      </c>
    </row>
    <row r="535" spans="1:12">
      <c r="A535" t="s">
        <v>586</v>
      </c>
      <c r="B535" t="s">
        <v>3362</v>
      </c>
      <c r="C535" s="60" t="str">
        <f t="shared" si="46"/>
        <v>E5810</v>
      </c>
      <c r="D535" t="s">
        <v>587</v>
      </c>
      <c r="E535" t="s">
        <v>588</v>
      </c>
      <c r="F535" t="s">
        <v>506</v>
      </c>
      <c r="G535" t="s">
        <v>507</v>
      </c>
      <c r="H535" t="s">
        <v>508</v>
      </c>
      <c r="I535" t="s">
        <v>509</v>
      </c>
      <c r="J535" t="s">
        <v>589</v>
      </c>
      <c r="K535" s="502">
        <v>-22.32</v>
      </c>
      <c r="L535" t="s">
        <v>567</v>
      </c>
    </row>
    <row r="536" spans="1:12">
      <c r="A536" t="s">
        <v>586</v>
      </c>
      <c r="B536" t="s">
        <v>3363</v>
      </c>
      <c r="C536" s="60" t="str">
        <f t="shared" si="46"/>
        <v>E5810</v>
      </c>
      <c r="D536" t="s">
        <v>587</v>
      </c>
      <c r="E536" t="s">
        <v>588</v>
      </c>
      <c r="F536" t="s">
        <v>506</v>
      </c>
      <c r="G536" t="s">
        <v>507</v>
      </c>
      <c r="H536" t="s">
        <v>508</v>
      </c>
      <c r="I536" t="s">
        <v>509</v>
      </c>
      <c r="J536" t="s">
        <v>589</v>
      </c>
      <c r="K536" s="502">
        <v>-22.32</v>
      </c>
      <c r="L536" t="s">
        <v>567</v>
      </c>
    </row>
    <row r="537" spans="1:12">
      <c r="A537" t="s">
        <v>586</v>
      </c>
      <c r="B537" t="s">
        <v>3364</v>
      </c>
      <c r="C537" s="60" t="str">
        <f t="shared" si="46"/>
        <v>E5810</v>
      </c>
      <c r="D537" t="s">
        <v>587</v>
      </c>
      <c r="E537" t="s">
        <v>588</v>
      </c>
      <c r="F537" t="s">
        <v>506</v>
      </c>
      <c r="G537" t="s">
        <v>507</v>
      </c>
      <c r="H537" t="s">
        <v>508</v>
      </c>
      <c r="I537" t="s">
        <v>509</v>
      </c>
      <c r="J537" t="s">
        <v>589</v>
      </c>
      <c r="K537" s="502">
        <v>-21.6</v>
      </c>
      <c r="L537" t="s">
        <v>567</v>
      </c>
    </row>
    <row r="538" spans="1:12">
      <c r="A538" t="s">
        <v>586</v>
      </c>
      <c r="B538" t="s">
        <v>3365</v>
      </c>
      <c r="C538" s="60" t="str">
        <f t="shared" si="46"/>
        <v>E5810</v>
      </c>
      <c r="D538" t="s">
        <v>587</v>
      </c>
      <c r="E538" t="s">
        <v>588</v>
      </c>
      <c r="F538" t="s">
        <v>506</v>
      </c>
      <c r="G538" t="s">
        <v>507</v>
      </c>
      <c r="H538" t="s">
        <v>508</v>
      </c>
      <c r="I538" t="s">
        <v>509</v>
      </c>
      <c r="J538" t="s">
        <v>589</v>
      </c>
      <c r="K538" s="502">
        <v>-22.32</v>
      </c>
      <c r="L538" t="s">
        <v>567</v>
      </c>
    </row>
    <row r="539" spans="1:12">
      <c r="A539" t="s">
        <v>586</v>
      </c>
      <c r="B539" t="s">
        <v>3366</v>
      </c>
      <c r="C539" s="60" t="str">
        <f t="shared" si="46"/>
        <v>E5810</v>
      </c>
      <c r="D539" t="s">
        <v>587</v>
      </c>
      <c r="E539" t="s">
        <v>588</v>
      </c>
      <c r="F539" t="s">
        <v>506</v>
      </c>
      <c r="G539" t="s">
        <v>507</v>
      </c>
      <c r="H539" t="s">
        <v>508</v>
      </c>
      <c r="I539" t="s">
        <v>509</v>
      </c>
      <c r="J539" t="s">
        <v>589</v>
      </c>
      <c r="K539" s="502">
        <v>-21.6</v>
      </c>
      <c r="L539" t="s">
        <v>567</v>
      </c>
    </row>
    <row r="540" spans="1:12">
      <c r="A540" t="s">
        <v>586</v>
      </c>
      <c r="B540" t="s">
        <v>3367</v>
      </c>
      <c r="C540" s="60" t="str">
        <f t="shared" si="46"/>
        <v>E5810</v>
      </c>
      <c r="D540" t="s">
        <v>587</v>
      </c>
      <c r="E540" t="s">
        <v>588</v>
      </c>
      <c r="F540" t="s">
        <v>506</v>
      </c>
      <c r="G540" t="s">
        <v>507</v>
      </c>
      <c r="H540" t="s">
        <v>508</v>
      </c>
      <c r="I540" t="s">
        <v>509</v>
      </c>
      <c r="J540" t="s">
        <v>589</v>
      </c>
      <c r="K540" s="502">
        <v>-22.32</v>
      </c>
      <c r="L540" t="s">
        <v>567</v>
      </c>
    </row>
    <row r="541" spans="1:12">
      <c r="A541" t="s">
        <v>586</v>
      </c>
      <c r="B541" t="s">
        <v>3356</v>
      </c>
      <c r="C541" s="3" t="str">
        <f>+'2-Préparation saisie LV PROD'!B51</f>
        <v>E5590</v>
      </c>
      <c r="D541" t="s">
        <v>587</v>
      </c>
      <c r="E541" t="s">
        <v>588</v>
      </c>
      <c r="F541" t="s">
        <v>506</v>
      </c>
      <c r="G541" t="s">
        <v>507</v>
      </c>
      <c r="H541" t="s">
        <v>508</v>
      </c>
      <c r="I541" t="s">
        <v>509</v>
      </c>
      <c r="J541" t="s">
        <v>589</v>
      </c>
      <c r="K541" s="502">
        <v>-22.32</v>
      </c>
      <c r="L541" t="s">
        <v>819</v>
      </c>
    </row>
    <row r="542" spans="1:12">
      <c r="A542" t="s">
        <v>586</v>
      </c>
      <c r="B542" t="s">
        <v>3357</v>
      </c>
      <c r="C542" s="60" t="str">
        <f>C541</f>
        <v>E5590</v>
      </c>
      <c r="D542" t="s">
        <v>587</v>
      </c>
      <c r="E542" t="s">
        <v>588</v>
      </c>
      <c r="F542" t="s">
        <v>506</v>
      </c>
      <c r="G542" t="s">
        <v>507</v>
      </c>
      <c r="H542" t="s">
        <v>508</v>
      </c>
      <c r="I542" t="s">
        <v>509</v>
      </c>
      <c r="J542" t="s">
        <v>589</v>
      </c>
      <c r="K542" s="502">
        <f>K530</f>
        <v>-20.16</v>
      </c>
      <c r="L542" t="s">
        <v>819</v>
      </c>
    </row>
    <row r="543" spans="1:12">
      <c r="A543" t="s">
        <v>586</v>
      </c>
      <c r="B543" t="s">
        <v>3358</v>
      </c>
      <c r="C543" s="60" t="str">
        <f t="shared" ref="C543:C552" si="47">+C542</f>
        <v>E5590</v>
      </c>
      <c r="D543" t="s">
        <v>587</v>
      </c>
      <c r="E543" t="s">
        <v>588</v>
      </c>
      <c r="F543" t="s">
        <v>506</v>
      </c>
      <c r="G543" t="s">
        <v>507</v>
      </c>
      <c r="H543" t="s">
        <v>508</v>
      </c>
      <c r="I543" t="s">
        <v>509</v>
      </c>
      <c r="J543" t="s">
        <v>589</v>
      </c>
      <c r="K543" s="502">
        <v>-22.32</v>
      </c>
      <c r="L543" t="s">
        <v>819</v>
      </c>
    </row>
    <row r="544" spans="1:12">
      <c r="A544" t="s">
        <v>586</v>
      </c>
      <c r="B544" t="s">
        <v>3359</v>
      </c>
      <c r="C544" s="60" t="str">
        <f t="shared" si="47"/>
        <v>E5590</v>
      </c>
      <c r="D544" t="s">
        <v>587</v>
      </c>
      <c r="E544" t="s">
        <v>588</v>
      </c>
      <c r="F544" t="s">
        <v>506</v>
      </c>
      <c r="G544" t="s">
        <v>507</v>
      </c>
      <c r="H544" t="s">
        <v>508</v>
      </c>
      <c r="I544" t="s">
        <v>509</v>
      </c>
      <c r="J544" t="s">
        <v>589</v>
      </c>
      <c r="K544" s="502">
        <v>-21.6</v>
      </c>
      <c r="L544" t="s">
        <v>819</v>
      </c>
    </row>
    <row r="545" spans="1:12">
      <c r="A545" t="s">
        <v>586</v>
      </c>
      <c r="B545" t="s">
        <v>3360</v>
      </c>
      <c r="C545" s="60" t="str">
        <f t="shared" si="47"/>
        <v>E5590</v>
      </c>
      <c r="D545" t="s">
        <v>587</v>
      </c>
      <c r="E545" t="s">
        <v>588</v>
      </c>
      <c r="F545" t="s">
        <v>506</v>
      </c>
      <c r="G545" t="s">
        <v>507</v>
      </c>
      <c r="H545" t="s">
        <v>508</v>
      </c>
      <c r="I545" t="s">
        <v>509</v>
      </c>
      <c r="J545" t="s">
        <v>589</v>
      </c>
      <c r="K545" s="502">
        <v>-22.32</v>
      </c>
      <c r="L545" t="s">
        <v>819</v>
      </c>
    </row>
    <row r="546" spans="1:12">
      <c r="A546" t="s">
        <v>586</v>
      </c>
      <c r="B546" t="s">
        <v>3361</v>
      </c>
      <c r="C546" s="60" t="str">
        <f t="shared" si="47"/>
        <v>E5590</v>
      </c>
      <c r="D546" t="s">
        <v>587</v>
      </c>
      <c r="E546" t="s">
        <v>588</v>
      </c>
      <c r="F546" t="s">
        <v>506</v>
      </c>
      <c r="G546" t="s">
        <v>507</v>
      </c>
      <c r="H546" t="s">
        <v>508</v>
      </c>
      <c r="I546" t="s">
        <v>509</v>
      </c>
      <c r="J546" t="s">
        <v>589</v>
      </c>
      <c r="K546" s="502">
        <v>-21.6</v>
      </c>
      <c r="L546" t="s">
        <v>819</v>
      </c>
    </row>
    <row r="547" spans="1:12">
      <c r="A547" t="s">
        <v>586</v>
      </c>
      <c r="B547" t="s">
        <v>3362</v>
      </c>
      <c r="C547" s="60" t="str">
        <f t="shared" si="47"/>
        <v>E5590</v>
      </c>
      <c r="D547" t="s">
        <v>587</v>
      </c>
      <c r="E547" t="s">
        <v>588</v>
      </c>
      <c r="F547" t="s">
        <v>506</v>
      </c>
      <c r="G547" t="s">
        <v>507</v>
      </c>
      <c r="H547" t="s">
        <v>508</v>
      </c>
      <c r="I547" t="s">
        <v>509</v>
      </c>
      <c r="J547" t="s">
        <v>589</v>
      </c>
      <c r="K547" s="502">
        <v>-22.32</v>
      </c>
      <c r="L547" t="s">
        <v>819</v>
      </c>
    </row>
    <row r="548" spans="1:12">
      <c r="A548" t="s">
        <v>586</v>
      </c>
      <c r="B548" t="s">
        <v>3363</v>
      </c>
      <c r="C548" s="60" t="str">
        <f t="shared" si="47"/>
        <v>E5590</v>
      </c>
      <c r="D548" t="s">
        <v>587</v>
      </c>
      <c r="E548" t="s">
        <v>588</v>
      </c>
      <c r="F548" t="s">
        <v>506</v>
      </c>
      <c r="G548" t="s">
        <v>507</v>
      </c>
      <c r="H548" t="s">
        <v>508</v>
      </c>
      <c r="I548" t="s">
        <v>509</v>
      </c>
      <c r="J548" t="s">
        <v>589</v>
      </c>
      <c r="K548" s="502">
        <v>-22.32</v>
      </c>
      <c r="L548" t="s">
        <v>819</v>
      </c>
    </row>
    <row r="549" spans="1:12">
      <c r="A549" t="s">
        <v>586</v>
      </c>
      <c r="B549" t="s">
        <v>3364</v>
      </c>
      <c r="C549" s="60" t="str">
        <f t="shared" si="47"/>
        <v>E5590</v>
      </c>
      <c r="D549" t="s">
        <v>587</v>
      </c>
      <c r="E549" t="s">
        <v>588</v>
      </c>
      <c r="F549" t="s">
        <v>506</v>
      </c>
      <c r="G549" t="s">
        <v>507</v>
      </c>
      <c r="H549" t="s">
        <v>508</v>
      </c>
      <c r="I549" t="s">
        <v>509</v>
      </c>
      <c r="J549" t="s">
        <v>589</v>
      </c>
      <c r="K549" s="502">
        <v>-21.6</v>
      </c>
      <c r="L549" t="s">
        <v>819</v>
      </c>
    </row>
    <row r="550" spans="1:12">
      <c r="A550" t="s">
        <v>586</v>
      </c>
      <c r="B550" t="s">
        <v>3365</v>
      </c>
      <c r="C550" s="60" t="str">
        <f t="shared" si="47"/>
        <v>E5590</v>
      </c>
      <c r="D550" t="s">
        <v>587</v>
      </c>
      <c r="E550" t="s">
        <v>588</v>
      </c>
      <c r="F550" t="s">
        <v>506</v>
      </c>
      <c r="G550" t="s">
        <v>507</v>
      </c>
      <c r="H550" t="s">
        <v>508</v>
      </c>
      <c r="I550" t="s">
        <v>509</v>
      </c>
      <c r="J550" t="s">
        <v>589</v>
      </c>
      <c r="K550" s="502">
        <v>-22.32</v>
      </c>
      <c r="L550" t="s">
        <v>819</v>
      </c>
    </row>
    <row r="551" spans="1:12">
      <c r="A551" t="s">
        <v>586</v>
      </c>
      <c r="B551" t="s">
        <v>3366</v>
      </c>
      <c r="C551" s="60" t="str">
        <f t="shared" si="47"/>
        <v>E5590</v>
      </c>
      <c r="D551" t="s">
        <v>587</v>
      </c>
      <c r="E551" t="s">
        <v>588</v>
      </c>
      <c r="F551" t="s">
        <v>506</v>
      </c>
      <c r="G551" t="s">
        <v>507</v>
      </c>
      <c r="H551" t="s">
        <v>508</v>
      </c>
      <c r="I551" t="s">
        <v>509</v>
      </c>
      <c r="J551" t="s">
        <v>589</v>
      </c>
      <c r="K551" s="502">
        <v>-21.6</v>
      </c>
      <c r="L551" t="s">
        <v>819</v>
      </c>
    </row>
    <row r="552" spans="1:12">
      <c r="A552" t="s">
        <v>586</v>
      </c>
      <c r="B552" t="s">
        <v>3367</v>
      </c>
      <c r="C552" s="60" t="str">
        <f t="shared" si="47"/>
        <v>E5590</v>
      </c>
      <c r="D552" t="s">
        <v>587</v>
      </c>
      <c r="E552" t="s">
        <v>588</v>
      </c>
      <c r="F552" t="s">
        <v>506</v>
      </c>
      <c r="G552" t="s">
        <v>507</v>
      </c>
      <c r="H552" t="s">
        <v>508</v>
      </c>
      <c r="I552" t="s">
        <v>509</v>
      </c>
      <c r="J552" t="s">
        <v>589</v>
      </c>
      <c r="K552" s="502">
        <v>-22.32</v>
      </c>
      <c r="L552" t="s">
        <v>819</v>
      </c>
    </row>
    <row r="553" spans="1:12">
      <c r="A553" t="s">
        <v>586</v>
      </c>
      <c r="B553" t="s">
        <v>3356</v>
      </c>
      <c r="C553" s="3" t="str">
        <f>+'2-Préparation saisie LV PROD'!B52</f>
        <v>E5650</v>
      </c>
      <c r="D553" t="s">
        <v>587</v>
      </c>
      <c r="E553" t="s">
        <v>588</v>
      </c>
      <c r="F553" t="s">
        <v>506</v>
      </c>
      <c r="G553" t="s">
        <v>507</v>
      </c>
      <c r="H553" t="s">
        <v>508</v>
      </c>
      <c r="I553" t="s">
        <v>509</v>
      </c>
      <c r="J553" t="s">
        <v>589</v>
      </c>
      <c r="K553" s="502">
        <v>-22.32</v>
      </c>
      <c r="L553" t="s">
        <v>821</v>
      </c>
    </row>
    <row r="554" spans="1:12">
      <c r="A554" t="s">
        <v>586</v>
      </c>
      <c r="B554" t="s">
        <v>3357</v>
      </c>
      <c r="C554" s="60" t="str">
        <f>C553</f>
        <v>E5650</v>
      </c>
      <c r="D554" t="s">
        <v>587</v>
      </c>
      <c r="E554" t="s">
        <v>588</v>
      </c>
      <c r="F554" t="s">
        <v>506</v>
      </c>
      <c r="G554" t="s">
        <v>507</v>
      </c>
      <c r="H554" t="s">
        <v>508</v>
      </c>
      <c r="I554" t="s">
        <v>509</v>
      </c>
      <c r="J554" t="s">
        <v>589</v>
      </c>
      <c r="K554" s="502">
        <f>K542</f>
        <v>-20.16</v>
      </c>
      <c r="L554" t="s">
        <v>821</v>
      </c>
    </row>
    <row r="555" spans="1:12">
      <c r="A555" t="s">
        <v>586</v>
      </c>
      <c r="B555" t="s">
        <v>3358</v>
      </c>
      <c r="C555" s="60" t="str">
        <f t="shared" ref="C555:C564" si="48">+C554</f>
        <v>E5650</v>
      </c>
      <c r="D555" t="s">
        <v>587</v>
      </c>
      <c r="E555" t="s">
        <v>588</v>
      </c>
      <c r="F555" t="s">
        <v>506</v>
      </c>
      <c r="G555" t="s">
        <v>507</v>
      </c>
      <c r="H555" t="s">
        <v>508</v>
      </c>
      <c r="I555" t="s">
        <v>509</v>
      </c>
      <c r="J555" t="s">
        <v>589</v>
      </c>
      <c r="K555" s="502">
        <v>-22.32</v>
      </c>
      <c r="L555" t="s">
        <v>821</v>
      </c>
    </row>
    <row r="556" spans="1:12">
      <c r="A556" t="s">
        <v>586</v>
      </c>
      <c r="B556" t="s">
        <v>3359</v>
      </c>
      <c r="C556" s="60" t="str">
        <f t="shared" si="48"/>
        <v>E5650</v>
      </c>
      <c r="D556" t="s">
        <v>587</v>
      </c>
      <c r="E556" t="s">
        <v>588</v>
      </c>
      <c r="F556" t="s">
        <v>506</v>
      </c>
      <c r="G556" t="s">
        <v>507</v>
      </c>
      <c r="H556" t="s">
        <v>508</v>
      </c>
      <c r="I556" t="s">
        <v>509</v>
      </c>
      <c r="J556" t="s">
        <v>589</v>
      </c>
      <c r="K556" s="502">
        <v>-21.6</v>
      </c>
      <c r="L556" t="s">
        <v>821</v>
      </c>
    </row>
    <row r="557" spans="1:12">
      <c r="A557" t="s">
        <v>586</v>
      </c>
      <c r="B557" t="s">
        <v>3360</v>
      </c>
      <c r="C557" s="60" t="str">
        <f t="shared" si="48"/>
        <v>E5650</v>
      </c>
      <c r="D557" t="s">
        <v>587</v>
      </c>
      <c r="E557" t="s">
        <v>588</v>
      </c>
      <c r="F557" t="s">
        <v>506</v>
      </c>
      <c r="G557" t="s">
        <v>507</v>
      </c>
      <c r="H557" t="s">
        <v>508</v>
      </c>
      <c r="I557" t="s">
        <v>509</v>
      </c>
      <c r="J557" t="s">
        <v>589</v>
      </c>
      <c r="K557" s="502">
        <v>-22.32</v>
      </c>
      <c r="L557" t="s">
        <v>821</v>
      </c>
    </row>
    <row r="558" spans="1:12">
      <c r="A558" t="s">
        <v>586</v>
      </c>
      <c r="B558" t="s">
        <v>3361</v>
      </c>
      <c r="C558" s="60" t="str">
        <f t="shared" si="48"/>
        <v>E5650</v>
      </c>
      <c r="D558" t="s">
        <v>587</v>
      </c>
      <c r="E558" t="s">
        <v>588</v>
      </c>
      <c r="F558" t="s">
        <v>506</v>
      </c>
      <c r="G558" t="s">
        <v>507</v>
      </c>
      <c r="H558" t="s">
        <v>508</v>
      </c>
      <c r="I558" t="s">
        <v>509</v>
      </c>
      <c r="J558" t="s">
        <v>589</v>
      </c>
      <c r="K558" s="502">
        <v>-21.6</v>
      </c>
      <c r="L558" t="s">
        <v>821</v>
      </c>
    </row>
    <row r="559" spans="1:12">
      <c r="A559" t="s">
        <v>586</v>
      </c>
      <c r="B559" t="s">
        <v>3362</v>
      </c>
      <c r="C559" s="60" t="str">
        <f t="shared" si="48"/>
        <v>E5650</v>
      </c>
      <c r="D559" t="s">
        <v>587</v>
      </c>
      <c r="E559" t="s">
        <v>588</v>
      </c>
      <c r="F559" t="s">
        <v>506</v>
      </c>
      <c r="G559" t="s">
        <v>507</v>
      </c>
      <c r="H559" t="s">
        <v>508</v>
      </c>
      <c r="I559" t="s">
        <v>509</v>
      </c>
      <c r="J559" t="s">
        <v>589</v>
      </c>
      <c r="K559" s="502">
        <v>-22.32</v>
      </c>
      <c r="L559" t="s">
        <v>821</v>
      </c>
    </row>
    <row r="560" spans="1:12">
      <c r="A560" t="s">
        <v>586</v>
      </c>
      <c r="B560" t="s">
        <v>3363</v>
      </c>
      <c r="C560" s="60" t="str">
        <f t="shared" si="48"/>
        <v>E5650</v>
      </c>
      <c r="D560" t="s">
        <v>587</v>
      </c>
      <c r="E560" t="s">
        <v>588</v>
      </c>
      <c r="F560" t="s">
        <v>506</v>
      </c>
      <c r="G560" t="s">
        <v>507</v>
      </c>
      <c r="H560" t="s">
        <v>508</v>
      </c>
      <c r="I560" t="s">
        <v>509</v>
      </c>
      <c r="J560" t="s">
        <v>589</v>
      </c>
      <c r="K560" s="502">
        <v>-22.32</v>
      </c>
      <c r="L560" t="s">
        <v>821</v>
      </c>
    </row>
    <row r="561" spans="1:12">
      <c r="A561" t="s">
        <v>586</v>
      </c>
      <c r="B561" t="s">
        <v>3364</v>
      </c>
      <c r="C561" s="60" t="str">
        <f t="shared" si="48"/>
        <v>E5650</v>
      </c>
      <c r="D561" t="s">
        <v>587</v>
      </c>
      <c r="E561" t="s">
        <v>588</v>
      </c>
      <c r="F561" t="s">
        <v>506</v>
      </c>
      <c r="G561" t="s">
        <v>507</v>
      </c>
      <c r="H561" t="s">
        <v>508</v>
      </c>
      <c r="I561" t="s">
        <v>509</v>
      </c>
      <c r="J561" t="s">
        <v>589</v>
      </c>
      <c r="K561" s="502">
        <v>-21.6</v>
      </c>
      <c r="L561" t="s">
        <v>821</v>
      </c>
    </row>
    <row r="562" spans="1:12">
      <c r="A562" t="s">
        <v>586</v>
      </c>
      <c r="B562" t="s">
        <v>3365</v>
      </c>
      <c r="C562" s="60" t="str">
        <f t="shared" si="48"/>
        <v>E5650</v>
      </c>
      <c r="D562" t="s">
        <v>587</v>
      </c>
      <c r="E562" t="s">
        <v>588</v>
      </c>
      <c r="F562" t="s">
        <v>506</v>
      </c>
      <c r="G562" t="s">
        <v>507</v>
      </c>
      <c r="H562" t="s">
        <v>508</v>
      </c>
      <c r="I562" t="s">
        <v>509</v>
      </c>
      <c r="J562" t="s">
        <v>589</v>
      </c>
      <c r="K562" s="502">
        <v>-22.32</v>
      </c>
      <c r="L562" t="s">
        <v>821</v>
      </c>
    </row>
    <row r="563" spans="1:12">
      <c r="A563" t="s">
        <v>586</v>
      </c>
      <c r="B563" t="s">
        <v>3366</v>
      </c>
      <c r="C563" s="60" t="str">
        <f t="shared" si="48"/>
        <v>E5650</v>
      </c>
      <c r="D563" t="s">
        <v>587</v>
      </c>
      <c r="E563" t="s">
        <v>588</v>
      </c>
      <c r="F563" t="s">
        <v>506</v>
      </c>
      <c r="G563" t="s">
        <v>507</v>
      </c>
      <c r="H563" t="s">
        <v>508</v>
      </c>
      <c r="I563" t="s">
        <v>509</v>
      </c>
      <c r="J563" t="s">
        <v>589</v>
      </c>
      <c r="K563" s="502">
        <v>-21.6</v>
      </c>
      <c r="L563" t="s">
        <v>821</v>
      </c>
    </row>
    <row r="564" spans="1:12">
      <c r="A564" t="s">
        <v>586</v>
      </c>
      <c r="B564" t="s">
        <v>3367</v>
      </c>
      <c r="C564" s="60" t="str">
        <f t="shared" si="48"/>
        <v>E5650</v>
      </c>
      <c r="D564" t="s">
        <v>587</v>
      </c>
      <c r="E564" t="s">
        <v>588</v>
      </c>
      <c r="F564" t="s">
        <v>506</v>
      </c>
      <c r="G564" t="s">
        <v>507</v>
      </c>
      <c r="H564" t="s">
        <v>508</v>
      </c>
      <c r="I564" t="s">
        <v>509</v>
      </c>
      <c r="J564" t="s">
        <v>589</v>
      </c>
      <c r="K564" s="502">
        <v>-22.32</v>
      </c>
      <c r="L564" t="s">
        <v>821</v>
      </c>
    </row>
    <row r="565" spans="1:12">
      <c r="A565" t="s">
        <v>586</v>
      </c>
      <c r="B565" t="s">
        <v>3356</v>
      </c>
      <c r="C565" s="3" t="str">
        <f>+'2-Préparation saisie LV PROD'!B53</f>
        <v>E5720</v>
      </c>
      <c r="D565" t="s">
        <v>587</v>
      </c>
      <c r="E565" t="s">
        <v>588</v>
      </c>
      <c r="F565" t="s">
        <v>506</v>
      </c>
      <c r="G565" t="s">
        <v>507</v>
      </c>
      <c r="H565" t="s">
        <v>508</v>
      </c>
      <c r="I565" t="s">
        <v>509</v>
      </c>
      <c r="J565" t="s">
        <v>589</v>
      </c>
      <c r="K565" s="502">
        <v>-22.32</v>
      </c>
      <c r="L565" t="s">
        <v>823</v>
      </c>
    </row>
    <row r="566" spans="1:12">
      <c r="A566" t="s">
        <v>586</v>
      </c>
      <c r="B566" t="s">
        <v>3357</v>
      </c>
      <c r="C566" s="60" t="str">
        <f>C565</f>
        <v>E5720</v>
      </c>
      <c r="D566" t="s">
        <v>587</v>
      </c>
      <c r="E566" t="s">
        <v>588</v>
      </c>
      <c r="F566" t="s">
        <v>506</v>
      </c>
      <c r="G566" t="s">
        <v>507</v>
      </c>
      <c r="H566" t="s">
        <v>508</v>
      </c>
      <c r="I566" t="s">
        <v>509</v>
      </c>
      <c r="J566" t="s">
        <v>589</v>
      </c>
      <c r="K566" s="502">
        <f>K554</f>
        <v>-20.16</v>
      </c>
      <c r="L566" t="s">
        <v>823</v>
      </c>
    </row>
    <row r="567" spans="1:12">
      <c r="A567" t="s">
        <v>586</v>
      </c>
      <c r="B567" t="s">
        <v>3358</v>
      </c>
      <c r="C567" s="60" t="str">
        <f t="shared" ref="C567:C576" si="49">+C566</f>
        <v>E5720</v>
      </c>
      <c r="D567" t="s">
        <v>587</v>
      </c>
      <c r="E567" t="s">
        <v>588</v>
      </c>
      <c r="F567" t="s">
        <v>506</v>
      </c>
      <c r="G567" t="s">
        <v>507</v>
      </c>
      <c r="H567" t="s">
        <v>508</v>
      </c>
      <c r="I567" t="s">
        <v>509</v>
      </c>
      <c r="J567" t="s">
        <v>589</v>
      </c>
      <c r="K567" s="502">
        <v>-22.32</v>
      </c>
      <c r="L567" t="s">
        <v>823</v>
      </c>
    </row>
    <row r="568" spans="1:12">
      <c r="A568" t="s">
        <v>586</v>
      </c>
      <c r="B568" t="s">
        <v>3359</v>
      </c>
      <c r="C568" s="60" t="str">
        <f t="shared" si="49"/>
        <v>E5720</v>
      </c>
      <c r="D568" t="s">
        <v>587</v>
      </c>
      <c r="E568" t="s">
        <v>588</v>
      </c>
      <c r="F568" t="s">
        <v>506</v>
      </c>
      <c r="G568" t="s">
        <v>507</v>
      </c>
      <c r="H568" t="s">
        <v>508</v>
      </c>
      <c r="I568" t="s">
        <v>509</v>
      </c>
      <c r="J568" t="s">
        <v>589</v>
      </c>
      <c r="K568" s="502">
        <v>-21.6</v>
      </c>
      <c r="L568" t="s">
        <v>823</v>
      </c>
    </row>
    <row r="569" spans="1:12">
      <c r="A569" t="s">
        <v>586</v>
      </c>
      <c r="B569" t="s">
        <v>3360</v>
      </c>
      <c r="C569" s="60" t="str">
        <f t="shared" si="49"/>
        <v>E5720</v>
      </c>
      <c r="D569" t="s">
        <v>587</v>
      </c>
      <c r="E569" t="s">
        <v>588</v>
      </c>
      <c r="F569" t="s">
        <v>506</v>
      </c>
      <c r="G569" t="s">
        <v>507</v>
      </c>
      <c r="H569" t="s">
        <v>508</v>
      </c>
      <c r="I569" t="s">
        <v>509</v>
      </c>
      <c r="J569" t="s">
        <v>589</v>
      </c>
      <c r="K569" s="502">
        <v>-22.32</v>
      </c>
      <c r="L569" t="s">
        <v>823</v>
      </c>
    </row>
    <row r="570" spans="1:12">
      <c r="A570" t="s">
        <v>586</v>
      </c>
      <c r="B570" t="s">
        <v>3361</v>
      </c>
      <c r="C570" s="60" t="str">
        <f t="shared" si="49"/>
        <v>E5720</v>
      </c>
      <c r="D570" t="s">
        <v>587</v>
      </c>
      <c r="E570" t="s">
        <v>588</v>
      </c>
      <c r="F570" t="s">
        <v>506</v>
      </c>
      <c r="G570" t="s">
        <v>507</v>
      </c>
      <c r="H570" t="s">
        <v>508</v>
      </c>
      <c r="I570" t="s">
        <v>509</v>
      </c>
      <c r="J570" t="s">
        <v>589</v>
      </c>
      <c r="K570" s="502">
        <v>-21.6</v>
      </c>
      <c r="L570" t="s">
        <v>823</v>
      </c>
    </row>
    <row r="571" spans="1:12">
      <c r="A571" t="s">
        <v>586</v>
      </c>
      <c r="B571" t="s">
        <v>3362</v>
      </c>
      <c r="C571" s="60" t="str">
        <f t="shared" si="49"/>
        <v>E5720</v>
      </c>
      <c r="D571" t="s">
        <v>587</v>
      </c>
      <c r="E571" t="s">
        <v>588</v>
      </c>
      <c r="F571" t="s">
        <v>506</v>
      </c>
      <c r="G571" t="s">
        <v>507</v>
      </c>
      <c r="H571" t="s">
        <v>508</v>
      </c>
      <c r="I571" t="s">
        <v>509</v>
      </c>
      <c r="J571" t="s">
        <v>589</v>
      </c>
      <c r="K571" s="502">
        <v>-22.32</v>
      </c>
      <c r="L571" t="s">
        <v>823</v>
      </c>
    </row>
    <row r="572" spans="1:12">
      <c r="A572" t="s">
        <v>586</v>
      </c>
      <c r="B572" t="s">
        <v>3363</v>
      </c>
      <c r="C572" s="60" t="str">
        <f t="shared" si="49"/>
        <v>E5720</v>
      </c>
      <c r="D572" t="s">
        <v>587</v>
      </c>
      <c r="E572" t="s">
        <v>588</v>
      </c>
      <c r="F572" t="s">
        <v>506</v>
      </c>
      <c r="G572" t="s">
        <v>507</v>
      </c>
      <c r="H572" t="s">
        <v>508</v>
      </c>
      <c r="I572" t="s">
        <v>509</v>
      </c>
      <c r="J572" t="s">
        <v>589</v>
      </c>
      <c r="K572" s="502">
        <v>-22.32</v>
      </c>
      <c r="L572" t="s">
        <v>823</v>
      </c>
    </row>
    <row r="573" spans="1:12">
      <c r="A573" t="s">
        <v>586</v>
      </c>
      <c r="B573" t="s">
        <v>3364</v>
      </c>
      <c r="C573" s="60" t="str">
        <f t="shared" si="49"/>
        <v>E5720</v>
      </c>
      <c r="D573" t="s">
        <v>587</v>
      </c>
      <c r="E573" t="s">
        <v>588</v>
      </c>
      <c r="F573" t="s">
        <v>506</v>
      </c>
      <c r="G573" t="s">
        <v>507</v>
      </c>
      <c r="H573" t="s">
        <v>508</v>
      </c>
      <c r="I573" t="s">
        <v>509</v>
      </c>
      <c r="J573" t="s">
        <v>589</v>
      </c>
      <c r="K573" s="502">
        <v>-21.6</v>
      </c>
      <c r="L573" t="s">
        <v>823</v>
      </c>
    </row>
    <row r="574" spans="1:12">
      <c r="A574" t="s">
        <v>586</v>
      </c>
      <c r="B574" t="s">
        <v>3365</v>
      </c>
      <c r="C574" s="60" t="str">
        <f t="shared" si="49"/>
        <v>E5720</v>
      </c>
      <c r="D574" t="s">
        <v>587</v>
      </c>
      <c r="E574" t="s">
        <v>588</v>
      </c>
      <c r="F574" t="s">
        <v>506</v>
      </c>
      <c r="G574" t="s">
        <v>507</v>
      </c>
      <c r="H574" t="s">
        <v>508</v>
      </c>
      <c r="I574" t="s">
        <v>509</v>
      </c>
      <c r="J574" t="s">
        <v>589</v>
      </c>
      <c r="K574" s="502">
        <v>-22.32</v>
      </c>
      <c r="L574" t="s">
        <v>823</v>
      </c>
    </row>
    <row r="575" spans="1:12">
      <c r="A575" t="s">
        <v>586</v>
      </c>
      <c r="B575" t="s">
        <v>3366</v>
      </c>
      <c r="C575" s="60" t="str">
        <f t="shared" si="49"/>
        <v>E5720</v>
      </c>
      <c r="D575" t="s">
        <v>587</v>
      </c>
      <c r="E575" t="s">
        <v>588</v>
      </c>
      <c r="F575" t="s">
        <v>506</v>
      </c>
      <c r="G575" t="s">
        <v>507</v>
      </c>
      <c r="H575" t="s">
        <v>508</v>
      </c>
      <c r="I575" t="s">
        <v>509</v>
      </c>
      <c r="J575" t="s">
        <v>589</v>
      </c>
      <c r="K575" s="502">
        <v>-21.6</v>
      </c>
      <c r="L575" t="s">
        <v>823</v>
      </c>
    </row>
    <row r="576" spans="1:12">
      <c r="A576" t="s">
        <v>586</v>
      </c>
      <c r="B576" t="s">
        <v>3367</v>
      </c>
      <c r="C576" s="60" t="str">
        <f t="shared" si="49"/>
        <v>E5720</v>
      </c>
      <c r="D576" t="s">
        <v>587</v>
      </c>
      <c r="E576" t="s">
        <v>588</v>
      </c>
      <c r="F576" t="s">
        <v>506</v>
      </c>
      <c r="G576" t="s">
        <v>507</v>
      </c>
      <c r="H576" t="s">
        <v>508</v>
      </c>
      <c r="I576" t="s">
        <v>509</v>
      </c>
      <c r="J576" t="s">
        <v>589</v>
      </c>
      <c r="K576" s="502">
        <v>-22.32</v>
      </c>
      <c r="L576" t="s">
        <v>823</v>
      </c>
    </row>
    <row r="577" spans="1:14">
      <c r="A577" t="s">
        <v>586</v>
      </c>
      <c r="B577" t="s">
        <v>3356</v>
      </c>
      <c r="C577" s="3" t="str">
        <f>+'2-Préparation saisie LV PROD'!B54</f>
        <v>E5710</v>
      </c>
      <c r="D577" t="s">
        <v>587</v>
      </c>
      <c r="E577" t="s">
        <v>588</v>
      </c>
      <c r="F577" t="s">
        <v>506</v>
      </c>
      <c r="G577" t="s">
        <v>507</v>
      </c>
      <c r="H577" t="s">
        <v>508</v>
      </c>
      <c r="I577" t="s">
        <v>509</v>
      </c>
      <c r="J577" t="s">
        <v>589</v>
      </c>
      <c r="K577" s="502">
        <v>-22.32</v>
      </c>
      <c r="L577" t="s">
        <v>825</v>
      </c>
    </row>
    <row r="578" spans="1:14">
      <c r="A578" t="s">
        <v>586</v>
      </c>
      <c r="B578" t="s">
        <v>3357</v>
      </c>
      <c r="C578" s="60" t="str">
        <f>C577</f>
        <v>E5710</v>
      </c>
      <c r="D578" t="s">
        <v>587</v>
      </c>
      <c r="E578" t="s">
        <v>588</v>
      </c>
      <c r="F578" t="s">
        <v>506</v>
      </c>
      <c r="G578" t="s">
        <v>507</v>
      </c>
      <c r="H578" t="s">
        <v>508</v>
      </c>
      <c r="I578" t="s">
        <v>509</v>
      </c>
      <c r="J578" t="s">
        <v>589</v>
      </c>
      <c r="K578" s="502">
        <f>K566</f>
        <v>-20.16</v>
      </c>
      <c r="L578" t="s">
        <v>825</v>
      </c>
    </row>
    <row r="579" spans="1:14">
      <c r="A579" t="s">
        <v>586</v>
      </c>
      <c r="B579" t="s">
        <v>3358</v>
      </c>
      <c r="C579" s="60" t="str">
        <f t="shared" ref="C579:C588" si="50">+C578</f>
        <v>E5710</v>
      </c>
      <c r="D579" t="s">
        <v>587</v>
      </c>
      <c r="E579" t="s">
        <v>588</v>
      </c>
      <c r="F579" t="s">
        <v>506</v>
      </c>
      <c r="G579" t="s">
        <v>507</v>
      </c>
      <c r="H579" t="s">
        <v>508</v>
      </c>
      <c r="I579" t="s">
        <v>509</v>
      </c>
      <c r="J579" t="s">
        <v>589</v>
      </c>
      <c r="K579" s="502">
        <v>-22.32</v>
      </c>
      <c r="L579" t="s">
        <v>825</v>
      </c>
    </row>
    <row r="580" spans="1:14">
      <c r="A580" t="s">
        <v>586</v>
      </c>
      <c r="B580" t="s">
        <v>3359</v>
      </c>
      <c r="C580" s="60" t="str">
        <f t="shared" si="50"/>
        <v>E5710</v>
      </c>
      <c r="D580" t="s">
        <v>587</v>
      </c>
      <c r="E580" t="s">
        <v>588</v>
      </c>
      <c r="F580" t="s">
        <v>506</v>
      </c>
      <c r="G580" t="s">
        <v>507</v>
      </c>
      <c r="H580" t="s">
        <v>508</v>
      </c>
      <c r="I580" t="s">
        <v>509</v>
      </c>
      <c r="J580" t="s">
        <v>589</v>
      </c>
      <c r="K580" s="502">
        <v>-21.6</v>
      </c>
      <c r="L580" t="s">
        <v>825</v>
      </c>
    </row>
    <row r="581" spans="1:14">
      <c r="A581" t="s">
        <v>586</v>
      </c>
      <c r="B581" t="s">
        <v>3360</v>
      </c>
      <c r="C581" s="60" t="str">
        <f t="shared" si="50"/>
        <v>E5710</v>
      </c>
      <c r="D581" t="s">
        <v>587</v>
      </c>
      <c r="E581" t="s">
        <v>588</v>
      </c>
      <c r="F581" t="s">
        <v>506</v>
      </c>
      <c r="G581" t="s">
        <v>507</v>
      </c>
      <c r="H581" t="s">
        <v>508</v>
      </c>
      <c r="I581" t="s">
        <v>509</v>
      </c>
      <c r="J581" t="s">
        <v>589</v>
      </c>
      <c r="K581" s="502">
        <v>-22.32</v>
      </c>
      <c r="L581" t="s">
        <v>825</v>
      </c>
    </row>
    <row r="582" spans="1:14">
      <c r="A582" t="s">
        <v>586</v>
      </c>
      <c r="B582" t="s">
        <v>3361</v>
      </c>
      <c r="C582" s="60" t="str">
        <f t="shared" si="50"/>
        <v>E5710</v>
      </c>
      <c r="D582" t="s">
        <v>587</v>
      </c>
      <c r="E582" t="s">
        <v>588</v>
      </c>
      <c r="F582" t="s">
        <v>506</v>
      </c>
      <c r="G582" t="s">
        <v>507</v>
      </c>
      <c r="H582" t="s">
        <v>508</v>
      </c>
      <c r="I582" t="s">
        <v>509</v>
      </c>
      <c r="J582" t="s">
        <v>589</v>
      </c>
      <c r="K582" s="502">
        <v>-21.6</v>
      </c>
      <c r="L582" t="s">
        <v>825</v>
      </c>
    </row>
    <row r="583" spans="1:14">
      <c r="A583" t="s">
        <v>586</v>
      </c>
      <c r="B583" t="s">
        <v>3362</v>
      </c>
      <c r="C583" s="60" t="str">
        <f t="shared" si="50"/>
        <v>E5710</v>
      </c>
      <c r="D583" t="s">
        <v>587</v>
      </c>
      <c r="E583" t="s">
        <v>588</v>
      </c>
      <c r="F583" t="s">
        <v>506</v>
      </c>
      <c r="G583" t="s">
        <v>507</v>
      </c>
      <c r="H583" t="s">
        <v>508</v>
      </c>
      <c r="I583" t="s">
        <v>509</v>
      </c>
      <c r="J583" t="s">
        <v>589</v>
      </c>
      <c r="K583" s="502">
        <v>-22.32</v>
      </c>
      <c r="L583" t="s">
        <v>825</v>
      </c>
    </row>
    <row r="584" spans="1:14">
      <c r="A584" t="s">
        <v>586</v>
      </c>
      <c r="B584" t="s">
        <v>3363</v>
      </c>
      <c r="C584" s="60" t="str">
        <f t="shared" si="50"/>
        <v>E5710</v>
      </c>
      <c r="D584" t="s">
        <v>587</v>
      </c>
      <c r="E584" t="s">
        <v>588</v>
      </c>
      <c r="F584" t="s">
        <v>506</v>
      </c>
      <c r="G584" t="s">
        <v>507</v>
      </c>
      <c r="H584" t="s">
        <v>508</v>
      </c>
      <c r="I584" t="s">
        <v>509</v>
      </c>
      <c r="J584" t="s">
        <v>589</v>
      </c>
      <c r="K584" s="502">
        <v>-22.32</v>
      </c>
      <c r="L584" t="s">
        <v>825</v>
      </c>
    </row>
    <row r="585" spans="1:14">
      <c r="A585" t="s">
        <v>586</v>
      </c>
      <c r="B585" t="s">
        <v>3364</v>
      </c>
      <c r="C585" s="60" t="str">
        <f t="shared" si="50"/>
        <v>E5710</v>
      </c>
      <c r="D585" t="s">
        <v>587</v>
      </c>
      <c r="E585" t="s">
        <v>588</v>
      </c>
      <c r="F585" t="s">
        <v>506</v>
      </c>
      <c r="G585" t="s">
        <v>507</v>
      </c>
      <c r="H585" t="s">
        <v>508</v>
      </c>
      <c r="I585" t="s">
        <v>509</v>
      </c>
      <c r="J585" t="s">
        <v>589</v>
      </c>
      <c r="K585" s="502">
        <v>-21.6</v>
      </c>
      <c r="L585" t="s">
        <v>825</v>
      </c>
    </row>
    <row r="586" spans="1:14">
      <c r="A586" t="s">
        <v>586</v>
      </c>
      <c r="B586" t="s">
        <v>3365</v>
      </c>
      <c r="C586" s="60" t="str">
        <f t="shared" si="50"/>
        <v>E5710</v>
      </c>
      <c r="D586" t="s">
        <v>587</v>
      </c>
      <c r="E586" t="s">
        <v>588</v>
      </c>
      <c r="F586" t="s">
        <v>506</v>
      </c>
      <c r="G586" t="s">
        <v>507</v>
      </c>
      <c r="H586" t="s">
        <v>508</v>
      </c>
      <c r="I586" t="s">
        <v>509</v>
      </c>
      <c r="J586" t="s">
        <v>589</v>
      </c>
      <c r="K586" s="502">
        <v>-22.32</v>
      </c>
      <c r="L586" t="s">
        <v>825</v>
      </c>
    </row>
    <row r="587" spans="1:14">
      <c r="A587" t="s">
        <v>586</v>
      </c>
      <c r="B587" t="s">
        <v>3366</v>
      </c>
      <c r="C587" s="60" t="str">
        <f t="shared" si="50"/>
        <v>E5710</v>
      </c>
      <c r="D587" t="s">
        <v>587</v>
      </c>
      <c r="E587" t="s">
        <v>588</v>
      </c>
      <c r="F587" t="s">
        <v>506</v>
      </c>
      <c r="G587" t="s">
        <v>507</v>
      </c>
      <c r="H587" t="s">
        <v>508</v>
      </c>
      <c r="I587" t="s">
        <v>509</v>
      </c>
      <c r="J587" t="s">
        <v>589</v>
      </c>
      <c r="K587" s="502">
        <v>-21.6</v>
      </c>
      <c r="L587" t="s">
        <v>825</v>
      </c>
    </row>
    <row r="588" spans="1:14">
      <c r="A588" t="s">
        <v>586</v>
      </c>
      <c r="B588" t="s">
        <v>3367</v>
      </c>
      <c r="C588" s="60" t="str">
        <f t="shared" si="50"/>
        <v>E5710</v>
      </c>
      <c r="D588" t="s">
        <v>587</v>
      </c>
      <c r="E588" t="s">
        <v>588</v>
      </c>
      <c r="F588" t="s">
        <v>506</v>
      </c>
      <c r="G588" t="s">
        <v>507</v>
      </c>
      <c r="H588" t="s">
        <v>508</v>
      </c>
      <c r="I588" t="s">
        <v>509</v>
      </c>
      <c r="J588" t="s">
        <v>589</v>
      </c>
      <c r="K588" s="502">
        <v>-22.32</v>
      </c>
      <c r="L588" t="s">
        <v>825</v>
      </c>
    </row>
    <row r="589" spans="1:14">
      <c r="A589" t="s">
        <v>586</v>
      </c>
      <c r="B589" t="s">
        <v>3356</v>
      </c>
      <c r="C589" s="3" t="str">
        <f>+'2-Préparation saisie LV PROD'!B55</f>
        <v>E6190</v>
      </c>
      <c r="D589" t="s">
        <v>587</v>
      </c>
      <c r="E589" t="s">
        <v>588</v>
      </c>
      <c r="F589" t="s">
        <v>506</v>
      </c>
      <c r="G589" t="s">
        <v>507</v>
      </c>
      <c r="H589" t="s">
        <v>508</v>
      </c>
      <c r="I589" t="s">
        <v>509</v>
      </c>
      <c r="J589" t="s">
        <v>589</v>
      </c>
      <c r="K589" s="575">
        <f>Q3</f>
        <v>-22.32</v>
      </c>
      <c r="L589" t="s">
        <v>483</v>
      </c>
    </row>
    <row r="590" spans="1:14">
      <c r="A590" t="s">
        <v>586</v>
      </c>
      <c r="B590" t="s">
        <v>3357</v>
      </c>
      <c r="C590" s="60" t="str">
        <f>C589</f>
        <v>E6190</v>
      </c>
      <c r="D590" t="s">
        <v>587</v>
      </c>
      <c r="E590" t="s">
        <v>588</v>
      </c>
      <c r="F590" t="s">
        <v>506</v>
      </c>
      <c r="G590" t="s">
        <v>507</v>
      </c>
      <c r="H590" t="s">
        <v>508</v>
      </c>
      <c r="I590" t="s">
        <v>509</v>
      </c>
      <c r="J590" t="s">
        <v>589</v>
      </c>
      <c r="K590" s="575">
        <f>R4</f>
        <v>-672</v>
      </c>
      <c r="L590" t="s">
        <v>483</v>
      </c>
      <c r="N590" t="s">
        <v>3442</v>
      </c>
    </row>
    <row r="591" spans="1:14">
      <c r="A591" t="s">
        <v>586</v>
      </c>
      <c r="B591" t="s">
        <v>3358</v>
      </c>
      <c r="C591" s="60" t="str">
        <f t="shared" ref="C591:C600" si="51">+C590</f>
        <v>E6190</v>
      </c>
      <c r="D591" t="s">
        <v>587</v>
      </c>
      <c r="E591" t="s">
        <v>588</v>
      </c>
      <c r="F591" t="s">
        <v>506</v>
      </c>
      <c r="G591" t="s">
        <v>507</v>
      </c>
      <c r="H591" t="s">
        <v>508</v>
      </c>
      <c r="I591" t="s">
        <v>509</v>
      </c>
      <c r="J591" t="s">
        <v>589</v>
      </c>
      <c r="K591" s="575">
        <f>S4</f>
        <v>-744</v>
      </c>
      <c r="L591" t="s">
        <v>483</v>
      </c>
      <c r="N591" t="s">
        <v>3442</v>
      </c>
    </row>
    <row r="592" spans="1:14">
      <c r="A592" t="s">
        <v>586</v>
      </c>
      <c r="B592" t="s">
        <v>3359</v>
      </c>
      <c r="C592" s="60" t="str">
        <f t="shared" si="51"/>
        <v>E6190</v>
      </c>
      <c r="D592" t="s">
        <v>587</v>
      </c>
      <c r="E592" t="s">
        <v>588</v>
      </c>
      <c r="F592" t="s">
        <v>506</v>
      </c>
      <c r="G592" t="s">
        <v>507</v>
      </c>
      <c r="H592" t="s">
        <v>508</v>
      </c>
      <c r="I592" t="s">
        <v>509</v>
      </c>
      <c r="J592" t="s">
        <v>589</v>
      </c>
      <c r="K592" s="575">
        <f>T4</f>
        <v>-720</v>
      </c>
      <c r="L592" t="s">
        <v>483</v>
      </c>
      <c r="N592" t="s">
        <v>3442</v>
      </c>
    </row>
    <row r="593" spans="1:14">
      <c r="A593" t="s">
        <v>586</v>
      </c>
      <c r="B593" t="s">
        <v>3360</v>
      </c>
      <c r="C593" s="60" t="str">
        <f t="shared" si="51"/>
        <v>E6190</v>
      </c>
      <c r="D593" t="s">
        <v>587</v>
      </c>
      <c r="E593" t="s">
        <v>588</v>
      </c>
      <c r="F593" t="s">
        <v>506</v>
      </c>
      <c r="G593" t="s">
        <v>507</v>
      </c>
      <c r="H593" t="s">
        <v>508</v>
      </c>
      <c r="I593" t="s">
        <v>509</v>
      </c>
      <c r="J593" t="s">
        <v>589</v>
      </c>
      <c r="K593" s="575">
        <f>U4</f>
        <v>-744</v>
      </c>
      <c r="L593" t="s">
        <v>483</v>
      </c>
      <c r="N593" t="s">
        <v>3442</v>
      </c>
    </row>
    <row r="594" spans="1:14">
      <c r="A594" t="s">
        <v>586</v>
      </c>
      <c r="B594" t="s">
        <v>3361</v>
      </c>
      <c r="C594" s="60" t="str">
        <f t="shared" si="51"/>
        <v>E6190</v>
      </c>
      <c r="D594" t="s">
        <v>587</v>
      </c>
      <c r="E594" t="s">
        <v>588</v>
      </c>
      <c r="F594" t="s">
        <v>506</v>
      </c>
      <c r="G594" t="s">
        <v>507</v>
      </c>
      <c r="H594" t="s">
        <v>508</v>
      </c>
      <c r="I594" t="s">
        <v>509</v>
      </c>
      <c r="J594" t="s">
        <v>589</v>
      </c>
      <c r="K594" s="575">
        <f>V4</f>
        <v>-720</v>
      </c>
      <c r="L594" t="s">
        <v>483</v>
      </c>
      <c r="N594" t="s">
        <v>3442</v>
      </c>
    </row>
    <row r="595" spans="1:14">
      <c r="A595" t="s">
        <v>586</v>
      </c>
      <c r="B595" t="s">
        <v>3362</v>
      </c>
      <c r="C595" s="60" t="str">
        <f t="shared" si="51"/>
        <v>E6190</v>
      </c>
      <c r="D595" t="s">
        <v>587</v>
      </c>
      <c r="E595" t="s">
        <v>588</v>
      </c>
      <c r="F595" t="s">
        <v>506</v>
      </c>
      <c r="G595" t="s">
        <v>507</v>
      </c>
      <c r="H595" t="s">
        <v>508</v>
      </c>
      <c r="I595" t="s">
        <v>509</v>
      </c>
      <c r="J595" t="s">
        <v>589</v>
      </c>
      <c r="K595" s="575">
        <f>W4</f>
        <v>-744</v>
      </c>
      <c r="L595" t="s">
        <v>483</v>
      </c>
      <c r="N595" t="s">
        <v>3442</v>
      </c>
    </row>
    <row r="596" spans="1:14">
      <c r="A596" t="s">
        <v>586</v>
      </c>
      <c r="B596" t="s">
        <v>3363</v>
      </c>
      <c r="C596" s="60" t="str">
        <f t="shared" si="51"/>
        <v>E6190</v>
      </c>
      <c r="D596" t="s">
        <v>587</v>
      </c>
      <c r="E596" t="s">
        <v>588</v>
      </c>
      <c r="F596" t="s">
        <v>506</v>
      </c>
      <c r="G596" t="s">
        <v>507</v>
      </c>
      <c r="H596" t="s">
        <v>508</v>
      </c>
      <c r="I596" t="s">
        <v>509</v>
      </c>
      <c r="J596" t="s">
        <v>589</v>
      </c>
      <c r="K596" s="575">
        <f>X4</f>
        <v>-744</v>
      </c>
      <c r="L596" t="s">
        <v>483</v>
      </c>
      <c r="N596" t="s">
        <v>3442</v>
      </c>
    </row>
    <row r="597" spans="1:14">
      <c r="A597" t="s">
        <v>586</v>
      </c>
      <c r="B597" t="s">
        <v>3364</v>
      </c>
      <c r="C597" s="60" t="str">
        <f t="shared" si="51"/>
        <v>E6190</v>
      </c>
      <c r="D597" t="s">
        <v>587</v>
      </c>
      <c r="E597" t="s">
        <v>588</v>
      </c>
      <c r="F597" t="s">
        <v>506</v>
      </c>
      <c r="G597" t="s">
        <v>507</v>
      </c>
      <c r="H597" t="s">
        <v>508</v>
      </c>
      <c r="I597" t="s">
        <v>509</v>
      </c>
      <c r="J597" t="s">
        <v>589</v>
      </c>
      <c r="K597" s="575">
        <f>Y4</f>
        <v>-720</v>
      </c>
      <c r="L597" t="s">
        <v>483</v>
      </c>
      <c r="N597" t="s">
        <v>3442</v>
      </c>
    </row>
    <row r="598" spans="1:14">
      <c r="A598" t="s">
        <v>586</v>
      </c>
      <c r="B598" t="s">
        <v>3365</v>
      </c>
      <c r="C598" s="60" t="str">
        <f t="shared" si="51"/>
        <v>E6190</v>
      </c>
      <c r="D598" t="s">
        <v>587</v>
      </c>
      <c r="E598" t="s">
        <v>588</v>
      </c>
      <c r="F598" t="s">
        <v>506</v>
      </c>
      <c r="G598" t="s">
        <v>507</v>
      </c>
      <c r="H598" t="s">
        <v>508</v>
      </c>
      <c r="I598" t="s">
        <v>509</v>
      </c>
      <c r="J598" t="s">
        <v>589</v>
      </c>
      <c r="K598" s="575">
        <f>Z4</f>
        <v>-744</v>
      </c>
      <c r="L598" t="s">
        <v>483</v>
      </c>
      <c r="N598" t="s">
        <v>3442</v>
      </c>
    </row>
    <row r="599" spans="1:14">
      <c r="A599" t="s">
        <v>586</v>
      </c>
      <c r="B599" t="s">
        <v>3366</v>
      </c>
      <c r="C599" s="60" t="str">
        <f t="shared" si="51"/>
        <v>E6190</v>
      </c>
      <c r="D599" t="s">
        <v>587</v>
      </c>
      <c r="E599" t="s">
        <v>588</v>
      </c>
      <c r="F599" t="s">
        <v>506</v>
      </c>
      <c r="G599" t="s">
        <v>507</v>
      </c>
      <c r="H599" t="s">
        <v>508</v>
      </c>
      <c r="I599" t="s">
        <v>509</v>
      </c>
      <c r="J599" t="s">
        <v>589</v>
      </c>
      <c r="K599" s="575">
        <f>AA4</f>
        <v>-720</v>
      </c>
      <c r="L599" t="s">
        <v>483</v>
      </c>
      <c r="N599" t="s">
        <v>3442</v>
      </c>
    </row>
    <row r="600" spans="1:14">
      <c r="A600" t="s">
        <v>586</v>
      </c>
      <c r="B600" t="s">
        <v>3367</v>
      </c>
      <c r="C600" s="60" t="str">
        <f t="shared" si="51"/>
        <v>E6190</v>
      </c>
      <c r="D600" t="s">
        <v>587</v>
      </c>
      <c r="E600" t="s">
        <v>588</v>
      </c>
      <c r="F600" t="s">
        <v>506</v>
      </c>
      <c r="G600" t="s">
        <v>507</v>
      </c>
      <c r="H600" t="s">
        <v>508</v>
      </c>
      <c r="I600" t="s">
        <v>509</v>
      </c>
      <c r="J600" t="s">
        <v>589</v>
      </c>
      <c r="K600" s="575">
        <f>AB4</f>
        <v>-744</v>
      </c>
      <c r="L600" t="s">
        <v>483</v>
      </c>
      <c r="N600" t="s">
        <v>3442</v>
      </c>
    </row>
    <row r="601" spans="1:14">
      <c r="A601" t="s">
        <v>586</v>
      </c>
      <c r="B601" t="s">
        <v>3356</v>
      </c>
      <c r="C601" s="3" t="str">
        <f>+'2-Préparation saisie LV PROD'!B56</f>
        <v>E6200</v>
      </c>
      <c r="D601" t="s">
        <v>587</v>
      </c>
      <c r="E601" t="s">
        <v>588</v>
      </c>
      <c r="F601" t="s">
        <v>506</v>
      </c>
      <c r="G601" t="s">
        <v>507</v>
      </c>
      <c r="H601" t="s">
        <v>508</v>
      </c>
      <c r="I601" t="s">
        <v>509</v>
      </c>
      <c r="J601" t="s">
        <v>589</v>
      </c>
      <c r="K601" s="575">
        <f>Q4</f>
        <v>-744</v>
      </c>
      <c r="L601" t="s">
        <v>484</v>
      </c>
      <c r="N601" t="s">
        <v>3442</v>
      </c>
    </row>
    <row r="602" spans="1:14">
      <c r="A602" t="s">
        <v>586</v>
      </c>
      <c r="B602" t="s">
        <v>3357</v>
      </c>
      <c r="C602" s="60" t="str">
        <f>C601</f>
        <v>E6200</v>
      </c>
      <c r="D602" t="s">
        <v>587</v>
      </c>
      <c r="E602" t="s">
        <v>588</v>
      </c>
      <c r="F602" t="s">
        <v>506</v>
      </c>
      <c r="G602" t="s">
        <v>507</v>
      </c>
      <c r="H602" t="s">
        <v>508</v>
      </c>
      <c r="I602" t="s">
        <v>509</v>
      </c>
      <c r="J602" t="s">
        <v>589</v>
      </c>
      <c r="K602" s="575">
        <f t="shared" ref="K602:K612" si="52">K590</f>
        <v>-672</v>
      </c>
      <c r="L602" t="s">
        <v>484</v>
      </c>
      <c r="N602" t="s">
        <v>3442</v>
      </c>
    </row>
    <row r="603" spans="1:14">
      <c r="A603" t="s">
        <v>586</v>
      </c>
      <c r="B603" t="s">
        <v>3358</v>
      </c>
      <c r="C603" s="60" t="str">
        <f t="shared" ref="C603:C612" si="53">+C602</f>
        <v>E6200</v>
      </c>
      <c r="D603" t="s">
        <v>587</v>
      </c>
      <c r="E603" t="s">
        <v>588</v>
      </c>
      <c r="F603" t="s">
        <v>506</v>
      </c>
      <c r="G603" t="s">
        <v>507</v>
      </c>
      <c r="H603" t="s">
        <v>508</v>
      </c>
      <c r="I603" t="s">
        <v>509</v>
      </c>
      <c r="J603" t="s">
        <v>589</v>
      </c>
      <c r="K603" s="575">
        <f t="shared" si="52"/>
        <v>-744</v>
      </c>
      <c r="L603" t="s">
        <v>484</v>
      </c>
      <c r="N603" t="s">
        <v>3442</v>
      </c>
    </row>
    <row r="604" spans="1:14">
      <c r="A604" t="s">
        <v>586</v>
      </c>
      <c r="B604" t="s">
        <v>3359</v>
      </c>
      <c r="C604" s="60" t="str">
        <f t="shared" si="53"/>
        <v>E6200</v>
      </c>
      <c r="D604" t="s">
        <v>587</v>
      </c>
      <c r="E604" t="s">
        <v>588</v>
      </c>
      <c r="F604" t="s">
        <v>506</v>
      </c>
      <c r="G604" t="s">
        <v>507</v>
      </c>
      <c r="H604" t="s">
        <v>508</v>
      </c>
      <c r="I604" t="s">
        <v>509</v>
      </c>
      <c r="J604" t="s">
        <v>589</v>
      </c>
      <c r="K604" s="575">
        <f t="shared" si="52"/>
        <v>-720</v>
      </c>
      <c r="L604" t="s">
        <v>484</v>
      </c>
      <c r="N604" t="s">
        <v>3442</v>
      </c>
    </row>
    <row r="605" spans="1:14">
      <c r="A605" t="s">
        <v>586</v>
      </c>
      <c r="B605" t="s">
        <v>3360</v>
      </c>
      <c r="C605" s="60" t="str">
        <f t="shared" si="53"/>
        <v>E6200</v>
      </c>
      <c r="D605" t="s">
        <v>587</v>
      </c>
      <c r="E605" t="s">
        <v>588</v>
      </c>
      <c r="F605" t="s">
        <v>506</v>
      </c>
      <c r="G605" t="s">
        <v>507</v>
      </c>
      <c r="H605" t="s">
        <v>508</v>
      </c>
      <c r="I605" t="s">
        <v>509</v>
      </c>
      <c r="J605" t="s">
        <v>589</v>
      </c>
      <c r="K605" s="575">
        <f t="shared" si="52"/>
        <v>-744</v>
      </c>
      <c r="L605" t="s">
        <v>484</v>
      </c>
      <c r="N605" t="s">
        <v>3442</v>
      </c>
    </row>
    <row r="606" spans="1:14">
      <c r="A606" t="s">
        <v>586</v>
      </c>
      <c r="B606" t="s">
        <v>3361</v>
      </c>
      <c r="C606" s="60" t="str">
        <f t="shared" si="53"/>
        <v>E6200</v>
      </c>
      <c r="D606" t="s">
        <v>587</v>
      </c>
      <c r="E606" t="s">
        <v>588</v>
      </c>
      <c r="F606" t="s">
        <v>506</v>
      </c>
      <c r="G606" t="s">
        <v>507</v>
      </c>
      <c r="H606" t="s">
        <v>508</v>
      </c>
      <c r="I606" t="s">
        <v>509</v>
      </c>
      <c r="J606" t="s">
        <v>589</v>
      </c>
      <c r="K606" s="575">
        <f t="shared" si="52"/>
        <v>-720</v>
      </c>
      <c r="L606" t="s">
        <v>484</v>
      </c>
      <c r="N606" t="s">
        <v>3442</v>
      </c>
    </row>
    <row r="607" spans="1:14">
      <c r="A607" t="s">
        <v>586</v>
      </c>
      <c r="B607" t="s">
        <v>3362</v>
      </c>
      <c r="C607" s="60" t="str">
        <f t="shared" si="53"/>
        <v>E6200</v>
      </c>
      <c r="D607" t="s">
        <v>587</v>
      </c>
      <c r="E607" t="s">
        <v>588</v>
      </c>
      <c r="F607" t="s">
        <v>506</v>
      </c>
      <c r="G607" t="s">
        <v>507</v>
      </c>
      <c r="H607" t="s">
        <v>508</v>
      </c>
      <c r="I607" t="s">
        <v>509</v>
      </c>
      <c r="J607" t="s">
        <v>589</v>
      </c>
      <c r="K607" s="575">
        <f t="shared" si="52"/>
        <v>-744</v>
      </c>
      <c r="L607" t="s">
        <v>484</v>
      </c>
      <c r="N607" t="s">
        <v>3442</v>
      </c>
    </row>
    <row r="608" spans="1:14">
      <c r="A608" t="s">
        <v>586</v>
      </c>
      <c r="B608" t="s">
        <v>3363</v>
      </c>
      <c r="C608" s="60" t="str">
        <f t="shared" si="53"/>
        <v>E6200</v>
      </c>
      <c r="D608" t="s">
        <v>587</v>
      </c>
      <c r="E608" t="s">
        <v>588</v>
      </c>
      <c r="F608" t="s">
        <v>506</v>
      </c>
      <c r="G608" t="s">
        <v>507</v>
      </c>
      <c r="H608" t="s">
        <v>508</v>
      </c>
      <c r="I608" t="s">
        <v>509</v>
      </c>
      <c r="J608" t="s">
        <v>589</v>
      </c>
      <c r="K608" s="575">
        <f t="shared" si="52"/>
        <v>-744</v>
      </c>
      <c r="L608" t="s">
        <v>484</v>
      </c>
      <c r="N608" t="s">
        <v>3442</v>
      </c>
    </row>
    <row r="609" spans="1:14">
      <c r="A609" t="s">
        <v>586</v>
      </c>
      <c r="B609" t="s">
        <v>3364</v>
      </c>
      <c r="C609" s="60" t="str">
        <f t="shared" si="53"/>
        <v>E6200</v>
      </c>
      <c r="D609" t="s">
        <v>587</v>
      </c>
      <c r="E609" t="s">
        <v>588</v>
      </c>
      <c r="F609" t="s">
        <v>506</v>
      </c>
      <c r="G609" t="s">
        <v>507</v>
      </c>
      <c r="H609" t="s">
        <v>508</v>
      </c>
      <c r="I609" t="s">
        <v>509</v>
      </c>
      <c r="J609" t="s">
        <v>589</v>
      </c>
      <c r="K609" s="575">
        <f t="shared" si="52"/>
        <v>-720</v>
      </c>
      <c r="L609" t="s">
        <v>484</v>
      </c>
      <c r="N609" t="s">
        <v>3442</v>
      </c>
    </row>
    <row r="610" spans="1:14">
      <c r="A610" t="s">
        <v>586</v>
      </c>
      <c r="B610" t="s">
        <v>3365</v>
      </c>
      <c r="C610" s="60" t="str">
        <f t="shared" si="53"/>
        <v>E6200</v>
      </c>
      <c r="D610" t="s">
        <v>587</v>
      </c>
      <c r="E610" t="s">
        <v>588</v>
      </c>
      <c r="F610" t="s">
        <v>506</v>
      </c>
      <c r="G610" t="s">
        <v>507</v>
      </c>
      <c r="H610" t="s">
        <v>508</v>
      </c>
      <c r="I610" t="s">
        <v>509</v>
      </c>
      <c r="J610" t="s">
        <v>589</v>
      </c>
      <c r="K610" s="575">
        <f t="shared" si="52"/>
        <v>-744</v>
      </c>
      <c r="L610" t="s">
        <v>484</v>
      </c>
      <c r="N610" t="s">
        <v>3442</v>
      </c>
    </row>
    <row r="611" spans="1:14">
      <c r="A611" t="s">
        <v>586</v>
      </c>
      <c r="B611" t="s">
        <v>3366</v>
      </c>
      <c r="C611" s="60" t="str">
        <f t="shared" si="53"/>
        <v>E6200</v>
      </c>
      <c r="D611" t="s">
        <v>587</v>
      </c>
      <c r="E611" t="s">
        <v>588</v>
      </c>
      <c r="F611" t="s">
        <v>506</v>
      </c>
      <c r="G611" t="s">
        <v>507</v>
      </c>
      <c r="H611" t="s">
        <v>508</v>
      </c>
      <c r="I611" t="s">
        <v>509</v>
      </c>
      <c r="J611" t="s">
        <v>589</v>
      </c>
      <c r="K611" s="575">
        <f t="shared" si="52"/>
        <v>-720</v>
      </c>
      <c r="L611" t="s">
        <v>484</v>
      </c>
      <c r="N611" t="s">
        <v>3442</v>
      </c>
    </row>
    <row r="612" spans="1:14">
      <c r="A612" t="s">
        <v>586</v>
      </c>
      <c r="B612" t="s">
        <v>3367</v>
      </c>
      <c r="C612" s="60" t="str">
        <f t="shared" si="53"/>
        <v>E6200</v>
      </c>
      <c r="D612" t="s">
        <v>587</v>
      </c>
      <c r="E612" t="s">
        <v>588</v>
      </c>
      <c r="F612" t="s">
        <v>506</v>
      </c>
      <c r="G612" t="s">
        <v>507</v>
      </c>
      <c r="H612" t="s">
        <v>508</v>
      </c>
      <c r="I612" t="s">
        <v>509</v>
      </c>
      <c r="J612" t="s">
        <v>589</v>
      </c>
      <c r="K612" s="575">
        <f t="shared" si="52"/>
        <v>-744</v>
      </c>
      <c r="L612" t="s">
        <v>484</v>
      </c>
      <c r="N612" t="s">
        <v>3442</v>
      </c>
    </row>
    <row r="613" spans="1:14">
      <c r="A613" t="s">
        <v>586</v>
      </c>
      <c r="B613" t="s">
        <v>3356</v>
      </c>
      <c r="C613" s="3" t="str">
        <f>+'2-Préparation saisie LV PROD'!B57</f>
        <v>E6150</v>
      </c>
      <c r="D613" t="s">
        <v>587</v>
      </c>
      <c r="E613" t="s">
        <v>588</v>
      </c>
      <c r="F613" t="s">
        <v>506</v>
      </c>
      <c r="G613" t="s">
        <v>507</v>
      </c>
      <c r="H613" t="s">
        <v>508</v>
      </c>
      <c r="I613" t="s">
        <v>509</v>
      </c>
      <c r="J613" t="s">
        <v>589</v>
      </c>
      <c r="K613" s="502">
        <v>-22.32</v>
      </c>
      <c r="L613" t="s">
        <v>485</v>
      </c>
    </row>
    <row r="614" spans="1:14">
      <c r="A614" t="s">
        <v>586</v>
      </c>
      <c r="B614" t="s">
        <v>3357</v>
      </c>
      <c r="C614" s="60" t="str">
        <f>C613</f>
        <v>E6150</v>
      </c>
      <c r="D614" t="s">
        <v>587</v>
      </c>
      <c r="E614" t="s">
        <v>588</v>
      </c>
      <c r="F614" t="s">
        <v>506</v>
      </c>
      <c r="G614" t="s">
        <v>507</v>
      </c>
      <c r="H614" t="s">
        <v>508</v>
      </c>
      <c r="I614" t="s">
        <v>509</v>
      </c>
      <c r="J614" t="s">
        <v>589</v>
      </c>
      <c r="K614" s="502">
        <f>R3</f>
        <v>-20.16</v>
      </c>
      <c r="L614" t="s">
        <v>485</v>
      </c>
    </row>
    <row r="615" spans="1:14">
      <c r="A615" t="s">
        <v>586</v>
      </c>
      <c r="B615" t="s">
        <v>3358</v>
      </c>
      <c r="C615" s="60" t="str">
        <f t="shared" ref="C615:C624" si="54">+C614</f>
        <v>E6150</v>
      </c>
      <c r="D615" t="s">
        <v>587</v>
      </c>
      <c r="E615" t="s">
        <v>588</v>
      </c>
      <c r="F615" t="s">
        <v>506</v>
      </c>
      <c r="G615" t="s">
        <v>507</v>
      </c>
      <c r="H615" t="s">
        <v>508</v>
      </c>
      <c r="I615" t="s">
        <v>509</v>
      </c>
      <c r="J615" t="s">
        <v>589</v>
      </c>
      <c r="K615" s="502">
        <v>-22.32</v>
      </c>
      <c r="L615" t="s">
        <v>485</v>
      </c>
    </row>
    <row r="616" spans="1:14">
      <c r="A616" t="s">
        <v>586</v>
      </c>
      <c r="B616" t="s">
        <v>3359</v>
      </c>
      <c r="C616" s="60" t="str">
        <f t="shared" si="54"/>
        <v>E6150</v>
      </c>
      <c r="D616" t="s">
        <v>587</v>
      </c>
      <c r="E616" t="s">
        <v>588</v>
      </c>
      <c r="F616" t="s">
        <v>506</v>
      </c>
      <c r="G616" t="s">
        <v>507</v>
      </c>
      <c r="H616" t="s">
        <v>508</v>
      </c>
      <c r="I616" t="s">
        <v>509</v>
      </c>
      <c r="J616" t="s">
        <v>589</v>
      </c>
      <c r="K616" s="502">
        <v>-21.6</v>
      </c>
      <c r="L616" t="s">
        <v>485</v>
      </c>
    </row>
    <row r="617" spans="1:14">
      <c r="A617" t="s">
        <v>586</v>
      </c>
      <c r="B617" t="s">
        <v>3360</v>
      </c>
      <c r="C617" s="60" t="str">
        <f t="shared" si="54"/>
        <v>E6150</v>
      </c>
      <c r="D617" t="s">
        <v>587</v>
      </c>
      <c r="E617" t="s">
        <v>588</v>
      </c>
      <c r="F617" t="s">
        <v>506</v>
      </c>
      <c r="G617" t="s">
        <v>507</v>
      </c>
      <c r="H617" t="s">
        <v>508</v>
      </c>
      <c r="I617" t="s">
        <v>509</v>
      </c>
      <c r="J617" t="s">
        <v>589</v>
      </c>
      <c r="K617" s="502">
        <v>-22.32</v>
      </c>
      <c r="L617" t="s">
        <v>485</v>
      </c>
    </row>
    <row r="618" spans="1:14">
      <c r="A618" t="s">
        <v>586</v>
      </c>
      <c r="B618" t="s">
        <v>3361</v>
      </c>
      <c r="C618" s="60" t="str">
        <f t="shared" si="54"/>
        <v>E6150</v>
      </c>
      <c r="D618" t="s">
        <v>587</v>
      </c>
      <c r="E618" t="s">
        <v>588</v>
      </c>
      <c r="F618" t="s">
        <v>506</v>
      </c>
      <c r="G618" t="s">
        <v>507</v>
      </c>
      <c r="H618" t="s">
        <v>508</v>
      </c>
      <c r="I618" t="s">
        <v>509</v>
      </c>
      <c r="J618" t="s">
        <v>589</v>
      </c>
      <c r="K618" s="502">
        <v>-21.6</v>
      </c>
      <c r="L618" t="s">
        <v>485</v>
      </c>
    </row>
    <row r="619" spans="1:14">
      <c r="A619" t="s">
        <v>586</v>
      </c>
      <c r="B619" t="s">
        <v>3362</v>
      </c>
      <c r="C619" s="60" t="str">
        <f t="shared" si="54"/>
        <v>E6150</v>
      </c>
      <c r="D619" t="s">
        <v>587</v>
      </c>
      <c r="E619" t="s">
        <v>588</v>
      </c>
      <c r="F619" t="s">
        <v>506</v>
      </c>
      <c r="G619" t="s">
        <v>507</v>
      </c>
      <c r="H619" t="s">
        <v>508</v>
      </c>
      <c r="I619" t="s">
        <v>509</v>
      </c>
      <c r="J619" t="s">
        <v>589</v>
      </c>
      <c r="K619" s="502">
        <v>-22.32</v>
      </c>
      <c r="L619" t="s">
        <v>485</v>
      </c>
    </row>
    <row r="620" spans="1:14">
      <c r="A620" t="s">
        <v>586</v>
      </c>
      <c r="B620" t="s">
        <v>3363</v>
      </c>
      <c r="C620" s="60" t="str">
        <f t="shared" si="54"/>
        <v>E6150</v>
      </c>
      <c r="D620" t="s">
        <v>587</v>
      </c>
      <c r="E620" t="s">
        <v>588</v>
      </c>
      <c r="F620" t="s">
        <v>506</v>
      </c>
      <c r="G620" t="s">
        <v>507</v>
      </c>
      <c r="H620" t="s">
        <v>508</v>
      </c>
      <c r="I620" t="s">
        <v>509</v>
      </c>
      <c r="J620" t="s">
        <v>589</v>
      </c>
      <c r="K620" s="502">
        <v>-22.32</v>
      </c>
      <c r="L620" t="s">
        <v>485</v>
      </c>
    </row>
    <row r="621" spans="1:14">
      <c r="A621" t="s">
        <v>586</v>
      </c>
      <c r="B621" t="s">
        <v>3364</v>
      </c>
      <c r="C621" s="60" t="str">
        <f t="shared" si="54"/>
        <v>E6150</v>
      </c>
      <c r="D621" t="s">
        <v>587</v>
      </c>
      <c r="E621" t="s">
        <v>588</v>
      </c>
      <c r="F621" t="s">
        <v>506</v>
      </c>
      <c r="G621" t="s">
        <v>507</v>
      </c>
      <c r="H621" t="s">
        <v>508</v>
      </c>
      <c r="I621" t="s">
        <v>509</v>
      </c>
      <c r="J621" t="s">
        <v>589</v>
      </c>
      <c r="K621" s="502">
        <v>-21.6</v>
      </c>
      <c r="L621" t="s">
        <v>485</v>
      </c>
    </row>
    <row r="622" spans="1:14">
      <c r="A622" t="s">
        <v>586</v>
      </c>
      <c r="B622" t="s">
        <v>3365</v>
      </c>
      <c r="C622" s="60" t="str">
        <f t="shared" si="54"/>
        <v>E6150</v>
      </c>
      <c r="D622" t="s">
        <v>587</v>
      </c>
      <c r="E622" t="s">
        <v>588</v>
      </c>
      <c r="F622" t="s">
        <v>506</v>
      </c>
      <c r="G622" t="s">
        <v>507</v>
      </c>
      <c r="H622" t="s">
        <v>508</v>
      </c>
      <c r="I622" t="s">
        <v>509</v>
      </c>
      <c r="J622" t="s">
        <v>589</v>
      </c>
      <c r="K622" s="502">
        <v>-22.32</v>
      </c>
      <c r="L622" t="s">
        <v>485</v>
      </c>
    </row>
    <row r="623" spans="1:14">
      <c r="A623" t="s">
        <v>586</v>
      </c>
      <c r="B623" t="s">
        <v>3366</v>
      </c>
      <c r="C623" s="60" t="str">
        <f t="shared" si="54"/>
        <v>E6150</v>
      </c>
      <c r="D623" t="s">
        <v>587</v>
      </c>
      <c r="E623" t="s">
        <v>588</v>
      </c>
      <c r="F623" t="s">
        <v>506</v>
      </c>
      <c r="G623" t="s">
        <v>507</v>
      </c>
      <c r="H623" t="s">
        <v>508</v>
      </c>
      <c r="I623" t="s">
        <v>509</v>
      </c>
      <c r="J623" t="s">
        <v>589</v>
      </c>
      <c r="K623" s="502">
        <v>-21.6</v>
      </c>
      <c r="L623" t="s">
        <v>485</v>
      </c>
    </row>
    <row r="624" spans="1:14">
      <c r="A624" t="s">
        <v>586</v>
      </c>
      <c r="B624" t="s">
        <v>3367</v>
      </c>
      <c r="C624" s="60" t="str">
        <f t="shared" si="54"/>
        <v>E6150</v>
      </c>
      <c r="D624" t="s">
        <v>587</v>
      </c>
      <c r="E624" t="s">
        <v>588</v>
      </c>
      <c r="F624" t="s">
        <v>506</v>
      </c>
      <c r="G624" t="s">
        <v>507</v>
      </c>
      <c r="H624" t="s">
        <v>508</v>
      </c>
      <c r="I624" t="s">
        <v>509</v>
      </c>
      <c r="J624" t="s">
        <v>589</v>
      </c>
      <c r="K624" s="502">
        <v>-22.32</v>
      </c>
      <c r="L624" t="s">
        <v>485</v>
      </c>
    </row>
    <row r="625" spans="1:12">
      <c r="A625" t="s">
        <v>586</v>
      </c>
      <c r="B625" t="s">
        <v>3356</v>
      </c>
      <c r="C625" s="3" t="str">
        <f>+'2-Préparation saisie LV PROD'!B58</f>
        <v>E6340</v>
      </c>
      <c r="D625" t="s">
        <v>587</v>
      </c>
      <c r="E625" t="s">
        <v>588</v>
      </c>
      <c r="F625" t="s">
        <v>506</v>
      </c>
      <c r="G625" t="s">
        <v>507</v>
      </c>
      <c r="H625" t="s">
        <v>508</v>
      </c>
      <c r="I625" t="s">
        <v>509</v>
      </c>
      <c r="J625" t="s">
        <v>589</v>
      </c>
      <c r="K625" s="502">
        <v>-22.32</v>
      </c>
      <c r="L625" t="s">
        <v>486</v>
      </c>
    </row>
    <row r="626" spans="1:12">
      <c r="A626" t="s">
        <v>586</v>
      </c>
      <c r="B626" t="s">
        <v>3357</v>
      </c>
      <c r="C626" s="60" t="str">
        <f>C625</f>
        <v>E6340</v>
      </c>
      <c r="D626" t="s">
        <v>587</v>
      </c>
      <c r="E626" t="s">
        <v>588</v>
      </c>
      <c r="F626" t="s">
        <v>506</v>
      </c>
      <c r="G626" t="s">
        <v>507</v>
      </c>
      <c r="H626" t="s">
        <v>508</v>
      </c>
      <c r="I626" t="s">
        <v>509</v>
      </c>
      <c r="J626" t="s">
        <v>589</v>
      </c>
      <c r="K626" s="502">
        <f>K614</f>
        <v>-20.16</v>
      </c>
      <c r="L626" t="s">
        <v>486</v>
      </c>
    </row>
    <row r="627" spans="1:12">
      <c r="A627" t="s">
        <v>586</v>
      </c>
      <c r="B627" t="s">
        <v>3358</v>
      </c>
      <c r="C627" s="60" t="str">
        <f t="shared" ref="C627:C636" si="55">+C626</f>
        <v>E6340</v>
      </c>
      <c r="D627" t="s">
        <v>587</v>
      </c>
      <c r="E627" t="s">
        <v>588</v>
      </c>
      <c r="F627" t="s">
        <v>506</v>
      </c>
      <c r="G627" t="s">
        <v>507</v>
      </c>
      <c r="H627" t="s">
        <v>508</v>
      </c>
      <c r="I627" t="s">
        <v>509</v>
      </c>
      <c r="J627" t="s">
        <v>589</v>
      </c>
      <c r="K627" s="502">
        <v>-22.32</v>
      </c>
      <c r="L627" t="s">
        <v>486</v>
      </c>
    </row>
    <row r="628" spans="1:12">
      <c r="A628" t="s">
        <v>586</v>
      </c>
      <c r="B628" t="s">
        <v>3359</v>
      </c>
      <c r="C628" s="60" t="str">
        <f t="shared" si="55"/>
        <v>E6340</v>
      </c>
      <c r="D628" t="s">
        <v>587</v>
      </c>
      <c r="E628" t="s">
        <v>588</v>
      </c>
      <c r="F628" t="s">
        <v>506</v>
      </c>
      <c r="G628" t="s">
        <v>507</v>
      </c>
      <c r="H628" t="s">
        <v>508</v>
      </c>
      <c r="I628" t="s">
        <v>509</v>
      </c>
      <c r="J628" t="s">
        <v>589</v>
      </c>
      <c r="K628" s="502">
        <v>-21.6</v>
      </c>
      <c r="L628" t="s">
        <v>486</v>
      </c>
    </row>
    <row r="629" spans="1:12">
      <c r="A629" t="s">
        <v>586</v>
      </c>
      <c r="B629" t="s">
        <v>3360</v>
      </c>
      <c r="C629" s="60" t="str">
        <f t="shared" si="55"/>
        <v>E6340</v>
      </c>
      <c r="D629" t="s">
        <v>587</v>
      </c>
      <c r="E629" t="s">
        <v>588</v>
      </c>
      <c r="F629" t="s">
        <v>506</v>
      </c>
      <c r="G629" t="s">
        <v>507</v>
      </c>
      <c r="H629" t="s">
        <v>508</v>
      </c>
      <c r="I629" t="s">
        <v>509</v>
      </c>
      <c r="J629" t="s">
        <v>589</v>
      </c>
      <c r="K629" s="502">
        <v>-22.32</v>
      </c>
      <c r="L629" t="s">
        <v>486</v>
      </c>
    </row>
    <row r="630" spans="1:12">
      <c r="A630" t="s">
        <v>586</v>
      </c>
      <c r="B630" t="s">
        <v>3361</v>
      </c>
      <c r="C630" s="60" t="str">
        <f t="shared" si="55"/>
        <v>E6340</v>
      </c>
      <c r="D630" t="s">
        <v>587</v>
      </c>
      <c r="E630" t="s">
        <v>588</v>
      </c>
      <c r="F630" t="s">
        <v>506</v>
      </c>
      <c r="G630" t="s">
        <v>507</v>
      </c>
      <c r="H630" t="s">
        <v>508</v>
      </c>
      <c r="I630" t="s">
        <v>509</v>
      </c>
      <c r="J630" t="s">
        <v>589</v>
      </c>
      <c r="K630" s="502">
        <v>-21.6</v>
      </c>
      <c r="L630" t="s">
        <v>486</v>
      </c>
    </row>
    <row r="631" spans="1:12">
      <c r="A631" t="s">
        <v>586</v>
      </c>
      <c r="B631" t="s">
        <v>3362</v>
      </c>
      <c r="C631" s="60" t="str">
        <f t="shared" si="55"/>
        <v>E6340</v>
      </c>
      <c r="D631" t="s">
        <v>587</v>
      </c>
      <c r="E631" t="s">
        <v>588</v>
      </c>
      <c r="F631" t="s">
        <v>506</v>
      </c>
      <c r="G631" t="s">
        <v>507</v>
      </c>
      <c r="H631" t="s">
        <v>508</v>
      </c>
      <c r="I631" t="s">
        <v>509</v>
      </c>
      <c r="J631" t="s">
        <v>589</v>
      </c>
      <c r="K631" s="502">
        <v>-22.32</v>
      </c>
      <c r="L631" t="s">
        <v>486</v>
      </c>
    </row>
    <row r="632" spans="1:12">
      <c r="A632" t="s">
        <v>586</v>
      </c>
      <c r="B632" t="s">
        <v>3363</v>
      </c>
      <c r="C632" s="60" t="str">
        <f t="shared" si="55"/>
        <v>E6340</v>
      </c>
      <c r="D632" t="s">
        <v>587</v>
      </c>
      <c r="E632" t="s">
        <v>588</v>
      </c>
      <c r="F632" t="s">
        <v>506</v>
      </c>
      <c r="G632" t="s">
        <v>507</v>
      </c>
      <c r="H632" t="s">
        <v>508</v>
      </c>
      <c r="I632" t="s">
        <v>509</v>
      </c>
      <c r="J632" t="s">
        <v>589</v>
      </c>
      <c r="K632" s="502">
        <v>-22.32</v>
      </c>
      <c r="L632" t="s">
        <v>486</v>
      </c>
    </row>
    <row r="633" spans="1:12">
      <c r="A633" t="s">
        <v>586</v>
      </c>
      <c r="B633" t="s">
        <v>3364</v>
      </c>
      <c r="C633" s="60" t="str">
        <f t="shared" si="55"/>
        <v>E6340</v>
      </c>
      <c r="D633" t="s">
        <v>587</v>
      </c>
      <c r="E633" t="s">
        <v>588</v>
      </c>
      <c r="F633" t="s">
        <v>506</v>
      </c>
      <c r="G633" t="s">
        <v>507</v>
      </c>
      <c r="H633" t="s">
        <v>508</v>
      </c>
      <c r="I633" t="s">
        <v>509</v>
      </c>
      <c r="J633" t="s">
        <v>589</v>
      </c>
      <c r="K633" s="502">
        <v>-21.6</v>
      </c>
      <c r="L633" t="s">
        <v>486</v>
      </c>
    </row>
    <row r="634" spans="1:12">
      <c r="A634" t="s">
        <v>586</v>
      </c>
      <c r="B634" t="s">
        <v>3365</v>
      </c>
      <c r="C634" s="60" t="str">
        <f t="shared" si="55"/>
        <v>E6340</v>
      </c>
      <c r="D634" t="s">
        <v>587</v>
      </c>
      <c r="E634" t="s">
        <v>588</v>
      </c>
      <c r="F634" t="s">
        <v>506</v>
      </c>
      <c r="G634" t="s">
        <v>507</v>
      </c>
      <c r="H634" t="s">
        <v>508</v>
      </c>
      <c r="I634" t="s">
        <v>509</v>
      </c>
      <c r="J634" t="s">
        <v>589</v>
      </c>
      <c r="K634" s="502">
        <v>-22.32</v>
      </c>
      <c r="L634" t="s">
        <v>486</v>
      </c>
    </row>
    <row r="635" spans="1:12">
      <c r="A635" t="s">
        <v>586</v>
      </c>
      <c r="B635" t="s">
        <v>3366</v>
      </c>
      <c r="C635" s="60" t="str">
        <f t="shared" si="55"/>
        <v>E6340</v>
      </c>
      <c r="D635" t="s">
        <v>587</v>
      </c>
      <c r="E635" t="s">
        <v>588</v>
      </c>
      <c r="F635" t="s">
        <v>506</v>
      </c>
      <c r="G635" t="s">
        <v>507</v>
      </c>
      <c r="H635" t="s">
        <v>508</v>
      </c>
      <c r="I635" t="s">
        <v>509</v>
      </c>
      <c r="J635" t="s">
        <v>589</v>
      </c>
      <c r="K635" s="502">
        <v>-21.6</v>
      </c>
      <c r="L635" t="s">
        <v>486</v>
      </c>
    </row>
    <row r="636" spans="1:12">
      <c r="A636" t="s">
        <v>586</v>
      </c>
      <c r="B636" t="s">
        <v>3367</v>
      </c>
      <c r="C636" s="60" t="str">
        <f t="shared" si="55"/>
        <v>E6340</v>
      </c>
      <c r="D636" t="s">
        <v>587</v>
      </c>
      <c r="E636" t="s">
        <v>588</v>
      </c>
      <c r="F636" t="s">
        <v>506</v>
      </c>
      <c r="G636" t="s">
        <v>507</v>
      </c>
      <c r="H636" t="s">
        <v>508</v>
      </c>
      <c r="I636" t="s">
        <v>509</v>
      </c>
      <c r="J636" t="s">
        <v>589</v>
      </c>
      <c r="K636" s="502">
        <v>-22.32</v>
      </c>
      <c r="L636" t="s">
        <v>486</v>
      </c>
    </row>
    <row r="637" spans="1:12">
      <c r="A637" t="s">
        <v>586</v>
      </c>
      <c r="B637" t="s">
        <v>3356</v>
      </c>
      <c r="C637" s="3" t="str">
        <f>+'2-Préparation saisie LV PROD'!B59</f>
        <v>E6370</v>
      </c>
      <c r="D637" t="s">
        <v>587</v>
      </c>
      <c r="E637" t="s">
        <v>588</v>
      </c>
      <c r="F637" t="s">
        <v>506</v>
      </c>
      <c r="G637" t="s">
        <v>507</v>
      </c>
      <c r="H637" t="s">
        <v>508</v>
      </c>
      <c r="I637" t="s">
        <v>509</v>
      </c>
      <c r="J637" t="s">
        <v>589</v>
      </c>
      <c r="K637" s="502">
        <v>-22.32</v>
      </c>
      <c r="L637" t="s">
        <v>487</v>
      </c>
    </row>
    <row r="638" spans="1:12">
      <c r="A638" t="s">
        <v>586</v>
      </c>
      <c r="B638" t="s">
        <v>3357</v>
      </c>
      <c r="C638" s="60" t="str">
        <f>C637</f>
        <v>E6370</v>
      </c>
      <c r="D638" t="s">
        <v>587</v>
      </c>
      <c r="E638" t="s">
        <v>588</v>
      </c>
      <c r="F638" t="s">
        <v>506</v>
      </c>
      <c r="G638" t="s">
        <v>507</v>
      </c>
      <c r="H638" t="s">
        <v>508</v>
      </c>
      <c r="I638" t="s">
        <v>509</v>
      </c>
      <c r="J638" t="s">
        <v>589</v>
      </c>
      <c r="K638" s="502">
        <f>K626</f>
        <v>-20.16</v>
      </c>
      <c r="L638" t="s">
        <v>487</v>
      </c>
    </row>
    <row r="639" spans="1:12">
      <c r="A639" t="s">
        <v>586</v>
      </c>
      <c r="B639" t="s">
        <v>3358</v>
      </c>
      <c r="C639" s="60" t="str">
        <f t="shared" ref="C639:C648" si="56">+C638</f>
        <v>E6370</v>
      </c>
      <c r="D639" t="s">
        <v>587</v>
      </c>
      <c r="E639" t="s">
        <v>588</v>
      </c>
      <c r="F639" t="s">
        <v>506</v>
      </c>
      <c r="G639" t="s">
        <v>507</v>
      </c>
      <c r="H639" t="s">
        <v>508</v>
      </c>
      <c r="I639" t="s">
        <v>509</v>
      </c>
      <c r="J639" t="s">
        <v>589</v>
      </c>
      <c r="K639" s="502">
        <v>-22.32</v>
      </c>
      <c r="L639" t="s">
        <v>487</v>
      </c>
    </row>
    <row r="640" spans="1:12">
      <c r="A640" t="s">
        <v>586</v>
      </c>
      <c r="B640" t="s">
        <v>3359</v>
      </c>
      <c r="C640" s="60" t="str">
        <f t="shared" si="56"/>
        <v>E6370</v>
      </c>
      <c r="D640" t="s">
        <v>587</v>
      </c>
      <c r="E640" t="s">
        <v>588</v>
      </c>
      <c r="F640" t="s">
        <v>506</v>
      </c>
      <c r="G640" t="s">
        <v>507</v>
      </c>
      <c r="H640" t="s">
        <v>508</v>
      </c>
      <c r="I640" t="s">
        <v>509</v>
      </c>
      <c r="J640" t="s">
        <v>589</v>
      </c>
      <c r="K640" s="502">
        <v>-21.6</v>
      </c>
      <c r="L640" t="s">
        <v>487</v>
      </c>
    </row>
    <row r="641" spans="1:15">
      <c r="A641" t="s">
        <v>586</v>
      </c>
      <c r="B641" t="s">
        <v>3360</v>
      </c>
      <c r="C641" s="60" t="str">
        <f t="shared" si="56"/>
        <v>E6370</v>
      </c>
      <c r="D641" t="s">
        <v>587</v>
      </c>
      <c r="E641" t="s">
        <v>588</v>
      </c>
      <c r="F641" t="s">
        <v>506</v>
      </c>
      <c r="G641" t="s">
        <v>507</v>
      </c>
      <c r="H641" t="s">
        <v>508</v>
      </c>
      <c r="I641" t="s">
        <v>509</v>
      </c>
      <c r="J641" t="s">
        <v>589</v>
      </c>
      <c r="K641" s="502">
        <v>-22.32</v>
      </c>
      <c r="L641" t="s">
        <v>487</v>
      </c>
    </row>
    <row r="642" spans="1:15">
      <c r="A642" t="s">
        <v>586</v>
      </c>
      <c r="B642" t="s">
        <v>3361</v>
      </c>
      <c r="C642" s="60" t="str">
        <f t="shared" si="56"/>
        <v>E6370</v>
      </c>
      <c r="D642" t="s">
        <v>587</v>
      </c>
      <c r="E642" t="s">
        <v>588</v>
      </c>
      <c r="F642" t="s">
        <v>506</v>
      </c>
      <c r="G642" t="s">
        <v>507</v>
      </c>
      <c r="H642" t="s">
        <v>508</v>
      </c>
      <c r="I642" t="s">
        <v>509</v>
      </c>
      <c r="J642" t="s">
        <v>589</v>
      </c>
      <c r="K642" s="502">
        <v>-21.6</v>
      </c>
      <c r="L642" t="s">
        <v>487</v>
      </c>
    </row>
    <row r="643" spans="1:15">
      <c r="A643" t="s">
        <v>586</v>
      </c>
      <c r="B643" t="s">
        <v>3362</v>
      </c>
      <c r="C643" s="60" t="str">
        <f t="shared" si="56"/>
        <v>E6370</v>
      </c>
      <c r="D643" t="s">
        <v>587</v>
      </c>
      <c r="E643" t="s">
        <v>588</v>
      </c>
      <c r="F643" t="s">
        <v>506</v>
      </c>
      <c r="G643" t="s">
        <v>507</v>
      </c>
      <c r="H643" t="s">
        <v>508</v>
      </c>
      <c r="I643" t="s">
        <v>509</v>
      </c>
      <c r="J643" t="s">
        <v>589</v>
      </c>
      <c r="K643" s="502">
        <v>-22.32</v>
      </c>
      <c r="L643" t="s">
        <v>487</v>
      </c>
    </row>
    <row r="644" spans="1:15">
      <c r="A644" t="s">
        <v>586</v>
      </c>
      <c r="B644" t="s">
        <v>3363</v>
      </c>
      <c r="C644" s="60" t="str">
        <f t="shared" si="56"/>
        <v>E6370</v>
      </c>
      <c r="D644" t="s">
        <v>587</v>
      </c>
      <c r="E644" t="s">
        <v>588</v>
      </c>
      <c r="F644" t="s">
        <v>506</v>
      </c>
      <c r="G644" t="s">
        <v>507</v>
      </c>
      <c r="H644" t="s">
        <v>508</v>
      </c>
      <c r="I644" t="s">
        <v>509</v>
      </c>
      <c r="J644" t="s">
        <v>589</v>
      </c>
      <c r="K644" s="502">
        <v>-22.32</v>
      </c>
      <c r="L644" t="s">
        <v>487</v>
      </c>
    </row>
    <row r="645" spans="1:15">
      <c r="A645" t="s">
        <v>586</v>
      </c>
      <c r="B645" t="s">
        <v>3364</v>
      </c>
      <c r="C645" s="60" t="str">
        <f t="shared" si="56"/>
        <v>E6370</v>
      </c>
      <c r="D645" t="s">
        <v>587</v>
      </c>
      <c r="E645" t="s">
        <v>588</v>
      </c>
      <c r="F645" t="s">
        <v>506</v>
      </c>
      <c r="G645" t="s">
        <v>507</v>
      </c>
      <c r="H645" t="s">
        <v>508</v>
      </c>
      <c r="I645" t="s">
        <v>509</v>
      </c>
      <c r="J645" t="s">
        <v>589</v>
      </c>
      <c r="K645" s="502">
        <v>-21.6</v>
      </c>
      <c r="L645" t="s">
        <v>487</v>
      </c>
    </row>
    <row r="646" spans="1:15">
      <c r="A646" t="s">
        <v>586</v>
      </c>
      <c r="B646" t="s">
        <v>3365</v>
      </c>
      <c r="C646" s="60" t="str">
        <f t="shared" si="56"/>
        <v>E6370</v>
      </c>
      <c r="D646" t="s">
        <v>587</v>
      </c>
      <c r="E646" t="s">
        <v>588</v>
      </c>
      <c r="F646" t="s">
        <v>506</v>
      </c>
      <c r="G646" t="s">
        <v>507</v>
      </c>
      <c r="H646" t="s">
        <v>508</v>
      </c>
      <c r="I646" t="s">
        <v>509</v>
      </c>
      <c r="J646" t="s">
        <v>589</v>
      </c>
      <c r="K646" s="502">
        <v>-22.32</v>
      </c>
      <c r="L646" t="s">
        <v>487</v>
      </c>
    </row>
    <row r="647" spans="1:15">
      <c r="A647" t="s">
        <v>586</v>
      </c>
      <c r="B647" t="s">
        <v>3366</v>
      </c>
      <c r="C647" s="60" t="str">
        <f t="shared" si="56"/>
        <v>E6370</v>
      </c>
      <c r="D647" t="s">
        <v>587</v>
      </c>
      <c r="E647" t="s">
        <v>588</v>
      </c>
      <c r="F647" t="s">
        <v>506</v>
      </c>
      <c r="G647" t="s">
        <v>507</v>
      </c>
      <c r="H647" t="s">
        <v>508</v>
      </c>
      <c r="I647" t="s">
        <v>509</v>
      </c>
      <c r="J647" t="s">
        <v>589</v>
      </c>
      <c r="K647" s="502">
        <v>-21.6</v>
      </c>
      <c r="L647" t="s">
        <v>487</v>
      </c>
    </row>
    <row r="648" spans="1:15">
      <c r="A648" t="s">
        <v>586</v>
      </c>
      <c r="B648" t="s">
        <v>3367</v>
      </c>
      <c r="C648" s="60" t="str">
        <f t="shared" si="56"/>
        <v>E6370</v>
      </c>
      <c r="D648" t="s">
        <v>587</v>
      </c>
      <c r="E648" t="s">
        <v>588</v>
      </c>
      <c r="F648" t="s">
        <v>506</v>
      </c>
      <c r="G648" t="s">
        <v>507</v>
      </c>
      <c r="H648" t="s">
        <v>508</v>
      </c>
      <c r="I648" t="s">
        <v>509</v>
      </c>
      <c r="J648" t="s">
        <v>589</v>
      </c>
      <c r="K648" s="502">
        <v>-22.32</v>
      </c>
      <c r="L648" t="s">
        <v>487</v>
      </c>
    </row>
    <row r="649" spans="1:15">
      <c r="A649" t="s">
        <v>586</v>
      </c>
      <c r="B649" t="s">
        <v>3356</v>
      </c>
      <c r="C649" s="3" t="str">
        <f>+'2-Préparation saisie LV PROD'!B60</f>
        <v>E6250</v>
      </c>
      <c r="D649" t="s">
        <v>587</v>
      </c>
      <c r="E649" t="s">
        <v>588</v>
      </c>
      <c r="F649" t="s">
        <v>506</v>
      </c>
      <c r="G649" t="s">
        <v>507</v>
      </c>
      <c r="H649" t="s">
        <v>508</v>
      </c>
      <c r="I649" t="s">
        <v>509</v>
      </c>
      <c r="J649" t="s">
        <v>589</v>
      </c>
      <c r="K649" s="502">
        <v>-22.32</v>
      </c>
      <c r="L649" t="s">
        <v>488</v>
      </c>
    </row>
    <row r="650" spans="1:15">
      <c r="A650" t="s">
        <v>586</v>
      </c>
      <c r="B650" t="s">
        <v>3357</v>
      </c>
      <c r="C650" s="60" t="str">
        <f>C649</f>
        <v>E6250</v>
      </c>
      <c r="D650" t="s">
        <v>587</v>
      </c>
      <c r="E650" t="s">
        <v>588</v>
      </c>
      <c r="F650" t="s">
        <v>506</v>
      </c>
      <c r="G650" t="s">
        <v>507</v>
      </c>
      <c r="H650" t="s">
        <v>508</v>
      </c>
      <c r="I650" t="s">
        <v>509</v>
      </c>
      <c r="J650" t="s">
        <v>589</v>
      </c>
      <c r="K650" s="502">
        <f>K638</f>
        <v>-20.16</v>
      </c>
      <c r="L650" t="s">
        <v>488</v>
      </c>
    </row>
    <row r="651" spans="1:15">
      <c r="A651" t="s">
        <v>586</v>
      </c>
      <c r="B651" t="s">
        <v>3358</v>
      </c>
      <c r="C651" s="60" t="str">
        <f t="shared" ref="C651:C660" si="57">+C650</f>
        <v>E6250</v>
      </c>
      <c r="D651" t="s">
        <v>587</v>
      </c>
      <c r="E651" t="s">
        <v>588</v>
      </c>
      <c r="F651" t="s">
        <v>506</v>
      </c>
      <c r="G651" t="s">
        <v>507</v>
      </c>
      <c r="H651" t="s">
        <v>508</v>
      </c>
      <c r="I651" t="s">
        <v>509</v>
      </c>
      <c r="J651" t="s">
        <v>589</v>
      </c>
      <c r="K651" s="502">
        <v>-22.32</v>
      </c>
      <c r="L651" t="s">
        <v>488</v>
      </c>
    </row>
    <row r="652" spans="1:15">
      <c r="A652" t="s">
        <v>586</v>
      </c>
      <c r="B652" t="s">
        <v>3359</v>
      </c>
      <c r="C652" s="60" t="str">
        <f t="shared" si="57"/>
        <v>E6250</v>
      </c>
      <c r="D652" t="s">
        <v>587</v>
      </c>
      <c r="E652" t="s">
        <v>588</v>
      </c>
      <c r="F652" t="s">
        <v>506</v>
      </c>
      <c r="G652" t="s">
        <v>507</v>
      </c>
      <c r="H652" t="s">
        <v>508</v>
      </c>
      <c r="I652" t="s">
        <v>509</v>
      </c>
      <c r="J652" t="s">
        <v>589</v>
      </c>
      <c r="K652" s="502">
        <v>-21.6</v>
      </c>
      <c r="L652" t="s">
        <v>488</v>
      </c>
    </row>
    <row r="653" spans="1:15">
      <c r="A653" t="s">
        <v>586</v>
      </c>
      <c r="B653" t="s">
        <v>3360</v>
      </c>
      <c r="C653" s="60" t="str">
        <f t="shared" si="57"/>
        <v>E6250</v>
      </c>
      <c r="D653" t="s">
        <v>587</v>
      </c>
      <c r="E653" t="s">
        <v>588</v>
      </c>
      <c r="F653" t="s">
        <v>506</v>
      </c>
      <c r="G653" t="s">
        <v>507</v>
      </c>
      <c r="H653" t="s">
        <v>508</v>
      </c>
      <c r="I653" t="s">
        <v>509</v>
      </c>
      <c r="J653" t="s">
        <v>589</v>
      </c>
      <c r="K653" s="575">
        <f>U4</f>
        <v>-744</v>
      </c>
      <c r="L653" t="s">
        <v>488</v>
      </c>
      <c r="N653" s="3" t="s">
        <v>3442</v>
      </c>
      <c r="O653" s="3"/>
    </row>
    <row r="654" spans="1:15">
      <c r="A654" t="s">
        <v>586</v>
      </c>
      <c r="B654" t="s">
        <v>3361</v>
      </c>
      <c r="C654" s="60" t="str">
        <f t="shared" si="57"/>
        <v>E6250</v>
      </c>
      <c r="D654" t="s">
        <v>587</v>
      </c>
      <c r="E654" t="s">
        <v>588</v>
      </c>
      <c r="F654" t="s">
        <v>506</v>
      </c>
      <c r="G654" t="s">
        <v>507</v>
      </c>
      <c r="H654" t="s">
        <v>508</v>
      </c>
      <c r="I654" t="s">
        <v>509</v>
      </c>
      <c r="J654" t="s">
        <v>589</v>
      </c>
      <c r="K654" s="575">
        <f>V4</f>
        <v>-720</v>
      </c>
      <c r="L654" t="s">
        <v>488</v>
      </c>
      <c r="N654" s="3" t="s">
        <v>3442</v>
      </c>
      <c r="O654" s="3"/>
    </row>
    <row r="655" spans="1:15">
      <c r="A655" t="s">
        <v>586</v>
      </c>
      <c r="B655" t="s">
        <v>3362</v>
      </c>
      <c r="C655" s="60" t="str">
        <f t="shared" si="57"/>
        <v>E6250</v>
      </c>
      <c r="D655" t="s">
        <v>587</v>
      </c>
      <c r="E655" t="s">
        <v>588</v>
      </c>
      <c r="F655" t="s">
        <v>506</v>
      </c>
      <c r="G655" t="s">
        <v>507</v>
      </c>
      <c r="H655" t="s">
        <v>508</v>
      </c>
      <c r="I655" t="s">
        <v>509</v>
      </c>
      <c r="J655" t="s">
        <v>589</v>
      </c>
      <c r="K655" s="575">
        <f>W4</f>
        <v>-744</v>
      </c>
      <c r="L655" t="s">
        <v>488</v>
      </c>
      <c r="N655" s="3" t="s">
        <v>3442</v>
      </c>
      <c r="O655" s="3"/>
    </row>
    <row r="656" spans="1:15">
      <c r="A656" t="s">
        <v>586</v>
      </c>
      <c r="B656" t="s">
        <v>3363</v>
      </c>
      <c r="C656" s="60" t="str">
        <f t="shared" si="57"/>
        <v>E6250</v>
      </c>
      <c r="D656" t="s">
        <v>587</v>
      </c>
      <c r="E656" t="s">
        <v>588</v>
      </c>
      <c r="F656" t="s">
        <v>506</v>
      </c>
      <c r="G656" t="s">
        <v>507</v>
      </c>
      <c r="H656" t="s">
        <v>508</v>
      </c>
      <c r="I656" t="s">
        <v>509</v>
      </c>
      <c r="J656" t="s">
        <v>589</v>
      </c>
      <c r="K656" s="575">
        <f>X4</f>
        <v>-744</v>
      </c>
      <c r="L656" t="s">
        <v>488</v>
      </c>
      <c r="N656" s="3" t="s">
        <v>3442</v>
      </c>
      <c r="O656" s="3"/>
    </row>
    <row r="657" spans="1:15">
      <c r="A657" t="s">
        <v>586</v>
      </c>
      <c r="B657" t="s">
        <v>3364</v>
      </c>
      <c r="C657" s="60" t="str">
        <f t="shared" si="57"/>
        <v>E6250</v>
      </c>
      <c r="D657" t="s">
        <v>587</v>
      </c>
      <c r="E657" t="s">
        <v>588</v>
      </c>
      <c r="F657" t="s">
        <v>506</v>
      </c>
      <c r="G657" t="s">
        <v>507</v>
      </c>
      <c r="H657" t="s">
        <v>508</v>
      </c>
      <c r="I657" t="s">
        <v>509</v>
      </c>
      <c r="J657" t="s">
        <v>589</v>
      </c>
      <c r="K657" s="575">
        <f>Y4</f>
        <v>-720</v>
      </c>
      <c r="L657" t="s">
        <v>488</v>
      </c>
      <c r="N657" s="3" t="s">
        <v>3442</v>
      </c>
      <c r="O657" s="3"/>
    </row>
    <row r="658" spans="1:15">
      <c r="A658" t="s">
        <v>586</v>
      </c>
      <c r="B658" t="s">
        <v>3365</v>
      </c>
      <c r="C658" s="60" t="str">
        <f t="shared" si="57"/>
        <v>E6250</v>
      </c>
      <c r="D658" t="s">
        <v>587</v>
      </c>
      <c r="E658" t="s">
        <v>588</v>
      </c>
      <c r="F658" t="s">
        <v>506</v>
      </c>
      <c r="G658" t="s">
        <v>507</v>
      </c>
      <c r="H658" t="s">
        <v>508</v>
      </c>
      <c r="I658" t="s">
        <v>509</v>
      </c>
      <c r="J658" t="s">
        <v>589</v>
      </c>
      <c r="K658" s="575">
        <f>Z4</f>
        <v>-744</v>
      </c>
      <c r="L658" t="s">
        <v>488</v>
      </c>
      <c r="N658" s="3" t="s">
        <v>3442</v>
      </c>
      <c r="O658" s="3"/>
    </row>
    <row r="659" spans="1:15">
      <c r="A659" t="s">
        <v>586</v>
      </c>
      <c r="B659" t="s">
        <v>3366</v>
      </c>
      <c r="C659" s="60" t="str">
        <f t="shared" si="57"/>
        <v>E6250</v>
      </c>
      <c r="D659" t="s">
        <v>587</v>
      </c>
      <c r="E659" t="s">
        <v>588</v>
      </c>
      <c r="F659" t="s">
        <v>506</v>
      </c>
      <c r="G659" t="s">
        <v>507</v>
      </c>
      <c r="H659" t="s">
        <v>508</v>
      </c>
      <c r="I659" t="s">
        <v>509</v>
      </c>
      <c r="J659" t="s">
        <v>589</v>
      </c>
      <c r="K659" s="575">
        <f>AA4</f>
        <v>-720</v>
      </c>
      <c r="L659" t="s">
        <v>488</v>
      </c>
      <c r="N659" s="3" t="s">
        <v>3442</v>
      </c>
      <c r="O659" s="3"/>
    </row>
    <row r="660" spans="1:15">
      <c r="A660" t="s">
        <v>586</v>
      </c>
      <c r="B660" t="s">
        <v>3367</v>
      </c>
      <c r="C660" s="60" t="str">
        <f t="shared" si="57"/>
        <v>E6250</v>
      </c>
      <c r="D660" t="s">
        <v>587</v>
      </c>
      <c r="E660" t="s">
        <v>588</v>
      </c>
      <c r="F660" t="s">
        <v>506</v>
      </c>
      <c r="G660" t="s">
        <v>507</v>
      </c>
      <c r="H660" t="s">
        <v>508</v>
      </c>
      <c r="I660" t="s">
        <v>509</v>
      </c>
      <c r="J660" t="s">
        <v>589</v>
      </c>
      <c r="K660" s="575">
        <f>AB4</f>
        <v>-744</v>
      </c>
      <c r="L660" t="s">
        <v>488</v>
      </c>
      <c r="N660" s="3" t="s">
        <v>3442</v>
      </c>
      <c r="O660" s="3"/>
    </row>
    <row r="661" spans="1:15">
      <c r="A661" t="s">
        <v>586</v>
      </c>
      <c r="B661" t="s">
        <v>3356</v>
      </c>
      <c r="C661" s="3" t="str">
        <f>+'2-Préparation saisie LV PROD'!B61</f>
        <v>E6260</v>
      </c>
      <c r="D661" t="s">
        <v>587</v>
      </c>
      <c r="E661" t="s">
        <v>588</v>
      </c>
      <c r="F661" t="s">
        <v>506</v>
      </c>
      <c r="G661" t="s">
        <v>507</v>
      </c>
      <c r="H661" t="s">
        <v>508</v>
      </c>
      <c r="I661" t="s">
        <v>509</v>
      </c>
      <c r="J661" t="s">
        <v>589</v>
      </c>
      <c r="K661" s="502">
        <v>-22.32</v>
      </c>
      <c r="L661" t="s">
        <v>489</v>
      </c>
    </row>
    <row r="662" spans="1:15">
      <c r="A662" t="s">
        <v>586</v>
      </c>
      <c r="B662" t="s">
        <v>3357</v>
      </c>
      <c r="C662" s="60" t="str">
        <f>C661</f>
        <v>E6260</v>
      </c>
      <c r="D662" t="s">
        <v>587</v>
      </c>
      <c r="E662" t="s">
        <v>588</v>
      </c>
      <c r="F662" t="s">
        <v>506</v>
      </c>
      <c r="G662" t="s">
        <v>507</v>
      </c>
      <c r="H662" t="s">
        <v>508</v>
      </c>
      <c r="I662" t="s">
        <v>509</v>
      </c>
      <c r="J662" t="s">
        <v>589</v>
      </c>
      <c r="K662" s="502">
        <f>K650</f>
        <v>-20.16</v>
      </c>
      <c r="L662" t="s">
        <v>489</v>
      </c>
    </row>
    <row r="663" spans="1:15">
      <c r="A663" t="s">
        <v>586</v>
      </c>
      <c r="B663" t="s">
        <v>3358</v>
      </c>
      <c r="C663" s="60" t="str">
        <f t="shared" ref="C663:C672" si="58">+C662</f>
        <v>E6260</v>
      </c>
      <c r="D663" t="s">
        <v>587</v>
      </c>
      <c r="E663" t="s">
        <v>588</v>
      </c>
      <c r="F663" t="s">
        <v>506</v>
      </c>
      <c r="G663" t="s">
        <v>507</v>
      </c>
      <c r="H663" t="s">
        <v>508</v>
      </c>
      <c r="I663" t="s">
        <v>509</v>
      </c>
      <c r="J663" t="s">
        <v>589</v>
      </c>
      <c r="K663" s="502">
        <v>-22.32</v>
      </c>
      <c r="L663" t="s">
        <v>489</v>
      </c>
    </row>
    <row r="664" spans="1:15">
      <c r="A664" t="s">
        <v>586</v>
      </c>
      <c r="B664" t="s">
        <v>3359</v>
      </c>
      <c r="C664" s="60" t="str">
        <f t="shared" si="58"/>
        <v>E6260</v>
      </c>
      <c r="D664" t="s">
        <v>587</v>
      </c>
      <c r="E664" t="s">
        <v>588</v>
      </c>
      <c r="F664" t="s">
        <v>506</v>
      </c>
      <c r="G664" t="s">
        <v>507</v>
      </c>
      <c r="H664" t="s">
        <v>508</v>
      </c>
      <c r="I664" t="s">
        <v>509</v>
      </c>
      <c r="J664" t="s">
        <v>589</v>
      </c>
      <c r="K664" s="502">
        <v>-21.6</v>
      </c>
      <c r="L664" t="s">
        <v>489</v>
      </c>
    </row>
    <row r="665" spans="1:15">
      <c r="A665" t="s">
        <v>586</v>
      </c>
      <c r="B665" t="s">
        <v>3360</v>
      </c>
      <c r="C665" s="60" t="str">
        <f t="shared" si="58"/>
        <v>E6260</v>
      </c>
      <c r="D665" t="s">
        <v>587</v>
      </c>
      <c r="E665" t="s">
        <v>588</v>
      </c>
      <c r="F665" t="s">
        <v>506</v>
      </c>
      <c r="G665" t="s">
        <v>507</v>
      </c>
      <c r="H665" t="s">
        <v>508</v>
      </c>
      <c r="I665" t="s">
        <v>509</v>
      </c>
      <c r="J665" t="s">
        <v>589</v>
      </c>
      <c r="K665" s="502">
        <v>-22.32</v>
      </c>
      <c r="L665" t="s">
        <v>489</v>
      </c>
    </row>
    <row r="666" spans="1:15">
      <c r="A666" t="s">
        <v>586</v>
      </c>
      <c r="B666" t="s">
        <v>3361</v>
      </c>
      <c r="C666" s="60" t="str">
        <f t="shared" si="58"/>
        <v>E6260</v>
      </c>
      <c r="D666" t="s">
        <v>587</v>
      </c>
      <c r="E666" t="s">
        <v>588</v>
      </c>
      <c r="F666" t="s">
        <v>506</v>
      </c>
      <c r="G666" t="s">
        <v>507</v>
      </c>
      <c r="H666" t="s">
        <v>508</v>
      </c>
      <c r="I666" t="s">
        <v>509</v>
      </c>
      <c r="J666" t="s">
        <v>589</v>
      </c>
      <c r="K666" s="502">
        <v>-21.6</v>
      </c>
      <c r="L666" t="s">
        <v>489</v>
      </c>
    </row>
    <row r="667" spans="1:15">
      <c r="A667" t="s">
        <v>586</v>
      </c>
      <c r="B667" t="s">
        <v>3362</v>
      </c>
      <c r="C667" s="60" t="str">
        <f t="shared" si="58"/>
        <v>E6260</v>
      </c>
      <c r="D667" t="s">
        <v>587</v>
      </c>
      <c r="E667" t="s">
        <v>588</v>
      </c>
      <c r="F667" t="s">
        <v>506</v>
      </c>
      <c r="G667" t="s">
        <v>507</v>
      </c>
      <c r="H667" t="s">
        <v>508</v>
      </c>
      <c r="I667" t="s">
        <v>509</v>
      </c>
      <c r="J667" t="s">
        <v>589</v>
      </c>
      <c r="K667" s="502">
        <v>-22.32</v>
      </c>
      <c r="L667" t="s">
        <v>489</v>
      </c>
    </row>
    <row r="668" spans="1:15">
      <c r="A668" t="s">
        <v>586</v>
      </c>
      <c r="B668" t="s">
        <v>3363</v>
      </c>
      <c r="C668" s="60" t="str">
        <f t="shared" si="58"/>
        <v>E6260</v>
      </c>
      <c r="D668" t="s">
        <v>587</v>
      </c>
      <c r="E668" t="s">
        <v>588</v>
      </c>
      <c r="F668" t="s">
        <v>506</v>
      </c>
      <c r="G668" t="s">
        <v>507</v>
      </c>
      <c r="H668" t="s">
        <v>508</v>
      </c>
      <c r="I668" t="s">
        <v>509</v>
      </c>
      <c r="J668" t="s">
        <v>589</v>
      </c>
      <c r="K668" s="502">
        <v>-22.32</v>
      </c>
      <c r="L668" t="s">
        <v>489</v>
      </c>
    </row>
    <row r="669" spans="1:15">
      <c r="A669" t="s">
        <v>586</v>
      </c>
      <c r="B669" t="s">
        <v>3364</v>
      </c>
      <c r="C669" s="60" t="str">
        <f t="shared" si="58"/>
        <v>E6260</v>
      </c>
      <c r="D669" t="s">
        <v>587</v>
      </c>
      <c r="E669" t="s">
        <v>588</v>
      </c>
      <c r="F669" t="s">
        <v>506</v>
      </c>
      <c r="G669" t="s">
        <v>507</v>
      </c>
      <c r="H669" t="s">
        <v>508</v>
      </c>
      <c r="I669" t="s">
        <v>509</v>
      </c>
      <c r="J669" t="s">
        <v>589</v>
      </c>
      <c r="K669" s="502">
        <v>-21.6</v>
      </c>
      <c r="L669" t="s">
        <v>489</v>
      </c>
    </row>
    <row r="670" spans="1:15">
      <c r="A670" t="s">
        <v>586</v>
      </c>
      <c r="B670" t="s">
        <v>3365</v>
      </c>
      <c r="C670" s="60" t="str">
        <f t="shared" si="58"/>
        <v>E6260</v>
      </c>
      <c r="D670" t="s">
        <v>587</v>
      </c>
      <c r="E670" t="s">
        <v>588</v>
      </c>
      <c r="F670" t="s">
        <v>506</v>
      </c>
      <c r="G670" t="s">
        <v>507</v>
      </c>
      <c r="H670" t="s">
        <v>508</v>
      </c>
      <c r="I670" t="s">
        <v>509</v>
      </c>
      <c r="J670" t="s">
        <v>589</v>
      </c>
      <c r="K670" s="502">
        <v>-22.32</v>
      </c>
      <c r="L670" t="s">
        <v>489</v>
      </c>
    </row>
    <row r="671" spans="1:15">
      <c r="A671" t="s">
        <v>586</v>
      </c>
      <c r="B671" t="s">
        <v>3366</v>
      </c>
      <c r="C671" s="60" t="str">
        <f t="shared" si="58"/>
        <v>E6260</v>
      </c>
      <c r="D671" t="s">
        <v>587</v>
      </c>
      <c r="E671" t="s">
        <v>588</v>
      </c>
      <c r="F671" t="s">
        <v>506</v>
      </c>
      <c r="G671" t="s">
        <v>507</v>
      </c>
      <c r="H671" t="s">
        <v>508</v>
      </c>
      <c r="I671" t="s">
        <v>509</v>
      </c>
      <c r="J671" t="s">
        <v>589</v>
      </c>
      <c r="K671" s="502">
        <v>-21.6</v>
      </c>
      <c r="L671" t="s">
        <v>489</v>
      </c>
    </row>
    <row r="672" spans="1:15">
      <c r="A672" t="s">
        <v>586</v>
      </c>
      <c r="B672" t="s">
        <v>3367</v>
      </c>
      <c r="C672" s="60" t="str">
        <f t="shared" si="58"/>
        <v>E6260</v>
      </c>
      <c r="D672" t="s">
        <v>587</v>
      </c>
      <c r="E672" t="s">
        <v>588</v>
      </c>
      <c r="F672" t="s">
        <v>506</v>
      </c>
      <c r="G672" t="s">
        <v>507</v>
      </c>
      <c r="H672" t="s">
        <v>508</v>
      </c>
      <c r="I672" t="s">
        <v>509</v>
      </c>
      <c r="J672" t="s">
        <v>589</v>
      </c>
      <c r="K672" s="502">
        <v>-22.32</v>
      </c>
      <c r="L672" t="s">
        <v>489</v>
      </c>
    </row>
    <row r="673" spans="1:12">
      <c r="A673" t="s">
        <v>586</v>
      </c>
      <c r="B673" t="s">
        <v>3356</v>
      </c>
      <c r="C673" s="3" t="str">
        <f>+'2-Préparation saisie LV PROD'!B62</f>
        <v>E6120</v>
      </c>
      <c r="D673" t="s">
        <v>587</v>
      </c>
      <c r="E673" t="s">
        <v>588</v>
      </c>
      <c r="F673" t="s">
        <v>506</v>
      </c>
      <c r="G673" t="s">
        <v>507</v>
      </c>
      <c r="H673" t="s">
        <v>508</v>
      </c>
      <c r="I673" t="s">
        <v>509</v>
      </c>
      <c r="J673" t="s">
        <v>589</v>
      </c>
      <c r="K673" s="502">
        <v>-22.32</v>
      </c>
      <c r="L673" t="s">
        <v>490</v>
      </c>
    </row>
    <row r="674" spans="1:12">
      <c r="A674" t="s">
        <v>586</v>
      </c>
      <c r="B674" t="s">
        <v>3357</v>
      </c>
      <c r="C674" s="60" t="str">
        <f>C673</f>
        <v>E6120</v>
      </c>
      <c r="D674" t="s">
        <v>587</v>
      </c>
      <c r="E674" t="s">
        <v>588</v>
      </c>
      <c r="F674" t="s">
        <v>506</v>
      </c>
      <c r="G674" t="s">
        <v>507</v>
      </c>
      <c r="H674" t="s">
        <v>508</v>
      </c>
      <c r="I674" t="s">
        <v>509</v>
      </c>
      <c r="J674" t="s">
        <v>589</v>
      </c>
      <c r="K674" s="502">
        <f>K662</f>
        <v>-20.16</v>
      </c>
      <c r="L674" t="s">
        <v>490</v>
      </c>
    </row>
    <row r="675" spans="1:12">
      <c r="A675" t="s">
        <v>586</v>
      </c>
      <c r="B675" t="s">
        <v>3358</v>
      </c>
      <c r="C675" s="60" t="str">
        <f t="shared" ref="C675:C684" si="59">+C674</f>
        <v>E6120</v>
      </c>
      <c r="D675" t="s">
        <v>587</v>
      </c>
      <c r="E675" t="s">
        <v>588</v>
      </c>
      <c r="F675" t="s">
        <v>506</v>
      </c>
      <c r="G675" t="s">
        <v>507</v>
      </c>
      <c r="H675" t="s">
        <v>508</v>
      </c>
      <c r="I675" t="s">
        <v>509</v>
      </c>
      <c r="J675" t="s">
        <v>589</v>
      </c>
      <c r="K675" s="502">
        <v>-22.32</v>
      </c>
      <c r="L675" t="s">
        <v>490</v>
      </c>
    </row>
    <row r="676" spans="1:12">
      <c r="A676" t="s">
        <v>586</v>
      </c>
      <c r="B676" t="s">
        <v>3359</v>
      </c>
      <c r="C676" s="60" t="str">
        <f t="shared" si="59"/>
        <v>E6120</v>
      </c>
      <c r="D676" t="s">
        <v>587</v>
      </c>
      <c r="E676" t="s">
        <v>588</v>
      </c>
      <c r="F676" t="s">
        <v>506</v>
      </c>
      <c r="G676" t="s">
        <v>507</v>
      </c>
      <c r="H676" t="s">
        <v>508</v>
      </c>
      <c r="I676" t="s">
        <v>509</v>
      </c>
      <c r="J676" t="s">
        <v>589</v>
      </c>
      <c r="K676" s="502">
        <v>-21.6</v>
      </c>
      <c r="L676" t="s">
        <v>490</v>
      </c>
    </row>
    <row r="677" spans="1:12">
      <c r="A677" t="s">
        <v>586</v>
      </c>
      <c r="B677" t="s">
        <v>3360</v>
      </c>
      <c r="C677" s="60" t="str">
        <f t="shared" si="59"/>
        <v>E6120</v>
      </c>
      <c r="D677" t="s">
        <v>587</v>
      </c>
      <c r="E677" t="s">
        <v>588</v>
      </c>
      <c r="F677" t="s">
        <v>506</v>
      </c>
      <c r="G677" t="s">
        <v>507</v>
      </c>
      <c r="H677" t="s">
        <v>508</v>
      </c>
      <c r="I677" t="s">
        <v>509</v>
      </c>
      <c r="J677" t="s">
        <v>589</v>
      </c>
      <c r="K677" s="502">
        <v>-22.32</v>
      </c>
      <c r="L677" t="s">
        <v>490</v>
      </c>
    </row>
    <row r="678" spans="1:12">
      <c r="A678" t="s">
        <v>586</v>
      </c>
      <c r="B678" t="s">
        <v>3361</v>
      </c>
      <c r="C678" s="60" t="str">
        <f t="shared" si="59"/>
        <v>E6120</v>
      </c>
      <c r="D678" t="s">
        <v>587</v>
      </c>
      <c r="E678" t="s">
        <v>588</v>
      </c>
      <c r="F678" t="s">
        <v>506</v>
      </c>
      <c r="G678" t="s">
        <v>507</v>
      </c>
      <c r="H678" t="s">
        <v>508</v>
      </c>
      <c r="I678" t="s">
        <v>509</v>
      </c>
      <c r="J678" t="s">
        <v>589</v>
      </c>
      <c r="K678" s="502">
        <v>-21.6</v>
      </c>
      <c r="L678" t="s">
        <v>490</v>
      </c>
    </row>
    <row r="679" spans="1:12">
      <c r="A679" t="s">
        <v>586</v>
      </c>
      <c r="B679" t="s">
        <v>3362</v>
      </c>
      <c r="C679" s="60" t="str">
        <f t="shared" si="59"/>
        <v>E6120</v>
      </c>
      <c r="D679" t="s">
        <v>587</v>
      </c>
      <c r="E679" t="s">
        <v>588</v>
      </c>
      <c r="F679" t="s">
        <v>506</v>
      </c>
      <c r="G679" t="s">
        <v>507</v>
      </c>
      <c r="H679" t="s">
        <v>508</v>
      </c>
      <c r="I679" t="s">
        <v>509</v>
      </c>
      <c r="J679" t="s">
        <v>589</v>
      </c>
      <c r="K679" s="502">
        <v>-22.32</v>
      </c>
      <c r="L679" t="s">
        <v>490</v>
      </c>
    </row>
    <row r="680" spans="1:12">
      <c r="A680" t="s">
        <v>586</v>
      </c>
      <c r="B680" t="s">
        <v>3363</v>
      </c>
      <c r="C680" s="60" t="str">
        <f t="shared" si="59"/>
        <v>E6120</v>
      </c>
      <c r="D680" t="s">
        <v>587</v>
      </c>
      <c r="E680" t="s">
        <v>588</v>
      </c>
      <c r="F680" t="s">
        <v>506</v>
      </c>
      <c r="G680" t="s">
        <v>507</v>
      </c>
      <c r="H680" t="s">
        <v>508</v>
      </c>
      <c r="I680" t="s">
        <v>509</v>
      </c>
      <c r="J680" t="s">
        <v>589</v>
      </c>
      <c r="K680" s="502">
        <v>-22.32</v>
      </c>
      <c r="L680" t="s">
        <v>490</v>
      </c>
    </row>
    <row r="681" spans="1:12">
      <c r="A681" t="s">
        <v>586</v>
      </c>
      <c r="B681" t="s">
        <v>3364</v>
      </c>
      <c r="C681" s="60" t="str">
        <f t="shared" si="59"/>
        <v>E6120</v>
      </c>
      <c r="D681" t="s">
        <v>587</v>
      </c>
      <c r="E681" t="s">
        <v>588</v>
      </c>
      <c r="F681" t="s">
        <v>506</v>
      </c>
      <c r="G681" t="s">
        <v>507</v>
      </c>
      <c r="H681" t="s">
        <v>508</v>
      </c>
      <c r="I681" t="s">
        <v>509</v>
      </c>
      <c r="J681" t="s">
        <v>589</v>
      </c>
      <c r="K681" s="502">
        <v>-21.6</v>
      </c>
      <c r="L681" t="s">
        <v>490</v>
      </c>
    </row>
    <row r="682" spans="1:12">
      <c r="A682" t="s">
        <v>586</v>
      </c>
      <c r="B682" t="s">
        <v>3365</v>
      </c>
      <c r="C682" s="60" t="str">
        <f t="shared" si="59"/>
        <v>E6120</v>
      </c>
      <c r="D682" t="s">
        <v>587</v>
      </c>
      <c r="E682" t="s">
        <v>588</v>
      </c>
      <c r="F682" t="s">
        <v>506</v>
      </c>
      <c r="G682" t="s">
        <v>507</v>
      </c>
      <c r="H682" t="s">
        <v>508</v>
      </c>
      <c r="I682" t="s">
        <v>509</v>
      </c>
      <c r="J682" t="s">
        <v>589</v>
      </c>
      <c r="K682" s="502">
        <v>-22.32</v>
      </c>
      <c r="L682" t="s">
        <v>490</v>
      </c>
    </row>
    <row r="683" spans="1:12">
      <c r="A683" t="s">
        <v>586</v>
      </c>
      <c r="B683" t="s">
        <v>3366</v>
      </c>
      <c r="C683" s="60" t="str">
        <f t="shared" si="59"/>
        <v>E6120</v>
      </c>
      <c r="D683" t="s">
        <v>587</v>
      </c>
      <c r="E683" t="s">
        <v>588</v>
      </c>
      <c r="F683" t="s">
        <v>506</v>
      </c>
      <c r="G683" t="s">
        <v>507</v>
      </c>
      <c r="H683" t="s">
        <v>508</v>
      </c>
      <c r="I683" t="s">
        <v>509</v>
      </c>
      <c r="J683" t="s">
        <v>589</v>
      </c>
      <c r="K683" s="502">
        <v>-21.6</v>
      </c>
      <c r="L683" t="s">
        <v>490</v>
      </c>
    </row>
    <row r="684" spans="1:12">
      <c r="A684" t="s">
        <v>586</v>
      </c>
      <c r="B684" t="s">
        <v>3367</v>
      </c>
      <c r="C684" s="60" t="str">
        <f t="shared" si="59"/>
        <v>E6120</v>
      </c>
      <c r="D684" t="s">
        <v>587</v>
      </c>
      <c r="E684" t="s">
        <v>588</v>
      </c>
      <c r="F684" t="s">
        <v>506</v>
      </c>
      <c r="G684" t="s">
        <v>507</v>
      </c>
      <c r="H684" t="s">
        <v>508</v>
      </c>
      <c r="I684" t="s">
        <v>509</v>
      </c>
      <c r="J684" t="s">
        <v>589</v>
      </c>
      <c r="K684" s="502">
        <v>-22.32</v>
      </c>
      <c r="L684" t="s">
        <v>490</v>
      </c>
    </row>
    <row r="685" spans="1:12">
      <c r="A685" t="s">
        <v>586</v>
      </c>
      <c r="B685" t="s">
        <v>3356</v>
      </c>
      <c r="C685" s="3" t="str">
        <f>+'2-Préparation saisie LV PROD'!B63</f>
        <v>E6130</v>
      </c>
      <c r="D685" t="s">
        <v>587</v>
      </c>
      <c r="E685" t="s">
        <v>588</v>
      </c>
      <c r="F685" t="s">
        <v>506</v>
      </c>
      <c r="G685" t="s">
        <v>507</v>
      </c>
      <c r="H685" t="s">
        <v>508</v>
      </c>
      <c r="I685" t="s">
        <v>509</v>
      </c>
      <c r="J685" t="s">
        <v>589</v>
      </c>
      <c r="K685" s="502">
        <v>-22.32</v>
      </c>
      <c r="L685" t="s">
        <v>491</v>
      </c>
    </row>
    <row r="686" spans="1:12">
      <c r="A686" t="s">
        <v>586</v>
      </c>
      <c r="B686" t="s">
        <v>3357</v>
      </c>
      <c r="C686" s="60" t="str">
        <f>C685</f>
        <v>E6130</v>
      </c>
      <c r="D686" t="s">
        <v>587</v>
      </c>
      <c r="E686" t="s">
        <v>588</v>
      </c>
      <c r="F686" t="s">
        <v>506</v>
      </c>
      <c r="G686" t="s">
        <v>507</v>
      </c>
      <c r="H686" t="s">
        <v>508</v>
      </c>
      <c r="I686" t="s">
        <v>509</v>
      </c>
      <c r="J686" t="s">
        <v>589</v>
      </c>
      <c r="K686" s="502">
        <f>K674</f>
        <v>-20.16</v>
      </c>
      <c r="L686" t="s">
        <v>491</v>
      </c>
    </row>
    <row r="687" spans="1:12">
      <c r="A687" t="s">
        <v>586</v>
      </c>
      <c r="B687" t="s">
        <v>3358</v>
      </c>
      <c r="C687" s="60" t="str">
        <f t="shared" ref="C687:C696" si="60">+C686</f>
        <v>E6130</v>
      </c>
      <c r="D687" t="s">
        <v>587</v>
      </c>
      <c r="E687" t="s">
        <v>588</v>
      </c>
      <c r="F687" t="s">
        <v>506</v>
      </c>
      <c r="G687" t="s">
        <v>507</v>
      </c>
      <c r="H687" t="s">
        <v>508</v>
      </c>
      <c r="I687" t="s">
        <v>509</v>
      </c>
      <c r="J687" t="s">
        <v>589</v>
      </c>
      <c r="K687" s="502">
        <v>-22.32</v>
      </c>
      <c r="L687" t="s">
        <v>491</v>
      </c>
    </row>
    <row r="688" spans="1:12">
      <c r="A688" t="s">
        <v>586</v>
      </c>
      <c r="B688" t="s">
        <v>3359</v>
      </c>
      <c r="C688" s="60" t="str">
        <f t="shared" si="60"/>
        <v>E6130</v>
      </c>
      <c r="D688" t="s">
        <v>587</v>
      </c>
      <c r="E688" t="s">
        <v>588</v>
      </c>
      <c r="F688" t="s">
        <v>506</v>
      </c>
      <c r="G688" t="s">
        <v>507</v>
      </c>
      <c r="H688" t="s">
        <v>508</v>
      </c>
      <c r="I688" t="s">
        <v>509</v>
      </c>
      <c r="J688" t="s">
        <v>589</v>
      </c>
      <c r="K688" s="502">
        <v>-21.6</v>
      </c>
      <c r="L688" t="s">
        <v>491</v>
      </c>
    </row>
    <row r="689" spans="1:12">
      <c r="A689" t="s">
        <v>586</v>
      </c>
      <c r="B689" t="s">
        <v>3360</v>
      </c>
      <c r="C689" s="60" t="str">
        <f t="shared" si="60"/>
        <v>E6130</v>
      </c>
      <c r="D689" t="s">
        <v>587</v>
      </c>
      <c r="E689" t="s">
        <v>588</v>
      </c>
      <c r="F689" t="s">
        <v>506</v>
      </c>
      <c r="G689" t="s">
        <v>507</v>
      </c>
      <c r="H689" t="s">
        <v>508</v>
      </c>
      <c r="I689" t="s">
        <v>509</v>
      </c>
      <c r="J689" t="s">
        <v>589</v>
      </c>
      <c r="K689" s="502">
        <v>-22.32</v>
      </c>
      <c r="L689" t="s">
        <v>491</v>
      </c>
    </row>
    <row r="690" spans="1:12">
      <c r="A690" t="s">
        <v>586</v>
      </c>
      <c r="B690" t="s">
        <v>3361</v>
      </c>
      <c r="C690" s="60" t="str">
        <f t="shared" si="60"/>
        <v>E6130</v>
      </c>
      <c r="D690" t="s">
        <v>587</v>
      </c>
      <c r="E690" t="s">
        <v>588</v>
      </c>
      <c r="F690" t="s">
        <v>506</v>
      </c>
      <c r="G690" t="s">
        <v>507</v>
      </c>
      <c r="H690" t="s">
        <v>508</v>
      </c>
      <c r="I690" t="s">
        <v>509</v>
      </c>
      <c r="J690" t="s">
        <v>589</v>
      </c>
      <c r="K690" s="502">
        <v>-21.6</v>
      </c>
      <c r="L690" t="s">
        <v>491</v>
      </c>
    </row>
    <row r="691" spans="1:12">
      <c r="A691" t="s">
        <v>586</v>
      </c>
      <c r="B691" t="s">
        <v>3362</v>
      </c>
      <c r="C691" s="60" t="str">
        <f t="shared" si="60"/>
        <v>E6130</v>
      </c>
      <c r="D691" t="s">
        <v>587</v>
      </c>
      <c r="E691" t="s">
        <v>588</v>
      </c>
      <c r="F691" t="s">
        <v>506</v>
      </c>
      <c r="G691" t="s">
        <v>507</v>
      </c>
      <c r="H691" t="s">
        <v>508</v>
      </c>
      <c r="I691" t="s">
        <v>509</v>
      </c>
      <c r="J691" t="s">
        <v>589</v>
      </c>
      <c r="K691" s="502">
        <v>-22.32</v>
      </c>
      <c r="L691" t="s">
        <v>491</v>
      </c>
    </row>
    <row r="692" spans="1:12">
      <c r="A692" t="s">
        <v>586</v>
      </c>
      <c r="B692" t="s">
        <v>3363</v>
      </c>
      <c r="C692" s="60" t="str">
        <f t="shared" si="60"/>
        <v>E6130</v>
      </c>
      <c r="D692" t="s">
        <v>587</v>
      </c>
      <c r="E692" t="s">
        <v>588</v>
      </c>
      <c r="F692" t="s">
        <v>506</v>
      </c>
      <c r="G692" t="s">
        <v>507</v>
      </c>
      <c r="H692" t="s">
        <v>508</v>
      </c>
      <c r="I692" t="s">
        <v>509</v>
      </c>
      <c r="J692" t="s">
        <v>589</v>
      </c>
      <c r="K692" s="502">
        <v>-22.32</v>
      </c>
      <c r="L692" t="s">
        <v>491</v>
      </c>
    </row>
    <row r="693" spans="1:12">
      <c r="A693" t="s">
        <v>586</v>
      </c>
      <c r="B693" t="s">
        <v>3364</v>
      </c>
      <c r="C693" s="60" t="str">
        <f t="shared" si="60"/>
        <v>E6130</v>
      </c>
      <c r="D693" t="s">
        <v>587</v>
      </c>
      <c r="E693" t="s">
        <v>588</v>
      </c>
      <c r="F693" t="s">
        <v>506</v>
      </c>
      <c r="G693" t="s">
        <v>507</v>
      </c>
      <c r="H693" t="s">
        <v>508</v>
      </c>
      <c r="I693" t="s">
        <v>509</v>
      </c>
      <c r="J693" t="s">
        <v>589</v>
      </c>
      <c r="K693" s="502">
        <v>-21.6</v>
      </c>
      <c r="L693" t="s">
        <v>491</v>
      </c>
    </row>
    <row r="694" spans="1:12">
      <c r="A694" t="s">
        <v>586</v>
      </c>
      <c r="B694" t="s">
        <v>3365</v>
      </c>
      <c r="C694" s="60" t="str">
        <f t="shared" si="60"/>
        <v>E6130</v>
      </c>
      <c r="D694" t="s">
        <v>587</v>
      </c>
      <c r="E694" t="s">
        <v>588</v>
      </c>
      <c r="F694" t="s">
        <v>506</v>
      </c>
      <c r="G694" t="s">
        <v>507</v>
      </c>
      <c r="H694" t="s">
        <v>508</v>
      </c>
      <c r="I694" t="s">
        <v>509</v>
      </c>
      <c r="J694" t="s">
        <v>589</v>
      </c>
      <c r="K694" s="502">
        <v>-22.32</v>
      </c>
      <c r="L694" t="s">
        <v>491</v>
      </c>
    </row>
    <row r="695" spans="1:12">
      <c r="A695" t="s">
        <v>586</v>
      </c>
      <c r="B695" t="s">
        <v>3366</v>
      </c>
      <c r="C695" s="60" t="str">
        <f t="shared" si="60"/>
        <v>E6130</v>
      </c>
      <c r="D695" t="s">
        <v>587</v>
      </c>
      <c r="E695" t="s">
        <v>588</v>
      </c>
      <c r="F695" t="s">
        <v>506</v>
      </c>
      <c r="G695" t="s">
        <v>507</v>
      </c>
      <c r="H695" t="s">
        <v>508</v>
      </c>
      <c r="I695" t="s">
        <v>509</v>
      </c>
      <c r="J695" t="s">
        <v>589</v>
      </c>
      <c r="K695" s="502">
        <v>-21.6</v>
      </c>
      <c r="L695" t="s">
        <v>491</v>
      </c>
    </row>
    <row r="696" spans="1:12">
      <c r="A696" t="s">
        <v>586</v>
      </c>
      <c r="B696" t="s">
        <v>3367</v>
      </c>
      <c r="C696" s="60" t="str">
        <f t="shared" si="60"/>
        <v>E6130</v>
      </c>
      <c r="D696" t="s">
        <v>587</v>
      </c>
      <c r="E696" t="s">
        <v>588</v>
      </c>
      <c r="F696" t="s">
        <v>506</v>
      </c>
      <c r="G696" t="s">
        <v>507</v>
      </c>
      <c r="H696" t="s">
        <v>508</v>
      </c>
      <c r="I696" t="s">
        <v>509</v>
      </c>
      <c r="J696" t="s">
        <v>589</v>
      </c>
      <c r="K696" s="502">
        <v>-22.32</v>
      </c>
      <c r="L696" t="s">
        <v>491</v>
      </c>
    </row>
    <row r="697" spans="1:12">
      <c r="A697" t="s">
        <v>586</v>
      </c>
      <c r="B697" t="s">
        <v>3356</v>
      </c>
      <c r="C697" s="3" t="str">
        <f>+'2-Préparation saisie LV PROD'!B64</f>
        <v>E6210</v>
      </c>
      <c r="D697" t="s">
        <v>587</v>
      </c>
      <c r="E697" t="s">
        <v>588</v>
      </c>
      <c r="F697" t="s">
        <v>506</v>
      </c>
      <c r="G697" t="s">
        <v>507</v>
      </c>
      <c r="H697" t="s">
        <v>508</v>
      </c>
      <c r="I697" t="s">
        <v>509</v>
      </c>
      <c r="J697" t="s">
        <v>589</v>
      </c>
      <c r="K697" s="502">
        <v>-22.32</v>
      </c>
      <c r="L697" t="s">
        <v>492</v>
      </c>
    </row>
    <row r="698" spans="1:12">
      <c r="A698" t="s">
        <v>586</v>
      </c>
      <c r="B698" t="s">
        <v>3357</v>
      </c>
      <c r="C698" s="60" t="str">
        <f>C697</f>
        <v>E6210</v>
      </c>
      <c r="D698" t="s">
        <v>587</v>
      </c>
      <c r="E698" t="s">
        <v>588</v>
      </c>
      <c r="F698" t="s">
        <v>506</v>
      </c>
      <c r="G698" t="s">
        <v>507</v>
      </c>
      <c r="H698" t="s">
        <v>508</v>
      </c>
      <c r="I698" t="s">
        <v>509</v>
      </c>
      <c r="J698" t="s">
        <v>589</v>
      </c>
      <c r="K698" s="502">
        <f>K686</f>
        <v>-20.16</v>
      </c>
      <c r="L698" t="s">
        <v>492</v>
      </c>
    </row>
    <row r="699" spans="1:12">
      <c r="A699" t="s">
        <v>586</v>
      </c>
      <c r="B699" t="s">
        <v>3358</v>
      </c>
      <c r="C699" s="60" t="str">
        <f t="shared" ref="C699:C708" si="61">+C698</f>
        <v>E6210</v>
      </c>
      <c r="D699" t="s">
        <v>587</v>
      </c>
      <c r="E699" t="s">
        <v>588</v>
      </c>
      <c r="F699" t="s">
        <v>506</v>
      </c>
      <c r="G699" t="s">
        <v>507</v>
      </c>
      <c r="H699" t="s">
        <v>508</v>
      </c>
      <c r="I699" t="s">
        <v>509</v>
      </c>
      <c r="J699" t="s">
        <v>589</v>
      </c>
      <c r="K699" s="502">
        <v>-22.32</v>
      </c>
      <c r="L699" t="s">
        <v>492</v>
      </c>
    </row>
    <row r="700" spans="1:12">
      <c r="A700" t="s">
        <v>586</v>
      </c>
      <c r="B700" t="s">
        <v>3359</v>
      </c>
      <c r="C700" s="60" t="str">
        <f t="shared" si="61"/>
        <v>E6210</v>
      </c>
      <c r="D700" t="s">
        <v>587</v>
      </c>
      <c r="E700" t="s">
        <v>588</v>
      </c>
      <c r="F700" t="s">
        <v>506</v>
      </c>
      <c r="G700" t="s">
        <v>507</v>
      </c>
      <c r="H700" t="s">
        <v>508</v>
      </c>
      <c r="I700" t="s">
        <v>509</v>
      </c>
      <c r="J700" t="s">
        <v>589</v>
      </c>
      <c r="K700" s="502">
        <v>-21.6</v>
      </c>
      <c r="L700" t="s">
        <v>492</v>
      </c>
    </row>
    <row r="701" spans="1:12">
      <c r="A701" t="s">
        <v>586</v>
      </c>
      <c r="B701" t="s">
        <v>3360</v>
      </c>
      <c r="C701" s="60" t="str">
        <f t="shared" si="61"/>
        <v>E6210</v>
      </c>
      <c r="D701" t="s">
        <v>587</v>
      </c>
      <c r="E701" t="s">
        <v>588</v>
      </c>
      <c r="F701" t="s">
        <v>506</v>
      </c>
      <c r="G701" t="s">
        <v>507</v>
      </c>
      <c r="H701" t="s">
        <v>508</v>
      </c>
      <c r="I701" t="s">
        <v>509</v>
      </c>
      <c r="J701" t="s">
        <v>589</v>
      </c>
      <c r="K701" s="502">
        <v>-22.32</v>
      </c>
      <c r="L701" t="s">
        <v>492</v>
      </c>
    </row>
    <row r="702" spans="1:12">
      <c r="A702" t="s">
        <v>586</v>
      </c>
      <c r="B702" t="s">
        <v>3361</v>
      </c>
      <c r="C702" s="60" t="str">
        <f t="shared" si="61"/>
        <v>E6210</v>
      </c>
      <c r="D702" t="s">
        <v>587</v>
      </c>
      <c r="E702" t="s">
        <v>588</v>
      </c>
      <c r="F702" t="s">
        <v>506</v>
      </c>
      <c r="G702" t="s">
        <v>507</v>
      </c>
      <c r="H702" t="s">
        <v>508</v>
      </c>
      <c r="I702" t="s">
        <v>509</v>
      </c>
      <c r="J702" t="s">
        <v>589</v>
      </c>
      <c r="K702" s="502">
        <v>-21.6</v>
      </c>
      <c r="L702" t="s">
        <v>492</v>
      </c>
    </row>
    <row r="703" spans="1:12">
      <c r="A703" t="s">
        <v>586</v>
      </c>
      <c r="B703" t="s">
        <v>3362</v>
      </c>
      <c r="C703" s="60" t="str">
        <f t="shared" si="61"/>
        <v>E6210</v>
      </c>
      <c r="D703" t="s">
        <v>587</v>
      </c>
      <c r="E703" t="s">
        <v>588</v>
      </c>
      <c r="F703" t="s">
        <v>506</v>
      </c>
      <c r="G703" t="s">
        <v>507</v>
      </c>
      <c r="H703" t="s">
        <v>508</v>
      </c>
      <c r="I703" t="s">
        <v>509</v>
      </c>
      <c r="J703" t="s">
        <v>589</v>
      </c>
      <c r="K703" s="502">
        <v>-22.32</v>
      </c>
      <c r="L703" t="s">
        <v>492</v>
      </c>
    </row>
    <row r="704" spans="1:12">
      <c r="A704" t="s">
        <v>586</v>
      </c>
      <c r="B704" t="s">
        <v>3363</v>
      </c>
      <c r="C704" s="60" t="str">
        <f t="shared" si="61"/>
        <v>E6210</v>
      </c>
      <c r="D704" t="s">
        <v>587</v>
      </c>
      <c r="E704" t="s">
        <v>588</v>
      </c>
      <c r="F704" t="s">
        <v>506</v>
      </c>
      <c r="G704" t="s">
        <v>507</v>
      </c>
      <c r="H704" t="s">
        <v>508</v>
      </c>
      <c r="I704" t="s">
        <v>509</v>
      </c>
      <c r="J704" t="s">
        <v>589</v>
      </c>
      <c r="K704" s="502">
        <v>-22.32</v>
      </c>
      <c r="L704" t="s">
        <v>492</v>
      </c>
    </row>
    <row r="705" spans="1:12">
      <c r="A705" t="s">
        <v>586</v>
      </c>
      <c r="B705" t="s">
        <v>3364</v>
      </c>
      <c r="C705" s="60" t="str">
        <f t="shared" si="61"/>
        <v>E6210</v>
      </c>
      <c r="D705" t="s">
        <v>587</v>
      </c>
      <c r="E705" t="s">
        <v>588</v>
      </c>
      <c r="F705" t="s">
        <v>506</v>
      </c>
      <c r="G705" t="s">
        <v>507</v>
      </c>
      <c r="H705" t="s">
        <v>508</v>
      </c>
      <c r="I705" t="s">
        <v>509</v>
      </c>
      <c r="J705" t="s">
        <v>589</v>
      </c>
      <c r="K705" s="502">
        <v>-21.6</v>
      </c>
      <c r="L705" t="s">
        <v>492</v>
      </c>
    </row>
    <row r="706" spans="1:12">
      <c r="A706" t="s">
        <v>586</v>
      </c>
      <c r="B706" t="s">
        <v>3365</v>
      </c>
      <c r="C706" s="60" t="str">
        <f t="shared" si="61"/>
        <v>E6210</v>
      </c>
      <c r="D706" t="s">
        <v>587</v>
      </c>
      <c r="E706" t="s">
        <v>588</v>
      </c>
      <c r="F706" t="s">
        <v>506</v>
      </c>
      <c r="G706" t="s">
        <v>507</v>
      </c>
      <c r="H706" t="s">
        <v>508</v>
      </c>
      <c r="I706" t="s">
        <v>509</v>
      </c>
      <c r="J706" t="s">
        <v>589</v>
      </c>
      <c r="K706" s="502">
        <v>-22.32</v>
      </c>
      <c r="L706" t="s">
        <v>492</v>
      </c>
    </row>
    <row r="707" spans="1:12">
      <c r="A707" t="s">
        <v>586</v>
      </c>
      <c r="B707" t="s">
        <v>3366</v>
      </c>
      <c r="C707" s="60" t="str">
        <f t="shared" si="61"/>
        <v>E6210</v>
      </c>
      <c r="D707" t="s">
        <v>587</v>
      </c>
      <c r="E707" t="s">
        <v>588</v>
      </c>
      <c r="F707" t="s">
        <v>506</v>
      </c>
      <c r="G707" t="s">
        <v>507</v>
      </c>
      <c r="H707" t="s">
        <v>508</v>
      </c>
      <c r="I707" t="s">
        <v>509</v>
      </c>
      <c r="J707" t="s">
        <v>589</v>
      </c>
      <c r="K707" s="502">
        <v>-21.6</v>
      </c>
      <c r="L707" t="s">
        <v>492</v>
      </c>
    </row>
    <row r="708" spans="1:12">
      <c r="A708" t="s">
        <v>586</v>
      </c>
      <c r="B708" t="s">
        <v>3367</v>
      </c>
      <c r="C708" s="60" t="str">
        <f t="shared" si="61"/>
        <v>E6210</v>
      </c>
      <c r="D708" t="s">
        <v>587</v>
      </c>
      <c r="E708" t="s">
        <v>588</v>
      </c>
      <c r="F708" t="s">
        <v>506</v>
      </c>
      <c r="G708" t="s">
        <v>507</v>
      </c>
      <c r="H708" t="s">
        <v>508</v>
      </c>
      <c r="I708" t="s">
        <v>509</v>
      </c>
      <c r="J708" t="s">
        <v>589</v>
      </c>
      <c r="K708" s="502">
        <v>-22.32</v>
      </c>
      <c r="L708" t="s">
        <v>492</v>
      </c>
    </row>
    <row r="709" spans="1:12">
      <c r="A709" t="s">
        <v>586</v>
      </c>
      <c r="B709" t="s">
        <v>3356</v>
      </c>
      <c r="C709" s="3" t="str">
        <f>+'2-Préparation saisie LV PROD'!B65</f>
        <v>E6160</v>
      </c>
      <c r="D709" t="s">
        <v>587</v>
      </c>
      <c r="E709" t="s">
        <v>588</v>
      </c>
      <c r="F709" t="s">
        <v>506</v>
      </c>
      <c r="G709" t="s">
        <v>507</v>
      </c>
      <c r="H709" t="s">
        <v>508</v>
      </c>
      <c r="I709" t="s">
        <v>509</v>
      </c>
      <c r="J709" t="s">
        <v>589</v>
      </c>
      <c r="K709" s="502">
        <v>-22.32</v>
      </c>
      <c r="L709" t="s">
        <v>493</v>
      </c>
    </row>
    <row r="710" spans="1:12">
      <c r="A710" t="s">
        <v>586</v>
      </c>
      <c r="B710" t="s">
        <v>3357</v>
      </c>
      <c r="C710" s="60" t="str">
        <f>C709</f>
        <v>E6160</v>
      </c>
      <c r="D710" t="s">
        <v>587</v>
      </c>
      <c r="E710" t="s">
        <v>588</v>
      </c>
      <c r="F710" t="s">
        <v>506</v>
      </c>
      <c r="G710" t="s">
        <v>507</v>
      </c>
      <c r="H710" t="s">
        <v>508</v>
      </c>
      <c r="I710" t="s">
        <v>509</v>
      </c>
      <c r="J710" t="s">
        <v>589</v>
      </c>
      <c r="K710" s="502">
        <f>K698</f>
        <v>-20.16</v>
      </c>
      <c r="L710" t="s">
        <v>493</v>
      </c>
    </row>
    <row r="711" spans="1:12">
      <c r="A711" t="s">
        <v>586</v>
      </c>
      <c r="B711" t="s">
        <v>3358</v>
      </c>
      <c r="C711" s="60" t="str">
        <f t="shared" ref="C711:C720" si="62">+C710</f>
        <v>E6160</v>
      </c>
      <c r="D711" t="s">
        <v>587</v>
      </c>
      <c r="E711" t="s">
        <v>588</v>
      </c>
      <c r="F711" t="s">
        <v>506</v>
      </c>
      <c r="G711" t="s">
        <v>507</v>
      </c>
      <c r="H711" t="s">
        <v>508</v>
      </c>
      <c r="I711" t="s">
        <v>509</v>
      </c>
      <c r="J711" t="s">
        <v>589</v>
      </c>
      <c r="K711" s="502">
        <v>-22.32</v>
      </c>
      <c r="L711" t="s">
        <v>493</v>
      </c>
    </row>
    <row r="712" spans="1:12">
      <c r="A712" t="s">
        <v>586</v>
      </c>
      <c r="B712" t="s">
        <v>3359</v>
      </c>
      <c r="C712" s="60" t="str">
        <f t="shared" si="62"/>
        <v>E6160</v>
      </c>
      <c r="D712" t="s">
        <v>587</v>
      </c>
      <c r="E712" t="s">
        <v>588</v>
      </c>
      <c r="F712" t="s">
        <v>506</v>
      </c>
      <c r="G712" t="s">
        <v>507</v>
      </c>
      <c r="H712" t="s">
        <v>508</v>
      </c>
      <c r="I712" t="s">
        <v>509</v>
      </c>
      <c r="J712" t="s">
        <v>589</v>
      </c>
      <c r="K712" s="502">
        <v>-21.6</v>
      </c>
      <c r="L712" t="s">
        <v>493</v>
      </c>
    </row>
    <row r="713" spans="1:12">
      <c r="A713" t="s">
        <v>586</v>
      </c>
      <c r="B713" t="s">
        <v>3360</v>
      </c>
      <c r="C713" s="60" t="str">
        <f t="shared" si="62"/>
        <v>E6160</v>
      </c>
      <c r="D713" t="s">
        <v>587</v>
      </c>
      <c r="E713" t="s">
        <v>588</v>
      </c>
      <c r="F713" t="s">
        <v>506</v>
      </c>
      <c r="G713" t="s">
        <v>507</v>
      </c>
      <c r="H713" t="s">
        <v>508</v>
      </c>
      <c r="I713" t="s">
        <v>509</v>
      </c>
      <c r="J713" t="s">
        <v>589</v>
      </c>
      <c r="K713" s="502">
        <v>-22.32</v>
      </c>
      <c r="L713" t="s">
        <v>493</v>
      </c>
    </row>
    <row r="714" spans="1:12">
      <c r="A714" t="s">
        <v>586</v>
      </c>
      <c r="B714" t="s">
        <v>3361</v>
      </c>
      <c r="C714" s="60" t="str">
        <f t="shared" si="62"/>
        <v>E6160</v>
      </c>
      <c r="D714" t="s">
        <v>587</v>
      </c>
      <c r="E714" t="s">
        <v>588</v>
      </c>
      <c r="F714" t="s">
        <v>506</v>
      </c>
      <c r="G714" t="s">
        <v>507</v>
      </c>
      <c r="H714" t="s">
        <v>508</v>
      </c>
      <c r="I714" t="s">
        <v>509</v>
      </c>
      <c r="J714" t="s">
        <v>589</v>
      </c>
      <c r="K714" s="502">
        <v>-21.6</v>
      </c>
      <c r="L714" t="s">
        <v>493</v>
      </c>
    </row>
    <row r="715" spans="1:12">
      <c r="A715" t="s">
        <v>586</v>
      </c>
      <c r="B715" t="s">
        <v>3362</v>
      </c>
      <c r="C715" s="60" t="str">
        <f t="shared" si="62"/>
        <v>E6160</v>
      </c>
      <c r="D715" t="s">
        <v>587</v>
      </c>
      <c r="E715" t="s">
        <v>588</v>
      </c>
      <c r="F715" t="s">
        <v>506</v>
      </c>
      <c r="G715" t="s">
        <v>507</v>
      </c>
      <c r="H715" t="s">
        <v>508</v>
      </c>
      <c r="I715" t="s">
        <v>509</v>
      </c>
      <c r="J715" t="s">
        <v>589</v>
      </c>
      <c r="K715" s="502">
        <v>-22.32</v>
      </c>
      <c r="L715" t="s">
        <v>493</v>
      </c>
    </row>
    <row r="716" spans="1:12">
      <c r="A716" t="s">
        <v>586</v>
      </c>
      <c r="B716" t="s">
        <v>3363</v>
      </c>
      <c r="C716" s="60" t="str">
        <f t="shared" si="62"/>
        <v>E6160</v>
      </c>
      <c r="D716" t="s">
        <v>587</v>
      </c>
      <c r="E716" t="s">
        <v>588</v>
      </c>
      <c r="F716" t="s">
        <v>506</v>
      </c>
      <c r="G716" t="s">
        <v>507</v>
      </c>
      <c r="H716" t="s">
        <v>508</v>
      </c>
      <c r="I716" t="s">
        <v>509</v>
      </c>
      <c r="J716" t="s">
        <v>589</v>
      </c>
      <c r="K716" s="502">
        <v>-22.32</v>
      </c>
      <c r="L716" t="s">
        <v>493</v>
      </c>
    </row>
    <row r="717" spans="1:12">
      <c r="A717" t="s">
        <v>586</v>
      </c>
      <c r="B717" t="s">
        <v>3364</v>
      </c>
      <c r="C717" s="60" t="str">
        <f t="shared" si="62"/>
        <v>E6160</v>
      </c>
      <c r="D717" t="s">
        <v>587</v>
      </c>
      <c r="E717" t="s">
        <v>588</v>
      </c>
      <c r="F717" t="s">
        <v>506</v>
      </c>
      <c r="G717" t="s">
        <v>507</v>
      </c>
      <c r="H717" t="s">
        <v>508</v>
      </c>
      <c r="I717" t="s">
        <v>509</v>
      </c>
      <c r="J717" t="s">
        <v>589</v>
      </c>
      <c r="K717" s="502">
        <v>-21.6</v>
      </c>
      <c r="L717" t="s">
        <v>493</v>
      </c>
    </row>
    <row r="718" spans="1:12">
      <c r="A718" t="s">
        <v>586</v>
      </c>
      <c r="B718" t="s">
        <v>3365</v>
      </c>
      <c r="C718" s="60" t="str">
        <f t="shared" si="62"/>
        <v>E6160</v>
      </c>
      <c r="D718" t="s">
        <v>587</v>
      </c>
      <c r="E718" t="s">
        <v>588</v>
      </c>
      <c r="F718" t="s">
        <v>506</v>
      </c>
      <c r="G718" t="s">
        <v>507</v>
      </c>
      <c r="H718" t="s">
        <v>508</v>
      </c>
      <c r="I718" t="s">
        <v>509</v>
      </c>
      <c r="J718" t="s">
        <v>589</v>
      </c>
      <c r="K718" s="502">
        <v>-22.32</v>
      </c>
      <c r="L718" t="s">
        <v>493</v>
      </c>
    </row>
    <row r="719" spans="1:12">
      <c r="A719" t="s">
        <v>586</v>
      </c>
      <c r="B719" t="s">
        <v>3366</v>
      </c>
      <c r="C719" s="60" t="str">
        <f t="shared" si="62"/>
        <v>E6160</v>
      </c>
      <c r="D719" t="s">
        <v>587</v>
      </c>
      <c r="E719" t="s">
        <v>588</v>
      </c>
      <c r="F719" t="s">
        <v>506</v>
      </c>
      <c r="G719" t="s">
        <v>507</v>
      </c>
      <c r="H719" t="s">
        <v>508</v>
      </c>
      <c r="I719" t="s">
        <v>509</v>
      </c>
      <c r="J719" t="s">
        <v>589</v>
      </c>
      <c r="K719" s="502">
        <v>-21.6</v>
      </c>
      <c r="L719" t="s">
        <v>493</v>
      </c>
    </row>
    <row r="720" spans="1:12">
      <c r="A720" t="s">
        <v>586</v>
      </c>
      <c r="B720" t="s">
        <v>3367</v>
      </c>
      <c r="C720" s="60" t="str">
        <f t="shared" si="62"/>
        <v>E6160</v>
      </c>
      <c r="D720" t="s">
        <v>587</v>
      </c>
      <c r="E720" t="s">
        <v>588</v>
      </c>
      <c r="F720" t="s">
        <v>506</v>
      </c>
      <c r="G720" t="s">
        <v>507</v>
      </c>
      <c r="H720" t="s">
        <v>508</v>
      </c>
      <c r="I720" t="s">
        <v>509</v>
      </c>
      <c r="J720" t="s">
        <v>589</v>
      </c>
      <c r="K720" s="502">
        <v>-22.32</v>
      </c>
      <c r="L720" t="s">
        <v>493</v>
      </c>
    </row>
    <row r="721" spans="1:12">
      <c r="A721" t="s">
        <v>586</v>
      </c>
      <c r="B721" t="s">
        <v>3356</v>
      </c>
      <c r="C721" s="3" t="str">
        <f>+'2-Préparation saisie LV PROD'!B66</f>
        <v>E6170</v>
      </c>
      <c r="D721" t="s">
        <v>587</v>
      </c>
      <c r="E721" t="s">
        <v>588</v>
      </c>
      <c r="F721" t="s">
        <v>506</v>
      </c>
      <c r="G721" t="s">
        <v>507</v>
      </c>
      <c r="H721" t="s">
        <v>508</v>
      </c>
      <c r="I721" t="s">
        <v>509</v>
      </c>
      <c r="J721" t="s">
        <v>589</v>
      </c>
      <c r="K721" s="502">
        <v>-22.32</v>
      </c>
      <c r="L721" t="s">
        <v>494</v>
      </c>
    </row>
    <row r="722" spans="1:12">
      <c r="A722" t="s">
        <v>586</v>
      </c>
      <c r="B722" t="s">
        <v>3357</v>
      </c>
      <c r="C722" s="60" t="str">
        <f>C721</f>
        <v>E6170</v>
      </c>
      <c r="D722" t="s">
        <v>587</v>
      </c>
      <c r="E722" t="s">
        <v>588</v>
      </c>
      <c r="F722" t="s">
        <v>506</v>
      </c>
      <c r="G722" t="s">
        <v>507</v>
      </c>
      <c r="H722" t="s">
        <v>508</v>
      </c>
      <c r="I722" t="s">
        <v>509</v>
      </c>
      <c r="J722" t="s">
        <v>589</v>
      </c>
      <c r="K722" s="502">
        <f>K710</f>
        <v>-20.16</v>
      </c>
      <c r="L722" t="s">
        <v>494</v>
      </c>
    </row>
    <row r="723" spans="1:12">
      <c r="A723" t="s">
        <v>586</v>
      </c>
      <c r="B723" t="s">
        <v>3358</v>
      </c>
      <c r="C723" s="60" t="str">
        <f t="shared" ref="C723:C732" si="63">+C722</f>
        <v>E6170</v>
      </c>
      <c r="D723" t="s">
        <v>587</v>
      </c>
      <c r="E723" t="s">
        <v>588</v>
      </c>
      <c r="F723" t="s">
        <v>506</v>
      </c>
      <c r="G723" t="s">
        <v>507</v>
      </c>
      <c r="H723" t="s">
        <v>508</v>
      </c>
      <c r="I723" t="s">
        <v>509</v>
      </c>
      <c r="J723" t="s">
        <v>589</v>
      </c>
      <c r="K723" s="502">
        <v>-22.32</v>
      </c>
      <c r="L723" t="s">
        <v>494</v>
      </c>
    </row>
    <row r="724" spans="1:12">
      <c r="A724" t="s">
        <v>586</v>
      </c>
      <c r="B724" t="s">
        <v>3359</v>
      </c>
      <c r="C724" s="60" t="str">
        <f t="shared" si="63"/>
        <v>E6170</v>
      </c>
      <c r="D724" t="s">
        <v>587</v>
      </c>
      <c r="E724" t="s">
        <v>588</v>
      </c>
      <c r="F724" t="s">
        <v>506</v>
      </c>
      <c r="G724" t="s">
        <v>507</v>
      </c>
      <c r="H724" t="s">
        <v>508</v>
      </c>
      <c r="I724" t="s">
        <v>509</v>
      </c>
      <c r="J724" t="s">
        <v>589</v>
      </c>
      <c r="K724" s="502">
        <v>-21.6</v>
      </c>
      <c r="L724" t="s">
        <v>494</v>
      </c>
    </row>
    <row r="725" spans="1:12">
      <c r="A725" t="s">
        <v>586</v>
      </c>
      <c r="B725" t="s">
        <v>3360</v>
      </c>
      <c r="C725" s="60" t="str">
        <f t="shared" si="63"/>
        <v>E6170</v>
      </c>
      <c r="D725" t="s">
        <v>587</v>
      </c>
      <c r="E725" t="s">
        <v>588</v>
      </c>
      <c r="F725" t="s">
        <v>506</v>
      </c>
      <c r="G725" t="s">
        <v>507</v>
      </c>
      <c r="H725" t="s">
        <v>508</v>
      </c>
      <c r="I725" t="s">
        <v>509</v>
      </c>
      <c r="J725" t="s">
        <v>589</v>
      </c>
      <c r="K725" s="502">
        <v>-22.32</v>
      </c>
      <c r="L725" t="s">
        <v>494</v>
      </c>
    </row>
    <row r="726" spans="1:12">
      <c r="A726" t="s">
        <v>586</v>
      </c>
      <c r="B726" t="s">
        <v>3361</v>
      </c>
      <c r="C726" s="60" t="str">
        <f t="shared" si="63"/>
        <v>E6170</v>
      </c>
      <c r="D726" t="s">
        <v>587</v>
      </c>
      <c r="E726" t="s">
        <v>588</v>
      </c>
      <c r="F726" t="s">
        <v>506</v>
      </c>
      <c r="G726" t="s">
        <v>507</v>
      </c>
      <c r="H726" t="s">
        <v>508</v>
      </c>
      <c r="I726" t="s">
        <v>509</v>
      </c>
      <c r="J726" t="s">
        <v>589</v>
      </c>
      <c r="K726" s="502">
        <v>-21.6</v>
      </c>
      <c r="L726" t="s">
        <v>494</v>
      </c>
    </row>
    <row r="727" spans="1:12">
      <c r="A727" t="s">
        <v>586</v>
      </c>
      <c r="B727" t="s">
        <v>3362</v>
      </c>
      <c r="C727" s="60" t="str">
        <f t="shared" si="63"/>
        <v>E6170</v>
      </c>
      <c r="D727" t="s">
        <v>587</v>
      </c>
      <c r="E727" t="s">
        <v>588</v>
      </c>
      <c r="F727" t="s">
        <v>506</v>
      </c>
      <c r="G727" t="s">
        <v>507</v>
      </c>
      <c r="H727" t="s">
        <v>508</v>
      </c>
      <c r="I727" t="s">
        <v>509</v>
      </c>
      <c r="J727" t="s">
        <v>589</v>
      </c>
      <c r="K727" s="502">
        <v>-22.32</v>
      </c>
      <c r="L727" t="s">
        <v>494</v>
      </c>
    </row>
    <row r="728" spans="1:12">
      <c r="A728" t="s">
        <v>586</v>
      </c>
      <c r="B728" t="s">
        <v>3363</v>
      </c>
      <c r="C728" s="60" t="str">
        <f t="shared" si="63"/>
        <v>E6170</v>
      </c>
      <c r="D728" t="s">
        <v>587</v>
      </c>
      <c r="E728" t="s">
        <v>588</v>
      </c>
      <c r="F728" t="s">
        <v>506</v>
      </c>
      <c r="G728" t="s">
        <v>507</v>
      </c>
      <c r="H728" t="s">
        <v>508</v>
      </c>
      <c r="I728" t="s">
        <v>509</v>
      </c>
      <c r="J728" t="s">
        <v>589</v>
      </c>
      <c r="K728" s="502">
        <v>-22.32</v>
      </c>
      <c r="L728" t="s">
        <v>494</v>
      </c>
    </row>
    <row r="729" spans="1:12">
      <c r="A729" t="s">
        <v>586</v>
      </c>
      <c r="B729" t="s">
        <v>3364</v>
      </c>
      <c r="C729" s="60" t="str">
        <f t="shared" si="63"/>
        <v>E6170</v>
      </c>
      <c r="D729" t="s">
        <v>587</v>
      </c>
      <c r="E729" t="s">
        <v>588</v>
      </c>
      <c r="F729" t="s">
        <v>506</v>
      </c>
      <c r="G729" t="s">
        <v>507</v>
      </c>
      <c r="H729" t="s">
        <v>508</v>
      </c>
      <c r="I729" t="s">
        <v>509</v>
      </c>
      <c r="J729" t="s">
        <v>589</v>
      </c>
      <c r="K729" s="502">
        <v>-21.6</v>
      </c>
      <c r="L729" t="s">
        <v>494</v>
      </c>
    </row>
    <row r="730" spans="1:12">
      <c r="A730" t="s">
        <v>586</v>
      </c>
      <c r="B730" t="s">
        <v>3365</v>
      </c>
      <c r="C730" s="60" t="str">
        <f t="shared" si="63"/>
        <v>E6170</v>
      </c>
      <c r="D730" t="s">
        <v>587</v>
      </c>
      <c r="E730" t="s">
        <v>588</v>
      </c>
      <c r="F730" t="s">
        <v>506</v>
      </c>
      <c r="G730" t="s">
        <v>507</v>
      </c>
      <c r="H730" t="s">
        <v>508</v>
      </c>
      <c r="I730" t="s">
        <v>509</v>
      </c>
      <c r="J730" t="s">
        <v>589</v>
      </c>
      <c r="K730" s="502">
        <v>-22.32</v>
      </c>
      <c r="L730" t="s">
        <v>494</v>
      </c>
    </row>
    <row r="731" spans="1:12">
      <c r="A731" t="s">
        <v>586</v>
      </c>
      <c r="B731" t="s">
        <v>3366</v>
      </c>
      <c r="C731" s="60" t="str">
        <f t="shared" si="63"/>
        <v>E6170</v>
      </c>
      <c r="D731" t="s">
        <v>587</v>
      </c>
      <c r="E731" t="s">
        <v>588</v>
      </c>
      <c r="F731" t="s">
        <v>506</v>
      </c>
      <c r="G731" t="s">
        <v>507</v>
      </c>
      <c r="H731" t="s">
        <v>508</v>
      </c>
      <c r="I731" t="s">
        <v>509</v>
      </c>
      <c r="J731" t="s">
        <v>589</v>
      </c>
      <c r="K731" s="502">
        <v>-21.6</v>
      </c>
      <c r="L731" t="s">
        <v>494</v>
      </c>
    </row>
    <row r="732" spans="1:12">
      <c r="A732" t="s">
        <v>586</v>
      </c>
      <c r="B732" t="s">
        <v>3367</v>
      </c>
      <c r="C732" s="60" t="str">
        <f t="shared" si="63"/>
        <v>E6170</v>
      </c>
      <c r="D732" t="s">
        <v>587</v>
      </c>
      <c r="E732" t="s">
        <v>588</v>
      </c>
      <c r="F732" t="s">
        <v>506</v>
      </c>
      <c r="G732" t="s">
        <v>507</v>
      </c>
      <c r="H732" t="s">
        <v>508</v>
      </c>
      <c r="I732" t="s">
        <v>509</v>
      </c>
      <c r="J732" t="s">
        <v>589</v>
      </c>
      <c r="K732" s="502">
        <v>-22.32</v>
      </c>
      <c r="L732" t="s">
        <v>494</v>
      </c>
    </row>
    <row r="733" spans="1:12">
      <c r="A733" t="s">
        <v>586</v>
      </c>
      <c r="B733" t="s">
        <v>3356</v>
      </c>
      <c r="C733" s="3" t="str">
        <f>+'2-Préparation saisie LV PROD'!B67</f>
        <v>E6330</v>
      </c>
      <c r="D733" t="s">
        <v>587</v>
      </c>
      <c r="E733" t="s">
        <v>588</v>
      </c>
      <c r="F733" t="s">
        <v>506</v>
      </c>
      <c r="G733" t="s">
        <v>507</v>
      </c>
      <c r="H733" t="s">
        <v>508</v>
      </c>
      <c r="I733" t="s">
        <v>509</v>
      </c>
      <c r="J733" t="s">
        <v>589</v>
      </c>
      <c r="K733" s="502">
        <v>-22.32</v>
      </c>
      <c r="L733" t="s">
        <v>495</v>
      </c>
    </row>
    <row r="734" spans="1:12">
      <c r="A734" t="s">
        <v>586</v>
      </c>
      <c r="B734" t="s">
        <v>3357</v>
      </c>
      <c r="C734" s="60" t="str">
        <f>C733</f>
        <v>E6330</v>
      </c>
      <c r="D734" t="s">
        <v>587</v>
      </c>
      <c r="E734" t="s">
        <v>588</v>
      </c>
      <c r="F734" t="s">
        <v>506</v>
      </c>
      <c r="G734" t="s">
        <v>507</v>
      </c>
      <c r="H734" t="s">
        <v>508</v>
      </c>
      <c r="I734" t="s">
        <v>509</v>
      </c>
      <c r="J734" t="s">
        <v>589</v>
      </c>
      <c r="K734" s="502">
        <f>K722</f>
        <v>-20.16</v>
      </c>
      <c r="L734" t="s">
        <v>495</v>
      </c>
    </row>
    <row r="735" spans="1:12">
      <c r="A735" t="s">
        <v>586</v>
      </c>
      <c r="B735" t="s">
        <v>3358</v>
      </c>
      <c r="C735" s="60" t="str">
        <f t="shared" ref="C735:C744" si="64">+C734</f>
        <v>E6330</v>
      </c>
      <c r="D735" t="s">
        <v>587</v>
      </c>
      <c r="E735" t="s">
        <v>588</v>
      </c>
      <c r="F735" t="s">
        <v>506</v>
      </c>
      <c r="G735" t="s">
        <v>507</v>
      </c>
      <c r="H735" t="s">
        <v>508</v>
      </c>
      <c r="I735" t="s">
        <v>509</v>
      </c>
      <c r="J735" t="s">
        <v>589</v>
      </c>
      <c r="K735" s="502">
        <v>-22.32</v>
      </c>
      <c r="L735" t="s">
        <v>495</v>
      </c>
    </row>
    <row r="736" spans="1:12">
      <c r="A736" t="s">
        <v>586</v>
      </c>
      <c r="B736" t="s">
        <v>3359</v>
      </c>
      <c r="C736" s="60" t="str">
        <f t="shared" si="64"/>
        <v>E6330</v>
      </c>
      <c r="D736" t="s">
        <v>587</v>
      </c>
      <c r="E736" t="s">
        <v>588</v>
      </c>
      <c r="F736" t="s">
        <v>506</v>
      </c>
      <c r="G736" t="s">
        <v>507</v>
      </c>
      <c r="H736" t="s">
        <v>508</v>
      </c>
      <c r="I736" t="s">
        <v>509</v>
      </c>
      <c r="J736" t="s">
        <v>589</v>
      </c>
      <c r="K736" s="502">
        <v>-21.6</v>
      </c>
      <c r="L736" t="s">
        <v>495</v>
      </c>
    </row>
    <row r="737" spans="1:15">
      <c r="A737" t="s">
        <v>586</v>
      </c>
      <c r="B737" t="s">
        <v>3360</v>
      </c>
      <c r="C737" s="60" t="str">
        <f t="shared" si="64"/>
        <v>E6330</v>
      </c>
      <c r="D737" t="s">
        <v>587</v>
      </c>
      <c r="E737" t="s">
        <v>588</v>
      </c>
      <c r="F737" t="s">
        <v>506</v>
      </c>
      <c r="G737" t="s">
        <v>507</v>
      </c>
      <c r="H737" t="s">
        <v>508</v>
      </c>
      <c r="I737" t="s">
        <v>509</v>
      </c>
      <c r="J737" t="s">
        <v>589</v>
      </c>
      <c r="K737" s="502">
        <v>-22.32</v>
      </c>
      <c r="L737" t="s">
        <v>495</v>
      </c>
    </row>
    <row r="738" spans="1:15">
      <c r="A738" t="s">
        <v>586</v>
      </c>
      <c r="B738" t="s">
        <v>3361</v>
      </c>
      <c r="C738" s="60" t="str">
        <f t="shared" si="64"/>
        <v>E6330</v>
      </c>
      <c r="D738" t="s">
        <v>587</v>
      </c>
      <c r="E738" t="s">
        <v>588</v>
      </c>
      <c r="F738" t="s">
        <v>506</v>
      </c>
      <c r="G738" t="s">
        <v>507</v>
      </c>
      <c r="H738" t="s">
        <v>508</v>
      </c>
      <c r="I738" t="s">
        <v>509</v>
      </c>
      <c r="J738" t="s">
        <v>589</v>
      </c>
      <c r="K738" s="502">
        <v>-21.6</v>
      </c>
      <c r="L738" t="s">
        <v>495</v>
      </c>
    </row>
    <row r="739" spans="1:15">
      <c r="A739" t="s">
        <v>586</v>
      </c>
      <c r="B739" t="s">
        <v>3362</v>
      </c>
      <c r="C739" s="60" t="str">
        <f t="shared" si="64"/>
        <v>E6330</v>
      </c>
      <c r="D739" t="s">
        <v>587</v>
      </c>
      <c r="E739" t="s">
        <v>588</v>
      </c>
      <c r="F739" t="s">
        <v>506</v>
      </c>
      <c r="G739" t="s">
        <v>507</v>
      </c>
      <c r="H739" t="s">
        <v>508</v>
      </c>
      <c r="I739" t="s">
        <v>509</v>
      </c>
      <c r="J739" t="s">
        <v>589</v>
      </c>
      <c r="K739" s="502">
        <v>-22.32</v>
      </c>
      <c r="L739" t="s">
        <v>495</v>
      </c>
    </row>
    <row r="740" spans="1:15">
      <c r="A740" t="s">
        <v>586</v>
      </c>
      <c r="B740" t="s">
        <v>3363</v>
      </c>
      <c r="C740" s="60" t="str">
        <f t="shared" si="64"/>
        <v>E6330</v>
      </c>
      <c r="D740" t="s">
        <v>587</v>
      </c>
      <c r="E740" t="s">
        <v>588</v>
      </c>
      <c r="F740" t="s">
        <v>506</v>
      </c>
      <c r="G740" t="s">
        <v>507</v>
      </c>
      <c r="H740" t="s">
        <v>508</v>
      </c>
      <c r="I740" t="s">
        <v>509</v>
      </c>
      <c r="J740" t="s">
        <v>589</v>
      </c>
      <c r="K740" s="502">
        <v>-22.32</v>
      </c>
      <c r="L740" t="s">
        <v>495</v>
      </c>
    </row>
    <row r="741" spans="1:15">
      <c r="A741" t="s">
        <v>586</v>
      </c>
      <c r="B741" t="s">
        <v>3364</v>
      </c>
      <c r="C741" s="60" t="str">
        <f t="shared" si="64"/>
        <v>E6330</v>
      </c>
      <c r="D741" t="s">
        <v>587</v>
      </c>
      <c r="E741" t="s">
        <v>588</v>
      </c>
      <c r="F741" t="s">
        <v>506</v>
      </c>
      <c r="G741" t="s">
        <v>507</v>
      </c>
      <c r="H741" t="s">
        <v>508</v>
      </c>
      <c r="I741" t="s">
        <v>509</v>
      </c>
      <c r="J741" t="s">
        <v>589</v>
      </c>
      <c r="K741" s="502">
        <v>-21.6</v>
      </c>
      <c r="L741" t="s">
        <v>495</v>
      </c>
    </row>
    <row r="742" spans="1:15">
      <c r="A742" t="s">
        <v>586</v>
      </c>
      <c r="B742" t="s">
        <v>3365</v>
      </c>
      <c r="C742" s="60" t="str">
        <f t="shared" si="64"/>
        <v>E6330</v>
      </c>
      <c r="D742" t="s">
        <v>587</v>
      </c>
      <c r="E742" t="s">
        <v>588</v>
      </c>
      <c r="F742" t="s">
        <v>506</v>
      </c>
      <c r="G742" t="s">
        <v>507</v>
      </c>
      <c r="H742" t="s">
        <v>508</v>
      </c>
      <c r="I742" t="s">
        <v>509</v>
      </c>
      <c r="J742" t="s">
        <v>589</v>
      </c>
      <c r="K742" s="502">
        <v>-22.32</v>
      </c>
      <c r="L742" t="s">
        <v>495</v>
      </c>
    </row>
    <row r="743" spans="1:15">
      <c r="A743" t="s">
        <v>586</v>
      </c>
      <c r="B743" t="s">
        <v>3366</v>
      </c>
      <c r="C743" s="60" t="str">
        <f t="shared" si="64"/>
        <v>E6330</v>
      </c>
      <c r="D743" t="s">
        <v>587</v>
      </c>
      <c r="E743" t="s">
        <v>588</v>
      </c>
      <c r="F743" t="s">
        <v>506</v>
      </c>
      <c r="G743" t="s">
        <v>507</v>
      </c>
      <c r="H743" t="s">
        <v>508</v>
      </c>
      <c r="I743" t="s">
        <v>509</v>
      </c>
      <c r="J743" t="s">
        <v>589</v>
      </c>
      <c r="K743" s="502">
        <v>-21.6</v>
      </c>
      <c r="L743" t="s">
        <v>495</v>
      </c>
    </row>
    <row r="744" spans="1:15">
      <c r="A744" t="s">
        <v>586</v>
      </c>
      <c r="B744" t="s">
        <v>3367</v>
      </c>
      <c r="C744" s="60" t="str">
        <f t="shared" si="64"/>
        <v>E6330</v>
      </c>
      <c r="D744" t="s">
        <v>587</v>
      </c>
      <c r="E744" t="s">
        <v>588</v>
      </c>
      <c r="F744" t="s">
        <v>506</v>
      </c>
      <c r="G744" t="s">
        <v>507</v>
      </c>
      <c r="H744" t="s">
        <v>508</v>
      </c>
      <c r="I744" t="s">
        <v>509</v>
      </c>
      <c r="J744" t="s">
        <v>589</v>
      </c>
      <c r="K744" s="502">
        <v>-22.32</v>
      </c>
      <c r="L744" t="s">
        <v>495</v>
      </c>
    </row>
    <row r="745" spans="1:15">
      <c r="A745" t="s">
        <v>586</v>
      </c>
      <c r="B745" t="s">
        <v>3356</v>
      </c>
      <c r="C745" s="3" t="str">
        <f>+'2-Préparation saisie LV PROD'!B68</f>
        <v>E6140</v>
      </c>
      <c r="D745" t="s">
        <v>587</v>
      </c>
      <c r="E745" t="s">
        <v>588</v>
      </c>
      <c r="F745" t="s">
        <v>506</v>
      </c>
      <c r="G745" t="s">
        <v>507</v>
      </c>
      <c r="H745" t="s">
        <v>508</v>
      </c>
      <c r="I745" t="s">
        <v>509</v>
      </c>
      <c r="J745" t="s">
        <v>589</v>
      </c>
      <c r="K745" s="575">
        <v>-22.32</v>
      </c>
      <c r="L745" t="s">
        <v>496</v>
      </c>
      <c r="O745" s="3"/>
    </row>
    <row r="746" spans="1:15">
      <c r="A746" t="s">
        <v>586</v>
      </c>
      <c r="B746" t="s">
        <v>3357</v>
      </c>
      <c r="C746" s="60" t="str">
        <f>C745</f>
        <v>E6140</v>
      </c>
      <c r="D746" t="s">
        <v>587</v>
      </c>
      <c r="E746" t="s">
        <v>588</v>
      </c>
      <c r="F746" t="s">
        <v>506</v>
      </c>
      <c r="G746" t="s">
        <v>507</v>
      </c>
      <c r="H746" t="s">
        <v>508</v>
      </c>
      <c r="I746" t="s">
        <v>509</v>
      </c>
      <c r="J746" t="s">
        <v>589</v>
      </c>
      <c r="K746" s="575">
        <f>K734</f>
        <v>-20.16</v>
      </c>
      <c r="L746" t="s">
        <v>496</v>
      </c>
      <c r="O746" s="3"/>
    </row>
    <row r="747" spans="1:15">
      <c r="A747" t="s">
        <v>586</v>
      </c>
      <c r="B747" t="s">
        <v>3358</v>
      </c>
      <c r="C747" s="60" t="str">
        <f t="shared" ref="C747:C756" si="65">+C746</f>
        <v>E6140</v>
      </c>
      <c r="D747" t="s">
        <v>587</v>
      </c>
      <c r="E747" t="s">
        <v>588</v>
      </c>
      <c r="F747" t="s">
        <v>506</v>
      </c>
      <c r="G747" t="s">
        <v>507</v>
      </c>
      <c r="H747" t="s">
        <v>508</v>
      </c>
      <c r="I747" t="s">
        <v>509</v>
      </c>
      <c r="J747" t="s">
        <v>589</v>
      </c>
      <c r="K747" s="575">
        <v>-22.32</v>
      </c>
      <c r="L747" t="s">
        <v>496</v>
      </c>
      <c r="O747" s="3"/>
    </row>
    <row r="748" spans="1:15">
      <c r="A748" t="s">
        <v>586</v>
      </c>
      <c r="B748" t="s">
        <v>3359</v>
      </c>
      <c r="C748" s="60" t="str">
        <f t="shared" si="65"/>
        <v>E6140</v>
      </c>
      <c r="D748" t="s">
        <v>587</v>
      </c>
      <c r="E748" t="s">
        <v>588</v>
      </c>
      <c r="F748" t="s">
        <v>506</v>
      </c>
      <c r="G748" t="s">
        <v>507</v>
      </c>
      <c r="H748" t="s">
        <v>508</v>
      </c>
      <c r="I748" t="s">
        <v>509</v>
      </c>
      <c r="J748" t="s">
        <v>589</v>
      </c>
      <c r="K748" s="575">
        <v>-21.6</v>
      </c>
      <c r="L748" t="s">
        <v>496</v>
      </c>
      <c r="O748" s="3"/>
    </row>
    <row r="749" spans="1:15">
      <c r="A749" t="s">
        <v>586</v>
      </c>
      <c r="B749" t="s">
        <v>3360</v>
      </c>
      <c r="C749" s="60" t="str">
        <f t="shared" si="65"/>
        <v>E6140</v>
      </c>
      <c r="D749" t="s">
        <v>587</v>
      </c>
      <c r="E749" t="s">
        <v>588</v>
      </c>
      <c r="F749" t="s">
        <v>506</v>
      </c>
      <c r="G749" t="s">
        <v>507</v>
      </c>
      <c r="H749" t="s">
        <v>508</v>
      </c>
      <c r="I749" t="s">
        <v>509</v>
      </c>
      <c r="J749" t="s">
        <v>589</v>
      </c>
      <c r="K749" s="575">
        <v>-22.32</v>
      </c>
      <c r="L749" t="s">
        <v>496</v>
      </c>
      <c r="O749" s="3"/>
    </row>
    <row r="750" spans="1:15">
      <c r="A750" t="s">
        <v>586</v>
      </c>
      <c r="B750" t="s">
        <v>3361</v>
      </c>
      <c r="C750" s="60" t="str">
        <f t="shared" si="65"/>
        <v>E6140</v>
      </c>
      <c r="D750" t="s">
        <v>587</v>
      </c>
      <c r="E750" t="s">
        <v>588</v>
      </c>
      <c r="F750" t="s">
        <v>506</v>
      </c>
      <c r="G750" t="s">
        <v>507</v>
      </c>
      <c r="H750" t="s">
        <v>508</v>
      </c>
      <c r="I750" t="s">
        <v>509</v>
      </c>
      <c r="J750" t="s">
        <v>589</v>
      </c>
      <c r="K750" s="575">
        <v>-21.6</v>
      </c>
      <c r="L750" t="s">
        <v>496</v>
      </c>
      <c r="O750" s="3"/>
    </row>
    <row r="751" spans="1:15">
      <c r="A751" t="s">
        <v>586</v>
      </c>
      <c r="B751" t="s">
        <v>3362</v>
      </c>
      <c r="C751" s="60" t="str">
        <f t="shared" si="65"/>
        <v>E6140</v>
      </c>
      <c r="D751" t="s">
        <v>587</v>
      </c>
      <c r="E751" t="s">
        <v>588</v>
      </c>
      <c r="F751" t="s">
        <v>506</v>
      </c>
      <c r="G751" t="s">
        <v>507</v>
      </c>
      <c r="H751" t="s">
        <v>508</v>
      </c>
      <c r="I751" t="s">
        <v>509</v>
      </c>
      <c r="J751" t="s">
        <v>589</v>
      </c>
      <c r="K751" s="575">
        <f>W4</f>
        <v>-744</v>
      </c>
      <c r="L751" t="s">
        <v>496</v>
      </c>
      <c r="O751" s="3" t="s">
        <v>3442</v>
      </c>
    </row>
    <row r="752" spans="1:15">
      <c r="A752" t="s">
        <v>586</v>
      </c>
      <c r="B752" t="s">
        <v>3363</v>
      </c>
      <c r="C752" s="60" t="str">
        <f t="shared" si="65"/>
        <v>E6140</v>
      </c>
      <c r="D752" t="s">
        <v>587</v>
      </c>
      <c r="E752" t="s">
        <v>588</v>
      </c>
      <c r="F752" t="s">
        <v>506</v>
      </c>
      <c r="G752" t="s">
        <v>507</v>
      </c>
      <c r="H752" t="s">
        <v>508</v>
      </c>
      <c r="I752" t="s">
        <v>509</v>
      </c>
      <c r="J752" t="s">
        <v>589</v>
      </c>
      <c r="K752" s="575">
        <f>X4</f>
        <v>-744</v>
      </c>
      <c r="L752" t="s">
        <v>496</v>
      </c>
      <c r="O752" s="3" t="s">
        <v>3442</v>
      </c>
    </row>
    <row r="753" spans="1:15">
      <c r="A753" t="s">
        <v>586</v>
      </c>
      <c r="B753" t="s">
        <v>3364</v>
      </c>
      <c r="C753" s="60" t="str">
        <f t="shared" si="65"/>
        <v>E6140</v>
      </c>
      <c r="D753" t="s">
        <v>587</v>
      </c>
      <c r="E753" t="s">
        <v>588</v>
      </c>
      <c r="F753" t="s">
        <v>506</v>
      </c>
      <c r="G753" t="s">
        <v>507</v>
      </c>
      <c r="H753" t="s">
        <v>508</v>
      </c>
      <c r="I753" t="s">
        <v>509</v>
      </c>
      <c r="J753" t="s">
        <v>589</v>
      </c>
      <c r="K753" s="575">
        <f>Y4</f>
        <v>-720</v>
      </c>
      <c r="L753" t="s">
        <v>496</v>
      </c>
      <c r="O753" s="3" t="s">
        <v>3442</v>
      </c>
    </row>
    <row r="754" spans="1:15">
      <c r="A754" t="s">
        <v>586</v>
      </c>
      <c r="B754" t="s">
        <v>3365</v>
      </c>
      <c r="C754" s="60" t="str">
        <f t="shared" si="65"/>
        <v>E6140</v>
      </c>
      <c r="D754" t="s">
        <v>587</v>
      </c>
      <c r="E754" t="s">
        <v>588</v>
      </c>
      <c r="F754" t="s">
        <v>506</v>
      </c>
      <c r="G754" t="s">
        <v>507</v>
      </c>
      <c r="H754" t="s">
        <v>508</v>
      </c>
      <c r="I754" t="s">
        <v>509</v>
      </c>
      <c r="J754" t="s">
        <v>589</v>
      </c>
      <c r="K754" s="575">
        <f>Z4</f>
        <v>-744</v>
      </c>
      <c r="L754" t="s">
        <v>496</v>
      </c>
      <c r="O754" s="3" t="s">
        <v>3442</v>
      </c>
    </row>
    <row r="755" spans="1:15">
      <c r="A755" t="s">
        <v>586</v>
      </c>
      <c r="B755" t="s">
        <v>3366</v>
      </c>
      <c r="C755" s="60" t="str">
        <f t="shared" si="65"/>
        <v>E6140</v>
      </c>
      <c r="D755" t="s">
        <v>587</v>
      </c>
      <c r="E755" t="s">
        <v>588</v>
      </c>
      <c r="F755" t="s">
        <v>506</v>
      </c>
      <c r="G755" t="s">
        <v>507</v>
      </c>
      <c r="H755" t="s">
        <v>508</v>
      </c>
      <c r="I755" t="s">
        <v>509</v>
      </c>
      <c r="J755" t="s">
        <v>589</v>
      </c>
      <c r="K755" s="575">
        <f>AA4</f>
        <v>-720</v>
      </c>
      <c r="L755" t="s">
        <v>496</v>
      </c>
      <c r="O755" s="3" t="s">
        <v>3442</v>
      </c>
    </row>
    <row r="756" spans="1:15">
      <c r="A756" t="s">
        <v>586</v>
      </c>
      <c r="B756" t="s">
        <v>3367</v>
      </c>
      <c r="C756" s="60" t="str">
        <f t="shared" si="65"/>
        <v>E6140</v>
      </c>
      <c r="D756" t="s">
        <v>587</v>
      </c>
      <c r="E756" t="s">
        <v>588</v>
      </c>
      <c r="F756" t="s">
        <v>506</v>
      </c>
      <c r="G756" t="s">
        <v>507</v>
      </c>
      <c r="H756" t="s">
        <v>508</v>
      </c>
      <c r="I756" t="s">
        <v>509</v>
      </c>
      <c r="J756" t="s">
        <v>589</v>
      </c>
      <c r="K756" s="575">
        <f>AB4</f>
        <v>-744</v>
      </c>
      <c r="L756" t="s">
        <v>496</v>
      </c>
      <c r="O756" s="3" t="s">
        <v>3442</v>
      </c>
    </row>
    <row r="757" spans="1:15">
      <c r="A757" t="s">
        <v>586</v>
      </c>
      <c r="B757" t="s">
        <v>3356</v>
      </c>
      <c r="C757" s="3" t="str">
        <f>+'2-Préparation saisie LV PROD'!B69</f>
        <v>E6350</v>
      </c>
      <c r="D757" t="s">
        <v>587</v>
      </c>
      <c r="E757" t="s">
        <v>588</v>
      </c>
      <c r="F757" t="s">
        <v>506</v>
      </c>
      <c r="G757" t="s">
        <v>507</v>
      </c>
      <c r="H757" t="s">
        <v>508</v>
      </c>
      <c r="I757" t="s">
        <v>509</v>
      </c>
      <c r="J757" t="s">
        <v>589</v>
      </c>
      <c r="K757" s="502">
        <v>-22.32</v>
      </c>
      <c r="L757" t="s">
        <v>497</v>
      </c>
    </row>
    <row r="758" spans="1:15">
      <c r="A758" t="s">
        <v>586</v>
      </c>
      <c r="B758" t="s">
        <v>3357</v>
      </c>
      <c r="C758" s="60" t="str">
        <f>C757</f>
        <v>E6350</v>
      </c>
      <c r="D758" t="s">
        <v>587</v>
      </c>
      <c r="E758" t="s">
        <v>588</v>
      </c>
      <c r="F758" t="s">
        <v>506</v>
      </c>
      <c r="G758" t="s">
        <v>507</v>
      </c>
      <c r="H758" t="s">
        <v>508</v>
      </c>
      <c r="I758" t="s">
        <v>509</v>
      </c>
      <c r="J758" t="s">
        <v>589</v>
      </c>
      <c r="K758" s="502">
        <f>K746</f>
        <v>-20.16</v>
      </c>
      <c r="L758" t="s">
        <v>497</v>
      </c>
    </row>
    <row r="759" spans="1:15">
      <c r="A759" t="s">
        <v>586</v>
      </c>
      <c r="B759" t="s">
        <v>3358</v>
      </c>
      <c r="C759" s="60" t="str">
        <f t="shared" ref="C759:C768" si="66">+C758</f>
        <v>E6350</v>
      </c>
      <c r="D759" t="s">
        <v>587</v>
      </c>
      <c r="E759" t="s">
        <v>588</v>
      </c>
      <c r="F759" t="s">
        <v>506</v>
      </c>
      <c r="G759" t="s">
        <v>507</v>
      </c>
      <c r="H759" t="s">
        <v>508</v>
      </c>
      <c r="I759" t="s">
        <v>509</v>
      </c>
      <c r="J759" t="s">
        <v>589</v>
      </c>
      <c r="K759" s="502">
        <v>-22.32</v>
      </c>
      <c r="L759" t="s">
        <v>497</v>
      </c>
    </row>
    <row r="760" spans="1:15">
      <c r="A760" t="s">
        <v>586</v>
      </c>
      <c r="B760" t="s">
        <v>3359</v>
      </c>
      <c r="C760" s="60" t="str">
        <f t="shared" si="66"/>
        <v>E6350</v>
      </c>
      <c r="D760" t="s">
        <v>587</v>
      </c>
      <c r="E760" t="s">
        <v>588</v>
      </c>
      <c r="F760" t="s">
        <v>506</v>
      </c>
      <c r="G760" t="s">
        <v>507</v>
      </c>
      <c r="H760" t="s">
        <v>508</v>
      </c>
      <c r="I760" t="s">
        <v>509</v>
      </c>
      <c r="J760" t="s">
        <v>589</v>
      </c>
      <c r="K760" s="502">
        <v>-21.6</v>
      </c>
      <c r="L760" t="s">
        <v>497</v>
      </c>
    </row>
    <row r="761" spans="1:15">
      <c r="A761" t="s">
        <v>586</v>
      </c>
      <c r="B761" t="s">
        <v>3360</v>
      </c>
      <c r="C761" s="60" t="str">
        <f t="shared" si="66"/>
        <v>E6350</v>
      </c>
      <c r="D761" t="s">
        <v>587</v>
      </c>
      <c r="E761" t="s">
        <v>588</v>
      </c>
      <c r="F761" t="s">
        <v>506</v>
      </c>
      <c r="G761" t="s">
        <v>507</v>
      </c>
      <c r="H761" t="s">
        <v>508</v>
      </c>
      <c r="I761" t="s">
        <v>509</v>
      </c>
      <c r="J761" t="s">
        <v>589</v>
      </c>
      <c r="K761" s="502">
        <v>-22.32</v>
      </c>
      <c r="L761" t="s">
        <v>497</v>
      </c>
    </row>
    <row r="762" spans="1:15">
      <c r="A762" t="s">
        <v>586</v>
      </c>
      <c r="B762" t="s">
        <v>3361</v>
      </c>
      <c r="C762" s="60" t="str">
        <f t="shared" si="66"/>
        <v>E6350</v>
      </c>
      <c r="D762" t="s">
        <v>587</v>
      </c>
      <c r="E762" t="s">
        <v>588</v>
      </c>
      <c r="F762" t="s">
        <v>506</v>
      </c>
      <c r="G762" t="s">
        <v>507</v>
      </c>
      <c r="H762" t="s">
        <v>508</v>
      </c>
      <c r="I762" t="s">
        <v>509</v>
      </c>
      <c r="J762" t="s">
        <v>589</v>
      </c>
      <c r="K762" s="502">
        <v>-21.6</v>
      </c>
      <c r="L762" t="s">
        <v>497</v>
      </c>
    </row>
    <row r="763" spans="1:15">
      <c r="A763" t="s">
        <v>586</v>
      </c>
      <c r="B763" t="s">
        <v>3362</v>
      </c>
      <c r="C763" s="60" t="str">
        <f t="shared" si="66"/>
        <v>E6350</v>
      </c>
      <c r="D763" t="s">
        <v>587</v>
      </c>
      <c r="E763" t="s">
        <v>588</v>
      </c>
      <c r="F763" t="s">
        <v>506</v>
      </c>
      <c r="G763" t="s">
        <v>507</v>
      </c>
      <c r="H763" t="s">
        <v>508</v>
      </c>
      <c r="I763" t="s">
        <v>509</v>
      </c>
      <c r="J763" t="s">
        <v>589</v>
      </c>
      <c r="K763" s="502">
        <v>-22.32</v>
      </c>
      <c r="L763" t="s">
        <v>497</v>
      </c>
    </row>
    <row r="764" spans="1:15">
      <c r="A764" t="s">
        <v>586</v>
      </c>
      <c r="B764" t="s">
        <v>3363</v>
      </c>
      <c r="C764" s="60" t="str">
        <f t="shared" si="66"/>
        <v>E6350</v>
      </c>
      <c r="D764" t="s">
        <v>587</v>
      </c>
      <c r="E764" t="s">
        <v>588</v>
      </c>
      <c r="F764" t="s">
        <v>506</v>
      </c>
      <c r="G764" t="s">
        <v>507</v>
      </c>
      <c r="H764" t="s">
        <v>508</v>
      </c>
      <c r="I764" t="s">
        <v>509</v>
      </c>
      <c r="J764" t="s">
        <v>589</v>
      </c>
      <c r="K764" s="502">
        <v>-22.32</v>
      </c>
      <c r="L764" t="s">
        <v>497</v>
      </c>
    </row>
    <row r="765" spans="1:15">
      <c r="A765" t="s">
        <v>586</v>
      </c>
      <c r="B765" t="s">
        <v>3364</v>
      </c>
      <c r="C765" s="60" t="str">
        <f t="shared" si="66"/>
        <v>E6350</v>
      </c>
      <c r="D765" t="s">
        <v>587</v>
      </c>
      <c r="E765" t="s">
        <v>588</v>
      </c>
      <c r="F765" t="s">
        <v>506</v>
      </c>
      <c r="G765" t="s">
        <v>507</v>
      </c>
      <c r="H765" t="s">
        <v>508</v>
      </c>
      <c r="I765" t="s">
        <v>509</v>
      </c>
      <c r="J765" t="s">
        <v>589</v>
      </c>
      <c r="K765" s="502">
        <v>-21.6</v>
      </c>
      <c r="L765" t="s">
        <v>497</v>
      </c>
    </row>
    <row r="766" spans="1:15">
      <c r="A766" t="s">
        <v>586</v>
      </c>
      <c r="B766" t="s">
        <v>3365</v>
      </c>
      <c r="C766" s="60" t="str">
        <f t="shared" si="66"/>
        <v>E6350</v>
      </c>
      <c r="D766" t="s">
        <v>587</v>
      </c>
      <c r="E766" t="s">
        <v>588</v>
      </c>
      <c r="F766" t="s">
        <v>506</v>
      </c>
      <c r="G766" t="s">
        <v>507</v>
      </c>
      <c r="H766" t="s">
        <v>508</v>
      </c>
      <c r="I766" t="s">
        <v>509</v>
      </c>
      <c r="J766" t="s">
        <v>589</v>
      </c>
      <c r="K766" s="502">
        <v>-22.32</v>
      </c>
      <c r="L766" t="s">
        <v>497</v>
      </c>
    </row>
    <row r="767" spans="1:15">
      <c r="A767" t="s">
        <v>586</v>
      </c>
      <c r="B767" t="s">
        <v>3366</v>
      </c>
      <c r="C767" s="60" t="str">
        <f t="shared" si="66"/>
        <v>E6350</v>
      </c>
      <c r="D767" t="s">
        <v>587</v>
      </c>
      <c r="E767" t="s">
        <v>588</v>
      </c>
      <c r="F767" t="s">
        <v>506</v>
      </c>
      <c r="G767" t="s">
        <v>507</v>
      </c>
      <c r="H767" t="s">
        <v>508</v>
      </c>
      <c r="I767" t="s">
        <v>509</v>
      </c>
      <c r="J767" t="s">
        <v>589</v>
      </c>
      <c r="K767" s="502">
        <v>-21.6</v>
      </c>
      <c r="L767" t="s">
        <v>497</v>
      </c>
    </row>
    <row r="768" spans="1:15">
      <c r="A768" t="s">
        <v>586</v>
      </c>
      <c r="B768" t="s">
        <v>3367</v>
      </c>
      <c r="C768" s="60" t="str">
        <f t="shared" si="66"/>
        <v>E6350</v>
      </c>
      <c r="D768" t="s">
        <v>587</v>
      </c>
      <c r="E768" t="s">
        <v>588</v>
      </c>
      <c r="F768" t="s">
        <v>506</v>
      </c>
      <c r="G768" t="s">
        <v>507</v>
      </c>
      <c r="H768" t="s">
        <v>508</v>
      </c>
      <c r="I768" t="s">
        <v>509</v>
      </c>
      <c r="J768" t="s">
        <v>589</v>
      </c>
      <c r="K768" s="502">
        <v>-22.32</v>
      </c>
      <c r="L768" t="s">
        <v>497</v>
      </c>
    </row>
    <row r="769" spans="1:12">
      <c r="A769" t="s">
        <v>586</v>
      </c>
      <c r="B769" t="s">
        <v>3356</v>
      </c>
      <c r="C769" s="3" t="str">
        <f>+'2-Préparation saisie LV PROD'!B70</f>
        <v>E6360</v>
      </c>
      <c r="D769" t="s">
        <v>587</v>
      </c>
      <c r="E769" t="s">
        <v>588</v>
      </c>
      <c r="F769" t="s">
        <v>506</v>
      </c>
      <c r="G769" t="s">
        <v>507</v>
      </c>
      <c r="H769" t="s">
        <v>508</v>
      </c>
      <c r="I769" t="s">
        <v>509</v>
      </c>
      <c r="J769" t="s">
        <v>589</v>
      </c>
      <c r="K769" s="502">
        <v>-22.32</v>
      </c>
      <c r="L769" t="s">
        <v>815</v>
      </c>
    </row>
    <row r="770" spans="1:12">
      <c r="A770" t="s">
        <v>586</v>
      </c>
      <c r="B770" t="s">
        <v>3357</v>
      </c>
      <c r="C770" s="60" t="str">
        <f>C769</f>
        <v>E6360</v>
      </c>
      <c r="D770" t="s">
        <v>587</v>
      </c>
      <c r="E770" t="s">
        <v>588</v>
      </c>
      <c r="F770" t="s">
        <v>506</v>
      </c>
      <c r="G770" t="s">
        <v>507</v>
      </c>
      <c r="H770" t="s">
        <v>508</v>
      </c>
      <c r="I770" t="s">
        <v>509</v>
      </c>
      <c r="J770" t="s">
        <v>589</v>
      </c>
      <c r="K770" s="502">
        <f>K758</f>
        <v>-20.16</v>
      </c>
      <c r="L770" t="s">
        <v>815</v>
      </c>
    </row>
    <row r="771" spans="1:12">
      <c r="A771" t="s">
        <v>586</v>
      </c>
      <c r="B771" t="s">
        <v>3358</v>
      </c>
      <c r="C771" s="60" t="str">
        <f t="shared" ref="C771:C780" si="67">+C770</f>
        <v>E6360</v>
      </c>
      <c r="D771" t="s">
        <v>587</v>
      </c>
      <c r="E771" t="s">
        <v>588</v>
      </c>
      <c r="F771" t="s">
        <v>506</v>
      </c>
      <c r="G771" t="s">
        <v>507</v>
      </c>
      <c r="H771" t="s">
        <v>508</v>
      </c>
      <c r="I771" t="s">
        <v>509</v>
      </c>
      <c r="J771" t="s">
        <v>589</v>
      </c>
      <c r="K771" s="502">
        <v>-22.32</v>
      </c>
      <c r="L771" t="s">
        <v>815</v>
      </c>
    </row>
    <row r="772" spans="1:12">
      <c r="A772" t="s">
        <v>586</v>
      </c>
      <c r="B772" t="s">
        <v>3359</v>
      </c>
      <c r="C772" s="60" t="str">
        <f t="shared" si="67"/>
        <v>E6360</v>
      </c>
      <c r="D772" t="s">
        <v>587</v>
      </c>
      <c r="E772" t="s">
        <v>588</v>
      </c>
      <c r="F772" t="s">
        <v>506</v>
      </c>
      <c r="G772" t="s">
        <v>507</v>
      </c>
      <c r="H772" t="s">
        <v>508</v>
      </c>
      <c r="I772" t="s">
        <v>509</v>
      </c>
      <c r="J772" t="s">
        <v>589</v>
      </c>
      <c r="K772" s="502">
        <v>-21.6</v>
      </c>
      <c r="L772" t="s">
        <v>815</v>
      </c>
    </row>
    <row r="773" spans="1:12">
      <c r="A773" t="s">
        <v>586</v>
      </c>
      <c r="B773" t="s">
        <v>3360</v>
      </c>
      <c r="C773" s="60" t="str">
        <f t="shared" si="67"/>
        <v>E6360</v>
      </c>
      <c r="D773" t="s">
        <v>587</v>
      </c>
      <c r="E773" t="s">
        <v>588</v>
      </c>
      <c r="F773" t="s">
        <v>506</v>
      </c>
      <c r="G773" t="s">
        <v>507</v>
      </c>
      <c r="H773" t="s">
        <v>508</v>
      </c>
      <c r="I773" t="s">
        <v>509</v>
      </c>
      <c r="J773" t="s">
        <v>589</v>
      </c>
      <c r="K773" s="502">
        <v>-22.32</v>
      </c>
      <c r="L773" t="s">
        <v>815</v>
      </c>
    </row>
    <row r="774" spans="1:12">
      <c r="A774" t="s">
        <v>586</v>
      </c>
      <c r="B774" t="s">
        <v>3361</v>
      </c>
      <c r="C774" s="60" t="str">
        <f t="shared" si="67"/>
        <v>E6360</v>
      </c>
      <c r="D774" t="s">
        <v>587</v>
      </c>
      <c r="E774" t="s">
        <v>588</v>
      </c>
      <c r="F774" t="s">
        <v>506</v>
      </c>
      <c r="G774" t="s">
        <v>507</v>
      </c>
      <c r="H774" t="s">
        <v>508</v>
      </c>
      <c r="I774" t="s">
        <v>509</v>
      </c>
      <c r="J774" t="s">
        <v>589</v>
      </c>
      <c r="K774" s="502">
        <v>-21.6</v>
      </c>
      <c r="L774" t="s">
        <v>815</v>
      </c>
    </row>
    <row r="775" spans="1:12">
      <c r="A775" t="s">
        <v>586</v>
      </c>
      <c r="B775" t="s">
        <v>3362</v>
      </c>
      <c r="C775" s="60" t="str">
        <f t="shared" si="67"/>
        <v>E6360</v>
      </c>
      <c r="D775" t="s">
        <v>587</v>
      </c>
      <c r="E775" t="s">
        <v>588</v>
      </c>
      <c r="F775" t="s">
        <v>506</v>
      </c>
      <c r="G775" t="s">
        <v>507</v>
      </c>
      <c r="H775" t="s">
        <v>508</v>
      </c>
      <c r="I775" t="s">
        <v>509</v>
      </c>
      <c r="J775" t="s">
        <v>589</v>
      </c>
      <c r="K775" s="502">
        <v>-22.32</v>
      </c>
      <c r="L775" t="s">
        <v>815</v>
      </c>
    </row>
    <row r="776" spans="1:12">
      <c r="A776" t="s">
        <v>586</v>
      </c>
      <c r="B776" t="s">
        <v>3363</v>
      </c>
      <c r="C776" s="60" t="str">
        <f t="shared" si="67"/>
        <v>E6360</v>
      </c>
      <c r="D776" t="s">
        <v>587</v>
      </c>
      <c r="E776" t="s">
        <v>588</v>
      </c>
      <c r="F776" t="s">
        <v>506</v>
      </c>
      <c r="G776" t="s">
        <v>507</v>
      </c>
      <c r="H776" t="s">
        <v>508</v>
      </c>
      <c r="I776" t="s">
        <v>509</v>
      </c>
      <c r="J776" t="s">
        <v>589</v>
      </c>
      <c r="K776" s="502">
        <v>-22.32</v>
      </c>
      <c r="L776" t="s">
        <v>815</v>
      </c>
    </row>
    <row r="777" spans="1:12">
      <c r="A777" t="s">
        <v>586</v>
      </c>
      <c r="B777" t="s">
        <v>3364</v>
      </c>
      <c r="C777" s="60" t="str">
        <f t="shared" si="67"/>
        <v>E6360</v>
      </c>
      <c r="D777" t="s">
        <v>587</v>
      </c>
      <c r="E777" t="s">
        <v>588</v>
      </c>
      <c r="F777" t="s">
        <v>506</v>
      </c>
      <c r="G777" t="s">
        <v>507</v>
      </c>
      <c r="H777" t="s">
        <v>508</v>
      </c>
      <c r="I777" t="s">
        <v>509</v>
      </c>
      <c r="J777" t="s">
        <v>589</v>
      </c>
      <c r="K777" s="502">
        <v>-21.6</v>
      </c>
      <c r="L777" t="s">
        <v>815</v>
      </c>
    </row>
    <row r="778" spans="1:12">
      <c r="A778" t="s">
        <v>586</v>
      </c>
      <c r="B778" t="s">
        <v>3365</v>
      </c>
      <c r="C778" s="60" t="str">
        <f t="shared" si="67"/>
        <v>E6360</v>
      </c>
      <c r="D778" t="s">
        <v>587</v>
      </c>
      <c r="E778" t="s">
        <v>588</v>
      </c>
      <c r="F778" t="s">
        <v>506</v>
      </c>
      <c r="G778" t="s">
        <v>507</v>
      </c>
      <c r="H778" t="s">
        <v>508</v>
      </c>
      <c r="I778" t="s">
        <v>509</v>
      </c>
      <c r="J778" t="s">
        <v>589</v>
      </c>
      <c r="K778" s="502">
        <v>-22.32</v>
      </c>
      <c r="L778" t="s">
        <v>815</v>
      </c>
    </row>
    <row r="779" spans="1:12">
      <c r="A779" t="s">
        <v>586</v>
      </c>
      <c r="B779" t="s">
        <v>3366</v>
      </c>
      <c r="C779" s="60" t="str">
        <f t="shared" si="67"/>
        <v>E6360</v>
      </c>
      <c r="D779" t="s">
        <v>587</v>
      </c>
      <c r="E779" t="s">
        <v>588</v>
      </c>
      <c r="F779" t="s">
        <v>506</v>
      </c>
      <c r="G779" t="s">
        <v>507</v>
      </c>
      <c r="H779" t="s">
        <v>508</v>
      </c>
      <c r="I779" t="s">
        <v>509</v>
      </c>
      <c r="J779" t="s">
        <v>589</v>
      </c>
      <c r="K779" s="502">
        <v>-21.6</v>
      </c>
      <c r="L779" t="s">
        <v>815</v>
      </c>
    </row>
    <row r="780" spans="1:12">
      <c r="A780" t="s">
        <v>586</v>
      </c>
      <c r="B780" t="s">
        <v>3367</v>
      </c>
      <c r="C780" s="60" t="str">
        <f t="shared" si="67"/>
        <v>E6360</v>
      </c>
      <c r="D780" t="s">
        <v>587</v>
      </c>
      <c r="E780" t="s">
        <v>588</v>
      </c>
      <c r="F780" t="s">
        <v>506</v>
      </c>
      <c r="G780" t="s">
        <v>507</v>
      </c>
      <c r="H780" t="s">
        <v>508</v>
      </c>
      <c r="I780" t="s">
        <v>509</v>
      </c>
      <c r="J780" t="s">
        <v>589</v>
      </c>
      <c r="K780" s="502">
        <v>-22.32</v>
      </c>
      <c r="L780" t="s">
        <v>815</v>
      </c>
    </row>
    <row r="781" spans="1:12">
      <c r="A781" t="s">
        <v>586</v>
      </c>
      <c r="B781" t="s">
        <v>3356</v>
      </c>
      <c r="C781" s="3" t="str">
        <f>+'2-Préparation saisie LV PROD'!B71</f>
        <v>E5550</v>
      </c>
      <c r="D781" t="s">
        <v>587</v>
      </c>
      <c r="E781" t="s">
        <v>588</v>
      </c>
      <c r="F781" t="s">
        <v>506</v>
      </c>
      <c r="G781" t="s">
        <v>507</v>
      </c>
      <c r="H781" t="s">
        <v>508</v>
      </c>
      <c r="I781" t="s">
        <v>509</v>
      </c>
      <c r="J781" t="s">
        <v>589</v>
      </c>
      <c r="K781" s="502">
        <v>-22.32</v>
      </c>
      <c r="L781" t="s">
        <v>3248</v>
      </c>
    </row>
    <row r="782" spans="1:12">
      <c r="A782" t="s">
        <v>586</v>
      </c>
      <c r="B782" t="s">
        <v>3357</v>
      </c>
      <c r="C782" s="60" t="str">
        <f>C781</f>
        <v>E5550</v>
      </c>
      <c r="D782" t="s">
        <v>587</v>
      </c>
      <c r="E782" t="s">
        <v>588</v>
      </c>
      <c r="F782" t="s">
        <v>506</v>
      </c>
      <c r="G782" t="s">
        <v>507</v>
      </c>
      <c r="H782" t="s">
        <v>508</v>
      </c>
      <c r="I782" t="s">
        <v>509</v>
      </c>
      <c r="J782" t="s">
        <v>589</v>
      </c>
      <c r="K782" s="502">
        <f>K770</f>
        <v>-20.16</v>
      </c>
      <c r="L782" t="s">
        <v>3248</v>
      </c>
    </row>
    <row r="783" spans="1:12">
      <c r="A783" t="s">
        <v>586</v>
      </c>
      <c r="B783" t="s">
        <v>3358</v>
      </c>
      <c r="C783" s="60" t="str">
        <f t="shared" ref="C783:C792" si="68">+C782</f>
        <v>E5550</v>
      </c>
      <c r="D783" t="s">
        <v>587</v>
      </c>
      <c r="E783" t="s">
        <v>588</v>
      </c>
      <c r="F783" t="s">
        <v>506</v>
      </c>
      <c r="G783" t="s">
        <v>507</v>
      </c>
      <c r="H783" t="s">
        <v>508</v>
      </c>
      <c r="I783" t="s">
        <v>509</v>
      </c>
      <c r="J783" t="s">
        <v>589</v>
      </c>
      <c r="K783" s="502">
        <v>-22.32</v>
      </c>
      <c r="L783" t="s">
        <v>3248</v>
      </c>
    </row>
    <row r="784" spans="1:12">
      <c r="A784" t="s">
        <v>586</v>
      </c>
      <c r="B784" t="s">
        <v>3359</v>
      </c>
      <c r="C784" s="60" t="str">
        <f t="shared" si="68"/>
        <v>E5550</v>
      </c>
      <c r="D784" t="s">
        <v>587</v>
      </c>
      <c r="E784" t="s">
        <v>588</v>
      </c>
      <c r="F784" t="s">
        <v>506</v>
      </c>
      <c r="G784" t="s">
        <v>507</v>
      </c>
      <c r="H784" t="s">
        <v>508</v>
      </c>
      <c r="I784" t="s">
        <v>509</v>
      </c>
      <c r="J784" t="s">
        <v>589</v>
      </c>
      <c r="K784" s="502">
        <v>-21.6</v>
      </c>
      <c r="L784" t="s">
        <v>3248</v>
      </c>
    </row>
    <row r="785" spans="1:12">
      <c r="A785" t="s">
        <v>586</v>
      </c>
      <c r="B785" t="s">
        <v>3360</v>
      </c>
      <c r="C785" s="60" t="str">
        <f t="shared" si="68"/>
        <v>E5550</v>
      </c>
      <c r="D785" t="s">
        <v>587</v>
      </c>
      <c r="E785" t="s">
        <v>588</v>
      </c>
      <c r="F785" t="s">
        <v>506</v>
      </c>
      <c r="G785" t="s">
        <v>507</v>
      </c>
      <c r="H785" t="s">
        <v>508</v>
      </c>
      <c r="I785" t="s">
        <v>509</v>
      </c>
      <c r="J785" t="s">
        <v>589</v>
      </c>
      <c r="K785" s="502">
        <v>-22.32</v>
      </c>
      <c r="L785" t="s">
        <v>3248</v>
      </c>
    </row>
    <row r="786" spans="1:12">
      <c r="A786" t="s">
        <v>586</v>
      </c>
      <c r="B786" t="s">
        <v>3361</v>
      </c>
      <c r="C786" s="60" t="str">
        <f t="shared" si="68"/>
        <v>E5550</v>
      </c>
      <c r="D786" t="s">
        <v>587</v>
      </c>
      <c r="E786" t="s">
        <v>588</v>
      </c>
      <c r="F786" t="s">
        <v>506</v>
      </c>
      <c r="G786" t="s">
        <v>507</v>
      </c>
      <c r="H786" t="s">
        <v>508</v>
      </c>
      <c r="I786" t="s">
        <v>509</v>
      </c>
      <c r="J786" t="s">
        <v>589</v>
      </c>
      <c r="K786" s="502">
        <v>-21.6</v>
      </c>
      <c r="L786" t="s">
        <v>3248</v>
      </c>
    </row>
    <row r="787" spans="1:12">
      <c r="A787" t="s">
        <v>586</v>
      </c>
      <c r="B787" t="s">
        <v>3362</v>
      </c>
      <c r="C787" s="60" t="str">
        <f t="shared" si="68"/>
        <v>E5550</v>
      </c>
      <c r="D787" t="s">
        <v>587</v>
      </c>
      <c r="E787" t="s">
        <v>588</v>
      </c>
      <c r="F787" t="s">
        <v>506</v>
      </c>
      <c r="G787" t="s">
        <v>507</v>
      </c>
      <c r="H787" t="s">
        <v>508</v>
      </c>
      <c r="I787" t="s">
        <v>509</v>
      </c>
      <c r="J787" t="s">
        <v>589</v>
      </c>
      <c r="K787" s="502">
        <v>-22.32</v>
      </c>
      <c r="L787" t="s">
        <v>3248</v>
      </c>
    </row>
    <row r="788" spans="1:12">
      <c r="A788" t="s">
        <v>586</v>
      </c>
      <c r="B788" t="s">
        <v>3363</v>
      </c>
      <c r="C788" s="60" t="str">
        <f t="shared" si="68"/>
        <v>E5550</v>
      </c>
      <c r="D788" t="s">
        <v>587</v>
      </c>
      <c r="E788" t="s">
        <v>588</v>
      </c>
      <c r="F788" t="s">
        <v>506</v>
      </c>
      <c r="G788" t="s">
        <v>507</v>
      </c>
      <c r="H788" t="s">
        <v>508</v>
      </c>
      <c r="I788" t="s">
        <v>509</v>
      </c>
      <c r="J788" t="s">
        <v>589</v>
      </c>
      <c r="K788" s="502">
        <v>-22.32</v>
      </c>
      <c r="L788" t="s">
        <v>3248</v>
      </c>
    </row>
    <row r="789" spans="1:12">
      <c r="A789" t="s">
        <v>586</v>
      </c>
      <c r="B789" t="s">
        <v>3364</v>
      </c>
      <c r="C789" s="60" t="str">
        <f t="shared" si="68"/>
        <v>E5550</v>
      </c>
      <c r="D789" t="s">
        <v>587</v>
      </c>
      <c r="E789" t="s">
        <v>588</v>
      </c>
      <c r="F789" t="s">
        <v>506</v>
      </c>
      <c r="G789" t="s">
        <v>507</v>
      </c>
      <c r="H789" t="s">
        <v>508</v>
      </c>
      <c r="I789" t="s">
        <v>509</v>
      </c>
      <c r="J789" t="s">
        <v>589</v>
      </c>
      <c r="K789" s="502">
        <v>-21.6</v>
      </c>
      <c r="L789" t="s">
        <v>3248</v>
      </c>
    </row>
    <row r="790" spans="1:12">
      <c r="A790" t="s">
        <v>586</v>
      </c>
      <c r="B790" t="s">
        <v>3365</v>
      </c>
      <c r="C790" s="60" t="str">
        <f t="shared" si="68"/>
        <v>E5550</v>
      </c>
      <c r="D790" t="s">
        <v>587</v>
      </c>
      <c r="E790" t="s">
        <v>588</v>
      </c>
      <c r="F790" t="s">
        <v>506</v>
      </c>
      <c r="G790" t="s">
        <v>507</v>
      </c>
      <c r="H790" t="s">
        <v>508</v>
      </c>
      <c r="I790" t="s">
        <v>509</v>
      </c>
      <c r="J790" t="s">
        <v>589</v>
      </c>
      <c r="K790" s="502">
        <v>-22.32</v>
      </c>
      <c r="L790" t="s">
        <v>3248</v>
      </c>
    </row>
    <row r="791" spans="1:12">
      <c r="A791" t="s">
        <v>586</v>
      </c>
      <c r="B791" t="s">
        <v>3366</v>
      </c>
      <c r="C791" s="60" t="str">
        <f t="shared" si="68"/>
        <v>E5550</v>
      </c>
      <c r="D791" t="s">
        <v>587</v>
      </c>
      <c r="E791" t="s">
        <v>588</v>
      </c>
      <c r="F791" t="s">
        <v>506</v>
      </c>
      <c r="G791" t="s">
        <v>507</v>
      </c>
      <c r="H791" t="s">
        <v>508</v>
      </c>
      <c r="I791" t="s">
        <v>509</v>
      </c>
      <c r="J791" t="s">
        <v>589</v>
      </c>
      <c r="K791" s="502">
        <v>-21.6</v>
      </c>
      <c r="L791" t="s">
        <v>3248</v>
      </c>
    </row>
    <row r="792" spans="1:12">
      <c r="A792" t="s">
        <v>586</v>
      </c>
      <c r="B792" t="s">
        <v>3367</v>
      </c>
      <c r="C792" s="60" t="str">
        <f t="shared" si="68"/>
        <v>E5550</v>
      </c>
      <c r="D792" t="s">
        <v>587</v>
      </c>
      <c r="E792" t="s">
        <v>588</v>
      </c>
      <c r="F792" t="s">
        <v>506</v>
      </c>
      <c r="G792" t="s">
        <v>507</v>
      </c>
      <c r="H792" t="s">
        <v>508</v>
      </c>
      <c r="I792" t="s">
        <v>509</v>
      </c>
      <c r="J792" t="s">
        <v>589</v>
      </c>
      <c r="K792" s="502">
        <v>-22.32</v>
      </c>
      <c r="L792" t="s">
        <v>3248</v>
      </c>
    </row>
    <row r="793" spans="1:12">
      <c r="A793" t="s">
        <v>586</v>
      </c>
      <c r="B793" t="s">
        <v>3356</v>
      </c>
      <c r="C793" s="3" t="str">
        <f>+'2-Préparation saisie LV PROD'!B72</f>
        <v>E5250</v>
      </c>
      <c r="D793" t="s">
        <v>587</v>
      </c>
      <c r="E793" t="s">
        <v>588</v>
      </c>
      <c r="F793" t="s">
        <v>506</v>
      </c>
      <c r="G793" t="s">
        <v>507</v>
      </c>
      <c r="H793" t="s">
        <v>508</v>
      </c>
      <c r="I793" t="s">
        <v>509</v>
      </c>
      <c r="J793" t="s">
        <v>589</v>
      </c>
      <c r="K793" s="502">
        <v>-22.32</v>
      </c>
      <c r="L793" t="s">
        <v>3247</v>
      </c>
    </row>
    <row r="794" spans="1:12">
      <c r="A794" t="s">
        <v>586</v>
      </c>
      <c r="B794" t="s">
        <v>3357</v>
      </c>
      <c r="C794" s="60" t="str">
        <f>C793</f>
        <v>E5250</v>
      </c>
      <c r="D794" t="s">
        <v>587</v>
      </c>
      <c r="E794" t="s">
        <v>588</v>
      </c>
      <c r="F794" t="s">
        <v>506</v>
      </c>
      <c r="G794" t="s">
        <v>507</v>
      </c>
      <c r="H794" t="s">
        <v>508</v>
      </c>
      <c r="I794" t="s">
        <v>509</v>
      </c>
      <c r="J794" t="s">
        <v>589</v>
      </c>
      <c r="K794" s="502">
        <f>K782</f>
        <v>-20.16</v>
      </c>
      <c r="L794" t="s">
        <v>3247</v>
      </c>
    </row>
    <row r="795" spans="1:12">
      <c r="A795" t="s">
        <v>586</v>
      </c>
      <c r="B795" t="s">
        <v>3358</v>
      </c>
      <c r="C795" s="60" t="str">
        <f t="shared" ref="C795:C804" si="69">+C794</f>
        <v>E5250</v>
      </c>
      <c r="D795" t="s">
        <v>587</v>
      </c>
      <c r="E795" t="s">
        <v>588</v>
      </c>
      <c r="F795" t="s">
        <v>506</v>
      </c>
      <c r="G795" t="s">
        <v>507</v>
      </c>
      <c r="H795" t="s">
        <v>508</v>
      </c>
      <c r="I795" t="s">
        <v>509</v>
      </c>
      <c r="J795" t="s">
        <v>589</v>
      </c>
      <c r="K795" s="502">
        <v>-22.32</v>
      </c>
      <c r="L795" t="s">
        <v>3247</v>
      </c>
    </row>
    <row r="796" spans="1:12">
      <c r="A796" t="s">
        <v>586</v>
      </c>
      <c r="B796" t="s">
        <v>3359</v>
      </c>
      <c r="C796" s="60" t="str">
        <f t="shared" si="69"/>
        <v>E5250</v>
      </c>
      <c r="D796" t="s">
        <v>587</v>
      </c>
      <c r="E796" t="s">
        <v>588</v>
      </c>
      <c r="F796" t="s">
        <v>506</v>
      </c>
      <c r="G796" t="s">
        <v>507</v>
      </c>
      <c r="H796" t="s">
        <v>508</v>
      </c>
      <c r="I796" t="s">
        <v>509</v>
      </c>
      <c r="J796" t="s">
        <v>589</v>
      </c>
      <c r="K796" s="502">
        <v>-21.6</v>
      </c>
      <c r="L796" t="s">
        <v>3247</v>
      </c>
    </row>
    <row r="797" spans="1:12">
      <c r="A797" t="s">
        <v>586</v>
      </c>
      <c r="B797" t="s">
        <v>3360</v>
      </c>
      <c r="C797" s="60" t="str">
        <f t="shared" si="69"/>
        <v>E5250</v>
      </c>
      <c r="D797" t="s">
        <v>587</v>
      </c>
      <c r="E797" t="s">
        <v>588</v>
      </c>
      <c r="F797" t="s">
        <v>506</v>
      </c>
      <c r="G797" t="s">
        <v>507</v>
      </c>
      <c r="H797" t="s">
        <v>508</v>
      </c>
      <c r="I797" t="s">
        <v>509</v>
      </c>
      <c r="J797" t="s">
        <v>589</v>
      </c>
      <c r="K797" s="502">
        <v>-22.32</v>
      </c>
      <c r="L797" t="s">
        <v>3247</v>
      </c>
    </row>
    <row r="798" spans="1:12">
      <c r="A798" t="s">
        <v>586</v>
      </c>
      <c r="B798" t="s">
        <v>3361</v>
      </c>
      <c r="C798" s="60" t="str">
        <f t="shared" si="69"/>
        <v>E5250</v>
      </c>
      <c r="D798" t="s">
        <v>587</v>
      </c>
      <c r="E798" t="s">
        <v>588</v>
      </c>
      <c r="F798" t="s">
        <v>506</v>
      </c>
      <c r="G798" t="s">
        <v>507</v>
      </c>
      <c r="H798" t="s">
        <v>508</v>
      </c>
      <c r="I798" t="s">
        <v>509</v>
      </c>
      <c r="J798" t="s">
        <v>589</v>
      </c>
      <c r="K798" s="502">
        <v>-21.6</v>
      </c>
      <c r="L798" t="s">
        <v>3247</v>
      </c>
    </row>
    <row r="799" spans="1:12">
      <c r="A799" t="s">
        <v>586</v>
      </c>
      <c r="B799" t="s">
        <v>3362</v>
      </c>
      <c r="C799" s="60" t="str">
        <f t="shared" si="69"/>
        <v>E5250</v>
      </c>
      <c r="D799" t="s">
        <v>587</v>
      </c>
      <c r="E799" t="s">
        <v>588</v>
      </c>
      <c r="F799" t="s">
        <v>506</v>
      </c>
      <c r="G799" t="s">
        <v>507</v>
      </c>
      <c r="H799" t="s">
        <v>508</v>
      </c>
      <c r="I799" t="s">
        <v>509</v>
      </c>
      <c r="J799" t="s">
        <v>589</v>
      </c>
      <c r="K799" s="502">
        <v>-22.32</v>
      </c>
      <c r="L799" t="s">
        <v>3247</v>
      </c>
    </row>
    <row r="800" spans="1:12">
      <c r="A800" t="s">
        <v>586</v>
      </c>
      <c r="B800" t="s">
        <v>3363</v>
      </c>
      <c r="C800" s="60" t="str">
        <f t="shared" si="69"/>
        <v>E5250</v>
      </c>
      <c r="D800" t="s">
        <v>587</v>
      </c>
      <c r="E800" t="s">
        <v>588</v>
      </c>
      <c r="F800" t="s">
        <v>506</v>
      </c>
      <c r="G800" t="s">
        <v>507</v>
      </c>
      <c r="H800" t="s">
        <v>508</v>
      </c>
      <c r="I800" t="s">
        <v>509</v>
      </c>
      <c r="J800" t="s">
        <v>589</v>
      </c>
      <c r="K800" s="502">
        <v>-22.32</v>
      </c>
      <c r="L800" t="s">
        <v>3247</v>
      </c>
    </row>
    <row r="801" spans="1:12">
      <c r="A801" t="s">
        <v>586</v>
      </c>
      <c r="B801" t="s">
        <v>3364</v>
      </c>
      <c r="C801" s="60" t="str">
        <f t="shared" si="69"/>
        <v>E5250</v>
      </c>
      <c r="D801" t="s">
        <v>587</v>
      </c>
      <c r="E801" t="s">
        <v>588</v>
      </c>
      <c r="F801" t="s">
        <v>506</v>
      </c>
      <c r="G801" t="s">
        <v>507</v>
      </c>
      <c r="H801" t="s">
        <v>508</v>
      </c>
      <c r="I801" t="s">
        <v>509</v>
      </c>
      <c r="J801" t="s">
        <v>589</v>
      </c>
      <c r="K801" s="502">
        <v>-21.6</v>
      </c>
      <c r="L801" t="s">
        <v>3247</v>
      </c>
    </row>
    <row r="802" spans="1:12">
      <c r="A802" t="s">
        <v>586</v>
      </c>
      <c r="B802" t="s">
        <v>3365</v>
      </c>
      <c r="C802" s="60" t="str">
        <f t="shared" si="69"/>
        <v>E5250</v>
      </c>
      <c r="D802" t="s">
        <v>587</v>
      </c>
      <c r="E802" t="s">
        <v>588</v>
      </c>
      <c r="F802" t="s">
        <v>506</v>
      </c>
      <c r="G802" t="s">
        <v>507</v>
      </c>
      <c r="H802" t="s">
        <v>508</v>
      </c>
      <c r="I802" t="s">
        <v>509</v>
      </c>
      <c r="J802" t="s">
        <v>589</v>
      </c>
      <c r="K802" s="502">
        <v>-22.32</v>
      </c>
      <c r="L802" t="s">
        <v>3247</v>
      </c>
    </row>
    <row r="803" spans="1:12">
      <c r="A803" t="s">
        <v>586</v>
      </c>
      <c r="B803" t="s">
        <v>3366</v>
      </c>
      <c r="C803" s="60" t="str">
        <f t="shared" si="69"/>
        <v>E5250</v>
      </c>
      <c r="D803" t="s">
        <v>587</v>
      </c>
      <c r="E803" t="s">
        <v>588</v>
      </c>
      <c r="F803" t="s">
        <v>506</v>
      </c>
      <c r="G803" t="s">
        <v>507</v>
      </c>
      <c r="H803" t="s">
        <v>508</v>
      </c>
      <c r="I803" t="s">
        <v>509</v>
      </c>
      <c r="J803" t="s">
        <v>589</v>
      </c>
      <c r="K803" s="502">
        <v>-21.6</v>
      </c>
      <c r="L803" t="s">
        <v>3247</v>
      </c>
    </row>
    <row r="804" spans="1:12">
      <c r="A804" t="s">
        <v>586</v>
      </c>
      <c r="B804" t="s">
        <v>3367</v>
      </c>
      <c r="C804" s="60" t="str">
        <f t="shared" si="69"/>
        <v>E5250</v>
      </c>
      <c r="D804" t="s">
        <v>587</v>
      </c>
      <c r="E804" t="s">
        <v>588</v>
      </c>
      <c r="F804" t="s">
        <v>506</v>
      </c>
      <c r="G804" t="s">
        <v>507</v>
      </c>
      <c r="H804" t="s">
        <v>508</v>
      </c>
      <c r="I804" t="s">
        <v>509</v>
      </c>
      <c r="J804" t="s">
        <v>589</v>
      </c>
      <c r="K804" s="502">
        <v>-22.32</v>
      </c>
      <c r="L804" t="s">
        <v>3247</v>
      </c>
    </row>
    <row r="805" spans="1:12">
      <c r="A805" t="s">
        <v>586</v>
      </c>
      <c r="B805" t="s">
        <v>3356</v>
      </c>
      <c r="C805" s="3" t="s">
        <v>1858</v>
      </c>
      <c r="D805" t="s">
        <v>587</v>
      </c>
      <c r="E805" t="s">
        <v>588</v>
      </c>
      <c r="F805" t="s">
        <v>506</v>
      </c>
      <c r="G805" t="s">
        <v>507</v>
      </c>
      <c r="H805" t="s">
        <v>508</v>
      </c>
      <c r="I805" t="s">
        <v>509</v>
      </c>
      <c r="J805" t="s">
        <v>589</v>
      </c>
      <c r="K805" s="502">
        <v>-22.32</v>
      </c>
      <c r="L805" t="s">
        <v>3029</v>
      </c>
    </row>
    <row r="806" spans="1:12">
      <c r="A806" t="s">
        <v>586</v>
      </c>
      <c r="B806" t="s">
        <v>3357</v>
      </c>
      <c r="C806" s="60" t="str">
        <f>C805</f>
        <v>E6010</v>
      </c>
      <c r="D806" t="s">
        <v>587</v>
      </c>
      <c r="E806" t="s">
        <v>588</v>
      </c>
      <c r="F806" t="s">
        <v>506</v>
      </c>
      <c r="G806" t="s">
        <v>507</v>
      </c>
      <c r="H806" t="s">
        <v>508</v>
      </c>
      <c r="I806" t="s">
        <v>509</v>
      </c>
      <c r="J806" t="s">
        <v>589</v>
      </c>
      <c r="K806" s="502">
        <f>K794</f>
        <v>-20.16</v>
      </c>
      <c r="L806" t="s">
        <v>3029</v>
      </c>
    </row>
    <row r="807" spans="1:12">
      <c r="A807" t="s">
        <v>586</v>
      </c>
      <c r="B807" t="s">
        <v>3358</v>
      </c>
      <c r="C807" s="60" t="str">
        <f t="shared" ref="C807:C816" si="70">+C806</f>
        <v>E6010</v>
      </c>
      <c r="D807" t="s">
        <v>587</v>
      </c>
      <c r="E807" t="s">
        <v>588</v>
      </c>
      <c r="F807" t="s">
        <v>506</v>
      </c>
      <c r="G807" t="s">
        <v>507</v>
      </c>
      <c r="H807" t="s">
        <v>508</v>
      </c>
      <c r="I807" t="s">
        <v>509</v>
      </c>
      <c r="J807" t="s">
        <v>589</v>
      </c>
      <c r="K807" s="502">
        <v>-22.32</v>
      </c>
      <c r="L807" t="s">
        <v>3029</v>
      </c>
    </row>
    <row r="808" spans="1:12">
      <c r="A808" t="s">
        <v>586</v>
      </c>
      <c r="B808" t="s">
        <v>3359</v>
      </c>
      <c r="C808" s="60" t="str">
        <f t="shared" si="70"/>
        <v>E6010</v>
      </c>
      <c r="D808" t="s">
        <v>587</v>
      </c>
      <c r="E808" t="s">
        <v>588</v>
      </c>
      <c r="F808" t="s">
        <v>506</v>
      </c>
      <c r="G808" t="s">
        <v>507</v>
      </c>
      <c r="H808" t="s">
        <v>508</v>
      </c>
      <c r="I808" t="s">
        <v>509</v>
      </c>
      <c r="J808" t="s">
        <v>589</v>
      </c>
      <c r="K808" s="502">
        <v>-21.6</v>
      </c>
      <c r="L808" t="s">
        <v>3029</v>
      </c>
    </row>
    <row r="809" spans="1:12">
      <c r="A809" t="s">
        <v>586</v>
      </c>
      <c r="B809" t="s">
        <v>3360</v>
      </c>
      <c r="C809" s="60" t="str">
        <f t="shared" si="70"/>
        <v>E6010</v>
      </c>
      <c r="D809" t="s">
        <v>587</v>
      </c>
      <c r="E809" t="s">
        <v>588</v>
      </c>
      <c r="F809" t="s">
        <v>506</v>
      </c>
      <c r="G809" t="s">
        <v>507</v>
      </c>
      <c r="H809" t="s">
        <v>508</v>
      </c>
      <c r="I809" t="s">
        <v>509</v>
      </c>
      <c r="J809" t="s">
        <v>589</v>
      </c>
      <c r="K809" s="502">
        <v>-22.32</v>
      </c>
      <c r="L809" t="s">
        <v>3029</v>
      </c>
    </row>
    <row r="810" spans="1:12">
      <c r="A810" t="s">
        <v>586</v>
      </c>
      <c r="B810" t="s">
        <v>3361</v>
      </c>
      <c r="C810" s="60" t="str">
        <f t="shared" si="70"/>
        <v>E6010</v>
      </c>
      <c r="D810" t="s">
        <v>587</v>
      </c>
      <c r="E810" t="s">
        <v>588</v>
      </c>
      <c r="F810" t="s">
        <v>506</v>
      </c>
      <c r="G810" t="s">
        <v>507</v>
      </c>
      <c r="H810" t="s">
        <v>508</v>
      </c>
      <c r="I810" t="s">
        <v>509</v>
      </c>
      <c r="J810" t="s">
        <v>589</v>
      </c>
      <c r="K810" s="502">
        <v>-21.6</v>
      </c>
      <c r="L810" t="s">
        <v>3029</v>
      </c>
    </row>
    <row r="811" spans="1:12">
      <c r="A811" t="s">
        <v>586</v>
      </c>
      <c r="B811" t="s">
        <v>3362</v>
      </c>
      <c r="C811" s="60" t="str">
        <f t="shared" si="70"/>
        <v>E6010</v>
      </c>
      <c r="D811" t="s">
        <v>587</v>
      </c>
      <c r="E811" t="s">
        <v>588</v>
      </c>
      <c r="F811" t="s">
        <v>506</v>
      </c>
      <c r="G811" t="s">
        <v>507</v>
      </c>
      <c r="H811" t="s">
        <v>508</v>
      </c>
      <c r="I811" t="s">
        <v>509</v>
      </c>
      <c r="J811" t="s">
        <v>589</v>
      </c>
      <c r="K811" s="502">
        <v>-22.32</v>
      </c>
      <c r="L811" t="s">
        <v>3029</v>
      </c>
    </row>
    <row r="812" spans="1:12">
      <c r="A812" t="s">
        <v>586</v>
      </c>
      <c r="B812" t="s">
        <v>3363</v>
      </c>
      <c r="C812" s="60" t="str">
        <f t="shared" si="70"/>
        <v>E6010</v>
      </c>
      <c r="D812" t="s">
        <v>587</v>
      </c>
      <c r="E812" t="s">
        <v>588</v>
      </c>
      <c r="F812" t="s">
        <v>506</v>
      </c>
      <c r="G812" t="s">
        <v>507</v>
      </c>
      <c r="H812" t="s">
        <v>508</v>
      </c>
      <c r="I812" t="s">
        <v>509</v>
      </c>
      <c r="J812" t="s">
        <v>589</v>
      </c>
      <c r="K812" s="502">
        <v>-22.32</v>
      </c>
      <c r="L812" t="s">
        <v>3029</v>
      </c>
    </row>
    <row r="813" spans="1:12">
      <c r="A813" t="s">
        <v>586</v>
      </c>
      <c r="B813" t="s">
        <v>3364</v>
      </c>
      <c r="C813" s="60" t="str">
        <f t="shared" si="70"/>
        <v>E6010</v>
      </c>
      <c r="D813" t="s">
        <v>587</v>
      </c>
      <c r="E813" t="s">
        <v>588</v>
      </c>
      <c r="F813" t="s">
        <v>506</v>
      </c>
      <c r="G813" t="s">
        <v>507</v>
      </c>
      <c r="H813" t="s">
        <v>508</v>
      </c>
      <c r="I813" t="s">
        <v>509</v>
      </c>
      <c r="J813" t="s">
        <v>589</v>
      </c>
      <c r="K813" s="502">
        <v>-21.6</v>
      </c>
      <c r="L813" t="s">
        <v>3029</v>
      </c>
    </row>
    <row r="814" spans="1:12">
      <c r="A814" t="s">
        <v>586</v>
      </c>
      <c r="B814" t="s">
        <v>3365</v>
      </c>
      <c r="C814" s="60" t="str">
        <f t="shared" si="70"/>
        <v>E6010</v>
      </c>
      <c r="D814" t="s">
        <v>587</v>
      </c>
      <c r="E814" t="s">
        <v>588</v>
      </c>
      <c r="F814" t="s">
        <v>506</v>
      </c>
      <c r="G814" t="s">
        <v>507</v>
      </c>
      <c r="H814" t="s">
        <v>508</v>
      </c>
      <c r="I814" t="s">
        <v>509</v>
      </c>
      <c r="J814" t="s">
        <v>589</v>
      </c>
      <c r="K814" s="502">
        <v>-22.32</v>
      </c>
      <c r="L814" t="s">
        <v>3029</v>
      </c>
    </row>
    <row r="815" spans="1:12">
      <c r="A815" t="s">
        <v>586</v>
      </c>
      <c r="B815" t="s">
        <v>3366</v>
      </c>
      <c r="C815" s="60" t="str">
        <f t="shared" si="70"/>
        <v>E6010</v>
      </c>
      <c r="D815" t="s">
        <v>587</v>
      </c>
      <c r="E815" t="s">
        <v>588</v>
      </c>
      <c r="F815" t="s">
        <v>506</v>
      </c>
      <c r="G815" t="s">
        <v>507</v>
      </c>
      <c r="H815" t="s">
        <v>508</v>
      </c>
      <c r="I815" t="s">
        <v>509</v>
      </c>
      <c r="J815" t="s">
        <v>589</v>
      </c>
      <c r="K815" s="502">
        <v>-21.6</v>
      </c>
      <c r="L815" t="s">
        <v>3029</v>
      </c>
    </row>
    <row r="816" spans="1:12">
      <c r="A816" t="s">
        <v>586</v>
      </c>
      <c r="B816" t="s">
        <v>3367</v>
      </c>
      <c r="C816" s="60" t="str">
        <f t="shared" si="70"/>
        <v>E6010</v>
      </c>
      <c r="D816" t="s">
        <v>587</v>
      </c>
      <c r="E816" t="s">
        <v>588</v>
      </c>
      <c r="F816" t="s">
        <v>506</v>
      </c>
      <c r="G816" t="s">
        <v>507</v>
      </c>
      <c r="H816" t="s">
        <v>508</v>
      </c>
      <c r="I816" t="s">
        <v>509</v>
      </c>
      <c r="J816" t="s">
        <v>589</v>
      </c>
      <c r="K816" s="502">
        <v>-22.32</v>
      </c>
      <c r="L816" t="s">
        <v>3029</v>
      </c>
    </row>
    <row r="817" spans="1:12">
      <c r="A817" t="s">
        <v>586</v>
      </c>
      <c r="B817" t="s">
        <v>3356</v>
      </c>
      <c r="C817" s="3" t="s">
        <v>2074</v>
      </c>
      <c r="D817" t="s">
        <v>587</v>
      </c>
      <c r="E817" t="s">
        <v>588</v>
      </c>
      <c r="F817" t="s">
        <v>506</v>
      </c>
      <c r="G817" t="s">
        <v>507</v>
      </c>
      <c r="H817" t="s">
        <v>508</v>
      </c>
      <c r="I817" t="s">
        <v>509</v>
      </c>
      <c r="J817" t="s">
        <v>589</v>
      </c>
      <c r="K817" s="502">
        <v>-22.32</v>
      </c>
      <c r="L817" t="s">
        <v>3027</v>
      </c>
    </row>
    <row r="818" spans="1:12">
      <c r="A818" t="s">
        <v>586</v>
      </c>
      <c r="B818" t="s">
        <v>3357</v>
      </c>
      <c r="C818" s="60" t="str">
        <f>C817</f>
        <v>E6280</v>
      </c>
      <c r="D818" t="s">
        <v>587</v>
      </c>
      <c r="E818" t="s">
        <v>588</v>
      </c>
      <c r="F818" t="s">
        <v>506</v>
      </c>
      <c r="G818" t="s">
        <v>507</v>
      </c>
      <c r="H818" t="s">
        <v>508</v>
      </c>
      <c r="I818" t="s">
        <v>509</v>
      </c>
      <c r="J818" t="s">
        <v>589</v>
      </c>
      <c r="K818" s="502">
        <f>K806</f>
        <v>-20.16</v>
      </c>
      <c r="L818" t="s">
        <v>3027</v>
      </c>
    </row>
    <row r="819" spans="1:12">
      <c r="A819" t="s">
        <v>586</v>
      </c>
      <c r="B819" t="s">
        <v>3358</v>
      </c>
      <c r="C819" s="60" t="str">
        <f t="shared" ref="C819:C828" si="71">+C818</f>
        <v>E6280</v>
      </c>
      <c r="D819" t="s">
        <v>587</v>
      </c>
      <c r="E819" t="s">
        <v>588</v>
      </c>
      <c r="F819" t="s">
        <v>506</v>
      </c>
      <c r="G819" t="s">
        <v>507</v>
      </c>
      <c r="H819" t="s">
        <v>508</v>
      </c>
      <c r="I819" t="s">
        <v>509</v>
      </c>
      <c r="J819" t="s">
        <v>589</v>
      </c>
      <c r="K819" s="502">
        <v>-22.32</v>
      </c>
      <c r="L819" t="s">
        <v>3027</v>
      </c>
    </row>
    <row r="820" spans="1:12">
      <c r="A820" t="s">
        <v>586</v>
      </c>
      <c r="B820" t="s">
        <v>3359</v>
      </c>
      <c r="C820" s="60" t="str">
        <f t="shared" si="71"/>
        <v>E6280</v>
      </c>
      <c r="D820" t="s">
        <v>587</v>
      </c>
      <c r="E820" t="s">
        <v>588</v>
      </c>
      <c r="F820" t="s">
        <v>506</v>
      </c>
      <c r="G820" t="s">
        <v>507</v>
      </c>
      <c r="H820" t="s">
        <v>508</v>
      </c>
      <c r="I820" t="s">
        <v>509</v>
      </c>
      <c r="J820" t="s">
        <v>589</v>
      </c>
      <c r="K820" s="502">
        <v>-21.6</v>
      </c>
      <c r="L820" t="s">
        <v>3027</v>
      </c>
    </row>
    <row r="821" spans="1:12">
      <c r="A821" t="s">
        <v>586</v>
      </c>
      <c r="B821" t="s">
        <v>3360</v>
      </c>
      <c r="C821" s="60" t="str">
        <f t="shared" si="71"/>
        <v>E6280</v>
      </c>
      <c r="D821" t="s">
        <v>587</v>
      </c>
      <c r="E821" t="s">
        <v>588</v>
      </c>
      <c r="F821" t="s">
        <v>506</v>
      </c>
      <c r="G821" t="s">
        <v>507</v>
      </c>
      <c r="H821" t="s">
        <v>508</v>
      </c>
      <c r="I821" t="s">
        <v>509</v>
      </c>
      <c r="J821" t="s">
        <v>589</v>
      </c>
      <c r="K821" s="502">
        <v>-22.32</v>
      </c>
      <c r="L821" t="s">
        <v>3027</v>
      </c>
    </row>
    <row r="822" spans="1:12">
      <c r="A822" t="s">
        <v>586</v>
      </c>
      <c r="B822" t="s">
        <v>3361</v>
      </c>
      <c r="C822" s="60" t="str">
        <f t="shared" si="71"/>
        <v>E6280</v>
      </c>
      <c r="D822" t="s">
        <v>587</v>
      </c>
      <c r="E822" t="s">
        <v>588</v>
      </c>
      <c r="F822" t="s">
        <v>506</v>
      </c>
      <c r="G822" t="s">
        <v>507</v>
      </c>
      <c r="H822" t="s">
        <v>508</v>
      </c>
      <c r="I822" t="s">
        <v>509</v>
      </c>
      <c r="J822" t="s">
        <v>589</v>
      </c>
      <c r="K822" s="502">
        <v>-21.6</v>
      </c>
      <c r="L822" t="s">
        <v>3027</v>
      </c>
    </row>
    <row r="823" spans="1:12">
      <c r="A823" t="s">
        <v>586</v>
      </c>
      <c r="B823" t="s">
        <v>3362</v>
      </c>
      <c r="C823" s="60" t="str">
        <f t="shared" si="71"/>
        <v>E6280</v>
      </c>
      <c r="D823" t="s">
        <v>587</v>
      </c>
      <c r="E823" t="s">
        <v>588</v>
      </c>
      <c r="F823" t="s">
        <v>506</v>
      </c>
      <c r="G823" t="s">
        <v>507</v>
      </c>
      <c r="H823" t="s">
        <v>508</v>
      </c>
      <c r="I823" t="s">
        <v>509</v>
      </c>
      <c r="J823" t="s">
        <v>589</v>
      </c>
      <c r="K823" s="502">
        <v>-22.32</v>
      </c>
      <c r="L823" t="s">
        <v>3027</v>
      </c>
    </row>
    <row r="824" spans="1:12">
      <c r="A824" t="s">
        <v>586</v>
      </c>
      <c r="B824" t="s">
        <v>3363</v>
      </c>
      <c r="C824" s="60" t="str">
        <f t="shared" si="71"/>
        <v>E6280</v>
      </c>
      <c r="D824" t="s">
        <v>587</v>
      </c>
      <c r="E824" t="s">
        <v>588</v>
      </c>
      <c r="F824" t="s">
        <v>506</v>
      </c>
      <c r="G824" t="s">
        <v>507</v>
      </c>
      <c r="H824" t="s">
        <v>508</v>
      </c>
      <c r="I824" t="s">
        <v>509</v>
      </c>
      <c r="J824" t="s">
        <v>589</v>
      </c>
      <c r="K824" s="502">
        <v>-22.32</v>
      </c>
      <c r="L824" t="s">
        <v>3027</v>
      </c>
    </row>
    <row r="825" spans="1:12">
      <c r="A825" t="s">
        <v>586</v>
      </c>
      <c r="B825" t="s">
        <v>3364</v>
      </c>
      <c r="C825" s="60" t="str">
        <f t="shared" si="71"/>
        <v>E6280</v>
      </c>
      <c r="D825" t="s">
        <v>587</v>
      </c>
      <c r="E825" t="s">
        <v>588</v>
      </c>
      <c r="F825" t="s">
        <v>506</v>
      </c>
      <c r="G825" t="s">
        <v>507</v>
      </c>
      <c r="H825" t="s">
        <v>508</v>
      </c>
      <c r="I825" t="s">
        <v>509</v>
      </c>
      <c r="J825" t="s">
        <v>589</v>
      </c>
      <c r="K825" s="502">
        <v>-21.6</v>
      </c>
      <c r="L825" t="s">
        <v>3027</v>
      </c>
    </row>
    <row r="826" spans="1:12">
      <c r="A826" t="s">
        <v>586</v>
      </c>
      <c r="B826" t="s">
        <v>3365</v>
      </c>
      <c r="C826" s="60" t="str">
        <f t="shared" si="71"/>
        <v>E6280</v>
      </c>
      <c r="D826" t="s">
        <v>587</v>
      </c>
      <c r="E826" t="s">
        <v>588</v>
      </c>
      <c r="F826" t="s">
        <v>506</v>
      </c>
      <c r="G826" t="s">
        <v>507</v>
      </c>
      <c r="H826" t="s">
        <v>508</v>
      </c>
      <c r="I826" t="s">
        <v>509</v>
      </c>
      <c r="J826" t="s">
        <v>589</v>
      </c>
      <c r="K826" s="502">
        <v>-22.32</v>
      </c>
      <c r="L826" t="s">
        <v>3027</v>
      </c>
    </row>
    <row r="827" spans="1:12">
      <c r="A827" t="s">
        <v>586</v>
      </c>
      <c r="B827" t="s">
        <v>3366</v>
      </c>
      <c r="C827" s="60" t="str">
        <f t="shared" si="71"/>
        <v>E6280</v>
      </c>
      <c r="D827" t="s">
        <v>587</v>
      </c>
      <c r="E827" t="s">
        <v>588</v>
      </c>
      <c r="F827" t="s">
        <v>506</v>
      </c>
      <c r="G827" t="s">
        <v>507</v>
      </c>
      <c r="H827" t="s">
        <v>508</v>
      </c>
      <c r="I827" t="s">
        <v>509</v>
      </c>
      <c r="J827" t="s">
        <v>589</v>
      </c>
      <c r="K827" s="502">
        <v>-21.6</v>
      </c>
      <c r="L827" t="s">
        <v>3027</v>
      </c>
    </row>
    <row r="828" spans="1:12">
      <c r="A828" t="s">
        <v>586</v>
      </c>
      <c r="B828" t="s">
        <v>3367</v>
      </c>
      <c r="C828" s="60" t="str">
        <f t="shared" si="71"/>
        <v>E6280</v>
      </c>
      <c r="D828" t="s">
        <v>587</v>
      </c>
      <c r="E828" t="s">
        <v>588</v>
      </c>
      <c r="F828" t="s">
        <v>506</v>
      </c>
      <c r="G828" t="s">
        <v>507</v>
      </c>
      <c r="H828" t="s">
        <v>508</v>
      </c>
      <c r="I828" t="s">
        <v>509</v>
      </c>
      <c r="J828" t="s">
        <v>589</v>
      </c>
      <c r="K828" s="502">
        <v>-22.32</v>
      </c>
      <c r="L828" t="s">
        <v>3027</v>
      </c>
    </row>
    <row r="829" spans="1:12">
      <c r="A829" t="s">
        <v>586</v>
      </c>
      <c r="B829" t="s">
        <v>3356</v>
      </c>
      <c r="C829" s="3" t="s">
        <v>1833</v>
      </c>
      <c r="D829" t="s">
        <v>587</v>
      </c>
      <c r="E829" t="s">
        <v>588</v>
      </c>
      <c r="F829" t="s">
        <v>506</v>
      </c>
      <c r="G829" t="s">
        <v>507</v>
      </c>
      <c r="H829" t="s">
        <v>508</v>
      </c>
      <c r="I829" t="s">
        <v>509</v>
      </c>
      <c r="J829" t="s">
        <v>589</v>
      </c>
      <c r="K829" s="502">
        <v>-22.32</v>
      </c>
      <c r="L829" t="s">
        <v>3030</v>
      </c>
    </row>
    <row r="830" spans="1:12">
      <c r="A830" t="s">
        <v>586</v>
      </c>
      <c r="B830" t="s">
        <v>3357</v>
      </c>
      <c r="C830" s="60" t="str">
        <f>C829</f>
        <v>E5930</v>
      </c>
      <c r="D830" t="s">
        <v>587</v>
      </c>
      <c r="E830" t="s">
        <v>588</v>
      </c>
      <c r="F830" t="s">
        <v>506</v>
      </c>
      <c r="G830" t="s">
        <v>507</v>
      </c>
      <c r="H830" t="s">
        <v>508</v>
      </c>
      <c r="I830" t="s">
        <v>509</v>
      </c>
      <c r="J830" t="s">
        <v>589</v>
      </c>
      <c r="K830" s="502">
        <f>K818</f>
        <v>-20.16</v>
      </c>
      <c r="L830" t="s">
        <v>3030</v>
      </c>
    </row>
    <row r="831" spans="1:12">
      <c r="A831" t="s">
        <v>586</v>
      </c>
      <c r="B831" t="s">
        <v>3358</v>
      </c>
      <c r="C831" s="60" t="str">
        <f t="shared" ref="C831:C840" si="72">+C830</f>
        <v>E5930</v>
      </c>
      <c r="D831" t="s">
        <v>587</v>
      </c>
      <c r="E831" t="s">
        <v>588</v>
      </c>
      <c r="F831" t="s">
        <v>506</v>
      </c>
      <c r="G831" t="s">
        <v>507</v>
      </c>
      <c r="H831" t="s">
        <v>508</v>
      </c>
      <c r="I831" t="s">
        <v>509</v>
      </c>
      <c r="J831" t="s">
        <v>589</v>
      </c>
      <c r="K831" s="502">
        <v>-22.32</v>
      </c>
      <c r="L831" t="s">
        <v>3030</v>
      </c>
    </row>
    <row r="832" spans="1:12">
      <c r="A832" t="s">
        <v>586</v>
      </c>
      <c r="B832" t="s">
        <v>3359</v>
      </c>
      <c r="C832" s="60" t="str">
        <f t="shared" si="72"/>
        <v>E5930</v>
      </c>
      <c r="D832" t="s">
        <v>587</v>
      </c>
      <c r="E832" t="s">
        <v>588</v>
      </c>
      <c r="F832" t="s">
        <v>506</v>
      </c>
      <c r="G832" t="s">
        <v>507</v>
      </c>
      <c r="H832" t="s">
        <v>508</v>
      </c>
      <c r="I832" t="s">
        <v>509</v>
      </c>
      <c r="J832" t="s">
        <v>589</v>
      </c>
      <c r="K832" s="502">
        <v>-21.6</v>
      </c>
      <c r="L832" t="s">
        <v>3030</v>
      </c>
    </row>
    <row r="833" spans="1:12">
      <c r="A833" t="s">
        <v>586</v>
      </c>
      <c r="B833" t="s">
        <v>3360</v>
      </c>
      <c r="C833" s="60" t="str">
        <f t="shared" si="72"/>
        <v>E5930</v>
      </c>
      <c r="D833" t="s">
        <v>587</v>
      </c>
      <c r="E833" t="s">
        <v>588</v>
      </c>
      <c r="F833" t="s">
        <v>506</v>
      </c>
      <c r="G833" t="s">
        <v>507</v>
      </c>
      <c r="H833" t="s">
        <v>508</v>
      </c>
      <c r="I833" t="s">
        <v>509</v>
      </c>
      <c r="J833" t="s">
        <v>589</v>
      </c>
      <c r="K833" s="502">
        <v>-22.32</v>
      </c>
      <c r="L833" t="s">
        <v>3030</v>
      </c>
    </row>
    <row r="834" spans="1:12">
      <c r="A834" t="s">
        <v>586</v>
      </c>
      <c r="B834" t="s">
        <v>3361</v>
      </c>
      <c r="C834" s="60" t="str">
        <f t="shared" si="72"/>
        <v>E5930</v>
      </c>
      <c r="D834" t="s">
        <v>587</v>
      </c>
      <c r="E834" t="s">
        <v>588</v>
      </c>
      <c r="F834" t="s">
        <v>506</v>
      </c>
      <c r="G834" t="s">
        <v>507</v>
      </c>
      <c r="H834" t="s">
        <v>508</v>
      </c>
      <c r="I834" t="s">
        <v>509</v>
      </c>
      <c r="J834" t="s">
        <v>589</v>
      </c>
      <c r="K834" s="502">
        <v>-21.6</v>
      </c>
      <c r="L834" t="s">
        <v>3030</v>
      </c>
    </row>
    <row r="835" spans="1:12">
      <c r="A835" t="s">
        <v>586</v>
      </c>
      <c r="B835" t="s">
        <v>3362</v>
      </c>
      <c r="C835" s="60" t="str">
        <f t="shared" si="72"/>
        <v>E5930</v>
      </c>
      <c r="D835" t="s">
        <v>587</v>
      </c>
      <c r="E835" t="s">
        <v>588</v>
      </c>
      <c r="F835" t="s">
        <v>506</v>
      </c>
      <c r="G835" t="s">
        <v>507</v>
      </c>
      <c r="H835" t="s">
        <v>508</v>
      </c>
      <c r="I835" t="s">
        <v>509</v>
      </c>
      <c r="J835" t="s">
        <v>589</v>
      </c>
      <c r="K835" s="502">
        <v>-22.32</v>
      </c>
      <c r="L835" t="s">
        <v>3030</v>
      </c>
    </row>
    <row r="836" spans="1:12">
      <c r="A836" t="s">
        <v>586</v>
      </c>
      <c r="B836" t="s">
        <v>3363</v>
      </c>
      <c r="C836" s="60" t="str">
        <f t="shared" si="72"/>
        <v>E5930</v>
      </c>
      <c r="D836" t="s">
        <v>587</v>
      </c>
      <c r="E836" t="s">
        <v>588</v>
      </c>
      <c r="F836" t="s">
        <v>506</v>
      </c>
      <c r="G836" t="s">
        <v>507</v>
      </c>
      <c r="H836" t="s">
        <v>508</v>
      </c>
      <c r="I836" t="s">
        <v>509</v>
      </c>
      <c r="J836" t="s">
        <v>589</v>
      </c>
      <c r="K836" s="502">
        <v>-22.32</v>
      </c>
      <c r="L836" t="s">
        <v>3030</v>
      </c>
    </row>
    <row r="837" spans="1:12">
      <c r="A837" t="s">
        <v>586</v>
      </c>
      <c r="B837" t="s">
        <v>3364</v>
      </c>
      <c r="C837" s="60" t="str">
        <f t="shared" si="72"/>
        <v>E5930</v>
      </c>
      <c r="D837" t="s">
        <v>587</v>
      </c>
      <c r="E837" t="s">
        <v>588</v>
      </c>
      <c r="F837" t="s">
        <v>506</v>
      </c>
      <c r="G837" t="s">
        <v>507</v>
      </c>
      <c r="H837" t="s">
        <v>508</v>
      </c>
      <c r="I837" t="s">
        <v>509</v>
      </c>
      <c r="J837" t="s">
        <v>589</v>
      </c>
      <c r="K837" s="502">
        <v>-21.6</v>
      </c>
      <c r="L837" t="s">
        <v>3030</v>
      </c>
    </row>
    <row r="838" spans="1:12">
      <c r="A838" t="s">
        <v>586</v>
      </c>
      <c r="B838" t="s">
        <v>3365</v>
      </c>
      <c r="C838" s="60" t="str">
        <f t="shared" si="72"/>
        <v>E5930</v>
      </c>
      <c r="D838" t="s">
        <v>587</v>
      </c>
      <c r="E838" t="s">
        <v>588</v>
      </c>
      <c r="F838" t="s">
        <v>506</v>
      </c>
      <c r="G838" t="s">
        <v>507</v>
      </c>
      <c r="H838" t="s">
        <v>508</v>
      </c>
      <c r="I838" t="s">
        <v>509</v>
      </c>
      <c r="J838" t="s">
        <v>589</v>
      </c>
      <c r="K838" s="502">
        <v>-22.32</v>
      </c>
      <c r="L838" t="s">
        <v>3030</v>
      </c>
    </row>
    <row r="839" spans="1:12">
      <c r="A839" t="s">
        <v>586</v>
      </c>
      <c r="B839" t="s">
        <v>3366</v>
      </c>
      <c r="C839" s="60" t="str">
        <f t="shared" si="72"/>
        <v>E5930</v>
      </c>
      <c r="D839" t="s">
        <v>587</v>
      </c>
      <c r="E839" t="s">
        <v>588</v>
      </c>
      <c r="F839" t="s">
        <v>506</v>
      </c>
      <c r="G839" t="s">
        <v>507</v>
      </c>
      <c r="H839" t="s">
        <v>508</v>
      </c>
      <c r="I839" t="s">
        <v>509</v>
      </c>
      <c r="J839" t="s">
        <v>589</v>
      </c>
      <c r="K839" s="502">
        <v>-21.6</v>
      </c>
      <c r="L839" t="s">
        <v>3030</v>
      </c>
    </row>
    <row r="840" spans="1:12">
      <c r="A840" t="s">
        <v>586</v>
      </c>
      <c r="B840" t="s">
        <v>3367</v>
      </c>
      <c r="C840" s="60" t="str">
        <f t="shared" si="72"/>
        <v>E5930</v>
      </c>
      <c r="D840" t="s">
        <v>587</v>
      </c>
      <c r="E840" t="s">
        <v>588</v>
      </c>
      <c r="F840" t="s">
        <v>506</v>
      </c>
      <c r="G840" t="s">
        <v>507</v>
      </c>
      <c r="H840" t="s">
        <v>508</v>
      </c>
      <c r="I840" t="s">
        <v>509</v>
      </c>
      <c r="J840" t="s">
        <v>589</v>
      </c>
      <c r="K840" s="502">
        <v>-22.32</v>
      </c>
      <c r="L840" t="s">
        <v>3030</v>
      </c>
    </row>
    <row r="841" spans="1:12">
      <c r="A841" t="s">
        <v>586</v>
      </c>
      <c r="B841" t="s">
        <v>3356</v>
      </c>
      <c r="C841" s="3" t="s">
        <v>817</v>
      </c>
      <c r="D841" t="s">
        <v>587</v>
      </c>
      <c r="E841" t="s">
        <v>588</v>
      </c>
      <c r="F841" t="s">
        <v>506</v>
      </c>
      <c r="G841" t="s">
        <v>507</v>
      </c>
      <c r="H841" t="s">
        <v>508</v>
      </c>
      <c r="I841" t="s">
        <v>509</v>
      </c>
      <c r="J841" t="s">
        <v>589</v>
      </c>
      <c r="K841" s="502">
        <v>-22.32</v>
      </c>
      <c r="L841" t="s">
        <v>818</v>
      </c>
    </row>
    <row r="842" spans="1:12">
      <c r="A842" t="s">
        <v>586</v>
      </c>
      <c r="B842" t="s">
        <v>3357</v>
      </c>
      <c r="C842" s="60" t="str">
        <f>C841</f>
        <v>E5660</v>
      </c>
      <c r="D842" t="s">
        <v>587</v>
      </c>
      <c r="E842" t="s">
        <v>588</v>
      </c>
      <c r="F842" t="s">
        <v>506</v>
      </c>
      <c r="G842" t="s">
        <v>507</v>
      </c>
      <c r="H842" t="s">
        <v>508</v>
      </c>
      <c r="I842" t="s">
        <v>509</v>
      </c>
      <c r="J842" t="s">
        <v>589</v>
      </c>
      <c r="K842" s="502">
        <f>K830</f>
        <v>-20.16</v>
      </c>
      <c r="L842" t="s">
        <v>818</v>
      </c>
    </row>
    <row r="843" spans="1:12">
      <c r="A843" t="s">
        <v>586</v>
      </c>
      <c r="B843" t="s">
        <v>3358</v>
      </c>
      <c r="C843" s="60" t="str">
        <f t="shared" ref="C843:C852" si="73">+C842</f>
        <v>E5660</v>
      </c>
      <c r="D843" t="s">
        <v>587</v>
      </c>
      <c r="E843" t="s">
        <v>588</v>
      </c>
      <c r="F843" t="s">
        <v>506</v>
      </c>
      <c r="G843" t="s">
        <v>507</v>
      </c>
      <c r="H843" t="s">
        <v>508</v>
      </c>
      <c r="I843" t="s">
        <v>509</v>
      </c>
      <c r="J843" t="s">
        <v>589</v>
      </c>
      <c r="K843" s="502">
        <v>-22.32</v>
      </c>
      <c r="L843" t="s">
        <v>818</v>
      </c>
    </row>
    <row r="844" spans="1:12">
      <c r="A844" t="s">
        <v>586</v>
      </c>
      <c r="B844" t="s">
        <v>3359</v>
      </c>
      <c r="C844" s="60" t="str">
        <f t="shared" si="73"/>
        <v>E5660</v>
      </c>
      <c r="D844" t="s">
        <v>587</v>
      </c>
      <c r="E844" t="s">
        <v>588</v>
      </c>
      <c r="F844" t="s">
        <v>506</v>
      </c>
      <c r="G844" t="s">
        <v>507</v>
      </c>
      <c r="H844" t="s">
        <v>508</v>
      </c>
      <c r="I844" t="s">
        <v>509</v>
      </c>
      <c r="J844" t="s">
        <v>589</v>
      </c>
      <c r="K844" s="502">
        <v>-21.6</v>
      </c>
      <c r="L844" t="s">
        <v>818</v>
      </c>
    </row>
    <row r="845" spans="1:12">
      <c r="A845" t="s">
        <v>586</v>
      </c>
      <c r="B845" t="s">
        <v>3360</v>
      </c>
      <c r="C845" s="60" t="str">
        <f t="shared" si="73"/>
        <v>E5660</v>
      </c>
      <c r="D845" t="s">
        <v>587</v>
      </c>
      <c r="E845" t="s">
        <v>588</v>
      </c>
      <c r="F845" t="s">
        <v>506</v>
      </c>
      <c r="G845" t="s">
        <v>507</v>
      </c>
      <c r="H845" t="s">
        <v>508</v>
      </c>
      <c r="I845" t="s">
        <v>509</v>
      </c>
      <c r="J845" t="s">
        <v>589</v>
      </c>
      <c r="K845" s="502">
        <v>-22.32</v>
      </c>
      <c r="L845" t="s">
        <v>818</v>
      </c>
    </row>
    <row r="846" spans="1:12">
      <c r="A846" t="s">
        <v>586</v>
      </c>
      <c r="B846" t="s">
        <v>3361</v>
      </c>
      <c r="C846" s="60" t="str">
        <f t="shared" si="73"/>
        <v>E5660</v>
      </c>
      <c r="D846" t="s">
        <v>587</v>
      </c>
      <c r="E846" t="s">
        <v>588</v>
      </c>
      <c r="F846" t="s">
        <v>506</v>
      </c>
      <c r="G846" t="s">
        <v>507</v>
      </c>
      <c r="H846" t="s">
        <v>508</v>
      </c>
      <c r="I846" t="s">
        <v>509</v>
      </c>
      <c r="J846" t="s">
        <v>589</v>
      </c>
      <c r="K846" s="502">
        <v>-21.6</v>
      </c>
      <c r="L846" t="s">
        <v>818</v>
      </c>
    </row>
    <row r="847" spans="1:12">
      <c r="A847" t="s">
        <v>586</v>
      </c>
      <c r="B847" t="s">
        <v>3362</v>
      </c>
      <c r="C847" s="60" t="str">
        <f t="shared" si="73"/>
        <v>E5660</v>
      </c>
      <c r="D847" t="s">
        <v>587</v>
      </c>
      <c r="E847" t="s">
        <v>588</v>
      </c>
      <c r="F847" t="s">
        <v>506</v>
      </c>
      <c r="G847" t="s">
        <v>507</v>
      </c>
      <c r="H847" t="s">
        <v>508</v>
      </c>
      <c r="I847" t="s">
        <v>509</v>
      </c>
      <c r="J847" t="s">
        <v>589</v>
      </c>
      <c r="K847" s="502">
        <v>-22.32</v>
      </c>
      <c r="L847" t="s">
        <v>818</v>
      </c>
    </row>
    <row r="848" spans="1:12">
      <c r="A848" t="s">
        <v>586</v>
      </c>
      <c r="B848" t="s">
        <v>3363</v>
      </c>
      <c r="C848" s="60" t="str">
        <f t="shared" si="73"/>
        <v>E5660</v>
      </c>
      <c r="D848" t="s">
        <v>587</v>
      </c>
      <c r="E848" t="s">
        <v>588</v>
      </c>
      <c r="F848" t="s">
        <v>506</v>
      </c>
      <c r="G848" t="s">
        <v>507</v>
      </c>
      <c r="H848" t="s">
        <v>508</v>
      </c>
      <c r="I848" t="s">
        <v>509</v>
      </c>
      <c r="J848" t="s">
        <v>589</v>
      </c>
      <c r="K848" s="502">
        <v>-22.32</v>
      </c>
      <c r="L848" t="s">
        <v>818</v>
      </c>
    </row>
    <row r="849" spans="1:12">
      <c r="A849" t="s">
        <v>586</v>
      </c>
      <c r="B849" t="s">
        <v>3364</v>
      </c>
      <c r="C849" s="60" t="str">
        <f t="shared" si="73"/>
        <v>E5660</v>
      </c>
      <c r="D849" t="s">
        <v>587</v>
      </c>
      <c r="E849" t="s">
        <v>588</v>
      </c>
      <c r="F849" t="s">
        <v>506</v>
      </c>
      <c r="G849" t="s">
        <v>507</v>
      </c>
      <c r="H849" t="s">
        <v>508</v>
      </c>
      <c r="I849" t="s">
        <v>509</v>
      </c>
      <c r="J849" t="s">
        <v>589</v>
      </c>
      <c r="K849" s="502">
        <v>-21.6</v>
      </c>
      <c r="L849" t="s">
        <v>818</v>
      </c>
    </row>
    <row r="850" spans="1:12">
      <c r="A850" t="s">
        <v>586</v>
      </c>
      <c r="B850" t="s">
        <v>3365</v>
      </c>
      <c r="C850" s="60" t="str">
        <f t="shared" si="73"/>
        <v>E5660</v>
      </c>
      <c r="D850" t="s">
        <v>587</v>
      </c>
      <c r="E850" t="s">
        <v>588</v>
      </c>
      <c r="F850" t="s">
        <v>506</v>
      </c>
      <c r="G850" t="s">
        <v>507</v>
      </c>
      <c r="H850" t="s">
        <v>508</v>
      </c>
      <c r="I850" t="s">
        <v>509</v>
      </c>
      <c r="J850" t="s">
        <v>589</v>
      </c>
      <c r="K850" s="502">
        <v>-22.32</v>
      </c>
      <c r="L850" t="s">
        <v>818</v>
      </c>
    </row>
    <row r="851" spans="1:12">
      <c r="A851" t="s">
        <v>586</v>
      </c>
      <c r="B851" t="s">
        <v>3366</v>
      </c>
      <c r="C851" s="60" t="str">
        <f t="shared" si="73"/>
        <v>E5660</v>
      </c>
      <c r="D851" t="s">
        <v>587</v>
      </c>
      <c r="E851" t="s">
        <v>588</v>
      </c>
      <c r="F851" t="s">
        <v>506</v>
      </c>
      <c r="G851" t="s">
        <v>507</v>
      </c>
      <c r="H851" t="s">
        <v>508</v>
      </c>
      <c r="I851" t="s">
        <v>509</v>
      </c>
      <c r="J851" t="s">
        <v>589</v>
      </c>
      <c r="K851" s="502">
        <v>-21.6</v>
      </c>
      <c r="L851" t="s">
        <v>818</v>
      </c>
    </row>
    <row r="852" spans="1:12">
      <c r="A852" t="s">
        <v>586</v>
      </c>
      <c r="B852" t="s">
        <v>3367</v>
      </c>
      <c r="C852" s="60" t="str">
        <f t="shared" si="73"/>
        <v>E5660</v>
      </c>
      <c r="D852" t="s">
        <v>587</v>
      </c>
      <c r="E852" t="s">
        <v>588</v>
      </c>
      <c r="F852" t="s">
        <v>506</v>
      </c>
      <c r="G852" t="s">
        <v>507</v>
      </c>
      <c r="H852" t="s">
        <v>508</v>
      </c>
      <c r="I852" t="s">
        <v>509</v>
      </c>
      <c r="J852" t="s">
        <v>589</v>
      </c>
      <c r="K852" s="502">
        <v>-22.32</v>
      </c>
      <c r="L852" t="s">
        <v>818</v>
      </c>
    </row>
    <row r="853" spans="1:12">
      <c r="A853" t="s">
        <v>586</v>
      </c>
      <c r="B853" t="s">
        <v>3356</v>
      </c>
      <c r="C853" s="3" t="s">
        <v>1808</v>
      </c>
      <c r="D853" t="s">
        <v>587</v>
      </c>
      <c r="E853" t="s">
        <v>588</v>
      </c>
      <c r="F853" t="s">
        <v>506</v>
      </c>
      <c r="G853" t="s">
        <v>507</v>
      </c>
      <c r="H853" t="s">
        <v>508</v>
      </c>
      <c r="I853" t="s">
        <v>509</v>
      </c>
      <c r="J853" t="s">
        <v>589</v>
      </c>
      <c r="K853" s="503">
        <f>+Q3</f>
        <v>-22.32</v>
      </c>
      <c r="L853" t="s">
        <v>3144</v>
      </c>
    </row>
    <row r="854" spans="1:12">
      <c r="A854" t="s">
        <v>586</v>
      </c>
      <c r="B854" t="s">
        <v>3357</v>
      </c>
      <c r="C854" s="60" t="str">
        <f>C853</f>
        <v>E5880</v>
      </c>
      <c r="D854" t="s">
        <v>587</v>
      </c>
      <c r="E854" t="s">
        <v>588</v>
      </c>
      <c r="F854" t="s">
        <v>506</v>
      </c>
      <c r="G854" t="s">
        <v>507</v>
      </c>
      <c r="H854" t="s">
        <v>508</v>
      </c>
      <c r="I854" t="s">
        <v>509</v>
      </c>
      <c r="J854" t="s">
        <v>589</v>
      </c>
      <c r="K854" s="503">
        <f>+R3</f>
        <v>-20.16</v>
      </c>
      <c r="L854" t="s">
        <v>3144</v>
      </c>
    </row>
    <row r="855" spans="1:12">
      <c r="A855" t="s">
        <v>586</v>
      </c>
      <c r="B855" t="s">
        <v>3358</v>
      </c>
      <c r="C855" s="60" t="str">
        <f t="shared" ref="C855:C864" si="74">+C854</f>
        <v>E5880</v>
      </c>
      <c r="D855" t="s">
        <v>587</v>
      </c>
      <c r="E855" t="s">
        <v>588</v>
      </c>
      <c r="F855" t="s">
        <v>506</v>
      </c>
      <c r="G855" t="s">
        <v>507</v>
      </c>
      <c r="H855" t="s">
        <v>508</v>
      </c>
      <c r="I855" t="s">
        <v>509</v>
      </c>
      <c r="J855" t="s">
        <v>589</v>
      </c>
      <c r="K855" s="503">
        <f>+S3</f>
        <v>-22.32</v>
      </c>
      <c r="L855" t="s">
        <v>3144</v>
      </c>
    </row>
    <row r="856" spans="1:12">
      <c r="A856" t="s">
        <v>586</v>
      </c>
      <c r="B856" t="s">
        <v>3359</v>
      </c>
      <c r="C856" s="60" t="str">
        <f t="shared" si="74"/>
        <v>E5880</v>
      </c>
      <c r="D856" t="s">
        <v>587</v>
      </c>
      <c r="E856" t="s">
        <v>588</v>
      </c>
      <c r="F856" t="s">
        <v>506</v>
      </c>
      <c r="G856" t="s">
        <v>507</v>
      </c>
      <c r="H856" t="s">
        <v>508</v>
      </c>
      <c r="I856" t="s">
        <v>509</v>
      </c>
      <c r="J856" t="s">
        <v>589</v>
      </c>
      <c r="K856" s="503">
        <f>+T3</f>
        <v>-21.6</v>
      </c>
      <c r="L856" t="s">
        <v>3144</v>
      </c>
    </row>
    <row r="857" spans="1:12">
      <c r="A857" t="s">
        <v>586</v>
      </c>
      <c r="B857" t="s">
        <v>3360</v>
      </c>
      <c r="C857" s="60" t="str">
        <f t="shared" si="74"/>
        <v>E5880</v>
      </c>
      <c r="D857" t="s">
        <v>587</v>
      </c>
      <c r="E857" t="s">
        <v>588</v>
      </c>
      <c r="F857" t="s">
        <v>506</v>
      </c>
      <c r="G857" t="s">
        <v>507</v>
      </c>
      <c r="H857" t="s">
        <v>508</v>
      </c>
      <c r="I857" t="s">
        <v>509</v>
      </c>
      <c r="J857" t="s">
        <v>589</v>
      </c>
      <c r="K857" s="503">
        <f>+U3</f>
        <v>-22.32</v>
      </c>
      <c r="L857" t="s">
        <v>3144</v>
      </c>
    </row>
    <row r="858" spans="1:12">
      <c r="A858" t="s">
        <v>586</v>
      </c>
      <c r="B858" t="s">
        <v>3361</v>
      </c>
      <c r="C858" s="60" t="str">
        <f t="shared" si="74"/>
        <v>E5880</v>
      </c>
      <c r="D858" t="s">
        <v>587</v>
      </c>
      <c r="E858" t="s">
        <v>588</v>
      </c>
      <c r="F858" t="s">
        <v>506</v>
      </c>
      <c r="G858" t="s">
        <v>507</v>
      </c>
      <c r="H858" t="s">
        <v>508</v>
      </c>
      <c r="I858" t="s">
        <v>509</v>
      </c>
      <c r="J858" t="s">
        <v>589</v>
      </c>
      <c r="K858" s="503">
        <f>+V3</f>
        <v>-21.6</v>
      </c>
      <c r="L858" t="s">
        <v>3144</v>
      </c>
    </row>
    <row r="859" spans="1:12">
      <c r="A859" t="s">
        <v>586</v>
      </c>
      <c r="B859" t="s">
        <v>3362</v>
      </c>
      <c r="C859" s="60" t="str">
        <f t="shared" si="74"/>
        <v>E5880</v>
      </c>
      <c r="D859" t="s">
        <v>587</v>
      </c>
      <c r="E859" t="s">
        <v>588</v>
      </c>
      <c r="F859" t="s">
        <v>506</v>
      </c>
      <c r="G859" t="s">
        <v>507</v>
      </c>
      <c r="H859" t="s">
        <v>508</v>
      </c>
      <c r="I859" t="s">
        <v>509</v>
      </c>
      <c r="J859" t="s">
        <v>589</v>
      </c>
      <c r="K859" s="503">
        <f>+W3</f>
        <v>-22.32</v>
      </c>
      <c r="L859" t="s">
        <v>3144</v>
      </c>
    </row>
    <row r="860" spans="1:12">
      <c r="A860" t="s">
        <v>586</v>
      </c>
      <c r="B860" t="s">
        <v>3363</v>
      </c>
      <c r="C860" s="60" t="str">
        <f t="shared" si="74"/>
        <v>E5880</v>
      </c>
      <c r="D860" t="s">
        <v>587</v>
      </c>
      <c r="E860" t="s">
        <v>588</v>
      </c>
      <c r="F860" t="s">
        <v>506</v>
      </c>
      <c r="G860" t="s">
        <v>507</v>
      </c>
      <c r="H860" t="s">
        <v>508</v>
      </c>
      <c r="I860" t="s">
        <v>509</v>
      </c>
      <c r="J860" t="s">
        <v>589</v>
      </c>
      <c r="K860" s="503">
        <f>+X3</f>
        <v>-22.32</v>
      </c>
      <c r="L860" t="s">
        <v>3144</v>
      </c>
    </row>
    <row r="861" spans="1:12">
      <c r="A861" t="s">
        <v>586</v>
      </c>
      <c r="B861" t="s">
        <v>3364</v>
      </c>
      <c r="C861" s="60" t="str">
        <f t="shared" si="74"/>
        <v>E5880</v>
      </c>
      <c r="D861" t="s">
        <v>587</v>
      </c>
      <c r="E861" t="s">
        <v>588</v>
      </c>
      <c r="F861" t="s">
        <v>506</v>
      </c>
      <c r="G861" t="s">
        <v>507</v>
      </c>
      <c r="H861" t="s">
        <v>508</v>
      </c>
      <c r="I861" t="s">
        <v>509</v>
      </c>
      <c r="J861" t="s">
        <v>589</v>
      </c>
      <c r="K861" s="503">
        <f>Y3</f>
        <v>-21.6</v>
      </c>
      <c r="L861" t="s">
        <v>3144</v>
      </c>
    </row>
    <row r="862" spans="1:12">
      <c r="A862" t="s">
        <v>586</v>
      </c>
      <c r="B862" t="s">
        <v>3365</v>
      </c>
      <c r="C862" s="60" t="str">
        <f t="shared" si="74"/>
        <v>E5880</v>
      </c>
      <c r="D862" t="s">
        <v>587</v>
      </c>
      <c r="E862" t="s">
        <v>588</v>
      </c>
      <c r="F862" t="s">
        <v>506</v>
      </c>
      <c r="G862" t="s">
        <v>507</v>
      </c>
      <c r="H862" t="s">
        <v>508</v>
      </c>
      <c r="I862" t="s">
        <v>509</v>
      </c>
      <c r="J862" t="s">
        <v>589</v>
      </c>
      <c r="K862" s="503">
        <f>Z3</f>
        <v>-22.32</v>
      </c>
      <c r="L862" t="s">
        <v>3144</v>
      </c>
    </row>
    <row r="863" spans="1:12">
      <c r="A863" t="s">
        <v>586</v>
      </c>
      <c r="B863" t="s">
        <v>3366</v>
      </c>
      <c r="C863" s="60" t="str">
        <f t="shared" si="74"/>
        <v>E5880</v>
      </c>
      <c r="D863" t="s">
        <v>587</v>
      </c>
      <c r="E863" t="s">
        <v>588</v>
      </c>
      <c r="F863" t="s">
        <v>506</v>
      </c>
      <c r="G863" t="s">
        <v>507</v>
      </c>
      <c r="H863" t="s">
        <v>508</v>
      </c>
      <c r="I863" t="s">
        <v>509</v>
      </c>
      <c r="J863" t="s">
        <v>589</v>
      </c>
      <c r="K863" s="503">
        <f>AA3</f>
        <v>-21.6</v>
      </c>
      <c r="L863" t="s">
        <v>3144</v>
      </c>
    </row>
    <row r="864" spans="1:12">
      <c r="A864" t="s">
        <v>586</v>
      </c>
      <c r="B864" t="s">
        <v>3367</v>
      </c>
      <c r="C864" s="60" t="str">
        <f t="shared" si="74"/>
        <v>E5880</v>
      </c>
      <c r="D864" t="s">
        <v>587</v>
      </c>
      <c r="E864" t="s">
        <v>588</v>
      </c>
      <c r="F864" t="s">
        <v>506</v>
      </c>
      <c r="G864" t="s">
        <v>507</v>
      </c>
      <c r="H864" t="s">
        <v>508</v>
      </c>
      <c r="I864" t="s">
        <v>509</v>
      </c>
      <c r="J864" t="s">
        <v>589</v>
      </c>
      <c r="K864" s="503">
        <f>AB3</f>
        <v>-22.32</v>
      </c>
      <c r="L864" t="s">
        <v>3144</v>
      </c>
    </row>
    <row r="865" spans="1:12">
      <c r="A865" t="s">
        <v>586</v>
      </c>
      <c r="B865" t="s">
        <v>3356</v>
      </c>
      <c r="C865" s="3" t="s">
        <v>2269</v>
      </c>
      <c r="D865" t="s">
        <v>587</v>
      </c>
      <c r="E865" t="s">
        <v>588</v>
      </c>
      <c r="F865" t="s">
        <v>506</v>
      </c>
      <c r="G865" t="s">
        <v>507</v>
      </c>
      <c r="H865" t="s">
        <v>508</v>
      </c>
      <c r="I865" t="s">
        <v>509</v>
      </c>
      <c r="J865" t="s">
        <v>589</v>
      </c>
      <c r="K865" s="575">
        <f>Q3</f>
        <v>-22.32</v>
      </c>
      <c r="L865" t="s">
        <v>3246</v>
      </c>
    </row>
    <row r="866" spans="1:12">
      <c r="A866" t="s">
        <v>586</v>
      </c>
      <c r="B866" t="s">
        <v>3357</v>
      </c>
      <c r="C866" s="60" t="str">
        <f>C865</f>
        <v>E6040</v>
      </c>
      <c r="D866" t="s">
        <v>587</v>
      </c>
      <c r="E866" t="s">
        <v>588</v>
      </c>
      <c r="F866" t="s">
        <v>506</v>
      </c>
      <c r="G866" t="s">
        <v>507</v>
      </c>
      <c r="H866" t="s">
        <v>508</v>
      </c>
      <c r="I866" t="s">
        <v>509</v>
      </c>
      <c r="J866" t="s">
        <v>589</v>
      </c>
      <c r="K866" s="575">
        <f>R3</f>
        <v>-20.16</v>
      </c>
      <c r="L866" t="s">
        <v>3246</v>
      </c>
    </row>
    <row r="867" spans="1:12">
      <c r="A867" t="s">
        <v>586</v>
      </c>
      <c r="B867" t="s">
        <v>3358</v>
      </c>
      <c r="C867" s="60" t="str">
        <f t="shared" ref="C867:C876" si="75">+C866</f>
        <v>E6040</v>
      </c>
      <c r="D867" t="s">
        <v>587</v>
      </c>
      <c r="E867" t="s">
        <v>588</v>
      </c>
      <c r="F867" t="s">
        <v>506</v>
      </c>
      <c r="G867" t="s">
        <v>507</v>
      </c>
      <c r="H867" t="s">
        <v>508</v>
      </c>
      <c r="I867" t="s">
        <v>509</v>
      </c>
      <c r="J867" t="s">
        <v>589</v>
      </c>
      <c r="K867" s="575">
        <f>S3</f>
        <v>-22.32</v>
      </c>
      <c r="L867" t="s">
        <v>3246</v>
      </c>
    </row>
    <row r="868" spans="1:12">
      <c r="A868" t="s">
        <v>586</v>
      </c>
      <c r="B868" t="s">
        <v>3359</v>
      </c>
      <c r="C868" s="60" t="str">
        <f t="shared" si="75"/>
        <v>E6040</v>
      </c>
      <c r="D868" t="s">
        <v>587</v>
      </c>
      <c r="E868" t="s">
        <v>588</v>
      </c>
      <c r="F868" t="s">
        <v>506</v>
      </c>
      <c r="G868" t="s">
        <v>507</v>
      </c>
      <c r="H868" t="s">
        <v>508</v>
      </c>
      <c r="I868" t="s">
        <v>509</v>
      </c>
      <c r="J868" t="s">
        <v>589</v>
      </c>
      <c r="K868" s="575">
        <f>T3</f>
        <v>-21.6</v>
      </c>
      <c r="L868" t="s">
        <v>3246</v>
      </c>
    </row>
    <row r="869" spans="1:12">
      <c r="A869" t="s">
        <v>586</v>
      </c>
      <c r="B869" t="s">
        <v>3360</v>
      </c>
      <c r="C869" s="60" t="str">
        <f t="shared" si="75"/>
        <v>E6040</v>
      </c>
      <c r="D869" t="s">
        <v>587</v>
      </c>
      <c r="E869" t="s">
        <v>588</v>
      </c>
      <c r="F869" t="s">
        <v>506</v>
      </c>
      <c r="G869" t="s">
        <v>507</v>
      </c>
      <c r="H869" t="s">
        <v>508</v>
      </c>
      <c r="I869" t="s">
        <v>509</v>
      </c>
      <c r="J869" t="s">
        <v>589</v>
      </c>
      <c r="K869" s="575">
        <f>U3</f>
        <v>-22.32</v>
      </c>
      <c r="L869" t="s">
        <v>3246</v>
      </c>
    </row>
    <row r="870" spans="1:12">
      <c r="A870" t="s">
        <v>586</v>
      </c>
      <c r="B870" t="s">
        <v>3361</v>
      </c>
      <c r="C870" s="60" t="str">
        <f t="shared" si="75"/>
        <v>E6040</v>
      </c>
      <c r="D870" t="s">
        <v>587</v>
      </c>
      <c r="E870" t="s">
        <v>588</v>
      </c>
      <c r="F870" t="s">
        <v>506</v>
      </c>
      <c r="G870" t="s">
        <v>507</v>
      </c>
      <c r="H870" t="s">
        <v>508</v>
      </c>
      <c r="I870" t="s">
        <v>509</v>
      </c>
      <c r="J870" t="s">
        <v>589</v>
      </c>
      <c r="K870" s="575">
        <f>V3</f>
        <v>-21.6</v>
      </c>
      <c r="L870" t="s">
        <v>3246</v>
      </c>
    </row>
    <row r="871" spans="1:12">
      <c r="A871" t="s">
        <v>586</v>
      </c>
      <c r="B871" t="s">
        <v>3362</v>
      </c>
      <c r="C871" s="60" t="str">
        <f t="shared" si="75"/>
        <v>E6040</v>
      </c>
      <c r="D871" t="s">
        <v>587</v>
      </c>
      <c r="E871" t="s">
        <v>588</v>
      </c>
      <c r="F871" t="s">
        <v>506</v>
      </c>
      <c r="G871" t="s">
        <v>507</v>
      </c>
      <c r="H871" t="s">
        <v>508</v>
      </c>
      <c r="I871" t="s">
        <v>509</v>
      </c>
      <c r="J871" t="s">
        <v>589</v>
      </c>
      <c r="K871" s="575">
        <f>W3</f>
        <v>-22.32</v>
      </c>
      <c r="L871" t="s">
        <v>3246</v>
      </c>
    </row>
    <row r="872" spans="1:12">
      <c r="A872" t="s">
        <v>586</v>
      </c>
      <c r="B872" t="s">
        <v>3363</v>
      </c>
      <c r="C872" s="60" t="str">
        <f t="shared" si="75"/>
        <v>E6040</v>
      </c>
      <c r="D872" t="s">
        <v>587</v>
      </c>
      <c r="E872" t="s">
        <v>588</v>
      </c>
      <c r="F872" t="s">
        <v>506</v>
      </c>
      <c r="G872" t="s">
        <v>507</v>
      </c>
      <c r="H872" t="s">
        <v>508</v>
      </c>
      <c r="I872" t="s">
        <v>509</v>
      </c>
      <c r="J872" t="s">
        <v>589</v>
      </c>
      <c r="K872" s="575">
        <f>X3</f>
        <v>-22.32</v>
      </c>
      <c r="L872" t="s">
        <v>3246</v>
      </c>
    </row>
    <row r="873" spans="1:12">
      <c r="A873" t="s">
        <v>586</v>
      </c>
      <c r="B873" t="s">
        <v>3364</v>
      </c>
      <c r="C873" s="60" t="str">
        <f t="shared" si="75"/>
        <v>E6040</v>
      </c>
      <c r="D873" t="s">
        <v>587</v>
      </c>
      <c r="E873" t="s">
        <v>588</v>
      </c>
      <c r="F873" t="s">
        <v>506</v>
      </c>
      <c r="G873" t="s">
        <v>507</v>
      </c>
      <c r="H873" t="s">
        <v>508</v>
      </c>
      <c r="I873" t="s">
        <v>509</v>
      </c>
      <c r="J873" t="s">
        <v>589</v>
      </c>
      <c r="K873" s="575">
        <f>Y3</f>
        <v>-21.6</v>
      </c>
      <c r="L873" t="s">
        <v>3246</v>
      </c>
    </row>
    <row r="874" spans="1:12">
      <c r="A874" t="s">
        <v>586</v>
      </c>
      <c r="B874" t="s">
        <v>3365</v>
      </c>
      <c r="C874" s="60" t="str">
        <f t="shared" si="75"/>
        <v>E6040</v>
      </c>
      <c r="D874" t="s">
        <v>587</v>
      </c>
      <c r="E874" t="s">
        <v>588</v>
      </c>
      <c r="F874" t="s">
        <v>506</v>
      </c>
      <c r="G874" t="s">
        <v>507</v>
      </c>
      <c r="H874" t="s">
        <v>508</v>
      </c>
      <c r="I874" t="s">
        <v>509</v>
      </c>
      <c r="J874" t="s">
        <v>589</v>
      </c>
      <c r="K874" s="575">
        <f>Z3</f>
        <v>-22.32</v>
      </c>
      <c r="L874" t="s">
        <v>3246</v>
      </c>
    </row>
    <row r="875" spans="1:12">
      <c r="A875" t="s">
        <v>586</v>
      </c>
      <c r="B875" t="s">
        <v>3366</v>
      </c>
      <c r="C875" s="60" t="str">
        <f t="shared" si="75"/>
        <v>E6040</v>
      </c>
      <c r="D875" t="s">
        <v>587</v>
      </c>
      <c r="E875" t="s">
        <v>588</v>
      </c>
      <c r="F875" t="s">
        <v>506</v>
      </c>
      <c r="G875" t="s">
        <v>507</v>
      </c>
      <c r="H875" t="s">
        <v>508</v>
      </c>
      <c r="I875" t="s">
        <v>509</v>
      </c>
      <c r="J875" t="s">
        <v>589</v>
      </c>
      <c r="K875" s="575">
        <f>AA3</f>
        <v>-21.6</v>
      </c>
      <c r="L875" t="s">
        <v>3246</v>
      </c>
    </row>
    <row r="876" spans="1:12">
      <c r="A876" t="s">
        <v>586</v>
      </c>
      <c r="B876" t="s">
        <v>3367</v>
      </c>
      <c r="C876" s="60" t="str">
        <f t="shared" si="75"/>
        <v>E6040</v>
      </c>
      <c r="D876" t="s">
        <v>587</v>
      </c>
      <c r="E876" t="s">
        <v>588</v>
      </c>
      <c r="F876" t="s">
        <v>506</v>
      </c>
      <c r="G876" t="s">
        <v>507</v>
      </c>
      <c r="H876" t="s">
        <v>508</v>
      </c>
      <c r="I876" t="s">
        <v>509</v>
      </c>
      <c r="J876" t="s">
        <v>589</v>
      </c>
      <c r="K876" s="575">
        <f>AB3</f>
        <v>-22.32</v>
      </c>
      <c r="L876" t="s">
        <v>3246</v>
      </c>
    </row>
    <row r="877" spans="1:12">
      <c r="A877" t="s">
        <v>586</v>
      </c>
      <c r="B877" t="s">
        <v>3356</v>
      </c>
      <c r="C877" s="3" t="s">
        <v>2089</v>
      </c>
      <c r="D877" t="s">
        <v>587</v>
      </c>
      <c r="E877" t="s">
        <v>588</v>
      </c>
      <c r="F877" t="s">
        <v>506</v>
      </c>
      <c r="G877" t="s">
        <v>507</v>
      </c>
      <c r="H877" t="s">
        <v>508</v>
      </c>
      <c r="I877" t="s">
        <v>509</v>
      </c>
      <c r="J877" t="s">
        <v>589</v>
      </c>
      <c r="K877" s="503">
        <f>+Q3</f>
        <v>-22.32</v>
      </c>
      <c r="L877" t="s">
        <v>3143</v>
      </c>
    </row>
    <row r="878" spans="1:12">
      <c r="A878" t="s">
        <v>586</v>
      </c>
      <c r="B878" t="s">
        <v>3357</v>
      </c>
      <c r="C878" s="60" t="str">
        <f>C877</f>
        <v>E6310</v>
      </c>
      <c r="D878" t="s">
        <v>587</v>
      </c>
      <c r="E878" t="s">
        <v>588</v>
      </c>
      <c r="F878" t="s">
        <v>506</v>
      </c>
      <c r="G878" t="s">
        <v>507</v>
      </c>
      <c r="H878" t="s">
        <v>508</v>
      </c>
      <c r="I878" t="s">
        <v>509</v>
      </c>
      <c r="J878" t="s">
        <v>589</v>
      </c>
      <c r="K878" s="503">
        <f>+R3</f>
        <v>-20.16</v>
      </c>
      <c r="L878" t="s">
        <v>3143</v>
      </c>
    </row>
    <row r="879" spans="1:12">
      <c r="A879" t="s">
        <v>586</v>
      </c>
      <c r="B879" t="s">
        <v>3358</v>
      </c>
      <c r="C879" s="60" t="str">
        <f t="shared" ref="C879:C888" si="76">+C878</f>
        <v>E6310</v>
      </c>
      <c r="D879" t="s">
        <v>587</v>
      </c>
      <c r="E879" t="s">
        <v>588</v>
      </c>
      <c r="F879" t="s">
        <v>506</v>
      </c>
      <c r="G879" t="s">
        <v>507</v>
      </c>
      <c r="H879" t="s">
        <v>508</v>
      </c>
      <c r="I879" t="s">
        <v>509</v>
      </c>
      <c r="J879" t="s">
        <v>589</v>
      </c>
      <c r="K879" s="503">
        <f>+S3</f>
        <v>-22.32</v>
      </c>
      <c r="L879" t="s">
        <v>3143</v>
      </c>
    </row>
    <row r="880" spans="1:12">
      <c r="A880" t="s">
        <v>586</v>
      </c>
      <c r="B880" t="s">
        <v>3359</v>
      </c>
      <c r="C880" s="60" t="str">
        <f t="shared" si="76"/>
        <v>E6310</v>
      </c>
      <c r="D880" t="s">
        <v>587</v>
      </c>
      <c r="E880" t="s">
        <v>588</v>
      </c>
      <c r="F880" t="s">
        <v>506</v>
      </c>
      <c r="G880" t="s">
        <v>507</v>
      </c>
      <c r="H880" t="s">
        <v>508</v>
      </c>
      <c r="I880" t="s">
        <v>509</v>
      </c>
      <c r="J880" t="s">
        <v>589</v>
      </c>
      <c r="K880" s="503">
        <f>+T3</f>
        <v>-21.6</v>
      </c>
      <c r="L880" t="s">
        <v>3143</v>
      </c>
    </row>
    <row r="881" spans="1:12">
      <c r="A881" t="s">
        <v>586</v>
      </c>
      <c r="B881" t="s">
        <v>3360</v>
      </c>
      <c r="C881" s="60" t="str">
        <f t="shared" si="76"/>
        <v>E6310</v>
      </c>
      <c r="D881" t="s">
        <v>587</v>
      </c>
      <c r="E881" t="s">
        <v>588</v>
      </c>
      <c r="F881" t="s">
        <v>506</v>
      </c>
      <c r="G881" t="s">
        <v>507</v>
      </c>
      <c r="H881" t="s">
        <v>508</v>
      </c>
      <c r="I881" t="s">
        <v>509</v>
      </c>
      <c r="J881" t="s">
        <v>589</v>
      </c>
      <c r="K881" s="503">
        <v>-22.32</v>
      </c>
      <c r="L881" t="s">
        <v>3143</v>
      </c>
    </row>
    <row r="882" spans="1:12">
      <c r="A882" t="s">
        <v>586</v>
      </c>
      <c r="B882" t="s">
        <v>3361</v>
      </c>
      <c r="C882" s="60" t="str">
        <f t="shared" si="76"/>
        <v>E6310</v>
      </c>
      <c r="D882" t="s">
        <v>587</v>
      </c>
      <c r="E882" t="s">
        <v>588</v>
      </c>
      <c r="F882" t="s">
        <v>506</v>
      </c>
      <c r="G882" t="s">
        <v>507</v>
      </c>
      <c r="H882" t="s">
        <v>508</v>
      </c>
      <c r="I882" t="s">
        <v>509</v>
      </c>
      <c r="J882" t="s">
        <v>589</v>
      </c>
      <c r="K882" s="503">
        <v>-21.6</v>
      </c>
      <c r="L882" t="s">
        <v>3143</v>
      </c>
    </row>
    <row r="883" spans="1:12">
      <c r="A883" t="s">
        <v>586</v>
      </c>
      <c r="B883" t="s">
        <v>3362</v>
      </c>
      <c r="C883" s="60" t="str">
        <f t="shared" si="76"/>
        <v>E6310</v>
      </c>
      <c r="D883" t="s">
        <v>587</v>
      </c>
      <c r="E883" t="s">
        <v>588</v>
      </c>
      <c r="F883" t="s">
        <v>506</v>
      </c>
      <c r="G883" t="s">
        <v>507</v>
      </c>
      <c r="H883" t="s">
        <v>508</v>
      </c>
      <c r="I883" t="s">
        <v>509</v>
      </c>
      <c r="J883" t="s">
        <v>589</v>
      </c>
      <c r="K883" s="503">
        <v>-22.32</v>
      </c>
      <c r="L883" t="s">
        <v>3143</v>
      </c>
    </row>
    <row r="884" spans="1:12">
      <c r="A884" t="s">
        <v>586</v>
      </c>
      <c r="B884" t="s">
        <v>3363</v>
      </c>
      <c r="C884" s="60" t="str">
        <f t="shared" si="76"/>
        <v>E6310</v>
      </c>
      <c r="D884" t="s">
        <v>587</v>
      </c>
      <c r="E884" t="s">
        <v>588</v>
      </c>
      <c r="F884" t="s">
        <v>506</v>
      </c>
      <c r="G884" t="s">
        <v>507</v>
      </c>
      <c r="H884" t="s">
        <v>508</v>
      </c>
      <c r="I884" t="s">
        <v>509</v>
      </c>
      <c r="J884" t="s">
        <v>589</v>
      </c>
      <c r="K884" s="503">
        <v>-22.32</v>
      </c>
      <c r="L884" t="s">
        <v>3143</v>
      </c>
    </row>
    <row r="885" spans="1:12">
      <c r="A885" t="s">
        <v>586</v>
      </c>
      <c r="B885" t="s">
        <v>3364</v>
      </c>
      <c r="C885" s="60" t="str">
        <f t="shared" si="76"/>
        <v>E6310</v>
      </c>
      <c r="D885" t="s">
        <v>587</v>
      </c>
      <c r="E885" t="s">
        <v>588</v>
      </c>
      <c r="F885" t="s">
        <v>506</v>
      </c>
      <c r="G885" t="s">
        <v>507</v>
      </c>
      <c r="H885" t="s">
        <v>508</v>
      </c>
      <c r="I885" t="s">
        <v>509</v>
      </c>
      <c r="J885" t="s">
        <v>589</v>
      </c>
      <c r="K885" s="503">
        <v>-21.6</v>
      </c>
      <c r="L885" t="s">
        <v>3143</v>
      </c>
    </row>
    <row r="886" spans="1:12">
      <c r="A886" t="s">
        <v>586</v>
      </c>
      <c r="B886" t="s">
        <v>3365</v>
      </c>
      <c r="C886" s="60" t="str">
        <f t="shared" si="76"/>
        <v>E6310</v>
      </c>
      <c r="D886" t="s">
        <v>587</v>
      </c>
      <c r="E886" t="s">
        <v>588</v>
      </c>
      <c r="F886" t="s">
        <v>506</v>
      </c>
      <c r="G886" t="s">
        <v>507</v>
      </c>
      <c r="H886" t="s">
        <v>508</v>
      </c>
      <c r="I886" t="s">
        <v>509</v>
      </c>
      <c r="J886" t="s">
        <v>589</v>
      </c>
      <c r="K886" s="503">
        <v>-22.32</v>
      </c>
      <c r="L886" t="s">
        <v>3143</v>
      </c>
    </row>
    <row r="887" spans="1:12">
      <c r="A887" t="s">
        <v>586</v>
      </c>
      <c r="B887" t="s">
        <v>3366</v>
      </c>
      <c r="C887" s="60" t="str">
        <f t="shared" si="76"/>
        <v>E6310</v>
      </c>
      <c r="D887" t="s">
        <v>587</v>
      </c>
      <c r="E887" t="s">
        <v>588</v>
      </c>
      <c r="F887" t="s">
        <v>506</v>
      </c>
      <c r="G887" t="s">
        <v>507</v>
      </c>
      <c r="H887" t="s">
        <v>508</v>
      </c>
      <c r="I887" t="s">
        <v>509</v>
      </c>
      <c r="J887" t="s">
        <v>589</v>
      </c>
      <c r="K887" s="503">
        <v>-21.6</v>
      </c>
      <c r="L887" t="s">
        <v>3143</v>
      </c>
    </row>
    <row r="888" spans="1:12">
      <c r="A888" t="s">
        <v>586</v>
      </c>
      <c r="B888" t="s">
        <v>3367</v>
      </c>
      <c r="C888" s="60" t="str">
        <f t="shared" si="76"/>
        <v>E6310</v>
      </c>
      <c r="D888" t="s">
        <v>587</v>
      </c>
      <c r="E888" t="s">
        <v>588</v>
      </c>
      <c r="F888" t="s">
        <v>506</v>
      </c>
      <c r="G888" t="s">
        <v>507</v>
      </c>
      <c r="H888" t="s">
        <v>508</v>
      </c>
      <c r="I888" t="s">
        <v>509</v>
      </c>
      <c r="J888" t="s">
        <v>589</v>
      </c>
      <c r="K888" s="503">
        <v>-22.32</v>
      </c>
      <c r="L888" t="s">
        <v>3143</v>
      </c>
    </row>
    <row r="889" spans="1:12">
      <c r="A889" t="s">
        <v>586</v>
      </c>
      <c r="B889" t="s">
        <v>3356</v>
      </c>
      <c r="C889" s="3" t="s">
        <v>3241</v>
      </c>
      <c r="D889" t="s">
        <v>587</v>
      </c>
      <c r="E889" t="s">
        <v>588</v>
      </c>
      <c r="F889" t="s">
        <v>506</v>
      </c>
      <c r="G889" t="s">
        <v>507</v>
      </c>
      <c r="H889" t="s">
        <v>508</v>
      </c>
      <c r="I889" t="s">
        <v>509</v>
      </c>
      <c r="J889" t="s">
        <v>589</v>
      </c>
      <c r="K889" s="503">
        <f>+Q3</f>
        <v>-22.32</v>
      </c>
      <c r="L889" t="s">
        <v>3245</v>
      </c>
    </row>
    <row r="890" spans="1:12">
      <c r="A890" t="s">
        <v>586</v>
      </c>
      <c r="B890" t="s">
        <v>3357</v>
      </c>
      <c r="C890" s="60" t="str">
        <f>C889</f>
        <v>E6720</v>
      </c>
      <c r="D890" t="s">
        <v>587</v>
      </c>
      <c r="E890" t="s">
        <v>588</v>
      </c>
      <c r="F890" t="s">
        <v>506</v>
      </c>
      <c r="G890" t="s">
        <v>507</v>
      </c>
      <c r="H890" t="s">
        <v>508</v>
      </c>
      <c r="I890" t="s">
        <v>509</v>
      </c>
      <c r="J890" t="s">
        <v>589</v>
      </c>
      <c r="K890" s="503">
        <f>+R3</f>
        <v>-20.16</v>
      </c>
      <c r="L890" t="str">
        <f>L889</f>
        <v xml:space="preserve">St Christophe - Clé des champs / Solaire </v>
      </c>
    </row>
    <row r="891" spans="1:12">
      <c r="A891" t="s">
        <v>586</v>
      </c>
      <c r="B891" t="s">
        <v>3358</v>
      </c>
      <c r="C891" s="60" t="str">
        <f t="shared" ref="C891:C900" si="77">+C890</f>
        <v>E6720</v>
      </c>
      <c r="D891" t="s">
        <v>587</v>
      </c>
      <c r="E891" t="s">
        <v>588</v>
      </c>
      <c r="F891" t="s">
        <v>506</v>
      </c>
      <c r="G891" t="s">
        <v>507</v>
      </c>
      <c r="H891" t="s">
        <v>508</v>
      </c>
      <c r="I891" t="s">
        <v>509</v>
      </c>
      <c r="J891" t="s">
        <v>589</v>
      </c>
      <c r="K891" s="503">
        <f>+S3</f>
        <v>-22.32</v>
      </c>
      <c r="L891" t="str">
        <f t="shared" ref="L891:L900" si="78">L890</f>
        <v xml:space="preserve">St Christophe - Clé des champs / Solaire </v>
      </c>
    </row>
    <row r="892" spans="1:12">
      <c r="A892" t="s">
        <v>586</v>
      </c>
      <c r="B892" t="s">
        <v>3359</v>
      </c>
      <c r="C892" s="60" t="str">
        <f t="shared" si="77"/>
        <v>E6720</v>
      </c>
      <c r="D892" t="s">
        <v>587</v>
      </c>
      <c r="E892" t="s">
        <v>588</v>
      </c>
      <c r="F892" t="s">
        <v>506</v>
      </c>
      <c r="G892" t="s">
        <v>507</v>
      </c>
      <c r="H892" t="s">
        <v>508</v>
      </c>
      <c r="I892" t="s">
        <v>509</v>
      </c>
      <c r="J892" t="s">
        <v>589</v>
      </c>
      <c r="K892" s="503">
        <f>+T3</f>
        <v>-21.6</v>
      </c>
      <c r="L892" t="str">
        <f t="shared" si="78"/>
        <v xml:space="preserve">St Christophe - Clé des champs / Solaire </v>
      </c>
    </row>
    <row r="893" spans="1:12">
      <c r="A893" t="s">
        <v>586</v>
      </c>
      <c r="B893" t="s">
        <v>3360</v>
      </c>
      <c r="C893" s="60" t="str">
        <f t="shared" si="77"/>
        <v>E6720</v>
      </c>
      <c r="D893" t="s">
        <v>587</v>
      </c>
      <c r="E893" t="s">
        <v>588</v>
      </c>
      <c r="F893" t="s">
        <v>506</v>
      </c>
      <c r="G893" t="s">
        <v>507</v>
      </c>
      <c r="H893" t="s">
        <v>508</v>
      </c>
      <c r="I893" t="s">
        <v>509</v>
      </c>
      <c r="J893" t="s">
        <v>589</v>
      </c>
      <c r="K893" s="503">
        <f>+U3</f>
        <v>-22.32</v>
      </c>
      <c r="L893" t="str">
        <f t="shared" si="78"/>
        <v xml:space="preserve">St Christophe - Clé des champs / Solaire </v>
      </c>
    </row>
    <row r="894" spans="1:12">
      <c r="A894" t="s">
        <v>586</v>
      </c>
      <c r="B894" t="s">
        <v>3361</v>
      </c>
      <c r="C894" s="60" t="str">
        <f t="shared" si="77"/>
        <v>E6720</v>
      </c>
      <c r="D894" t="s">
        <v>587</v>
      </c>
      <c r="E894" t="s">
        <v>588</v>
      </c>
      <c r="F894" t="s">
        <v>506</v>
      </c>
      <c r="G894" t="s">
        <v>507</v>
      </c>
      <c r="H894" t="s">
        <v>508</v>
      </c>
      <c r="I894" t="s">
        <v>509</v>
      </c>
      <c r="J894" t="s">
        <v>589</v>
      </c>
      <c r="K894" s="503">
        <f>+V3</f>
        <v>-21.6</v>
      </c>
      <c r="L894" t="str">
        <f t="shared" si="78"/>
        <v xml:space="preserve">St Christophe - Clé des champs / Solaire </v>
      </c>
    </row>
    <row r="895" spans="1:12">
      <c r="A895" t="s">
        <v>586</v>
      </c>
      <c r="B895" t="s">
        <v>3362</v>
      </c>
      <c r="C895" s="60" t="str">
        <f t="shared" si="77"/>
        <v>E6720</v>
      </c>
      <c r="D895" t="s">
        <v>587</v>
      </c>
      <c r="E895" t="s">
        <v>588</v>
      </c>
      <c r="F895" t="s">
        <v>506</v>
      </c>
      <c r="G895" t="s">
        <v>507</v>
      </c>
      <c r="H895" t="s">
        <v>508</v>
      </c>
      <c r="I895" t="s">
        <v>509</v>
      </c>
      <c r="J895" t="s">
        <v>589</v>
      </c>
      <c r="K895" s="503">
        <f>+W3</f>
        <v>-22.32</v>
      </c>
      <c r="L895" t="str">
        <f t="shared" si="78"/>
        <v xml:space="preserve">St Christophe - Clé des champs / Solaire </v>
      </c>
    </row>
    <row r="896" spans="1:12">
      <c r="A896" t="s">
        <v>586</v>
      </c>
      <c r="B896" t="s">
        <v>3363</v>
      </c>
      <c r="C896" s="60" t="str">
        <f t="shared" si="77"/>
        <v>E6720</v>
      </c>
      <c r="D896" t="s">
        <v>587</v>
      </c>
      <c r="E896" t="s">
        <v>588</v>
      </c>
      <c r="F896" t="s">
        <v>506</v>
      </c>
      <c r="G896" t="s">
        <v>507</v>
      </c>
      <c r="H896" t="s">
        <v>508</v>
      </c>
      <c r="I896" t="s">
        <v>509</v>
      </c>
      <c r="J896" t="s">
        <v>589</v>
      </c>
      <c r="K896" s="503">
        <f>+X3</f>
        <v>-22.32</v>
      </c>
      <c r="L896" t="str">
        <f t="shared" si="78"/>
        <v xml:space="preserve">St Christophe - Clé des champs / Solaire </v>
      </c>
    </row>
    <row r="897" spans="1:12">
      <c r="A897" t="s">
        <v>586</v>
      </c>
      <c r="B897" t="s">
        <v>3364</v>
      </c>
      <c r="C897" s="60" t="str">
        <f t="shared" si="77"/>
        <v>E6720</v>
      </c>
      <c r="D897" t="s">
        <v>587</v>
      </c>
      <c r="E897" t="s">
        <v>588</v>
      </c>
      <c r="F897" t="s">
        <v>506</v>
      </c>
      <c r="G897" t="s">
        <v>507</v>
      </c>
      <c r="H897" t="s">
        <v>508</v>
      </c>
      <c r="I897" t="s">
        <v>509</v>
      </c>
      <c r="J897" t="s">
        <v>589</v>
      </c>
      <c r="K897" s="503">
        <f>+Y3</f>
        <v>-21.6</v>
      </c>
      <c r="L897" t="str">
        <f t="shared" si="78"/>
        <v xml:space="preserve">St Christophe - Clé des champs / Solaire </v>
      </c>
    </row>
    <row r="898" spans="1:12">
      <c r="A898" t="s">
        <v>586</v>
      </c>
      <c r="B898" t="s">
        <v>3365</v>
      </c>
      <c r="C898" s="60" t="str">
        <f t="shared" si="77"/>
        <v>E6720</v>
      </c>
      <c r="D898" t="s">
        <v>587</v>
      </c>
      <c r="E898" t="s">
        <v>588</v>
      </c>
      <c r="F898" t="s">
        <v>506</v>
      </c>
      <c r="G898" t="s">
        <v>507</v>
      </c>
      <c r="H898" t="s">
        <v>508</v>
      </c>
      <c r="I898" t="s">
        <v>509</v>
      </c>
      <c r="J898" t="s">
        <v>589</v>
      </c>
      <c r="K898" s="503">
        <f>+Z3</f>
        <v>-22.32</v>
      </c>
      <c r="L898" t="str">
        <f t="shared" si="78"/>
        <v xml:space="preserve">St Christophe - Clé des champs / Solaire </v>
      </c>
    </row>
    <row r="899" spans="1:12">
      <c r="A899" t="s">
        <v>586</v>
      </c>
      <c r="B899" t="s">
        <v>3366</v>
      </c>
      <c r="C899" s="60" t="str">
        <f t="shared" si="77"/>
        <v>E6720</v>
      </c>
      <c r="D899" t="s">
        <v>587</v>
      </c>
      <c r="E899" t="s">
        <v>588</v>
      </c>
      <c r="F899" t="s">
        <v>506</v>
      </c>
      <c r="G899" t="s">
        <v>507</v>
      </c>
      <c r="H899" t="s">
        <v>508</v>
      </c>
      <c r="I899" t="s">
        <v>509</v>
      </c>
      <c r="J899" t="s">
        <v>589</v>
      </c>
      <c r="K899" s="503">
        <v>-21.6</v>
      </c>
      <c r="L899" t="str">
        <f t="shared" si="78"/>
        <v xml:space="preserve">St Christophe - Clé des champs / Solaire </v>
      </c>
    </row>
    <row r="900" spans="1:12">
      <c r="A900" t="s">
        <v>586</v>
      </c>
      <c r="B900" t="s">
        <v>3367</v>
      </c>
      <c r="C900" s="60" t="str">
        <f t="shared" si="77"/>
        <v>E6720</v>
      </c>
      <c r="D900" t="s">
        <v>587</v>
      </c>
      <c r="E900" t="s">
        <v>588</v>
      </c>
      <c r="F900" t="s">
        <v>506</v>
      </c>
      <c r="G900" t="s">
        <v>507</v>
      </c>
      <c r="H900" t="s">
        <v>508</v>
      </c>
      <c r="I900" t="s">
        <v>509</v>
      </c>
      <c r="J900" t="s">
        <v>589</v>
      </c>
      <c r="K900" s="503">
        <v>-22.32</v>
      </c>
      <c r="L900" t="str">
        <f t="shared" si="78"/>
        <v xml:space="preserve">St Christophe - Clé des champs / Solaire </v>
      </c>
    </row>
    <row r="901" spans="1:12">
      <c r="A901" t="s">
        <v>586</v>
      </c>
      <c r="B901" t="s">
        <v>3356</v>
      </c>
      <c r="C901" s="3" t="s">
        <v>1813</v>
      </c>
      <c r="D901" t="s">
        <v>587</v>
      </c>
      <c r="E901" t="s">
        <v>588</v>
      </c>
      <c r="F901" t="s">
        <v>506</v>
      </c>
      <c r="G901" t="s">
        <v>507</v>
      </c>
      <c r="H901" t="s">
        <v>508</v>
      </c>
      <c r="I901" t="s">
        <v>509</v>
      </c>
      <c r="J901" t="s">
        <v>589</v>
      </c>
      <c r="K901" s="503">
        <f>+Q3</f>
        <v>-22.32</v>
      </c>
      <c r="L901" t="s">
        <v>3395</v>
      </c>
    </row>
    <row r="902" spans="1:12">
      <c r="A902" t="s">
        <v>586</v>
      </c>
      <c r="B902" t="s">
        <v>3357</v>
      </c>
      <c r="C902" s="60" t="str">
        <f>C901</f>
        <v>E5890</v>
      </c>
      <c r="D902" t="s">
        <v>587</v>
      </c>
      <c r="E902" t="s">
        <v>588</v>
      </c>
      <c r="F902" t="s">
        <v>506</v>
      </c>
      <c r="G902" t="s">
        <v>507</v>
      </c>
      <c r="H902" t="s">
        <v>508</v>
      </c>
      <c r="I902" t="s">
        <v>509</v>
      </c>
      <c r="J902" t="s">
        <v>589</v>
      </c>
      <c r="K902" s="503">
        <f>+R3</f>
        <v>-20.16</v>
      </c>
      <c r="L902" t="str">
        <f>L901</f>
        <v>La Grande Borne</v>
      </c>
    </row>
    <row r="903" spans="1:12">
      <c r="A903" t="s">
        <v>586</v>
      </c>
      <c r="B903" t="s">
        <v>3358</v>
      </c>
      <c r="C903" s="60" t="str">
        <f t="shared" ref="C903:C912" si="79">+C902</f>
        <v>E5890</v>
      </c>
      <c r="D903" t="s">
        <v>587</v>
      </c>
      <c r="E903" t="s">
        <v>588</v>
      </c>
      <c r="F903" t="s">
        <v>506</v>
      </c>
      <c r="G903" t="s">
        <v>507</v>
      </c>
      <c r="H903" t="s">
        <v>508</v>
      </c>
      <c r="I903" t="s">
        <v>509</v>
      </c>
      <c r="J903" t="s">
        <v>589</v>
      </c>
      <c r="K903" s="503">
        <f>+S3</f>
        <v>-22.32</v>
      </c>
      <c r="L903" t="str">
        <f t="shared" ref="L903:L912" si="80">L902</f>
        <v>La Grande Borne</v>
      </c>
    </row>
    <row r="904" spans="1:12">
      <c r="A904" t="s">
        <v>586</v>
      </c>
      <c r="B904" t="s">
        <v>3359</v>
      </c>
      <c r="C904" s="60" t="str">
        <f t="shared" si="79"/>
        <v>E5890</v>
      </c>
      <c r="D904" t="s">
        <v>587</v>
      </c>
      <c r="E904" t="s">
        <v>588</v>
      </c>
      <c r="F904" t="s">
        <v>506</v>
      </c>
      <c r="G904" t="s">
        <v>507</v>
      </c>
      <c r="H904" t="s">
        <v>508</v>
      </c>
      <c r="I904" t="s">
        <v>509</v>
      </c>
      <c r="J904" t="s">
        <v>589</v>
      </c>
      <c r="K904" s="503">
        <f>+T3</f>
        <v>-21.6</v>
      </c>
      <c r="L904" t="str">
        <f t="shared" si="80"/>
        <v>La Grande Borne</v>
      </c>
    </row>
    <row r="905" spans="1:12">
      <c r="A905" t="s">
        <v>586</v>
      </c>
      <c r="B905" t="s">
        <v>3360</v>
      </c>
      <c r="C905" s="60" t="str">
        <f t="shared" si="79"/>
        <v>E5890</v>
      </c>
      <c r="D905" t="s">
        <v>587</v>
      </c>
      <c r="E905" t="s">
        <v>588</v>
      </c>
      <c r="F905" t="s">
        <v>506</v>
      </c>
      <c r="G905" t="s">
        <v>507</v>
      </c>
      <c r="H905" t="s">
        <v>508</v>
      </c>
      <c r="I905" t="s">
        <v>509</v>
      </c>
      <c r="J905" t="s">
        <v>589</v>
      </c>
      <c r="K905" s="503">
        <f>+U3</f>
        <v>-22.32</v>
      </c>
      <c r="L905" t="str">
        <f t="shared" si="80"/>
        <v>La Grande Borne</v>
      </c>
    </row>
    <row r="906" spans="1:12">
      <c r="A906" t="s">
        <v>586</v>
      </c>
      <c r="B906" t="s">
        <v>3361</v>
      </c>
      <c r="C906" s="60" t="str">
        <f t="shared" si="79"/>
        <v>E5890</v>
      </c>
      <c r="D906" t="s">
        <v>587</v>
      </c>
      <c r="E906" t="s">
        <v>588</v>
      </c>
      <c r="F906" t="s">
        <v>506</v>
      </c>
      <c r="G906" t="s">
        <v>507</v>
      </c>
      <c r="H906" t="s">
        <v>508</v>
      </c>
      <c r="I906" t="s">
        <v>509</v>
      </c>
      <c r="J906" t="s">
        <v>589</v>
      </c>
      <c r="K906" s="503">
        <f>+V3</f>
        <v>-21.6</v>
      </c>
      <c r="L906" t="str">
        <f t="shared" si="80"/>
        <v>La Grande Borne</v>
      </c>
    </row>
    <row r="907" spans="1:12">
      <c r="A907" t="s">
        <v>586</v>
      </c>
      <c r="B907" t="s">
        <v>3362</v>
      </c>
      <c r="C907" s="60" t="str">
        <f t="shared" si="79"/>
        <v>E5890</v>
      </c>
      <c r="D907" t="s">
        <v>587</v>
      </c>
      <c r="E907" t="s">
        <v>588</v>
      </c>
      <c r="F907" t="s">
        <v>506</v>
      </c>
      <c r="G907" t="s">
        <v>507</v>
      </c>
      <c r="H907" t="s">
        <v>508</v>
      </c>
      <c r="I907" t="s">
        <v>509</v>
      </c>
      <c r="J907" t="s">
        <v>589</v>
      </c>
      <c r="K907" s="503">
        <f>+W3</f>
        <v>-22.32</v>
      </c>
      <c r="L907" t="str">
        <f t="shared" si="80"/>
        <v>La Grande Borne</v>
      </c>
    </row>
    <row r="908" spans="1:12">
      <c r="A908" t="s">
        <v>586</v>
      </c>
      <c r="B908" t="s">
        <v>3363</v>
      </c>
      <c r="C908" s="60" t="str">
        <f t="shared" si="79"/>
        <v>E5890</v>
      </c>
      <c r="D908" t="s">
        <v>587</v>
      </c>
      <c r="E908" t="s">
        <v>588</v>
      </c>
      <c r="F908" t="s">
        <v>506</v>
      </c>
      <c r="G908" t="s">
        <v>507</v>
      </c>
      <c r="H908" t="s">
        <v>508</v>
      </c>
      <c r="I908" t="s">
        <v>509</v>
      </c>
      <c r="J908" t="s">
        <v>589</v>
      </c>
      <c r="K908" s="503">
        <f>+X3</f>
        <v>-22.32</v>
      </c>
      <c r="L908" t="str">
        <f t="shared" si="80"/>
        <v>La Grande Borne</v>
      </c>
    </row>
    <row r="909" spans="1:12">
      <c r="A909" t="s">
        <v>586</v>
      </c>
      <c r="B909" t="s">
        <v>3364</v>
      </c>
      <c r="C909" s="60" t="str">
        <f t="shared" si="79"/>
        <v>E5890</v>
      </c>
      <c r="D909" t="s">
        <v>587</v>
      </c>
      <c r="E909" t="s">
        <v>588</v>
      </c>
      <c r="F909" t="s">
        <v>506</v>
      </c>
      <c r="G909" t="s">
        <v>507</v>
      </c>
      <c r="H909" t="s">
        <v>508</v>
      </c>
      <c r="I909" t="s">
        <v>509</v>
      </c>
      <c r="J909" t="s">
        <v>589</v>
      </c>
      <c r="K909" s="503">
        <f>+Y3</f>
        <v>-21.6</v>
      </c>
      <c r="L909" t="str">
        <f t="shared" si="80"/>
        <v>La Grande Borne</v>
      </c>
    </row>
    <row r="910" spans="1:12">
      <c r="A910" t="s">
        <v>586</v>
      </c>
      <c r="B910" t="s">
        <v>3365</v>
      </c>
      <c r="C910" s="60" t="str">
        <f t="shared" si="79"/>
        <v>E5890</v>
      </c>
      <c r="D910" t="s">
        <v>587</v>
      </c>
      <c r="E910" t="s">
        <v>588</v>
      </c>
      <c r="F910" t="s">
        <v>506</v>
      </c>
      <c r="G910" t="s">
        <v>507</v>
      </c>
      <c r="H910" t="s">
        <v>508</v>
      </c>
      <c r="I910" t="s">
        <v>509</v>
      </c>
      <c r="J910" t="s">
        <v>589</v>
      </c>
      <c r="K910" s="503">
        <f>+Z3</f>
        <v>-22.32</v>
      </c>
      <c r="L910" t="str">
        <f t="shared" si="80"/>
        <v>La Grande Borne</v>
      </c>
    </row>
    <row r="911" spans="1:12">
      <c r="A911" t="s">
        <v>586</v>
      </c>
      <c r="B911" t="s">
        <v>3366</v>
      </c>
      <c r="C911" s="60" t="str">
        <f t="shared" si="79"/>
        <v>E5890</v>
      </c>
      <c r="D911" t="s">
        <v>587</v>
      </c>
      <c r="E911" t="s">
        <v>588</v>
      </c>
      <c r="F911" t="s">
        <v>506</v>
      </c>
      <c r="G911" t="s">
        <v>507</v>
      </c>
      <c r="H911" t="s">
        <v>508</v>
      </c>
      <c r="I911" t="s">
        <v>509</v>
      </c>
      <c r="J911" t="s">
        <v>589</v>
      </c>
      <c r="K911" s="503">
        <f>+AA3</f>
        <v>-21.6</v>
      </c>
      <c r="L911" t="str">
        <f t="shared" si="80"/>
        <v>La Grande Borne</v>
      </c>
    </row>
    <row r="912" spans="1:12">
      <c r="A912" t="s">
        <v>586</v>
      </c>
      <c r="B912" t="s">
        <v>3367</v>
      </c>
      <c r="C912" s="60" t="str">
        <f t="shared" si="79"/>
        <v>E5890</v>
      </c>
      <c r="D912" t="s">
        <v>587</v>
      </c>
      <c r="E912" t="s">
        <v>588</v>
      </c>
      <c r="F912" t="s">
        <v>506</v>
      </c>
      <c r="G912" t="s">
        <v>507</v>
      </c>
      <c r="H912" t="s">
        <v>508</v>
      </c>
      <c r="I912" t="s">
        <v>509</v>
      </c>
      <c r="J912" t="s">
        <v>589</v>
      </c>
      <c r="K912" s="503">
        <f>+AB3</f>
        <v>-22.32</v>
      </c>
      <c r="L912" t="str">
        <f t="shared" si="80"/>
        <v>La Grande Borne</v>
      </c>
    </row>
    <row r="913" spans="1:14">
      <c r="A913" t="s">
        <v>586</v>
      </c>
      <c r="B913" t="s">
        <v>3356</v>
      </c>
      <c r="C913" s="3" t="s">
        <v>3400</v>
      </c>
      <c r="D913" t="s">
        <v>587</v>
      </c>
      <c r="E913" t="s">
        <v>588</v>
      </c>
      <c r="F913" t="s">
        <v>506</v>
      </c>
      <c r="G913" t="s">
        <v>507</v>
      </c>
      <c r="H913" t="s">
        <v>508</v>
      </c>
      <c r="I913" t="s">
        <v>509</v>
      </c>
      <c r="J913" t="s">
        <v>589</v>
      </c>
      <c r="K913" s="575">
        <f>Q4</f>
        <v>-744</v>
      </c>
      <c r="L913" t="s">
        <v>3427</v>
      </c>
      <c r="N913" t="s">
        <v>3442</v>
      </c>
    </row>
    <row r="914" spans="1:14">
      <c r="A914" t="s">
        <v>586</v>
      </c>
      <c r="B914" t="s">
        <v>3357</v>
      </c>
      <c r="C914" s="60" t="str">
        <f>C913</f>
        <v>E6730</v>
      </c>
      <c r="D914" t="s">
        <v>587</v>
      </c>
      <c r="E914" t="s">
        <v>588</v>
      </c>
      <c r="F914" t="s">
        <v>506</v>
      </c>
      <c r="G914" t="s">
        <v>507</v>
      </c>
      <c r="H914" t="s">
        <v>508</v>
      </c>
      <c r="I914" t="s">
        <v>509</v>
      </c>
      <c r="J914" t="s">
        <v>589</v>
      </c>
      <c r="K914" s="575">
        <f>R4</f>
        <v>-672</v>
      </c>
      <c r="L914" t="str">
        <f>L913</f>
        <v xml:space="preserve">R-EEJ - Evits et Josaphats </v>
      </c>
      <c r="N914" t="s">
        <v>3442</v>
      </c>
    </row>
    <row r="915" spans="1:14">
      <c r="A915" t="s">
        <v>586</v>
      </c>
      <c r="B915" t="s">
        <v>3358</v>
      </c>
      <c r="C915" s="60" t="str">
        <f t="shared" ref="C915:C924" si="81">+C914</f>
        <v>E6730</v>
      </c>
      <c r="D915" t="s">
        <v>587</v>
      </c>
      <c r="E915" t="s">
        <v>588</v>
      </c>
      <c r="F915" t="s">
        <v>506</v>
      </c>
      <c r="G915" t="s">
        <v>507</v>
      </c>
      <c r="H915" t="s">
        <v>508</v>
      </c>
      <c r="I915" t="s">
        <v>509</v>
      </c>
      <c r="J915" t="s">
        <v>589</v>
      </c>
      <c r="K915" s="575">
        <f>S4</f>
        <v>-744</v>
      </c>
      <c r="L915" t="str">
        <f t="shared" ref="L915:L924" si="82">L914</f>
        <v xml:space="preserve">R-EEJ - Evits et Josaphats </v>
      </c>
      <c r="N915" t="s">
        <v>3442</v>
      </c>
    </row>
    <row r="916" spans="1:14">
      <c r="A916" t="s">
        <v>586</v>
      </c>
      <c r="B916" t="s">
        <v>3359</v>
      </c>
      <c r="C916" s="60" t="str">
        <f t="shared" si="81"/>
        <v>E6730</v>
      </c>
      <c r="D916" t="s">
        <v>587</v>
      </c>
      <c r="E916" t="s">
        <v>588</v>
      </c>
      <c r="F916" t="s">
        <v>506</v>
      </c>
      <c r="G916" t="s">
        <v>507</v>
      </c>
      <c r="H916" t="s">
        <v>508</v>
      </c>
      <c r="I916" t="s">
        <v>509</v>
      </c>
      <c r="J916" t="s">
        <v>589</v>
      </c>
      <c r="K916" s="575">
        <f>T4</f>
        <v>-720</v>
      </c>
      <c r="L916" t="str">
        <f t="shared" si="82"/>
        <v xml:space="preserve">R-EEJ - Evits et Josaphats </v>
      </c>
      <c r="N916" t="s">
        <v>3442</v>
      </c>
    </row>
    <row r="917" spans="1:14">
      <c r="A917" t="s">
        <v>586</v>
      </c>
      <c r="B917" t="s">
        <v>3360</v>
      </c>
      <c r="C917" s="60" t="str">
        <f t="shared" si="81"/>
        <v>E6730</v>
      </c>
      <c r="D917" t="s">
        <v>587</v>
      </c>
      <c r="E917" t="s">
        <v>588</v>
      </c>
      <c r="F917" t="s">
        <v>506</v>
      </c>
      <c r="G917" t="s">
        <v>507</v>
      </c>
      <c r="H917" t="s">
        <v>508</v>
      </c>
      <c r="I917" t="s">
        <v>509</v>
      </c>
      <c r="J917" t="s">
        <v>589</v>
      </c>
      <c r="K917" s="575">
        <f>U4</f>
        <v>-744</v>
      </c>
      <c r="L917" t="str">
        <f t="shared" si="82"/>
        <v xml:space="preserve">R-EEJ - Evits et Josaphats </v>
      </c>
      <c r="N917" t="s">
        <v>3442</v>
      </c>
    </row>
    <row r="918" spans="1:14">
      <c r="A918" t="s">
        <v>586</v>
      </c>
      <c r="B918" t="s">
        <v>3361</v>
      </c>
      <c r="C918" s="60" t="str">
        <f t="shared" si="81"/>
        <v>E6730</v>
      </c>
      <c r="D918" t="s">
        <v>587</v>
      </c>
      <c r="E918" t="s">
        <v>588</v>
      </c>
      <c r="F918" t="s">
        <v>506</v>
      </c>
      <c r="G918" t="s">
        <v>507</v>
      </c>
      <c r="H918" t="s">
        <v>508</v>
      </c>
      <c r="I918" t="s">
        <v>509</v>
      </c>
      <c r="J918" t="s">
        <v>589</v>
      </c>
      <c r="K918" s="575">
        <f>V4</f>
        <v>-720</v>
      </c>
      <c r="L918" t="str">
        <f t="shared" si="82"/>
        <v xml:space="preserve">R-EEJ - Evits et Josaphats </v>
      </c>
      <c r="N918" t="s">
        <v>3442</v>
      </c>
    </row>
    <row r="919" spans="1:14">
      <c r="A919" t="s">
        <v>586</v>
      </c>
      <c r="B919" t="s">
        <v>3362</v>
      </c>
      <c r="C919" s="60" t="str">
        <f t="shared" si="81"/>
        <v>E6730</v>
      </c>
      <c r="D919" t="s">
        <v>587</v>
      </c>
      <c r="E919" t="s">
        <v>588</v>
      </c>
      <c r="F919" t="s">
        <v>506</v>
      </c>
      <c r="G919" t="s">
        <v>507</v>
      </c>
      <c r="H919" t="s">
        <v>508</v>
      </c>
      <c r="I919" t="s">
        <v>509</v>
      </c>
      <c r="J919" t="s">
        <v>589</v>
      </c>
      <c r="K919" s="575">
        <f>W4</f>
        <v>-744</v>
      </c>
      <c r="L919" t="str">
        <f t="shared" si="82"/>
        <v xml:space="preserve">R-EEJ - Evits et Josaphats </v>
      </c>
      <c r="N919" t="s">
        <v>3442</v>
      </c>
    </row>
    <row r="920" spans="1:14">
      <c r="A920" t="s">
        <v>586</v>
      </c>
      <c r="B920" t="s">
        <v>3363</v>
      </c>
      <c r="C920" s="60" t="str">
        <f t="shared" si="81"/>
        <v>E6730</v>
      </c>
      <c r="D920" t="s">
        <v>587</v>
      </c>
      <c r="E920" t="s">
        <v>588</v>
      </c>
      <c r="F920" t="s">
        <v>506</v>
      </c>
      <c r="G920" t="s">
        <v>507</v>
      </c>
      <c r="H920" t="s">
        <v>508</v>
      </c>
      <c r="I920" t="s">
        <v>509</v>
      </c>
      <c r="J920" t="s">
        <v>589</v>
      </c>
      <c r="K920" s="575">
        <f>X3</f>
        <v>-22.32</v>
      </c>
      <c r="L920" t="str">
        <f t="shared" si="82"/>
        <v xml:space="preserve">R-EEJ - Evits et Josaphats </v>
      </c>
    </row>
    <row r="921" spans="1:14">
      <c r="A921" t="s">
        <v>586</v>
      </c>
      <c r="B921" t="s">
        <v>3364</v>
      </c>
      <c r="C921" s="60" t="str">
        <f t="shared" si="81"/>
        <v>E6730</v>
      </c>
      <c r="D921" t="s">
        <v>587</v>
      </c>
      <c r="E921" t="s">
        <v>588</v>
      </c>
      <c r="F921" t="s">
        <v>506</v>
      </c>
      <c r="G921" t="s">
        <v>507</v>
      </c>
      <c r="H921" t="s">
        <v>508</v>
      </c>
      <c r="I921" t="s">
        <v>509</v>
      </c>
      <c r="J921" t="s">
        <v>589</v>
      </c>
      <c r="K921" s="575">
        <f>Y3</f>
        <v>-21.6</v>
      </c>
      <c r="L921" t="str">
        <f t="shared" si="82"/>
        <v xml:space="preserve">R-EEJ - Evits et Josaphats </v>
      </c>
    </row>
    <row r="922" spans="1:14">
      <c r="A922" t="s">
        <v>586</v>
      </c>
      <c r="B922" t="s">
        <v>3365</v>
      </c>
      <c r="C922" s="60" t="str">
        <f t="shared" si="81"/>
        <v>E6730</v>
      </c>
      <c r="D922" t="s">
        <v>587</v>
      </c>
      <c r="E922" t="s">
        <v>588</v>
      </c>
      <c r="F922" t="s">
        <v>506</v>
      </c>
      <c r="G922" t="s">
        <v>507</v>
      </c>
      <c r="H922" t="s">
        <v>508</v>
      </c>
      <c r="I922" t="s">
        <v>509</v>
      </c>
      <c r="J922" t="s">
        <v>589</v>
      </c>
      <c r="K922" s="575">
        <f>Z3</f>
        <v>-22.32</v>
      </c>
      <c r="L922" t="str">
        <f t="shared" si="82"/>
        <v xml:space="preserve">R-EEJ - Evits et Josaphats </v>
      </c>
    </row>
    <row r="923" spans="1:14">
      <c r="A923" t="s">
        <v>586</v>
      </c>
      <c r="B923" t="s">
        <v>3366</v>
      </c>
      <c r="C923" s="60" t="str">
        <f t="shared" si="81"/>
        <v>E6730</v>
      </c>
      <c r="D923" t="s">
        <v>587</v>
      </c>
      <c r="E923" t="s">
        <v>588</v>
      </c>
      <c r="F923" t="s">
        <v>506</v>
      </c>
      <c r="G923" t="s">
        <v>507</v>
      </c>
      <c r="H923" t="s">
        <v>508</v>
      </c>
      <c r="I923" t="s">
        <v>509</v>
      </c>
      <c r="J923" t="s">
        <v>589</v>
      </c>
      <c r="K923" s="575">
        <f>AA3</f>
        <v>-21.6</v>
      </c>
      <c r="L923" t="str">
        <f t="shared" si="82"/>
        <v xml:space="preserve">R-EEJ - Evits et Josaphats </v>
      </c>
    </row>
    <row r="924" spans="1:14">
      <c r="A924" t="s">
        <v>586</v>
      </c>
      <c r="B924" t="s">
        <v>3367</v>
      </c>
      <c r="C924" s="60" t="str">
        <f t="shared" si="81"/>
        <v>E6730</v>
      </c>
      <c r="D924" t="s">
        <v>587</v>
      </c>
      <c r="E924" t="s">
        <v>588</v>
      </c>
      <c r="F924" t="s">
        <v>506</v>
      </c>
      <c r="G924" t="s">
        <v>507</v>
      </c>
      <c r="H924" t="s">
        <v>508</v>
      </c>
      <c r="I924" t="s">
        <v>509</v>
      </c>
      <c r="J924" t="s">
        <v>589</v>
      </c>
      <c r="K924" s="575">
        <f>AB3</f>
        <v>-22.32</v>
      </c>
      <c r="L924" t="str">
        <f t="shared" si="82"/>
        <v xml:space="preserve">R-EEJ - Evits et Josaphats </v>
      </c>
    </row>
    <row r="925" spans="1:14">
      <c r="A925" t="s">
        <v>586</v>
      </c>
      <c r="B925" t="s">
        <v>3356</v>
      </c>
      <c r="C925" s="3" t="s">
        <v>3401</v>
      </c>
      <c r="D925" t="s">
        <v>587</v>
      </c>
      <c r="E925" t="s">
        <v>588</v>
      </c>
      <c r="F925" t="s">
        <v>506</v>
      </c>
      <c r="G925" t="s">
        <v>507</v>
      </c>
      <c r="H925" t="s">
        <v>508</v>
      </c>
      <c r="I925" t="s">
        <v>509</v>
      </c>
      <c r="J925" t="s">
        <v>589</v>
      </c>
      <c r="K925" s="575">
        <f>K913</f>
        <v>-744</v>
      </c>
      <c r="L925" t="str">
        <f>'Nb Machine'!L925</f>
        <v>R-RCL - Remise Reclainville</v>
      </c>
      <c r="N925" t="s">
        <v>3442</v>
      </c>
    </row>
    <row r="926" spans="1:14">
      <c r="A926" t="s">
        <v>586</v>
      </c>
      <c r="B926" t="s">
        <v>3357</v>
      </c>
      <c r="C926" s="60" t="str">
        <f>C925</f>
        <v>E6740</v>
      </c>
      <c r="D926" t="s">
        <v>587</v>
      </c>
      <c r="E926" t="s">
        <v>588</v>
      </c>
      <c r="F926" t="s">
        <v>506</v>
      </c>
      <c r="G926" t="s">
        <v>507</v>
      </c>
      <c r="H926" t="s">
        <v>508</v>
      </c>
      <c r="I926" t="s">
        <v>509</v>
      </c>
      <c r="J926" t="s">
        <v>589</v>
      </c>
      <c r="K926" s="575">
        <f t="shared" ref="K926:K936" si="83">K914</f>
        <v>-672</v>
      </c>
      <c r="L926" t="str">
        <f>L925</f>
        <v>R-RCL - Remise Reclainville</v>
      </c>
      <c r="N926" t="s">
        <v>3442</v>
      </c>
    </row>
    <row r="927" spans="1:14">
      <c r="A927" t="s">
        <v>586</v>
      </c>
      <c r="B927" t="s">
        <v>3358</v>
      </c>
      <c r="C927" s="60" t="str">
        <f t="shared" ref="C927:C936" si="84">+C926</f>
        <v>E6740</v>
      </c>
      <c r="D927" t="s">
        <v>587</v>
      </c>
      <c r="E927" t="s">
        <v>588</v>
      </c>
      <c r="F927" t="s">
        <v>506</v>
      </c>
      <c r="G927" t="s">
        <v>507</v>
      </c>
      <c r="H927" t="s">
        <v>508</v>
      </c>
      <c r="I927" t="s">
        <v>509</v>
      </c>
      <c r="J927" t="s">
        <v>589</v>
      </c>
      <c r="K927" s="575">
        <f t="shared" si="83"/>
        <v>-744</v>
      </c>
      <c r="L927" t="str">
        <f t="shared" ref="L927:L936" si="85">L926</f>
        <v>R-RCL - Remise Reclainville</v>
      </c>
      <c r="N927" t="s">
        <v>3442</v>
      </c>
    </row>
    <row r="928" spans="1:14">
      <c r="A928" t="s">
        <v>586</v>
      </c>
      <c r="B928" t="s">
        <v>3359</v>
      </c>
      <c r="C928" s="60" t="str">
        <f t="shared" si="84"/>
        <v>E6740</v>
      </c>
      <c r="D928" t="s">
        <v>587</v>
      </c>
      <c r="E928" t="s">
        <v>588</v>
      </c>
      <c r="F928" t="s">
        <v>506</v>
      </c>
      <c r="G928" t="s">
        <v>507</v>
      </c>
      <c r="H928" t="s">
        <v>508</v>
      </c>
      <c r="I928" t="s">
        <v>509</v>
      </c>
      <c r="J928" t="s">
        <v>589</v>
      </c>
      <c r="K928" s="575">
        <f t="shared" si="83"/>
        <v>-720</v>
      </c>
      <c r="L928" t="str">
        <f t="shared" si="85"/>
        <v>R-RCL - Remise Reclainville</v>
      </c>
      <c r="N928" t="s">
        <v>3442</v>
      </c>
    </row>
    <row r="929" spans="1:14">
      <c r="A929" t="s">
        <v>586</v>
      </c>
      <c r="B929" t="s">
        <v>3360</v>
      </c>
      <c r="C929" s="60" t="str">
        <f t="shared" si="84"/>
        <v>E6740</v>
      </c>
      <c r="D929" t="s">
        <v>587</v>
      </c>
      <c r="E929" t="s">
        <v>588</v>
      </c>
      <c r="F929" t="s">
        <v>506</v>
      </c>
      <c r="G929" t="s">
        <v>507</v>
      </c>
      <c r="H929" t="s">
        <v>508</v>
      </c>
      <c r="I929" t="s">
        <v>509</v>
      </c>
      <c r="J929" t="s">
        <v>589</v>
      </c>
      <c r="K929" s="575">
        <f t="shared" si="83"/>
        <v>-744</v>
      </c>
      <c r="L929" t="str">
        <f t="shared" si="85"/>
        <v>R-RCL - Remise Reclainville</v>
      </c>
      <c r="N929" t="s">
        <v>3442</v>
      </c>
    </row>
    <row r="930" spans="1:14">
      <c r="A930" t="s">
        <v>586</v>
      </c>
      <c r="B930" t="s">
        <v>3361</v>
      </c>
      <c r="C930" s="60" t="str">
        <f t="shared" si="84"/>
        <v>E6740</v>
      </c>
      <c r="D930" t="s">
        <v>587</v>
      </c>
      <c r="E930" t="s">
        <v>588</v>
      </c>
      <c r="F930" t="s">
        <v>506</v>
      </c>
      <c r="G930" t="s">
        <v>507</v>
      </c>
      <c r="H930" t="s">
        <v>508</v>
      </c>
      <c r="I930" t="s">
        <v>509</v>
      </c>
      <c r="J930" t="s">
        <v>589</v>
      </c>
      <c r="K930" s="575">
        <f t="shared" si="83"/>
        <v>-720</v>
      </c>
      <c r="L930" t="str">
        <f t="shared" si="85"/>
        <v>R-RCL - Remise Reclainville</v>
      </c>
      <c r="N930" t="s">
        <v>3442</v>
      </c>
    </row>
    <row r="931" spans="1:14">
      <c r="A931" t="s">
        <v>586</v>
      </c>
      <c r="B931" t="s">
        <v>3362</v>
      </c>
      <c r="C931" s="60" t="str">
        <f t="shared" si="84"/>
        <v>E6740</v>
      </c>
      <c r="D931" t="s">
        <v>587</v>
      </c>
      <c r="E931" t="s">
        <v>588</v>
      </c>
      <c r="F931" t="s">
        <v>506</v>
      </c>
      <c r="G931" t="s">
        <v>507</v>
      </c>
      <c r="H931" t="s">
        <v>508</v>
      </c>
      <c r="I931" t="s">
        <v>509</v>
      </c>
      <c r="J931" t="s">
        <v>589</v>
      </c>
      <c r="K931" s="575">
        <f>W3</f>
        <v>-22.32</v>
      </c>
      <c r="L931" t="str">
        <f t="shared" si="85"/>
        <v>R-RCL - Remise Reclainville</v>
      </c>
      <c r="N931" t="s">
        <v>3442</v>
      </c>
    </row>
    <row r="932" spans="1:14">
      <c r="A932" t="s">
        <v>586</v>
      </c>
      <c r="B932" t="s">
        <v>3363</v>
      </c>
      <c r="C932" s="60" t="str">
        <f t="shared" si="84"/>
        <v>E6740</v>
      </c>
      <c r="D932" t="s">
        <v>587</v>
      </c>
      <c r="E932" t="s">
        <v>588</v>
      </c>
      <c r="F932" t="s">
        <v>506</v>
      </c>
      <c r="G932" t="s">
        <v>507</v>
      </c>
      <c r="H932" t="s">
        <v>508</v>
      </c>
      <c r="I932" t="s">
        <v>509</v>
      </c>
      <c r="J932" t="s">
        <v>589</v>
      </c>
      <c r="K932" s="575">
        <f t="shared" si="83"/>
        <v>-22.32</v>
      </c>
      <c r="L932" t="str">
        <f t="shared" si="85"/>
        <v>R-RCL - Remise Reclainville</v>
      </c>
    </row>
    <row r="933" spans="1:14">
      <c r="A933" t="s">
        <v>586</v>
      </c>
      <c r="B933" t="s">
        <v>3364</v>
      </c>
      <c r="C933" s="60" t="str">
        <f t="shared" si="84"/>
        <v>E6740</v>
      </c>
      <c r="D933" t="s">
        <v>587</v>
      </c>
      <c r="E933" t="s">
        <v>588</v>
      </c>
      <c r="F933" t="s">
        <v>506</v>
      </c>
      <c r="G933" t="s">
        <v>507</v>
      </c>
      <c r="H933" t="s">
        <v>508</v>
      </c>
      <c r="I933" t="s">
        <v>509</v>
      </c>
      <c r="J933" t="s">
        <v>589</v>
      </c>
      <c r="K933" s="575">
        <f t="shared" si="83"/>
        <v>-21.6</v>
      </c>
      <c r="L933" t="str">
        <f t="shared" si="85"/>
        <v>R-RCL - Remise Reclainville</v>
      </c>
    </row>
    <row r="934" spans="1:14">
      <c r="A934" t="s">
        <v>586</v>
      </c>
      <c r="B934" t="s">
        <v>3365</v>
      </c>
      <c r="C934" s="60" t="str">
        <f t="shared" si="84"/>
        <v>E6740</v>
      </c>
      <c r="D934" t="s">
        <v>587</v>
      </c>
      <c r="E934" t="s">
        <v>588</v>
      </c>
      <c r="F934" t="s">
        <v>506</v>
      </c>
      <c r="G934" t="s">
        <v>507</v>
      </c>
      <c r="H934" t="s">
        <v>508</v>
      </c>
      <c r="I934" t="s">
        <v>509</v>
      </c>
      <c r="J934" t="s">
        <v>589</v>
      </c>
      <c r="K934" s="575">
        <f t="shared" si="83"/>
        <v>-22.32</v>
      </c>
      <c r="L934" t="str">
        <f t="shared" si="85"/>
        <v>R-RCL - Remise Reclainville</v>
      </c>
    </row>
    <row r="935" spans="1:14">
      <c r="A935" t="s">
        <v>586</v>
      </c>
      <c r="B935" t="s">
        <v>3366</v>
      </c>
      <c r="C935" s="60" t="str">
        <f t="shared" si="84"/>
        <v>E6740</v>
      </c>
      <c r="D935" t="s">
        <v>587</v>
      </c>
      <c r="E935" t="s">
        <v>588</v>
      </c>
      <c r="F935" t="s">
        <v>506</v>
      </c>
      <c r="G935" t="s">
        <v>507</v>
      </c>
      <c r="H935" t="s">
        <v>508</v>
      </c>
      <c r="I935" t="s">
        <v>509</v>
      </c>
      <c r="J935" t="s">
        <v>589</v>
      </c>
      <c r="K935" s="575">
        <f t="shared" si="83"/>
        <v>-21.6</v>
      </c>
      <c r="L935" t="str">
        <f t="shared" si="85"/>
        <v>R-RCL - Remise Reclainville</v>
      </c>
    </row>
    <row r="936" spans="1:14">
      <c r="A936" t="s">
        <v>586</v>
      </c>
      <c r="B936" t="s">
        <v>3367</v>
      </c>
      <c r="C936" s="60" t="str">
        <f t="shared" si="84"/>
        <v>E6740</v>
      </c>
      <c r="D936" t="s">
        <v>587</v>
      </c>
      <c r="E936" t="s">
        <v>588</v>
      </c>
      <c r="F936" t="s">
        <v>506</v>
      </c>
      <c r="G936" t="s">
        <v>507</v>
      </c>
      <c r="H936" t="s">
        <v>508</v>
      </c>
      <c r="I936" t="s">
        <v>509</v>
      </c>
      <c r="J936" t="s">
        <v>589</v>
      </c>
      <c r="K936" s="575">
        <f t="shared" si="83"/>
        <v>-22.32</v>
      </c>
      <c r="L936" t="str">
        <f t="shared" si="85"/>
        <v>R-RCL - Remise Reclainville</v>
      </c>
    </row>
    <row r="937" spans="1:14">
      <c r="A937" t="s">
        <v>586</v>
      </c>
      <c r="B937" t="s">
        <v>3356</v>
      </c>
      <c r="C937" s="3" t="s">
        <v>2079</v>
      </c>
      <c r="D937" t="s">
        <v>587</v>
      </c>
      <c r="E937" t="s">
        <v>588</v>
      </c>
      <c r="F937" t="s">
        <v>506</v>
      </c>
      <c r="G937" t="s">
        <v>507</v>
      </c>
      <c r="H937" t="s">
        <v>508</v>
      </c>
      <c r="I937" t="s">
        <v>509</v>
      </c>
      <c r="J937" t="s">
        <v>589</v>
      </c>
      <c r="K937" s="575">
        <f>Q4</f>
        <v>-744</v>
      </c>
      <c r="L937" t="s">
        <v>3428</v>
      </c>
    </row>
    <row r="938" spans="1:14">
      <c r="A938" t="s">
        <v>586</v>
      </c>
      <c r="B938" t="s">
        <v>3357</v>
      </c>
      <c r="C938" s="60" t="str">
        <f>C937</f>
        <v>E6290</v>
      </c>
      <c r="D938" t="s">
        <v>587</v>
      </c>
      <c r="E938" t="s">
        <v>588</v>
      </c>
      <c r="F938" t="s">
        <v>506</v>
      </c>
      <c r="G938" t="s">
        <v>507</v>
      </c>
      <c r="H938" t="s">
        <v>508</v>
      </c>
      <c r="I938" t="s">
        <v>509</v>
      </c>
      <c r="J938" t="s">
        <v>589</v>
      </c>
      <c r="K938" s="575">
        <f>R4</f>
        <v>-672</v>
      </c>
      <c r="L938" t="str">
        <f>L937</f>
        <v>Bois des Fontaines (extension EEJ)</v>
      </c>
    </row>
    <row r="939" spans="1:14">
      <c r="A939" t="s">
        <v>586</v>
      </c>
      <c r="B939" t="s">
        <v>3358</v>
      </c>
      <c r="C939" s="60" t="str">
        <f t="shared" ref="C939:C948" si="86">+C938</f>
        <v>E6290</v>
      </c>
      <c r="D939" t="s">
        <v>587</v>
      </c>
      <c r="E939" t="s">
        <v>588</v>
      </c>
      <c r="F939" t="s">
        <v>506</v>
      </c>
      <c r="G939" t="s">
        <v>507</v>
      </c>
      <c r="H939" t="s">
        <v>508</v>
      </c>
      <c r="I939" t="s">
        <v>509</v>
      </c>
      <c r="J939" t="s">
        <v>589</v>
      </c>
      <c r="K939" s="575">
        <f>S4</f>
        <v>-744</v>
      </c>
      <c r="L939" t="str">
        <f t="shared" ref="L939:L948" si="87">L938</f>
        <v>Bois des Fontaines (extension EEJ)</v>
      </c>
    </row>
    <row r="940" spans="1:14">
      <c r="A940" t="s">
        <v>586</v>
      </c>
      <c r="B940" t="s">
        <v>3359</v>
      </c>
      <c r="C940" s="60" t="str">
        <f t="shared" si="86"/>
        <v>E6290</v>
      </c>
      <c r="D940" t="s">
        <v>587</v>
      </c>
      <c r="E940" t="s">
        <v>588</v>
      </c>
      <c r="F940" t="s">
        <v>506</v>
      </c>
      <c r="G940" t="s">
        <v>507</v>
      </c>
      <c r="H940" t="s">
        <v>508</v>
      </c>
      <c r="I940" t="s">
        <v>509</v>
      </c>
      <c r="J940" t="s">
        <v>589</v>
      </c>
      <c r="K940" s="575">
        <f>T4</f>
        <v>-720</v>
      </c>
      <c r="L940" t="str">
        <f t="shared" si="87"/>
        <v>Bois des Fontaines (extension EEJ)</v>
      </c>
    </row>
    <row r="941" spans="1:14">
      <c r="A941" t="s">
        <v>586</v>
      </c>
      <c r="B941" t="s">
        <v>3360</v>
      </c>
      <c r="C941" s="60" t="str">
        <f t="shared" si="86"/>
        <v>E6290</v>
      </c>
      <c r="D941" t="s">
        <v>587</v>
      </c>
      <c r="E941" t="s">
        <v>588</v>
      </c>
      <c r="F941" t="s">
        <v>506</v>
      </c>
      <c r="G941" t="s">
        <v>507</v>
      </c>
      <c r="H941" t="s">
        <v>508</v>
      </c>
      <c r="I941" t="s">
        <v>509</v>
      </c>
      <c r="J941" t="s">
        <v>589</v>
      </c>
      <c r="K941" s="575">
        <f>U4</f>
        <v>-744</v>
      </c>
      <c r="L941" t="str">
        <f t="shared" si="87"/>
        <v>Bois des Fontaines (extension EEJ)</v>
      </c>
    </row>
    <row r="942" spans="1:14">
      <c r="A942" t="s">
        <v>586</v>
      </c>
      <c r="B942" t="s">
        <v>3361</v>
      </c>
      <c r="C942" s="60" t="str">
        <f t="shared" si="86"/>
        <v>E6290</v>
      </c>
      <c r="D942" t="s">
        <v>587</v>
      </c>
      <c r="E942" t="s">
        <v>588</v>
      </c>
      <c r="F942" t="s">
        <v>506</v>
      </c>
      <c r="G942" t="s">
        <v>507</v>
      </c>
      <c r="H942" t="s">
        <v>508</v>
      </c>
      <c r="I942" t="s">
        <v>509</v>
      </c>
      <c r="J942" t="s">
        <v>589</v>
      </c>
      <c r="K942" s="575">
        <f>V3</f>
        <v>-21.6</v>
      </c>
      <c r="L942" t="str">
        <f t="shared" si="87"/>
        <v>Bois des Fontaines (extension EEJ)</v>
      </c>
    </row>
    <row r="943" spans="1:14">
      <c r="A943" t="s">
        <v>586</v>
      </c>
      <c r="B943" t="s">
        <v>3362</v>
      </c>
      <c r="C943" s="60" t="str">
        <f t="shared" si="86"/>
        <v>E6290</v>
      </c>
      <c r="D943" t="s">
        <v>587</v>
      </c>
      <c r="E943" t="s">
        <v>588</v>
      </c>
      <c r="F943" t="s">
        <v>506</v>
      </c>
      <c r="G943" t="s">
        <v>507</v>
      </c>
      <c r="H943" t="s">
        <v>508</v>
      </c>
      <c r="I943" t="s">
        <v>509</v>
      </c>
      <c r="J943" t="s">
        <v>589</v>
      </c>
      <c r="K943" s="575">
        <f>W3</f>
        <v>-22.32</v>
      </c>
      <c r="L943" t="str">
        <f t="shared" si="87"/>
        <v>Bois des Fontaines (extension EEJ)</v>
      </c>
    </row>
    <row r="944" spans="1:14">
      <c r="A944" t="s">
        <v>586</v>
      </c>
      <c r="B944" t="s">
        <v>3363</v>
      </c>
      <c r="C944" s="60" t="str">
        <f t="shared" si="86"/>
        <v>E6290</v>
      </c>
      <c r="D944" t="s">
        <v>587</v>
      </c>
      <c r="E944" t="s">
        <v>588</v>
      </c>
      <c r="F944" t="s">
        <v>506</v>
      </c>
      <c r="G944" t="s">
        <v>507</v>
      </c>
      <c r="H944" t="s">
        <v>508</v>
      </c>
      <c r="I944" t="s">
        <v>509</v>
      </c>
      <c r="J944" t="s">
        <v>589</v>
      </c>
      <c r="K944" s="575">
        <f>X3</f>
        <v>-22.32</v>
      </c>
      <c r="L944" t="str">
        <f t="shared" si="87"/>
        <v>Bois des Fontaines (extension EEJ)</v>
      </c>
    </row>
    <row r="945" spans="1:15">
      <c r="A945" t="s">
        <v>586</v>
      </c>
      <c r="B945" t="s">
        <v>3364</v>
      </c>
      <c r="C945" s="60" t="str">
        <f t="shared" si="86"/>
        <v>E6290</v>
      </c>
      <c r="D945" t="s">
        <v>587</v>
      </c>
      <c r="E945" t="s">
        <v>588</v>
      </c>
      <c r="F945" t="s">
        <v>506</v>
      </c>
      <c r="G945" t="s">
        <v>507</v>
      </c>
      <c r="H945" t="s">
        <v>508</v>
      </c>
      <c r="I945" t="s">
        <v>509</v>
      </c>
      <c r="J945" t="s">
        <v>589</v>
      </c>
      <c r="K945" s="575">
        <f>Y3</f>
        <v>-21.6</v>
      </c>
      <c r="L945" t="str">
        <f t="shared" si="87"/>
        <v>Bois des Fontaines (extension EEJ)</v>
      </c>
    </row>
    <row r="946" spans="1:15">
      <c r="A946" t="s">
        <v>586</v>
      </c>
      <c r="B946" t="s">
        <v>3365</v>
      </c>
      <c r="C946" s="60" t="str">
        <f t="shared" si="86"/>
        <v>E6290</v>
      </c>
      <c r="D946" t="s">
        <v>587</v>
      </c>
      <c r="E946" t="s">
        <v>588</v>
      </c>
      <c r="F946" t="s">
        <v>506</v>
      </c>
      <c r="G946" t="s">
        <v>507</v>
      </c>
      <c r="H946" t="s">
        <v>508</v>
      </c>
      <c r="I946" t="s">
        <v>509</v>
      </c>
      <c r="J946" t="s">
        <v>589</v>
      </c>
      <c r="K946" s="575">
        <f>Z3</f>
        <v>-22.32</v>
      </c>
      <c r="L946" t="str">
        <f t="shared" si="87"/>
        <v>Bois des Fontaines (extension EEJ)</v>
      </c>
    </row>
    <row r="947" spans="1:15">
      <c r="A947" t="s">
        <v>586</v>
      </c>
      <c r="B947" t="s">
        <v>3366</v>
      </c>
      <c r="C947" s="60" t="str">
        <f t="shared" si="86"/>
        <v>E6290</v>
      </c>
      <c r="D947" t="s">
        <v>587</v>
      </c>
      <c r="E947" t="s">
        <v>588</v>
      </c>
      <c r="F947" t="s">
        <v>506</v>
      </c>
      <c r="G947" t="s">
        <v>507</v>
      </c>
      <c r="H947" t="s">
        <v>508</v>
      </c>
      <c r="I947" t="s">
        <v>509</v>
      </c>
      <c r="J947" t="s">
        <v>589</v>
      </c>
      <c r="K947" s="575">
        <f>AA3</f>
        <v>-21.6</v>
      </c>
      <c r="L947" t="str">
        <f t="shared" si="87"/>
        <v>Bois des Fontaines (extension EEJ)</v>
      </c>
    </row>
    <row r="948" spans="1:15">
      <c r="A948" t="s">
        <v>586</v>
      </c>
      <c r="B948" t="s">
        <v>3367</v>
      </c>
      <c r="C948" s="60" t="str">
        <f t="shared" si="86"/>
        <v>E6290</v>
      </c>
      <c r="D948" t="s">
        <v>587</v>
      </c>
      <c r="E948" t="s">
        <v>588</v>
      </c>
      <c r="F948" t="s">
        <v>506</v>
      </c>
      <c r="G948" t="s">
        <v>507</v>
      </c>
      <c r="H948" t="s">
        <v>508</v>
      </c>
      <c r="I948" t="s">
        <v>509</v>
      </c>
      <c r="J948" t="s">
        <v>589</v>
      </c>
      <c r="K948" s="575">
        <f>AB3</f>
        <v>-22.32</v>
      </c>
      <c r="L948" t="str">
        <f t="shared" si="87"/>
        <v>Bois des Fontaines (extension EEJ)</v>
      </c>
    </row>
    <row r="949" spans="1:15">
      <c r="A949" t="s">
        <v>586</v>
      </c>
      <c r="B949" t="s">
        <v>3356</v>
      </c>
      <c r="C949" s="3" t="s">
        <v>3402</v>
      </c>
      <c r="D949" t="s">
        <v>587</v>
      </c>
      <c r="E949" t="s">
        <v>588</v>
      </c>
      <c r="F949" t="s">
        <v>506</v>
      </c>
      <c r="G949" t="s">
        <v>507</v>
      </c>
      <c r="H949" t="s">
        <v>508</v>
      </c>
      <c r="I949" t="s">
        <v>509</v>
      </c>
      <c r="J949" t="s">
        <v>589</v>
      </c>
      <c r="K949" s="575">
        <f>Q4</f>
        <v>-744</v>
      </c>
      <c r="L949" t="s">
        <v>3429</v>
      </c>
      <c r="N949" s="3" t="s">
        <v>3442</v>
      </c>
      <c r="O949" s="3"/>
    </row>
    <row r="950" spans="1:15">
      <c r="A950" t="s">
        <v>586</v>
      </c>
      <c r="B950" t="s">
        <v>3357</v>
      </c>
      <c r="C950" s="60" t="str">
        <f>C949</f>
        <v>E6760</v>
      </c>
      <c r="D950" t="s">
        <v>587</v>
      </c>
      <c r="E950" t="s">
        <v>588</v>
      </c>
      <c r="F950" t="s">
        <v>506</v>
      </c>
      <c r="G950" t="s">
        <v>507</v>
      </c>
      <c r="H950" t="s">
        <v>508</v>
      </c>
      <c r="I950" t="s">
        <v>509</v>
      </c>
      <c r="J950" t="s">
        <v>589</v>
      </c>
      <c r="K950" s="575">
        <f>R4</f>
        <v>-672</v>
      </c>
      <c r="L950" t="str">
        <f>L949</f>
        <v>R-BGV - Bougainville</v>
      </c>
      <c r="N950" s="3" t="s">
        <v>3442</v>
      </c>
      <c r="O950" s="3"/>
    </row>
    <row r="951" spans="1:15">
      <c r="A951" t="s">
        <v>586</v>
      </c>
      <c r="B951" t="s">
        <v>3358</v>
      </c>
      <c r="C951" s="60" t="str">
        <f t="shared" ref="C951:C960" si="88">+C950</f>
        <v>E6760</v>
      </c>
      <c r="D951" t="s">
        <v>587</v>
      </c>
      <c r="E951" t="s">
        <v>588</v>
      </c>
      <c r="F951" t="s">
        <v>506</v>
      </c>
      <c r="G951" t="s">
        <v>507</v>
      </c>
      <c r="H951" t="s">
        <v>508</v>
      </c>
      <c r="I951" t="s">
        <v>509</v>
      </c>
      <c r="J951" t="s">
        <v>589</v>
      </c>
      <c r="K951" s="575">
        <f>S4</f>
        <v>-744</v>
      </c>
      <c r="L951" t="str">
        <f t="shared" ref="L951:L960" si="89">L950</f>
        <v>R-BGV - Bougainville</v>
      </c>
      <c r="N951" s="3" t="s">
        <v>3442</v>
      </c>
      <c r="O951" s="3"/>
    </row>
    <row r="952" spans="1:15">
      <c r="A952" t="s">
        <v>586</v>
      </c>
      <c r="B952" t="s">
        <v>3359</v>
      </c>
      <c r="C952" s="60" t="str">
        <f t="shared" si="88"/>
        <v>E6760</v>
      </c>
      <c r="D952" t="s">
        <v>587</v>
      </c>
      <c r="E952" t="s">
        <v>588</v>
      </c>
      <c r="F952" t="s">
        <v>506</v>
      </c>
      <c r="G952" t="s">
        <v>507</v>
      </c>
      <c r="H952" t="s">
        <v>508</v>
      </c>
      <c r="I952" t="s">
        <v>509</v>
      </c>
      <c r="J952" t="s">
        <v>589</v>
      </c>
      <c r="K952" s="575">
        <f>T4</f>
        <v>-720</v>
      </c>
      <c r="L952" t="str">
        <f t="shared" si="89"/>
        <v>R-BGV - Bougainville</v>
      </c>
      <c r="N952" s="3" t="s">
        <v>3442</v>
      </c>
      <c r="O952" s="3"/>
    </row>
    <row r="953" spans="1:15">
      <c r="A953" t="s">
        <v>586</v>
      </c>
      <c r="B953" t="s">
        <v>3360</v>
      </c>
      <c r="C953" s="60" t="str">
        <f t="shared" si="88"/>
        <v>E6760</v>
      </c>
      <c r="D953" t="s">
        <v>587</v>
      </c>
      <c r="E953" t="s">
        <v>588</v>
      </c>
      <c r="F953" t="s">
        <v>506</v>
      </c>
      <c r="G953" t="s">
        <v>507</v>
      </c>
      <c r="H953" t="s">
        <v>508</v>
      </c>
      <c r="I953" t="s">
        <v>509</v>
      </c>
      <c r="J953" t="s">
        <v>589</v>
      </c>
      <c r="K953" s="575">
        <f>U4</f>
        <v>-744</v>
      </c>
      <c r="L953" t="str">
        <f t="shared" si="89"/>
        <v>R-BGV - Bougainville</v>
      </c>
      <c r="N953" s="3" t="s">
        <v>3442</v>
      </c>
      <c r="O953" s="3"/>
    </row>
    <row r="954" spans="1:15">
      <c r="A954" t="s">
        <v>586</v>
      </c>
      <c r="B954" t="s">
        <v>3361</v>
      </c>
      <c r="C954" s="60" t="str">
        <f t="shared" si="88"/>
        <v>E6760</v>
      </c>
      <c r="D954" t="s">
        <v>587</v>
      </c>
      <c r="E954" t="s">
        <v>588</v>
      </c>
      <c r="F954" t="s">
        <v>506</v>
      </c>
      <c r="G954" t="s">
        <v>507</v>
      </c>
      <c r="H954" t="s">
        <v>508</v>
      </c>
      <c r="I954" t="s">
        <v>509</v>
      </c>
      <c r="J954" t="s">
        <v>589</v>
      </c>
      <c r="K954" s="575">
        <f>V4</f>
        <v>-720</v>
      </c>
      <c r="L954" t="str">
        <f t="shared" si="89"/>
        <v>R-BGV - Bougainville</v>
      </c>
      <c r="N954" s="3" t="s">
        <v>3442</v>
      </c>
      <c r="O954" s="3"/>
    </row>
    <row r="955" spans="1:15">
      <c r="A955" t="s">
        <v>586</v>
      </c>
      <c r="B955" t="s">
        <v>3362</v>
      </c>
      <c r="C955" s="60" t="str">
        <f t="shared" si="88"/>
        <v>E6760</v>
      </c>
      <c r="D955" t="s">
        <v>587</v>
      </c>
      <c r="E955" t="s">
        <v>588</v>
      </c>
      <c r="F955" t="s">
        <v>506</v>
      </c>
      <c r="G955" t="s">
        <v>507</v>
      </c>
      <c r="H955" t="s">
        <v>508</v>
      </c>
      <c r="I955" t="s">
        <v>509</v>
      </c>
      <c r="J955" t="s">
        <v>589</v>
      </c>
      <c r="K955" s="575">
        <f>W4</f>
        <v>-744</v>
      </c>
      <c r="L955" t="str">
        <f t="shared" si="89"/>
        <v>R-BGV - Bougainville</v>
      </c>
      <c r="N955" s="3" t="s">
        <v>3442</v>
      </c>
      <c r="O955" s="3"/>
    </row>
    <row r="956" spans="1:15">
      <c r="A956" t="s">
        <v>586</v>
      </c>
      <c r="B956" t="s">
        <v>3363</v>
      </c>
      <c r="C956" s="60" t="str">
        <f t="shared" si="88"/>
        <v>E6760</v>
      </c>
      <c r="D956" t="s">
        <v>587</v>
      </c>
      <c r="E956" t="s">
        <v>588</v>
      </c>
      <c r="F956" t="s">
        <v>506</v>
      </c>
      <c r="G956" t="s">
        <v>507</v>
      </c>
      <c r="H956" t="s">
        <v>508</v>
      </c>
      <c r="I956" t="s">
        <v>509</v>
      </c>
      <c r="J956" t="s">
        <v>589</v>
      </c>
      <c r="K956" s="575">
        <f>X4</f>
        <v>-744</v>
      </c>
      <c r="L956" t="str">
        <f t="shared" si="89"/>
        <v>R-BGV - Bougainville</v>
      </c>
      <c r="N956" s="3" t="s">
        <v>3442</v>
      </c>
      <c r="O956" s="3"/>
    </row>
    <row r="957" spans="1:15">
      <c r="A957" t="s">
        <v>586</v>
      </c>
      <c r="B957" t="s">
        <v>3364</v>
      </c>
      <c r="C957" s="60" t="str">
        <f t="shared" si="88"/>
        <v>E6760</v>
      </c>
      <c r="D957" t="s">
        <v>587</v>
      </c>
      <c r="E957" t="s">
        <v>588</v>
      </c>
      <c r="F957" t="s">
        <v>506</v>
      </c>
      <c r="G957" t="s">
        <v>507</v>
      </c>
      <c r="H957" t="s">
        <v>508</v>
      </c>
      <c r="I957" t="s">
        <v>509</v>
      </c>
      <c r="J957" t="s">
        <v>589</v>
      </c>
      <c r="K957" s="575">
        <f>Y4</f>
        <v>-720</v>
      </c>
      <c r="L957" t="str">
        <f t="shared" si="89"/>
        <v>R-BGV - Bougainville</v>
      </c>
      <c r="N957" s="3" t="s">
        <v>3442</v>
      </c>
      <c r="O957" s="3"/>
    </row>
    <row r="958" spans="1:15">
      <c r="A958" t="s">
        <v>586</v>
      </c>
      <c r="B958" t="s">
        <v>3365</v>
      </c>
      <c r="C958" s="60" t="str">
        <f t="shared" si="88"/>
        <v>E6760</v>
      </c>
      <c r="D958" t="s">
        <v>587</v>
      </c>
      <c r="E958" t="s">
        <v>588</v>
      </c>
      <c r="F958" t="s">
        <v>506</v>
      </c>
      <c r="G958" t="s">
        <v>507</v>
      </c>
      <c r="H958" t="s">
        <v>508</v>
      </c>
      <c r="I958" t="s">
        <v>509</v>
      </c>
      <c r="J958" t="s">
        <v>589</v>
      </c>
      <c r="K958" s="575">
        <f>Z4</f>
        <v>-744</v>
      </c>
      <c r="L958" t="str">
        <f t="shared" si="89"/>
        <v>R-BGV - Bougainville</v>
      </c>
      <c r="N958" s="3" t="s">
        <v>3442</v>
      </c>
      <c r="O958" s="3"/>
    </row>
    <row r="959" spans="1:15">
      <c r="A959" t="s">
        <v>586</v>
      </c>
      <c r="B959" t="s">
        <v>3366</v>
      </c>
      <c r="C959" s="60" t="str">
        <f t="shared" si="88"/>
        <v>E6760</v>
      </c>
      <c r="D959" t="s">
        <v>587</v>
      </c>
      <c r="E959" t="s">
        <v>588</v>
      </c>
      <c r="F959" t="s">
        <v>506</v>
      </c>
      <c r="G959" t="s">
        <v>507</v>
      </c>
      <c r="H959" t="s">
        <v>508</v>
      </c>
      <c r="I959" t="s">
        <v>509</v>
      </c>
      <c r="J959" t="s">
        <v>589</v>
      </c>
      <c r="K959" s="575">
        <f>AA3</f>
        <v>-21.6</v>
      </c>
      <c r="L959" t="str">
        <f t="shared" si="89"/>
        <v>R-BGV - Bougainville</v>
      </c>
      <c r="N959" s="3" t="s">
        <v>3443</v>
      </c>
      <c r="O959" s="3"/>
    </row>
    <row r="960" spans="1:15">
      <c r="A960" t="s">
        <v>586</v>
      </c>
      <c r="B960" t="s">
        <v>3367</v>
      </c>
      <c r="C960" s="60" t="str">
        <f t="shared" si="88"/>
        <v>E6760</v>
      </c>
      <c r="D960" t="s">
        <v>587</v>
      </c>
      <c r="E960" t="s">
        <v>588</v>
      </c>
      <c r="F960" t="s">
        <v>506</v>
      </c>
      <c r="G960" t="s">
        <v>507</v>
      </c>
      <c r="H960" t="s">
        <v>508</v>
      </c>
      <c r="I960" t="s">
        <v>509</v>
      </c>
      <c r="J960" t="s">
        <v>589</v>
      </c>
      <c r="K960" s="575">
        <f>AB3</f>
        <v>-22.32</v>
      </c>
      <c r="L960" t="str">
        <f t="shared" si="89"/>
        <v>R-BGV - Bougainville</v>
      </c>
      <c r="N960" s="3" t="s">
        <v>3443</v>
      </c>
      <c r="O960" s="3"/>
    </row>
  </sheetData>
  <autoFilter ref="A1:AB960" xr:uid="{D0EB04EC-83B4-41D3-B4E6-987E8F5F99B5}"/>
  <pageMargins left="0.7" right="0.7" top="0.75" bottom="0.75" header="0.3" footer="0.3"/>
  <pageSetup paperSize="9" orientation="portrait" r:id="rId1"/>
  <customProperties>
    <customPr name="Longview.RefreshTimestamp" r:id="rId2"/>
  </customProperties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5A345-C457-4F8F-B345-E3A576820F6A}">
  <sheetPr>
    <tabColor rgb="FF00B0F0"/>
  </sheetPr>
  <dimension ref="A2:Y973"/>
  <sheetViews>
    <sheetView topLeftCell="A19" zoomScale="85" zoomScaleNormal="85" workbookViewId="0">
      <selection activeCell="K12" sqref="K12"/>
    </sheetView>
  </sheetViews>
  <sheetFormatPr baseColWidth="10" defaultColWidth="11.5703125" defaultRowHeight="15"/>
  <cols>
    <col min="1" max="1" width="16.140625" bestFit="1" customWidth="1"/>
    <col min="2" max="2" width="7.42578125" bestFit="1" customWidth="1"/>
    <col min="3" max="3" width="6.28515625" style="323" bestFit="1" customWidth="1"/>
    <col min="4" max="4" width="15.42578125" bestFit="1" customWidth="1"/>
    <col min="5" max="5" width="18" bestFit="1" customWidth="1"/>
    <col min="6" max="6" width="15.7109375" bestFit="1" customWidth="1"/>
    <col min="7" max="7" width="12.28515625" bestFit="1" customWidth="1"/>
    <col min="8" max="8" width="11.85546875" bestFit="1" customWidth="1"/>
    <col min="9" max="9" width="14.85546875" bestFit="1" customWidth="1"/>
    <col min="10" max="10" width="15.7109375" bestFit="1" customWidth="1"/>
    <col min="11" max="11" width="15.5703125" style="498" bestFit="1" customWidth="1"/>
    <col min="12" max="12" width="39" bestFit="1" customWidth="1"/>
  </cols>
  <sheetData>
    <row r="2" spans="1:12">
      <c r="A2" t="s">
        <v>505</v>
      </c>
      <c r="B2" s="3" t="s">
        <v>3356</v>
      </c>
      <c r="C2" s="323" t="str">
        <f>'2-Préparation saisie LV PROD'!B5</f>
        <v>E5030</v>
      </c>
      <c r="D2" t="s">
        <v>587</v>
      </c>
      <c r="E2" t="s">
        <v>588</v>
      </c>
      <c r="F2" t="s">
        <v>506</v>
      </c>
      <c r="G2" t="s">
        <v>507</v>
      </c>
      <c r="H2" t="s">
        <v>508</v>
      </c>
      <c r="I2" t="s">
        <v>509</v>
      </c>
      <c r="J2" t="s">
        <v>589</v>
      </c>
      <c r="K2" s="497">
        <f>ROUND(HLOOKUP($B2,'2-Préparation saisie LV PROD'!$F$1:$Q$86,'2-Préparation saisie LV PROD'!A5,FALSE),0)</f>
        <v>1684549</v>
      </c>
      <c r="L2" t="str">
        <f>VLOOKUP(C2,Capacité!C:L,10,FALSE)</f>
        <v>Avignonet</v>
      </c>
    </row>
    <row r="3" spans="1:12">
      <c r="A3" t="s">
        <v>505</v>
      </c>
      <c r="B3" t="str">
        <f>+$B$2</f>
        <v>B22_01</v>
      </c>
      <c r="C3" s="323" t="str">
        <f>'2-Préparation saisie LV PROD'!B6</f>
        <v>E5040</v>
      </c>
      <c r="D3" t="str">
        <f>D2</f>
        <v>NO_DATAVIEWS</v>
      </c>
      <c r="E3" s="62" t="str">
        <f>E2</f>
        <v>NO_DEPARTMENTS</v>
      </c>
      <c r="F3" t="s">
        <v>506</v>
      </c>
      <c r="G3" t="s">
        <v>507</v>
      </c>
      <c r="H3" t="s">
        <v>508</v>
      </c>
      <c r="I3" t="s">
        <v>509</v>
      </c>
      <c r="J3" t="s">
        <v>589</v>
      </c>
      <c r="K3" s="497">
        <f>ROUND(HLOOKUP($B3,'2-Préparation saisie LV PROD'!$F$1:$Q$86,'2-Préparation saisie LV PROD'!A6,FALSE),0)</f>
        <v>794809</v>
      </c>
      <c r="L3" t="str">
        <f>VLOOKUP(C3,Capacité!C:L,10,FALSE)</f>
        <v>Chépy</v>
      </c>
    </row>
    <row r="4" spans="1:12">
      <c r="A4" t="s">
        <v>505</v>
      </c>
      <c r="B4" t="str">
        <f t="shared" ref="B4:B67" si="0">+$B$2</f>
        <v>B22_01</v>
      </c>
      <c r="C4" s="323" t="str">
        <f>'2-Préparation saisie LV PROD'!B7</f>
        <v>E5050</v>
      </c>
      <c r="D4" t="str">
        <f t="shared" ref="D4:D67" si="1">D3</f>
        <v>NO_DATAVIEWS</v>
      </c>
      <c r="E4" s="62" t="str">
        <f t="shared" ref="E4:E67" si="2">E3</f>
        <v>NO_DEPARTMENTS</v>
      </c>
      <c r="F4" t="s">
        <v>506</v>
      </c>
      <c r="G4" t="s">
        <v>507</v>
      </c>
      <c r="H4" t="s">
        <v>508</v>
      </c>
      <c r="I4" t="s">
        <v>509</v>
      </c>
      <c r="J4" t="s">
        <v>589</v>
      </c>
      <c r="K4" s="497">
        <f>ROUND(HLOOKUP($B4,'2-Préparation saisie LV PROD'!$F$1:$Q$86,'2-Préparation saisie LV PROD'!A7,FALSE),0)</f>
        <v>2344356</v>
      </c>
      <c r="L4" t="str">
        <f>VLOOKUP(C4,Capacité!C:L,10,FALSE)</f>
        <v>Nibas</v>
      </c>
    </row>
    <row r="5" spans="1:12">
      <c r="A5" t="s">
        <v>505</v>
      </c>
      <c r="B5" t="str">
        <f t="shared" si="0"/>
        <v>B22_01</v>
      </c>
      <c r="C5" s="323" t="str">
        <f>'2-Préparation saisie LV PROD'!B8</f>
        <v>E5070</v>
      </c>
      <c r="D5" t="str">
        <f t="shared" si="1"/>
        <v>NO_DATAVIEWS</v>
      </c>
      <c r="E5" s="62" t="str">
        <f t="shared" si="2"/>
        <v>NO_DEPARTMENTS</v>
      </c>
      <c r="F5" t="s">
        <v>506</v>
      </c>
      <c r="G5" t="s">
        <v>507</v>
      </c>
      <c r="H5" t="s">
        <v>508</v>
      </c>
      <c r="I5" t="s">
        <v>509</v>
      </c>
      <c r="J5" t="s">
        <v>589</v>
      </c>
      <c r="K5" s="497">
        <f>ROUND(HLOOKUP($B5,'2-Préparation saisie LV PROD'!$F$1:$Q$86,'2-Préparation saisie LV PROD'!A8,FALSE),0)</f>
        <v>2210551</v>
      </c>
      <c r="L5" t="str">
        <f>VLOOKUP(C5,Capacité!C:L,10,FALSE)</f>
        <v>Ally Bessadous</v>
      </c>
    </row>
    <row r="6" spans="1:12">
      <c r="A6" t="s">
        <v>505</v>
      </c>
      <c r="B6" t="str">
        <f t="shared" si="0"/>
        <v>B22_01</v>
      </c>
      <c r="C6" s="323" t="str">
        <f>'2-Préparation saisie LV PROD'!B9</f>
        <v>E5080</v>
      </c>
      <c r="D6" t="str">
        <f t="shared" si="1"/>
        <v>NO_DATAVIEWS</v>
      </c>
      <c r="E6" s="62" t="str">
        <f t="shared" si="2"/>
        <v>NO_DEPARTMENTS</v>
      </c>
      <c r="F6" t="s">
        <v>506</v>
      </c>
      <c r="G6" t="s">
        <v>507</v>
      </c>
      <c r="H6" t="s">
        <v>508</v>
      </c>
      <c r="I6" t="s">
        <v>509</v>
      </c>
      <c r="J6" t="s">
        <v>589</v>
      </c>
      <c r="K6" s="497">
        <f>ROUND(HLOOKUP($B6,'2-Préparation saisie LV PROD'!$F$1:$Q$86,'2-Préparation saisie LV PROD'!A9,FALSE),0)</f>
        <v>1472091</v>
      </c>
      <c r="L6" t="str">
        <f>VLOOKUP(C6,Capacité!C:L,10,FALSE)</f>
        <v>Ally Mercoeur</v>
      </c>
    </row>
    <row r="7" spans="1:12">
      <c r="A7" t="s">
        <v>505</v>
      </c>
      <c r="B7" t="str">
        <f t="shared" si="0"/>
        <v>B22_01</v>
      </c>
      <c r="C7" s="323" t="str">
        <f>'2-Préparation saisie LV PROD'!B10</f>
        <v>E5090</v>
      </c>
      <c r="D7" t="str">
        <f t="shared" si="1"/>
        <v>NO_DATAVIEWS</v>
      </c>
      <c r="E7" s="62" t="str">
        <f t="shared" si="2"/>
        <v>NO_DEPARTMENTS</v>
      </c>
      <c r="F7" t="s">
        <v>506</v>
      </c>
      <c r="G7" t="s">
        <v>507</v>
      </c>
      <c r="H7" t="s">
        <v>508</v>
      </c>
      <c r="I7" t="s">
        <v>509</v>
      </c>
      <c r="J7" t="s">
        <v>589</v>
      </c>
      <c r="K7" s="497">
        <f>ROUND(HLOOKUP($B7,'2-Préparation saisie LV PROD'!$F$1:$Q$86,'2-Préparation saisie LV PROD'!A10,FALSE),0)</f>
        <v>1911983</v>
      </c>
      <c r="L7" t="str">
        <f>VLOOKUP(C7,Capacité!C:L,10,FALSE)</f>
        <v>Ally Monteil</v>
      </c>
    </row>
    <row r="8" spans="1:12">
      <c r="A8" t="s">
        <v>505</v>
      </c>
      <c r="B8" t="str">
        <f t="shared" si="0"/>
        <v>B22_01</v>
      </c>
      <c r="C8" s="323" t="str">
        <f>'2-Préparation saisie LV PROD'!B11</f>
        <v>E5100</v>
      </c>
      <c r="D8" t="str">
        <f t="shared" si="1"/>
        <v>NO_DATAVIEWS</v>
      </c>
      <c r="E8" s="62" t="str">
        <f t="shared" si="2"/>
        <v>NO_DEPARTMENTS</v>
      </c>
      <c r="F8" t="s">
        <v>506</v>
      </c>
      <c r="G8" t="s">
        <v>507</v>
      </c>
      <c r="H8" t="s">
        <v>508</v>
      </c>
      <c r="I8" t="s">
        <v>509</v>
      </c>
      <c r="J8" t="s">
        <v>589</v>
      </c>
      <c r="K8" s="497">
        <f>ROUND(HLOOKUP($B8,'2-Préparation saisie LV PROD'!$F$1:$Q$86,'2-Préparation saisie LV PROD'!A11,FALSE),0)</f>
        <v>2314592</v>
      </c>
      <c r="L8" t="str">
        <f>VLOOKUP(C8,Capacité!C:L,10,FALSE)</f>
        <v>Ally Verseilles</v>
      </c>
    </row>
    <row r="9" spans="1:12">
      <c r="A9" t="s">
        <v>505</v>
      </c>
      <c r="B9" t="str">
        <f t="shared" si="0"/>
        <v>B22_01</v>
      </c>
      <c r="C9" s="323" t="str">
        <f>'2-Préparation saisie LV PROD'!B12</f>
        <v>E5110</v>
      </c>
      <c r="D9" t="str">
        <f t="shared" si="1"/>
        <v>NO_DATAVIEWS</v>
      </c>
      <c r="E9" s="62" t="str">
        <f t="shared" si="2"/>
        <v>NO_DEPARTMENTS</v>
      </c>
      <c r="F9" t="s">
        <v>506</v>
      </c>
      <c r="G9" t="s">
        <v>507</v>
      </c>
      <c r="H9" t="s">
        <v>508</v>
      </c>
      <c r="I9" t="s">
        <v>509</v>
      </c>
      <c r="J9" t="s">
        <v>589</v>
      </c>
      <c r="K9" s="497">
        <f>ROUND(HLOOKUP($B9,'2-Préparation saisie LV PROD'!$F$1:$Q$86,'2-Préparation saisie LV PROD'!A12,FALSE),0)</f>
        <v>0</v>
      </c>
      <c r="L9" t="str">
        <f>VLOOKUP(C9,Capacité!C:L,10,FALSE)</f>
        <v>Cham Longe Bel Air</v>
      </c>
    </row>
    <row r="10" spans="1:12">
      <c r="A10" t="s">
        <v>505</v>
      </c>
      <c r="B10" t="str">
        <f t="shared" si="0"/>
        <v>B22_01</v>
      </c>
      <c r="C10" s="323" t="str">
        <f>'2-Préparation saisie LV PROD'!B13</f>
        <v>E5120</v>
      </c>
      <c r="D10" t="str">
        <f t="shared" si="1"/>
        <v>NO_DATAVIEWS</v>
      </c>
      <c r="E10" s="62" t="str">
        <f t="shared" si="2"/>
        <v>NO_DEPARTMENTS</v>
      </c>
      <c r="F10" t="s">
        <v>506</v>
      </c>
      <c r="G10" t="s">
        <v>507</v>
      </c>
      <c r="H10" t="s">
        <v>508</v>
      </c>
      <c r="I10" t="s">
        <v>509</v>
      </c>
      <c r="J10" t="s">
        <v>589</v>
      </c>
      <c r="K10" s="497">
        <f>ROUND(HLOOKUP($B10,'2-Préparation saisie LV PROD'!$F$1:$Q$86,'2-Préparation saisie LV PROD'!A13,FALSE),0)</f>
        <v>0</v>
      </c>
      <c r="L10" t="str">
        <f>VLOOKUP(C10,Capacité!C:L,10,FALSE)</f>
        <v>Cham Longe Le Courbil (Eole Cevennes)</v>
      </c>
    </row>
    <row r="11" spans="1:12">
      <c r="A11" t="s">
        <v>505</v>
      </c>
      <c r="B11" t="str">
        <f t="shared" si="0"/>
        <v>B22_01</v>
      </c>
      <c r="C11" s="323" t="str">
        <f>'2-Préparation saisie LV PROD'!B14</f>
        <v>E5150</v>
      </c>
      <c r="D11" t="str">
        <f t="shared" si="1"/>
        <v>NO_DATAVIEWS</v>
      </c>
      <c r="E11" s="62" t="str">
        <f t="shared" si="2"/>
        <v>NO_DEPARTMENTS</v>
      </c>
      <c r="F11" t="s">
        <v>506</v>
      </c>
      <c r="G11" t="s">
        <v>507</v>
      </c>
      <c r="H11" t="s">
        <v>508</v>
      </c>
      <c r="I11" t="s">
        <v>509</v>
      </c>
      <c r="J11" t="s">
        <v>589</v>
      </c>
      <c r="K11" s="497">
        <f>ROUND(HLOOKUP($B11,'2-Préparation saisie LV PROD'!$F$1:$Q$86,'2-Préparation saisie LV PROD'!A14,FALSE),0)</f>
        <v>1380687</v>
      </c>
      <c r="L11" t="str">
        <f>VLOOKUP(C11,Capacité!C:L,10,FALSE)</f>
        <v>Cham Longe II</v>
      </c>
    </row>
    <row r="12" spans="1:12">
      <c r="A12" t="s">
        <v>505</v>
      </c>
      <c r="B12" t="str">
        <f t="shared" si="0"/>
        <v>B22_01</v>
      </c>
      <c r="C12" s="323" t="str">
        <f>'2-Préparation saisie LV PROD'!B15</f>
        <v>E5130</v>
      </c>
      <c r="D12" t="str">
        <f t="shared" si="1"/>
        <v>NO_DATAVIEWS</v>
      </c>
      <c r="E12" s="62" t="str">
        <f t="shared" si="2"/>
        <v>NO_DEPARTMENTS</v>
      </c>
      <c r="F12" t="s">
        <v>506</v>
      </c>
      <c r="G12" t="s">
        <v>507</v>
      </c>
      <c r="H12" t="s">
        <v>508</v>
      </c>
      <c r="I12" t="s">
        <v>509</v>
      </c>
      <c r="J12" t="s">
        <v>589</v>
      </c>
      <c r="K12" s="497">
        <f>ROUND(HLOOKUP($B12,'2-Préparation saisie LV PROD'!$F$1:$Q$86,'2-Préparation saisie LV PROD'!A15,FALSE),0)</f>
        <v>2257116</v>
      </c>
      <c r="L12" t="str">
        <f>VLOOKUP(C12,Capacité!C:L,10,FALSE)</f>
        <v>Plouguin</v>
      </c>
    </row>
    <row r="13" spans="1:12">
      <c r="A13" t="s">
        <v>505</v>
      </c>
      <c r="B13" t="str">
        <f t="shared" si="0"/>
        <v>B22_01</v>
      </c>
      <c r="C13" s="323" t="str">
        <f>'2-Préparation saisie LV PROD'!B16</f>
        <v>E5140</v>
      </c>
      <c r="D13" t="str">
        <f t="shared" si="1"/>
        <v>NO_DATAVIEWS</v>
      </c>
      <c r="E13" s="62" t="str">
        <f t="shared" si="2"/>
        <v>NO_DEPARTMENTS</v>
      </c>
      <c r="F13" t="s">
        <v>506</v>
      </c>
      <c r="G13" t="s">
        <v>507</v>
      </c>
      <c r="H13" t="s">
        <v>508</v>
      </c>
      <c r="I13" t="s">
        <v>509</v>
      </c>
      <c r="J13" t="s">
        <v>589</v>
      </c>
      <c r="K13" s="497">
        <f>ROUND(HLOOKUP($B13,'2-Préparation saisie LV PROD'!$F$1:$Q$86,'2-Préparation saisie LV PROD'!A16,FALSE),0)</f>
        <v>3029489</v>
      </c>
      <c r="L13" t="str">
        <f>VLOOKUP(C13,Capacité!C:L,10,FALSE)</f>
        <v>La Citadelle</v>
      </c>
    </row>
    <row r="14" spans="1:12">
      <c r="A14" t="s">
        <v>505</v>
      </c>
      <c r="B14" t="str">
        <f t="shared" si="0"/>
        <v>B22_01</v>
      </c>
      <c r="C14" s="323" t="str">
        <f>'2-Préparation saisie LV PROD'!B17</f>
        <v>E5160</v>
      </c>
      <c r="D14" t="str">
        <f t="shared" si="1"/>
        <v>NO_DATAVIEWS</v>
      </c>
      <c r="E14" s="62" t="str">
        <f t="shared" si="2"/>
        <v>NO_DEPARTMENTS</v>
      </c>
      <c r="F14" t="s">
        <v>506</v>
      </c>
      <c r="G14" t="s">
        <v>507</v>
      </c>
      <c r="H14" t="s">
        <v>508</v>
      </c>
      <c r="I14" t="s">
        <v>509</v>
      </c>
      <c r="J14" t="s">
        <v>589</v>
      </c>
      <c r="K14" s="497">
        <f>ROUND(HLOOKUP($B14,'2-Préparation saisie LV PROD'!$F$1:$Q$86,'2-Préparation saisie LV PROD'!A17,FALSE),0)</f>
        <v>2549737</v>
      </c>
      <c r="L14" t="str">
        <f>VLOOKUP(C14,Capacité!C:L,10,FALSE)</f>
        <v>Chasse Marée</v>
      </c>
    </row>
    <row r="15" spans="1:12">
      <c r="A15" t="s">
        <v>505</v>
      </c>
      <c r="B15" t="str">
        <f t="shared" si="0"/>
        <v>B22_01</v>
      </c>
      <c r="C15" s="323" t="str">
        <f>'2-Préparation saisie LV PROD'!B18</f>
        <v>E5170</v>
      </c>
      <c r="D15" t="str">
        <f t="shared" si="1"/>
        <v>NO_DATAVIEWS</v>
      </c>
      <c r="E15" s="62" t="str">
        <f t="shared" si="2"/>
        <v>NO_DEPARTMENTS</v>
      </c>
      <c r="F15" t="s">
        <v>506</v>
      </c>
      <c r="G15" t="s">
        <v>507</v>
      </c>
      <c r="H15" t="s">
        <v>508</v>
      </c>
      <c r="I15" t="s">
        <v>509</v>
      </c>
      <c r="J15" t="s">
        <v>589</v>
      </c>
      <c r="K15" s="497">
        <f>ROUND(HLOOKUP($B15,'2-Préparation saisie LV PROD'!$F$1:$Q$86,'2-Préparation saisie LV PROD'!A18,FALSE),0)</f>
        <v>7827605</v>
      </c>
      <c r="L15" t="str">
        <f>VLOOKUP(C15,Capacité!C:L,10,FALSE)</f>
        <v>Ronchois</v>
      </c>
    </row>
    <row r="16" spans="1:12">
      <c r="A16" t="s">
        <v>505</v>
      </c>
      <c r="B16" t="str">
        <f t="shared" si="0"/>
        <v>B22_01</v>
      </c>
      <c r="C16" s="323" t="str">
        <f>'2-Préparation saisie LV PROD'!B19</f>
        <v>E5180</v>
      </c>
      <c r="D16" t="str">
        <f t="shared" si="1"/>
        <v>NO_DATAVIEWS</v>
      </c>
      <c r="E16" s="62" t="str">
        <f t="shared" si="2"/>
        <v>NO_DEPARTMENTS</v>
      </c>
      <c r="F16" t="s">
        <v>506</v>
      </c>
      <c r="G16" t="s">
        <v>507</v>
      </c>
      <c r="H16" t="s">
        <v>508</v>
      </c>
      <c r="I16" t="s">
        <v>509</v>
      </c>
      <c r="J16" t="s">
        <v>589</v>
      </c>
      <c r="K16" s="497">
        <f>ROUND(HLOOKUP($B16,'2-Préparation saisie LV PROD'!$F$1:$Q$86,'2-Préparation saisie LV PROD'!A19,FALSE),0)</f>
        <v>2857729</v>
      </c>
      <c r="L16" t="str">
        <f>VLOOKUP(C16,Capacité!C:L,10,FALSE)</f>
        <v>Le Grand Camp</v>
      </c>
    </row>
    <row r="17" spans="1:12">
      <c r="A17" t="s">
        <v>505</v>
      </c>
      <c r="B17" t="str">
        <f t="shared" si="0"/>
        <v>B22_01</v>
      </c>
      <c r="C17" s="323" t="str">
        <f>'2-Préparation saisie LV PROD'!B20</f>
        <v>E5210</v>
      </c>
      <c r="D17" t="str">
        <f t="shared" si="1"/>
        <v>NO_DATAVIEWS</v>
      </c>
      <c r="E17" s="62" t="str">
        <f t="shared" si="2"/>
        <v>NO_DEPARTMENTS</v>
      </c>
      <c r="F17" t="s">
        <v>506</v>
      </c>
      <c r="G17" t="s">
        <v>507</v>
      </c>
      <c r="H17" t="s">
        <v>508</v>
      </c>
      <c r="I17" t="s">
        <v>509</v>
      </c>
      <c r="J17" t="s">
        <v>589</v>
      </c>
      <c r="K17" s="497">
        <f>ROUND(HLOOKUP($B17,'2-Préparation saisie LV PROD'!$F$1:$Q$86,'2-Préparation saisie LV PROD'!A20,FALSE),0)</f>
        <v>1050366</v>
      </c>
      <c r="L17" t="str">
        <f>VLOOKUP(C17,Capacité!C:L,10,FALSE)</f>
        <v>Avignonet II</v>
      </c>
    </row>
    <row r="18" spans="1:12">
      <c r="A18" t="s">
        <v>505</v>
      </c>
      <c r="B18" t="str">
        <f t="shared" si="0"/>
        <v>B22_01</v>
      </c>
      <c r="C18" s="323" t="str">
        <f>'2-Préparation saisie LV PROD'!B21</f>
        <v>E5270</v>
      </c>
      <c r="D18" t="str">
        <f t="shared" si="1"/>
        <v>NO_DATAVIEWS</v>
      </c>
      <c r="E18" s="62" t="str">
        <f t="shared" si="2"/>
        <v>NO_DEPARTMENTS</v>
      </c>
      <c r="F18" t="s">
        <v>506</v>
      </c>
      <c r="G18" t="s">
        <v>507</v>
      </c>
      <c r="H18" t="s">
        <v>508</v>
      </c>
      <c r="I18" t="s">
        <v>509</v>
      </c>
      <c r="J18" t="s">
        <v>589</v>
      </c>
      <c r="K18" s="497">
        <f>ROUND(HLOOKUP($B18,'2-Préparation saisie LV PROD'!$F$1:$Q$86,'2-Préparation saisie LV PROD'!A21,FALSE),0)</f>
        <v>6571410</v>
      </c>
      <c r="L18" t="str">
        <f>VLOOKUP(C18,Capacité!C:L,10,FALSE)</f>
        <v>Ménétréols Renardiére (La vallée 2)</v>
      </c>
    </row>
    <row r="19" spans="1:12">
      <c r="A19" t="s">
        <v>505</v>
      </c>
      <c r="B19" t="str">
        <f t="shared" si="0"/>
        <v>B22_01</v>
      </c>
      <c r="C19" s="323" t="str">
        <f>'2-Préparation saisie LV PROD'!B22</f>
        <v>E5280</v>
      </c>
      <c r="D19" t="str">
        <f t="shared" si="1"/>
        <v>NO_DATAVIEWS</v>
      </c>
      <c r="E19" s="62" t="str">
        <f t="shared" si="2"/>
        <v>NO_DEPARTMENTS</v>
      </c>
      <c r="F19" t="s">
        <v>506</v>
      </c>
      <c r="G19" t="s">
        <v>507</v>
      </c>
      <c r="H19" t="s">
        <v>508</v>
      </c>
      <c r="I19" t="s">
        <v>509</v>
      </c>
      <c r="J19" t="s">
        <v>589</v>
      </c>
      <c r="K19" s="497">
        <f>ROUND(HLOOKUP($B19,'2-Préparation saisie LV PROD'!$F$1:$Q$86,'2-Préparation saisie LV PROD'!A22,FALSE),0)</f>
        <v>1084041</v>
      </c>
      <c r="L19" t="str">
        <f>VLOOKUP(C19,Capacité!C:L,10,FALSE)</f>
        <v>St Georges (La Vallée 1)</v>
      </c>
    </row>
    <row r="20" spans="1:12">
      <c r="A20" t="s">
        <v>505</v>
      </c>
      <c r="B20" t="str">
        <f t="shared" si="0"/>
        <v>B22_01</v>
      </c>
      <c r="C20" s="323" t="str">
        <f>'2-Préparation saisie LV PROD'!B23</f>
        <v>E5300</v>
      </c>
      <c r="D20" t="str">
        <f t="shared" si="1"/>
        <v>NO_DATAVIEWS</v>
      </c>
      <c r="E20" s="62" t="str">
        <f t="shared" si="2"/>
        <v>NO_DEPARTMENTS</v>
      </c>
      <c r="F20" t="s">
        <v>506</v>
      </c>
      <c r="G20" t="s">
        <v>507</v>
      </c>
      <c r="H20" t="s">
        <v>508</v>
      </c>
      <c r="I20" t="s">
        <v>509</v>
      </c>
      <c r="J20" t="s">
        <v>589</v>
      </c>
      <c r="K20" s="497">
        <f>ROUND(HLOOKUP($B20,'2-Préparation saisie LV PROD'!$F$1:$Q$86,'2-Préparation saisie LV PROD'!A23,FALSE),0)</f>
        <v>2444447</v>
      </c>
      <c r="L20" t="str">
        <f>VLOOKUP(C20,Capacité!C:L,10,FALSE)</f>
        <v>Vron</v>
      </c>
    </row>
    <row r="21" spans="1:12">
      <c r="A21" t="s">
        <v>505</v>
      </c>
      <c r="B21" t="str">
        <f t="shared" si="0"/>
        <v>B22_01</v>
      </c>
      <c r="C21" s="323" t="str">
        <f>'2-Préparation saisie LV PROD'!B24</f>
        <v>E5310</v>
      </c>
      <c r="D21" t="str">
        <f t="shared" si="1"/>
        <v>NO_DATAVIEWS</v>
      </c>
      <c r="E21" s="62" t="str">
        <f t="shared" si="2"/>
        <v>NO_DEPARTMENTS</v>
      </c>
      <c r="F21" t="s">
        <v>506</v>
      </c>
      <c r="G21" t="s">
        <v>507</v>
      </c>
      <c r="H21" t="s">
        <v>508</v>
      </c>
      <c r="I21" t="s">
        <v>509</v>
      </c>
      <c r="J21" t="s">
        <v>589</v>
      </c>
      <c r="K21" s="497">
        <f>ROUND(HLOOKUP($B21,'2-Préparation saisie LV PROD'!$F$1:$Q$86,'2-Préparation saisie LV PROD'!A24,FALSE),0)</f>
        <v>6717090</v>
      </c>
      <c r="L21" t="str">
        <f>VLOOKUP(C21,Capacité!C:L,10,FALSE)</f>
        <v>Fortel</v>
      </c>
    </row>
    <row r="22" spans="1:12">
      <c r="A22" t="s">
        <v>505</v>
      </c>
      <c r="B22" t="str">
        <f t="shared" si="0"/>
        <v>B22_01</v>
      </c>
      <c r="C22" s="323" t="str">
        <f>'2-Préparation saisie LV PROD'!B25</f>
        <v>E5320</v>
      </c>
      <c r="D22" t="str">
        <f t="shared" si="1"/>
        <v>NO_DATAVIEWS</v>
      </c>
      <c r="E22" s="62" t="str">
        <f t="shared" si="2"/>
        <v>NO_DEPARTMENTS</v>
      </c>
      <c r="F22" t="s">
        <v>506</v>
      </c>
      <c r="G22" t="s">
        <v>507</v>
      </c>
      <c r="H22" t="s">
        <v>508</v>
      </c>
      <c r="I22" t="s">
        <v>509</v>
      </c>
      <c r="J22" t="s">
        <v>589</v>
      </c>
      <c r="K22" s="497">
        <f>ROUND(HLOOKUP($B22,'2-Préparation saisie LV PROD'!$F$1:$Q$86,'2-Préparation saisie LV PROD'!A25,FALSE),0)</f>
        <v>6301013</v>
      </c>
      <c r="L22" t="str">
        <f>VLOOKUP(C22,Capacité!C:L,10,FALSE)</f>
        <v>St François Roye</v>
      </c>
    </row>
    <row r="23" spans="1:12">
      <c r="A23" t="s">
        <v>505</v>
      </c>
      <c r="B23" t="str">
        <f t="shared" si="0"/>
        <v>B22_01</v>
      </c>
      <c r="C23" s="323" t="str">
        <f>'2-Préparation saisie LV PROD'!B26</f>
        <v>E5290</v>
      </c>
      <c r="D23" t="str">
        <f t="shared" si="1"/>
        <v>NO_DATAVIEWS</v>
      </c>
      <c r="E23" s="62" t="str">
        <f t="shared" si="2"/>
        <v>NO_DEPARTMENTS</v>
      </c>
      <c r="F23" t="s">
        <v>506</v>
      </c>
      <c r="G23" t="s">
        <v>507</v>
      </c>
      <c r="H23" t="s">
        <v>508</v>
      </c>
      <c r="I23" t="s">
        <v>509</v>
      </c>
      <c r="J23" t="s">
        <v>589</v>
      </c>
      <c r="K23" s="497">
        <f>ROUND(HLOOKUP($B23,'2-Préparation saisie LV PROD'!$F$1:$Q$86,'2-Préparation saisie LV PROD'!A26,FALSE),0)</f>
        <v>11416416</v>
      </c>
      <c r="L23" t="str">
        <f>VLOOKUP(C23,Capacité!C:L,10,FALSE)</f>
        <v>St Patrick</v>
      </c>
    </row>
    <row r="24" spans="1:12">
      <c r="A24" t="s">
        <v>505</v>
      </c>
      <c r="B24" t="str">
        <f t="shared" si="0"/>
        <v>B22_01</v>
      </c>
      <c r="C24" s="323" t="str">
        <f>'2-Préparation saisie LV PROD'!B27</f>
        <v>E5360</v>
      </c>
      <c r="D24" t="str">
        <f t="shared" si="1"/>
        <v>NO_DATAVIEWS</v>
      </c>
      <c r="E24" s="62" t="str">
        <f t="shared" si="2"/>
        <v>NO_DEPARTMENTS</v>
      </c>
      <c r="F24" t="s">
        <v>506</v>
      </c>
      <c r="G24" t="s">
        <v>507</v>
      </c>
      <c r="H24" t="s">
        <v>508</v>
      </c>
      <c r="I24" t="s">
        <v>509</v>
      </c>
      <c r="J24" t="s">
        <v>589</v>
      </c>
      <c r="K24" s="497">
        <f>ROUND(HLOOKUP($B24,'2-Préparation saisie LV PROD'!$F$1:$Q$86,'2-Préparation saisie LV PROD'!A27,FALSE),0)</f>
        <v>3383185</v>
      </c>
      <c r="L24" t="str">
        <f>VLOOKUP(C24,Capacité!C:L,10,FALSE)</f>
        <v>Calmont (Laur Eole Energie )</v>
      </c>
    </row>
    <row r="25" spans="1:12">
      <c r="A25" t="s">
        <v>505</v>
      </c>
      <c r="B25" t="str">
        <f t="shared" si="0"/>
        <v>B22_01</v>
      </c>
      <c r="C25" s="323" t="str">
        <f>'2-Préparation saisie LV PROD'!B28</f>
        <v>E5391</v>
      </c>
      <c r="D25" t="str">
        <f t="shared" si="1"/>
        <v>NO_DATAVIEWS</v>
      </c>
      <c r="E25" s="62" t="str">
        <f t="shared" si="2"/>
        <v>NO_DEPARTMENTS</v>
      </c>
      <c r="F25" t="s">
        <v>506</v>
      </c>
      <c r="G25" t="s">
        <v>507</v>
      </c>
      <c r="H25" t="s">
        <v>508</v>
      </c>
      <c r="I25" t="s">
        <v>509</v>
      </c>
      <c r="J25" t="s">
        <v>589</v>
      </c>
      <c r="K25" s="497">
        <f>ROUND(HLOOKUP($B25,'2-Préparation saisie LV PROD'!$F$1:$Q$86,'2-Préparation saisie LV PROD'!A28,FALSE),0)</f>
        <v>1245239</v>
      </c>
      <c r="L25" t="str">
        <f>VLOOKUP(C25,Capacité!C:L,10,FALSE)</f>
        <v>Coat Conval</v>
      </c>
    </row>
    <row r="26" spans="1:12">
      <c r="A26" t="s">
        <v>505</v>
      </c>
      <c r="B26" t="str">
        <f t="shared" si="0"/>
        <v>B22_01</v>
      </c>
      <c r="C26" s="323" t="str">
        <f>'2-Préparation saisie LV PROD'!B29</f>
        <v>E5392</v>
      </c>
      <c r="D26" t="str">
        <f t="shared" si="1"/>
        <v>NO_DATAVIEWS</v>
      </c>
      <c r="E26" s="62" t="str">
        <f t="shared" si="2"/>
        <v>NO_DEPARTMENTS</v>
      </c>
      <c r="F26" t="s">
        <v>506</v>
      </c>
      <c r="G26" t="s">
        <v>507</v>
      </c>
      <c r="H26" t="s">
        <v>508</v>
      </c>
      <c r="I26" t="s">
        <v>509</v>
      </c>
      <c r="J26" t="s">
        <v>589</v>
      </c>
      <c r="K26" s="497">
        <f>ROUND(HLOOKUP($B26,'2-Préparation saisie LV PROD'!$F$1:$Q$86,'2-Préparation saisie LV PROD'!A29,FALSE),0)</f>
        <v>1801985</v>
      </c>
      <c r="L26" t="str">
        <f>VLOOKUP(C26,Capacité!C:L,10,FALSE)</f>
        <v>Leign ar Gasprenn</v>
      </c>
    </row>
    <row r="27" spans="1:12">
      <c r="A27" t="s">
        <v>505</v>
      </c>
      <c r="B27" t="str">
        <f t="shared" si="0"/>
        <v>B22_01</v>
      </c>
      <c r="C27" s="323" t="str">
        <f>'2-Préparation saisie LV PROD'!B30</f>
        <v>E5393</v>
      </c>
      <c r="D27" t="str">
        <f t="shared" si="1"/>
        <v>NO_DATAVIEWS</v>
      </c>
      <c r="E27" s="62" t="str">
        <f t="shared" si="2"/>
        <v>NO_DEPARTMENTS</v>
      </c>
      <c r="F27" t="s">
        <v>506</v>
      </c>
      <c r="G27" t="s">
        <v>507</v>
      </c>
      <c r="H27" t="s">
        <v>508</v>
      </c>
      <c r="I27" t="s">
        <v>509</v>
      </c>
      <c r="J27" t="s">
        <v>589</v>
      </c>
      <c r="K27" s="497">
        <f>ROUND(HLOOKUP($B27,'2-Préparation saisie LV PROD'!$F$1:$Q$86,'2-Préparation saisie LV PROD'!A30,FALSE),0)</f>
        <v>8675724</v>
      </c>
      <c r="L27" t="str">
        <f>VLOOKUP(C27,Capacité!C:L,10,FALSE)</f>
        <v>Vallée d'Arce</v>
      </c>
    </row>
    <row r="28" spans="1:12">
      <c r="A28" t="s">
        <v>505</v>
      </c>
      <c r="B28" t="str">
        <f t="shared" si="0"/>
        <v>B22_01</v>
      </c>
      <c r="C28" s="323" t="str">
        <f>'2-Préparation saisie LV PROD'!B31</f>
        <v>E5394</v>
      </c>
      <c r="D28" t="str">
        <f t="shared" si="1"/>
        <v>NO_DATAVIEWS</v>
      </c>
      <c r="E28" s="62" t="str">
        <f t="shared" si="2"/>
        <v>NO_DEPARTMENTS</v>
      </c>
      <c r="F28" t="s">
        <v>506</v>
      </c>
      <c r="G28" t="s">
        <v>507</v>
      </c>
      <c r="H28" t="s">
        <v>508</v>
      </c>
      <c r="I28" t="s">
        <v>509</v>
      </c>
      <c r="J28" t="s">
        <v>589</v>
      </c>
      <c r="K28" s="497">
        <f>ROUND(HLOOKUP($B28,'2-Préparation saisie LV PROD'!$F$1:$Q$86,'2-Préparation saisie LV PROD'!A31,FALSE),0)</f>
        <v>1705078</v>
      </c>
      <c r="L28" t="str">
        <f>VLOOKUP(C28,Capacité!C:L,10,FALSE)</f>
        <v>La Bouleste</v>
      </c>
    </row>
    <row r="29" spans="1:12">
      <c r="A29" t="s">
        <v>505</v>
      </c>
      <c r="B29" t="str">
        <f t="shared" si="0"/>
        <v>B22_01</v>
      </c>
      <c r="C29" s="323" t="str">
        <f>'2-Préparation saisie LV PROD'!B32</f>
        <v>E5395</v>
      </c>
      <c r="D29" t="str">
        <f t="shared" si="1"/>
        <v>NO_DATAVIEWS</v>
      </c>
      <c r="E29" s="62" t="str">
        <f t="shared" si="2"/>
        <v>NO_DEPARTMENTS</v>
      </c>
      <c r="F29" t="s">
        <v>506</v>
      </c>
      <c r="G29" t="s">
        <v>507</v>
      </c>
      <c r="H29" t="s">
        <v>508</v>
      </c>
      <c r="I29" t="s">
        <v>509</v>
      </c>
      <c r="J29" t="s">
        <v>589</v>
      </c>
      <c r="K29" s="497">
        <f>ROUND(HLOOKUP($B29,'2-Préparation saisie LV PROD'!$F$1:$Q$86,'2-Préparation saisie LV PROD'!A32,FALSE),0)</f>
        <v>5565404</v>
      </c>
      <c r="L29" t="str">
        <f>VLOOKUP(C29,Capacité!C:L,10,FALSE)</f>
        <v>Haut de Conge</v>
      </c>
    </row>
    <row r="30" spans="1:12">
      <c r="A30" t="s">
        <v>505</v>
      </c>
      <c r="B30" t="str">
        <f t="shared" si="0"/>
        <v>B22_01</v>
      </c>
      <c r="C30" s="323" t="str">
        <f>'2-Préparation saisie LV PROD'!B33</f>
        <v>E5396</v>
      </c>
      <c r="D30" t="str">
        <f t="shared" si="1"/>
        <v>NO_DATAVIEWS</v>
      </c>
      <c r="E30" s="62" t="str">
        <f t="shared" si="2"/>
        <v>NO_DEPARTMENTS</v>
      </c>
      <c r="F30" t="s">
        <v>506</v>
      </c>
      <c r="G30" t="s">
        <v>507</v>
      </c>
      <c r="H30" t="s">
        <v>508</v>
      </c>
      <c r="I30" t="s">
        <v>509</v>
      </c>
      <c r="J30" t="s">
        <v>589</v>
      </c>
      <c r="K30" s="497">
        <f>ROUND(HLOOKUP($B30,'2-Préparation saisie LV PROD'!$F$1:$Q$86,'2-Préparation saisie LV PROD'!A33,FALSE),0)</f>
        <v>2427105</v>
      </c>
      <c r="L30" t="str">
        <f>VLOOKUP(C30,Capacité!C:L,10,FALSE)</f>
        <v>Les Eparmonts</v>
      </c>
    </row>
    <row r="31" spans="1:12">
      <c r="A31" t="s">
        <v>505</v>
      </c>
      <c r="B31" t="str">
        <f t="shared" si="0"/>
        <v>B22_01</v>
      </c>
      <c r="C31" s="323" t="str">
        <f>'2-Préparation saisie LV PROD'!B34</f>
        <v>E5397</v>
      </c>
      <c r="D31" t="str">
        <f t="shared" si="1"/>
        <v>NO_DATAVIEWS</v>
      </c>
      <c r="E31" s="62" t="str">
        <f t="shared" si="2"/>
        <v>NO_DEPARTMENTS</v>
      </c>
      <c r="F31" t="s">
        <v>506</v>
      </c>
      <c r="G31" t="s">
        <v>507</v>
      </c>
      <c r="H31" t="s">
        <v>508</v>
      </c>
      <c r="I31" t="s">
        <v>509</v>
      </c>
      <c r="J31" t="s">
        <v>589</v>
      </c>
      <c r="K31" s="497">
        <f>ROUND(HLOOKUP($B31,'2-Préparation saisie LV PROD'!$F$1:$Q$86,'2-Préparation saisie LV PROD'!A34,FALSE),0)</f>
        <v>2750879</v>
      </c>
      <c r="L31" t="str">
        <f>VLOOKUP(C31,Capacité!C:L,10,FALSE)</f>
        <v>Charmoy</v>
      </c>
    </row>
    <row r="32" spans="1:12">
      <c r="A32" t="s">
        <v>505</v>
      </c>
      <c r="B32" t="str">
        <f t="shared" si="0"/>
        <v>B22_01</v>
      </c>
      <c r="C32" s="323" t="str">
        <f>'2-Préparation saisie LV PROD'!B35</f>
        <v>E5398</v>
      </c>
      <c r="D32" t="str">
        <f t="shared" si="1"/>
        <v>NO_DATAVIEWS</v>
      </c>
      <c r="E32" s="62" t="str">
        <f t="shared" si="2"/>
        <v>NO_DEPARTMENTS</v>
      </c>
      <c r="F32" t="s">
        <v>506</v>
      </c>
      <c r="G32" t="s">
        <v>507</v>
      </c>
      <c r="H32" t="s">
        <v>508</v>
      </c>
      <c r="I32" t="s">
        <v>509</v>
      </c>
      <c r="J32" t="s">
        <v>589</v>
      </c>
      <c r="K32" s="497">
        <f>ROUND(HLOOKUP($B32,'2-Préparation saisie LV PROD'!$F$1:$Q$86,'2-Préparation saisie LV PROD'!A35,FALSE),0)</f>
        <v>4711545</v>
      </c>
      <c r="L32" t="str">
        <f>VLOOKUP(C32,Capacité!C:L,10,FALSE)</f>
        <v>Pannecé</v>
      </c>
    </row>
    <row r="33" spans="1:12">
      <c r="A33" t="s">
        <v>505</v>
      </c>
      <c r="B33" t="str">
        <f t="shared" si="0"/>
        <v>B22_01</v>
      </c>
      <c r="C33" s="323" t="str">
        <f>'2-Préparation saisie LV PROD'!B36</f>
        <v>E5399</v>
      </c>
      <c r="D33" t="str">
        <f t="shared" si="1"/>
        <v>NO_DATAVIEWS</v>
      </c>
      <c r="E33" s="62" t="str">
        <f t="shared" si="2"/>
        <v>NO_DEPARTMENTS</v>
      </c>
      <c r="F33" t="s">
        <v>506</v>
      </c>
      <c r="G33" t="s">
        <v>507</v>
      </c>
      <c r="H33" t="s">
        <v>508</v>
      </c>
      <c r="I33" t="s">
        <v>509</v>
      </c>
      <c r="J33" t="s">
        <v>589</v>
      </c>
      <c r="K33" s="497">
        <f>ROUND(HLOOKUP($B33,'2-Préparation saisie LV PROD'!$F$1:$Q$86,'2-Préparation saisie LV PROD'!A36,FALSE),0)</f>
        <v>9465885</v>
      </c>
      <c r="L33" t="str">
        <f>VLOOKUP(C33,Capacité!C:L,10,FALSE)</f>
        <v>Coulonges</v>
      </c>
    </row>
    <row r="34" spans="1:12">
      <c r="A34" t="s">
        <v>505</v>
      </c>
      <c r="B34" t="str">
        <f t="shared" si="0"/>
        <v>B22_01</v>
      </c>
      <c r="C34" s="323" t="str">
        <f>'2-Préparation saisie LV PROD'!B37</f>
        <v>E5400</v>
      </c>
      <c r="D34" t="str">
        <f t="shared" si="1"/>
        <v>NO_DATAVIEWS</v>
      </c>
      <c r="E34" s="62" t="str">
        <f t="shared" si="2"/>
        <v>NO_DEPARTMENTS</v>
      </c>
      <c r="F34" t="s">
        <v>506</v>
      </c>
      <c r="G34" t="s">
        <v>507</v>
      </c>
      <c r="H34" t="s">
        <v>508</v>
      </c>
      <c r="I34" t="s">
        <v>509</v>
      </c>
      <c r="J34" t="s">
        <v>589</v>
      </c>
      <c r="K34" s="497">
        <f>ROUND(HLOOKUP($B34,'2-Préparation saisie LV PROD'!$F$1:$Q$86,'2-Préparation saisie LV PROD'!A37,FALSE),0)</f>
        <v>4779312</v>
      </c>
      <c r="L34" t="str">
        <f>VLOOKUP(C34,Capacité!C:L,10,FALSE)</f>
        <v>SdlL</v>
      </c>
    </row>
    <row r="35" spans="1:12">
      <c r="A35" t="s">
        <v>505</v>
      </c>
      <c r="B35" t="str">
        <f t="shared" si="0"/>
        <v>B22_01</v>
      </c>
      <c r="C35" s="323" t="str">
        <f>'2-Préparation saisie LV PROD'!B38</f>
        <v>E5401</v>
      </c>
      <c r="D35" t="str">
        <f t="shared" si="1"/>
        <v>NO_DATAVIEWS</v>
      </c>
      <c r="E35" s="62" t="str">
        <f t="shared" si="2"/>
        <v>NO_DEPARTMENTS</v>
      </c>
      <c r="F35" t="s">
        <v>506</v>
      </c>
      <c r="G35" t="s">
        <v>507</v>
      </c>
      <c r="H35" t="s">
        <v>508</v>
      </c>
      <c r="I35" t="s">
        <v>509</v>
      </c>
      <c r="J35" t="s">
        <v>589</v>
      </c>
      <c r="K35" s="497">
        <f>ROUND(HLOOKUP($B35,'2-Préparation saisie LV PROD'!$F$1:$Q$86,'2-Préparation saisie LV PROD'!A38,FALSE),0)</f>
        <v>2207151</v>
      </c>
      <c r="L35" t="str">
        <f>VLOOKUP(C35,Capacité!C:L,10,FALSE)</f>
        <v>Pays d'Othe</v>
      </c>
    </row>
    <row r="36" spans="1:12">
      <c r="A36" t="s">
        <v>505</v>
      </c>
      <c r="B36" t="str">
        <f t="shared" si="0"/>
        <v>B22_01</v>
      </c>
      <c r="C36" s="323" t="str">
        <f>'2-Préparation saisie LV PROD'!B39</f>
        <v>E5402</v>
      </c>
      <c r="D36" t="str">
        <f t="shared" si="1"/>
        <v>NO_DATAVIEWS</v>
      </c>
      <c r="E36" s="62" t="str">
        <f t="shared" si="2"/>
        <v>NO_DEPARTMENTS</v>
      </c>
      <c r="F36" t="s">
        <v>506</v>
      </c>
      <c r="G36" t="s">
        <v>507</v>
      </c>
      <c r="H36" t="s">
        <v>508</v>
      </c>
      <c r="I36" t="s">
        <v>509</v>
      </c>
      <c r="J36" t="s">
        <v>589</v>
      </c>
      <c r="K36" s="497">
        <f>ROUND(HLOOKUP($B36,'2-Préparation saisie LV PROD'!$F$1:$Q$86,'2-Préparation saisie LV PROD'!A39,FALSE),0)</f>
        <v>2888158</v>
      </c>
      <c r="L36" t="str">
        <f>VLOOKUP(C36,Capacité!C:L,10,FALSE)</f>
        <v>Comes de l'Arce</v>
      </c>
    </row>
    <row r="37" spans="1:12">
      <c r="A37" t="s">
        <v>505</v>
      </c>
      <c r="B37" t="str">
        <f t="shared" si="0"/>
        <v>B22_01</v>
      </c>
      <c r="C37" s="323" t="str">
        <f>'2-Préparation saisie LV PROD'!B40</f>
        <v>E5570</v>
      </c>
      <c r="D37" t="str">
        <f t="shared" si="1"/>
        <v>NO_DATAVIEWS</v>
      </c>
      <c r="E37" s="62" t="str">
        <f t="shared" si="2"/>
        <v>NO_DEPARTMENTS</v>
      </c>
      <c r="F37" t="s">
        <v>506</v>
      </c>
      <c r="G37" t="s">
        <v>507</v>
      </c>
      <c r="H37" t="s">
        <v>508</v>
      </c>
      <c r="I37" t="s">
        <v>509</v>
      </c>
      <c r="J37" t="s">
        <v>589</v>
      </c>
      <c r="K37" s="497">
        <f>ROUND(HLOOKUP($B37,'2-Préparation saisie LV PROD'!$F$1:$Q$86,'2-Préparation saisie LV PROD'!A40,FALSE),0)</f>
        <v>3917436</v>
      </c>
      <c r="L37" t="str">
        <f>VLOOKUP(C37,Capacité!C:L,10,FALSE)</f>
        <v>Plateau de Savernat</v>
      </c>
    </row>
    <row r="38" spans="1:12">
      <c r="A38" t="s">
        <v>505</v>
      </c>
      <c r="B38" t="str">
        <f t="shared" si="0"/>
        <v>B22_01</v>
      </c>
      <c r="C38" s="323" t="str">
        <f>'2-Préparation saisie LV PROD'!B41</f>
        <v>E5560</v>
      </c>
      <c r="D38" t="str">
        <f t="shared" si="1"/>
        <v>NO_DATAVIEWS</v>
      </c>
      <c r="E38" s="62" t="str">
        <f t="shared" si="2"/>
        <v>NO_DEPARTMENTS</v>
      </c>
      <c r="F38" t="s">
        <v>506</v>
      </c>
      <c r="G38" t="s">
        <v>507</v>
      </c>
      <c r="H38" t="s">
        <v>508</v>
      </c>
      <c r="I38" t="s">
        <v>509</v>
      </c>
      <c r="J38" t="s">
        <v>589</v>
      </c>
      <c r="K38" s="497">
        <f>ROUND(HLOOKUP($B38,'2-Préparation saisie LV PROD'!$F$1:$Q$86,'2-Préparation saisie LV PROD'!A41,FALSE),0)</f>
        <v>3917473</v>
      </c>
      <c r="L38" t="str">
        <f>VLOOKUP(C38,Capacité!C:L,10,FALSE)</f>
        <v>Touvent</v>
      </c>
    </row>
    <row r="39" spans="1:12">
      <c r="A39" t="s">
        <v>505</v>
      </c>
      <c r="B39" t="str">
        <f t="shared" si="0"/>
        <v>B22_01</v>
      </c>
      <c r="C39" s="323" t="str">
        <f>'2-Préparation saisie LV PROD'!B42</f>
        <v>E5700</v>
      </c>
      <c r="D39" t="str">
        <f t="shared" si="1"/>
        <v>NO_DATAVIEWS</v>
      </c>
      <c r="E39" s="62" t="str">
        <f t="shared" si="2"/>
        <v>NO_DEPARTMENTS</v>
      </c>
      <c r="F39" t="s">
        <v>506</v>
      </c>
      <c r="G39" t="s">
        <v>507</v>
      </c>
      <c r="H39" t="s">
        <v>508</v>
      </c>
      <c r="I39" t="s">
        <v>509</v>
      </c>
      <c r="J39" t="s">
        <v>589</v>
      </c>
      <c r="K39" s="497">
        <f>ROUND(HLOOKUP($B39,'2-Préparation saisie LV PROD'!$F$1:$Q$86,'2-Préparation saisie LV PROD'!A42,FALSE),0)</f>
        <v>6013002</v>
      </c>
      <c r="L39" t="str">
        <f>VLOOKUP(C39,Capacité!C:L,10,FALSE)</f>
        <v>Haut de Comble (HC)</v>
      </c>
    </row>
    <row r="40" spans="1:12">
      <c r="A40" t="s">
        <v>505</v>
      </c>
      <c r="B40" t="str">
        <f t="shared" si="0"/>
        <v>B22_01</v>
      </c>
      <c r="C40" s="323" t="str">
        <f>'2-Préparation saisie LV PROD'!B43</f>
        <v>E5600</v>
      </c>
      <c r="D40" t="str">
        <f t="shared" si="1"/>
        <v>NO_DATAVIEWS</v>
      </c>
      <c r="E40" s="62" t="str">
        <f t="shared" si="2"/>
        <v>NO_DEPARTMENTS</v>
      </c>
      <c r="F40" t="s">
        <v>506</v>
      </c>
      <c r="G40" t="s">
        <v>507</v>
      </c>
      <c r="H40" t="s">
        <v>508</v>
      </c>
      <c r="I40" t="s">
        <v>509</v>
      </c>
      <c r="J40" t="s">
        <v>589</v>
      </c>
      <c r="K40" s="497">
        <f>ROUND(HLOOKUP($B40,'2-Préparation saisie LV PROD'!$F$1:$Q$86,'2-Préparation saisie LV PROD'!A43,FALSE),0)</f>
        <v>8819434</v>
      </c>
      <c r="L40" t="str">
        <f>VLOOKUP(C40,Capacité!C:L,10,FALSE)</f>
        <v>Inter deux bos (MET)</v>
      </c>
    </row>
    <row r="41" spans="1:12">
      <c r="A41" t="s">
        <v>505</v>
      </c>
      <c r="B41" t="str">
        <f t="shared" si="0"/>
        <v>B22_01</v>
      </c>
      <c r="C41" s="323" t="str">
        <f>'2-Préparation saisie LV PROD'!B44</f>
        <v>E5770</v>
      </c>
      <c r="D41" t="str">
        <f t="shared" si="1"/>
        <v>NO_DATAVIEWS</v>
      </c>
      <c r="E41" s="62" t="str">
        <f t="shared" si="2"/>
        <v>NO_DEPARTMENTS</v>
      </c>
      <c r="F41" t="s">
        <v>506</v>
      </c>
      <c r="G41" t="s">
        <v>507</v>
      </c>
      <c r="H41" t="s">
        <v>508</v>
      </c>
      <c r="I41" t="s">
        <v>509</v>
      </c>
      <c r="J41" t="s">
        <v>589</v>
      </c>
      <c r="K41" s="497">
        <f>ROUND(HLOOKUP($B41,'2-Préparation saisie LV PROD'!$F$1:$Q$86,'2-Préparation saisie LV PROD'!A44,FALSE),0)</f>
        <v>2915345</v>
      </c>
      <c r="L41" t="str">
        <f>VLOOKUP(C41,Capacité!C:L,10,FALSE)</f>
        <v>Le Pelon</v>
      </c>
    </row>
    <row r="42" spans="1:12">
      <c r="A42" t="s">
        <v>505</v>
      </c>
      <c r="B42" t="str">
        <f t="shared" si="0"/>
        <v>B22_01</v>
      </c>
      <c r="C42" s="323" t="str">
        <f>'2-Préparation saisie LV PROD'!B45</f>
        <v>E5630</v>
      </c>
      <c r="D42" t="str">
        <f t="shared" si="1"/>
        <v>NO_DATAVIEWS</v>
      </c>
      <c r="E42" s="62" t="str">
        <f t="shared" si="2"/>
        <v>NO_DEPARTMENTS</v>
      </c>
      <c r="F42" t="s">
        <v>506</v>
      </c>
      <c r="G42" t="s">
        <v>507</v>
      </c>
      <c r="H42" t="s">
        <v>508</v>
      </c>
      <c r="I42" t="s">
        <v>509</v>
      </c>
      <c r="J42" t="s">
        <v>589</v>
      </c>
      <c r="K42" s="497">
        <f>ROUND(HLOOKUP($B42,'2-Préparation saisie LV PROD'!$F$1:$Q$86,'2-Préparation saisie LV PROD'!A45,FALSE),0)</f>
        <v>7895549</v>
      </c>
      <c r="L42" t="str">
        <f>VLOOKUP(C42,Capacité!C:L,10,FALSE)</f>
        <v>Monts de Bagny</v>
      </c>
    </row>
    <row r="43" spans="1:12">
      <c r="A43" t="s">
        <v>505</v>
      </c>
      <c r="B43" t="str">
        <f t="shared" si="0"/>
        <v>B22_01</v>
      </c>
      <c r="C43" s="323" t="str">
        <f>'2-Préparation saisie LV PROD'!B46</f>
        <v>E5690</v>
      </c>
      <c r="D43" t="str">
        <f t="shared" si="1"/>
        <v>NO_DATAVIEWS</v>
      </c>
      <c r="E43" s="62" t="str">
        <f t="shared" si="2"/>
        <v>NO_DEPARTMENTS</v>
      </c>
      <c r="F43" t="s">
        <v>506</v>
      </c>
      <c r="G43" t="s">
        <v>507</v>
      </c>
      <c r="H43" t="s">
        <v>508</v>
      </c>
      <c r="I43" t="s">
        <v>509</v>
      </c>
      <c r="J43" t="s">
        <v>589</v>
      </c>
      <c r="K43" s="497">
        <f>ROUND(HLOOKUP($B43,'2-Préparation saisie LV PROD'!$F$1:$Q$86,'2-Préparation saisie LV PROD'!A46,FALSE),0)</f>
        <v>3221107</v>
      </c>
      <c r="L43" t="str">
        <f>VLOOKUP(C43,Capacité!C:L,10,FALSE)</f>
        <v>Voie des monts</v>
      </c>
    </row>
    <row r="44" spans="1:12">
      <c r="A44" t="s">
        <v>505</v>
      </c>
      <c r="B44" t="str">
        <f t="shared" si="0"/>
        <v>B22_01</v>
      </c>
      <c r="C44" s="323" t="str">
        <f>'2-Préparation saisie LV PROD'!B47</f>
        <v>E5640</v>
      </c>
      <c r="D44" t="str">
        <f t="shared" si="1"/>
        <v>NO_DATAVIEWS</v>
      </c>
      <c r="E44" s="62" t="str">
        <f t="shared" si="2"/>
        <v>NO_DEPARTMENTS</v>
      </c>
      <c r="F44" t="s">
        <v>506</v>
      </c>
      <c r="G44" t="s">
        <v>507</v>
      </c>
      <c r="H44" t="s">
        <v>508</v>
      </c>
      <c r="I44" t="s">
        <v>509</v>
      </c>
      <c r="J44" t="s">
        <v>589</v>
      </c>
      <c r="K44" s="497">
        <f>ROUND(HLOOKUP($B44,'2-Préparation saisie LV PROD'!$F$1:$Q$86,'2-Préparation saisie LV PROD'!A47,FALSE),0)</f>
        <v>6797573</v>
      </c>
      <c r="L44" t="str">
        <f>VLOOKUP(C44,Capacité!C:L,10,FALSE)</f>
        <v>Artois</v>
      </c>
    </row>
    <row r="45" spans="1:12">
      <c r="A45" t="s">
        <v>505</v>
      </c>
      <c r="B45" t="str">
        <f t="shared" si="0"/>
        <v>B22_01</v>
      </c>
      <c r="C45" s="323" t="str">
        <f>'2-Préparation saisie LV PROD'!B48</f>
        <v>E5620</v>
      </c>
      <c r="D45" t="str">
        <f t="shared" si="1"/>
        <v>NO_DATAVIEWS</v>
      </c>
      <c r="E45" s="62" t="str">
        <f t="shared" si="2"/>
        <v>NO_DEPARTMENTS</v>
      </c>
      <c r="F45" t="s">
        <v>506</v>
      </c>
      <c r="G45" t="s">
        <v>507</v>
      </c>
      <c r="H45" t="s">
        <v>508</v>
      </c>
      <c r="I45" t="s">
        <v>509</v>
      </c>
      <c r="J45" t="s">
        <v>589</v>
      </c>
      <c r="K45" s="497">
        <f>ROUND(HLOOKUP($B45,'2-Préparation saisie LV PROD'!$F$1:$Q$86,'2-Préparation saisie LV PROD'!A48,FALSE),0)</f>
        <v>8874751</v>
      </c>
      <c r="L45" t="str">
        <f>VLOOKUP(C45,Capacité!C:L,10,FALSE)</f>
        <v>Chemin de Grès</v>
      </c>
    </row>
    <row r="46" spans="1:12">
      <c r="A46" t="s">
        <v>505</v>
      </c>
      <c r="B46" t="str">
        <f t="shared" si="0"/>
        <v>B22_01</v>
      </c>
      <c r="C46" s="323" t="str">
        <f>'2-Préparation saisie LV PROD'!B49</f>
        <v>E5810</v>
      </c>
      <c r="D46" t="str">
        <f t="shared" si="1"/>
        <v>NO_DATAVIEWS</v>
      </c>
      <c r="E46" s="62" t="str">
        <f t="shared" si="2"/>
        <v>NO_DEPARTMENTS</v>
      </c>
      <c r="F46" t="s">
        <v>506</v>
      </c>
      <c r="G46" t="s">
        <v>507</v>
      </c>
      <c r="H46" t="s">
        <v>508</v>
      </c>
      <c r="I46" t="s">
        <v>509</v>
      </c>
      <c r="J46" t="s">
        <v>589</v>
      </c>
      <c r="K46" s="497">
        <f>ROUND(HLOOKUP($B46,'2-Préparation saisie LV PROD'!$F$1:$Q$86,'2-Préparation saisie LV PROD'!A49,FALSE),0)</f>
        <v>5970351</v>
      </c>
      <c r="L46" t="str">
        <f>VLOOKUP(C46,Capacité!C:L,10,FALSE)</f>
        <v>Coteaux du Blaiseron</v>
      </c>
    </row>
    <row r="47" spans="1:12">
      <c r="A47" t="s">
        <v>505</v>
      </c>
      <c r="B47" t="str">
        <f t="shared" si="0"/>
        <v>B22_01</v>
      </c>
      <c r="C47" s="323" t="str">
        <f>'2-Préparation saisie LV PROD'!B50</f>
        <v>E5660</v>
      </c>
      <c r="D47" t="str">
        <f t="shared" si="1"/>
        <v>NO_DATAVIEWS</v>
      </c>
      <c r="E47" s="62" t="str">
        <f t="shared" si="2"/>
        <v>NO_DEPARTMENTS</v>
      </c>
      <c r="F47" t="s">
        <v>506</v>
      </c>
      <c r="G47" t="s">
        <v>507</v>
      </c>
      <c r="H47" t="s">
        <v>508</v>
      </c>
      <c r="I47" t="s">
        <v>509</v>
      </c>
      <c r="J47" t="s">
        <v>589</v>
      </c>
      <c r="K47" s="497">
        <f>ROUND(HLOOKUP($B47,'2-Préparation saisie LV PROD'!$F$1:$Q$86,'2-Préparation saisie LV PROD'!A50,FALSE),0)</f>
        <v>5139437</v>
      </c>
      <c r="L47" t="str">
        <f>VLOOKUP(C47,Capacité!C:L,10,FALSE)</f>
        <v>XSAN</v>
      </c>
    </row>
    <row r="48" spans="1:12">
      <c r="A48" t="s">
        <v>505</v>
      </c>
      <c r="B48" t="str">
        <f t="shared" si="0"/>
        <v>B22_01</v>
      </c>
      <c r="C48" s="323" t="str">
        <f>'2-Préparation saisie LV PROD'!B51</f>
        <v>E5590</v>
      </c>
      <c r="D48" t="str">
        <f t="shared" si="1"/>
        <v>NO_DATAVIEWS</v>
      </c>
      <c r="E48" s="62" t="str">
        <f t="shared" si="2"/>
        <v>NO_DEPARTMENTS</v>
      </c>
      <c r="F48" t="s">
        <v>506</v>
      </c>
      <c r="G48" t="s">
        <v>507</v>
      </c>
      <c r="H48" t="s">
        <v>508</v>
      </c>
      <c r="I48" t="s">
        <v>509</v>
      </c>
      <c r="J48" t="s">
        <v>589</v>
      </c>
      <c r="K48" s="497">
        <f>ROUND(HLOOKUP($B48,'2-Préparation saisie LV PROD'!$F$1:$Q$86,'2-Préparation saisie LV PROD'!A51,FALSE),0)</f>
        <v>3764640</v>
      </c>
      <c r="L48" t="str">
        <f>VLOOKUP(C48,Capacité!C:L,10,FALSE)</f>
        <v>Le Catésis (CAT)</v>
      </c>
    </row>
    <row r="49" spans="1:12">
      <c r="A49" t="s">
        <v>505</v>
      </c>
      <c r="B49" t="str">
        <f t="shared" si="0"/>
        <v>B22_01</v>
      </c>
      <c r="C49" s="323" t="str">
        <f>'2-Préparation saisie LV PROD'!B52</f>
        <v>E5650</v>
      </c>
      <c r="D49" t="str">
        <f t="shared" si="1"/>
        <v>NO_DATAVIEWS</v>
      </c>
      <c r="E49" s="62" t="str">
        <f t="shared" si="2"/>
        <v>NO_DEPARTMENTS</v>
      </c>
      <c r="F49" t="s">
        <v>506</v>
      </c>
      <c r="G49" t="s">
        <v>507</v>
      </c>
      <c r="H49" t="s">
        <v>508</v>
      </c>
      <c r="I49" t="s">
        <v>509</v>
      </c>
      <c r="J49" t="s">
        <v>589</v>
      </c>
      <c r="K49" s="497">
        <f>ROUND(HLOOKUP($B49,'2-Préparation saisie LV PROD'!$F$1:$Q$86,'2-Préparation saisie LV PROD'!A52,FALSE),0)</f>
        <v>6921662</v>
      </c>
      <c r="L49" t="str">
        <f>VLOOKUP(C49,Capacité!C:L,10,FALSE)</f>
        <v>Seuil du Cambrésis- Ribecourt (RIB)</v>
      </c>
    </row>
    <row r="50" spans="1:12">
      <c r="A50" t="s">
        <v>505</v>
      </c>
      <c r="B50" t="str">
        <f t="shared" si="0"/>
        <v>B22_01</v>
      </c>
      <c r="C50" s="323" t="str">
        <f>'2-Préparation saisie LV PROD'!B53</f>
        <v>E5720</v>
      </c>
      <c r="D50" t="str">
        <f t="shared" si="1"/>
        <v>NO_DATAVIEWS</v>
      </c>
      <c r="E50" s="62" t="str">
        <f t="shared" si="2"/>
        <v>NO_DEPARTMENTS</v>
      </c>
      <c r="F50" t="s">
        <v>506</v>
      </c>
      <c r="G50" t="s">
        <v>507</v>
      </c>
      <c r="H50" t="s">
        <v>508</v>
      </c>
      <c r="I50" t="s">
        <v>509</v>
      </c>
      <c r="J50" t="s">
        <v>589</v>
      </c>
      <c r="K50" s="497">
        <f>ROUND(HLOOKUP($B50,'2-Préparation saisie LV PROD'!$F$1:$Q$86,'2-Préparation saisie LV PROD'!A53,FALSE),0)</f>
        <v>5446284</v>
      </c>
      <c r="L50" t="str">
        <f>VLOOKUP(C50,Capacité!C:L,10,FALSE)</f>
        <v>Basse Thiérache Nord</v>
      </c>
    </row>
    <row r="51" spans="1:12">
      <c r="A51" t="s">
        <v>505</v>
      </c>
      <c r="B51" t="str">
        <f t="shared" si="0"/>
        <v>B22_01</v>
      </c>
      <c r="C51" s="323" t="str">
        <f>'2-Préparation saisie LV PROD'!B54</f>
        <v>E5710</v>
      </c>
      <c r="D51" t="str">
        <f t="shared" si="1"/>
        <v>NO_DATAVIEWS</v>
      </c>
      <c r="E51" s="62" t="str">
        <f t="shared" si="2"/>
        <v>NO_DEPARTMENTS</v>
      </c>
      <c r="F51" t="s">
        <v>506</v>
      </c>
      <c r="G51" t="s">
        <v>507</v>
      </c>
      <c r="H51" t="s">
        <v>508</v>
      </c>
      <c r="I51" t="s">
        <v>509</v>
      </c>
      <c r="J51" t="s">
        <v>589</v>
      </c>
      <c r="K51" s="497">
        <f>ROUND(HLOOKUP($B51,'2-Préparation saisie LV PROD'!$F$1:$Q$86,'2-Préparation saisie LV PROD'!A54,FALSE),0)</f>
        <v>6207007</v>
      </c>
      <c r="L51" t="str">
        <f>VLOOKUP(C51,Capacité!C:L,10,FALSE)</f>
        <v>Sources de l'Ancre</v>
      </c>
    </row>
    <row r="52" spans="1:12">
      <c r="A52" t="s">
        <v>505</v>
      </c>
      <c r="B52" t="str">
        <f t="shared" si="0"/>
        <v>B22_01</v>
      </c>
      <c r="C52" s="323" t="str">
        <f>'2-Préparation saisie LV PROD'!B55</f>
        <v>E6190</v>
      </c>
      <c r="D52" t="str">
        <f t="shared" si="1"/>
        <v>NO_DATAVIEWS</v>
      </c>
      <c r="E52" s="62" t="str">
        <f t="shared" si="2"/>
        <v>NO_DEPARTMENTS</v>
      </c>
      <c r="F52" t="s">
        <v>506</v>
      </c>
      <c r="G52" t="s">
        <v>507</v>
      </c>
      <c r="H52" t="s">
        <v>508</v>
      </c>
      <c r="I52" t="s">
        <v>509</v>
      </c>
      <c r="J52" t="s">
        <v>589</v>
      </c>
      <c r="K52" s="497">
        <f>ROUND(HLOOKUP($B52,'2-Préparation saisie LV PROD'!$F$1:$Q$86,'2-Préparation saisie LV PROD'!A55,FALSE),0)</f>
        <v>2736753</v>
      </c>
      <c r="L52" t="str">
        <f>VLOOKUP(C52,Capacité!C:L,10,FALSE)</f>
        <v>Evits et Josaphats</v>
      </c>
    </row>
    <row r="53" spans="1:12">
      <c r="A53" t="s">
        <v>505</v>
      </c>
      <c r="B53" t="str">
        <f t="shared" si="0"/>
        <v>B22_01</v>
      </c>
      <c r="C53" s="323" t="str">
        <f>'2-Préparation saisie LV PROD'!B56</f>
        <v>E6200</v>
      </c>
      <c r="D53" t="str">
        <f t="shared" si="1"/>
        <v>NO_DATAVIEWS</v>
      </c>
      <c r="E53" s="62" t="str">
        <f t="shared" si="2"/>
        <v>NO_DEPARTMENTS</v>
      </c>
      <c r="F53" t="s">
        <v>506</v>
      </c>
      <c r="G53" t="s">
        <v>507</v>
      </c>
      <c r="H53" t="s">
        <v>508</v>
      </c>
      <c r="I53" t="s">
        <v>509</v>
      </c>
      <c r="J53" t="s">
        <v>589</v>
      </c>
      <c r="K53" s="497">
        <f>ROUND(HLOOKUP($B53,'2-Préparation saisie LV PROD'!$F$1:$Q$86,'2-Préparation saisie LV PROD'!A56,FALSE),0)</f>
        <v>0</v>
      </c>
      <c r="L53" t="str">
        <f>VLOOKUP(C53,Capacité!C:L,10,FALSE)</f>
        <v>Remise Reclainville</v>
      </c>
    </row>
    <row r="54" spans="1:12">
      <c r="A54" t="s">
        <v>505</v>
      </c>
      <c r="B54" t="str">
        <f t="shared" si="0"/>
        <v>B22_01</v>
      </c>
      <c r="C54" s="323" t="str">
        <f>'2-Préparation saisie LV PROD'!B57</f>
        <v>E6150</v>
      </c>
      <c r="D54" t="str">
        <f t="shared" si="1"/>
        <v>NO_DATAVIEWS</v>
      </c>
      <c r="E54" s="62" t="str">
        <f t="shared" si="2"/>
        <v>NO_DEPARTMENTS</v>
      </c>
      <c r="F54" t="s">
        <v>506</v>
      </c>
      <c r="G54" t="s">
        <v>507</v>
      </c>
      <c r="H54" t="s">
        <v>508</v>
      </c>
      <c r="I54" t="s">
        <v>509</v>
      </c>
      <c r="J54" t="s">
        <v>589</v>
      </c>
      <c r="K54" s="497">
        <f>ROUND(HLOOKUP($B54,'2-Préparation saisie LV PROD'!$F$1:$Q$86,'2-Préparation saisie LV PROD'!A57,FALSE),0)</f>
        <v>2155644</v>
      </c>
      <c r="L54" t="str">
        <f>VLOOKUP(C54,Capacité!C:L,10,FALSE)</f>
        <v>Fierville</v>
      </c>
    </row>
    <row r="55" spans="1:12">
      <c r="A55" t="s">
        <v>505</v>
      </c>
      <c r="B55" t="str">
        <f t="shared" si="0"/>
        <v>B22_01</v>
      </c>
      <c r="C55" s="323" t="str">
        <f>'2-Préparation saisie LV PROD'!B58</f>
        <v>E6340</v>
      </c>
      <c r="D55" t="str">
        <f t="shared" si="1"/>
        <v>NO_DATAVIEWS</v>
      </c>
      <c r="E55" s="62" t="str">
        <f t="shared" si="2"/>
        <v>NO_DEPARTMENTS</v>
      </c>
      <c r="F55" t="s">
        <v>506</v>
      </c>
      <c r="G55" t="s">
        <v>507</v>
      </c>
      <c r="H55" t="s">
        <v>508</v>
      </c>
      <c r="I55" t="s">
        <v>509</v>
      </c>
      <c r="J55" t="s">
        <v>589</v>
      </c>
      <c r="K55" s="497">
        <f>ROUND(HLOOKUP($B55,'2-Préparation saisie LV PROD'!$F$1:$Q$86,'2-Préparation saisie LV PROD'!A58,FALSE),0)</f>
        <v>3576607</v>
      </c>
      <c r="L55" t="str">
        <f>VLOOKUP(C55,Capacité!C:L,10,FALSE)</f>
        <v>Plaine de Beaunay</v>
      </c>
    </row>
    <row r="56" spans="1:12">
      <c r="A56" t="s">
        <v>505</v>
      </c>
      <c r="B56" t="str">
        <f t="shared" si="0"/>
        <v>B22_01</v>
      </c>
      <c r="C56" s="323" t="str">
        <f>'2-Préparation saisie LV PROD'!B59</f>
        <v>E6370</v>
      </c>
      <c r="D56" t="str">
        <f t="shared" si="1"/>
        <v>NO_DATAVIEWS</v>
      </c>
      <c r="E56" s="62" t="str">
        <f t="shared" si="2"/>
        <v>NO_DEPARTMENTS</v>
      </c>
      <c r="F56" t="s">
        <v>506</v>
      </c>
      <c r="G56" t="s">
        <v>507</v>
      </c>
      <c r="H56" t="s">
        <v>508</v>
      </c>
      <c r="I56" t="s">
        <v>509</v>
      </c>
      <c r="J56" t="s">
        <v>589</v>
      </c>
      <c r="K56" s="497">
        <f>ROUND(HLOOKUP($B56,'2-Préparation saisie LV PROD'!$F$1:$Q$86,'2-Préparation saisie LV PROD'!A59,FALSE),0)</f>
        <v>4463899</v>
      </c>
      <c r="L56" t="str">
        <f>VLOOKUP(C56,Capacité!C:L,10,FALSE)</f>
        <v>Val au Moines</v>
      </c>
    </row>
    <row r="57" spans="1:12">
      <c r="A57" t="s">
        <v>505</v>
      </c>
      <c r="B57" t="str">
        <f t="shared" si="0"/>
        <v>B22_01</v>
      </c>
      <c r="C57" s="323" t="str">
        <f>'2-Préparation saisie LV PROD'!B60</f>
        <v>E6250</v>
      </c>
      <c r="D57" t="str">
        <f t="shared" si="1"/>
        <v>NO_DATAVIEWS</v>
      </c>
      <c r="E57" s="62" t="str">
        <f t="shared" si="2"/>
        <v>NO_DEPARTMENTS</v>
      </c>
      <c r="F57" t="s">
        <v>506</v>
      </c>
      <c r="G57" t="s">
        <v>507</v>
      </c>
      <c r="H57" t="s">
        <v>508</v>
      </c>
      <c r="I57" t="s">
        <v>509</v>
      </c>
      <c r="J57" t="s">
        <v>589</v>
      </c>
      <c r="K57" s="497">
        <f>ROUND(HLOOKUP($B57,'2-Préparation saisie LV PROD'!$F$1:$Q$86,'2-Préparation saisie LV PROD'!A60,FALSE),0)</f>
        <v>2310907</v>
      </c>
      <c r="L57" t="str">
        <f>VLOOKUP(C57,Capacité!C:L,10,FALSE)</f>
        <v>Bougainville</v>
      </c>
    </row>
    <row r="58" spans="1:12">
      <c r="A58" t="s">
        <v>505</v>
      </c>
      <c r="B58" t="str">
        <f t="shared" si="0"/>
        <v>B22_01</v>
      </c>
      <c r="C58" s="323" t="str">
        <f>'2-Préparation saisie LV PROD'!B61</f>
        <v>E6260</v>
      </c>
      <c r="D58" t="str">
        <f t="shared" si="1"/>
        <v>NO_DATAVIEWS</v>
      </c>
      <c r="E58" s="62" t="str">
        <f t="shared" si="2"/>
        <v>NO_DEPARTMENTS</v>
      </c>
      <c r="F58" t="s">
        <v>506</v>
      </c>
      <c r="G58" t="s">
        <v>507</v>
      </c>
      <c r="H58" t="s">
        <v>508</v>
      </c>
      <c r="I58" t="s">
        <v>509</v>
      </c>
      <c r="J58" t="s">
        <v>589</v>
      </c>
      <c r="K58" s="497">
        <f>ROUND(HLOOKUP($B58,'2-Préparation saisie LV PROD'!$F$1:$Q$86,'2-Préparation saisie LV PROD'!A61,FALSE),0)</f>
        <v>2445330</v>
      </c>
      <c r="L58" t="str">
        <f>VLOOKUP(C58,Capacité!C:L,10,FALSE)</f>
        <v>Saint André</v>
      </c>
    </row>
    <row r="59" spans="1:12">
      <c r="A59" t="s">
        <v>505</v>
      </c>
      <c r="B59" t="str">
        <f t="shared" si="0"/>
        <v>B22_01</v>
      </c>
      <c r="C59" s="323" t="str">
        <f>'2-Préparation saisie LV PROD'!B62</f>
        <v>E6120</v>
      </c>
      <c r="D59" t="str">
        <f t="shared" si="1"/>
        <v>NO_DATAVIEWS</v>
      </c>
      <c r="E59" s="62" t="str">
        <f t="shared" si="2"/>
        <v>NO_DEPARTMENTS</v>
      </c>
      <c r="F59" t="s">
        <v>506</v>
      </c>
      <c r="G59" t="s">
        <v>507</v>
      </c>
      <c r="H59" t="s">
        <v>508</v>
      </c>
      <c r="I59" t="s">
        <v>509</v>
      </c>
      <c r="J59" t="s">
        <v>589</v>
      </c>
      <c r="K59" s="497">
        <f>ROUND(HLOOKUP($B59,'2-Préparation saisie LV PROD'!$F$1:$Q$86,'2-Préparation saisie LV PROD'!A62,FALSE),0)</f>
        <v>934352</v>
      </c>
      <c r="L59" t="str">
        <f>VLOOKUP(C59,Capacité!C:L,10,FALSE)</f>
        <v>Fond de la Plaine</v>
      </c>
    </row>
    <row r="60" spans="1:12">
      <c r="A60" t="s">
        <v>505</v>
      </c>
      <c r="B60" t="str">
        <f t="shared" si="0"/>
        <v>B22_01</v>
      </c>
      <c r="C60" s="323" t="str">
        <f>'2-Préparation saisie LV PROD'!B63</f>
        <v>E6130</v>
      </c>
      <c r="D60" t="str">
        <f t="shared" si="1"/>
        <v>NO_DATAVIEWS</v>
      </c>
      <c r="E60" s="62" t="str">
        <f t="shared" si="2"/>
        <v>NO_DEPARTMENTS</v>
      </c>
      <c r="F60" t="s">
        <v>506</v>
      </c>
      <c r="G60" t="s">
        <v>507</v>
      </c>
      <c r="H60" t="s">
        <v>508</v>
      </c>
      <c r="I60" t="s">
        <v>509</v>
      </c>
      <c r="J60" t="s">
        <v>589</v>
      </c>
      <c r="K60" s="497">
        <f>ROUND(HLOOKUP($B60,'2-Préparation saisie LV PROD'!$F$1:$Q$86,'2-Préparation saisie LV PROD'!A63,FALSE),0)</f>
        <v>2306864</v>
      </c>
      <c r="L60" t="str">
        <f>VLOOKUP(C60,Capacité!C:L,10,FALSE)</f>
        <v>Bassigny</v>
      </c>
    </row>
    <row r="61" spans="1:12">
      <c r="A61" t="s">
        <v>505</v>
      </c>
      <c r="B61" t="str">
        <f t="shared" si="0"/>
        <v>B22_01</v>
      </c>
      <c r="C61" s="323" t="str">
        <f>'2-Préparation saisie LV PROD'!B64</f>
        <v>E6210</v>
      </c>
      <c r="D61" t="str">
        <f t="shared" si="1"/>
        <v>NO_DATAVIEWS</v>
      </c>
      <c r="E61" s="62" t="str">
        <f t="shared" si="2"/>
        <v>NO_DEPARTMENTS</v>
      </c>
      <c r="F61" t="s">
        <v>506</v>
      </c>
      <c r="G61" t="s">
        <v>507</v>
      </c>
      <c r="H61" t="s">
        <v>508</v>
      </c>
      <c r="I61" t="s">
        <v>509</v>
      </c>
      <c r="J61" t="s">
        <v>589</v>
      </c>
      <c r="K61" s="497">
        <f>ROUND(HLOOKUP($B61,'2-Préparation saisie LV PROD'!$F$1:$Q$86,'2-Préparation saisie LV PROD'!A64,FALSE),0)</f>
        <v>1809755</v>
      </c>
      <c r="L61" t="str">
        <f>VLOOKUP(C61,Capacité!C:L,10,FALSE)</f>
        <v>Les Clérimois</v>
      </c>
    </row>
    <row r="62" spans="1:12">
      <c r="A62" t="s">
        <v>505</v>
      </c>
      <c r="B62" t="str">
        <f t="shared" si="0"/>
        <v>B22_01</v>
      </c>
      <c r="C62" s="323" t="str">
        <f>'2-Préparation saisie LV PROD'!B65</f>
        <v>E6160</v>
      </c>
      <c r="D62" t="str">
        <f t="shared" si="1"/>
        <v>NO_DATAVIEWS</v>
      </c>
      <c r="E62" s="62" t="str">
        <f t="shared" si="2"/>
        <v>NO_DEPARTMENTS</v>
      </c>
      <c r="F62" t="s">
        <v>506</v>
      </c>
      <c r="G62" t="s">
        <v>507</v>
      </c>
      <c r="H62" t="s">
        <v>508</v>
      </c>
      <c r="I62" t="s">
        <v>509</v>
      </c>
      <c r="J62" t="s">
        <v>589</v>
      </c>
      <c r="K62" s="497">
        <f>ROUND(HLOOKUP($B62,'2-Préparation saisie LV PROD'!$F$1:$Q$86,'2-Préparation saisie LV PROD'!A65,FALSE),0)</f>
        <v>2022133</v>
      </c>
      <c r="L62" t="str">
        <f>VLOOKUP(C62,Capacité!C:L,10,FALSE)</f>
        <v>Plateau de Langres</v>
      </c>
    </row>
    <row r="63" spans="1:12">
      <c r="A63" t="s">
        <v>505</v>
      </c>
      <c r="B63" t="str">
        <f t="shared" si="0"/>
        <v>B22_01</v>
      </c>
      <c r="C63" s="323" t="str">
        <f>'2-Préparation saisie LV PROD'!B66</f>
        <v>E6170</v>
      </c>
      <c r="D63" t="str">
        <f t="shared" si="1"/>
        <v>NO_DATAVIEWS</v>
      </c>
      <c r="E63" s="62" t="str">
        <f t="shared" si="2"/>
        <v>NO_DEPARTMENTS</v>
      </c>
      <c r="F63" t="s">
        <v>506</v>
      </c>
      <c r="G63" t="s">
        <v>507</v>
      </c>
      <c r="H63" t="s">
        <v>508</v>
      </c>
      <c r="I63" t="s">
        <v>509</v>
      </c>
      <c r="J63" t="s">
        <v>589</v>
      </c>
      <c r="K63" s="497">
        <f>ROUND(HLOOKUP($B63,'2-Préparation saisie LV PROD'!$F$1:$Q$86,'2-Préparation saisie LV PROD'!A66,FALSE),0)</f>
        <v>1972328</v>
      </c>
      <c r="L63" t="str">
        <f>VLOOKUP(C63,Capacité!C:L,10,FALSE)</f>
        <v>Les Moulins de Boulay</v>
      </c>
    </row>
    <row r="64" spans="1:12">
      <c r="A64" t="s">
        <v>505</v>
      </c>
      <c r="B64" t="str">
        <f t="shared" si="0"/>
        <v>B22_01</v>
      </c>
      <c r="C64" s="323" t="str">
        <f>'2-Préparation saisie LV PROD'!B67</f>
        <v>E6330</v>
      </c>
      <c r="D64" t="str">
        <f t="shared" si="1"/>
        <v>NO_DATAVIEWS</v>
      </c>
      <c r="E64" s="62" t="str">
        <f t="shared" si="2"/>
        <v>NO_DEPARTMENTS</v>
      </c>
      <c r="F64" t="s">
        <v>506</v>
      </c>
      <c r="G64" t="s">
        <v>507</v>
      </c>
      <c r="H64" t="s">
        <v>508</v>
      </c>
      <c r="I64" t="s">
        <v>509</v>
      </c>
      <c r="J64" t="s">
        <v>589</v>
      </c>
      <c r="K64" s="497">
        <f>ROUND(HLOOKUP($B64,'2-Préparation saisie LV PROD'!$F$1:$Q$86,'2-Préparation saisie LV PROD'!A67,FALSE),0)</f>
        <v>2318950</v>
      </c>
      <c r="L64" t="str">
        <f>VLOOKUP(C64,Capacité!C:L,10,FALSE)</f>
        <v>Morlange</v>
      </c>
    </row>
    <row r="65" spans="1:12">
      <c r="A65" t="s">
        <v>505</v>
      </c>
      <c r="B65" t="str">
        <f t="shared" si="0"/>
        <v>B22_01</v>
      </c>
      <c r="C65" s="323" t="str">
        <f>'2-Préparation saisie LV PROD'!B68</f>
        <v>E6140</v>
      </c>
      <c r="D65" t="str">
        <f t="shared" si="1"/>
        <v>NO_DATAVIEWS</v>
      </c>
      <c r="E65" s="62" t="str">
        <f t="shared" si="2"/>
        <v>NO_DEPARTMENTS</v>
      </c>
      <c r="F65" t="s">
        <v>506</v>
      </c>
      <c r="G65" t="s">
        <v>507</v>
      </c>
      <c r="H65" t="s">
        <v>508</v>
      </c>
      <c r="I65" t="s">
        <v>509</v>
      </c>
      <c r="J65" t="s">
        <v>589</v>
      </c>
      <c r="K65" s="497">
        <f>ROUND(HLOOKUP($B65,'2-Préparation saisie LV PROD'!$F$1:$Q$86,'2-Préparation saisie LV PROD'!A68,FALSE),0)</f>
        <v>2450779</v>
      </c>
      <c r="L65" t="str">
        <f>VLOOKUP(C65,Capacité!C:L,10,FALSE)</f>
        <v>Renardières mont de Bezard</v>
      </c>
    </row>
    <row r="66" spans="1:12">
      <c r="A66" t="s">
        <v>505</v>
      </c>
      <c r="B66" t="str">
        <f t="shared" si="0"/>
        <v>B22_01</v>
      </c>
      <c r="C66" s="323" t="str">
        <f>'2-Préparation saisie LV PROD'!B69</f>
        <v>E6350</v>
      </c>
      <c r="D66" t="str">
        <f t="shared" si="1"/>
        <v>NO_DATAVIEWS</v>
      </c>
      <c r="E66" s="62" t="str">
        <f t="shared" si="2"/>
        <v>NO_DEPARTMENTS</v>
      </c>
      <c r="F66" t="s">
        <v>506</v>
      </c>
      <c r="G66" t="s">
        <v>507</v>
      </c>
      <c r="H66" t="s">
        <v>508</v>
      </c>
      <c r="I66" t="s">
        <v>509</v>
      </c>
      <c r="J66" t="s">
        <v>589</v>
      </c>
      <c r="K66" s="497">
        <f>ROUND(HLOOKUP($B66,'2-Préparation saisie LV PROD'!$F$1:$Q$86,'2-Préparation saisie LV PROD'!A69,FALSE),0)</f>
        <v>2485545</v>
      </c>
      <c r="L66" t="str">
        <f>VLOOKUP(C66,Capacité!C:L,10,FALSE)</f>
        <v>Zondrange</v>
      </c>
    </row>
    <row r="67" spans="1:12">
      <c r="A67" t="s">
        <v>505</v>
      </c>
      <c r="B67" t="str">
        <f t="shared" si="0"/>
        <v>B22_01</v>
      </c>
      <c r="C67" s="323" t="str">
        <f>'2-Préparation saisie LV PROD'!B70</f>
        <v>E6360</v>
      </c>
      <c r="D67" t="str">
        <f t="shared" si="1"/>
        <v>NO_DATAVIEWS</v>
      </c>
      <c r="E67" s="62" t="str">
        <f t="shared" si="2"/>
        <v>NO_DEPARTMENTS</v>
      </c>
      <c r="F67" t="s">
        <v>506</v>
      </c>
      <c r="G67" t="s">
        <v>507</v>
      </c>
      <c r="H67" t="s">
        <v>508</v>
      </c>
      <c r="I67" t="s">
        <v>509</v>
      </c>
      <c r="J67" t="s">
        <v>589</v>
      </c>
      <c r="K67" s="497">
        <f>ROUND(HLOOKUP($B67,'2-Préparation saisie LV PROD'!$F$1:$Q$86,'2-Préparation saisie LV PROD'!A70,FALSE),0)</f>
        <v>2659368</v>
      </c>
      <c r="L67" t="str">
        <f>VLOOKUP(C67,Capacité!C:L,10,FALSE)</f>
        <v xml:space="preserve">Noyers </v>
      </c>
    </row>
    <row r="68" spans="1:12">
      <c r="A68" t="s">
        <v>505</v>
      </c>
      <c r="B68" t="str">
        <f>+$B$2</f>
        <v>B22_01</v>
      </c>
      <c r="C68" s="323" t="str">
        <f>'2-Préparation saisie LV PROD'!B71</f>
        <v>E5550</v>
      </c>
      <c r="D68" t="str">
        <f t="shared" ref="D68:D143" si="3">D67</f>
        <v>NO_DATAVIEWS</v>
      </c>
      <c r="E68" s="62" t="str">
        <f t="shared" ref="E68:E143" si="4">E67</f>
        <v>NO_DEPARTMENTS</v>
      </c>
      <c r="F68" t="s">
        <v>506</v>
      </c>
      <c r="G68" t="s">
        <v>507</v>
      </c>
      <c r="H68" t="s">
        <v>508</v>
      </c>
      <c r="I68" t="s">
        <v>509</v>
      </c>
      <c r="J68" t="s">
        <v>589</v>
      </c>
      <c r="K68" s="497">
        <f>ROUND(HLOOKUP($B68,'2-Préparation saisie LV PROD'!$F$1:$Q$86,'2-Préparation saisie LV PROD'!A71,FALSE),0)</f>
        <v>833360</v>
      </c>
      <c r="L68" t="str">
        <f>VLOOKUP(C68,Capacité!C:L,10,FALSE)</f>
        <v>Les Cigalettes (Montfort) / Solaire</v>
      </c>
    </row>
    <row r="69" spans="1:12">
      <c r="A69" t="s">
        <v>505</v>
      </c>
      <c r="B69" t="str">
        <f>+$B$2</f>
        <v>B22_01</v>
      </c>
      <c r="C69" s="323" t="str">
        <f>'2-Préparation saisie LV PROD'!B72</f>
        <v>E5250</v>
      </c>
      <c r="D69" t="str">
        <f t="shared" si="3"/>
        <v>NO_DATAVIEWS</v>
      </c>
      <c r="E69" s="62" t="str">
        <f t="shared" si="4"/>
        <v>NO_DEPARTMENTS</v>
      </c>
      <c r="F69" t="s">
        <v>506</v>
      </c>
      <c r="G69" t="s">
        <v>507</v>
      </c>
      <c r="H69" t="s">
        <v>508</v>
      </c>
      <c r="I69" t="s">
        <v>509</v>
      </c>
      <c r="J69" t="s">
        <v>589</v>
      </c>
      <c r="K69" s="497">
        <f>ROUND(HLOOKUP($B69,'2-Préparation saisie LV PROD'!$F$1:$Q$86,'2-Préparation saisie LV PROD'!A72,FALSE),0)</f>
        <v>251019</v>
      </c>
      <c r="L69" t="str">
        <f>VLOOKUP(C69,Capacité!C:L,10,FALSE)</f>
        <v>Avignonet / Solaire</v>
      </c>
    </row>
    <row r="70" spans="1:12">
      <c r="A70" t="s">
        <v>505</v>
      </c>
      <c r="B70" t="str">
        <f t="shared" ref="B70:B82" si="5">+$B$2</f>
        <v>B22_01</v>
      </c>
      <c r="C70" s="323" t="str">
        <f>'2-Préparation saisie LV PROD'!B74</f>
        <v>E6010</v>
      </c>
      <c r="D70" t="str">
        <f t="shared" si="3"/>
        <v>NO_DATAVIEWS</v>
      </c>
      <c r="E70" s="62" t="str">
        <f t="shared" si="4"/>
        <v>NO_DEPARTMENTS</v>
      </c>
      <c r="F70" t="s">
        <v>506</v>
      </c>
      <c r="G70" t="s">
        <v>507</v>
      </c>
      <c r="H70" t="s">
        <v>508</v>
      </c>
      <c r="I70" t="s">
        <v>509</v>
      </c>
      <c r="J70" t="s">
        <v>589</v>
      </c>
      <c r="K70" s="497">
        <f>ROUND(HLOOKUP($B70,'2-Préparation saisie LV PROD'!$F$1:$Q$86,'2-Préparation saisie LV PROD'!A74,FALSE),0)</f>
        <v>10650977</v>
      </c>
      <c r="L70" t="str">
        <f>VLOOKUP(C70,Capacité!C:L,10,FALSE)</f>
        <v>CDC-R</v>
      </c>
    </row>
    <row r="71" spans="1:12">
      <c r="A71" t="s">
        <v>505</v>
      </c>
      <c r="B71" t="str">
        <f t="shared" si="5"/>
        <v>B22_01</v>
      </c>
      <c r="C71" s="323" t="str">
        <f>'2-Préparation saisie LV PROD'!B75</f>
        <v>E6280</v>
      </c>
      <c r="D71" t="str">
        <f t="shared" si="3"/>
        <v>NO_DATAVIEWS</v>
      </c>
      <c r="E71" s="62" t="str">
        <f t="shared" si="4"/>
        <v>NO_DEPARTMENTS</v>
      </c>
      <c r="F71" t="s">
        <v>506</v>
      </c>
      <c r="G71" t="s">
        <v>507</v>
      </c>
      <c r="H71" t="s">
        <v>508</v>
      </c>
      <c r="I71" t="s">
        <v>509</v>
      </c>
      <c r="J71" t="s">
        <v>589</v>
      </c>
      <c r="K71" s="497">
        <f>ROUND(HLOOKUP($B71,'2-Préparation saisie LV PROD'!$F$1:$Q$86,'2-Préparation saisie LV PROD'!A75,FALSE),0)</f>
        <v>3366311</v>
      </c>
      <c r="L71" t="str">
        <f>VLOOKUP(C71,Capacité!C:L,10,FALSE)</f>
        <v>BPF</v>
      </c>
    </row>
    <row r="72" spans="1:12">
      <c r="A72" t="s">
        <v>505</v>
      </c>
      <c r="B72" t="str">
        <f t="shared" si="5"/>
        <v>B22_01</v>
      </c>
      <c r="C72" s="323" t="str">
        <f>'2-Préparation saisie LV PROD'!B76</f>
        <v>E5930</v>
      </c>
      <c r="D72" t="str">
        <f t="shared" si="3"/>
        <v>NO_DATAVIEWS</v>
      </c>
      <c r="E72" s="62" t="str">
        <f t="shared" si="4"/>
        <v>NO_DEPARTMENTS</v>
      </c>
      <c r="F72" t="s">
        <v>506</v>
      </c>
      <c r="G72" t="s">
        <v>507</v>
      </c>
      <c r="H72" t="s">
        <v>508</v>
      </c>
      <c r="I72" t="s">
        <v>509</v>
      </c>
      <c r="J72" t="s">
        <v>589</v>
      </c>
      <c r="K72" s="497">
        <f>ROUND(HLOOKUP($B72,'2-Préparation saisie LV PROD'!$F$1:$Q$86,'2-Préparation saisie LV PROD'!A76,FALSE),0)</f>
        <v>5168947</v>
      </c>
      <c r="L72" t="str">
        <f>VLOOKUP(C72,Capacité!C:L,10,FALSE)</f>
        <v>XSB</v>
      </c>
    </row>
    <row r="73" spans="1:12">
      <c r="A73" t="s">
        <v>505</v>
      </c>
      <c r="B73" t="str">
        <f>+$B$2</f>
        <v>B22_01</v>
      </c>
      <c r="C73" s="323" t="str">
        <f>'2-Préparation saisie LV PROD'!B77</f>
        <v>E5880</v>
      </c>
      <c r="D73" t="str">
        <f t="shared" si="3"/>
        <v>NO_DATAVIEWS</v>
      </c>
      <c r="E73" s="62" t="str">
        <f t="shared" si="4"/>
        <v>NO_DEPARTMENTS</v>
      </c>
      <c r="F73" t="s">
        <v>506</v>
      </c>
      <c r="G73" t="s">
        <v>507</v>
      </c>
      <c r="H73" t="s">
        <v>508</v>
      </c>
      <c r="I73" t="s">
        <v>509</v>
      </c>
      <c r="J73" t="s">
        <v>589</v>
      </c>
      <c r="K73" s="497">
        <f>ROUND(HLOOKUP($B73,'2-Préparation saisie LV PROD'!$F$1:$Q$86,'2-Préparation saisie LV PROD'!A77,FALSE),0)</f>
        <v>4537430</v>
      </c>
      <c r="L73" t="str">
        <f>VLOOKUP(C73,Capacité!C:L,10,FALSE)</f>
        <v>Extension plaine d'Escrebieux</v>
      </c>
    </row>
    <row r="74" spans="1:12">
      <c r="A74" t="s">
        <v>505</v>
      </c>
      <c r="B74" t="str">
        <f t="shared" si="5"/>
        <v>B22_01</v>
      </c>
      <c r="C74" s="323" t="str">
        <f>'2-Préparation saisie LV PROD'!B78</f>
        <v>E6720</v>
      </c>
      <c r="D74" t="str">
        <f t="shared" si="3"/>
        <v>NO_DATAVIEWS</v>
      </c>
      <c r="E74" s="62" t="str">
        <f t="shared" si="4"/>
        <v>NO_DEPARTMENTS</v>
      </c>
      <c r="F74" t="s">
        <v>506</v>
      </c>
      <c r="G74" t="s">
        <v>507</v>
      </c>
      <c r="H74" t="s">
        <v>508</v>
      </c>
      <c r="I74" t="s">
        <v>509</v>
      </c>
      <c r="J74" t="s">
        <v>589</v>
      </c>
      <c r="K74" s="497">
        <f>ROUND(HLOOKUP($B74,'2-Préparation saisie LV PROD'!$F$1:$Q$86,'2-Préparation saisie LV PROD'!A78,FALSE),0)</f>
        <v>469982</v>
      </c>
      <c r="L74" t="str">
        <f>VLOOKUP(C74,Capacité!C:L,10,FALSE)</f>
        <v xml:space="preserve">St Christophe - Clé des champs / Solaire </v>
      </c>
    </row>
    <row r="75" spans="1:12">
      <c r="A75" t="s">
        <v>505</v>
      </c>
      <c r="B75" t="str">
        <f t="shared" si="5"/>
        <v>B22_01</v>
      </c>
      <c r="C75" s="323" t="str">
        <f>'2-Préparation saisie LV PROD'!B79</f>
        <v>E6040</v>
      </c>
      <c r="D75" t="str">
        <f t="shared" si="3"/>
        <v>NO_DATAVIEWS</v>
      </c>
      <c r="E75" s="62" t="str">
        <f t="shared" si="4"/>
        <v>NO_DEPARTMENTS</v>
      </c>
      <c r="F75" t="s">
        <v>506</v>
      </c>
      <c r="G75" t="s">
        <v>507</v>
      </c>
      <c r="H75" t="s">
        <v>508</v>
      </c>
      <c r="I75" t="s">
        <v>509</v>
      </c>
      <c r="J75" t="s">
        <v>589</v>
      </c>
      <c r="K75" s="497">
        <f>ROUND(HLOOKUP($B75,'2-Préparation saisie LV PROD'!$F$1:$Q$86,'2-Préparation saisie LV PROD'!A79,FALSE),0)</f>
        <v>965985</v>
      </c>
      <c r="L75" t="str">
        <f>VLOOKUP(C75,Capacité!C:L,10,FALSE)</f>
        <v>Peyrolles / Solaire</v>
      </c>
    </row>
    <row r="76" spans="1:12">
      <c r="A76" t="s">
        <v>505</v>
      </c>
      <c r="B76" t="str">
        <f t="shared" si="5"/>
        <v>B22_01</v>
      </c>
      <c r="C76" s="323" t="str">
        <f>'2-Préparation saisie LV PROD'!B80</f>
        <v>E6310</v>
      </c>
      <c r="D76" t="str">
        <f t="shared" si="3"/>
        <v>NO_DATAVIEWS</v>
      </c>
      <c r="E76" s="62" t="str">
        <f t="shared" si="4"/>
        <v>NO_DEPARTMENTS</v>
      </c>
      <c r="F76" t="s">
        <v>506</v>
      </c>
      <c r="G76" t="s">
        <v>507</v>
      </c>
      <c r="H76" t="s">
        <v>508</v>
      </c>
      <c r="I76" t="s">
        <v>509</v>
      </c>
      <c r="J76" t="s">
        <v>589</v>
      </c>
      <c r="K76" s="497">
        <f>ROUND(HLOOKUP($B76,'2-Préparation saisie LV PROD'!$F$1:$Q$86,'2-Préparation saisie LV PROD'!A80,FALSE),0)</f>
        <v>3705432</v>
      </c>
      <c r="L76" t="str">
        <f>VLOOKUP(C76,Capacité!C:L,10,FALSE)</f>
        <v>Bazougeais</v>
      </c>
    </row>
    <row r="77" spans="1:12">
      <c r="A77" t="s">
        <v>505</v>
      </c>
      <c r="B77" t="str">
        <f t="shared" si="5"/>
        <v>B22_01</v>
      </c>
      <c r="C77" s="323" t="str">
        <f>'2-Préparation saisie LV PROD'!B81</f>
        <v>E6571</v>
      </c>
      <c r="D77" t="str">
        <f t="shared" si="3"/>
        <v>NO_DATAVIEWS</v>
      </c>
      <c r="E77" s="62" t="str">
        <f t="shared" si="4"/>
        <v>NO_DEPARTMENTS</v>
      </c>
      <c r="F77" t="s">
        <v>506</v>
      </c>
      <c r="G77" t="s">
        <v>507</v>
      </c>
      <c r="H77" t="s">
        <v>508</v>
      </c>
      <c r="I77" t="s">
        <v>509</v>
      </c>
      <c r="J77" t="s">
        <v>589</v>
      </c>
      <c r="K77" s="497">
        <f>ROUND(HLOOKUP($B77,'2-Préparation saisie LV PROD'!$F$1:$Q$86,'2-Préparation saisie LV PROD'!A81,FALSE),0)</f>
        <v>0</v>
      </c>
      <c r="L77" t="s">
        <v>3538</v>
      </c>
    </row>
    <row r="78" spans="1:12">
      <c r="A78" t="s">
        <v>505</v>
      </c>
      <c r="B78" t="str">
        <f t="shared" si="5"/>
        <v>B22_01</v>
      </c>
      <c r="C78" s="323" t="str">
        <f>'2-Préparation saisie LV PROD'!B82</f>
        <v>E5890</v>
      </c>
      <c r="D78" t="str">
        <f t="shared" si="3"/>
        <v>NO_DATAVIEWS</v>
      </c>
      <c r="E78" s="62" t="str">
        <f t="shared" si="4"/>
        <v>NO_DEPARTMENTS</v>
      </c>
      <c r="F78" t="s">
        <v>506</v>
      </c>
      <c r="G78" t="s">
        <v>507</v>
      </c>
      <c r="H78" t="s">
        <v>508</v>
      </c>
      <c r="I78" t="s">
        <v>509</v>
      </c>
      <c r="J78" t="s">
        <v>589</v>
      </c>
      <c r="K78" s="497">
        <f>ROUND(HLOOKUP($B78,'2-Préparation saisie LV PROD'!$F$1:$Q$86,'2-Préparation saisie LV PROD'!A82,FALSE),0)</f>
        <v>2698910</v>
      </c>
      <c r="L78" t="str">
        <f>VLOOKUP(C78,Capacité!C:L,10,FALSE)</f>
        <v>La Grande Borne</v>
      </c>
    </row>
    <row r="79" spans="1:12">
      <c r="A79" t="s">
        <v>505</v>
      </c>
      <c r="B79" t="str">
        <f t="shared" si="5"/>
        <v>B22_01</v>
      </c>
      <c r="C79" s="323" t="str">
        <f>'2-Préparation saisie LV PROD'!B83</f>
        <v>E6730</v>
      </c>
      <c r="D79" t="str">
        <f t="shared" si="3"/>
        <v>NO_DATAVIEWS</v>
      </c>
      <c r="E79" s="62" t="str">
        <f t="shared" si="4"/>
        <v>NO_DEPARTMENTS</v>
      </c>
      <c r="F79" t="s">
        <v>506</v>
      </c>
      <c r="G79" t="s">
        <v>507</v>
      </c>
      <c r="H79" t="s">
        <v>508</v>
      </c>
      <c r="I79" t="s">
        <v>509</v>
      </c>
      <c r="J79" t="s">
        <v>589</v>
      </c>
      <c r="K79" s="497">
        <f>ROUND(HLOOKUP($B79,'2-Préparation saisie LV PROD'!$F$1:$Q$86,'2-Préparation saisie LV PROD'!A83,FALSE),0)</f>
        <v>0</v>
      </c>
      <c r="L79" t="str">
        <f>VLOOKUP(C79,Capacité!C:L,10,FALSE)</f>
        <v xml:space="preserve">R-EEJ - Evits et Josaphats </v>
      </c>
    </row>
    <row r="80" spans="1:12">
      <c r="A80" t="s">
        <v>505</v>
      </c>
      <c r="B80" t="str">
        <f t="shared" si="5"/>
        <v>B22_01</v>
      </c>
      <c r="C80" s="323" t="str">
        <f>'2-Préparation saisie LV PROD'!B84</f>
        <v>E6740</v>
      </c>
      <c r="D80" t="str">
        <f t="shared" si="3"/>
        <v>NO_DATAVIEWS</v>
      </c>
      <c r="E80" s="62" t="str">
        <f t="shared" si="4"/>
        <v>NO_DEPARTMENTS</v>
      </c>
      <c r="F80" t="s">
        <v>506</v>
      </c>
      <c r="G80" t="s">
        <v>507</v>
      </c>
      <c r="H80" t="s">
        <v>508</v>
      </c>
      <c r="I80" t="s">
        <v>509</v>
      </c>
      <c r="J80" t="s">
        <v>589</v>
      </c>
      <c r="K80" s="497">
        <f>ROUND(HLOOKUP($B80,'2-Préparation saisie LV PROD'!$F$1:$Q$86,'2-Préparation saisie LV PROD'!A84,FALSE),0)</f>
        <v>0</v>
      </c>
      <c r="L80" t="str">
        <f>VLOOKUP(C80,Capacité!C:L,10,FALSE)</f>
        <v>R-RCL - Remise Reclainville</v>
      </c>
    </row>
    <row r="81" spans="1:12">
      <c r="A81" t="s">
        <v>505</v>
      </c>
      <c r="B81" t="str">
        <f t="shared" si="5"/>
        <v>B22_01</v>
      </c>
      <c r="C81" s="323" t="str">
        <f>'2-Préparation saisie LV PROD'!B85</f>
        <v>E6290</v>
      </c>
      <c r="D81" t="str">
        <f t="shared" si="3"/>
        <v>NO_DATAVIEWS</v>
      </c>
      <c r="E81" s="62" t="str">
        <f t="shared" si="4"/>
        <v>NO_DEPARTMENTS</v>
      </c>
      <c r="F81" t="s">
        <v>506</v>
      </c>
      <c r="G81" t="s">
        <v>507</v>
      </c>
      <c r="H81" t="s">
        <v>508</v>
      </c>
      <c r="I81" t="s">
        <v>509</v>
      </c>
      <c r="J81" t="s">
        <v>589</v>
      </c>
      <c r="K81" s="497">
        <f>ROUND(HLOOKUP($B81,'2-Préparation saisie LV PROD'!$F$1:$Q$86,'2-Préparation saisie LV PROD'!A85,FALSE),0)</f>
        <v>0</v>
      </c>
      <c r="L81" t="str">
        <f>VLOOKUP(C81,Capacité!C:L,10,FALSE)</f>
        <v>Bois des Fontaines (extension EEJ)</v>
      </c>
    </row>
    <row r="82" spans="1:12">
      <c r="A82" t="s">
        <v>505</v>
      </c>
      <c r="B82" t="str">
        <f t="shared" si="5"/>
        <v>B22_01</v>
      </c>
      <c r="C82" s="323" t="str">
        <f>'2-Préparation saisie LV PROD'!B86</f>
        <v>E6760</v>
      </c>
      <c r="D82" t="str">
        <f t="shared" si="3"/>
        <v>NO_DATAVIEWS</v>
      </c>
      <c r="E82" s="62" t="str">
        <f t="shared" si="4"/>
        <v>NO_DEPARTMENTS</v>
      </c>
      <c r="F82" t="s">
        <v>506</v>
      </c>
      <c r="G82" t="s">
        <v>507</v>
      </c>
      <c r="H82" t="s">
        <v>508</v>
      </c>
      <c r="I82" t="s">
        <v>509</v>
      </c>
      <c r="J82" t="s">
        <v>589</v>
      </c>
      <c r="K82" s="497">
        <f>ROUND(HLOOKUP($B82,'2-Préparation saisie LV PROD'!$F$1:$Q$86,'2-Préparation saisie LV PROD'!A86,FALSE),0)</f>
        <v>0</v>
      </c>
      <c r="L82" t="str">
        <f>VLOOKUP(C82,Capacité!C:L,10,FALSE)</f>
        <v>R-BGV - Bougainville</v>
      </c>
    </row>
    <row r="83" spans="1:12">
      <c r="A83" t="s">
        <v>505</v>
      </c>
      <c r="B83" s="3" t="s">
        <v>3357</v>
      </c>
      <c r="C83" s="323" t="str">
        <f t="shared" ref="C83:C114" si="6">C2</f>
        <v>E5030</v>
      </c>
      <c r="D83" t="str">
        <f>D76</f>
        <v>NO_DATAVIEWS</v>
      </c>
      <c r="E83" s="62" t="str">
        <f>E76</f>
        <v>NO_DEPARTMENTS</v>
      </c>
      <c r="F83" t="s">
        <v>506</v>
      </c>
      <c r="G83" t="s">
        <v>507</v>
      </c>
      <c r="H83" t="s">
        <v>508</v>
      </c>
      <c r="I83" t="s">
        <v>509</v>
      </c>
      <c r="J83" t="s">
        <v>589</v>
      </c>
      <c r="K83" s="497">
        <f>ROUND(HLOOKUP($B83,'2-Préparation saisie LV PROD'!$F$1:$Q$86,'2-Préparation saisie LV PROD'!A5,FALSE),0)</f>
        <v>1552680</v>
      </c>
      <c r="L83" t="str">
        <f>VLOOKUP(C83,Capacité!C:L,10,FALSE)</f>
        <v>Avignonet</v>
      </c>
    </row>
    <row r="84" spans="1:12">
      <c r="A84" t="s">
        <v>505</v>
      </c>
      <c r="B84" t="str">
        <f>+$B$83</f>
        <v>B22_02</v>
      </c>
      <c r="C84" s="323" t="str">
        <f t="shared" si="6"/>
        <v>E5040</v>
      </c>
      <c r="D84" t="str">
        <f t="shared" si="3"/>
        <v>NO_DATAVIEWS</v>
      </c>
      <c r="E84" s="62" t="str">
        <f t="shared" si="4"/>
        <v>NO_DEPARTMENTS</v>
      </c>
      <c r="F84" t="s">
        <v>506</v>
      </c>
      <c r="G84" t="s">
        <v>507</v>
      </c>
      <c r="H84" t="s">
        <v>508</v>
      </c>
      <c r="I84" t="s">
        <v>509</v>
      </c>
      <c r="J84" t="s">
        <v>589</v>
      </c>
      <c r="K84" s="497">
        <f>ROUND(HLOOKUP($B84,'2-Préparation saisie LV PROD'!$F$1:$Q$86,'2-Préparation saisie LV PROD'!A6,FALSE),0)</f>
        <v>625209</v>
      </c>
      <c r="L84" t="str">
        <f>VLOOKUP(C84,Capacité!C:L,10,FALSE)</f>
        <v>Chépy</v>
      </c>
    </row>
    <row r="85" spans="1:12">
      <c r="A85" t="s">
        <v>505</v>
      </c>
      <c r="B85" t="str">
        <f t="shared" ref="B85:B148" si="7">+$B$83</f>
        <v>B22_02</v>
      </c>
      <c r="C85" s="323" t="str">
        <f t="shared" si="6"/>
        <v>E5050</v>
      </c>
      <c r="D85" t="str">
        <f t="shared" si="3"/>
        <v>NO_DATAVIEWS</v>
      </c>
      <c r="E85" s="62" t="str">
        <f t="shared" si="4"/>
        <v>NO_DEPARTMENTS</v>
      </c>
      <c r="F85" t="s">
        <v>506</v>
      </c>
      <c r="G85" t="s">
        <v>507</v>
      </c>
      <c r="H85" t="s">
        <v>508</v>
      </c>
      <c r="I85" t="s">
        <v>509</v>
      </c>
      <c r="J85" t="s">
        <v>589</v>
      </c>
      <c r="K85" s="497">
        <f>ROUND(HLOOKUP($B85,'2-Préparation saisie LV PROD'!$F$1:$Q$86,'2-Préparation saisie LV PROD'!A7,FALSE),0)</f>
        <v>1843231</v>
      </c>
      <c r="L85" t="str">
        <f>VLOOKUP(C85,Capacité!C:L,10,FALSE)</f>
        <v>Nibas</v>
      </c>
    </row>
    <row r="86" spans="1:12">
      <c r="A86" t="s">
        <v>505</v>
      </c>
      <c r="B86" t="str">
        <f t="shared" si="7"/>
        <v>B22_02</v>
      </c>
      <c r="C86" s="323" t="str">
        <f t="shared" si="6"/>
        <v>E5070</v>
      </c>
      <c r="D86" t="str">
        <f t="shared" si="3"/>
        <v>NO_DATAVIEWS</v>
      </c>
      <c r="E86" s="62" t="str">
        <f t="shared" si="4"/>
        <v>NO_DEPARTMENTS</v>
      </c>
      <c r="F86" t="s">
        <v>506</v>
      </c>
      <c r="G86" t="s">
        <v>507</v>
      </c>
      <c r="H86" t="s">
        <v>508</v>
      </c>
      <c r="I86" t="s">
        <v>509</v>
      </c>
      <c r="J86" t="s">
        <v>589</v>
      </c>
      <c r="K86" s="497">
        <f>ROUND(HLOOKUP($B86,'2-Préparation saisie LV PROD'!$F$1:$Q$86,'2-Préparation saisie LV PROD'!A8,FALSE),0)</f>
        <v>1916895</v>
      </c>
      <c r="L86" t="str">
        <f>VLOOKUP(C86,Capacité!C:L,10,FALSE)</f>
        <v>Ally Bessadous</v>
      </c>
    </row>
    <row r="87" spans="1:12">
      <c r="A87" t="s">
        <v>505</v>
      </c>
      <c r="B87" t="str">
        <f t="shared" si="7"/>
        <v>B22_02</v>
      </c>
      <c r="C87" s="323" t="str">
        <f t="shared" si="6"/>
        <v>E5080</v>
      </c>
      <c r="D87" t="str">
        <f t="shared" si="3"/>
        <v>NO_DATAVIEWS</v>
      </c>
      <c r="E87" s="62" t="str">
        <f t="shared" si="4"/>
        <v>NO_DEPARTMENTS</v>
      </c>
      <c r="F87" t="s">
        <v>506</v>
      </c>
      <c r="G87" t="s">
        <v>507</v>
      </c>
      <c r="H87" t="s">
        <v>508</v>
      </c>
      <c r="I87" t="s">
        <v>509</v>
      </c>
      <c r="J87" t="s">
        <v>589</v>
      </c>
      <c r="K87" s="497">
        <f>ROUND(HLOOKUP($B87,'2-Préparation saisie LV PROD'!$F$1:$Q$86,'2-Préparation saisie LV PROD'!A9,FALSE),0)</f>
        <v>1276534</v>
      </c>
      <c r="L87" t="str">
        <f>VLOOKUP(C87,Capacité!C:L,10,FALSE)</f>
        <v>Ally Mercoeur</v>
      </c>
    </row>
    <row r="88" spans="1:12">
      <c r="A88" t="s">
        <v>505</v>
      </c>
      <c r="B88" t="str">
        <f t="shared" si="7"/>
        <v>B22_02</v>
      </c>
      <c r="C88" s="323" t="str">
        <f t="shared" si="6"/>
        <v>E5090</v>
      </c>
      <c r="D88" t="str">
        <f t="shared" si="3"/>
        <v>NO_DATAVIEWS</v>
      </c>
      <c r="E88" s="62" t="str">
        <f t="shared" si="4"/>
        <v>NO_DEPARTMENTS</v>
      </c>
      <c r="F88" t="s">
        <v>506</v>
      </c>
      <c r="G88" t="s">
        <v>507</v>
      </c>
      <c r="H88" t="s">
        <v>508</v>
      </c>
      <c r="I88" t="s">
        <v>509</v>
      </c>
      <c r="J88" t="s">
        <v>589</v>
      </c>
      <c r="K88" s="497">
        <f>ROUND(HLOOKUP($B88,'2-Préparation saisie LV PROD'!$F$1:$Q$86,'2-Préparation saisie LV PROD'!A10,FALSE),0)</f>
        <v>1657990</v>
      </c>
      <c r="L88" t="str">
        <f>VLOOKUP(C88,Capacité!C:L,10,FALSE)</f>
        <v>Ally Monteil</v>
      </c>
    </row>
    <row r="89" spans="1:12">
      <c r="A89" t="s">
        <v>505</v>
      </c>
      <c r="B89" t="str">
        <f t="shared" si="7"/>
        <v>B22_02</v>
      </c>
      <c r="C89" s="323" t="str">
        <f t="shared" si="6"/>
        <v>E5100</v>
      </c>
      <c r="D89" t="str">
        <f t="shared" si="3"/>
        <v>NO_DATAVIEWS</v>
      </c>
      <c r="E89" s="62" t="str">
        <f t="shared" si="4"/>
        <v>NO_DEPARTMENTS</v>
      </c>
      <c r="F89" t="s">
        <v>506</v>
      </c>
      <c r="G89" t="s">
        <v>507</v>
      </c>
      <c r="H89" t="s">
        <v>508</v>
      </c>
      <c r="I89" t="s">
        <v>509</v>
      </c>
      <c r="J89" t="s">
        <v>589</v>
      </c>
      <c r="K89" s="497">
        <f>ROUND(HLOOKUP($B89,'2-Préparation saisie LV PROD'!$F$1:$Q$86,'2-Préparation saisie LV PROD'!A11,FALSE),0)</f>
        <v>2007115</v>
      </c>
      <c r="L89" t="str">
        <f>VLOOKUP(C89,Capacité!C:L,10,FALSE)</f>
        <v>Ally Verseilles</v>
      </c>
    </row>
    <row r="90" spans="1:12">
      <c r="A90" t="s">
        <v>505</v>
      </c>
      <c r="B90" t="str">
        <f t="shared" si="7"/>
        <v>B22_02</v>
      </c>
      <c r="C90" s="323" t="str">
        <f t="shared" si="6"/>
        <v>E5110</v>
      </c>
      <c r="D90" t="str">
        <f t="shared" si="3"/>
        <v>NO_DATAVIEWS</v>
      </c>
      <c r="E90" s="62" t="str">
        <f t="shared" si="4"/>
        <v>NO_DEPARTMENTS</v>
      </c>
      <c r="F90" t="s">
        <v>506</v>
      </c>
      <c r="G90" t="s">
        <v>507</v>
      </c>
      <c r="H90" t="s">
        <v>508</v>
      </c>
      <c r="I90" t="s">
        <v>509</v>
      </c>
      <c r="J90" t="s">
        <v>589</v>
      </c>
      <c r="K90" s="497">
        <f>ROUND(HLOOKUP($B90,'2-Préparation saisie LV PROD'!$F$1:$Q$86,'2-Préparation saisie LV PROD'!A12,FALSE),0)</f>
        <v>0</v>
      </c>
      <c r="L90" t="str">
        <f>VLOOKUP(C90,Capacité!C:L,10,FALSE)</f>
        <v>Cham Longe Bel Air</v>
      </c>
    </row>
    <row r="91" spans="1:12">
      <c r="A91" t="s">
        <v>505</v>
      </c>
      <c r="B91" t="str">
        <f t="shared" si="7"/>
        <v>B22_02</v>
      </c>
      <c r="C91" s="323" t="str">
        <f t="shared" si="6"/>
        <v>E5120</v>
      </c>
      <c r="D91" t="str">
        <f t="shared" si="3"/>
        <v>NO_DATAVIEWS</v>
      </c>
      <c r="E91" s="62" t="str">
        <f t="shared" si="4"/>
        <v>NO_DEPARTMENTS</v>
      </c>
      <c r="F91" t="s">
        <v>506</v>
      </c>
      <c r="G91" t="s">
        <v>507</v>
      </c>
      <c r="H91" t="s">
        <v>508</v>
      </c>
      <c r="I91" t="s">
        <v>509</v>
      </c>
      <c r="J91" t="s">
        <v>589</v>
      </c>
      <c r="K91" s="497">
        <f>ROUND(HLOOKUP($B91,'2-Préparation saisie LV PROD'!$F$1:$Q$86,'2-Préparation saisie LV PROD'!A13,FALSE),0)</f>
        <v>0</v>
      </c>
      <c r="L91" t="str">
        <f>VLOOKUP(C91,Capacité!C:L,10,FALSE)</f>
        <v>Cham Longe Le Courbil (Eole Cevennes)</v>
      </c>
    </row>
    <row r="92" spans="1:12">
      <c r="A92" t="s">
        <v>505</v>
      </c>
      <c r="B92" t="str">
        <f t="shared" si="7"/>
        <v>B22_02</v>
      </c>
      <c r="C92" s="323" t="str">
        <f t="shared" si="6"/>
        <v>E5150</v>
      </c>
      <c r="D92" t="str">
        <f t="shared" si="3"/>
        <v>NO_DATAVIEWS</v>
      </c>
      <c r="E92" s="62" t="str">
        <f t="shared" si="4"/>
        <v>NO_DEPARTMENTS</v>
      </c>
      <c r="F92" t="s">
        <v>506</v>
      </c>
      <c r="G92" t="s">
        <v>507</v>
      </c>
      <c r="H92" t="s">
        <v>508</v>
      </c>
      <c r="I92" t="s">
        <v>509</v>
      </c>
      <c r="J92" t="s">
        <v>589</v>
      </c>
      <c r="K92" s="497">
        <f>ROUND(HLOOKUP($B92,'2-Préparation saisie LV PROD'!$F$1:$Q$86,'2-Préparation saisie LV PROD'!A14,FALSE),0)</f>
        <v>1235245</v>
      </c>
      <c r="L92" t="str">
        <f>VLOOKUP(C92,Capacité!C:L,10,FALSE)</f>
        <v>Cham Longe II</v>
      </c>
    </row>
    <row r="93" spans="1:12">
      <c r="A93" t="s">
        <v>505</v>
      </c>
      <c r="B93" t="str">
        <f t="shared" si="7"/>
        <v>B22_02</v>
      </c>
      <c r="C93" s="323" t="str">
        <f t="shared" si="6"/>
        <v>E5130</v>
      </c>
      <c r="D93" t="str">
        <f t="shared" si="3"/>
        <v>NO_DATAVIEWS</v>
      </c>
      <c r="E93" s="62" t="str">
        <f t="shared" si="4"/>
        <v>NO_DEPARTMENTS</v>
      </c>
      <c r="F93" t="s">
        <v>506</v>
      </c>
      <c r="G93" t="s">
        <v>507</v>
      </c>
      <c r="H93" t="s">
        <v>508</v>
      </c>
      <c r="I93" t="s">
        <v>509</v>
      </c>
      <c r="J93" t="s">
        <v>589</v>
      </c>
      <c r="K93" s="497">
        <f>ROUND(HLOOKUP($B93,'2-Préparation saisie LV PROD'!$F$1:$Q$86,'2-Préparation saisie LV PROD'!A15,FALSE),0)</f>
        <v>1868760</v>
      </c>
      <c r="L93" t="str">
        <f>VLOOKUP(C93,Capacité!C:L,10,FALSE)</f>
        <v>Plouguin</v>
      </c>
    </row>
    <row r="94" spans="1:12">
      <c r="A94" t="s">
        <v>505</v>
      </c>
      <c r="B94" t="str">
        <f t="shared" si="7"/>
        <v>B22_02</v>
      </c>
      <c r="C94" s="323" t="str">
        <f t="shared" si="6"/>
        <v>E5140</v>
      </c>
      <c r="D94" t="str">
        <f t="shared" si="3"/>
        <v>NO_DATAVIEWS</v>
      </c>
      <c r="E94" s="62" t="str">
        <f t="shared" si="4"/>
        <v>NO_DEPARTMENTS</v>
      </c>
      <c r="F94" t="s">
        <v>506</v>
      </c>
      <c r="G94" t="s">
        <v>507</v>
      </c>
      <c r="H94" t="s">
        <v>508</v>
      </c>
      <c r="I94" t="s">
        <v>509</v>
      </c>
      <c r="J94" t="s">
        <v>589</v>
      </c>
      <c r="K94" s="497">
        <f>ROUND(HLOOKUP($B94,'2-Préparation saisie LV PROD'!$F$1:$Q$86,'2-Préparation saisie LV PROD'!A16,FALSE),0)</f>
        <v>2754845</v>
      </c>
      <c r="L94" t="str">
        <f>VLOOKUP(C94,Capacité!C:L,10,FALSE)</f>
        <v>La Citadelle</v>
      </c>
    </row>
    <row r="95" spans="1:12">
      <c r="A95" t="s">
        <v>505</v>
      </c>
      <c r="B95" t="str">
        <f t="shared" si="7"/>
        <v>B22_02</v>
      </c>
      <c r="C95" s="323" t="str">
        <f t="shared" si="6"/>
        <v>E5160</v>
      </c>
      <c r="D95" t="str">
        <f t="shared" si="3"/>
        <v>NO_DATAVIEWS</v>
      </c>
      <c r="E95" s="62" t="str">
        <f t="shared" si="4"/>
        <v>NO_DEPARTMENTS</v>
      </c>
      <c r="F95" t="s">
        <v>506</v>
      </c>
      <c r="G95" t="s">
        <v>507</v>
      </c>
      <c r="H95" t="s">
        <v>508</v>
      </c>
      <c r="I95" t="s">
        <v>509</v>
      </c>
      <c r="J95" t="s">
        <v>589</v>
      </c>
      <c r="K95" s="497">
        <f>ROUND(HLOOKUP($B95,'2-Préparation saisie LV PROD'!$F$1:$Q$86,'2-Préparation saisie LV PROD'!A17,FALSE),0)</f>
        <v>2016895</v>
      </c>
      <c r="L95" t="str">
        <f>VLOOKUP(C95,Capacité!C:L,10,FALSE)</f>
        <v>Chasse Marée</v>
      </c>
    </row>
    <row r="96" spans="1:12">
      <c r="A96" t="s">
        <v>505</v>
      </c>
      <c r="B96" t="str">
        <f t="shared" si="7"/>
        <v>B22_02</v>
      </c>
      <c r="C96" s="323" t="str">
        <f t="shared" si="6"/>
        <v>E5170</v>
      </c>
      <c r="D96" t="str">
        <f t="shared" si="3"/>
        <v>NO_DATAVIEWS</v>
      </c>
      <c r="E96" s="62" t="str">
        <f t="shared" si="4"/>
        <v>NO_DEPARTMENTS</v>
      </c>
      <c r="F96" t="s">
        <v>506</v>
      </c>
      <c r="G96" t="s">
        <v>507</v>
      </c>
      <c r="H96" t="s">
        <v>508</v>
      </c>
      <c r="I96" t="s">
        <v>509</v>
      </c>
      <c r="J96" t="s">
        <v>589</v>
      </c>
      <c r="K96" s="497">
        <f>ROUND(HLOOKUP($B96,'2-Préparation saisie LV PROD'!$F$1:$Q$86,'2-Préparation saisie LV PROD'!A18,FALSE),0)</f>
        <v>6400398</v>
      </c>
      <c r="L96" t="str">
        <f>VLOOKUP(C96,Capacité!C:L,10,FALSE)</f>
        <v>Ronchois</v>
      </c>
    </row>
    <row r="97" spans="1:12">
      <c r="A97" t="s">
        <v>505</v>
      </c>
      <c r="B97" t="str">
        <f t="shared" si="7"/>
        <v>B22_02</v>
      </c>
      <c r="C97" s="323" t="str">
        <f t="shared" si="6"/>
        <v>E5180</v>
      </c>
      <c r="D97" t="str">
        <f t="shared" si="3"/>
        <v>NO_DATAVIEWS</v>
      </c>
      <c r="E97" s="62" t="str">
        <f t="shared" si="4"/>
        <v>NO_DEPARTMENTS</v>
      </c>
      <c r="F97" t="s">
        <v>506</v>
      </c>
      <c r="G97" t="s">
        <v>507</v>
      </c>
      <c r="H97" t="s">
        <v>508</v>
      </c>
      <c r="I97" t="s">
        <v>509</v>
      </c>
      <c r="J97" t="s">
        <v>589</v>
      </c>
      <c r="K97" s="497">
        <f>ROUND(HLOOKUP($B97,'2-Préparation saisie LV PROD'!$F$1:$Q$86,'2-Préparation saisie LV PROD'!A19,FALSE),0)</f>
        <v>2431163</v>
      </c>
      <c r="L97" t="str">
        <f>VLOOKUP(C97,Capacité!C:L,10,FALSE)</f>
        <v>Le Grand Camp</v>
      </c>
    </row>
    <row r="98" spans="1:12">
      <c r="A98" t="s">
        <v>505</v>
      </c>
      <c r="B98" t="str">
        <f t="shared" si="7"/>
        <v>B22_02</v>
      </c>
      <c r="C98" s="323" t="str">
        <f t="shared" si="6"/>
        <v>E5210</v>
      </c>
      <c r="D98" t="str">
        <f t="shared" si="3"/>
        <v>NO_DATAVIEWS</v>
      </c>
      <c r="E98" s="62" t="str">
        <f t="shared" si="4"/>
        <v>NO_DEPARTMENTS</v>
      </c>
      <c r="F98" t="s">
        <v>506</v>
      </c>
      <c r="G98" t="s">
        <v>507</v>
      </c>
      <c r="H98" t="s">
        <v>508</v>
      </c>
      <c r="I98" t="s">
        <v>509</v>
      </c>
      <c r="J98" t="s">
        <v>589</v>
      </c>
      <c r="K98" s="497">
        <f>ROUND(HLOOKUP($B98,'2-Préparation saisie LV PROD'!$F$1:$Q$86,'2-Préparation saisie LV PROD'!A20,FALSE),0)</f>
        <v>968142</v>
      </c>
      <c r="L98" t="str">
        <f>VLOOKUP(C98,Capacité!C:L,10,FALSE)</f>
        <v>Avignonet II</v>
      </c>
    </row>
    <row r="99" spans="1:12">
      <c r="A99" t="s">
        <v>505</v>
      </c>
      <c r="B99" t="str">
        <f t="shared" si="7"/>
        <v>B22_02</v>
      </c>
      <c r="C99" s="323" t="str">
        <f t="shared" si="6"/>
        <v>E5270</v>
      </c>
      <c r="D99" t="str">
        <f t="shared" si="3"/>
        <v>NO_DATAVIEWS</v>
      </c>
      <c r="E99" s="62" t="str">
        <f t="shared" si="4"/>
        <v>NO_DEPARTMENTS</v>
      </c>
      <c r="F99" t="s">
        <v>506</v>
      </c>
      <c r="G99" t="s">
        <v>507</v>
      </c>
      <c r="H99" t="s">
        <v>508</v>
      </c>
      <c r="I99" t="s">
        <v>509</v>
      </c>
      <c r="J99" t="s">
        <v>589</v>
      </c>
      <c r="K99" s="497">
        <f>ROUND(HLOOKUP($B99,'2-Préparation saisie LV PROD'!$F$1:$Q$86,'2-Préparation saisie LV PROD'!A21,FALSE),0)</f>
        <v>5607142</v>
      </c>
      <c r="L99" t="str">
        <f>VLOOKUP(C99,Capacité!C:L,10,FALSE)</f>
        <v>Ménétréols Renardiére (La vallée 2)</v>
      </c>
    </row>
    <row r="100" spans="1:12">
      <c r="A100" t="s">
        <v>505</v>
      </c>
      <c r="B100" t="str">
        <f t="shared" si="7"/>
        <v>B22_02</v>
      </c>
      <c r="C100" s="323" t="str">
        <f t="shared" si="6"/>
        <v>E5280</v>
      </c>
      <c r="D100" t="str">
        <f t="shared" si="3"/>
        <v>NO_DATAVIEWS</v>
      </c>
      <c r="E100" s="62" t="str">
        <f t="shared" si="4"/>
        <v>NO_DEPARTMENTS</v>
      </c>
      <c r="F100" t="s">
        <v>506</v>
      </c>
      <c r="G100" t="s">
        <v>507</v>
      </c>
      <c r="H100" t="s">
        <v>508</v>
      </c>
      <c r="I100" t="s">
        <v>509</v>
      </c>
      <c r="J100" t="s">
        <v>589</v>
      </c>
      <c r="K100" s="497">
        <f>ROUND(HLOOKUP($B100,'2-Préparation saisie LV PROD'!$F$1:$Q$86,'2-Préparation saisie LV PROD'!A22,FALSE),0)</f>
        <v>924972</v>
      </c>
      <c r="L100" t="str">
        <f>VLOOKUP(C100,Capacité!C:L,10,FALSE)</f>
        <v>St Georges (La Vallée 1)</v>
      </c>
    </row>
    <row r="101" spans="1:12">
      <c r="A101" t="s">
        <v>505</v>
      </c>
      <c r="B101" t="str">
        <f t="shared" si="7"/>
        <v>B22_02</v>
      </c>
      <c r="C101" s="323" t="str">
        <f t="shared" si="6"/>
        <v>E5300</v>
      </c>
      <c r="D101" t="str">
        <f t="shared" si="3"/>
        <v>NO_DATAVIEWS</v>
      </c>
      <c r="E101" s="62" t="str">
        <f t="shared" si="4"/>
        <v>NO_DEPARTMENTS</v>
      </c>
      <c r="F101" t="s">
        <v>506</v>
      </c>
      <c r="G101" t="s">
        <v>507</v>
      </c>
      <c r="H101" t="s">
        <v>508</v>
      </c>
      <c r="I101" t="s">
        <v>509</v>
      </c>
      <c r="J101" t="s">
        <v>589</v>
      </c>
      <c r="K101" s="497">
        <f>ROUND(HLOOKUP($B101,'2-Préparation saisie LV PROD'!$F$1:$Q$86,'2-Préparation saisie LV PROD'!A23,FALSE),0)</f>
        <v>1957404</v>
      </c>
      <c r="L101" t="str">
        <f>VLOOKUP(C101,Capacité!C:L,10,FALSE)</f>
        <v>Vron</v>
      </c>
    </row>
    <row r="102" spans="1:12">
      <c r="A102" t="s">
        <v>505</v>
      </c>
      <c r="B102" t="str">
        <f t="shared" si="7"/>
        <v>B22_02</v>
      </c>
      <c r="C102" s="323" t="str">
        <f t="shared" si="6"/>
        <v>E5310</v>
      </c>
      <c r="D102" t="str">
        <f t="shared" si="3"/>
        <v>NO_DATAVIEWS</v>
      </c>
      <c r="E102" s="62" t="str">
        <f t="shared" si="4"/>
        <v>NO_DEPARTMENTS</v>
      </c>
      <c r="F102" t="s">
        <v>506</v>
      </c>
      <c r="G102" t="s">
        <v>507</v>
      </c>
      <c r="H102" t="s">
        <v>508</v>
      </c>
      <c r="I102" t="s">
        <v>509</v>
      </c>
      <c r="J102" t="s">
        <v>589</v>
      </c>
      <c r="K102" s="497">
        <f>ROUND(HLOOKUP($B102,'2-Préparation saisie LV PROD'!$F$1:$Q$86,'2-Préparation saisie LV PROD'!A24,FALSE),0)</f>
        <v>5408222</v>
      </c>
      <c r="L102" t="str">
        <f>VLOOKUP(C102,Capacité!C:L,10,FALSE)</f>
        <v>Fortel</v>
      </c>
    </row>
    <row r="103" spans="1:12">
      <c r="A103" t="s">
        <v>505</v>
      </c>
      <c r="B103" t="str">
        <f t="shared" si="7"/>
        <v>B22_02</v>
      </c>
      <c r="C103" s="323" t="str">
        <f t="shared" si="6"/>
        <v>E5320</v>
      </c>
      <c r="D103" t="str">
        <f t="shared" si="3"/>
        <v>NO_DATAVIEWS</v>
      </c>
      <c r="E103" s="62" t="str">
        <f t="shared" si="4"/>
        <v>NO_DEPARTMENTS</v>
      </c>
      <c r="F103" t="s">
        <v>506</v>
      </c>
      <c r="G103" t="s">
        <v>507</v>
      </c>
      <c r="H103" t="s">
        <v>508</v>
      </c>
      <c r="I103" t="s">
        <v>509</v>
      </c>
      <c r="J103" t="s">
        <v>589</v>
      </c>
      <c r="K103" s="497">
        <f>ROUND(HLOOKUP($B103,'2-Préparation saisie LV PROD'!$F$1:$Q$86,'2-Préparation saisie LV PROD'!A25,FALSE),0)</f>
        <v>5189153</v>
      </c>
      <c r="L103" t="str">
        <f>VLOOKUP(C103,Capacité!C:L,10,FALSE)</f>
        <v>St François Roye</v>
      </c>
    </row>
    <row r="104" spans="1:12">
      <c r="A104" t="s">
        <v>505</v>
      </c>
      <c r="B104" t="str">
        <f t="shared" si="7"/>
        <v>B22_02</v>
      </c>
      <c r="C104" s="323" t="str">
        <f t="shared" si="6"/>
        <v>E5290</v>
      </c>
      <c r="D104" t="str">
        <f t="shared" si="3"/>
        <v>NO_DATAVIEWS</v>
      </c>
      <c r="E104" s="62" t="str">
        <f t="shared" si="4"/>
        <v>NO_DEPARTMENTS</v>
      </c>
      <c r="F104" t="s">
        <v>506</v>
      </c>
      <c r="G104" t="s">
        <v>507</v>
      </c>
      <c r="H104" t="s">
        <v>508</v>
      </c>
      <c r="I104" t="s">
        <v>509</v>
      </c>
      <c r="J104" t="s">
        <v>589</v>
      </c>
      <c r="K104" s="497">
        <f>ROUND(HLOOKUP($B104,'2-Préparation saisie LV PROD'!$F$1:$Q$86,'2-Préparation saisie LV PROD'!A26,FALSE),0)</f>
        <v>9313570</v>
      </c>
      <c r="L104" t="str">
        <f>VLOOKUP(C104,Capacité!C:L,10,FALSE)</f>
        <v>St Patrick</v>
      </c>
    </row>
    <row r="105" spans="1:12">
      <c r="A105" t="s">
        <v>505</v>
      </c>
      <c r="B105" t="str">
        <f t="shared" si="7"/>
        <v>B22_02</v>
      </c>
      <c r="C105" s="323" t="str">
        <f t="shared" si="6"/>
        <v>E5360</v>
      </c>
      <c r="D105" t="str">
        <f t="shared" si="3"/>
        <v>NO_DATAVIEWS</v>
      </c>
      <c r="E105" s="62" t="str">
        <f t="shared" si="4"/>
        <v>NO_DEPARTMENTS</v>
      </c>
      <c r="F105" t="s">
        <v>506</v>
      </c>
      <c r="G105" t="s">
        <v>507</v>
      </c>
      <c r="H105" t="s">
        <v>508</v>
      </c>
      <c r="I105" t="s">
        <v>509</v>
      </c>
      <c r="J105" t="s">
        <v>589</v>
      </c>
      <c r="K105" s="497">
        <f>ROUND(HLOOKUP($B105,'2-Préparation saisie LV PROD'!$F$1:$Q$86,'2-Préparation saisie LV PROD'!A27,FALSE),0)</f>
        <v>3132088</v>
      </c>
      <c r="L105" t="str">
        <f>VLOOKUP(C105,Capacité!C:L,10,FALSE)</f>
        <v>Calmont (Laur Eole Energie )</v>
      </c>
    </row>
    <row r="106" spans="1:12">
      <c r="A106" t="s">
        <v>505</v>
      </c>
      <c r="B106" t="str">
        <f t="shared" si="7"/>
        <v>B22_02</v>
      </c>
      <c r="C106" s="323" t="str">
        <f t="shared" si="6"/>
        <v>E5391</v>
      </c>
      <c r="D106" t="str">
        <f t="shared" si="3"/>
        <v>NO_DATAVIEWS</v>
      </c>
      <c r="E106" s="62" t="str">
        <f t="shared" si="4"/>
        <v>NO_DEPARTMENTS</v>
      </c>
      <c r="F106" t="s">
        <v>506</v>
      </c>
      <c r="G106" t="s">
        <v>507</v>
      </c>
      <c r="H106" t="s">
        <v>508</v>
      </c>
      <c r="I106" t="s">
        <v>509</v>
      </c>
      <c r="J106" t="s">
        <v>589</v>
      </c>
      <c r="K106" s="497">
        <f>ROUND(HLOOKUP($B106,'2-Préparation saisie LV PROD'!$F$1:$Q$86,'2-Préparation saisie LV PROD'!A28,FALSE),0)</f>
        <v>1005171</v>
      </c>
      <c r="L106" t="str">
        <f>VLOOKUP(C106,Capacité!C:L,10,FALSE)</f>
        <v>Coat Conval</v>
      </c>
    </row>
    <row r="107" spans="1:12">
      <c r="A107" t="s">
        <v>505</v>
      </c>
      <c r="B107" t="str">
        <f t="shared" si="7"/>
        <v>B22_02</v>
      </c>
      <c r="C107" s="323" t="str">
        <f t="shared" si="6"/>
        <v>E5392</v>
      </c>
      <c r="D107" t="str">
        <f t="shared" si="3"/>
        <v>NO_DATAVIEWS</v>
      </c>
      <c r="E107" s="62" t="str">
        <f t="shared" si="4"/>
        <v>NO_DEPARTMENTS</v>
      </c>
      <c r="F107" t="s">
        <v>506</v>
      </c>
      <c r="G107" t="s">
        <v>507</v>
      </c>
      <c r="H107" t="s">
        <v>508</v>
      </c>
      <c r="I107" t="s">
        <v>509</v>
      </c>
      <c r="J107" t="s">
        <v>589</v>
      </c>
      <c r="K107" s="497">
        <f>ROUND(HLOOKUP($B107,'2-Préparation saisie LV PROD'!$F$1:$Q$86,'2-Préparation saisie LV PROD'!A29,FALSE),0)</f>
        <v>1484756</v>
      </c>
      <c r="L107" t="str">
        <f>VLOOKUP(C107,Capacité!C:L,10,FALSE)</f>
        <v>Leign ar Gasprenn</v>
      </c>
    </row>
    <row r="108" spans="1:12">
      <c r="A108" t="s">
        <v>505</v>
      </c>
      <c r="B108" t="str">
        <f t="shared" si="7"/>
        <v>B22_02</v>
      </c>
      <c r="C108" s="323" t="str">
        <f t="shared" si="6"/>
        <v>E5393</v>
      </c>
      <c r="D108" t="str">
        <f t="shared" si="3"/>
        <v>NO_DATAVIEWS</v>
      </c>
      <c r="E108" s="62" t="str">
        <f t="shared" si="4"/>
        <v>NO_DEPARTMENTS</v>
      </c>
      <c r="F108" t="s">
        <v>506</v>
      </c>
      <c r="G108" t="s">
        <v>507</v>
      </c>
      <c r="H108" t="s">
        <v>508</v>
      </c>
      <c r="I108" t="s">
        <v>509</v>
      </c>
      <c r="J108" t="s">
        <v>589</v>
      </c>
      <c r="K108" s="497">
        <f>ROUND(HLOOKUP($B108,'2-Préparation saisie LV PROD'!$F$1:$Q$86,'2-Préparation saisie LV PROD'!A30,FALSE),0)</f>
        <v>7141381</v>
      </c>
      <c r="L108" t="str">
        <f>VLOOKUP(C108,Capacité!C:L,10,FALSE)</f>
        <v>Vallée d'Arce</v>
      </c>
    </row>
    <row r="109" spans="1:12">
      <c r="A109" t="s">
        <v>505</v>
      </c>
      <c r="B109" t="str">
        <f t="shared" si="7"/>
        <v>B22_02</v>
      </c>
      <c r="C109" s="323" t="str">
        <f t="shared" si="6"/>
        <v>E5394</v>
      </c>
      <c r="D109" t="str">
        <f t="shared" si="3"/>
        <v>NO_DATAVIEWS</v>
      </c>
      <c r="E109" s="62" t="str">
        <f t="shared" si="4"/>
        <v>NO_DEPARTMENTS</v>
      </c>
      <c r="F109" t="s">
        <v>506</v>
      </c>
      <c r="G109" t="s">
        <v>507</v>
      </c>
      <c r="H109" t="s">
        <v>508</v>
      </c>
      <c r="I109" t="s">
        <v>509</v>
      </c>
      <c r="J109" t="s">
        <v>589</v>
      </c>
      <c r="K109" s="497">
        <f>ROUND(HLOOKUP($B109,'2-Préparation saisie LV PROD'!$F$1:$Q$86,'2-Préparation saisie LV PROD'!A31,FALSE),0)</f>
        <v>1518516</v>
      </c>
      <c r="L109" t="str">
        <f>VLOOKUP(C109,Capacité!C:L,10,FALSE)</f>
        <v>La Bouleste</v>
      </c>
    </row>
    <row r="110" spans="1:12">
      <c r="A110" t="s">
        <v>505</v>
      </c>
      <c r="B110" t="str">
        <f t="shared" si="7"/>
        <v>B22_02</v>
      </c>
      <c r="C110" s="323" t="str">
        <f t="shared" si="6"/>
        <v>E5395</v>
      </c>
      <c r="D110" t="str">
        <f t="shared" si="3"/>
        <v>NO_DATAVIEWS</v>
      </c>
      <c r="E110" s="62" t="str">
        <f t="shared" si="4"/>
        <v>NO_DEPARTMENTS</v>
      </c>
      <c r="F110" t="s">
        <v>506</v>
      </c>
      <c r="G110" t="s">
        <v>507</v>
      </c>
      <c r="H110" t="s">
        <v>508</v>
      </c>
      <c r="I110" t="s">
        <v>509</v>
      </c>
      <c r="J110" t="s">
        <v>589</v>
      </c>
      <c r="K110" s="497">
        <f>ROUND(HLOOKUP($B110,'2-Préparation saisie LV PROD'!$F$1:$Q$86,'2-Préparation saisie LV PROD'!A32,FALSE),0)</f>
        <v>4691138</v>
      </c>
      <c r="L110" t="str">
        <f>VLOOKUP(C110,Capacité!C:L,10,FALSE)</f>
        <v>Haut de Conge</v>
      </c>
    </row>
    <row r="111" spans="1:12">
      <c r="A111" t="s">
        <v>505</v>
      </c>
      <c r="B111" t="str">
        <f t="shared" si="7"/>
        <v>B22_02</v>
      </c>
      <c r="C111" s="323" t="str">
        <f t="shared" si="6"/>
        <v>E5396</v>
      </c>
      <c r="D111" t="str">
        <f t="shared" si="3"/>
        <v>NO_DATAVIEWS</v>
      </c>
      <c r="E111" s="62" t="str">
        <f t="shared" si="4"/>
        <v>NO_DEPARTMENTS</v>
      </c>
      <c r="F111" t="s">
        <v>506</v>
      </c>
      <c r="G111" t="s">
        <v>507</v>
      </c>
      <c r="H111" t="s">
        <v>508</v>
      </c>
      <c r="I111" t="s">
        <v>509</v>
      </c>
      <c r="J111" t="s">
        <v>589</v>
      </c>
      <c r="K111" s="497">
        <f>ROUND(HLOOKUP($B111,'2-Préparation saisie LV PROD'!$F$1:$Q$86,'2-Préparation saisie LV PROD'!A33,FALSE),0)</f>
        <v>1985014</v>
      </c>
      <c r="L111" t="str">
        <f>VLOOKUP(C111,Capacité!C:L,10,FALSE)</f>
        <v>Les Eparmonts</v>
      </c>
    </row>
    <row r="112" spans="1:12">
      <c r="A112" t="s">
        <v>505</v>
      </c>
      <c r="B112" t="str">
        <f t="shared" si="7"/>
        <v>B22_02</v>
      </c>
      <c r="C112" s="323" t="str">
        <f t="shared" si="6"/>
        <v>E5397</v>
      </c>
      <c r="D112" t="str">
        <f t="shared" si="3"/>
        <v>NO_DATAVIEWS</v>
      </c>
      <c r="E112" s="62" t="str">
        <f t="shared" si="4"/>
        <v>NO_DEPARTMENTS</v>
      </c>
      <c r="F112" t="s">
        <v>506</v>
      </c>
      <c r="G112" t="s">
        <v>507</v>
      </c>
      <c r="H112" t="s">
        <v>508</v>
      </c>
      <c r="I112" t="s">
        <v>509</v>
      </c>
      <c r="J112" t="s">
        <v>589</v>
      </c>
      <c r="K112" s="497">
        <f>ROUND(HLOOKUP($B112,'2-Préparation saisie LV PROD'!$F$1:$Q$86,'2-Préparation saisie LV PROD'!A34,FALSE),0)</f>
        <v>2286715</v>
      </c>
      <c r="L112" t="str">
        <f>VLOOKUP(C112,Capacité!C:L,10,FALSE)</f>
        <v>Charmoy</v>
      </c>
    </row>
    <row r="113" spans="1:12">
      <c r="A113" t="s">
        <v>505</v>
      </c>
      <c r="B113" t="str">
        <f t="shared" si="7"/>
        <v>B22_02</v>
      </c>
      <c r="C113" s="323" t="str">
        <f t="shared" si="6"/>
        <v>E5398</v>
      </c>
      <c r="D113" t="str">
        <f t="shared" si="3"/>
        <v>NO_DATAVIEWS</v>
      </c>
      <c r="E113" s="62" t="str">
        <f t="shared" si="4"/>
        <v>NO_DEPARTMENTS</v>
      </c>
      <c r="F113" t="s">
        <v>506</v>
      </c>
      <c r="G113" t="s">
        <v>507</v>
      </c>
      <c r="H113" t="s">
        <v>508</v>
      </c>
      <c r="I113" t="s">
        <v>509</v>
      </c>
      <c r="J113" t="s">
        <v>589</v>
      </c>
      <c r="K113" s="497">
        <f>ROUND(HLOOKUP($B113,'2-Préparation saisie LV PROD'!$F$1:$Q$86,'2-Préparation saisie LV PROD'!A35,FALSE),0)</f>
        <v>3992605</v>
      </c>
      <c r="L113" t="str">
        <f>VLOOKUP(C113,Capacité!C:L,10,FALSE)</f>
        <v>Pannecé</v>
      </c>
    </row>
    <row r="114" spans="1:12">
      <c r="A114" t="s">
        <v>505</v>
      </c>
      <c r="B114" t="str">
        <f t="shared" si="7"/>
        <v>B22_02</v>
      </c>
      <c r="C114" s="323" t="str">
        <f t="shared" si="6"/>
        <v>E5399</v>
      </c>
      <c r="D114" t="str">
        <f t="shared" si="3"/>
        <v>NO_DATAVIEWS</v>
      </c>
      <c r="E114" s="62" t="str">
        <f t="shared" si="4"/>
        <v>NO_DEPARTMENTS</v>
      </c>
      <c r="F114" t="s">
        <v>506</v>
      </c>
      <c r="G114" t="s">
        <v>507</v>
      </c>
      <c r="H114" t="s">
        <v>508</v>
      </c>
      <c r="I114" t="s">
        <v>509</v>
      </c>
      <c r="J114" t="s">
        <v>589</v>
      </c>
      <c r="K114" s="497">
        <f>ROUND(HLOOKUP($B114,'2-Préparation saisie LV PROD'!$F$1:$Q$86,'2-Préparation saisie LV PROD'!A36,FALSE),0)</f>
        <v>8148682</v>
      </c>
      <c r="L114" t="str">
        <f>VLOOKUP(C114,Capacité!C:L,10,FALSE)</f>
        <v>Coulonges</v>
      </c>
    </row>
    <row r="115" spans="1:12">
      <c r="A115" t="s">
        <v>505</v>
      </c>
      <c r="B115" t="str">
        <f t="shared" si="7"/>
        <v>B22_02</v>
      </c>
      <c r="C115" s="323" t="str">
        <f t="shared" ref="C115:C146" si="8">C34</f>
        <v>E5400</v>
      </c>
      <c r="D115" t="str">
        <f t="shared" si="3"/>
        <v>NO_DATAVIEWS</v>
      </c>
      <c r="E115" s="62" t="str">
        <f t="shared" si="4"/>
        <v>NO_DEPARTMENTS</v>
      </c>
      <c r="F115" t="s">
        <v>506</v>
      </c>
      <c r="G115" t="s">
        <v>507</v>
      </c>
      <c r="H115" t="s">
        <v>508</v>
      </c>
      <c r="I115" t="s">
        <v>509</v>
      </c>
      <c r="J115" t="s">
        <v>589</v>
      </c>
      <c r="K115" s="497">
        <f>ROUND(HLOOKUP($B115,'2-Préparation saisie LV PROD'!$F$1:$Q$86,'2-Préparation saisie LV PROD'!A37,FALSE),0)</f>
        <v>4254152</v>
      </c>
      <c r="L115" t="str">
        <f>VLOOKUP(C115,Capacité!C:L,10,FALSE)</f>
        <v>SdlL</v>
      </c>
    </row>
    <row r="116" spans="1:12">
      <c r="A116" t="s">
        <v>505</v>
      </c>
      <c r="B116" t="str">
        <f t="shared" si="7"/>
        <v>B22_02</v>
      </c>
      <c r="C116" s="323" t="str">
        <f t="shared" si="8"/>
        <v>E5401</v>
      </c>
      <c r="D116" t="str">
        <f t="shared" si="3"/>
        <v>NO_DATAVIEWS</v>
      </c>
      <c r="E116" s="62" t="str">
        <f t="shared" si="4"/>
        <v>NO_DEPARTMENTS</v>
      </c>
      <c r="F116" t="s">
        <v>506</v>
      </c>
      <c r="G116" t="s">
        <v>507</v>
      </c>
      <c r="H116" t="s">
        <v>508</v>
      </c>
      <c r="I116" t="s">
        <v>509</v>
      </c>
      <c r="J116" t="s">
        <v>589</v>
      </c>
      <c r="K116" s="497">
        <f>ROUND(HLOOKUP($B116,'2-Préparation saisie LV PROD'!$F$1:$Q$86,'2-Préparation saisie LV PROD'!A38,FALSE),0)</f>
        <v>1829226</v>
      </c>
      <c r="L116" t="str">
        <f>VLOOKUP(C116,Capacité!C:L,10,FALSE)</f>
        <v>Pays d'Othe</v>
      </c>
    </row>
    <row r="117" spans="1:12">
      <c r="A117" t="s">
        <v>505</v>
      </c>
      <c r="B117" t="str">
        <f t="shared" si="7"/>
        <v>B22_02</v>
      </c>
      <c r="C117" s="323" t="str">
        <f t="shared" si="8"/>
        <v>E5402</v>
      </c>
      <c r="D117" t="str">
        <f t="shared" si="3"/>
        <v>NO_DATAVIEWS</v>
      </c>
      <c r="E117" s="62" t="str">
        <f t="shared" si="4"/>
        <v>NO_DEPARTMENTS</v>
      </c>
      <c r="F117" t="s">
        <v>506</v>
      </c>
      <c r="G117" t="s">
        <v>507</v>
      </c>
      <c r="H117" t="s">
        <v>508</v>
      </c>
      <c r="I117" t="s">
        <v>509</v>
      </c>
      <c r="J117" t="s">
        <v>589</v>
      </c>
      <c r="K117" s="497">
        <f>ROUND(HLOOKUP($B117,'2-Préparation saisie LV PROD'!$F$1:$Q$86,'2-Préparation saisie LV PROD'!A39,FALSE),0)</f>
        <v>2375791</v>
      </c>
      <c r="L117" t="str">
        <f>VLOOKUP(C117,Capacité!C:L,10,FALSE)</f>
        <v>Comes de l'Arce</v>
      </c>
    </row>
    <row r="118" spans="1:12">
      <c r="A118" t="s">
        <v>505</v>
      </c>
      <c r="B118" t="str">
        <f t="shared" si="7"/>
        <v>B22_02</v>
      </c>
      <c r="C118" s="323" t="str">
        <f t="shared" si="8"/>
        <v>E5570</v>
      </c>
      <c r="D118" t="str">
        <f t="shared" si="3"/>
        <v>NO_DATAVIEWS</v>
      </c>
      <c r="E118" s="62" t="str">
        <f t="shared" si="4"/>
        <v>NO_DEPARTMENTS</v>
      </c>
      <c r="F118" t="s">
        <v>506</v>
      </c>
      <c r="G118" t="s">
        <v>507</v>
      </c>
      <c r="H118" t="s">
        <v>508</v>
      </c>
      <c r="I118" t="s">
        <v>509</v>
      </c>
      <c r="J118" t="s">
        <v>589</v>
      </c>
      <c r="K118" s="497">
        <f>ROUND(HLOOKUP($B118,'2-Préparation saisie LV PROD'!$F$1:$Q$86,'2-Préparation saisie LV PROD'!A40,FALSE),0)</f>
        <v>3348328</v>
      </c>
      <c r="L118" t="str">
        <f>VLOOKUP(C118,Capacité!C:L,10,FALSE)</f>
        <v>Plateau de Savernat</v>
      </c>
    </row>
    <row r="119" spans="1:12">
      <c r="A119" t="s">
        <v>505</v>
      </c>
      <c r="B119" t="str">
        <f t="shared" si="7"/>
        <v>B22_02</v>
      </c>
      <c r="C119" s="323" t="str">
        <f t="shared" si="8"/>
        <v>E5560</v>
      </c>
      <c r="D119" t="str">
        <f t="shared" si="3"/>
        <v>NO_DATAVIEWS</v>
      </c>
      <c r="E119" s="62" t="str">
        <f t="shared" si="4"/>
        <v>NO_DEPARTMENTS</v>
      </c>
      <c r="F119" t="s">
        <v>506</v>
      </c>
      <c r="G119" t="s">
        <v>507</v>
      </c>
      <c r="H119" t="s">
        <v>508</v>
      </c>
      <c r="I119" t="s">
        <v>509</v>
      </c>
      <c r="J119" t="s">
        <v>589</v>
      </c>
      <c r="K119" s="497">
        <f>ROUND(HLOOKUP($B119,'2-Préparation saisie LV PROD'!$F$1:$Q$86,'2-Préparation saisie LV PROD'!A41,FALSE),0)</f>
        <v>3140709</v>
      </c>
      <c r="L119" t="str">
        <f>VLOOKUP(C119,Capacité!C:L,10,FALSE)</f>
        <v>Touvent</v>
      </c>
    </row>
    <row r="120" spans="1:12">
      <c r="A120" t="s">
        <v>505</v>
      </c>
      <c r="B120" t="str">
        <f t="shared" si="7"/>
        <v>B22_02</v>
      </c>
      <c r="C120" s="323" t="str">
        <f t="shared" si="8"/>
        <v>E5700</v>
      </c>
      <c r="D120" t="str">
        <f t="shared" si="3"/>
        <v>NO_DATAVIEWS</v>
      </c>
      <c r="E120" s="62" t="str">
        <f t="shared" si="4"/>
        <v>NO_DEPARTMENTS</v>
      </c>
      <c r="F120" t="s">
        <v>506</v>
      </c>
      <c r="G120" t="s">
        <v>507</v>
      </c>
      <c r="H120" t="s">
        <v>508</v>
      </c>
      <c r="I120" t="s">
        <v>509</v>
      </c>
      <c r="J120" t="s">
        <v>589</v>
      </c>
      <c r="K120" s="497">
        <f>ROUND(HLOOKUP($B120,'2-Préparation saisie LV PROD'!$F$1:$Q$86,'2-Préparation saisie LV PROD'!A42,FALSE),0)</f>
        <v>4977171</v>
      </c>
      <c r="L120" t="str">
        <f>VLOOKUP(C120,Capacité!C:L,10,FALSE)</f>
        <v>Haut de Comble (HC)</v>
      </c>
    </row>
    <row r="121" spans="1:12">
      <c r="A121" t="s">
        <v>505</v>
      </c>
      <c r="B121" t="str">
        <f t="shared" si="7"/>
        <v>B22_02</v>
      </c>
      <c r="C121" s="323" t="str">
        <f t="shared" si="8"/>
        <v>E5600</v>
      </c>
      <c r="D121" t="str">
        <f t="shared" si="3"/>
        <v>NO_DATAVIEWS</v>
      </c>
      <c r="E121" s="62" t="str">
        <f t="shared" si="4"/>
        <v>NO_DEPARTMENTS</v>
      </c>
      <c r="F121" t="s">
        <v>506</v>
      </c>
      <c r="G121" t="s">
        <v>507</v>
      </c>
      <c r="H121" t="s">
        <v>508</v>
      </c>
      <c r="I121" t="s">
        <v>509</v>
      </c>
      <c r="J121" t="s">
        <v>589</v>
      </c>
      <c r="K121" s="497">
        <f>ROUND(HLOOKUP($B121,'2-Préparation saisie LV PROD'!$F$1:$Q$86,'2-Préparation saisie LV PROD'!A43,FALSE),0)</f>
        <v>7222650</v>
      </c>
      <c r="L121" t="str">
        <f>VLOOKUP(C121,Capacité!C:L,10,FALSE)</f>
        <v>Inter deux bos (MET)</v>
      </c>
    </row>
    <row r="122" spans="1:12">
      <c r="A122" t="s">
        <v>505</v>
      </c>
      <c r="B122" t="str">
        <f t="shared" si="7"/>
        <v>B22_02</v>
      </c>
      <c r="C122" s="323" t="str">
        <f t="shared" si="8"/>
        <v>E5770</v>
      </c>
      <c r="D122" t="str">
        <f t="shared" si="3"/>
        <v>NO_DATAVIEWS</v>
      </c>
      <c r="E122" s="62" t="str">
        <f t="shared" si="4"/>
        <v>NO_DEPARTMENTS</v>
      </c>
      <c r="F122" t="s">
        <v>506</v>
      </c>
      <c r="G122" t="s">
        <v>507</v>
      </c>
      <c r="H122" t="s">
        <v>508</v>
      </c>
      <c r="I122" t="s">
        <v>509</v>
      </c>
      <c r="J122" t="s">
        <v>589</v>
      </c>
      <c r="K122" s="497">
        <f>ROUND(HLOOKUP($B122,'2-Préparation saisie LV PROD'!$F$1:$Q$86,'2-Préparation saisie LV PROD'!A44,FALSE),0)</f>
        <v>2618483</v>
      </c>
      <c r="L122" t="str">
        <f>VLOOKUP(C122,Capacité!C:L,10,FALSE)</f>
        <v>Le Pelon</v>
      </c>
    </row>
    <row r="123" spans="1:12">
      <c r="A123" t="s">
        <v>505</v>
      </c>
      <c r="B123" t="str">
        <f t="shared" si="7"/>
        <v>B22_02</v>
      </c>
      <c r="C123" s="323" t="str">
        <f t="shared" si="8"/>
        <v>E5630</v>
      </c>
      <c r="D123" t="str">
        <f t="shared" si="3"/>
        <v>NO_DATAVIEWS</v>
      </c>
      <c r="E123" s="62" t="str">
        <f t="shared" si="4"/>
        <v>NO_DEPARTMENTS</v>
      </c>
      <c r="F123" t="s">
        <v>506</v>
      </c>
      <c r="G123" t="s">
        <v>507</v>
      </c>
      <c r="H123" t="s">
        <v>508</v>
      </c>
      <c r="I123" t="s">
        <v>509</v>
      </c>
      <c r="J123" t="s">
        <v>589</v>
      </c>
      <c r="K123" s="497">
        <f>ROUND(HLOOKUP($B123,'2-Préparation saisie LV PROD'!$F$1:$Q$86,'2-Préparation saisie LV PROD'!A45,FALSE),0)</f>
        <v>6409839</v>
      </c>
      <c r="L123" t="str">
        <f>VLOOKUP(C123,Capacité!C:L,10,FALSE)</f>
        <v>Monts de Bagny</v>
      </c>
    </row>
    <row r="124" spans="1:12">
      <c r="A124" t="s">
        <v>505</v>
      </c>
      <c r="B124" t="str">
        <f t="shared" si="7"/>
        <v>B22_02</v>
      </c>
      <c r="C124" s="323" t="str">
        <f t="shared" si="8"/>
        <v>E5690</v>
      </c>
      <c r="D124" t="str">
        <f t="shared" si="3"/>
        <v>NO_DATAVIEWS</v>
      </c>
      <c r="E124" s="62" t="str">
        <f t="shared" si="4"/>
        <v>NO_DEPARTMENTS</v>
      </c>
      <c r="F124" t="s">
        <v>506</v>
      </c>
      <c r="G124" t="s">
        <v>507</v>
      </c>
      <c r="H124" t="s">
        <v>508</v>
      </c>
      <c r="I124" t="s">
        <v>509</v>
      </c>
      <c r="J124" t="s">
        <v>589</v>
      </c>
      <c r="K124" s="497">
        <f>ROUND(HLOOKUP($B124,'2-Préparation saisie LV PROD'!$F$1:$Q$86,'2-Préparation saisie LV PROD'!A46,FALSE),0)</f>
        <v>2711827</v>
      </c>
      <c r="L124" t="str">
        <f>VLOOKUP(C124,Capacité!C:L,10,FALSE)</f>
        <v>Voie des monts</v>
      </c>
    </row>
    <row r="125" spans="1:12">
      <c r="A125" t="s">
        <v>505</v>
      </c>
      <c r="B125" t="str">
        <f t="shared" si="7"/>
        <v>B22_02</v>
      </c>
      <c r="C125" s="323" t="str">
        <f t="shared" si="8"/>
        <v>E5640</v>
      </c>
      <c r="D125" t="str">
        <f t="shared" si="3"/>
        <v>NO_DATAVIEWS</v>
      </c>
      <c r="E125" s="62" t="str">
        <f t="shared" si="4"/>
        <v>NO_DEPARTMENTS</v>
      </c>
      <c r="F125" t="s">
        <v>506</v>
      </c>
      <c r="G125" t="s">
        <v>507</v>
      </c>
      <c r="H125" t="s">
        <v>508</v>
      </c>
      <c r="I125" t="s">
        <v>509</v>
      </c>
      <c r="J125" t="s">
        <v>589</v>
      </c>
      <c r="K125" s="497">
        <f>ROUND(HLOOKUP($B125,'2-Préparation saisie LV PROD'!$F$1:$Q$86,'2-Préparation saisie LV PROD'!A47,FALSE),0)</f>
        <v>5612443</v>
      </c>
      <c r="L125" t="str">
        <f>VLOOKUP(C125,Capacité!C:L,10,FALSE)</f>
        <v>Artois</v>
      </c>
    </row>
    <row r="126" spans="1:12">
      <c r="A126" t="s">
        <v>505</v>
      </c>
      <c r="B126" t="str">
        <f t="shared" si="7"/>
        <v>B22_02</v>
      </c>
      <c r="C126" s="323" t="str">
        <f t="shared" si="8"/>
        <v>E5620</v>
      </c>
      <c r="D126" t="str">
        <f t="shared" si="3"/>
        <v>NO_DATAVIEWS</v>
      </c>
      <c r="E126" s="62" t="str">
        <f t="shared" si="4"/>
        <v>NO_DEPARTMENTS</v>
      </c>
      <c r="F126" t="s">
        <v>506</v>
      </c>
      <c r="G126" t="s">
        <v>507</v>
      </c>
      <c r="H126" t="s">
        <v>508</v>
      </c>
      <c r="I126" t="s">
        <v>509</v>
      </c>
      <c r="J126" t="s">
        <v>589</v>
      </c>
      <c r="K126" s="497">
        <f>ROUND(HLOOKUP($B126,'2-Préparation saisie LV PROD'!$F$1:$Q$86,'2-Préparation saisie LV PROD'!A48,FALSE),0)</f>
        <v>7213937</v>
      </c>
      <c r="L126" t="str">
        <f>VLOOKUP(C126,Capacité!C:L,10,FALSE)</f>
        <v>Chemin de Grès</v>
      </c>
    </row>
    <row r="127" spans="1:12">
      <c r="A127" t="s">
        <v>505</v>
      </c>
      <c r="B127" t="str">
        <f t="shared" si="7"/>
        <v>B22_02</v>
      </c>
      <c r="C127" s="323" t="str">
        <f t="shared" si="8"/>
        <v>E5810</v>
      </c>
      <c r="D127" t="str">
        <f t="shared" si="3"/>
        <v>NO_DATAVIEWS</v>
      </c>
      <c r="E127" s="62" t="str">
        <f t="shared" si="4"/>
        <v>NO_DEPARTMENTS</v>
      </c>
      <c r="F127" t="s">
        <v>506</v>
      </c>
      <c r="G127" t="s">
        <v>507</v>
      </c>
      <c r="H127" t="s">
        <v>508</v>
      </c>
      <c r="I127" t="s">
        <v>509</v>
      </c>
      <c r="J127" t="s">
        <v>589</v>
      </c>
      <c r="K127" s="497">
        <f>ROUND(HLOOKUP($B127,'2-Préparation saisie LV PROD'!$F$1:$Q$86,'2-Préparation saisie LV PROD'!A49,FALSE),0)</f>
        <v>4863017</v>
      </c>
      <c r="L127" t="str">
        <f>VLOOKUP(C127,Capacité!C:L,10,FALSE)</f>
        <v>Coteaux du Blaiseron</v>
      </c>
    </row>
    <row r="128" spans="1:12">
      <c r="A128" t="s">
        <v>505</v>
      </c>
      <c r="B128" t="str">
        <f t="shared" si="7"/>
        <v>B22_02</v>
      </c>
      <c r="C128" s="323" t="str">
        <f t="shared" si="8"/>
        <v>E5660</v>
      </c>
      <c r="D128" t="str">
        <f t="shared" si="3"/>
        <v>NO_DATAVIEWS</v>
      </c>
      <c r="E128" s="62" t="str">
        <f t="shared" si="4"/>
        <v>NO_DEPARTMENTS</v>
      </c>
      <c r="F128" t="s">
        <v>506</v>
      </c>
      <c r="G128" t="s">
        <v>507</v>
      </c>
      <c r="H128" t="s">
        <v>508</v>
      </c>
      <c r="I128" t="s">
        <v>509</v>
      </c>
      <c r="J128" t="s">
        <v>589</v>
      </c>
      <c r="K128" s="497">
        <f>ROUND(HLOOKUP($B128,'2-Préparation saisie LV PROD'!$F$1:$Q$86,'2-Préparation saisie LV PROD'!A50,FALSE),0)</f>
        <v>4288577</v>
      </c>
      <c r="L128" t="str">
        <f>VLOOKUP(C128,Capacité!C:L,10,FALSE)</f>
        <v>XSAN</v>
      </c>
    </row>
    <row r="129" spans="1:12">
      <c r="A129" t="s">
        <v>505</v>
      </c>
      <c r="B129" t="str">
        <f t="shared" si="7"/>
        <v>B22_02</v>
      </c>
      <c r="C129" s="323" t="str">
        <f t="shared" si="8"/>
        <v>E5590</v>
      </c>
      <c r="D129" t="str">
        <f t="shared" si="3"/>
        <v>NO_DATAVIEWS</v>
      </c>
      <c r="E129" s="62" t="str">
        <f t="shared" si="4"/>
        <v>NO_DEPARTMENTS</v>
      </c>
      <c r="F129" t="s">
        <v>506</v>
      </c>
      <c r="G129" t="s">
        <v>507</v>
      </c>
      <c r="H129" t="s">
        <v>508</v>
      </c>
      <c r="I129" t="s">
        <v>509</v>
      </c>
      <c r="J129" t="s">
        <v>589</v>
      </c>
      <c r="K129" s="497">
        <f>ROUND(HLOOKUP($B129,'2-Préparation saisie LV PROD'!$F$1:$Q$86,'2-Préparation saisie LV PROD'!A51,FALSE),0)</f>
        <v>3121145</v>
      </c>
      <c r="L129" t="str">
        <f>VLOOKUP(C129,Capacité!C:L,10,FALSE)</f>
        <v>Le Catésis (CAT)</v>
      </c>
    </row>
    <row r="130" spans="1:12">
      <c r="A130" t="s">
        <v>505</v>
      </c>
      <c r="B130" t="str">
        <f t="shared" si="7"/>
        <v>B22_02</v>
      </c>
      <c r="C130" s="323" t="str">
        <f t="shared" si="8"/>
        <v>E5650</v>
      </c>
      <c r="D130" t="str">
        <f t="shared" si="3"/>
        <v>NO_DATAVIEWS</v>
      </c>
      <c r="E130" s="62" t="str">
        <f t="shared" si="4"/>
        <v>NO_DEPARTMENTS</v>
      </c>
      <c r="F130" t="s">
        <v>506</v>
      </c>
      <c r="G130" t="s">
        <v>507</v>
      </c>
      <c r="H130" t="s">
        <v>508</v>
      </c>
      <c r="I130" t="s">
        <v>509</v>
      </c>
      <c r="J130" t="s">
        <v>589</v>
      </c>
      <c r="K130" s="497">
        <f>ROUND(HLOOKUP($B130,'2-Préparation saisie LV PROD'!$F$1:$Q$86,'2-Préparation saisie LV PROD'!A52,FALSE),0)</f>
        <v>5682894</v>
      </c>
      <c r="L130" t="str">
        <f>VLOOKUP(C130,Capacité!C:L,10,FALSE)</f>
        <v>Seuil du Cambrésis- Ribecourt (RIB)</v>
      </c>
    </row>
    <row r="131" spans="1:12">
      <c r="A131" t="s">
        <v>505</v>
      </c>
      <c r="B131" t="str">
        <f t="shared" si="7"/>
        <v>B22_02</v>
      </c>
      <c r="C131" s="323" t="str">
        <f t="shared" si="8"/>
        <v>E5720</v>
      </c>
      <c r="D131" t="str">
        <f t="shared" si="3"/>
        <v>NO_DATAVIEWS</v>
      </c>
      <c r="E131" s="62" t="str">
        <f t="shared" si="4"/>
        <v>NO_DEPARTMENTS</v>
      </c>
      <c r="F131" t="s">
        <v>506</v>
      </c>
      <c r="G131" t="s">
        <v>507</v>
      </c>
      <c r="H131" t="s">
        <v>508</v>
      </c>
      <c r="I131" t="s">
        <v>509</v>
      </c>
      <c r="J131" t="s">
        <v>589</v>
      </c>
      <c r="K131" s="497">
        <f>ROUND(HLOOKUP($B131,'2-Préparation saisie LV PROD'!$F$1:$Q$86,'2-Préparation saisie LV PROD'!A53,FALSE),0)</f>
        <v>4439874</v>
      </c>
      <c r="L131" t="str">
        <f>VLOOKUP(C131,Capacité!C:L,10,FALSE)</f>
        <v>Basse Thiérache Nord</v>
      </c>
    </row>
    <row r="132" spans="1:12">
      <c r="A132" t="s">
        <v>505</v>
      </c>
      <c r="B132" t="str">
        <f t="shared" si="7"/>
        <v>B22_02</v>
      </c>
      <c r="C132" s="323" t="str">
        <f t="shared" si="8"/>
        <v>E5710</v>
      </c>
      <c r="D132" t="str">
        <f t="shared" si="3"/>
        <v>NO_DATAVIEWS</v>
      </c>
      <c r="E132" s="62" t="str">
        <f t="shared" si="4"/>
        <v>NO_DEPARTMENTS</v>
      </c>
      <c r="F132" t="s">
        <v>506</v>
      </c>
      <c r="G132" t="s">
        <v>507</v>
      </c>
      <c r="H132" t="s">
        <v>508</v>
      </c>
      <c r="I132" t="s">
        <v>509</v>
      </c>
      <c r="J132" t="s">
        <v>589</v>
      </c>
      <c r="K132" s="497">
        <f>ROUND(HLOOKUP($B132,'2-Préparation saisie LV PROD'!$F$1:$Q$86,'2-Préparation saisie LV PROD'!A54,FALSE),0)</f>
        <v>5524969</v>
      </c>
      <c r="L132" t="str">
        <f>VLOOKUP(C132,Capacité!C:L,10,FALSE)</f>
        <v>Sources de l'Ancre</v>
      </c>
    </row>
    <row r="133" spans="1:12">
      <c r="A133" t="s">
        <v>505</v>
      </c>
      <c r="B133" t="str">
        <f t="shared" si="7"/>
        <v>B22_02</v>
      </c>
      <c r="C133" s="323" t="str">
        <f t="shared" si="8"/>
        <v>E6190</v>
      </c>
      <c r="D133" t="str">
        <f t="shared" si="3"/>
        <v>NO_DATAVIEWS</v>
      </c>
      <c r="E133" s="62" t="str">
        <f t="shared" si="4"/>
        <v>NO_DEPARTMENTS</v>
      </c>
      <c r="F133" t="s">
        <v>506</v>
      </c>
      <c r="G133" t="s">
        <v>507</v>
      </c>
      <c r="H133" t="s">
        <v>508</v>
      </c>
      <c r="I133" t="s">
        <v>509</v>
      </c>
      <c r="J133" t="s">
        <v>589</v>
      </c>
      <c r="K133" s="497">
        <f>ROUND(HLOOKUP($B133,'2-Préparation saisie LV PROD'!$F$1:$Q$86,'2-Préparation saisie LV PROD'!A55,FALSE),0)</f>
        <v>0</v>
      </c>
      <c r="L133" t="str">
        <f>VLOOKUP(C133,Capacité!C:L,10,FALSE)</f>
        <v>Evits et Josaphats</v>
      </c>
    </row>
    <row r="134" spans="1:12">
      <c r="A134" t="s">
        <v>505</v>
      </c>
      <c r="B134" t="str">
        <f t="shared" si="7"/>
        <v>B22_02</v>
      </c>
      <c r="C134" s="323" t="str">
        <f t="shared" si="8"/>
        <v>E6200</v>
      </c>
      <c r="D134" t="str">
        <f t="shared" si="3"/>
        <v>NO_DATAVIEWS</v>
      </c>
      <c r="E134" s="62" t="str">
        <f t="shared" si="4"/>
        <v>NO_DEPARTMENTS</v>
      </c>
      <c r="F134" t="s">
        <v>506</v>
      </c>
      <c r="G134" t="s">
        <v>507</v>
      </c>
      <c r="H134" t="s">
        <v>508</v>
      </c>
      <c r="I134" t="s">
        <v>509</v>
      </c>
      <c r="J134" t="s">
        <v>589</v>
      </c>
      <c r="K134" s="497">
        <f>ROUND(HLOOKUP($B134,'2-Préparation saisie LV PROD'!$F$1:$Q$86,'2-Préparation saisie LV PROD'!A56,FALSE),0)</f>
        <v>0</v>
      </c>
      <c r="L134" t="str">
        <f>VLOOKUP(C134,Capacité!C:L,10,FALSE)</f>
        <v>Remise Reclainville</v>
      </c>
    </row>
    <row r="135" spans="1:12">
      <c r="A135" t="s">
        <v>505</v>
      </c>
      <c r="B135" t="str">
        <f t="shared" si="7"/>
        <v>B22_02</v>
      </c>
      <c r="C135" s="323" t="str">
        <f t="shared" si="8"/>
        <v>E6150</v>
      </c>
      <c r="D135" t="str">
        <f t="shared" si="3"/>
        <v>NO_DATAVIEWS</v>
      </c>
      <c r="E135" s="62" t="str">
        <f t="shared" si="4"/>
        <v>NO_DEPARTMENTS</v>
      </c>
      <c r="F135" t="s">
        <v>506</v>
      </c>
      <c r="G135" t="s">
        <v>507</v>
      </c>
      <c r="H135" t="s">
        <v>508</v>
      </c>
      <c r="I135" t="s">
        <v>509</v>
      </c>
      <c r="J135" t="s">
        <v>589</v>
      </c>
      <c r="K135" s="497">
        <f>ROUND(HLOOKUP($B135,'2-Préparation saisie LV PROD'!$F$1:$Q$86,'2-Préparation saisie LV PROD'!A57,FALSE),0)</f>
        <v>1776950</v>
      </c>
      <c r="L135" t="str">
        <f>VLOOKUP(C135,Capacité!C:L,10,FALSE)</f>
        <v>Fierville</v>
      </c>
    </row>
    <row r="136" spans="1:12">
      <c r="A136" t="s">
        <v>505</v>
      </c>
      <c r="B136" t="str">
        <f t="shared" si="7"/>
        <v>B22_02</v>
      </c>
      <c r="C136" s="323" t="str">
        <f t="shared" si="8"/>
        <v>E6340</v>
      </c>
      <c r="D136" t="str">
        <f t="shared" si="3"/>
        <v>NO_DATAVIEWS</v>
      </c>
      <c r="E136" s="62" t="str">
        <f t="shared" si="4"/>
        <v>NO_DEPARTMENTS</v>
      </c>
      <c r="F136" t="s">
        <v>506</v>
      </c>
      <c r="G136" t="s">
        <v>507</v>
      </c>
      <c r="H136" t="s">
        <v>508</v>
      </c>
      <c r="I136" t="s">
        <v>509</v>
      </c>
      <c r="J136" t="s">
        <v>589</v>
      </c>
      <c r="K136" s="497">
        <f>ROUND(HLOOKUP($B136,'2-Préparation saisie LV PROD'!$F$1:$Q$86,'2-Préparation saisie LV PROD'!A58,FALSE),0)</f>
        <v>2910101</v>
      </c>
      <c r="L136" t="str">
        <f>VLOOKUP(C136,Capacité!C:L,10,FALSE)</f>
        <v>Plaine de Beaunay</v>
      </c>
    </row>
    <row r="137" spans="1:12">
      <c r="A137" t="s">
        <v>505</v>
      </c>
      <c r="B137" t="str">
        <f t="shared" si="7"/>
        <v>B22_02</v>
      </c>
      <c r="C137" s="323" t="str">
        <f t="shared" si="8"/>
        <v>E6370</v>
      </c>
      <c r="D137" t="str">
        <f t="shared" si="3"/>
        <v>NO_DATAVIEWS</v>
      </c>
      <c r="E137" s="62" t="str">
        <f t="shared" si="4"/>
        <v>NO_DEPARTMENTS</v>
      </c>
      <c r="F137" t="s">
        <v>506</v>
      </c>
      <c r="G137" t="s">
        <v>507</v>
      </c>
      <c r="H137" t="s">
        <v>508</v>
      </c>
      <c r="I137" t="s">
        <v>509</v>
      </c>
      <c r="J137" t="s">
        <v>589</v>
      </c>
      <c r="K137" s="497">
        <f>ROUND(HLOOKUP($B137,'2-Préparation saisie LV PROD'!$F$1:$Q$86,'2-Préparation saisie LV PROD'!A59,FALSE),0)</f>
        <v>3641113</v>
      </c>
      <c r="L137" t="str">
        <f>VLOOKUP(C137,Capacité!C:L,10,FALSE)</f>
        <v>Val au Moines</v>
      </c>
    </row>
    <row r="138" spans="1:12">
      <c r="A138" t="s">
        <v>505</v>
      </c>
      <c r="B138" t="str">
        <f t="shared" si="7"/>
        <v>B22_02</v>
      </c>
      <c r="C138" s="323" t="str">
        <f t="shared" si="8"/>
        <v>E6250</v>
      </c>
      <c r="D138" t="str">
        <f t="shared" si="3"/>
        <v>NO_DATAVIEWS</v>
      </c>
      <c r="E138" s="62" t="str">
        <f t="shared" si="4"/>
        <v>NO_DEPARTMENTS</v>
      </c>
      <c r="F138" t="s">
        <v>506</v>
      </c>
      <c r="G138" t="s">
        <v>507</v>
      </c>
      <c r="H138" t="s">
        <v>508</v>
      </c>
      <c r="I138" t="s">
        <v>509</v>
      </c>
      <c r="J138" t="s">
        <v>589</v>
      </c>
      <c r="K138" s="497">
        <f>ROUND(HLOOKUP($B138,'2-Préparation saisie LV PROD'!$F$1:$Q$86,'2-Préparation saisie LV PROD'!A60,FALSE),0)</f>
        <v>1880169</v>
      </c>
      <c r="L138" t="str">
        <f>VLOOKUP(C138,Capacité!C:L,10,FALSE)</f>
        <v>Bougainville</v>
      </c>
    </row>
    <row r="139" spans="1:12">
      <c r="A139" t="s">
        <v>505</v>
      </c>
      <c r="B139" t="str">
        <f t="shared" si="7"/>
        <v>B22_02</v>
      </c>
      <c r="C139" s="323" t="str">
        <f t="shared" si="8"/>
        <v>E6260</v>
      </c>
      <c r="D139" t="str">
        <f t="shared" si="3"/>
        <v>NO_DATAVIEWS</v>
      </c>
      <c r="E139" s="62" t="str">
        <f t="shared" si="4"/>
        <v>NO_DEPARTMENTS</v>
      </c>
      <c r="F139" t="s">
        <v>506</v>
      </c>
      <c r="G139" t="s">
        <v>507</v>
      </c>
      <c r="H139" t="s">
        <v>508</v>
      </c>
      <c r="I139" t="s">
        <v>509</v>
      </c>
      <c r="J139" t="s">
        <v>589</v>
      </c>
      <c r="K139" s="497">
        <f>ROUND(HLOOKUP($B139,'2-Préparation saisie LV PROD'!$F$1:$Q$86,'2-Préparation saisie LV PROD'!A61,FALSE),0)</f>
        <v>2037612</v>
      </c>
      <c r="L139" t="str">
        <f>VLOOKUP(C139,Capacité!C:L,10,FALSE)</f>
        <v>Saint André</v>
      </c>
    </row>
    <row r="140" spans="1:12">
      <c r="A140" t="s">
        <v>505</v>
      </c>
      <c r="B140" t="str">
        <f t="shared" si="7"/>
        <v>B22_02</v>
      </c>
      <c r="C140" s="323" t="str">
        <f t="shared" si="8"/>
        <v>E6120</v>
      </c>
      <c r="D140" t="str">
        <f t="shared" si="3"/>
        <v>NO_DATAVIEWS</v>
      </c>
      <c r="E140" s="62" t="str">
        <f t="shared" si="4"/>
        <v>NO_DEPARTMENTS</v>
      </c>
      <c r="F140" t="s">
        <v>506</v>
      </c>
      <c r="G140" t="s">
        <v>507</v>
      </c>
      <c r="H140" t="s">
        <v>508</v>
      </c>
      <c r="I140" t="s">
        <v>509</v>
      </c>
      <c r="J140" t="s">
        <v>589</v>
      </c>
      <c r="K140" s="497">
        <f>ROUND(HLOOKUP($B140,'2-Préparation saisie LV PROD'!$F$1:$Q$86,'2-Préparation saisie LV PROD'!A62,FALSE),0)</f>
        <v>877079</v>
      </c>
      <c r="L140" t="str">
        <f>VLOOKUP(C140,Capacité!C:L,10,FALSE)</f>
        <v>Fond de la Plaine</v>
      </c>
    </row>
    <row r="141" spans="1:12">
      <c r="A141" t="s">
        <v>505</v>
      </c>
      <c r="B141" t="str">
        <f t="shared" si="7"/>
        <v>B22_02</v>
      </c>
      <c r="C141" s="323" t="str">
        <f t="shared" si="8"/>
        <v>E6130</v>
      </c>
      <c r="D141" t="str">
        <f t="shared" si="3"/>
        <v>NO_DATAVIEWS</v>
      </c>
      <c r="E141" s="62" t="str">
        <f t="shared" si="4"/>
        <v>NO_DEPARTMENTS</v>
      </c>
      <c r="F141" t="s">
        <v>506</v>
      </c>
      <c r="G141" t="s">
        <v>507</v>
      </c>
      <c r="H141" t="s">
        <v>508</v>
      </c>
      <c r="I141" t="s">
        <v>509</v>
      </c>
      <c r="J141" t="s">
        <v>589</v>
      </c>
      <c r="K141" s="497">
        <f>ROUND(HLOOKUP($B141,'2-Préparation saisie LV PROD'!$F$1:$Q$86,'2-Préparation saisie LV PROD'!A63,FALSE),0)</f>
        <v>1980572</v>
      </c>
      <c r="L141" t="str">
        <f>VLOOKUP(C141,Capacité!C:L,10,FALSE)</f>
        <v>Bassigny</v>
      </c>
    </row>
    <row r="142" spans="1:12">
      <c r="A142" t="s">
        <v>505</v>
      </c>
      <c r="B142" t="str">
        <f t="shared" si="7"/>
        <v>B22_02</v>
      </c>
      <c r="C142" s="323" t="str">
        <f t="shared" si="8"/>
        <v>E6210</v>
      </c>
      <c r="D142" t="str">
        <f t="shared" si="3"/>
        <v>NO_DATAVIEWS</v>
      </c>
      <c r="E142" s="62" t="str">
        <f t="shared" si="4"/>
        <v>NO_DEPARTMENTS</v>
      </c>
      <c r="F142" t="s">
        <v>506</v>
      </c>
      <c r="G142" t="s">
        <v>507</v>
      </c>
      <c r="H142" t="s">
        <v>508</v>
      </c>
      <c r="I142" t="s">
        <v>509</v>
      </c>
      <c r="J142" t="s">
        <v>589</v>
      </c>
      <c r="K142" s="497">
        <f>ROUND(HLOOKUP($B142,'2-Préparation saisie LV PROD'!$F$1:$Q$86,'2-Préparation saisie LV PROD'!A64,FALSE),0)</f>
        <v>1512766</v>
      </c>
      <c r="L142" t="str">
        <f>VLOOKUP(C142,Capacité!C:L,10,FALSE)</f>
        <v>Les Clérimois</v>
      </c>
    </row>
    <row r="143" spans="1:12">
      <c r="A143" t="s">
        <v>505</v>
      </c>
      <c r="B143" t="str">
        <f t="shared" si="7"/>
        <v>B22_02</v>
      </c>
      <c r="C143" s="323" t="str">
        <f t="shared" si="8"/>
        <v>E6160</v>
      </c>
      <c r="D143" t="str">
        <f t="shared" si="3"/>
        <v>NO_DATAVIEWS</v>
      </c>
      <c r="E143" s="62" t="str">
        <f t="shared" si="4"/>
        <v>NO_DEPARTMENTS</v>
      </c>
      <c r="F143" t="s">
        <v>506</v>
      </c>
      <c r="G143" t="s">
        <v>507</v>
      </c>
      <c r="H143" t="s">
        <v>508</v>
      </c>
      <c r="I143" t="s">
        <v>509</v>
      </c>
      <c r="J143" t="s">
        <v>589</v>
      </c>
      <c r="K143" s="497">
        <f>ROUND(HLOOKUP($B143,'2-Préparation saisie LV PROD'!$F$1:$Q$86,'2-Préparation saisie LV PROD'!A65,FALSE),0)</f>
        <v>1768177</v>
      </c>
      <c r="L143" t="str">
        <f>VLOOKUP(C143,Capacité!C:L,10,FALSE)</f>
        <v>Plateau de Langres</v>
      </c>
    </row>
    <row r="144" spans="1:12">
      <c r="A144" t="s">
        <v>505</v>
      </c>
      <c r="B144" t="str">
        <f t="shared" si="7"/>
        <v>B22_02</v>
      </c>
      <c r="C144" s="323" t="str">
        <f t="shared" si="8"/>
        <v>E6170</v>
      </c>
      <c r="D144" t="str">
        <f t="shared" ref="D144:E165" si="9">D143</f>
        <v>NO_DATAVIEWS</v>
      </c>
      <c r="E144" s="62" t="str">
        <f t="shared" si="9"/>
        <v>NO_DEPARTMENTS</v>
      </c>
      <c r="F144" t="s">
        <v>506</v>
      </c>
      <c r="G144" t="s">
        <v>507</v>
      </c>
      <c r="H144" t="s">
        <v>508</v>
      </c>
      <c r="I144" t="s">
        <v>509</v>
      </c>
      <c r="J144" t="s">
        <v>589</v>
      </c>
      <c r="K144" s="497">
        <f>ROUND(HLOOKUP($B144,'2-Préparation saisie LV PROD'!$F$1:$Q$86,'2-Préparation saisie LV PROD'!A66,FALSE),0)</f>
        <v>1640682</v>
      </c>
      <c r="L144" t="str">
        <f>VLOOKUP(C144,Capacité!C:L,10,FALSE)</f>
        <v>Les Moulins de Boulay</v>
      </c>
    </row>
    <row r="145" spans="1:12">
      <c r="A145" t="s">
        <v>505</v>
      </c>
      <c r="B145" t="str">
        <f t="shared" si="7"/>
        <v>B22_02</v>
      </c>
      <c r="C145" s="323" t="str">
        <f t="shared" si="8"/>
        <v>E6330</v>
      </c>
      <c r="D145" t="str">
        <f t="shared" si="9"/>
        <v>NO_DATAVIEWS</v>
      </c>
      <c r="E145" s="62" t="str">
        <f t="shared" si="9"/>
        <v>NO_DEPARTMENTS</v>
      </c>
      <c r="F145" t="s">
        <v>506</v>
      </c>
      <c r="G145" t="s">
        <v>507</v>
      </c>
      <c r="H145" t="s">
        <v>508</v>
      </c>
      <c r="I145" t="s">
        <v>509</v>
      </c>
      <c r="J145" t="s">
        <v>589</v>
      </c>
      <c r="K145" s="497">
        <f>ROUND(HLOOKUP($B145,'2-Préparation saisie LV PROD'!$F$1:$Q$86,'2-Préparation saisie LV PROD'!A67,FALSE),0)</f>
        <v>1954764</v>
      </c>
      <c r="L145" t="str">
        <f>VLOOKUP(C145,Capacité!C:L,10,FALSE)</f>
        <v>Morlange</v>
      </c>
    </row>
    <row r="146" spans="1:12">
      <c r="A146" t="s">
        <v>505</v>
      </c>
      <c r="B146" t="str">
        <f t="shared" si="7"/>
        <v>B22_02</v>
      </c>
      <c r="C146" s="323" t="str">
        <f t="shared" si="8"/>
        <v>E6140</v>
      </c>
      <c r="D146" t="str">
        <f t="shared" si="9"/>
        <v>NO_DATAVIEWS</v>
      </c>
      <c r="E146" s="62" t="str">
        <f t="shared" si="9"/>
        <v>NO_DEPARTMENTS</v>
      </c>
      <c r="F146" t="s">
        <v>506</v>
      </c>
      <c r="G146" t="s">
        <v>507</v>
      </c>
      <c r="H146" t="s">
        <v>508</v>
      </c>
      <c r="I146" t="s">
        <v>509</v>
      </c>
      <c r="J146" t="s">
        <v>589</v>
      </c>
      <c r="K146" s="497">
        <f>ROUND(HLOOKUP($B146,'2-Préparation saisie LV PROD'!$F$1:$Q$86,'2-Préparation saisie LV PROD'!A68,FALSE),0)</f>
        <v>2235982</v>
      </c>
      <c r="L146" t="str">
        <f>VLOOKUP(C146,Capacité!C:L,10,FALSE)</f>
        <v>Renardières mont de Bezard</v>
      </c>
    </row>
    <row r="147" spans="1:12">
      <c r="A147" t="s">
        <v>505</v>
      </c>
      <c r="B147" t="str">
        <f t="shared" si="7"/>
        <v>B22_02</v>
      </c>
      <c r="C147" s="323" t="str">
        <f t="shared" ref="C147:C157" si="10">C66</f>
        <v>E6350</v>
      </c>
      <c r="D147" t="str">
        <f t="shared" si="9"/>
        <v>NO_DATAVIEWS</v>
      </c>
      <c r="E147" s="62" t="str">
        <f t="shared" si="9"/>
        <v>NO_DEPARTMENTS</v>
      </c>
      <c r="F147" t="s">
        <v>506</v>
      </c>
      <c r="G147" t="s">
        <v>507</v>
      </c>
      <c r="H147" t="s">
        <v>508</v>
      </c>
      <c r="I147" t="s">
        <v>509</v>
      </c>
      <c r="J147" t="s">
        <v>589</v>
      </c>
      <c r="K147" s="497">
        <f>ROUND(HLOOKUP($B147,'2-Préparation saisie LV PROD'!$F$1:$Q$86,'2-Préparation saisie LV PROD'!A69,FALSE),0)</f>
        <v>2086157</v>
      </c>
      <c r="L147" t="str">
        <f>VLOOKUP(C147,Capacité!C:L,10,FALSE)</f>
        <v>Zondrange</v>
      </c>
    </row>
    <row r="148" spans="1:12">
      <c r="A148" t="s">
        <v>505</v>
      </c>
      <c r="B148" t="str">
        <f t="shared" si="7"/>
        <v>B22_02</v>
      </c>
      <c r="C148" s="323" t="str">
        <f t="shared" si="10"/>
        <v>E6360</v>
      </c>
      <c r="D148" t="str">
        <f t="shared" si="9"/>
        <v>NO_DATAVIEWS</v>
      </c>
      <c r="E148" s="62" t="str">
        <f t="shared" si="9"/>
        <v>NO_DEPARTMENTS</v>
      </c>
      <c r="F148" t="s">
        <v>506</v>
      </c>
      <c r="G148" t="s">
        <v>507</v>
      </c>
      <c r="H148" t="s">
        <v>508</v>
      </c>
      <c r="I148" t="s">
        <v>509</v>
      </c>
      <c r="J148" t="s">
        <v>589</v>
      </c>
      <c r="K148" s="497">
        <f>ROUND(HLOOKUP($B148,'2-Préparation saisie LV PROD'!$F$1:$Q$86,'2-Préparation saisie LV PROD'!A70,FALSE),0)</f>
        <v>2240842</v>
      </c>
      <c r="L148" t="str">
        <f>VLOOKUP(C148,Capacité!C:L,10,FALSE)</f>
        <v xml:space="preserve">Noyers </v>
      </c>
    </row>
    <row r="149" spans="1:12">
      <c r="A149" t="s">
        <v>505</v>
      </c>
      <c r="B149" t="str">
        <f>+$B$83</f>
        <v>B22_02</v>
      </c>
      <c r="C149" s="323" t="str">
        <f t="shared" si="10"/>
        <v>E5550</v>
      </c>
      <c r="D149" t="str">
        <f t="shared" si="9"/>
        <v>NO_DATAVIEWS</v>
      </c>
      <c r="E149" s="62" t="str">
        <f t="shared" si="9"/>
        <v>NO_DEPARTMENTS</v>
      </c>
      <c r="F149" t="s">
        <v>506</v>
      </c>
      <c r="G149" t="s">
        <v>507</v>
      </c>
      <c r="H149" t="s">
        <v>508</v>
      </c>
      <c r="I149" t="s">
        <v>509</v>
      </c>
      <c r="J149" t="s">
        <v>589</v>
      </c>
      <c r="K149" s="497">
        <f>ROUND(HLOOKUP($B149,'2-Préparation saisie LV PROD'!$F$1:$Q$86,'2-Préparation saisie LV PROD'!A71,FALSE),0)</f>
        <v>944200</v>
      </c>
      <c r="L149" t="str">
        <f>VLOOKUP(C149,Capacité!C:L,10,FALSE)</f>
        <v>Les Cigalettes (Montfort) / Solaire</v>
      </c>
    </row>
    <row r="150" spans="1:12">
      <c r="A150" t="s">
        <v>505</v>
      </c>
      <c r="B150" t="str">
        <f>+$B$83</f>
        <v>B22_02</v>
      </c>
      <c r="C150" s="323" t="str">
        <f t="shared" si="10"/>
        <v>E5250</v>
      </c>
      <c r="D150" t="str">
        <f t="shared" si="9"/>
        <v>NO_DATAVIEWS</v>
      </c>
      <c r="E150" s="62" t="str">
        <f t="shared" si="9"/>
        <v>NO_DEPARTMENTS</v>
      </c>
      <c r="F150" t="s">
        <v>506</v>
      </c>
      <c r="G150" t="s">
        <v>507</v>
      </c>
      <c r="H150" t="s">
        <v>508</v>
      </c>
      <c r="I150" t="s">
        <v>509</v>
      </c>
      <c r="J150" t="s">
        <v>589</v>
      </c>
      <c r="K150" s="497">
        <f>ROUND(HLOOKUP($B150,'2-Préparation saisie LV PROD'!$F$1:$Q$86,'2-Préparation saisie LV PROD'!A72,FALSE),0)</f>
        <v>335771</v>
      </c>
      <c r="L150" t="str">
        <f>VLOOKUP(C150,Capacité!C:L,10,FALSE)</f>
        <v>Avignonet / Solaire</v>
      </c>
    </row>
    <row r="151" spans="1:12">
      <c r="A151" t="s">
        <v>505</v>
      </c>
      <c r="B151" t="str">
        <f t="shared" ref="B151:B163" si="11">+$B$83</f>
        <v>B22_02</v>
      </c>
      <c r="C151" s="323" t="str">
        <f t="shared" si="10"/>
        <v>E6010</v>
      </c>
      <c r="D151" t="str">
        <f t="shared" si="9"/>
        <v>NO_DATAVIEWS</v>
      </c>
      <c r="E151" s="62" t="str">
        <f t="shared" si="9"/>
        <v>NO_DEPARTMENTS</v>
      </c>
      <c r="F151" t="s">
        <v>506</v>
      </c>
      <c r="G151" t="s">
        <v>507</v>
      </c>
      <c r="H151" t="s">
        <v>508</v>
      </c>
      <c r="I151" t="s">
        <v>509</v>
      </c>
      <c r="J151" t="s">
        <v>589</v>
      </c>
      <c r="K151" s="497">
        <f>ROUND(HLOOKUP($B151,'2-Préparation saisie LV PROD'!$F$1:$Q$86,'2-Préparation saisie LV PROD'!A74,FALSE),0)</f>
        <v>9540598</v>
      </c>
      <c r="L151" t="str">
        <f>VLOOKUP(C151,Capacité!C:L,10,FALSE)</f>
        <v>CDC-R</v>
      </c>
    </row>
    <row r="152" spans="1:12">
      <c r="A152" t="s">
        <v>505</v>
      </c>
      <c r="B152" t="str">
        <f t="shared" si="11"/>
        <v>B22_02</v>
      </c>
      <c r="C152" s="323" t="str">
        <f t="shared" si="10"/>
        <v>E6280</v>
      </c>
      <c r="D152" t="str">
        <f t="shared" si="9"/>
        <v>NO_DATAVIEWS</v>
      </c>
      <c r="E152" s="62" t="str">
        <f t="shared" si="9"/>
        <v>NO_DEPARTMENTS</v>
      </c>
      <c r="F152" t="s">
        <v>506</v>
      </c>
      <c r="G152" t="s">
        <v>507</v>
      </c>
      <c r="H152" t="s">
        <v>508</v>
      </c>
      <c r="I152" t="s">
        <v>509</v>
      </c>
      <c r="J152" t="s">
        <v>589</v>
      </c>
      <c r="K152" s="497">
        <f>ROUND(HLOOKUP($B152,'2-Préparation saisie LV PROD'!$F$1:$Q$86,'2-Préparation saisie LV PROD'!A75,FALSE),0)</f>
        <v>2838549</v>
      </c>
      <c r="L152" t="str">
        <f>VLOOKUP(C152,Capacité!C:L,10,FALSE)</f>
        <v>BPF</v>
      </c>
    </row>
    <row r="153" spans="1:12">
      <c r="A153" t="s">
        <v>505</v>
      </c>
      <c r="B153" t="str">
        <f t="shared" si="11"/>
        <v>B22_02</v>
      </c>
      <c r="C153" s="323" t="str">
        <f t="shared" si="10"/>
        <v>E5930</v>
      </c>
      <c r="D153" t="str">
        <f t="shared" si="9"/>
        <v>NO_DATAVIEWS</v>
      </c>
      <c r="E153" s="62" t="str">
        <f t="shared" si="9"/>
        <v>NO_DEPARTMENTS</v>
      </c>
      <c r="F153" t="s">
        <v>506</v>
      </c>
      <c r="G153" t="s">
        <v>507</v>
      </c>
      <c r="H153" t="s">
        <v>508</v>
      </c>
      <c r="I153" t="s">
        <v>509</v>
      </c>
      <c r="J153" t="s">
        <v>589</v>
      </c>
      <c r="K153" s="497">
        <f>ROUND(HLOOKUP($B153,'2-Préparation saisie LV PROD'!$F$1:$Q$86,'2-Préparation saisie LV PROD'!A76,FALSE),0)</f>
        <v>4256411</v>
      </c>
      <c r="L153" t="str">
        <f>VLOOKUP(C153,Capacité!C:L,10,FALSE)</f>
        <v>XSB</v>
      </c>
    </row>
    <row r="154" spans="1:12" s="4" customFormat="1">
      <c r="A154" s="4" t="s">
        <v>505</v>
      </c>
      <c r="B154" s="4" t="str">
        <f t="shared" si="11"/>
        <v>B22_02</v>
      </c>
      <c r="C154" s="323" t="str">
        <f t="shared" si="10"/>
        <v>E5880</v>
      </c>
      <c r="D154" t="str">
        <f t="shared" si="9"/>
        <v>NO_DATAVIEWS</v>
      </c>
      <c r="E154" s="62" t="str">
        <f t="shared" si="9"/>
        <v>NO_DEPARTMENTS</v>
      </c>
      <c r="F154" s="4" t="s">
        <v>506</v>
      </c>
      <c r="G154" s="4" t="s">
        <v>507</v>
      </c>
      <c r="H154" s="4" t="s">
        <v>508</v>
      </c>
      <c r="I154" s="4" t="s">
        <v>509</v>
      </c>
      <c r="J154" s="4" t="s">
        <v>589</v>
      </c>
      <c r="K154" s="497">
        <f>ROUND(HLOOKUP($B154,'2-Préparation saisie LV PROD'!$F$1:$Q$86,'2-Préparation saisie LV PROD'!A77,FALSE),0)</f>
        <v>3740491</v>
      </c>
      <c r="L154" t="str">
        <f>VLOOKUP(C154,Capacité!C:L,10,FALSE)</f>
        <v>Extension plaine d'Escrebieux</v>
      </c>
    </row>
    <row r="155" spans="1:12" s="4" customFormat="1">
      <c r="A155" s="4" t="s">
        <v>505</v>
      </c>
      <c r="B155" s="4" t="str">
        <f t="shared" si="11"/>
        <v>B22_02</v>
      </c>
      <c r="C155" s="323" t="str">
        <f t="shared" si="10"/>
        <v>E6720</v>
      </c>
      <c r="D155" t="str">
        <f t="shared" si="9"/>
        <v>NO_DATAVIEWS</v>
      </c>
      <c r="E155" s="62" t="str">
        <f t="shared" si="9"/>
        <v>NO_DEPARTMENTS</v>
      </c>
      <c r="F155" s="4" t="s">
        <v>506</v>
      </c>
      <c r="G155" s="4" t="s">
        <v>507</v>
      </c>
      <c r="H155" s="4" t="s">
        <v>508</v>
      </c>
      <c r="I155" s="4" t="s">
        <v>509</v>
      </c>
      <c r="J155" s="4" t="s">
        <v>589</v>
      </c>
      <c r="K155" s="497">
        <f>ROUND(HLOOKUP($B155,'2-Préparation saisie LV PROD'!$F$1:$Q$86,'2-Préparation saisie LV PROD'!A78,FALSE),0)</f>
        <v>750049</v>
      </c>
      <c r="L155" t="str">
        <f>VLOOKUP(C155,Capacité!C:L,10,FALSE)</f>
        <v xml:space="preserve">St Christophe - Clé des champs / Solaire </v>
      </c>
    </row>
    <row r="156" spans="1:12" s="4" customFormat="1">
      <c r="A156" s="4" t="s">
        <v>505</v>
      </c>
      <c r="B156" s="4" t="str">
        <f t="shared" si="11"/>
        <v>B22_02</v>
      </c>
      <c r="C156" s="323" t="str">
        <f t="shared" si="10"/>
        <v>E6040</v>
      </c>
      <c r="D156" t="str">
        <f t="shared" si="9"/>
        <v>NO_DATAVIEWS</v>
      </c>
      <c r="E156" s="62" t="str">
        <f t="shared" si="9"/>
        <v>NO_DEPARTMENTS</v>
      </c>
      <c r="F156" s="4" t="s">
        <v>506</v>
      </c>
      <c r="G156" s="4" t="s">
        <v>507</v>
      </c>
      <c r="H156" s="4" t="s">
        <v>508</v>
      </c>
      <c r="I156" s="4" t="s">
        <v>509</v>
      </c>
      <c r="J156" s="4" t="s">
        <v>589</v>
      </c>
      <c r="K156" s="497">
        <f>ROUND(HLOOKUP($B156,'2-Préparation saisie LV PROD'!$F$1:$Q$86,'2-Préparation saisie LV PROD'!A79,FALSE),0)</f>
        <v>1335098</v>
      </c>
      <c r="L156" t="str">
        <f>VLOOKUP(C156,Capacité!C:L,10,FALSE)</f>
        <v>Peyrolles / Solaire</v>
      </c>
    </row>
    <row r="157" spans="1:12" s="4" customFormat="1">
      <c r="A157" s="4" t="s">
        <v>505</v>
      </c>
      <c r="B157" s="4" t="str">
        <f t="shared" si="11"/>
        <v>B22_02</v>
      </c>
      <c r="C157" s="323" t="str">
        <f t="shared" si="10"/>
        <v>E6310</v>
      </c>
      <c r="D157" t="str">
        <f t="shared" si="9"/>
        <v>NO_DATAVIEWS</v>
      </c>
      <c r="E157" s="62" t="str">
        <f t="shared" si="9"/>
        <v>NO_DEPARTMENTS</v>
      </c>
      <c r="F157" s="4" t="s">
        <v>506</v>
      </c>
      <c r="G157" s="4" t="s">
        <v>507</v>
      </c>
      <c r="H157" s="4" t="s">
        <v>508</v>
      </c>
      <c r="I157" s="4" t="s">
        <v>509</v>
      </c>
      <c r="J157" s="4" t="s">
        <v>589</v>
      </c>
      <c r="K157" s="497">
        <f>ROUND(HLOOKUP($B157,'2-Préparation saisie LV PROD'!$F$1:$Q$86,'2-Préparation saisie LV PROD'!A80,FALSE),0)</f>
        <v>3277095</v>
      </c>
      <c r="L157" t="str">
        <f>VLOOKUP(C157,Capacité!C:L,10,FALSE)</f>
        <v>Bazougeais</v>
      </c>
    </row>
    <row r="158" spans="1:12" s="4" customFormat="1">
      <c r="A158" s="4" t="s">
        <v>505</v>
      </c>
      <c r="B158" s="4" t="str">
        <f t="shared" si="11"/>
        <v>B22_02</v>
      </c>
      <c r="C158" s="323" t="str">
        <f t="shared" ref="C158:C163" si="12">C77</f>
        <v>E6571</v>
      </c>
      <c r="D158" t="str">
        <f t="shared" ref="D158:E158" si="13">D157</f>
        <v>NO_DATAVIEWS</v>
      </c>
      <c r="E158" s="62" t="str">
        <f t="shared" si="13"/>
        <v>NO_DEPARTMENTS</v>
      </c>
      <c r="F158" s="4" t="s">
        <v>506</v>
      </c>
      <c r="G158" s="4" t="s">
        <v>507</v>
      </c>
      <c r="H158" s="4" t="s">
        <v>508</v>
      </c>
      <c r="I158" s="4" t="s">
        <v>509</v>
      </c>
      <c r="J158" s="4" t="s">
        <v>589</v>
      </c>
      <c r="K158" s="497">
        <f>ROUND(HLOOKUP($B158,'2-Préparation saisie LV PROD'!$F$1:$Q$86,'2-Préparation saisie LV PROD'!A81,FALSE),0)</f>
        <v>0</v>
      </c>
      <c r="L158" t="s">
        <v>3538</v>
      </c>
    </row>
    <row r="159" spans="1:12" s="4" customFormat="1">
      <c r="A159" s="4" t="s">
        <v>505</v>
      </c>
      <c r="B159" s="4" t="str">
        <f t="shared" si="11"/>
        <v>B22_02</v>
      </c>
      <c r="C159" s="323" t="str">
        <f t="shared" si="12"/>
        <v>E5890</v>
      </c>
      <c r="D159" t="str">
        <f t="shared" ref="D159:E159" si="14">D158</f>
        <v>NO_DATAVIEWS</v>
      </c>
      <c r="E159" s="62" t="str">
        <f t="shared" si="14"/>
        <v>NO_DEPARTMENTS</v>
      </c>
      <c r="F159" s="4" t="s">
        <v>506</v>
      </c>
      <c r="G159" s="4" t="s">
        <v>507</v>
      </c>
      <c r="H159" s="4" t="s">
        <v>508</v>
      </c>
      <c r="I159" s="4" t="s">
        <v>509</v>
      </c>
      <c r="J159" s="4" t="s">
        <v>589</v>
      </c>
      <c r="K159" s="497">
        <f>ROUND(HLOOKUP($B159,'2-Préparation saisie LV PROD'!$F$1:$Q$86,'2-Préparation saisie LV PROD'!A82,FALSE),0)</f>
        <v>2373060</v>
      </c>
      <c r="L159" t="str">
        <f>VLOOKUP(C159,Capacité!C:L,10,FALSE)</f>
        <v>La Grande Borne</v>
      </c>
    </row>
    <row r="160" spans="1:12" s="4" customFormat="1">
      <c r="A160" s="4" t="s">
        <v>505</v>
      </c>
      <c r="B160" s="4" t="str">
        <f t="shared" si="11"/>
        <v>B22_02</v>
      </c>
      <c r="C160" s="323" t="str">
        <f t="shared" si="12"/>
        <v>E6730</v>
      </c>
      <c r="D160" t="str">
        <f t="shared" ref="D160:E160" si="15">D159</f>
        <v>NO_DATAVIEWS</v>
      </c>
      <c r="E160" s="62" t="str">
        <f t="shared" si="15"/>
        <v>NO_DEPARTMENTS</v>
      </c>
      <c r="F160" s="4" t="s">
        <v>506</v>
      </c>
      <c r="G160" s="4" t="s">
        <v>507</v>
      </c>
      <c r="H160" s="4" t="s">
        <v>508</v>
      </c>
      <c r="I160" s="4" t="s">
        <v>509</v>
      </c>
      <c r="J160" s="4" t="s">
        <v>589</v>
      </c>
      <c r="K160" s="497">
        <f>ROUND(HLOOKUP($B160,'2-Préparation saisie LV PROD'!$F$1:$Q$86,'2-Préparation saisie LV PROD'!A83,FALSE),0)</f>
        <v>0</v>
      </c>
      <c r="L160" t="str">
        <f>VLOOKUP(C160,Capacité!C:L,10,FALSE)</f>
        <v xml:space="preserve">R-EEJ - Evits et Josaphats </v>
      </c>
    </row>
    <row r="161" spans="1:12" s="4" customFormat="1">
      <c r="A161" s="4" t="s">
        <v>505</v>
      </c>
      <c r="B161" s="4" t="str">
        <f t="shared" si="11"/>
        <v>B22_02</v>
      </c>
      <c r="C161" s="323" t="str">
        <f t="shared" si="12"/>
        <v>E6740</v>
      </c>
      <c r="D161" t="str">
        <f t="shared" ref="D161:E161" si="16">D160</f>
        <v>NO_DATAVIEWS</v>
      </c>
      <c r="E161" s="62" t="str">
        <f t="shared" si="16"/>
        <v>NO_DEPARTMENTS</v>
      </c>
      <c r="F161" s="4" t="s">
        <v>506</v>
      </c>
      <c r="G161" s="4" t="s">
        <v>507</v>
      </c>
      <c r="H161" s="4" t="s">
        <v>508</v>
      </c>
      <c r="I161" s="4" t="s">
        <v>509</v>
      </c>
      <c r="J161" s="4" t="s">
        <v>589</v>
      </c>
      <c r="K161" s="497">
        <f>ROUND(HLOOKUP($B161,'2-Préparation saisie LV PROD'!$F$1:$Q$86,'2-Préparation saisie LV PROD'!A84,FALSE),0)</f>
        <v>0</v>
      </c>
      <c r="L161" t="str">
        <f>VLOOKUP(C161,Capacité!C:L,10,FALSE)</f>
        <v>R-RCL - Remise Reclainville</v>
      </c>
    </row>
    <row r="162" spans="1:12" s="4" customFormat="1">
      <c r="A162" s="4" t="s">
        <v>505</v>
      </c>
      <c r="B162" s="4" t="str">
        <f t="shared" si="11"/>
        <v>B22_02</v>
      </c>
      <c r="C162" s="323" t="str">
        <f t="shared" si="12"/>
        <v>E6290</v>
      </c>
      <c r="D162" t="str">
        <f t="shared" ref="D162:E162" si="17">D161</f>
        <v>NO_DATAVIEWS</v>
      </c>
      <c r="E162" s="62" t="str">
        <f t="shared" si="17"/>
        <v>NO_DEPARTMENTS</v>
      </c>
      <c r="F162" s="4" t="s">
        <v>506</v>
      </c>
      <c r="G162" s="4" t="s">
        <v>507</v>
      </c>
      <c r="H162" s="4" t="s">
        <v>508</v>
      </c>
      <c r="I162" s="4" t="s">
        <v>509</v>
      </c>
      <c r="J162" s="4" t="s">
        <v>589</v>
      </c>
      <c r="K162" s="497">
        <f>ROUND(HLOOKUP($B162,'2-Préparation saisie LV PROD'!$F$1:$Q$86,'2-Préparation saisie LV PROD'!A85,FALSE),0)</f>
        <v>0</v>
      </c>
      <c r="L162" t="str">
        <f>VLOOKUP(C162,Capacité!C:L,10,FALSE)</f>
        <v>Bois des Fontaines (extension EEJ)</v>
      </c>
    </row>
    <row r="163" spans="1:12" s="4" customFormat="1">
      <c r="A163" s="4" t="s">
        <v>505</v>
      </c>
      <c r="B163" s="4" t="str">
        <f t="shared" si="11"/>
        <v>B22_02</v>
      </c>
      <c r="C163" s="323" t="str">
        <f t="shared" si="12"/>
        <v>E6760</v>
      </c>
      <c r="D163" t="str">
        <f t="shared" ref="D163:E163" si="18">D162</f>
        <v>NO_DATAVIEWS</v>
      </c>
      <c r="E163" s="62" t="str">
        <f t="shared" si="18"/>
        <v>NO_DEPARTMENTS</v>
      </c>
      <c r="F163" s="4" t="s">
        <v>506</v>
      </c>
      <c r="G163" s="4" t="s">
        <v>507</v>
      </c>
      <c r="H163" s="4" t="s">
        <v>508</v>
      </c>
      <c r="I163" s="4" t="s">
        <v>509</v>
      </c>
      <c r="J163" s="4" t="s">
        <v>589</v>
      </c>
      <c r="K163" s="497">
        <f>ROUND(HLOOKUP($B163,'2-Préparation saisie LV PROD'!$F$1:$Q$86,'2-Préparation saisie LV PROD'!A86,FALSE),0)</f>
        <v>0</v>
      </c>
      <c r="L163" t="str">
        <f>VLOOKUP(C163,Capacité!C:L,10,FALSE)</f>
        <v>R-BGV - Bougainville</v>
      </c>
    </row>
    <row r="164" spans="1:12">
      <c r="A164" t="s">
        <v>505</v>
      </c>
      <c r="B164" s="3" t="s">
        <v>3358</v>
      </c>
      <c r="C164" s="323" t="str">
        <f t="shared" ref="C164:C195" si="19">C83</f>
        <v>E5030</v>
      </c>
      <c r="D164" t="str">
        <f>D157</f>
        <v>NO_DATAVIEWS</v>
      </c>
      <c r="E164" s="62" t="str">
        <f>E157</f>
        <v>NO_DEPARTMENTS</v>
      </c>
      <c r="F164" t="s">
        <v>506</v>
      </c>
      <c r="G164" t="s">
        <v>507</v>
      </c>
      <c r="H164" t="s">
        <v>508</v>
      </c>
      <c r="I164" t="s">
        <v>509</v>
      </c>
      <c r="J164" t="s">
        <v>589</v>
      </c>
      <c r="K164" s="497">
        <f>ROUND(HLOOKUP($B164,'2-Préparation saisie LV PROD'!$F$1:$Q$86,'2-Préparation saisie LV PROD'!A5,FALSE),0)</f>
        <v>1740283</v>
      </c>
      <c r="L164" t="str">
        <f>VLOOKUP(C164,Capacité!C:L,10,FALSE)</f>
        <v>Avignonet</v>
      </c>
    </row>
    <row r="165" spans="1:12">
      <c r="A165" t="s">
        <v>505</v>
      </c>
      <c r="B165" t="str">
        <f>+$B$164</f>
        <v>B22_03</v>
      </c>
      <c r="C165" s="323" t="str">
        <f t="shared" si="19"/>
        <v>E5040</v>
      </c>
      <c r="D165" t="str">
        <f t="shared" si="9"/>
        <v>NO_DATAVIEWS</v>
      </c>
      <c r="E165" s="62" t="str">
        <f t="shared" si="9"/>
        <v>NO_DEPARTMENTS</v>
      </c>
      <c r="F165" t="s">
        <v>506</v>
      </c>
      <c r="G165" t="s">
        <v>507</v>
      </c>
      <c r="H165" t="s">
        <v>508</v>
      </c>
      <c r="I165" t="s">
        <v>509</v>
      </c>
      <c r="J165" t="s">
        <v>589</v>
      </c>
      <c r="K165" s="497">
        <f>ROUND(HLOOKUP($B165,'2-Préparation saisie LV PROD'!$F$1:$Q$86,'2-Préparation saisie LV PROD'!A6,FALSE),0)</f>
        <v>569552</v>
      </c>
      <c r="L165" t="str">
        <f>VLOOKUP(C165,Capacité!C:L,10,FALSE)</f>
        <v>Chépy</v>
      </c>
    </row>
    <row r="166" spans="1:12">
      <c r="A166" t="s">
        <v>505</v>
      </c>
      <c r="B166" t="str">
        <f t="shared" ref="B166:B229" si="20">+$B$164</f>
        <v>B22_03</v>
      </c>
      <c r="C166" s="323" t="str">
        <f t="shared" si="19"/>
        <v>E5050</v>
      </c>
      <c r="D166" t="str">
        <f t="shared" ref="D166:E181" si="21">D165</f>
        <v>NO_DATAVIEWS</v>
      </c>
      <c r="E166" s="62" t="str">
        <f t="shared" si="21"/>
        <v>NO_DEPARTMENTS</v>
      </c>
      <c r="F166" t="s">
        <v>506</v>
      </c>
      <c r="G166" t="s">
        <v>507</v>
      </c>
      <c r="H166" t="s">
        <v>508</v>
      </c>
      <c r="I166" t="s">
        <v>509</v>
      </c>
      <c r="J166" t="s">
        <v>589</v>
      </c>
      <c r="K166" s="497">
        <f>ROUND(HLOOKUP($B166,'2-Préparation saisie LV PROD'!$F$1:$Q$86,'2-Préparation saisie LV PROD'!A7,FALSE),0)</f>
        <v>1683338</v>
      </c>
      <c r="L166" t="str">
        <f>VLOOKUP(C166,Capacité!C:L,10,FALSE)</f>
        <v>Nibas</v>
      </c>
    </row>
    <row r="167" spans="1:12">
      <c r="A167" t="s">
        <v>505</v>
      </c>
      <c r="B167" t="str">
        <f t="shared" si="20"/>
        <v>B22_03</v>
      </c>
      <c r="C167" s="323" t="str">
        <f t="shared" si="19"/>
        <v>E5070</v>
      </c>
      <c r="D167" t="str">
        <f t="shared" si="21"/>
        <v>NO_DATAVIEWS</v>
      </c>
      <c r="E167" s="62" t="str">
        <f t="shared" si="21"/>
        <v>NO_DEPARTMENTS</v>
      </c>
      <c r="F167" t="s">
        <v>506</v>
      </c>
      <c r="G167" t="s">
        <v>507</v>
      </c>
      <c r="H167" t="s">
        <v>508</v>
      </c>
      <c r="I167" t="s">
        <v>509</v>
      </c>
      <c r="J167" t="s">
        <v>589</v>
      </c>
      <c r="K167" s="497">
        <f>ROUND(HLOOKUP($B167,'2-Préparation saisie LV PROD'!$F$1:$Q$86,'2-Préparation saisie LV PROD'!A8,FALSE),0)</f>
        <v>1926998</v>
      </c>
      <c r="L167" t="str">
        <f>VLOOKUP(C167,Capacité!C:L,10,FALSE)</f>
        <v>Ally Bessadous</v>
      </c>
    </row>
    <row r="168" spans="1:12">
      <c r="A168" t="s">
        <v>505</v>
      </c>
      <c r="B168" t="str">
        <f t="shared" si="20"/>
        <v>B22_03</v>
      </c>
      <c r="C168" s="323" t="str">
        <f t="shared" si="19"/>
        <v>E5080</v>
      </c>
      <c r="D168" t="str">
        <f t="shared" si="21"/>
        <v>NO_DATAVIEWS</v>
      </c>
      <c r="E168" s="62" t="str">
        <f t="shared" si="21"/>
        <v>NO_DEPARTMENTS</v>
      </c>
      <c r="F168" t="s">
        <v>506</v>
      </c>
      <c r="G168" t="s">
        <v>507</v>
      </c>
      <c r="H168" t="s">
        <v>508</v>
      </c>
      <c r="I168" t="s">
        <v>509</v>
      </c>
      <c r="J168" t="s">
        <v>589</v>
      </c>
      <c r="K168" s="497">
        <f>ROUND(HLOOKUP($B168,'2-Préparation saisie LV PROD'!$F$1:$Q$86,'2-Préparation saisie LV PROD'!A9,FALSE),0)</f>
        <v>1283262</v>
      </c>
      <c r="L168" t="str">
        <f>VLOOKUP(C168,Capacité!C:L,10,FALSE)</f>
        <v>Ally Mercoeur</v>
      </c>
    </row>
    <row r="169" spans="1:12">
      <c r="A169" t="s">
        <v>505</v>
      </c>
      <c r="B169" t="str">
        <f t="shared" si="20"/>
        <v>B22_03</v>
      </c>
      <c r="C169" s="323" t="str">
        <f t="shared" si="19"/>
        <v>E5090</v>
      </c>
      <c r="D169" t="str">
        <f t="shared" si="21"/>
        <v>NO_DATAVIEWS</v>
      </c>
      <c r="E169" s="62" t="str">
        <f t="shared" si="21"/>
        <v>NO_DEPARTMENTS</v>
      </c>
      <c r="F169" t="s">
        <v>506</v>
      </c>
      <c r="G169" t="s">
        <v>507</v>
      </c>
      <c r="H169" t="s">
        <v>508</v>
      </c>
      <c r="I169" t="s">
        <v>509</v>
      </c>
      <c r="J169" t="s">
        <v>589</v>
      </c>
      <c r="K169" s="497">
        <f>ROUND(HLOOKUP($B169,'2-Préparation saisie LV PROD'!$F$1:$Q$86,'2-Préparation saisie LV PROD'!A10,FALSE),0)</f>
        <v>1666728</v>
      </c>
      <c r="L169" t="str">
        <f>VLOOKUP(C169,Capacité!C:L,10,FALSE)</f>
        <v>Ally Monteil</v>
      </c>
    </row>
    <row r="170" spans="1:12">
      <c r="A170" t="s">
        <v>505</v>
      </c>
      <c r="B170" t="str">
        <f t="shared" si="20"/>
        <v>B22_03</v>
      </c>
      <c r="C170" s="323" t="str">
        <f t="shared" si="19"/>
        <v>E5100</v>
      </c>
      <c r="D170" t="str">
        <f t="shared" si="21"/>
        <v>NO_DATAVIEWS</v>
      </c>
      <c r="E170" s="62" t="str">
        <f t="shared" si="21"/>
        <v>NO_DEPARTMENTS</v>
      </c>
      <c r="F170" t="s">
        <v>506</v>
      </c>
      <c r="G170" t="s">
        <v>507</v>
      </c>
      <c r="H170" t="s">
        <v>508</v>
      </c>
      <c r="I170" t="s">
        <v>509</v>
      </c>
      <c r="J170" t="s">
        <v>589</v>
      </c>
      <c r="K170" s="497">
        <f>ROUND(HLOOKUP($B170,'2-Préparation saisie LV PROD'!$F$1:$Q$86,'2-Préparation saisie LV PROD'!A11,FALSE),0)</f>
        <v>2017693</v>
      </c>
      <c r="L170" t="str">
        <f>VLOOKUP(C170,Capacité!C:L,10,FALSE)</f>
        <v>Ally Verseilles</v>
      </c>
    </row>
    <row r="171" spans="1:12">
      <c r="A171" t="s">
        <v>505</v>
      </c>
      <c r="B171" t="str">
        <f t="shared" si="20"/>
        <v>B22_03</v>
      </c>
      <c r="C171" s="323" t="str">
        <f t="shared" si="19"/>
        <v>E5110</v>
      </c>
      <c r="D171" t="str">
        <f t="shared" si="21"/>
        <v>NO_DATAVIEWS</v>
      </c>
      <c r="E171" s="62" t="str">
        <f t="shared" si="21"/>
        <v>NO_DEPARTMENTS</v>
      </c>
      <c r="F171" t="s">
        <v>506</v>
      </c>
      <c r="G171" t="s">
        <v>507</v>
      </c>
      <c r="H171" t="s">
        <v>508</v>
      </c>
      <c r="I171" t="s">
        <v>509</v>
      </c>
      <c r="J171" t="s">
        <v>589</v>
      </c>
      <c r="K171" s="497">
        <f>ROUND(HLOOKUP($B171,'2-Préparation saisie LV PROD'!$F$1:$Q$86,'2-Préparation saisie LV PROD'!A12,FALSE),0)</f>
        <v>0</v>
      </c>
      <c r="L171" t="str">
        <f>VLOOKUP(C171,Capacité!C:L,10,FALSE)</f>
        <v>Cham Longe Bel Air</v>
      </c>
    </row>
    <row r="172" spans="1:12">
      <c r="A172" t="s">
        <v>505</v>
      </c>
      <c r="B172" t="str">
        <f t="shared" si="20"/>
        <v>B22_03</v>
      </c>
      <c r="C172" s="323" t="str">
        <f t="shared" si="19"/>
        <v>E5120</v>
      </c>
      <c r="D172" t="str">
        <f t="shared" si="21"/>
        <v>NO_DATAVIEWS</v>
      </c>
      <c r="E172" s="62" t="str">
        <f t="shared" si="21"/>
        <v>NO_DEPARTMENTS</v>
      </c>
      <c r="F172" t="s">
        <v>506</v>
      </c>
      <c r="G172" t="s">
        <v>507</v>
      </c>
      <c r="H172" t="s">
        <v>508</v>
      </c>
      <c r="I172" t="s">
        <v>509</v>
      </c>
      <c r="J172" t="s">
        <v>589</v>
      </c>
      <c r="K172" s="497">
        <f>ROUND(HLOOKUP($B172,'2-Préparation saisie LV PROD'!$F$1:$Q$86,'2-Préparation saisie LV PROD'!A13,FALSE),0)</f>
        <v>0</v>
      </c>
      <c r="L172" t="str">
        <f>VLOOKUP(C172,Capacité!C:L,10,FALSE)</f>
        <v>Cham Longe Le Courbil (Eole Cevennes)</v>
      </c>
    </row>
    <row r="173" spans="1:12">
      <c r="A173" t="s">
        <v>505</v>
      </c>
      <c r="B173" t="str">
        <f t="shared" si="20"/>
        <v>B22_03</v>
      </c>
      <c r="C173" s="323" t="str">
        <f t="shared" si="19"/>
        <v>E5150</v>
      </c>
      <c r="D173" t="str">
        <f t="shared" si="21"/>
        <v>NO_DATAVIEWS</v>
      </c>
      <c r="E173" s="62" t="str">
        <f t="shared" si="21"/>
        <v>NO_DEPARTMENTS</v>
      </c>
      <c r="F173" t="s">
        <v>506</v>
      </c>
      <c r="G173" t="s">
        <v>507</v>
      </c>
      <c r="H173" t="s">
        <v>508</v>
      </c>
      <c r="I173" t="s">
        <v>509</v>
      </c>
      <c r="J173" t="s">
        <v>589</v>
      </c>
      <c r="K173" s="497">
        <f>ROUND(HLOOKUP($B173,'2-Préparation saisie LV PROD'!$F$1:$Q$86,'2-Préparation saisie LV PROD'!A14,FALSE),0)</f>
        <v>1207969</v>
      </c>
      <c r="L173" t="str">
        <f>VLOOKUP(C173,Capacité!C:L,10,FALSE)</f>
        <v>Cham Longe II</v>
      </c>
    </row>
    <row r="174" spans="1:12">
      <c r="A174" t="s">
        <v>505</v>
      </c>
      <c r="B174" t="str">
        <f t="shared" si="20"/>
        <v>B22_03</v>
      </c>
      <c r="C174" s="323" t="str">
        <f t="shared" si="19"/>
        <v>E5130</v>
      </c>
      <c r="D174" t="str">
        <f t="shared" si="21"/>
        <v>NO_DATAVIEWS</v>
      </c>
      <c r="E174" s="62" t="str">
        <f t="shared" si="21"/>
        <v>NO_DEPARTMENTS</v>
      </c>
      <c r="F174" t="s">
        <v>506</v>
      </c>
      <c r="G174" t="s">
        <v>507</v>
      </c>
      <c r="H174" t="s">
        <v>508</v>
      </c>
      <c r="I174" t="s">
        <v>509</v>
      </c>
      <c r="J174" t="s">
        <v>589</v>
      </c>
      <c r="K174" s="497">
        <f>ROUND(HLOOKUP($B174,'2-Préparation saisie LV PROD'!$F$1:$Q$86,'2-Préparation saisie LV PROD'!A15,FALSE),0)</f>
        <v>1727517</v>
      </c>
      <c r="L174" t="str">
        <f>VLOOKUP(C174,Capacité!C:L,10,FALSE)</f>
        <v>Plouguin</v>
      </c>
    </row>
    <row r="175" spans="1:12">
      <c r="A175" t="s">
        <v>505</v>
      </c>
      <c r="B175" t="str">
        <f t="shared" si="20"/>
        <v>B22_03</v>
      </c>
      <c r="C175" s="323" t="str">
        <f t="shared" si="19"/>
        <v>E5140</v>
      </c>
      <c r="D175" t="str">
        <f t="shared" si="21"/>
        <v>NO_DATAVIEWS</v>
      </c>
      <c r="E175" s="62" t="str">
        <f t="shared" si="21"/>
        <v>NO_DEPARTMENTS</v>
      </c>
      <c r="F175" t="s">
        <v>506</v>
      </c>
      <c r="G175" t="s">
        <v>507</v>
      </c>
      <c r="H175" t="s">
        <v>508</v>
      </c>
      <c r="I175" t="s">
        <v>509</v>
      </c>
      <c r="J175" t="s">
        <v>589</v>
      </c>
      <c r="K175" s="497">
        <f>ROUND(HLOOKUP($B175,'2-Préparation saisie LV PROD'!$F$1:$Q$86,'2-Préparation saisie LV PROD'!A16,FALSE),0)</f>
        <v>2824499</v>
      </c>
      <c r="L175" t="str">
        <f>VLOOKUP(C175,Capacité!C:L,10,FALSE)</f>
        <v>La Citadelle</v>
      </c>
    </row>
    <row r="176" spans="1:12">
      <c r="A176" t="s">
        <v>505</v>
      </c>
      <c r="B176" t="str">
        <f t="shared" si="20"/>
        <v>B22_03</v>
      </c>
      <c r="C176" s="323" t="str">
        <f t="shared" si="19"/>
        <v>E5160</v>
      </c>
      <c r="D176" t="str">
        <f t="shared" si="21"/>
        <v>NO_DATAVIEWS</v>
      </c>
      <c r="E176" s="62" t="str">
        <f t="shared" si="21"/>
        <v>NO_DEPARTMENTS</v>
      </c>
      <c r="F176" t="s">
        <v>506</v>
      </c>
      <c r="G176" t="s">
        <v>507</v>
      </c>
      <c r="H176" t="s">
        <v>508</v>
      </c>
      <c r="I176" t="s">
        <v>509</v>
      </c>
      <c r="J176" t="s">
        <v>589</v>
      </c>
      <c r="K176" s="497">
        <f>ROUND(HLOOKUP($B176,'2-Préparation saisie LV PROD'!$F$1:$Q$86,'2-Préparation saisie LV PROD'!A17,FALSE),0)</f>
        <v>1850605</v>
      </c>
      <c r="L176" t="str">
        <f>VLOOKUP(C176,Capacité!C:L,10,FALSE)</f>
        <v>Chasse Marée</v>
      </c>
    </row>
    <row r="177" spans="1:12">
      <c r="A177" t="s">
        <v>505</v>
      </c>
      <c r="B177" t="str">
        <f t="shared" si="20"/>
        <v>B22_03</v>
      </c>
      <c r="C177" s="323" t="str">
        <f t="shared" si="19"/>
        <v>E5170</v>
      </c>
      <c r="D177" t="str">
        <f t="shared" si="21"/>
        <v>NO_DATAVIEWS</v>
      </c>
      <c r="E177" s="62" t="str">
        <f t="shared" si="21"/>
        <v>NO_DEPARTMENTS</v>
      </c>
      <c r="F177" t="s">
        <v>506</v>
      </c>
      <c r="G177" t="s">
        <v>507</v>
      </c>
      <c r="H177" t="s">
        <v>508</v>
      </c>
      <c r="I177" t="s">
        <v>509</v>
      </c>
      <c r="J177" t="s">
        <v>589</v>
      </c>
      <c r="K177" s="497">
        <f>ROUND(HLOOKUP($B177,'2-Préparation saisie LV PROD'!$F$1:$Q$86,'2-Préparation saisie LV PROD'!A18,FALSE),0)</f>
        <v>6014720</v>
      </c>
      <c r="L177" t="str">
        <f>VLOOKUP(C177,Capacité!C:L,10,FALSE)</f>
        <v>Ronchois</v>
      </c>
    </row>
    <row r="178" spans="1:12">
      <c r="A178" t="s">
        <v>505</v>
      </c>
      <c r="B178" t="str">
        <f t="shared" si="20"/>
        <v>B22_03</v>
      </c>
      <c r="C178" s="323" t="str">
        <f t="shared" si="19"/>
        <v>E5180</v>
      </c>
      <c r="D178" t="str">
        <f t="shared" si="21"/>
        <v>NO_DATAVIEWS</v>
      </c>
      <c r="E178" s="62" t="str">
        <f t="shared" si="21"/>
        <v>NO_DEPARTMENTS</v>
      </c>
      <c r="F178" t="s">
        <v>506</v>
      </c>
      <c r="G178" t="s">
        <v>507</v>
      </c>
      <c r="H178" t="s">
        <v>508</v>
      </c>
      <c r="I178" t="s">
        <v>509</v>
      </c>
      <c r="J178" t="s">
        <v>589</v>
      </c>
      <c r="K178" s="497">
        <f>ROUND(HLOOKUP($B178,'2-Préparation saisie LV PROD'!$F$1:$Q$86,'2-Préparation saisie LV PROD'!A19,FALSE),0)</f>
        <v>2330783</v>
      </c>
      <c r="L178" t="str">
        <f>VLOOKUP(C178,Capacité!C:L,10,FALSE)</f>
        <v>Le Grand Camp</v>
      </c>
    </row>
    <row r="179" spans="1:12">
      <c r="A179" t="s">
        <v>505</v>
      </c>
      <c r="B179" t="str">
        <f t="shared" si="20"/>
        <v>B22_03</v>
      </c>
      <c r="C179" s="323" t="str">
        <f t="shared" si="19"/>
        <v>E5210</v>
      </c>
      <c r="D179" t="str">
        <f t="shared" si="21"/>
        <v>NO_DATAVIEWS</v>
      </c>
      <c r="E179" s="62" t="str">
        <f t="shared" si="21"/>
        <v>NO_DEPARTMENTS</v>
      </c>
      <c r="F179" t="s">
        <v>506</v>
      </c>
      <c r="G179" t="s">
        <v>507</v>
      </c>
      <c r="H179" t="s">
        <v>508</v>
      </c>
      <c r="I179" t="s">
        <v>509</v>
      </c>
      <c r="J179" t="s">
        <v>589</v>
      </c>
      <c r="K179" s="497">
        <f>ROUND(HLOOKUP($B179,'2-Préparation saisie LV PROD'!$F$1:$Q$86,'2-Préparation saisie LV PROD'!A20,FALSE),0)</f>
        <v>1085117</v>
      </c>
      <c r="L179" t="str">
        <f>VLOOKUP(C179,Capacité!C:L,10,FALSE)</f>
        <v>Avignonet II</v>
      </c>
    </row>
    <row r="180" spans="1:12">
      <c r="A180" t="s">
        <v>505</v>
      </c>
      <c r="B180" t="str">
        <f t="shared" si="20"/>
        <v>B22_03</v>
      </c>
      <c r="C180" s="323" t="str">
        <f t="shared" si="19"/>
        <v>E5270</v>
      </c>
      <c r="D180" t="str">
        <f t="shared" si="21"/>
        <v>NO_DATAVIEWS</v>
      </c>
      <c r="E180" s="62" t="str">
        <f t="shared" si="21"/>
        <v>NO_DEPARTMENTS</v>
      </c>
      <c r="F180" t="s">
        <v>506</v>
      </c>
      <c r="G180" t="s">
        <v>507</v>
      </c>
      <c r="H180" t="s">
        <v>508</v>
      </c>
      <c r="I180" t="s">
        <v>509</v>
      </c>
      <c r="J180" t="s">
        <v>589</v>
      </c>
      <c r="K180" s="497">
        <f>ROUND(HLOOKUP($B180,'2-Préparation saisie LV PROD'!$F$1:$Q$86,'2-Préparation saisie LV PROD'!A21,FALSE),0)</f>
        <v>5476381</v>
      </c>
      <c r="L180" t="str">
        <f>VLOOKUP(C180,Capacité!C:L,10,FALSE)</f>
        <v>Ménétréols Renardiére (La vallée 2)</v>
      </c>
    </row>
    <row r="181" spans="1:12">
      <c r="A181" t="s">
        <v>505</v>
      </c>
      <c r="B181" t="str">
        <f t="shared" si="20"/>
        <v>B22_03</v>
      </c>
      <c r="C181" s="323" t="str">
        <f t="shared" si="19"/>
        <v>E5280</v>
      </c>
      <c r="D181" t="str">
        <f t="shared" si="21"/>
        <v>NO_DATAVIEWS</v>
      </c>
      <c r="E181" s="62" t="str">
        <f t="shared" si="21"/>
        <v>NO_DEPARTMENTS</v>
      </c>
      <c r="F181" t="s">
        <v>506</v>
      </c>
      <c r="G181" t="s">
        <v>507</v>
      </c>
      <c r="H181" t="s">
        <v>508</v>
      </c>
      <c r="I181" t="s">
        <v>509</v>
      </c>
      <c r="J181" t="s">
        <v>589</v>
      </c>
      <c r="K181" s="497">
        <f>ROUND(HLOOKUP($B181,'2-Préparation saisie LV PROD'!$F$1:$Q$86,'2-Préparation saisie LV PROD'!A22,FALSE),0)</f>
        <v>903401</v>
      </c>
      <c r="L181" t="str">
        <f>VLOOKUP(C181,Capacité!C:L,10,FALSE)</f>
        <v>St Georges (La Vallée 1)</v>
      </c>
    </row>
    <row r="182" spans="1:12">
      <c r="A182" t="s">
        <v>505</v>
      </c>
      <c r="B182" t="str">
        <f t="shared" si="20"/>
        <v>B22_03</v>
      </c>
      <c r="C182" s="323" t="str">
        <f t="shared" si="19"/>
        <v>E5300</v>
      </c>
      <c r="D182" t="str">
        <f t="shared" ref="D182:E197" si="22">D181</f>
        <v>NO_DATAVIEWS</v>
      </c>
      <c r="E182" s="62" t="str">
        <f t="shared" si="22"/>
        <v>NO_DEPARTMENTS</v>
      </c>
      <c r="F182" t="s">
        <v>506</v>
      </c>
      <c r="G182" t="s">
        <v>507</v>
      </c>
      <c r="H182" t="s">
        <v>508</v>
      </c>
      <c r="I182" t="s">
        <v>509</v>
      </c>
      <c r="J182" t="s">
        <v>589</v>
      </c>
      <c r="K182" s="497">
        <f>ROUND(HLOOKUP($B182,'2-Préparation saisie LV PROD'!$F$1:$Q$86,'2-Préparation saisie LV PROD'!A23,FALSE),0)</f>
        <v>1857850</v>
      </c>
      <c r="L182" t="str">
        <f>VLOOKUP(C182,Capacité!C:L,10,FALSE)</f>
        <v>Vron</v>
      </c>
    </row>
    <row r="183" spans="1:12">
      <c r="A183" t="s">
        <v>505</v>
      </c>
      <c r="B183" t="str">
        <f t="shared" si="20"/>
        <v>B22_03</v>
      </c>
      <c r="C183" s="323" t="str">
        <f t="shared" si="19"/>
        <v>E5310</v>
      </c>
      <c r="D183" t="str">
        <f t="shared" si="22"/>
        <v>NO_DATAVIEWS</v>
      </c>
      <c r="E183" s="62" t="str">
        <f t="shared" si="22"/>
        <v>NO_DEPARTMENTS</v>
      </c>
      <c r="F183" t="s">
        <v>506</v>
      </c>
      <c r="G183" t="s">
        <v>507</v>
      </c>
      <c r="H183" t="s">
        <v>508</v>
      </c>
      <c r="I183" t="s">
        <v>509</v>
      </c>
      <c r="J183" t="s">
        <v>589</v>
      </c>
      <c r="K183" s="497">
        <f>ROUND(HLOOKUP($B183,'2-Préparation saisie LV PROD'!$F$1:$Q$86,'2-Préparation saisie LV PROD'!A24,FALSE),0)</f>
        <v>5146529</v>
      </c>
      <c r="L183" t="str">
        <f>VLOOKUP(C183,Capacité!C:L,10,FALSE)</f>
        <v>Fortel</v>
      </c>
    </row>
    <row r="184" spans="1:12">
      <c r="A184" t="s">
        <v>505</v>
      </c>
      <c r="B184" t="str">
        <f t="shared" si="20"/>
        <v>B22_03</v>
      </c>
      <c r="C184" s="323" t="str">
        <f t="shared" si="19"/>
        <v>E5320</v>
      </c>
      <c r="D184" t="str">
        <f t="shared" si="22"/>
        <v>NO_DATAVIEWS</v>
      </c>
      <c r="E184" s="62" t="str">
        <f t="shared" si="22"/>
        <v>NO_DEPARTMENTS</v>
      </c>
      <c r="F184" t="s">
        <v>506</v>
      </c>
      <c r="G184" t="s">
        <v>507</v>
      </c>
      <c r="H184" t="s">
        <v>508</v>
      </c>
      <c r="I184" t="s">
        <v>509</v>
      </c>
      <c r="J184" t="s">
        <v>589</v>
      </c>
      <c r="K184" s="497">
        <f>ROUND(HLOOKUP($B184,'2-Préparation saisie LV PROD'!$F$1:$Q$86,'2-Préparation saisie LV PROD'!A25,FALSE),0)</f>
        <v>4959368</v>
      </c>
      <c r="L184" t="str">
        <f>VLOOKUP(C184,Capacité!C:L,10,FALSE)</f>
        <v>St François Roye</v>
      </c>
    </row>
    <row r="185" spans="1:12">
      <c r="A185" t="s">
        <v>505</v>
      </c>
      <c r="B185" t="str">
        <f t="shared" si="20"/>
        <v>B22_03</v>
      </c>
      <c r="C185" s="323" t="str">
        <f t="shared" si="19"/>
        <v>E5290</v>
      </c>
      <c r="D185" t="str">
        <f t="shared" si="22"/>
        <v>NO_DATAVIEWS</v>
      </c>
      <c r="E185" s="62" t="str">
        <f t="shared" si="22"/>
        <v>NO_DEPARTMENTS</v>
      </c>
      <c r="F185" t="s">
        <v>506</v>
      </c>
      <c r="G185" t="s">
        <v>507</v>
      </c>
      <c r="H185" t="s">
        <v>508</v>
      </c>
      <c r="I185" t="s">
        <v>509</v>
      </c>
      <c r="J185" t="s">
        <v>589</v>
      </c>
      <c r="K185" s="497">
        <f>ROUND(HLOOKUP($B185,'2-Préparation saisie LV PROD'!$F$1:$Q$86,'2-Préparation saisie LV PROD'!A26,FALSE),0)</f>
        <v>8823193</v>
      </c>
      <c r="L185" t="str">
        <f>VLOOKUP(C185,Capacité!C:L,10,FALSE)</f>
        <v>St Patrick</v>
      </c>
    </row>
    <row r="186" spans="1:12">
      <c r="A186" t="s">
        <v>505</v>
      </c>
      <c r="B186" t="str">
        <f t="shared" si="20"/>
        <v>B22_03</v>
      </c>
      <c r="C186" s="323" t="str">
        <f t="shared" si="19"/>
        <v>E5360</v>
      </c>
      <c r="D186" t="str">
        <f t="shared" si="22"/>
        <v>NO_DATAVIEWS</v>
      </c>
      <c r="E186" s="62" t="str">
        <f t="shared" si="22"/>
        <v>NO_DEPARTMENTS</v>
      </c>
      <c r="F186" t="s">
        <v>506</v>
      </c>
      <c r="G186" t="s">
        <v>507</v>
      </c>
      <c r="H186" t="s">
        <v>508</v>
      </c>
      <c r="I186" t="s">
        <v>509</v>
      </c>
      <c r="J186" t="s">
        <v>589</v>
      </c>
      <c r="K186" s="497">
        <f>ROUND(HLOOKUP($B186,'2-Préparation saisie LV PROD'!$F$1:$Q$86,'2-Préparation saisie LV PROD'!A27,FALSE),0)</f>
        <v>3497951</v>
      </c>
      <c r="L186" t="str">
        <f>VLOOKUP(C186,Capacité!C:L,10,FALSE)</f>
        <v>Calmont (Laur Eole Energie )</v>
      </c>
    </row>
    <row r="187" spans="1:12">
      <c r="A187" t="s">
        <v>505</v>
      </c>
      <c r="B187" t="str">
        <f t="shared" si="20"/>
        <v>B22_03</v>
      </c>
      <c r="C187" s="323" t="str">
        <f t="shared" si="19"/>
        <v>E5391</v>
      </c>
      <c r="D187" t="str">
        <f t="shared" si="22"/>
        <v>NO_DATAVIEWS</v>
      </c>
      <c r="E187" s="62" t="str">
        <f t="shared" si="22"/>
        <v>NO_DEPARTMENTS</v>
      </c>
      <c r="F187" t="s">
        <v>506</v>
      </c>
      <c r="G187" t="s">
        <v>507</v>
      </c>
      <c r="H187" t="s">
        <v>508</v>
      </c>
      <c r="I187" t="s">
        <v>509</v>
      </c>
      <c r="J187" t="s">
        <v>589</v>
      </c>
      <c r="K187" s="497">
        <f>ROUND(HLOOKUP($B187,'2-Préparation saisie LV PROD'!$F$1:$Q$86,'2-Préparation saisie LV PROD'!A28,FALSE),0)</f>
        <v>903491</v>
      </c>
      <c r="L187" t="str">
        <f>VLOOKUP(C187,Capacité!C:L,10,FALSE)</f>
        <v>Coat Conval</v>
      </c>
    </row>
    <row r="188" spans="1:12">
      <c r="A188" t="s">
        <v>505</v>
      </c>
      <c r="B188" t="str">
        <f t="shared" si="20"/>
        <v>B22_03</v>
      </c>
      <c r="C188" s="323" t="str">
        <f t="shared" si="19"/>
        <v>E5392</v>
      </c>
      <c r="D188" t="str">
        <f t="shared" si="22"/>
        <v>NO_DATAVIEWS</v>
      </c>
      <c r="E188" s="62" t="str">
        <f t="shared" si="22"/>
        <v>NO_DEPARTMENTS</v>
      </c>
      <c r="F188" t="s">
        <v>506</v>
      </c>
      <c r="G188" t="s">
        <v>507</v>
      </c>
      <c r="H188" t="s">
        <v>508</v>
      </c>
      <c r="I188" t="s">
        <v>509</v>
      </c>
      <c r="J188" t="s">
        <v>589</v>
      </c>
      <c r="K188" s="497">
        <f>ROUND(HLOOKUP($B188,'2-Préparation saisie LV PROD'!$F$1:$Q$86,'2-Préparation saisie LV PROD'!A29,FALSE),0)</f>
        <v>1378550</v>
      </c>
      <c r="L188" t="str">
        <f>VLOOKUP(C188,Capacité!C:L,10,FALSE)</f>
        <v>Leign ar Gasprenn</v>
      </c>
    </row>
    <row r="189" spans="1:12">
      <c r="A189" t="s">
        <v>505</v>
      </c>
      <c r="B189" t="str">
        <f t="shared" si="20"/>
        <v>B22_03</v>
      </c>
      <c r="C189" s="323" t="str">
        <f t="shared" si="19"/>
        <v>E5393</v>
      </c>
      <c r="D189" t="str">
        <f t="shared" si="22"/>
        <v>NO_DATAVIEWS</v>
      </c>
      <c r="E189" s="62" t="str">
        <f t="shared" si="22"/>
        <v>NO_DEPARTMENTS</v>
      </c>
      <c r="F189" t="s">
        <v>506</v>
      </c>
      <c r="G189" t="s">
        <v>507</v>
      </c>
      <c r="H189" t="s">
        <v>508</v>
      </c>
      <c r="I189" t="s">
        <v>509</v>
      </c>
      <c r="J189" t="s">
        <v>589</v>
      </c>
      <c r="K189" s="497">
        <f>ROUND(HLOOKUP($B189,'2-Préparation saisie LV PROD'!$F$1:$Q$86,'2-Préparation saisie LV PROD'!A30,FALSE),0)</f>
        <v>7057633</v>
      </c>
      <c r="L189" t="str">
        <f>VLOOKUP(C189,Capacité!C:L,10,FALSE)</f>
        <v>Vallée d'Arce</v>
      </c>
    </row>
    <row r="190" spans="1:12">
      <c r="A190" t="s">
        <v>505</v>
      </c>
      <c r="B190" t="str">
        <f t="shared" si="20"/>
        <v>B22_03</v>
      </c>
      <c r="C190" s="323" t="str">
        <f t="shared" si="19"/>
        <v>E5394</v>
      </c>
      <c r="D190" t="str">
        <f t="shared" si="22"/>
        <v>NO_DATAVIEWS</v>
      </c>
      <c r="E190" s="62" t="str">
        <f t="shared" si="22"/>
        <v>NO_DEPARTMENTS</v>
      </c>
      <c r="F190" t="s">
        <v>506</v>
      </c>
      <c r="G190" t="s">
        <v>507</v>
      </c>
      <c r="H190" t="s">
        <v>508</v>
      </c>
      <c r="I190" t="s">
        <v>509</v>
      </c>
      <c r="J190" t="s">
        <v>589</v>
      </c>
      <c r="K190" s="497">
        <f>ROUND(HLOOKUP($B190,'2-Préparation saisie LV PROD'!$F$1:$Q$86,'2-Préparation saisie LV PROD'!A31,FALSE),0)</f>
        <v>1699041</v>
      </c>
      <c r="L190" t="str">
        <f>VLOOKUP(C190,Capacité!C:L,10,FALSE)</f>
        <v>La Bouleste</v>
      </c>
    </row>
    <row r="191" spans="1:12">
      <c r="A191" t="s">
        <v>505</v>
      </c>
      <c r="B191" t="str">
        <f t="shared" si="20"/>
        <v>B22_03</v>
      </c>
      <c r="C191" s="323" t="str">
        <f t="shared" si="19"/>
        <v>E5395</v>
      </c>
      <c r="D191" t="str">
        <f t="shared" si="22"/>
        <v>NO_DATAVIEWS</v>
      </c>
      <c r="E191" s="62" t="str">
        <f t="shared" si="22"/>
        <v>NO_DEPARTMENTS</v>
      </c>
      <c r="F191" t="s">
        <v>506</v>
      </c>
      <c r="G191" t="s">
        <v>507</v>
      </c>
      <c r="H191" t="s">
        <v>508</v>
      </c>
      <c r="I191" t="s">
        <v>509</v>
      </c>
      <c r="J191" t="s">
        <v>589</v>
      </c>
      <c r="K191" s="497">
        <f>ROUND(HLOOKUP($B191,'2-Préparation saisie LV PROD'!$F$1:$Q$86,'2-Préparation saisie LV PROD'!A32,FALSE),0)</f>
        <v>4779059</v>
      </c>
      <c r="L191" t="str">
        <f>VLOOKUP(C191,Capacité!C:L,10,FALSE)</f>
        <v>Haut de Conge</v>
      </c>
    </row>
    <row r="192" spans="1:12">
      <c r="A192" t="s">
        <v>505</v>
      </c>
      <c r="B192" t="str">
        <f t="shared" si="20"/>
        <v>B22_03</v>
      </c>
      <c r="C192" s="323" t="str">
        <f t="shared" si="19"/>
        <v>E5396</v>
      </c>
      <c r="D192" t="str">
        <f t="shared" si="22"/>
        <v>NO_DATAVIEWS</v>
      </c>
      <c r="E192" s="62" t="str">
        <f t="shared" si="22"/>
        <v>NO_DEPARTMENTS</v>
      </c>
      <c r="F192" t="s">
        <v>506</v>
      </c>
      <c r="G192" t="s">
        <v>507</v>
      </c>
      <c r="H192" t="s">
        <v>508</v>
      </c>
      <c r="I192" t="s">
        <v>509</v>
      </c>
      <c r="J192" t="s">
        <v>589</v>
      </c>
      <c r="K192" s="497">
        <f>ROUND(HLOOKUP($B192,'2-Préparation saisie LV PROD'!$F$1:$Q$86,'2-Préparation saisie LV PROD'!A33,FALSE),0)</f>
        <v>1981875</v>
      </c>
      <c r="L192" t="str">
        <f>VLOOKUP(C192,Capacité!C:L,10,FALSE)</f>
        <v>Les Eparmonts</v>
      </c>
    </row>
    <row r="193" spans="1:12">
      <c r="A193" t="s">
        <v>505</v>
      </c>
      <c r="B193" t="str">
        <f t="shared" si="20"/>
        <v>B22_03</v>
      </c>
      <c r="C193" s="323" t="str">
        <f t="shared" si="19"/>
        <v>E5397</v>
      </c>
      <c r="D193" t="str">
        <f t="shared" si="22"/>
        <v>NO_DATAVIEWS</v>
      </c>
      <c r="E193" s="62" t="str">
        <f t="shared" si="22"/>
        <v>NO_DEPARTMENTS</v>
      </c>
      <c r="F193" t="s">
        <v>506</v>
      </c>
      <c r="G193" t="s">
        <v>507</v>
      </c>
      <c r="H193" t="s">
        <v>508</v>
      </c>
      <c r="I193" t="s">
        <v>509</v>
      </c>
      <c r="J193" t="s">
        <v>589</v>
      </c>
      <c r="K193" s="497">
        <f>ROUND(HLOOKUP($B193,'2-Préparation saisie LV PROD'!$F$1:$Q$86,'2-Préparation saisie LV PROD'!A34,FALSE),0)</f>
        <v>2222969</v>
      </c>
      <c r="L193" t="str">
        <f>VLOOKUP(C193,Capacité!C:L,10,FALSE)</f>
        <v>Charmoy</v>
      </c>
    </row>
    <row r="194" spans="1:12">
      <c r="A194" t="s">
        <v>505</v>
      </c>
      <c r="B194" t="str">
        <f t="shared" si="20"/>
        <v>B22_03</v>
      </c>
      <c r="C194" s="323" t="str">
        <f t="shared" si="19"/>
        <v>E5398</v>
      </c>
      <c r="D194" t="str">
        <f t="shared" si="22"/>
        <v>NO_DATAVIEWS</v>
      </c>
      <c r="E194" s="62" t="str">
        <f t="shared" si="22"/>
        <v>NO_DEPARTMENTS</v>
      </c>
      <c r="F194" t="s">
        <v>506</v>
      </c>
      <c r="G194" t="s">
        <v>507</v>
      </c>
      <c r="H194" t="s">
        <v>508</v>
      </c>
      <c r="I194" t="s">
        <v>509</v>
      </c>
      <c r="J194" t="s">
        <v>589</v>
      </c>
      <c r="K194" s="497">
        <f>ROUND(HLOOKUP($B194,'2-Préparation saisie LV PROD'!$F$1:$Q$86,'2-Préparation saisie LV PROD'!A35,FALSE),0)</f>
        <v>3826012</v>
      </c>
      <c r="L194" t="str">
        <f>VLOOKUP(C194,Capacité!C:L,10,FALSE)</f>
        <v>Pannecé</v>
      </c>
    </row>
    <row r="195" spans="1:12">
      <c r="A195" t="s">
        <v>505</v>
      </c>
      <c r="B195" t="str">
        <f t="shared" si="20"/>
        <v>B22_03</v>
      </c>
      <c r="C195" s="323" t="str">
        <f t="shared" si="19"/>
        <v>E5399</v>
      </c>
      <c r="D195" t="str">
        <f t="shared" si="22"/>
        <v>NO_DATAVIEWS</v>
      </c>
      <c r="E195" s="62" t="str">
        <f t="shared" si="22"/>
        <v>NO_DEPARTMENTS</v>
      </c>
      <c r="F195" t="s">
        <v>506</v>
      </c>
      <c r="G195" t="s">
        <v>507</v>
      </c>
      <c r="H195" t="s">
        <v>508</v>
      </c>
      <c r="I195" t="s">
        <v>509</v>
      </c>
      <c r="J195" t="s">
        <v>589</v>
      </c>
      <c r="K195" s="497">
        <f>ROUND(HLOOKUP($B195,'2-Préparation saisie LV PROD'!$F$1:$Q$86,'2-Préparation saisie LV PROD'!A36,FALSE),0)</f>
        <v>7576714</v>
      </c>
      <c r="L195" t="str">
        <f>VLOOKUP(C195,Capacité!C:L,10,FALSE)</f>
        <v>Coulonges</v>
      </c>
    </row>
    <row r="196" spans="1:12">
      <c r="A196" t="s">
        <v>505</v>
      </c>
      <c r="B196" t="str">
        <f t="shared" si="20"/>
        <v>B22_03</v>
      </c>
      <c r="C196" s="323" t="str">
        <f t="shared" ref="C196:C227" si="23">C115</f>
        <v>E5400</v>
      </c>
      <c r="D196" t="str">
        <f t="shared" si="22"/>
        <v>NO_DATAVIEWS</v>
      </c>
      <c r="E196" s="62" t="str">
        <f t="shared" si="22"/>
        <v>NO_DEPARTMENTS</v>
      </c>
      <c r="F196" t="s">
        <v>506</v>
      </c>
      <c r="G196" t="s">
        <v>507</v>
      </c>
      <c r="H196" t="s">
        <v>508</v>
      </c>
      <c r="I196" t="s">
        <v>509</v>
      </c>
      <c r="J196" t="s">
        <v>589</v>
      </c>
      <c r="K196" s="497">
        <f>ROUND(HLOOKUP($B196,'2-Préparation saisie LV PROD'!$F$1:$Q$86,'2-Préparation saisie LV PROD'!A37,FALSE),0)</f>
        <v>4267493</v>
      </c>
      <c r="L196" t="str">
        <f>VLOOKUP(C196,Capacité!C:L,10,FALSE)</f>
        <v>SdlL</v>
      </c>
    </row>
    <row r="197" spans="1:12">
      <c r="A197" t="s">
        <v>505</v>
      </c>
      <c r="B197" t="str">
        <f t="shared" si="20"/>
        <v>B22_03</v>
      </c>
      <c r="C197" s="323" t="str">
        <f t="shared" si="23"/>
        <v>E5401</v>
      </c>
      <c r="D197" t="str">
        <f t="shared" si="22"/>
        <v>NO_DATAVIEWS</v>
      </c>
      <c r="E197" s="62" t="str">
        <f t="shared" si="22"/>
        <v>NO_DEPARTMENTS</v>
      </c>
      <c r="F197" t="s">
        <v>506</v>
      </c>
      <c r="G197" t="s">
        <v>507</v>
      </c>
      <c r="H197" t="s">
        <v>508</v>
      </c>
      <c r="I197" t="s">
        <v>509</v>
      </c>
      <c r="J197" t="s">
        <v>589</v>
      </c>
      <c r="K197" s="497">
        <f>ROUND(HLOOKUP($B197,'2-Préparation saisie LV PROD'!$F$1:$Q$86,'2-Préparation saisie LV PROD'!A38,FALSE),0)</f>
        <v>1783954</v>
      </c>
      <c r="L197" t="str">
        <f>VLOOKUP(C197,Capacité!C:L,10,FALSE)</f>
        <v>Pays d'Othe</v>
      </c>
    </row>
    <row r="198" spans="1:12">
      <c r="A198" t="s">
        <v>505</v>
      </c>
      <c r="B198" t="str">
        <f t="shared" si="20"/>
        <v>B22_03</v>
      </c>
      <c r="C198" s="323" t="str">
        <f t="shared" si="23"/>
        <v>E5402</v>
      </c>
      <c r="D198" t="str">
        <f t="shared" ref="D198:E213" si="24">D197</f>
        <v>NO_DATAVIEWS</v>
      </c>
      <c r="E198" s="62" t="str">
        <f t="shared" si="24"/>
        <v>NO_DEPARTMENTS</v>
      </c>
      <c r="F198" t="s">
        <v>506</v>
      </c>
      <c r="G198" t="s">
        <v>507</v>
      </c>
      <c r="H198" t="s">
        <v>508</v>
      </c>
      <c r="I198" t="s">
        <v>509</v>
      </c>
      <c r="J198" t="s">
        <v>589</v>
      </c>
      <c r="K198" s="497">
        <f>ROUND(HLOOKUP($B198,'2-Préparation saisie LV PROD'!$F$1:$Q$86,'2-Préparation saisie LV PROD'!A39,FALSE),0)</f>
        <v>2346146</v>
      </c>
      <c r="L198" t="str">
        <f>VLOOKUP(C198,Capacité!C:L,10,FALSE)</f>
        <v>Comes de l'Arce</v>
      </c>
    </row>
    <row r="199" spans="1:12">
      <c r="A199" t="s">
        <v>505</v>
      </c>
      <c r="B199" t="str">
        <f t="shared" si="20"/>
        <v>B22_03</v>
      </c>
      <c r="C199" s="323" t="str">
        <f t="shared" si="23"/>
        <v>E5570</v>
      </c>
      <c r="D199" t="str">
        <f t="shared" si="24"/>
        <v>NO_DATAVIEWS</v>
      </c>
      <c r="E199" s="62" t="str">
        <f t="shared" si="24"/>
        <v>NO_DEPARTMENTS</v>
      </c>
      <c r="F199" t="s">
        <v>506</v>
      </c>
      <c r="G199" t="s">
        <v>507</v>
      </c>
      <c r="H199" t="s">
        <v>508</v>
      </c>
      <c r="I199" t="s">
        <v>509</v>
      </c>
      <c r="J199" t="s">
        <v>589</v>
      </c>
      <c r="K199" s="497">
        <f>ROUND(HLOOKUP($B199,'2-Préparation saisie LV PROD'!$F$1:$Q$86,'2-Préparation saisie LV PROD'!A40,FALSE),0)</f>
        <v>3253711</v>
      </c>
      <c r="L199" t="str">
        <f>VLOOKUP(C199,Capacité!C:L,10,FALSE)</f>
        <v>Plateau de Savernat</v>
      </c>
    </row>
    <row r="200" spans="1:12">
      <c r="A200" t="s">
        <v>505</v>
      </c>
      <c r="B200" t="str">
        <f t="shared" si="20"/>
        <v>B22_03</v>
      </c>
      <c r="C200" s="323" t="str">
        <f t="shared" si="23"/>
        <v>E5560</v>
      </c>
      <c r="D200" t="str">
        <f t="shared" si="24"/>
        <v>NO_DATAVIEWS</v>
      </c>
      <c r="E200" s="62" t="str">
        <f t="shared" si="24"/>
        <v>NO_DEPARTMENTS</v>
      </c>
      <c r="F200" t="s">
        <v>506</v>
      </c>
      <c r="G200" t="s">
        <v>507</v>
      </c>
      <c r="H200" t="s">
        <v>508</v>
      </c>
      <c r="I200" t="s">
        <v>509</v>
      </c>
      <c r="J200" t="s">
        <v>589</v>
      </c>
      <c r="K200" s="497">
        <f>ROUND(HLOOKUP($B200,'2-Préparation saisie LV PROD'!$F$1:$Q$86,'2-Préparation saisie LV PROD'!A41,FALSE),0)</f>
        <v>2828123</v>
      </c>
      <c r="L200" t="str">
        <f>VLOOKUP(C200,Capacité!C:L,10,FALSE)</f>
        <v>Touvent</v>
      </c>
    </row>
    <row r="201" spans="1:12">
      <c r="A201" t="s">
        <v>505</v>
      </c>
      <c r="B201" t="str">
        <f t="shared" si="20"/>
        <v>B22_03</v>
      </c>
      <c r="C201" s="323" t="str">
        <f t="shared" si="23"/>
        <v>E5700</v>
      </c>
      <c r="D201" t="str">
        <f t="shared" si="24"/>
        <v>NO_DATAVIEWS</v>
      </c>
      <c r="E201" s="62" t="str">
        <f t="shared" si="24"/>
        <v>NO_DEPARTMENTS</v>
      </c>
      <c r="F201" t="s">
        <v>506</v>
      </c>
      <c r="G201" t="s">
        <v>507</v>
      </c>
      <c r="H201" t="s">
        <v>508</v>
      </c>
      <c r="I201" t="s">
        <v>509</v>
      </c>
      <c r="J201" t="s">
        <v>589</v>
      </c>
      <c r="K201" s="497">
        <f>ROUND(HLOOKUP($B201,'2-Préparation saisie LV PROD'!$F$1:$Q$86,'2-Préparation saisie LV PROD'!A42,FALSE),0)</f>
        <v>4864098</v>
      </c>
      <c r="L201" t="str">
        <f>VLOOKUP(C201,Capacité!C:L,10,FALSE)</f>
        <v>Haut de Comble (HC)</v>
      </c>
    </row>
    <row r="202" spans="1:12">
      <c r="A202" t="s">
        <v>505</v>
      </c>
      <c r="B202" t="str">
        <f t="shared" si="20"/>
        <v>B22_03</v>
      </c>
      <c r="C202" s="323" t="str">
        <f t="shared" si="23"/>
        <v>E5600</v>
      </c>
      <c r="D202" t="str">
        <f t="shared" si="24"/>
        <v>NO_DATAVIEWS</v>
      </c>
      <c r="E202" s="62" t="str">
        <f t="shared" si="24"/>
        <v>NO_DEPARTMENTS</v>
      </c>
      <c r="F202" t="s">
        <v>506</v>
      </c>
      <c r="G202" t="s">
        <v>507</v>
      </c>
      <c r="H202" t="s">
        <v>508</v>
      </c>
      <c r="I202" t="s">
        <v>509</v>
      </c>
      <c r="J202" t="s">
        <v>589</v>
      </c>
      <c r="K202" s="497">
        <f>ROUND(HLOOKUP($B202,'2-Préparation saisie LV PROD'!$F$1:$Q$86,'2-Préparation saisie LV PROD'!A43,FALSE),0)</f>
        <v>6928298</v>
      </c>
      <c r="L202" t="str">
        <f>VLOOKUP(C202,Capacité!C:L,10,FALSE)</f>
        <v>Inter deux bos (MET)</v>
      </c>
    </row>
    <row r="203" spans="1:12">
      <c r="A203" t="s">
        <v>505</v>
      </c>
      <c r="B203" t="str">
        <f t="shared" si="20"/>
        <v>B22_03</v>
      </c>
      <c r="C203" s="323" t="str">
        <f t="shared" si="23"/>
        <v>E5770</v>
      </c>
      <c r="D203" t="str">
        <f t="shared" si="24"/>
        <v>NO_DATAVIEWS</v>
      </c>
      <c r="E203" s="62" t="str">
        <f t="shared" si="24"/>
        <v>NO_DEPARTMENTS</v>
      </c>
      <c r="F203" t="s">
        <v>506</v>
      </c>
      <c r="G203" t="s">
        <v>507</v>
      </c>
      <c r="H203" t="s">
        <v>508</v>
      </c>
      <c r="I203" t="s">
        <v>509</v>
      </c>
      <c r="J203" t="s">
        <v>589</v>
      </c>
      <c r="K203" s="497">
        <f>ROUND(HLOOKUP($B203,'2-Préparation saisie LV PROD'!$F$1:$Q$86,'2-Préparation saisie LV PROD'!A44,FALSE),0)</f>
        <v>2611753</v>
      </c>
      <c r="L203" t="str">
        <f>VLOOKUP(C203,Capacité!C:L,10,FALSE)</f>
        <v>Le Pelon</v>
      </c>
    </row>
    <row r="204" spans="1:12">
      <c r="A204" t="s">
        <v>505</v>
      </c>
      <c r="B204" t="str">
        <f t="shared" si="20"/>
        <v>B22_03</v>
      </c>
      <c r="C204" s="323" t="str">
        <f t="shared" si="23"/>
        <v>E5630</v>
      </c>
      <c r="D204" t="str">
        <f t="shared" si="24"/>
        <v>NO_DATAVIEWS</v>
      </c>
      <c r="E204" s="62" t="str">
        <f t="shared" si="24"/>
        <v>NO_DEPARTMENTS</v>
      </c>
      <c r="F204" t="s">
        <v>506</v>
      </c>
      <c r="G204" t="s">
        <v>507</v>
      </c>
      <c r="H204" t="s">
        <v>508</v>
      </c>
      <c r="I204" t="s">
        <v>509</v>
      </c>
      <c r="J204" t="s">
        <v>589</v>
      </c>
      <c r="K204" s="497">
        <f>ROUND(HLOOKUP($B204,'2-Préparation saisie LV PROD'!$F$1:$Q$86,'2-Préparation saisie LV PROD'!A45,FALSE),0)</f>
        <v>6134961</v>
      </c>
      <c r="L204" t="str">
        <f>VLOOKUP(C204,Capacité!C:L,10,FALSE)</f>
        <v>Monts de Bagny</v>
      </c>
    </row>
    <row r="205" spans="1:12">
      <c r="A205" t="s">
        <v>505</v>
      </c>
      <c r="B205" t="str">
        <f t="shared" si="20"/>
        <v>B22_03</v>
      </c>
      <c r="C205" s="323" t="str">
        <f t="shared" si="23"/>
        <v>E5690</v>
      </c>
      <c r="D205" t="str">
        <f t="shared" si="24"/>
        <v>NO_DATAVIEWS</v>
      </c>
      <c r="E205" s="62" t="str">
        <f t="shared" si="24"/>
        <v>NO_DEPARTMENTS</v>
      </c>
      <c r="F205" t="s">
        <v>506</v>
      </c>
      <c r="G205" t="s">
        <v>507</v>
      </c>
      <c r="H205" t="s">
        <v>508</v>
      </c>
      <c r="I205" t="s">
        <v>509</v>
      </c>
      <c r="J205" t="s">
        <v>589</v>
      </c>
      <c r="K205" s="497">
        <f>ROUND(HLOOKUP($B205,'2-Préparation saisie LV PROD'!$F$1:$Q$86,'2-Préparation saisie LV PROD'!A46,FALSE),0)</f>
        <v>2700411</v>
      </c>
      <c r="L205" t="str">
        <f>VLOOKUP(C205,Capacité!C:L,10,FALSE)</f>
        <v>Voie des monts</v>
      </c>
    </row>
    <row r="206" spans="1:12">
      <c r="A206" t="s">
        <v>505</v>
      </c>
      <c r="B206" t="str">
        <f t="shared" si="20"/>
        <v>B22_03</v>
      </c>
      <c r="C206" s="323" t="str">
        <f t="shared" si="23"/>
        <v>E5640</v>
      </c>
      <c r="D206" t="str">
        <f t="shared" si="24"/>
        <v>NO_DATAVIEWS</v>
      </c>
      <c r="E206" s="62" t="str">
        <f t="shared" si="24"/>
        <v>NO_DEPARTMENTS</v>
      </c>
      <c r="F206" t="s">
        <v>506</v>
      </c>
      <c r="G206" t="s">
        <v>507</v>
      </c>
      <c r="H206" t="s">
        <v>508</v>
      </c>
      <c r="I206" t="s">
        <v>509</v>
      </c>
      <c r="J206" t="s">
        <v>589</v>
      </c>
      <c r="K206" s="497">
        <f>ROUND(HLOOKUP($B206,'2-Préparation saisie LV PROD'!$F$1:$Q$86,'2-Préparation saisie LV PROD'!A47,FALSE),0)</f>
        <v>5421629</v>
      </c>
      <c r="L206" t="str">
        <f>VLOOKUP(C206,Capacité!C:L,10,FALSE)</f>
        <v>Artois</v>
      </c>
    </row>
    <row r="207" spans="1:12">
      <c r="A207" t="s">
        <v>505</v>
      </c>
      <c r="B207" t="str">
        <f t="shared" si="20"/>
        <v>B22_03</v>
      </c>
      <c r="C207" s="323" t="str">
        <f t="shared" si="23"/>
        <v>E5620</v>
      </c>
      <c r="D207" t="str">
        <f t="shared" si="24"/>
        <v>NO_DATAVIEWS</v>
      </c>
      <c r="E207" s="62" t="str">
        <f t="shared" si="24"/>
        <v>NO_DEPARTMENTS</v>
      </c>
      <c r="F207" t="s">
        <v>506</v>
      </c>
      <c r="G207" t="s">
        <v>507</v>
      </c>
      <c r="H207" t="s">
        <v>508</v>
      </c>
      <c r="I207" t="s">
        <v>509</v>
      </c>
      <c r="J207" t="s">
        <v>589</v>
      </c>
      <c r="K207" s="497">
        <f>ROUND(HLOOKUP($B207,'2-Préparation saisie LV PROD'!$F$1:$Q$86,'2-Préparation saisie LV PROD'!A48,FALSE),0)</f>
        <v>6920149</v>
      </c>
      <c r="L207" t="str">
        <f>VLOOKUP(C207,Capacité!C:L,10,FALSE)</f>
        <v>Chemin de Grès</v>
      </c>
    </row>
    <row r="208" spans="1:12">
      <c r="A208" t="s">
        <v>505</v>
      </c>
      <c r="B208" t="str">
        <f t="shared" si="20"/>
        <v>B22_03</v>
      </c>
      <c r="C208" s="323" t="str">
        <f t="shared" si="23"/>
        <v>E5810</v>
      </c>
      <c r="D208" t="str">
        <f t="shared" si="24"/>
        <v>NO_DATAVIEWS</v>
      </c>
      <c r="E208" s="62" t="str">
        <f t="shared" si="24"/>
        <v>NO_DEPARTMENTS</v>
      </c>
      <c r="F208" t="s">
        <v>506</v>
      </c>
      <c r="G208" t="s">
        <v>507</v>
      </c>
      <c r="H208" t="s">
        <v>508</v>
      </c>
      <c r="I208" t="s">
        <v>509</v>
      </c>
      <c r="J208" t="s">
        <v>589</v>
      </c>
      <c r="K208" s="497">
        <f>ROUND(HLOOKUP($B208,'2-Préparation saisie LV PROD'!$F$1:$Q$86,'2-Préparation saisie LV PROD'!A49,FALSE),0)</f>
        <v>4840524</v>
      </c>
      <c r="L208" t="str">
        <f>VLOOKUP(C208,Capacité!C:L,10,FALSE)</f>
        <v>Coteaux du Blaiseron</v>
      </c>
    </row>
    <row r="209" spans="1:12">
      <c r="A209" t="s">
        <v>505</v>
      </c>
      <c r="B209" t="str">
        <f t="shared" si="20"/>
        <v>B22_03</v>
      </c>
      <c r="C209" s="323" t="str">
        <f t="shared" si="23"/>
        <v>E5660</v>
      </c>
      <c r="D209" t="str">
        <f t="shared" si="24"/>
        <v>NO_DATAVIEWS</v>
      </c>
      <c r="E209" s="62" t="str">
        <f t="shared" si="24"/>
        <v>NO_DEPARTMENTS</v>
      </c>
      <c r="F209" t="s">
        <v>506</v>
      </c>
      <c r="G209" t="s">
        <v>507</v>
      </c>
      <c r="H209" t="s">
        <v>508</v>
      </c>
      <c r="I209" t="s">
        <v>509</v>
      </c>
      <c r="J209" t="s">
        <v>589</v>
      </c>
      <c r="K209" s="497">
        <f>ROUND(HLOOKUP($B209,'2-Préparation saisie LV PROD'!$F$1:$Q$86,'2-Préparation saisie LV PROD'!A50,FALSE),0)</f>
        <v>4224950</v>
      </c>
      <c r="L209" t="str">
        <f>VLOOKUP(C209,Capacité!C:L,10,FALSE)</f>
        <v>XSAN</v>
      </c>
    </row>
    <row r="210" spans="1:12">
      <c r="A210" t="s">
        <v>505</v>
      </c>
      <c r="B210" t="str">
        <f t="shared" si="20"/>
        <v>B22_03</v>
      </c>
      <c r="C210" s="323" t="str">
        <f t="shared" si="23"/>
        <v>E5590</v>
      </c>
      <c r="D210" t="str">
        <f t="shared" si="24"/>
        <v>NO_DATAVIEWS</v>
      </c>
      <c r="E210" s="62" t="str">
        <f t="shared" si="24"/>
        <v>NO_DEPARTMENTS</v>
      </c>
      <c r="F210" t="s">
        <v>506</v>
      </c>
      <c r="G210" t="s">
        <v>507</v>
      </c>
      <c r="H210" t="s">
        <v>508</v>
      </c>
      <c r="I210" t="s">
        <v>509</v>
      </c>
      <c r="J210" t="s">
        <v>589</v>
      </c>
      <c r="K210" s="497">
        <f>ROUND(HLOOKUP($B210,'2-Préparation saisie LV PROD'!$F$1:$Q$86,'2-Préparation saisie LV PROD'!A51,FALSE),0)</f>
        <v>3075964</v>
      </c>
      <c r="L210" t="str">
        <f>VLOOKUP(C210,Capacité!C:L,10,FALSE)</f>
        <v>Le Catésis (CAT)</v>
      </c>
    </row>
    <row r="211" spans="1:12">
      <c r="A211" t="s">
        <v>505</v>
      </c>
      <c r="B211" t="str">
        <f t="shared" si="20"/>
        <v>B22_03</v>
      </c>
      <c r="C211" s="323" t="str">
        <f t="shared" si="23"/>
        <v>E5650</v>
      </c>
      <c r="D211" t="str">
        <f t="shared" si="24"/>
        <v>NO_DATAVIEWS</v>
      </c>
      <c r="E211" s="62" t="str">
        <f t="shared" si="24"/>
        <v>NO_DEPARTMENTS</v>
      </c>
      <c r="F211" t="s">
        <v>506</v>
      </c>
      <c r="G211" t="s">
        <v>507</v>
      </c>
      <c r="H211" t="s">
        <v>508</v>
      </c>
      <c r="I211" t="s">
        <v>509</v>
      </c>
      <c r="J211" t="s">
        <v>589</v>
      </c>
      <c r="K211" s="497">
        <f>ROUND(HLOOKUP($B211,'2-Préparation saisie LV PROD'!$F$1:$Q$86,'2-Préparation saisie LV PROD'!A52,FALSE),0)</f>
        <v>5466827</v>
      </c>
      <c r="L211" t="str">
        <f>VLOOKUP(C211,Capacité!C:L,10,FALSE)</f>
        <v>Seuil du Cambrésis- Ribecourt (RIB)</v>
      </c>
    </row>
    <row r="212" spans="1:12">
      <c r="A212" t="s">
        <v>505</v>
      </c>
      <c r="B212" t="str">
        <f t="shared" si="20"/>
        <v>B22_03</v>
      </c>
      <c r="C212" s="323" t="str">
        <f t="shared" si="23"/>
        <v>E5720</v>
      </c>
      <c r="D212" t="str">
        <f t="shared" si="24"/>
        <v>NO_DATAVIEWS</v>
      </c>
      <c r="E212" s="62" t="str">
        <f t="shared" si="24"/>
        <v>NO_DEPARTMENTS</v>
      </c>
      <c r="F212" t="s">
        <v>506</v>
      </c>
      <c r="G212" t="s">
        <v>507</v>
      </c>
      <c r="H212" t="s">
        <v>508</v>
      </c>
      <c r="I212" t="s">
        <v>509</v>
      </c>
      <c r="J212" t="s">
        <v>589</v>
      </c>
      <c r="K212" s="497">
        <f>ROUND(HLOOKUP($B212,'2-Préparation saisie LV PROD'!$F$1:$Q$86,'2-Préparation saisie LV PROD'!A53,FALSE),0)</f>
        <v>4279039</v>
      </c>
      <c r="L212" t="str">
        <f>VLOOKUP(C212,Capacité!C:L,10,FALSE)</f>
        <v>Basse Thiérache Nord</v>
      </c>
    </row>
    <row r="213" spans="1:12">
      <c r="A213" t="s">
        <v>505</v>
      </c>
      <c r="B213" t="str">
        <f t="shared" si="20"/>
        <v>B22_03</v>
      </c>
      <c r="C213" s="323" t="str">
        <f t="shared" si="23"/>
        <v>E5710</v>
      </c>
      <c r="D213" t="str">
        <f t="shared" si="24"/>
        <v>NO_DATAVIEWS</v>
      </c>
      <c r="E213" s="62" t="str">
        <f t="shared" si="24"/>
        <v>NO_DEPARTMENTS</v>
      </c>
      <c r="F213" t="s">
        <v>506</v>
      </c>
      <c r="G213" t="s">
        <v>507</v>
      </c>
      <c r="H213" t="s">
        <v>508</v>
      </c>
      <c r="I213" t="s">
        <v>509</v>
      </c>
      <c r="J213" t="s">
        <v>589</v>
      </c>
      <c r="K213" s="497">
        <f>ROUND(HLOOKUP($B213,'2-Préparation saisie LV PROD'!$F$1:$Q$86,'2-Préparation saisie LV PROD'!A54,FALSE),0)</f>
        <v>5542295</v>
      </c>
      <c r="L213" t="str">
        <f>VLOOKUP(C213,Capacité!C:L,10,FALSE)</f>
        <v>Sources de l'Ancre</v>
      </c>
    </row>
    <row r="214" spans="1:12">
      <c r="A214" t="s">
        <v>505</v>
      </c>
      <c r="B214" t="str">
        <f t="shared" si="20"/>
        <v>B22_03</v>
      </c>
      <c r="C214" s="323" t="str">
        <f t="shared" si="23"/>
        <v>E6190</v>
      </c>
      <c r="D214" t="str">
        <f t="shared" ref="D214:E229" si="25">D213</f>
        <v>NO_DATAVIEWS</v>
      </c>
      <c r="E214" s="62" t="str">
        <f t="shared" si="25"/>
        <v>NO_DEPARTMENTS</v>
      </c>
      <c r="F214" t="s">
        <v>506</v>
      </c>
      <c r="G214" t="s">
        <v>507</v>
      </c>
      <c r="H214" t="s">
        <v>508</v>
      </c>
      <c r="I214" t="s">
        <v>509</v>
      </c>
      <c r="J214" t="s">
        <v>589</v>
      </c>
      <c r="K214" s="497">
        <f>ROUND(HLOOKUP($B214,'2-Préparation saisie LV PROD'!$F$1:$Q$86,'2-Préparation saisie LV PROD'!A55,FALSE),0)</f>
        <v>0</v>
      </c>
      <c r="L214" t="str">
        <f>VLOOKUP(C214,Capacité!C:L,10,FALSE)</f>
        <v>Evits et Josaphats</v>
      </c>
    </row>
    <row r="215" spans="1:12">
      <c r="A215" t="s">
        <v>505</v>
      </c>
      <c r="B215" t="str">
        <f t="shared" si="20"/>
        <v>B22_03</v>
      </c>
      <c r="C215" s="323" t="str">
        <f t="shared" si="23"/>
        <v>E6200</v>
      </c>
      <c r="D215" t="str">
        <f t="shared" si="25"/>
        <v>NO_DATAVIEWS</v>
      </c>
      <c r="E215" s="62" t="str">
        <f t="shared" si="25"/>
        <v>NO_DEPARTMENTS</v>
      </c>
      <c r="F215" t="s">
        <v>506</v>
      </c>
      <c r="G215" t="s">
        <v>507</v>
      </c>
      <c r="H215" t="s">
        <v>508</v>
      </c>
      <c r="I215" t="s">
        <v>509</v>
      </c>
      <c r="J215" t="s">
        <v>589</v>
      </c>
      <c r="K215" s="497">
        <f>ROUND(HLOOKUP($B215,'2-Préparation saisie LV PROD'!$F$1:$Q$86,'2-Préparation saisie LV PROD'!A56,FALSE),0)</f>
        <v>0</v>
      </c>
      <c r="L215" t="str">
        <f>VLOOKUP(C215,Capacité!C:L,10,FALSE)</f>
        <v>Remise Reclainville</v>
      </c>
    </row>
    <row r="216" spans="1:12">
      <c r="A216" t="s">
        <v>505</v>
      </c>
      <c r="B216" t="str">
        <f t="shared" si="20"/>
        <v>B22_03</v>
      </c>
      <c r="C216" s="323" t="str">
        <f t="shared" si="23"/>
        <v>E6150</v>
      </c>
      <c r="D216" t="str">
        <f t="shared" si="25"/>
        <v>NO_DATAVIEWS</v>
      </c>
      <c r="E216" s="62" t="str">
        <f t="shared" si="25"/>
        <v>NO_DEPARTMENTS</v>
      </c>
      <c r="F216" t="s">
        <v>506</v>
      </c>
      <c r="G216" t="s">
        <v>507</v>
      </c>
      <c r="H216" t="s">
        <v>508</v>
      </c>
      <c r="I216" t="s">
        <v>509</v>
      </c>
      <c r="J216" t="s">
        <v>589</v>
      </c>
      <c r="K216" s="497">
        <f>ROUND(HLOOKUP($B216,'2-Préparation saisie LV PROD'!$F$1:$Q$86,'2-Préparation saisie LV PROD'!A57,FALSE),0)</f>
        <v>1614905</v>
      </c>
      <c r="L216" t="str">
        <f>VLOOKUP(C216,Capacité!C:L,10,FALSE)</f>
        <v>Fierville</v>
      </c>
    </row>
    <row r="217" spans="1:12">
      <c r="A217" t="s">
        <v>505</v>
      </c>
      <c r="B217" t="str">
        <f t="shared" si="20"/>
        <v>B22_03</v>
      </c>
      <c r="C217" s="323" t="str">
        <f t="shared" si="23"/>
        <v>E6340</v>
      </c>
      <c r="D217" t="str">
        <f t="shared" si="25"/>
        <v>NO_DATAVIEWS</v>
      </c>
      <c r="E217" s="62" t="str">
        <f t="shared" si="25"/>
        <v>NO_DEPARTMENTS</v>
      </c>
      <c r="F217" t="s">
        <v>506</v>
      </c>
      <c r="G217" t="s">
        <v>507</v>
      </c>
      <c r="H217" t="s">
        <v>508</v>
      </c>
      <c r="I217" t="s">
        <v>509</v>
      </c>
      <c r="J217" t="s">
        <v>589</v>
      </c>
      <c r="K217" s="497">
        <f>ROUND(HLOOKUP($B217,'2-Préparation saisie LV PROD'!$F$1:$Q$86,'2-Préparation saisie LV PROD'!A58,FALSE),0)</f>
        <v>2669131</v>
      </c>
      <c r="L217" t="str">
        <f>VLOOKUP(C217,Capacité!C:L,10,FALSE)</f>
        <v>Plaine de Beaunay</v>
      </c>
    </row>
    <row r="218" spans="1:12">
      <c r="A218" t="s">
        <v>505</v>
      </c>
      <c r="B218" t="str">
        <f t="shared" si="20"/>
        <v>B22_03</v>
      </c>
      <c r="C218" s="323" t="str">
        <f t="shared" si="23"/>
        <v>E6370</v>
      </c>
      <c r="D218" t="str">
        <f t="shared" si="25"/>
        <v>NO_DATAVIEWS</v>
      </c>
      <c r="E218" s="62" t="str">
        <f t="shared" si="25"/>
        <v>NO_DEPARTMENTS</v>
      </c>
      <c r="F218" t="s">
        <v>506</v>
      </c>
      <c r="G218" t="s">
        <v>507</v>
      </c>
      <c r="H218" t="s">
        <v>508</v>
      </c>
      <c r="I218" t="s">
        <v>509</v>
      </c>
      <c r="J218" t="s">
        <v>589</v>
      </c>
      <c r="K218" s="497">
        <f>ROUND(HLOOKUP($B218,'2-Préparation saisie LV PROD'!$F$1:$Q$86,'2-Préparation saisie LV PROD'!A59,FALSE),0)</f>
        <v>3444518</v>
      </c>
      <c r="L218" t="str">
        <f>VLOOKUP(C218,Capacité!C:L,10,FALSE)</f>
        <v>Val au Moines</v>
      </c>
    </row>
    <row r="219" spans="1:12">
      <c r="A219" t="s">
        <v>505</v>
      </c>
      <c r="B219" t="str">
        <f t="shared" si="20"/>
        <v>B22_03</v>
      </c>
      <c r="C219" s="323" t="str">
        <f t="shared" si="23"/>
        <v>E6250</v>
      </c>
      <c r="D219" t="str">
        <f t="shared" si="25"/>
        <v>NO_DATAVIEWS</v>
      </c>
      <c r="E219" s="62" t="str">
        <f t="shared" si="25"/>
        <v>NO_DEPARTMENTS</v>
      </c>
      <c r="F219" t="s">
        <v>506</v>
      </c>
      <c r="G219" t="s">
        <v>507</v>
      </c>
      <c r="H219" t="s">
        <v>508</v>
      </c>
      <c r="I219" t="s">
        <v>509</v>
      </c>
      <c r="J219" t="s">
        <v>589</v>
      </c>
      <c r="K219" s="497">
        <f>ROUND(HLOOKUP($B219,'2-Préparation saisie LV PROD'!$F$1:$Q$86,'2-Préparation saisie LV PROD'!A60,FALSE),0)</f>
        <v>1760490</v>
      </c>
      <c r="L219" t="str">
        <f>VLOOKUP(C219,Capacité!C:L,10,FALSE)</f>
        <v>Bougainville</v>
      </c>
    </row>
    <row r="220" spans="1:12">
      <c r="A220" t="s">
        <v>505</v>
      </c>
      <c r="B220" t="str">
        <f t="shared" si="20"/>
        <v>B22_03</v>
      </c>
      <c r="C220" s="323" t="str">
        <f t="shared" si="23"/>
        <v>E6260</v>
      </c>
      <c r="D220" t="str">
        <f t="shared" si="25"/>
        <v>NO_DATAVIEWS</v>
      </c>
      <c r="E220" s="62" t="str">
        <f t="shared" si="25"/>
        <v>NO_DEPARTMENTS</v>
      </c>
      <c r="F220" t="s">
        <v>506</v>
      </c>
      <c r="G220" t="s">
        <v>507</v>
      </c>
      <c r="H220" t="s">
        <v>508</v>
      </c>
      <c r="I220" t="s">
        <v>509</v>
      </c>
      <c r="J220" t="s">
        <v>589</v>
      </c>
      <c r="K220" s="497">
        <f>ROUND(HLOOKUP($B220,'2-Préparation saisie LV PROD'!$F$1:$Q$86,'2-Préparation saisie LV PROD'!A61,FALSE),0)</f>
        <v>1952132</v>
      </c>
      <c r="L220" t="str">
        <f>VLOOKUP(C220,Capacité!C:L,10,FALSE)</f>
        <v>Saint André</v>
      </c>
    </row>
    <row r="221" spans="1:12">
      <c r="A221" t="s">
        <v>505</v>
      </c>
      <c r="B221" t="str">
        <f t="shared" si="20"/>
        <v>B22_03</v>
      </c>
      <c r="C221" s="323" t="str">
        <f t="shared" si="23"/>
        <v>E6120</v>
      </c>
      <c r="D221" t="str">
        <f t="shared" si="25"/>
        <v>NO_DATAVIEWS</v>
      </c>
      <c r="E221" s="62" t="str">
        <f t="shared" si="25"/>
        <v>NO_DEPARTMENTS</v>
      </c>
      <c r="F221" t="s">
        <v>506</v>
      </c>
      <c r="G221" t="s">
        <v>507</v>
      </c>
      <c r="H221" t="s">
        <v>508</v>
      </c>
      <c r="I221" t="s">
        <v>509</v>
      </c>
      <c r="J221" t="s">
        <v>589</v>
      </c>
      <c r="K221" s="497">
        <f>ROUND(HLOOKUP($B221,'2-Préparation saisie LV PROD'!$F$1:$Q$86,'2-Préparation saisie LV PROD'!A62,FALSE),0)</f>
        <v>851229</v>
      </c>
      <c r="L221" t="str">
        <f>VLOOKUP(C221,Capacité!C:L,10,FALSE)</f>
        <v>Fond de la Plaine</v>
      </c>
    </row>
    <row r="222" spans="1:12">
      <c r="A222" t="s">
        <v>505</v>
      </c>
      <c r="B222" t="str">
        <f t="shared" si="20"/>
        <v>B22_03</v>
      </c>
      <c r="C222" s="323" t="str">
        <f t="shared" si="23"/>
        <v>E6130</v>
      </c>
      <c r="D222" t="str">
        <f t="shared" si="25"/>
        <v>NO_DATAVIEWS</v>
      </c>
      <c r="E222" s="62" t="str">
        <f t="shared" si="25"/>
        <v>NO_DEPARTMENTS</v>
      </c>
      <c r="F222" t="s">
        <v>506</v>
      </c>
      <c r="G222" t="s">
        <v>507</v>
      </c>
      <c r="H222" t="s">
        <v>508</v>
      </c>
      <c r="I222" t="s">
        <v>509</v>
      </c>
      <c r="J222" t="s">
        <v>589</v>
      </c>
      <c r="K222" s="497">
        <f>ROUND(HLOOKUP($B222,'2-Préparation saisie LV PROD'!$F$1:$Q$86,'2-Préparation saisie LV PROD'!A63,FALSE),0)</f>
        <v>2039327</v>
      </c>
      <c r="L222" t="str">
        <f>VLOOKUP(C222,Capacité!C:L,10,FALSE)</f>
        <v>Bassigny</v>
      </c>
    </row>
    <row r="223" spans="1:12">
      <c r="A223" t="s">
        <v>505</v>
      </c>
      <c r="B223" t="str">
        <f t="shared" si="20"/>
        <v>B22_03</v>
      </c>
      <c r="C223" s="323" t="str">
        <f t="shared" si="23"/>
        <v>E6210</v>
      </c>
      <c r="D223" t="str">
        <f t="shared" si="25"/>
        <v>NO_DATAVIEWS</v>
      </c>
      <c r="E223" s="62" t="str">
        <f t="shared" si="25"/>
        <v>NO_DEPARTMENTS</v>
      </c>
      <c r="F223" t="s">
        <v>506</v>
      </c>
      <c r="G223" t="s">
        <v>507</v>
      </c>
      <c r="H223" t="s">
        <v>508</v>
      </c>
      <c r="I223" t="s">
        <v>509</v>
      </c>
      <c r="J223" t="s">
        <v>589</v>
      </c>
      <c r="K223" s="497">
        <f>ROUND(HLOOKUP($B223,'2-Préparation saisie LV PROD'!$F$1:$Q$86,'2-Préparation saisie LV PROD'!A64,FALSE),0)</f>
        <v>1487366</v>
      </c>
      <c r="L223" t="str">
        <f>VLOOKUP(C223,Capacité!C:L,10,FALSE)</f>
        <v>Les Clérimois</v>
      </c>
    </row>
    <row r="224" spans="1:12">
      <c r="A224" t="s">
        <v>505</v>
      </c>
      <c r="B224" t="str">
        <f t="shared" si="20"/>
        <v>B22_03</v>
      </c>
      <c r="C224" s="323" t="str">
        <f t="shared" si="23"/>
        <v>E6160</v>
      </c>
      <c r="D224" t="str">
        <f t="shared" si="25"/>
        <v>NO_DATAVIEWS</v>
      </c>
      <c r="E224" s="62" t="str">
        <f t="shared" si="25"/>
        <v>NO_DEPARTMENTS</v>
      </c>
      <c r="F224" t="s">
        <v>506</v>
      </c>
      <c r="G224" t="s">
        <v>507</v>
      </c>
      <c r="H224" t="s">
        <v>508</v>
      </c>
      <c r="I224" t="s">
        <v>509</v>
      </c>
      <c r="J224" t="s">
        <v>589</v>
      </c>
      <c r="K224" s="497">
        <f>ROUND(HLOOKUP($B224,'2-Préparation saisie LV PROD'!$F$1:$Q$86,'2-Préparation saisie LV PROD'!A65,FALSE),0)</f>
        <v>1836645</v>
      </c>
      <c r="L224" t="str">
        <f>VLOOKUP(C224,Capacité!C:L,10,FALSE)</f>
        <v>Plateau de Langres</v>
      </c>
    </row>
    <row r="225" spans="1:12">
      <c r="A225" t="s">
        <v>505</v>
      </c>
      <c r="B225" t="str">
        <f t="shared" si="20"/>
        <v>B22_03</v>
      </c>
      <c r="C225" s="323" t="str">
        <f t="shared" si="23"/>
        <v>E6170</v>
      </c>
      <c r="D225" t="str">
        <f t="shared" si="25"/>
        <v>NO_DATAVIEWS</v>
      </c>
      <c r="E225" s="62" t="str">
        <f t="shared" si="25"/>
        <v>NO_DEPARTMENTS</v>
      </c>
      <c r="F225" t="s">
        <v>506</v>
      </c>
      <c r="G225" t="s">
        <v>507</v>
      </c>
      <c r="H225" t="s">
        <v>508</v>
      </c>
      <c r="I225" t="s">
        <v>509</v>
      </c>
      <c r="J225" t="s">
        <v>589</v>
      </c>
      <c r="K225" s="497">
        <f>ROUND(HLOOKUP($B225,'2-Préparation saisie LV PROD'!$F$1:$Q$86,'2-Préparation saisie LV PROD'!A66,FALSE),0)</f>
        <v>1663028</v>
      </c>
      <c r="L225" t="str">
        <f>VLOOKUP(C225,Capacité!C:L,10,FALSE)</f>
        <v>Les Moulins de Boulay</v>
      </c>
    </row>
    <row r="226" spans="1:12">
      <c r="A226" t="s">
        <v>505</v>
      </c>
      <c r="B226" t="str">
        <f t="shared" si="20"/>
        <v>B22_03</v>
      </c>
      <c r="C226" s="323" t="str">
        <f t="shared" si="23"/>
        <v>E6330</v>
      </c>
      <c r="D226" t="str">
        <f t="shared" si="25"/>
        <v>NO_DATAVIEWS</v>
      </c>
      <c r="E226" s="62" t="str">
        <f t="shared" si="25"/>
        <v>NO_DEPARTMENTS</v>
      </c>
      <c r="F226" t="s">
        <v>506</v>
      </c>
      <c r="G226" t="s">
        <v>507</v>
      </c>
      <c r="H226" t="s">
        <v>508</v>
      </c>
      <c r="I226" t="s">
        <v>509</v>
      </c>
      <c r="J226" t="s">
        <v>589</v>
      </c>
      <c r="K226" s="497">
        <f>ROUND(HLOOKUP($B226,'2-Préparation saisie LV PROD'!$F$1:$Q$86,'2-Préparation saisie LV PROD'!A67,FALSE),0)</f>
        <v>2010326</v>
      </c>
      <c r="L226" t="str">
        <f>VLOOKUP(C226,Capacité!C:L,10,FALSE)</f>
        <v>Morlange</v>
      </c>
    </row>
    <row r="227" spans="1:12">
      <c r="A227" t="s">
        <v>505</v>
      </c>
      <c r="B227" t="str">
        <f t="shared" si="20"/>
        <v>B22_03</v>
      </c>
      <c r="C227" s="323" t="str">
        <f t="shared" si="23"/>
        <v>E6140</v>
      </c>
      <c r="D227" t="str">
        <f t="shared" si="25"/>
        <v>NO_DATAVIEWS</v>
      </c>
      <c r="E227" s="62" t="str">
        <f t="shared" si="25"/>
        <v>NO_DEPARTMENTS</v>
      </c>
      <c r="F227" t="s">
        <v>506</v>
      </c>
      <c r="G227" t="s">
        <v>507</v>
      </c>
      <c r="H227" t="s">
        <v>508</v>
      </c>
      <c r="I227" t="s">
        <v>509</v>
      </c>
      <c r="J227" t="s">
        <v>589</v>
      </c>
      <c r="K227" s="497">
        <f>ROUND(HLOOKUP($B227,'2-Préparation saisie LV PROD'!$F$1:$Q$86,'2-Préparation saisie LV PROD'!A68,FALSE),0)</f>
        <v>2239903</v>
      </c>
      <c r="L227" t="str">
        <f>VLOOKUP(C227,Capacité!C:L,10,FALSE)</f>
        <v>Renardières mont de Bezard</v>
      </c>
    </row>
    <row r="228" spans="1:12">
      <c r="A228" t="s">
        <v>505</v>
      </c>
      <c r="B228" t="str">
        <f t="shared" si="20"/>
        <v>B22_03</v>
      </c>
      <c r="C228" s="323" t="str">
        <f t="shared" ref="C228:C238" si="26">C147</f>
        <v>E6350</v>
      </c>
      <c r="D228" t="str">
        <f t="shared" si="25"/>
        <v>NO_DATAVIEWS</v>
      </c>
      <c r="E228" s="62" t="str">
        <f t="shared" si="25"/>
        <v>NO_DEPARTMENTS</v>
      </c>
      <c r="F228" t="s">
        <v>506</v>
      </c>
      <c r="G228" t="s">
        <v>507</v>
      </c>
      <c r="H228" t="s">
        <v>508</v>
      </c>
      <c r="I228" t="s">
        <v>509</v>
      </c>
      <c r="J228" t="s">
        <v>589</v>
      </c>
      <c r="K228" s="497">
        <f>ROUND(HLOOKUP($B228,'2-Préparation saisie LV PROD'!$F$1:$Q$86,'2-Préparation saisie LV PROD'!A69,FALSE),0)</f>
        <v>2139951</v>
      </c>
      <c r="L228" t="str">
        <f>VLOOKUP(C228,Capacité!C:L,10,FALSE)</f>
        <v>Zondrange</v>
      </c>
    </row>
    <row r="229" spans="1:12">
      <c r="A229" t="s">
        <v>505</v>
      </c>
      <c r="B229" t="str">
        <f t="shared" si="20"/>
        <v>B22_03</v>
      </c>
      <c r="C229" s="323" t="str">
        <f t="shared" si="26"/>
        <v>E6360</v>
      </c>
      <c r="D229" t="str">
        <f t="shared" si="25"/>
        <v>NO_DATAVIEWS</v>
      </c>
      <c r="E229" s="62" t="str">
        <f t="shared" si="25"/>
        <v>NO_DEPARTMENTS</v>
      </c>
      <c r="F229" t="s">
        <v>506</v>
      </c>
      <c r="G229" t="s">
        <v>507</v>
      </c>
      <c r="H229" t="s">
        <v>508</v>
      </c>
      <c r="I229" t="s">
        <v>509</v>
      </c>
      <c r="J229" t="s">
        <v>589</v>
      </c>
      <c r="K229" s="497">
        <f>ROUND(HLOOKUP($B229,'2-Préparation saisie LV PROD'!$F$1:$Q$86,'2-Préparation saisie LV PROD'!A70,FALSE),0)</f>
        <v>2185567</v>
      </c>
      <c r="L229" t="str">
        <f>VLOOKUP(C229,Capacité!C:L,10,FALSE)</f>
        <v xml:space="preserve">Noyers </v>
      </c>
    </row>
    <row r="230" spans="1:12">
      <c r="A230" t="s">
        <v>505</v>
      </c>
      <c r="B230" t="str">
        <f>+$B$164</f>
        <v>B22_03</v>
      </c>
      <c r="C230" s="323" t="str">
        <f t="shared" si="26"/>
        <v>E5550</v>
      </c>
      <c r="D230" t="str">
        <f t="shared" ref="D230:E251" si="27">D229</f>
        <v>NO_DATAVIEWS</v>
      </c>
      <c r="E230" s="62" t="str">
        <f t="shared" si="27"/>
        <v>NO_DEPARTMENTS</v>
      </c>
      <c r="F230" t="s">
        <v>506</v>
      </c>
      <c r="G230" t="s">
        <v>507</v>
      </c>
      <c r="H230" t="s">
        <v>508</v>
      </c>
      <c r="I230" t="s">
        <v>509</v>
      </c>
      <c r="J230" t="s">
        <v>589</v>
      </c>
      <c r="K230" s="497">
        <f>ROUND(HLOOKUP($B230,'2-Préparation saisie LV PROD'!$F$1:$Q$86,'2-Préparation saisie LV PROD'!A71,FALSE),0)</f>
        <v>1336849</v>
      </c>
      <c r="L230" t="str">
        <f>VLOOKUP(C230,Capacité!C:L,10,FALSE)</f>
        <v>Les Cigalettes (Montfort) / Solaire</v>
      </c>
    </row>
    <row r="231" spans="1:12">
      <c r="A231" t="s">
        <v>505</v>
      </c>
      <c r="B231" t="str">
        <f>+$B$164</f>
        <v>B22_03</v>
      </c>
      <c r="C231" s="323" t="str">
        <f t="shared" si="26"/>
        <v>E5250</v>
      </c>
      <c r="D231" t="str">
        <f t="shared" si="27"/>
        <v>NO_DATAVIEWS</v>
      </c>
      <c r="E231" s="62" t="str">
        <f t="shared" si="27"/>
        <v>NO_DEPARTMENTS</v>
      </c>
      <c r="F231" t="s">
        <v>506</v>
      </c>
      <c r="G231" t="s">
        <v>507</v>
      </c>
      <c r="H231" t="s">
        <v>508</v>
      </c>
      <c r="I231" t="s">
        <v>509</v>
      </c>
      <c r="J231" t="s">
        <v>589</v>
      </c>
      <c r="K231" s="497">
        <f>ROUND(HLOOKUP($B231,'2-Préparation saisie LV PROD'!$F$1:$Q$86,'2-Préparation saisie LV PROD'!A72,FALSE),0)</f>
        <v>526169</v>
      </c>
      <c r="L231" t="str">
        <f>VLOOKUP(C231,Capacité!C:L,10,FALSE)</f>
        <v>Avignonet / Solaire</v>
      </c>
    </row>
    <row r="232" spans="1:12">
      <c r="A232" t="s">
        <v>505</v>
      </c>
      <c r="B232" t="str">
        <f t="shared" ref="B232:B244" si="28">+$B$164</f>
        <v>B22_03</v>
      </c>
      <c r="C232" s="323" t="str">
        <f t="shared" si="26"/>
        <v>E6010</v>
      </c>
      <c r="D232" t="str">
        <f t="shared" si="27"/>
        <v>NO_DATAVIEWS</v>
      </c>
      <c r="E232" s="62" t="str">
        <f t="shared" si="27"/>
        <v>NO_DEPARTMENTS</v>
      </c>
      <c r="F232" t="s">
        <v>506</v>
      </c>
      <c r="G232" t="s">
        <v>507</v>
      </c>
      <c r="H232" t="s">
        <v>508</v>
      </c>
      <c r="I232" t="s">
        <v>509</v>
      </c>
      <c r="J232" t="s">
        <v>589</v>
      </c>
      <c r="K232" s="497">
        <f>ROUND(HLOOKUP($B232,'2-Préparation saisie LV PROD'!$F$1:$Q$86,'2-Préparation saisie LV PROD'!A74,FALSE),0)</f>
        <v>9405861</v>
      </c>
      <c r="L232" t="str">
        <f>VLOOKUP(C232,Capacité!C:L,10,FALSE)</f>
        <v>CDC-R</v>
      </c>
    </row>
    <row r="233" spans="1:12">
      <c r="A233" t="s">
        <v>505</v>
      </c>
      <c r="B233" t="str">
        <f t="shared" si="28"/>
        <v>B22_03</v>
      </c>
      <c r="C233" s="323" t="str">
        <f t="shared" si="26"/>
        <v>E6280</v>
      </c>
      <c r="D233" t="str">
        <f t="shared" si="27"/>
        <v>NO_DATAVIEWS</v>
      </c>
      <c r="E233" s="62" t="str">
        <f t="shared" si="27"/>
        <v>NO_DEPARTMENTS</v>
      </c>
      <c r="F233" t="s">
        <v>506</v>
      </c>
      <c r="G233" t="s">
        <v>507</v>
      </c>
      <c r="H233" t="s">
        <v>508</v>
      </c>
      <c r="I233" t="s">
        <v>509</v>
      </c>
      <c r="J233" t="s">
        <v>589</v>
      </c>
      <c r="K233" s="497">
        <f>ROUND(HLOOKUP($B233,'2-Préparation saisie LV PROD'!$F$1:$Q$86,'2-Préparation saisie LV PROD'!A75,FALSE),0)</f>
        <v>2897301</v>
      </c>
      <c r="L233" t="str">
        <f>VLOOKUP(C233,Capacité!C:L,10,FALSE)</f>
        <v>BPF</v>
      </c>
    </row>
    <row r="234" spans="1:12">
      <c r="A234" t="s">
        <v>505</v>
      </c>
      <c r="B234" t="str">
        <f t="shared" si="28"/>
        <v>B22_03</v>
      </c>
      <c r="C234" s="323" t="str">
        <f t="shared" si="26"/>
        <v>E5930</v>
      </c>
      <c r="D234" t="str">
        <f t="shared" si="27"/>
        <v>NO_DATAVIEWS</v>
      </c>
      <c r="E234" s="62" t="str">
        <f t="shared" si="27"/>
        <v>NO_DEPARTMENTS</v>
      </c>
      <c r="F234" t="s">
        <v>506</v>
      </c>
      <c r="G234" t="s">
        <v>507</v>
      </c>
      <c r="H234" t="s">
        <v>508</v>
      </c>
      <c r="I234" t="s">
        <v>509</v>
      </c>
      <c r="J234" t="s">
        <v>589</v>
      </c>
      <c r="K234" s="497">
        <f>ROUND(HLOOKUP($B234,'2-Préparation saisie LV PROD'!$F$1:$Q$86,'2-Préparation saisie LV PROD'!A76,FALSE),0)</f>
        <v>4123926</v>
      </c>
      <c r="L234" t="str">
        <f>VLOOKUP(C234,Capacité!C:L,10,FALSE)</f>
        <v>XSB</v>
      </c>
    </row>
    <row r="235" spans="1:12" s="4" customFormat="1">
      <c r="A235" s="4" t="s">
        <v>505</v>
      </c>
      <c r="B235" s="4" t="str">
        <f>+$B$164</f>
        <v>B22_03</v>
      </c>
      <c r="C235" s="323" t="str">
        <f t="shared" si="26"/>
        <v>E5880</v>
      </c>
      <c r="D235" t="str">
        <f t="shared" si="27"/>
        <v>NO_DATAVIEWS</v>
      </c>
      <c r="E235" s="62" t="str">
        <f t="shared" si="27"/>
        <v>NO_DEPARTMENTS</v>
      </c>
      <c r="F235" s="4" t="s">
        <v>506</v>
      </c>
      <c r="G235" s="4" t="s">
        <v>507</v>
      </c>
      <c r="H235" s="4" t="s">
        <v>508</v>
      </c>
      <c r="I235" s="4" t="s">
        <v>509</v>
      </c>
      <c r="J235" s="4" t="s">
        <v>589</v>
      </c>
      <c r="K235" s="497">
        <f>ROUND(HLOOKUP($B235,'2-Préparation saisie LV PROD'!$F$1:$Q$86,'2-Préparation saisie LV PROD'!A77,FALSE),0)</f>
        <v>3833289</v>
      </c>
      <c r="L235" t="str">
        <f>VLOOKUP(C235,Capacité!C:L,10,FALSE)</f>
        <v>Extension plaine d'Escrebieux</v>
      </c>
    </row>
    <row r="236" spans="1:12" s="4" customFormat="1">
      <c r="A236" s="4" t="s">
        <v>505</v>
      </c>
      <c r="B236" s="4" t="str">
        <f t="shared" si="28"/>
        <v>B22_03</v>
      </c>
      <c r="C236" s="323" t="str">
        <f t="shared" si="26"/>
        <v>E6720</v>
      </c>
      <c r="D236" t="str">
        <f t="shared" si="27"/>
        <v>NO_DATAVIEWS</v>
      </c>
      <c r="E236" s="62" t="str">
        <f t="shared" si="27"/>
        <v>NO_DEPARTMENTS</v>
      </c>
      <c r="F236" s="4" t="s">
        <v>506</v>
      </c>
      <c r="G236" s="4" t="s">
        <v>507</v>
      </c>
      <c r="H236" s="4" t="s">
        <v>508</v>
      </c>
      <c r="I236" s="4" t="s">
        <v>509</v>
      </c>
      <c r="J236" s="4" t="s">
        <v>589</v>
      </c>
      <c r="K236" s="497">
        <f>ROUND(HLOOKUP($B236,'2-Préparation saisie LV PROD'!$F$1:$Q$86,'2-Préparation saisie LV PROD'!A78,FALSE),0)</f>
        <v>1480045</v>
      </c>
      <c r="L236" t="str">
        <f>VLOOKUP(C236,Capacité!C:L,10,FALSE)</f>
        <v xml:space="preserve">St Christophe - Clé des champs / Solaire </v>
      </c>
    </row>
    <row r="237" spans="1:12" s="4" customFormat="1">
      <c r="A237" s="4" t="s">
        <v>505</v>
      </c>
      <c r="B237" s="4" t="str">
        <f t="shared" si="28"/>
        <v>B22_03</v>
      </c>
      <c r="C237" s="323" t="str">
        <f t="shared" si="26"/>
        <v>E6040</v>
      </c>
      <c r="D237" t="str">
        <f t="shared" si="27"/>
        <v>NO_DATAVIEWS</v>
      </c>
      <c r="E237" s="62" t="str">
        <f t="shared" si="27"/>
        <v>NO_DEPARTMENTS</v>
      </c>
      <c r="F237" s="4" t="s">
        <v>506</v>
      </c>
      <c r="G237" s="4" t="s">
        <v>507</v>
      </c>
      <c r="H237" s="4" t="s">
        <v>508</v>
      </c>
      <c r="I237" s="4" t="s">
        <v>509</v>
      </c>
      <c r="J237" s="4" t="s">
        <v>589</v>
      </c>
      <c r="K237" s="497">
        <f>ROUND(HLOOKUP($B237,'2-Préparation saisie LV PROD'!$F$1:$Q$86,'2-Préparation saisie LV PROD'!A79,FALSE),0)</f>
        <v>2048016</v>
      </c>
      <c r="L237" t="str">
        <f>VLOOKUP(C237,Capacité!C:L,10,FALSE)</f>
        <v>Peyrolles / Solaire</v>
      </c>
    </row>
    <row r="238" spans="1:12" s="4" customFormat="1">
      <c r="A238" s="4" t="s">
        <v>505</v>
      </c>
      <c r="B238" s="4" t="str">
        <f t="shared" si="28"/>
        <v>B22_03</v>
      </c>
      <c r="C238" s="323" t="str">
        <f t="shared" si="26"/>
        <v>E6310</v>
      </c>
      <c r="D238" t="str">
        <f t="shared" si="27"/>
        <v>NO_DATAVIEWS</v>
      </c>
      <c r="E238" s="62" t="str">
        <f t="shared" si="27"/>
        <v>NO_DEPARTMENTS</v>
      </c>
      <c r="F238" s="4" t="s">
        <v>506</v>
      </c>
      <c r="G238" s="4" t="s">
        <v>507</v>
      </c>
      <c r="H238" s="4" t="s">
        <v>508</v>
      </c>
      <c r="I238" s="4" t="s">
        <v>509</v>
      </c>
      <c r="J238" s="4" t="s">
        <v>589</v>
      </c>
      <c r="K238" s="497">
        <f>ROUND(HLOOKUP($B238,'2-Préparation saisie LV PROD'!$F$1:$Q$86,'2-Préparation saisie LV PROD'!A80,FALSE),0)</f>
        <v>3185927</v>
      </c>
      <c r="L238" t="str">
        <f>VLOOKUP(C238,Capacité!C:L,10,FALSE)</f>
        <v>Bazougeais</v>
      </c>
    </row>
    <row r="239" spans="1:12" s="4" customFormat="1">
      <c r="A239" s="4" t="s">
        <v>505</v>
      </c>
      <c r="B239" s="4" t="str">
        <f t="shared" si="28"/>
        <v>B22_03</v>
      </c>
      <c r="C239" s="323" t="str">
        <f t="shared" ref="C239:C244" si="29">C158</f>
        <v>E6571</v>
      </c>
      <c r="D239" t="str">
        <f t="shared" ref="D239:E239" si="30">D238</f>
        <v>NO_DATAVIEWS</v>
      </c>
      <c r="E239" s="62" t="str">
        <f t="shared" si="30"/>
        <v>NO_DEPARTMENTS</v>
      </c>
      <c r="F239" s="4" t="s">
        <v>506</v>
      </c>
      <c r="G239" s="4" t="s">
        <v>507</v>
      </c>
      <c r="H239" s="4" t="s">
        <v>508</v>
      </c>
      <c r="I239" s="4" t="s">
        <v>509</v>
      </c>
      <c r="J239" s="4" t="s">
        <v>589</v>
      </c>
      <c r="K239" s="497">
        <f>ROUND(HLOOKUP($B239,'2-Préparation saisie LV PROD'!$F$1:$Q$86,'2-Préparation saisie LV PROD'!A81,FALSE),0)</f>
        <v>0</v>
      </c>
      <c r="L239" t="s">
        <v>3538</v>
      </c>
    </row>
    <row r="240" spans="1:12" s="4" customFormat="1">
      <c r="A240" s="4" t="s">
        <v>505</v>
      </c>
      <c r="B240" s="4" t="str">
        <f t="shared" si="28"/>
        <v>B22_03</v>
      </c>
      <c r="C240" s="323" t="str">
        <f t="shared" si="29"/>
        <v>E5890</v>
      </c>
      <c r="D240" t="str">
        <f t="shared" ref="D240:E240" si="31">D239</f>
        <v>NO_DATAVIEWS</v>
      </c>
      <c r="E240" s="62" t="str">
        <f t="shared" si="31"/>
        <v>NO_DEPARTMENTS</v>
      </c>
      <c r="F240" s="4" t="s">
        <v>506</v>
      </c>
      <c r="G240" s="4" t="s">
        <v>507</v>
      </c>
      <c r="H240" s="4" t="s">
        <v>508</v>
      </c>
      <c r="I240" s="4" t="s">
        <v>509</v>
      </c>
      <c r="J240" s="4" t="s">
        <v>589</v>
      </c>
      <c r="K240" s="497">
        <f>ROUND(HLOOKUP($B240,'2-Préparation saisie LV PROD'!$F$1:$Q$86,'2-Préparation saisie LV PROD'!A82,FALSE),0)</f>
        <v>2919360</v>
      </c>
      <c r="L240" t="str">
        <f>VLOOKUP(C240,Capacité!C:L,10,FALSE)</f>
        <v>La Grande Borne</v>
      </c>
    </row>
    <row r="241" spans="1:12" s="4" customFormat="1">
      <c r="A241" s="4" t="s">
        <v>505</v>
      </c>
      <c r="B241" s="4" t="str">
        <f t="shared" si="28"/>
        <v>B22_03</v>
      </c>
      <c r="C241" s="323" t="str">
        <f t="shared" si="29"/>
        <v>E6730</v>
      </c>
      <c r="D241" t="str">
        <f t="shared" ref="D241:E241" si="32">D240</f>
        <v>NO_DATAVIEWS</v>
      </c>
      <c r="E241" s="62" t="str">
        <f t="shared" si="32"/>
        <v>NO_DEPARTMENTS</v>
      </c>
      <c r="F241" s="4" t="s">
        <v>506</v>
      </c>
      <c r="G241" s="4" t="s">
        <v>507</v>
      </c>
      <c r="H241" s="4" t="s">
        <v>508</v>
      </c>
      <c r="I241" s="4" t="s">
        <v>509</v>
      </c>
      <c r="J241" s="4" t="s">
        <v>589</v>
      </c>
      <c r="K241" s="497">
        <f>ROUND(HLOOKUP($B241,'2-Préparation saisie LV PROD'!$F$1:$Q$86,'2-Préparation saisie LV PROD'!A83,FALSE),0)</f>
        <v>0</v>
      </c>
      <c r="L241" t="str">
        <f>VLOOKUP(C241,Capacité!C:L,10,FALSE)</f>
        <v xml:space="preserve">R-EEJ - Evits et Josaphats </v>
      </c>
    </row>
    <row r="242" spans="1:12" s="4" customFormat="1">
      <c r="A242" s="4" t="s">
        <v>505</v>
      </c>
      <c r="B242" s="4" t="str">
        <f t="shared" si="28"/>
        <v>B22_03</v>
      </c>
      <c r="C242" s="323" t="str">
        <f t="shared" si="29"/>
        <v>E6740</v>
      </c>
      <c r="D242" t="str">
        <f t="shared" ref="D242:E242" si="33">D241</f>
        <v>NO_DATAVIEWS</v>
      </c>
      <c r="E242" s="62" t="str">
        <f t="shared" si="33"/>
        <v>NO_DEPARTMENTS</v>
      </c>
      <c r="F242" s="4" t="s">
        <v>506</v>
      </c>
      <c r="G242" s="4" t="s">
        <v>507</v>
      </c>
      <c r="H242" s="4" t="s">
        <v>508</v>
      </c>
      <c r="I242" s="4" t="s">
        <v>509</v>
      </c>
      <c r="J242" s="4" t="s">
        <v>589</v>
      </c>
      <c r="K242" s="497">
        <f>ROUND(HLOOKUP($B242,'2-Préparation saisie LV PROD'!$F$1:$Q$86,'2-Préparation saisie LV PROD'!A84,FALSE),0)</f>
        <v>0</v>
      </c>
      <c r="L242" t="str">
        <f>VLOOKUP(C242,Capacité!C:L,10,FALSE)</f>
        <v>R-RCL - Remise Reclainville</v>
      </c>
    </row>
    <row r="243" spans="1:12" s="4" customFormat="1">
      <c r="A243" s="4" t="s">
        <v>505</v>
      </c>
      <c r="B243" s="4" t="str">
        <f t="shared" si="28"/>
        <v>B22_03</v>
      </c>
      <c r="C243" s="323" t="str">
        <f t="shared" si="29"/>
        <v>E6290</v>
      </c>
      <c r="D243" t="str">
        <f t="shared" ref="D243:E243" si="34">D242</f>
        <v>NO_DATAVIEWS</v>
      </c>
      <c r="E243" s="62" t="str">
        <f t="shared" si="34"/>
        <v>NO_DEPARTMENTS</v>
      </c>
      <c r="F243" s="4" t="s">
        <v>506</v>
      </c>
      <c r="G243" s="4" t="s">
        <v>507</v>
      </c>
      <c r="H243" s="4" t="s">
        <v>508</v>
      </c>
      <c r="I243" s="4" t="s">
        <v>509</v>
      </c>
      <c r="J243" s="4" t="s">
        <v>589</v>
      </c>
      <c r="K243" s="497">
        <f>ROUND(HLOOKUP($B243,'2-Préparation saisie LV PROD'!$F$1:$Q$86,'2-Préparation saisie LV PROD'!A85,FALSE),0)</f>
        <v>0</v>
      </c>
      <c r="L243" t="str">
        <f>VLOOKUP(C243,Capacité!C:L,10,FALSE)</f>
        <v>Bois des Fontaines (extension EEJ)</v>
      </c>
    </row>
    <row r="244" spans="1:12" s="4" customFormat="1">
      <c r="A244" s="4" t="s">
        <v>505</v>
      </c>
      <c r="B244" s="4" t="str">
        <f t="shared" si="28"/>
        <v>B22_03</v>
      </c>
      <c r="C244" s="323" t="str">
        <f t="shared" si="29"/>
        <v>E6760</v>
      </c>
      <c r="D244" t="str">
        <f t="shared" ref="D244:E244" si="35">D243</f>
        <v>NO_DATAVIEWS</v>
      </c>
      <c r="E244" s="62" t="str">
        <f t="shared" si="35"/>
        <v>NO_DEPARTMENTS</v>
      </c>
      <c r="F244" s="4" t="s">
        <v>506</v>
      </c>
      <c r="G244" s="4" t="s">
        <v>507</v>
      </c>
      <c r="H244" s="4" t="s">
        <v>508</v>
      </c>
      <c r="I244" s="4" t="s">
        <v>509</v>
      </c>
      <c r="J244" s="4" t="s">
        <v>589</v>
      </c>
      <c r="K244" s="497">
        <f>ROUND(HLOOKUP($B244,'2-Préparation saisie LV PROD'!$F$1:$Q$86,'2-Préparation saisie LV PROD'!A86,FALSE),0)</f>
        <v>0</v>
      </c>
      <c r="L244" t="str">
        <f>VLOOKUP(C244,Capacité!C:L,10,FALSE)</f>
        <v>R-BGV - Bougainville</v>
      </c>
    </row>
    <row r="245" spans="1:12">
      <c r="A245" t="s">
        <v>505</v>
      </c>
      <c r="B245" s="3" t="s">
        <v>3359</v>
      </c>
      <c r="C245" s="323" t="str">
        <f t="shared" ref="C245:C276" si="36">C164</f>
        <v>E5030</v>
      </c>
      <c r="D245" t="str">
        <f>D238</f>
        <v>NO_DATAVIEWS</v>
      </c>
      <c r="E245" s="62" t="str">
        <f>E238</f>
        <v>NO_DEPARTMENTS</v>
      </c>
      <c r="F245" t="s">
        <v>506</v>
      </c>
      <c r="G245" t="s">
        <v>507</v>
      </c>
      <c r="H245" t="s">
        <v>508</v>
      </c>
      <c r="I245" t="s">
        <v>509</v>
      </c>
      <c r="J245" t="s">
        <v>589</v>
      </c>
      <c r="K245" s="497">
        <f>ROUND(HLOOKUP($B245,'2-Préparation saisie LV PROD'!$F$1:$Q$86,'2-Préparation saisie LV PROD'!A5,FALSE),0)</f>
        <v>1562486</v>
      </c>
      <c r="L245" t="str">
        <f>VLOOKUP(C245,Capacité!C:L,10,FALSE)</f>
        <v>Avignonet</v>
      </c>
    </row>
    <row r="246" spans="1:12">
      <c r="A246" t="s">
        <v>505</v>
      </c>
      <c r="B246" t="str">
        <f>+$B$245</f>
        <v>B22_04</v>
      </c>
      <c r="C246" s="323" t="str">
        <f t="shared" si="36"/>
        <v>E5040</v>
      </c>
      <c r="D246" t="str">
        <f t="shared" si="27"/>
        <v>NO_DATAVIEWS</v>
      </c>
      <c r="E246" s="62" t="str">
        <f t="shared" si="27"/>
        <v>NO_DEPARTMENTS</v>
      </c>
      <c r="F246" t="s">
        <v>506</v>
      </c>
      <c r="G246" t="s">
        <v>507</v>
      </c>
      <c r="H246" t="s">
        <v>508</v>
      </c>
      <c r="I246" t="s">
        <v>509</v>
      </c>
      <c r="J246" t="s">
        <v>589</v>
      </c>
      <c r="K246" s="497">
        <f>ROUND(HLOOKUP($B246,'2-Préparation saisie LV PROD'!$F$1:$Q$86,'2-Préparation saisie LV PROD'!A6,FALSE),0)</f>
        <v>399272</v>
      </c>
      <c r="L246" t="str">
        <f>VLOOKUP(C246,Capacité!C:L,10,FALSE)</f>
        <v>Chépy</v>
      </c>
    </row>
    <row r="247" spans="1:12">
      <c r="A247" t="s">
        <v>505</v>
      </c>
      <c r="B247" t="str">
        <f t="shared" ref="B247:B310" si="37">+$B$245</f>
        <v>B22_04</v>
      </c>
      <c r="C247" s="323" t="str">
        <f t="shared" si="36"/>
        <v>E5050</v>
      </c>
      <c r="D247" t="str">
        <f t="shared" si="27"/>
        <v>NO_DATAVIEWS</v>
      </c>
      <c r="E247" s="62" t="str">
        <f t="shared" si="27"/>
        <v>NO_DEPARTMENTS</v>
      </c>
      <c r="F247" t="s">
        <v>506</v>
      </c>
      <c r="G247" t="s">
        <v>507</v>
      </c>
      <c r="H247" t="s">
        <v>508</v>
      </c>
      <c r="I247" t="s">
        <v>509</v>
      </c>
      <c r="J247" t="s">
        <v>589</v>
      </c>
      <c r="K247" s="497">
        <f>ROUND(HLOOKUP($B247,'2-Préparation saisie LV PROD'!$F$1:$Q$86,'2-Préparation saisie LV PROD'!A7,FALSE),0)</f>
        <v>1180303</v>
      </c>
      <c r="L247" t="str">
        <f>VLOOKUP(C247,Capacité!C:L,10,FALSE)</f>
        <v>Nibas</v>
      </c>
    </row>
    <row r="248" spans="1:12">
      <c r="A248" t="s">
        <v>505</v>
      </c>
      <c r="B248" t="str">
        <f t="shared" si="37"/>
        <v>B22_04</v>
      </c>
      <c r="C248" s="323" t="str">
        <f t="shared" si="36"/>
        <v>E5070</v>
      </c>
      <c r="D248" t="str">
        <f t="shared" si="27"/>
        <v>NO_DATAVIEWS</v>
      </c>
      <c r="E248" s="62" t="str">
        <f t="shared" si="27"/>
        <v>NO_DEPARTMENTS</v>
      </c>
      <c r="F248" t="s">
        <v>506</v>
      </c>
      <c r="G248" t="s">
        <v>507</v>
      </c>
      <c r="H248" t="s">
        <v>508</v>
      </c>
      <c r="I248" t="s">
        <v>509</v>
      </c>
      <c r="J248" t="s">
        <v>589</v>
      </c>
      <c r="K248" s="497">
        <f>ROUND(HLOOKUP($B248,'2-Préparation saisie LV PROD'!$F$1:$Q$86,'2-Préparation saisie LV PROD'!A8,FALSE),0)</f>
        <v>1715874</v>
      </c>
      <c r="L248" t="str">
        <f>VLOOKUP(C248,Capacité!C:L,10,FALSE)</f>
        <v>Ally Bessadous</v>
      </c>
    </row>
    <row r="249" spans="1:12">
      <c r="A249" t="s">
        <v>505</v>
      </c>
      <c r="B249" t="str">
        <f t="shared" si="37"/>
        <v>B22_04</v>
      </c>
      <c r="C249" s="323" t="str">
        <f t="shared" si="36"/>
        <v>E5080</v>
      </c>
      <c r="D249" t="str">
        <f t="shared" si="27"/>
        <v>NO_DATAVIEWS</v>
      </c>
      <c r="E249" s="62" t="str">
        <f t="shared" si="27"/>
        <v>NO_DEPARTMENTS</v>
      </c>
      <c r="F249" t="s">
        <v>506</v>
      </c>
      <c r="G249" t="s">
        <v>507</v>
      </c>
      <c r="H249" t="s">
        <v>508</v>
      </c>
      <c r="I249" t="s">
        <v>509</v>
      </c>
      <c r="J249" t="s">
        <v>589</v>
      </c>
      <c r="K249" s="497">
        <f>ROUND(HLOOKUP($B249,'2-Préparation saisie LV PROD'!$F$1:$Q$86,'2-Préparation saisie LV PROD'!A9,FALSE),0)</f>
        <v>1142666</v>
      </c>
      <c r="L249" t="str">
        <f>VLOOKUP(C249,Capacité!C:L,10,FALSE)</f>
        <v>Ally Mercoeur</v>
      </c>
    </row>
    <row r="250" spans="1:12">
      <c r="A250" t="s">
        <v>505</v>
      </c>
      <c r="B250" t="str">
        <f t="shared" si="37"/>
        <v>B22_04</v>
      </c>
      <c r="C250" s="323" t="str">
        <f t="shared" si="36"/>
        <v>E5090</v>
      </c>
      <c r="D250" t="str">
        <f t="shared" si="27"/>
        <v>NO_DATAVIEWS</v>
      </c>
      <c r="E250" s="62" t="str">
        <f t="shared" si="27"/>
        <v>NO_DEPARTMENTS</v>
      </c>
      <c r="F250" t="s">
        <v>506</v>
      </c>
      <c r="G250" t="s">
        <v>507</v>
      </c>
      <c r="H250" t="s">
        <v>508</v>
      </c>
      <c r="I250" t="s">
        <v>509</v>
      </c>
      <c r="J250" t="s">
        <v>589</v>
      </c>
      <c r="K250" s="497">
        <f>ROUND(HLOOKUP($B250,'2-Préparation saisie LV PROD'!$F$1:$Q$86,'2-Préparation saisie LV PROD'!A10,FALSE),0)</f>
        <v>1484119</v>
      </c>
      <c r="L250" t="str">
        <f>VLOOKUP(C250,Capacité!C:L,10,FALSE)</f>
        <v>Ally Monteil</v>
      </c>
    </row>
    <row r="251" spans="1:12">
      <c r="A251" t="s">
        <v>505</v>
      </c>
      <c r="B251" t="str">
        <f t="shared" si="37"/>
        <v>B22_04</v>
      </c>
      <c r="C251" s="323" t="str">
        <f t="shared" si="36"/>
        <v>E5100</v>
      </c>
      <c r="D251" t="str">
        <f t="shared" si="27"/>
        <v>NO_DATAVIEWS</v>
      </c>
      <c r="E251" s="62" t="str">
        <f t="shared" si="27"/>
        <v>NO_DEPARTMENTS</v>
      </c>
      <c r="F251" t="s">
        <v>506</v>
      </c>
      <c r="G251" t="s">
        <v>507</v>
      </c>
      <c r="H251" t="s">
        <v>508</v>
      </c>
      <c r="I251" t="s">
        <v>509</v>
      </c>
      <c r="J251" t="s">
        <v>589</v>
      </c>
      <c r="K251" s="497">
        <f>ROUND(HLOOKUP($B251,'2-Préparation saisie LV PROD'!$F$1:$Q$86,'2-Préparation saisie LV PROD'!A11,FALSE),0)</f>
        <v>1796632</v>
      </c>
      <c r="L251" t="str">
        <f>VLOOKUP(C251,Capacité!C:L,10,FALSE)</f>
        <v>Ally Verseilles</v>
      </c>
    </row>
    <row r="252" spans="1:12">
      <c r="A252" t="s">
        <v>505</v>
      </c>
      <c r="B252" t="str">
        <f t="shared" si="37"/>
        <v>B22_04</v>
      </c>
      <c r="C252" s="323" t="str">
        <f t="shared" si="36"/>
        <v>E5110</v>
      </c>
      <c r="D252" t="str">
        <f t="shared" ref="D252:E267" si="38">D251</f>
        <v>NO_DATAVIEWS</v>
      </c>
      <c r="E252" s="62" t="str">
        <f t="shared" si="38"/>
        <v>NO_DEPARTMENTS</v>
      </c>
      <c r="F252" t="s">
        <v>506</v>
      </c>
      <c r="G252" t="s">
        <v>507</v>
      </c>
      <c r="H252" t="s">
        <v>508</v>
      </c>
      <c r="I252" t="s">
        <v>509</v>
      </c>
      <c r="J252" t="s">
        <v>589</v>
      </c>
      <c r="K252" s="497">
        <f>ROUND(HLOOKUP($B252,'2-Préparation saisie LV PROD'!$F$1:$Q$86,'2-Préparation saisie LV PROD'!A12,FALSE),0)</f>
        <v>0</v>
      </c>
      <c r="L252" t="str">
        <f>VLOOKUP(C252,Capacité!C:L,10,FALSE)</f>
        <v>Cham Longe Bel Air</v>
      </c>
    </row>
    <row r="253" spans="1:12">
      <c r="A253" t="s">
        <v>505</v>
      </c>
      <c r="B253" t="str">
        <f t="shared" si="37"/>
        <v>B22_04</v>
      </c>
      <c r="C253" s="323" t="str">
        <f t="shared" si="36"/>
        <v>E5120</v>
      </c>
      <c r="D253" t="str">
        <f t="shared" si="38"/>
        <v>NO_DATAVIEWS</v>
      </c>
      <c r="E253" s="62" t="str">
        <f t="shared" si="38"/>
        <v>NO_DEPARTMENTS</v>
      </c>
      <c r="F253" t="s">
        <v>506</v>
      </c>
      <c r="G253" t="s">
        <v>507</v>
      </c>
      <c r="H253" t="s">
        <v>508</v>
      </c>
      <c r="I253" t="s">
        <v>509</v>
      </c>
      <c r="J253" t="s">
        <v>589</v>
      </c>
      <c r="K253" s="497">
        <f>ROUND(HLOOKUP($B253,'2-Préparation saisie LV PROD'!$F$1:$Q$86,'2-Préparation saisie LV PROD'!A13,FALSE),0)</f>
        <v>0</v>
      </c>
      <c r="L253" t="str">
        <f>VLOOKUP(C253,Capacité!C:L,10,FALSE)</f>
        <v>Cham Longe Le Courbil (Eole Cevennes)</v>
      </c>
    </row>
    <row r="254" spans="1:12">
      <c r="A254" t="s">
        <v>505</v>
      </c>
      <c r="B254" t="str">
        <f t="shared" si="37"/>
        <v>B22_04</v>
      </c>
      <c r="C254" s="323" t="str">
        <f t="shared" si="36"/>
        <v>E5150</v>
      </c>
      <c r="D254" t="str">
        <f t="shared" si="38"/>
        <v>NO_DATAVIEWS</v>
      </c>
      <c r="E254" s="62" t="str">
        <f t="shared" si="38"/>
        <v>NO_DEPARTMENTS</v>
      </c>
      <c r="F254" t="s">
        <v>506</v>
      </c>
      <c r="G254" t="s">
        <v>507</v>
      </c>
      <c r="H254" t="s">
        <v>508</v>
      </c>
      <c r="I254" t="s">
        <v>509</v>
      </c>
      <c r="J254" t="s">
        <v>589</v>
      </c>
      <c r="K254" s="497">
        <f>ROUND(HLOOKUP($B254,'2-Préparation saisie LV PROD'!$F$1:$Q$86,'2-Préparation saisie LV PROD'!A14,FALSE),0)</f>
        <v>1021585</v>
      </c>
      <c r="L254" t="str">
        <f>VLOOKUP(C254,Capacité!C:L,10,FALSE)</f>
        <v>Cham Longe II</v>
      </c>
    </row>
    <row r="255" spans="1:12">
      <c r="A255" t="s">
        <v>505</v>
      </c>
      <c r="B255" t="str">
        <f t="shared" si="37"/>
        <v>B22_04</v>
      </c>
      <c r="C255" s="323" t="str">
        <f t="shared" si="36"/>
        <v>E5130</v>
      </c>
      <c r="D255" t="str">
        <f t="shared" si="38"/>
        <v>NO_DATAVIEWS</v>
      </c>
      <c r="E255" s="62" t="str">
        <f t="shared" si="38"/>
        <v>NO_DEPARTMENTS</v>
      </c>
      <c r="F255" t="s">
        <v>506</v>
      </c>
      <c r="G255" t="s">
        <v>507</v>
      </c>
      <c r="H255" t="s">
        <v>508</v>
      </c>
      <c r="I255" t="s">
        <v>509</v>
      </c>
      <c r="J255" t="s">
        <v>589</v>
      </c>
      <c r="K255" s="497">
        <f>ROUND(HLOOKUP($B255,'2-Préparation saisie LV PROD'!$F$1:$Q$86,'2-Préparation saisie LV PROD'!A15,FALSE),0)</f>
        <v>1462075</v>
      </c>
      <c r="L255" t="str">
        <f>VLOOKUP(C255,Capacité!C:L,10,FALSE)</f>
        <v>Plouguin</v>
      </c>
    </row>
    <row r="256" spans="1:12">
      <c r="A256" t="s">
        <v>505</v>
      </c>
      <c r="B256" t="str">
        <f t="shared" si="37"/>
        <v>B22_04</v>
      </c>
      <c r="C256" s="323" t="str">
        <f t="shared" si="36"/>
        <v>E5140</v>
      </c>
      <c r="D256" t="str">
        <f t="shared" si="38"/>
        <v>NO_DATAVIEWS</v>
      </c>
      <c r="E256" s="62" t="str">
        <f t="shared" si="38"/>
        <v>NO_DEPARTMENTS</v>
      </c>
      <c r="F256" t="s">
        <v>506</v>
      </c>
      <c r="G256" t="s">
        <v>507</v>
      </c>
      <c r="H256" t="s">
        <v>508</v>
      </c>
      <c r="I256" t="s">
        <v>509</v>
      </c>
      <c r="J256" t="s">
        <v>589</v>
      </c>
      <c r="K256" s="497">
        <f>ROUND(HLOOKUP($B256,'2-Préparation saisie LV PROD'!$F$1:$Q$86,'2-Préparation saisie LV PROD'!A16,FALSE),0)</f>
        <v>2615056</v>
      </c>
      <c r="L256" t="str">
        <f>VLOOKUP(C256,Capacité!C:L,10,FALSE)</f>
        <v>La Citadelle</v>
      </c>
    </row>
    <row r="257" spans="1:12">
      <c r="A257" t="s">
        <v>505</v>
      </c>
      <c r="B257" t="str">
        <f t="shared" si="37"/>
        <v>B22_04</v>
      </c>
      <c r="C257" s="323" t="str">
        <f t="shared" si="36"/>
        <v>E5160</v>
      </c>
      <c r="D257" t="str">
        <f t="shared" si="38"/>
        <v>NO_DATAVIEWS</v>
      </c>
      <c r="E257" s="62" t="str">
        <f t="shared" si="38"/>
        <v>NO_DEPARTMENTS</v>
      </c>
      <c r="F257" t="s">
        <v>506</v>
      </c>
      <c r="G257" t="s">
        <v>507</v>
      </c>
      <c r="H257" t="s">
        <v>508</v>
      </c>
      <c r="I257" t="s">
        <v>509</v>
      </c>
      <c r="J257" t="s">
        <v>589</v>
      </c>
      <c r="K257" s="497">
        <f>ROUND(HLOOKUP($B257,'2-Préparation saisie LV PROD'!$F$1:$Q$86,'2-Préparation saisie LV PROD'!A17,FALSE),0)</f>
        <v>1324301</v>
      </c>
      <c r="L257" t="str">
        <f>VLOOKUP(C257,Capacité!C:L,10,FALSE)</f>
        <v>Chasse Marée</v>
      </c>
    </row>
    <row r="258" spans="1:12">
      <c r="A258" t="s">
        <v>505</v>
      </c>
      <c r="B258" t="str">
        <f t="shared" si="37"/>
        <v>B22_04</v>
      </c>
      <c r="C258" s="323" t="str">
        <f t="shared" si="36"/>
        <v>E5170</v>
      </c>
      <c r="D258" t="str">
        <f t="shared" si="38"/>
        <v>NO_DATAVIEWS</v>
      </c>
      <c r="E258" s="62" t="str">
        <f t="shared" si="38"/>
        <v>NO_DEPARTMENTS</v>
      </c>
      <c r="F258" t="s">
        <v>506</v>
      </c>
      <c r="G258" t="s">
        <v>507</v>
      </c>
      <c r="H258" t="s">
        <v>508</v>
      </c>
      <c r="I258" t="s">
        <v>509</v>
      </c>
      <c r="J258" t="s">
        <v>589</v>
      </c>
      <c r="K258" s="497">
        <f>ROUND(HLOOKUP($B258,'2-Préparation saisie LV PROD'!$F$1:$Q$86,'2-Préparation saisie LV PROD'!A18,FALSE),0)</f>
        <v>4581691</v>
      </c>
      <c r="L258" t="str">
        <f>VLOOKUP(C258,Capacité!C:L,10,FALSE)</f>
        <v>Ronchois</v>
      </c>
    </row>
    <row r="259" spans="1:12">
      <c r="A259" t="s">
        <v>505</v>
      </c>
      <c r="B259" t="str">
        <f t="shared" si="37"/>
        <v>B22_04</v>
      </c>
      <c r="C259" s="323" t="str">
        <f t="shared" si="36"/>
        <v>E5180</v>
      </c>
      <c r="D259" t="str">
        <f t="shared" si="38"/>
        <v>NO_DATAVIEWS</v>
      </c>
      <c r="E259" s="62" t="str">
        <f t="shared" si="38"/>
        <v>NO_DEPARTMENTS</v>
      </c>
      <c r="F259" t="s">
        <v>506</v>
      </c>
      <c r="G259" t="s">
        <v>507</v>
      </c>
      <c r="H259" t="s">
        <v>508</v>
      </c>
      <c r="I259" t="s">
        <v>509</v>
      </c>
      <c r="J259" t="s">
        <v>589</v>
      </c>
      <c r="K259" s="497">
        <f>ROUND(HLOOKUP($B259,'2-Préparation saisie LV PROD'!$F$1:$Q$86,'2-Préparation saisie LV PROD'!A19,FALSE),0)</f>
        <v>1936440</v>
      </c>
      <c r="L259" t="str">
        <f>VLOOKUP(C259,Capacité!C:L,10,FALSE)</f>
        <v>Le Grand Camp</v>
      </c>
    </row>
    <row r="260" spans="1:12">
      <c r="A260" t="s">
        <v>505</v>
      </c>
      <c r="B260" t="str">
        <f t="shared" si="37"/>
        <v>B22_04</v>
      </c>
      <c r="C260" s="323" t="str">
        <f t="shared" si="36"/>
        <v>E5210</v>
      </c>
      <c r="D260" t="str">
        <f t="shared" si="38"/>
        <v>NO_DATAVIEWS</v>
      </c>
      <c r="E260" s="62" t="str">
        <f t="shared" si="38"/>
        <v>NO_DEPARTMENTS</v>
      </c>
      <c r="F260" t="s">
        <v>506</v>
      </c>
      <c r="G260" t="s">
        <v>507</v>
      </c>
      <c r="H260" t="s">
        <v>508</v>
      </c>
      <c r="I260" t="s">
        <v>509</v>
      </c>
      <c r="J260" t="s">
        <v>589</v>
      </c>
      <c r="K260" s="497">
        <f>ROUND(HLOOKUP($B260,'2-Préparation saisie LV PROD'!$F$1:$Q$86,'2-Préparation saisie LV PROD'!A20,FALSE),0)</f>
        <v>974256</v>
      </c>
      <c r="L260" t="str">
        <f>VLOOKUP(C260,Capacité!C:L,10,FALSE)</f>
        <v>Avignonet II</v>
      </c>
    </row>
    <row r="261" spans="1:12">
      <c r="A261" t="s">
        <v>505</v>
      </c>
      <c r="B261" t="str">
        <f t="shared" si="37"/>
        <v>B22_04</v>
      </c>
      <c r="C261" s="323" t="str">
        <f t="shared" si="36"/>
        <v>E5270</v>
      </c>
      <c r="D261" t="str">
        <f t="shared" si="38"/>
        <v>NO_DATAVIEWS</v>
      </c>
      <c r="E261" s="62" t="str">
        <f t="shared" si="38"/>
        <v>NO_DEPARTMENTS</v>
      </c>
      <c r="F261" t="s">
        <v>506</v>
      </c>
      <c r="G261" t="s">
        <v>507</v>
      </c>
      <c r="H261" t="s">
        <v>508</v>
      </c>
      <c r="I261" t="s">
        <v>509</v>
      </c>
      <c r="J261" t="s">
        <v>589</v>
      </c>
      <c r="K261" s="497">
        <f>ROUND(HLOOKUP($B261,'2-Préparation saisie LV PROD'!$F$1:$Q$86,'2-Préparation saisie LV PROD'!A21,FALSE),0)</f>
        <v>4752726</v>
      </c>
      <c r="L261" t="str">
        <f>VLOOKUP(C261,Capacité!C:L,10,FALSE)</f>
        <v>Ménétréols Renardiére (La vallée 2)</v>
      </c>
    </row>
    <row r="262" spans="1:12">
      <c r="A262" t="s">
        <v>505</v>
      </c>
      <c r="B262" t="str">
        <f t="shared" si="37"/>
        <v>B22_04</v>
      </c>
      <c r="C262" s="323" t="str">
        <f t="shared" si="36"/>
        <v>E5280</v>
      </c>
      <c r="D262" t="str">
        <f t="shared" si="38"/>
        <v>NO_DATAVIEWS</v>
      </c>
      <c r="E262" s="62" t="str">
        <f t="shared" si="38"/>
        <v>NO_DEPARTMENTS</v>
      </c>
      <c r="F262" t="s">
        <v>506</v>
      </c>
      <c r="G262" t="s">
        <v>507</v>
      </c>
      <c r="H262" t="s">
        <v>508</v>
      </c>
      <c r="I262" t="s">
        <v>509</v>
      </c>
      <c r="J262" t="s">
        <v>589</v>
      </c>
      <c r="K262" s="497">
        <f>ROUND(HLOOKUP($B262,'2-Préparation saisie LV PROD'!$F$1:$Q$86,'2-Préparation saisie LV PROD'!A22,FALSE),0)</f>
        <v>784025</v>
      </c>
      <c r="L262" t="str">
        <f>VLOOKUP(C262,Capacité!C:L,10,FALSE)</f>
        <v>St Georges (La Vallée 1)</v>
      </c>
    </row>
    <row r="263" spans="1:12">
      <c r="A263" t="s">
        <v>505</v>
      </c>
      <c r="B263" t="str">
        <f t="shared" si="37"/>
        <v>B22_04</v>
      </c>
      <c r="C263" s="323" t="str">
        <f t="shared" si="36"/>
        <v>E5300</v>
      </c>
      <c r="D263" t="str">
        <f t="shared" si="38"/>
        <v>NO_DATAVIEWS</v>
      </c>
      <c r="E263" s="62" t="str">
        <f t="shared" si="38"/>
        <v>NO_DEPARTMENTS</v>
      </c>
      <c r="F263" t="s">
        <v>506</v>
      </c>
      <c r="G263" t="s">
        <v>507</v>
      </c>
      <c r="H263" t="s">
        <v>508</v>
      </c>
      <c r="I263" t="s">
        <v>509</v>
      </c>
      <c r="J263" t="s">
        <v>589</v>
      </c>
      <c r="K263" s="497">
        <f>ROUND(HLOOKUP($B263,'2-Préparation saisie LV PROD'!$F$1:$Q$86,'2-Préparation saisie LV PROD'!A23,FALSE),0)</f>
        <v>1368470</v>
      </c>
      <c r="L263" t="str">
        <f>VLOOKUP(C263,Capacité!C:L,10,FALSE)</f>
        <v>Vron</v>
      </c>
    </row>
    <row r="264" spans="1:12">
      <c r="A264" t="s">
        <v>505</v>
      </c>
      <c r="B264" t="str">
        <f t="shared" si="37"/>
        <v>B22_04</v>
      </c>
      <c r="C264" s="323" t="str">
        <f t="shared" si="36"/>
        <v>E5310</v>
      </c>
      <c r="D264" t="str">
        <f t="shared" si="38"/>
        <v>NO_DATAVIEWS</v>
      </c>
      <c r="E264" s="62" t="str">
        <f t="shared" si="38"/>
        <v>NO_DEPARTMENTS</v>
      </c>
      <c r="F264" t="s">
        <v>506</v>
      </c>
      <c r="G264" t="s">
        <v>507</v>
      </c>
      <c r="H264" t="s">
        <v>508</v>
      </c>
      <c r="I264" t="s">
        <v>509</v>
      </c>
      <c r="J264" t="s">
        <v>589</v>
      </c>
      <c r="K264" s="497">
        <f>ROUND(HLOOKUP($B264,'2-Préparation saisie LV PROD'!$F$1:$Q$86,'2-Préparation saisie LV PROD'!A24,FALSE),0)</f>
        <v>3924099</v>
      </c>
      <c r="L264" t="str">
        <f>VLOOKUP(C264,Capacité!C:L,10,FALSE)</f>
        <v>Fortel</v>
      </c>
    </row>
    <row r="265" spans="1:12">
      <c r="A265" t="s">
        <v>505</v>
      </c>
      <c r="B265" t="str">
        <f t="shared" si="37"/>
        <v>B22_04</v>
      </c>
      <c r="C265" s="323" t="str">
        <f t="shared" si="36"/>
        <v>E5320</v>
      </c>
      <c r="D265" t="str">
        <f t="shared" si="38"/>
        <v>NO_DATAVIEWS</v>
      </c>
      <c r="E265" s="62" t="str">
        <f t="shared" si="38"/>
        <v>NO_DEPARTMENTS</v>
      </c>
      <c r="F265" t="s">
        <v>506</v>
      </c>
      <c r="G265" t="s">
        <v>507</v>
      </c>
      <c r="H265" t="s">
        <v>508</v>
      </c>
      <c r="I265" t="s">
        <v>509</v>
      </c>
      <c r="J265" t="s">
        <v>589</v>
      </c>
      <c r="K265" s="497">
        <f>ROUND(HLOOKUP($B265,'2-Préparation saisie LV PROD'!$F$1:$Q$86,'2-Préparation saisie LV PROD'!A25,FALSE),0)</f>
        <v>3884761</v>
      </c>
      <c r="L265" t="str">
        <f>VLOOKUP(C265,Capacité!C:L,10,FALSE)</f>
        <v>St François Roye</v>
      </c>
    </row>
    <row r="266" spans="1:12">
      <c r="A266" t="s">
        <v>505</v>
      </c>
      <c r="B266" t="str">
        <f t="shared" si="37"/>
        <v>B22_04</v>
      </c>
      <c r="C266" s="323" t="str">
        <f t="shared" si="36"/>
        <v>E5290</v>
      </c>
      <c r="D266" t="str">
        <f t="shared" si="38"/>
        <v>NO_DATAVIEWS</v>
      </c>
      <c r="E266" s="62" t="str">
        <f t="shared" si="38"/>
        <v>NO_DEPARTMENTS</v>
      </c>
      <c r="F266" t="s">
        <v>506</v>
      </c>
      <c r="G266" t="s">
        <v>507</v>
      </c>
      <c r="H266" t="s">
        <v>508</v>
      </c>
      <c r="I266" t="s">
        <v>509</v>
      </c>
      <c r="J266" t="s">
        <v>589</v>
      </c>
      <c r="K266" s="497">
        <f>ROUND(HLOOKUP($B266,'2-Préparation saisie LV PROD'!$F$1:$Q$86,'2-Préparation saisie LV PROD'!A26,FALSE),0)</f>
        <v>6824871</v>
      </c>
      <c r="L266" t="str">
        <f>VLOOKUP(C266,Capacité!C:L,10,FALSE)</f>
        <v>St Patrick</v>
      </c>
    </row>
    <row r="267" spans="1:12">
      <c r="A267" t="s">
        <v>505</v>
      </c>
      <c r="B267" t="str">
        <f t="shared" si="37"/>
        <v>B22_04</v>
      </c>
      <c r="C267" s="323" t="str">
        <f t="shared" si="36"/>
        <v>E5360</v>
      </c>
      <c r="D267" t="str">
        <f t="shared" si="38"/>
        <v>NO_DATAVIEWS</v>
      </c>
      <c r="E267" s="62" t="str">
        <f t="shared" si="38"/>
        <v>NO_DEPARTMENTS</v>
      </c>
      <c r="F267" t="s">
        <v>506</v>
      </c>
      <c r="G267" t="s">
        <v>507</v>
      </c>
      <c r="H267" t="s">
        <v>508</v>
      </c>
      <c r="I267" t="s">
        <v>509</v>
      </c>
      <c r="J267" t="s">
        <v>589</v>
      </c>
      <c r="K267" s="497">
        <f>ROUND(HLOOKUP($B267,'2-Préparation saisie LV PROD'!$F$1:$Q$86,'2-Préparation saisie LV PROD'!A27,FALSE),0)</f>
        <v>3098779</v>
      </c>
      <c r="L267" t="str">
        <f>VLOOKUP(C267,Capacité!C:L,10,FALSE)</f>
        <v>Calmont (Laur Eole Energie )</v>
      </c>
    </row>
    <row r="268" spans="1:12">
      <c r="A268" t="s">
        <v>505</v>
      </c>
      <c r="B268" t="str">
        <f t="shared" si="37"/>
        <v>B22_04</v>
      </c>
      <c r="C268" s="323" t="str">
        <f t="shared" si="36"/>
        <v>E5391</v>
      </c>
      <c r="D268" t="str">
        <f t="shared" ref="D268:E283" si="39">D267</f>
        <v>NO_DATAVIEWS</v>
      </c>
      <c r="E268" s="62" t="str">
        <f t="shared" si="39"/>
        <v>NO_DEPARTMENTS</v>
      </c>
      <c r="F268" t="s">
        <v>506</v>
      </c>
      <c r="G268" t="s">
        <v>507</v>
      </c>
      <c r="H268" t="s">
        <v>508</v>
      </c>
      <c r="I268" t="s">
        <v>509</v>
      </c>
      <c r="J268" t="s">
        <v>589</v>
      </c>
      <c r="K268" s="497">
        <f>ROUND(HLOOKUP($B268,'2-Préparation saisie LV PROD'!$F$1:$Q$86,'2-Préparation saisie LV PROD'!A28,FALSE),0)</f>
        <v>708730</v>
      </c>
      <c r="L268" t="str">
        <f>VLOOKUP(C268,Capacité!C:L,10,FALSE)</f>
        <v>Coat Conval</v>
      </c>
    </row>
    <row r="269" spans="1:12">
      <c r="A269" t="s">
        <v>505</v>
      </c>
      <c r="B269" t="str">
        <f t="shared" si="37"/>
        <v>B22_04</v>
      </c>
      <c r="C269" s="323" t="str">
        <f t="shared" si="36"/>
        <v>E5392</v>
      </c>
      <c r="D269" t="str">
        <f t="shared" si="39"/>
        <v>NO_DATAVIEWS</v>
      </c>
      <c r="E269" s="62" t="str">
        <f t="shared" si="39"/>
        <v>NO_DEPARTMENTS</v>
      </c>
      <c r="F269" t="s">
        <v>506</v>
      </c>
      <c r="G269" t="s">
        <v>507</v>
      </c>
      <c r="H269" t="s">
        <v>508</v>
      </c>
      <c r="I269" t="s">
        <v>509</v>
      </c>
      <c r="J269" t="s">
        <v>589</v>
      </c>
      <c r="K269" s="497">
        <f>ROUND(HLOOKUP($B269,'2-Préparation saisie LV PROD'!$F$1:$Q$86,'2-Préparation saisie LV PROD'!A29,FALSE),0)</f>
        <v>1142852</v>
      </c>
      <c r="L269" t="str">
        <f>VLOOKUP(C269,Capacité!C:L,10,FALSE)</f>
        <v>Leign ar Gasprenn</v>
      </c>
    </row>
    <row r="270" spans="1:12">
      <c r="A270" t="s">
        <v>505</v>
      </c>
      <c r="B270" t="str">
        <f t="shared" si="37"/>
        <v>B22_04</v>
      </c>
      <c r="C270" s="323" t="str">
        <f t="shared" si="36"/>
        <v>E5393</v>
      </c>
      <c r="D270" t="str">
        <f t="shared" si="39"/>
        <v>NO_DATAVIEWS</v>
      </c>
      <c r="E270" s="62" t="str">
        <f t="shared" si="39"/>
        <v>NO_DEPARTMENTS</v>
      </c>
      <c r="F270" t="s">
        <v>506</v>
      </c>
      <c r="G270" t="s">
        <v>507</v>
      </c>
      <c r="H270" t="s">
        <v>508</v>
      </c>
      <c r="I270" t="s">
        <v>509</v>
      </c>
      <c r="J270" t="s">
        <v>589</v>
      </c>
      <c r="K270" s="497">
        <f>ROUND(HLOOKUP($B270,'2-Préparation saisie LV PROD'!$F$1:$Q$86,'2-Préparation saisie LV PROD'!A30,FALSE),0)</f>
        <v>5859073</v>
      </c>
      <c r="L270" t="str">
        <f>VLOOKUP(C270,Capacité!C:L,10,FALSE)</f>
        <v>Vallée d'Arce</v>
      </c>
    </row>
    <row r="271" spans="1:12">
      <c r="A271" t="s">
        <v>505</v>
      </c>
      <c r="B271" t="str">
        <f t="shared" si="37"/>
        <v>B22_04</v>
      </c>
      <c r="C271" s="323" t="str">
        <f t="shared" si="36"/>
        <v>E5394</v>
      </c>
      <c r="D271" t="str">
        <f t="shared" si="39"/>
        <v>NO_DATAVIEWS</v>
      </c>
      <c r="E271" s="62" t="str">
        <f t="shared" si="39"/>
        <v>NO_DEPARTMENTS</v>
      </c>
      <c r="F271" t="s">
        <v>506</v>
      </c>
      <c r="G271" t="s">
        <v>507</v>
      </c>
      <c r="H271" t="s">
        <v>508</v>
      </c>
      <c r="I271" t="s">
        <v>509</v>
      </c>
      <c r="J271" t="s">
        <v>589</v>
      </c>
      <c r="K271" s="497">
        <f>ROUND(HLOOKUP($B271,'2-Préparation saisie LV PROD'!$F$1:$Q$86,'2-Préparation saisie LV PROD'!A31,FALSE),0)</f>
        <v>1610635</v>
      </c>
      <c r="L271" t="str">
        <f>VLOOKUP(C271,Capacité!C:L,10,FALSE)</f>
        <v>La Bouleste</v>
      </c>
    </row>
    <row r="272" spans="1:12">
      <c r="A272" t="s">
        <v>505</v>
      </c>
      <c r="B272" t="str">
        <f t="shared" si="37"/>
        <v>B22_04</v>
      </c>
      <c r="C272" s="323" t="str">
        <f t="shared" si="36"/>
        <v>E5395</v>
      </c>
      <c r="D272" t="str">
        <f t="shared" si="39"/>
        <v>NO_DATAVIEWS</v>
      </c>
      <c r="E272" s="62" t="str">
        <f t="shared" si="39"/>
        <v>NO_DEPARTMENTS</v>
      </c>
      <c r="F272" t="s">
        <v>506</v>
      </c>
      <c r="G272" t="s">
        <v>507</v>
      </c>
      <c r="H272" t="s">
        <v>508</v>
      </c>
      <c r="I272" t="s">
        <v>509</v>
      </c>
      <c r="J272" t="s">
        <v>589</v>
      </c>
      <c r="K272" s="497">
        <f>ROUND(HLOOKUP($B272,'2-Préparation saisie LV PROD'!$F$1:$Q$86,'2-Préparation saisie LV PROD'!A32,FALSE),0)</f>
        <v>3934140</v>
      </c>
      <c r="L272" t="str">
        <f>VLOOKUP(C272,Capacité!C:L,10,FALSE)</f>
        <v>Haut de Conge</v>
      </c>
    </row>
    <row r="273" spans="1:12">
      <c r="A273" t="s">
        <v>505</v>
      </c>
      <c r="B273" t="str">
        <f t="shared" si="37"/>
        <v>B22_04</v>
      </c>
      <c r="C273" s="323" t="str">
        <f t="shared" si="36"/>
        <v>E5396</v>
      </c>
      <c r="D273" t="str">
        <f t="shared" si="39"/>
        <v>NO_DATAVIEWS</v>
      </c>
      <c r="E273" s="62" t="str">
        <f t="shared" si="39"/>
        <v>NO_DEPARTMENTS</v>
      </c>
      <c r="F273" t="s">
        <v>506</v>
      </c>
      <c r="G273" t="s">
        <v>507</v>
      </c>
      <c r="H273" t="s">
        <v>508</v>
      </c>
      <c r="I273" t="s">
        <v>509</v>
      </c>
      <c r="J273" t="s">
        <v>589</v>
      </c>
      <c r="K273" s="497">
        <f>ROUND(HLOOKUP($B273,'2-Préparation saisie LV PROD'!$F$1:$Q$86,'2-Préparation saisie LV PROD'!A33,FALSE),0)</f>
        <v>1572532</v>
      </c>
      <c r="L273" t="str">
        <f>VLOOKUP(C273,Capacité!C:L,10,FALSE)</f>
        <v>Les Eparmonts</v>
      </c>
    </row>
    <row r="274" spans="1:12">
      <c r="A274" t="s">
        <v>505</v>
      </c>
      <c r="B274" t="str">
        <f t="shared" si="37"/>
        <v>B22_04</v>
      </c>
      <c r="C274" s="323" t="str">
        <f t="shared" si="36"/>
        <v>E5397</v>
      </c>
      <c r="D274" t="str">
        <f t="shared" si="39"/>
        <v>NO_DATAVIEWS</v>
      </c>
      <c r="E274" s="62" t="str">
        <f t="shared" si="39"/>
        <v>NO_DEPARTMENTS</v>
      </c>
      <c r="F274" t="s">
        <v>506</v>
      </c>
      <c r="G274" t="s">
        <v>507</v>
      </c>
      <c r="H274" t="s">
        <v>508</v>
      </c>
      <c r="I274" t="s">
        <v>509</v>
      </c>
      <c r="J274" t="s">
        <v>589</v>
      </c>
      <c r="K274" s="497">
        <f>ROUND(HLOOKUP($B274,'2-Préparation saisie LV PROD'!$F$1:$Q$86,'2-Préparation saisie LV PROD'!A34,FALSE),0)</f>
        <v>1808485</v>
      </c>
      <c r="L274" t="str">
        <f>VLOOKUP(C274,Capacité!C:L,10,FALSE)</f>
        <v>Charmoy</v>
      </c>
    </row>
    <row r="275" spans="1:12">
      <c r="A275" t="s">
        <v>505</v>
      </c>
      <c r="B275" t="str">
        <f t="shared" si="37"/>
        <v>B22_04</v>
      </c>
      <c r="C275" s="323" t="str">
        <f t="shared" si="36"/>
        <v>E5398</v>
      </c>
      <c r="D275" t="str">
        <f t="shared" si="39"/>
        <v>NO_DATAVIEWS</v>
      </c>
      <c r="E275" s="62" t="str">
        <f t="shared" si="39"/>
        <v>NO_DEPARTMENTS</v>
      </c>
      <c r="F275" t="s">
        <v>506</v>
      </c>
      <c r="G275" t="s">
        <v>507</v>
      </c>
      <c r="H275" t="s">
        <v>508</v>
      </c>
      <c r="I275" t="s">
        <v>509</v>
      </c>
      <c r="J275" t="s">
        <v>589</v>
      </c>
      <c r="K275" s="497">
        <f>ROUND(HLOOKUP($B275,'2-Préparation saisie LV PROD'!$F$1:$Q$86,'2-Préparation saisie LV PROD'!A35,FALSE),0)</f>
        <v>3210416</v>
      </c>
      <c r="L275" t="str">
        <f>VLOOKUP(C275,Capacité!C:L,10,FALSE)</f>
        <v>Pannecé</v>
      </c>
    </row>
    <row r="276" spans="1:12">
      <c r="A276" t="s">
        <v>505</v>
      </c>
      <c r="B276" t="str">
        <f t="shared" si="37"/>
        <v>B22_04</v>
      </c>
      <c r="C276" s="323" t="str">
        <f t="shared" si="36"/>
        <v>E5399</v>
      </c>
      <c r="D276" t="str">
        <f t="shared" si="39"/>
        <v>NO_DATAVIEWS</v>
      </c>
      <c r="E276" s="62" t="str">
        <f t="shared" si="39"/>
        <v>NO_DEPARTMENTS</v>
      </c>
      <c r="F276" t="s">
        <v>506</v>
      </c>
      <c r="G276" t="s">
        <v>507</v>
      </c>
      <c r="H276" t="s">
        <v>508</v>
      </c>
      <c r="I276" t="s">
        <v>509</v>
      </c>
      <c r="J276" t="s">
        <v>589</v>
      </c>
      <c r="K276" s="497">
        <f>ROUND(HLOOKUP($B276,'2-Préparation saisie LV PROD'!$F$1:$Q$86,'2-Préparation saisie LV PROD'!A36,FALSE),0)</f>
        <v>6334454</v>
      </c>
      <c r="L276" t="str">
        <f>VLOOKUP(C276,Capacité!C:L,10,FALSE)</f>
        <v>Coulonges</v>
      </c>
    </row>
    <row r="277" spans="1:12">
      <c r="A277" t="s">
        <v>505</v>
      </c>
      <c r="B277" t="str">
        <f t="shared" si="37"/>
        <v>B22_04</v>
      </c>
      <c r="C277" s="323" t="str">
        <f t="shared" ref="C277:C308" si="40">C196</f>
        <v>E5400</v>
      </c>
      <c r="D277" t="str">
        <f t="shared" si="39"/>
        <v>NO_DATAVIEWS</v>
      </c>
      <c r="E277" s="62" t="str">
        <f t="shared" si="39"/>
        <v>NO_DEPARTMENTS</v>
      </c>
      <c r="F277" t="s">
        <v>506</v>
      </c>
      <c r="G277" t="s">
        <v>507</v>
      </c>
      <c r="H277" t="s">
        <v>508</v>
      </c>
      <c r="I277" t="s">
        <v>509</v>
      </c>
      <c r="J277" t="s">
        <v>589</v>
      </c>
      <c r="K277" s="497">
        <f>ROUND(HLOOKUP($B277,'2-Préparation saisie LV PROD'!$F$1:$Q$86,'2-Préparation saisie LV PROD'!A37,FALSE),0)</f>
        <v>3691609</v>
      </c>
      <c r="L277" t="str">
        <f>VLOOKUP(C277,Capacité!C:L,10,FALSE)</f>
        <v>SdlL</v>
      </c>
    </row>
    <row r="278" spans="1:12">
      <c r="A278" t="s">
        <v>505</v>
      </c>
      <c r="B278" t="str">
        <f t="shared" si="37"/>
        <v>B22_04</v>
      </c>
      <c r="C278" s="323" t="str">
        <f t="shared" si="40"/>
        <v>E5401</v>
      </c>
      <c r="D278" t="str">
        <f t="shared" si="39"/>
        <v>NO_DATAVIEWS</v>
      </c>
      <c r="E278" s="62" t="str">
        <f t="shared" si="39"/>
        <v>NO_DEPARTMENTS</v>
      </c>
      <c r="F278" t="s">
        <v>506</v>
      </c>
      <c r="G278" t="s">
        <v>507</v>
      </c>
      <c r="H278" t="s">
        <v>508</v>
      </c>
      <c r="I278" t="s">
        <v>509</v>
      </c>
      <c r="J278" t="s">
        <v>589</v>
      </c>
      <c r="K278" s="497">
        <f>ROUND(HLOOKUP($B278,'2-Préparation saisie LV PROD'!$F$1:$Q$86,'2-Préparation saisie LV PROD'!A38,FALSE),0)</f>
        <v>1472225</v>
      </c>
      <c r="L278" t="str">
        <f>VLOOKUP(C278,Capacité!C:L,10,FALSE)</f>
        <v>Pays d'Othe</v>
      </c>
    </row>
    <row r="279" spans="1:12">
      <c r="A279" t="s">
        <v>505</v>
      </c>
      <c r="B279" t="str">
        <f t="shared" si="37"/>
        <v>B22_04</v>
      </c>
      <c r="C279" s="323" t="str">
        <f t="shared" si="40"/>
        <v>E5402</v>
      </c>
      <c r="D279" t="str">
        <f t="shared" si="39"/>
        <v>NO_DATAVIEWS</v>
      </c>
      <c r="E279" s="62" t="str">
        <f t="shared" si="39"/>
        <v>NO_DEPARTMENTS</v>
      </c>
      <c r="F279" t="s">
        <v>506</v>
      </c>
      <c r="G279" t="s">
        <v>507</v>
      </c>
      <c r="H279" t="s">
        <v>508</v>
      </c>
      <c r="I279" t="s">
        <v>509</v>
      </c>
      <c r="J279" t="s">
        <v>589</v>
      </c>
      <c r="K279" s="497">
        <f>ROUND(HLOOKUP($B279,'2-Préparation saisie LV PROD'!$F$1:$Q$86,'2-Préparation saisie LV PROD'!A39,FALSE),0)</f>
        <v>1945244</v>
      </c>
      <c r="L279" t="str">
        <f>VLOOKUP(C279,Capacité!C:L,10,FALSE)</f>
        <v>Comes de l'Arce</v>
      </c>
    </row>
    <row r="280" spans="1:12">
      <c r="A280" t="s">
        <v>505</v>
      </c>
      <c r="B280" t="str">
        <f t="shared" si="37"/>
        <v>B22_04</v>
      </c>
      <c r="C280" s="323" t="str">
        <f t="shared" si="40"/>
        <v>E5570</v>
      </c>
      <c r="D280" t="str">
        <f t="shared" si="39"/>
        <v>NO_DATAVIEWS</v>
      </c>
      <c r="E280" s="62" t="str">
        <f t="shared" si="39"/>
        <v>NO_DEPARTMENTS</v>
      </c>
      <c r="F280" t="s">
        <v>506</v>
      </c>
      <c r="G280" t="s">
        <v>507</v>
      </c>
      <c r="H280" t="s">
        <v>508</v>
      </c>
      <c r="I280" t="s">
        <v>509</v>
      </c>
      <c r="J280" t="s">
        <v>589</v>
      </c>
      <c r="K280" s="497">
        <f>ROUND(HLOOKUP($B280,'2-Préparation saisie LV PROD'!$F$1:$Q$86,'2-Préparation saisie LV PROD'!A40,FALSE),0)</f>
        <v>2789492</v>
      </c>
      <c r="L280" t="str">
        <f>VLOOKUP(C280,Capacité!C:L,10,FALSE)</f>
        <v>Plateau de Savernat</v>
      </c>
    </row>
    <row r="281" spans="1:12">
      <c r="A281" t="s">
        <v>505</v>
      </c>
      <c r="B281" t="str">
        <f t="shared" si="37"/>
        <v>B22_04</v>
      </c>
      <c r="C281" s="323" t="str">
        <f t="shared" si="40"/>
        <v>E5560</v>
      </c>
      <c r="D281" t="str">
        <f t="shared" si="39"/>
        <v>NO_DATAVIEWS</v>
      </c>
      <c r="E281" s="62" t="str">
        <f t="shared" si="39"/>
        <v>NO_DEPARTMENTS</v>
      </c>
      <c r="F281" t="s">
        <v>506</v>
      </c>
      <c r="G281" t="s">
        <v>507</v>
      </c>
      <c r="H281" t="s">
        <v>508</v>
      </c>
      <c r="I281" t="s">
        <v>509</v>
      </c>
      <c r="J281" t="s">
        <v>589</v>
      </c>
      <c r="K281" s="497">
        <f>ROUND(HLOOKUP($B281,'2-Préparation saisie LV PROD'!$F$1:$Q$86,'2-Préparation saisie LV PROD'!A41,FALSE),0)</f>
        <v>1997393</v>
      </c>
      <c r="L281" t="str">
        <f>VLOOKUP(C281,Capacité!C:L,10,FALSE)</f>
        <v>Touvent</v>
      </c>
    </row>
    <row r="282" spans="1:12">
      <c r="A282" t="s">
        <v>505</v>
      </c>
      <c r="B282" t="str">
        <f t="shared" si="37"/>
        <v>B22_04</v>
      </c>
      <c r="C282" s="323" t="str">
        <f t="shared" si="40"/>
        <v>E5700</v>
      </c>
      <c r="D282" t="str">
        <f t="shared" si="39"/>
        <v>NO_DATAVIEWS</v>
      </c>
      <c r="E282" s="62" t="str">
        <f t="shared" si="39"/>
        <v>NO_DEPARTMENTS</v>
      </c>
      <c r="F282" t="s">
        <v>506</v>
      </c>
      <c r="G282" t="s">
        <v>507</v>
      </c>
      <c r="H282" t="s">
        <v>508</v>
      </c>
      <c r="I282" t="s">
        <v>509</v>
      </c>
      <c r="J282" t="s">
        <v>589</v>
      </c>
      <c r="K282" s="497">
        <f>ROUND(HLOOKUP($B282,'2-Préparation saisie LV PROD'!$F$1:$Q$86,'2-Préparation saisie LV PROD'!A42,FALSE),0)</f>
        <v>3941623</v>
      </c>
      <c r="L282" t="str">
        <f>VLOOKUP(C282,Capacité!C:L,10,FALSE)</f>
        <v>Haut de Comble (HC)</v>
      </c>
    </row>
    <row r="283" spans="1:12">
      <c r="A283" t="s">
        <v>505</v>
      </c>
      <c r="B283" t="str">
        <f t="shared" si="37"/>
        <v>B22_04</v>
      </c>
      <c r="C283" s="323" t="str">
        <f t="shared" si="40"/>
        <v>E5600</v>
      </c>
      <c r="D283" t="str">
        <f t="shared" si="39"/>
        <v>NO_DATAVIEWS</v>
      </c>
      <c r="E283" s="62" t="str">
        <f t="shared" si="39"/>
        <v>NO_DEPARTMENTS</v>
      </c>
      <c r="F283" t="s">
        <v>506</v>
      </c>
      <c r="G283" t="s">
        <v>507</v>
      </c>
      <c r="H283" t="s">
        <v>508</v>
      </c>
      <c r="I283" t="s">
        <v>509</v>
      </c>
      <c r="J283" t="s">
        <v>589</v>
      </c>
      <c r="K283" s="497">
        <f>ROUND(HLOOKUP($B283,'2-Préparation saisie LV PROD'!$F$1:$Q$86,'2-Préparation saisie LV PROD'!A43,FALSE),0)</f>
        <v>5535211</v>
      </c>
      <c r="L283" t="str">
        <f>VLOOKUP(C283,Capacité!C:L,10,FALSE)</f>
        <v>Inter deux bos (MET)</v>
      </c>
    </row>
    <row r="284" spans="1:12">
      <c r="A284" t="s">
        <v>505</v>
      </c>
      <c r="B284" t="str">
        <f t="shared" si="37"/>
        <v>B22_04</v>
      </c>
      <c r="C284" s="323" t="str">
        <f t="shared" si="40"/>
        <v>E5770</v>
      </c>
      <c r="D284" t="str">
        <f t="shared" ref="D284:E299" si="41">D283</f>
        <v>NO_DATAVIEWS</v>
      </c>
      <c r="E284" s="62" t="str">
        <f t="shared" si="41"/>
        <v>NO_DEPARTMENTS</v>
      </c>
      <c r="F284" t="s">
        <v>506</v>
      </c>
      <c r="G284" t="s">
        <v>507</v>
      </c>
      <c r="H284" t="s">
        <v>508</v>
      </c>
      <c r="I284" t="s">
        <v>509</v>
      </c>
      <c r="J284" t="s">
        <v>589</v>
      </c>
      <c r="K284" s="497">
        <f>ROUND(HLOOKUP($B284,'2-Préparation saisie LV PROD'!$F$1:$Q$86,'2-Préparation saisie LV PROD'!A44,FALSE),0)</f>
        <v>2304140</v>
      </c>
      <c r="L284" t="str">
        <f>VLOOKUP(C284,Capacité!C:L,10,FALSE)</f>
        <v>Le Pelon</v>
      </c>
    </row>
    <row r="285" spans="1:12">
      <c r="A285" t="s">
        <v>505</v>
      </c>
      <c r="B285" t="str">
        <f t="shared" si="37"/>
        <v>B22_04</v>
      </c>
      <c r="C285" s="323" t="str">
        <f t="shared" si="40"/>
        <v>E5630</v>
      </c>
      <c r="D285" t="str">
        <f t="shared" si="41"/>
        <v>NO_DATAVIEWS</v>
      </c>
      <c r="E285" s="62" t="str">
        <f t="shared" si="41"/>
        <v>NO_DEPARTMENTS</v>
      </c>
      <c r="F285" t="s">
        <v>506</v>
      </c>
      <c r="G285" t="s">
        <v>507</v>
      </c>
      <c r="H285" t="s">
        <v>508</v>
      </c>
      <c r="I285" t="s">
        <v>509</v>
      </c>
      <c r="J285" t="s">
        <v>589</v>
      </c>
      <c r="K285" s="497">
        <f>ROUND(HLOOKUP($B285,'2-Préparation saisie LV PROD'!$F$1:$Q$86,'2-Préparation saisie LV PROD'!A45,FALSE),0)</f>
        <v>4866476</v>
      </c>
      <c r="L285" t="str">
        <f>VLOOKUP(C285,Capacité!C:L,10,FALSE)</f>
        <v>Monts de Bagny</v>
      </c>
    </row>
    <row r="286" spans="1:12">
      <c r="A286" t="s">
        <v>505</v>
      </c>
      <c r="B286" t="str">
        <f t="shared" si="37"/>
        <v>B22_04</v>
      </c>
      <c r="C286" s="323" t="str">
        <f t="shared" si="40"/>
        <v>E5690</v>
      </c>
      <c r="D286" t="str">
        <f t="shared" si="41"/>
        <v>NO_DATAVIEWS</v>
      </c>
      <c r="E286" s="62" t="str">
        <f t="shared" si="41"/>
        <v>NO_DEPARTMENTS</v>
      </c>
      <c r="F286" t="s">
        <v>506</v>
      </c>
      <c r="G286" t="s">
        <v>507</v>
      </c>
      <c r="H286" t="s">
        <v>508</v>
      </c>
      <c r="I286" t="s">
        <v>509</v>
      </c>
      <c r="J286" t="s">
        <v>589</v>
      </c>
      <c r="K286" s="497">
        <f>ROUND(HLOOKUP($B286,'2-Préparation saisie LV PROD'!$F$1:$Q$86,'2-Préparation saisie LV PROD'!A46,FALSE),0)</f>
        <v>2247618</v>
      </c>
      <c r="L286" t="str">
        <f>VLOOKUP(C286,Capacité!C:L,10,FALSE)</f>
        <v>Voie des monts</v>
      </c>
    </row>
    <row r="287" spans="1:12">
      <c r="A287" t="s">
        <v>505</v>
      </c>
      <c r="B287" t="str">
        <f t="shared" si="37"/>
        <v>B22_04</v>
      </c>
      <c r="C287" s="323" t="str">
        <f t="shared" si="40"/>
        <v>E5640</v>
      </c>
      <c r="D287" t="str">
        <f t="shared" si="41"/>
        <v>NO_DATAVIEWS</v>
      </c>
      <c r="E287" s="62" t="str">
        <f t="shared" si="41"/>
        <v>NO_DEPARTMENTS</v>
      </c>
      <c r="F287" t="s">
        <v>506</v>
      </c>
      <c r="G287" t="s">
        <v>507</v>
      </c>
      <c r="H287" t="s">
        <v>508</v>
      </c>
      <c r="I287" t="s">
        <v>509</v>
      </c>
      <c r="J287" t="s">
        <v>589</v>
      </c>
      <c r="K287" s="497">
        <f>ROUND(HLOOKUP($B287,'2-Préparation saisie LV PROD'!$F$1:$Q$86,'2-Préparation saisie LV PROD'!A47,FALSE),0)</f>
        <v>4382731</v>
      </c>
      <c r="L287" t="str">
        <f>VLOOKUP(C287,Capacité!C:L,10,FALSE)</f>
        <v>Artois</v>
      </c>
    </row>
    <row r="288" spans="1:12">
      <c r="A288" t="s">
        <v>505</v>
      </c>
      <c r="B288" t="str">
        <f t="shared" si="37"/>
        <v>B22_04</v>
      </c>
      <c r="C288" s="323" t="str">
        <f t="shared" si="40"/>
        <v>E5620</v>
      </c>
      <c r="D288" t="str">
        <f t="shared" si="41"/>
        <v>NO_DATAVIEWS</v>
      </c>
      <c r="E288" s="62" t="str">
        <f t="shared" si="41"/>
        <v>NO_DEPARTMENTS</v>
      </c>
      <c r="F288" t="s">
        <v>506</v>
      </c>
      <c r="G288" t="s">
        <v>507</v>
      </c>
      <c r="H288" t="s">
        <v>508</v>
      </c>
      <c r="I288" t="s">
        <v>509</v>
      </c>
      <c r="J288" t="s">
        <v>589</v>
      </c>
      <c r="K288" s="497">
        <f>ROUND(HLOOKUP($B288,'2-Préparation saisie LV PROD'!$F$1:$Q$86,'2-Préparation saisie LV PROD'!A48,FALSE),0)</f>
        <v>5541886</v>
      </c>
      <c r="L288" t="str">
        <f>VLOOKUP(C288,Capacité!C:L,10,FALSE)</f>
        <v>Chemin de Grès</v>
      </c>
    </row>
    <row r="289" spans="1:12">
      <c r="A289" t="s">
        <v>505</v>
      </c>
      <c r="B289" t="str">
        <f t="shared" si="37"/>
        <v>B22_04</v>
      </c>
      <c r="C289" s="323" t="str">
        <f t="shared" si="40"/>
        <v>E5810</v>
      </c>
      <c r="D289" t="str">
        <f t="shared" si="41"/>
        <v>NO_DATAVIEWS</v>
      </c>
      <c r="E289" s="62" t="str">
        <f t="shared" si="41"/>
        <v>NO_DEPARTMENTS</v>
      </c>
      <c r="F289" t="s">
        <v>506</v>
      </c>
      <c r="G289" t="s">
        <v>507</v>
      </c>
      <c r="H289" t="s">
        <v>508</v>
      </c>
      <c r="I289" t="s">
        <v>509</v>
      </c>
      <c r="J289" t="s">
        <v>589</v>
      </c>
      <c r="K289" s="497">
        <f>ROUND(HLOOKUP($B289,'2-Préparation saisie LV PROD'!$F$1:$Q$86,'2-Préparation saisie LV PROD'!A49,FALSE),0)</f>
        <v>3893653</v>
      </c>
      <c r="L289" t="str">
        <f>VLOOKUP(C289,Capacité!C:L,10,FALSE)</f>
        <v>Coteaux du Blaiseron</v>
      </c>
    </row>
    <row r="290" spans="1:12">
      <c r="A290" t="s">
        <v>505</v>
      </c>
      <c r="B290" t="str">
        <f t="shared" si="37"/>
        <v>B22_04</v>
      </c>
      <c r="C290" s="323" t="str">
        <f t="shared" si="40"/>
        <v>E5660</v>
      </c>
      <c r="D290" t="str">
        <f t="shared" si="41"/>
        <v>NO_DATAVIEWS</v>
      </c>
      <c r="E290" s="62" t="str">
        <f t="shared" si="41"/>
        <v>NO_DEPARTMENTS</v>
      </c>
      <c r="F290" t="s">
        <v>506</v>
      </c>
      <c r="G290" t="s">
        <v>507</v>
      </c>
      <c r="H290" t="s">
        <v>508</v>
      </c>
      <c r="I290" t="s">
        <v>509</v>
      </c>
      <c r="J290" t="s">
        <v>589</v>
      </c>
      <c r="K290" s="497">
        <f>ROUND(HLOOKUP($B290,'2-Préparation saisie LV PROD'!$F$1:$Q$86,'2-Préparation saisie LV PROD'!A50,FALSE),0)</f>
        <v>3464360</v>
      </c>
      <c r="L290" t="str">
        <f>VLOOKUP(C290,Capacité!C:L,10,FALSE)</f>
        <v>XSAN</v>
      </c>
    </row>
    <row r="291" spans="1:12">
      <c r="A291" t="s">
        <v>505</v>
      </c>
      <c r="B291" t="str">
        <f t="shared" si="37"/>
        <v>B22_04</v>
      </c>
      <c r="C291" s="323" t="str">
        <f t="shared" si="40"/>
        <v>E5590</v>
      </c>
      <c r="D291" t="str">
        <f t="shared" si="41"/>
        <v>NO_DATAVIEWS</v>
      </c>
      <c r="E291" s="62" t="str">
        <f t="shared" si="41"/>
        <v>NO_DEPARTMENTS</v>
      </c>
      <c r="F291" t="s">
        <v>506</v>
      </c>
      <c r="G291" t="s">
        <v>507</v>
      </c>
      <c r="H291" t="s">
        <v>508</v>
      </c>
      <c r="I291" t="s">
        <v>509</v>
      </c>
      <c r="J291" t="s">
        <v>589</v>
      </c>
      <c r="K291" s="497">
        <f>ROUND(HLOOKUP($B291,'2-Préparation saisie LV PROD'!$F$1:$Q$86,'2-Préparation saisie LV PROD'!A51,FALSE),0)</f>
        <v>2554389</v>
      </c>
      <c r="L291" t="str">
        <f>VLOOKUP(C291,Capacité!C:L,10,FALSE)</f>
        <v>Le Catésis (CAT)</v>
      </c>
    </row>
    <row r="292" spans="1:12">
      <c r="A292" t="s">
        <v>505</v>
      </c>
      <c r="B292" t="str">
        <f t="shared" si="37"/>
        <v>B22_04</v>
      </c>
      <c r="C292" s="323" t="str">
        <f t="shared" si="40"/>
        <v>E5650</v>
      </c>
      <c r="D292" t="str">
        <f t="shared" si="41"/>
        <v>NO_DATAVIEWS</v>
      </c>
      <c r="E292" s="62" t="str">
        <f t="shared" si="41"/>
        <v>NO_DEPARTMENTS</v>
      </c>
      <c r="F292" t="s">
        <v>506</v>
      </c>
      <c r="G292" t="s">
        <v>507</v>
      </c>
      <c r="H292" t="s">
        <v>508</v>
      </c>
      <c r="I292" t="s">
        <v>509</v>
      </c>
      <c r="J292" t="s">
        <v>589</v>
      </c>
      <c r="K292" s="497">
        <f>ROUND(HLOOKUP($B292,'2-Préparation saisie LV PROD'!$F$1:$Q$86,'2-Préparation saisie LV PROD'!A52,FALSE),0)</f>
        <v>4420020</v>
      </c>
      <c r="L292" t="str">
        <f>VLOOKUP(C292,Capacité!C:L,10,FALSE)</f>
        <v>Seuil du Cambrésis- Ribecourt (RIB)</v>
      </c>
    </row>
    <row r="293" spans="1:12">
      <c r="A293" t="s">
        <v>505</v>
      </c>
      <c r="B293" t="str">
        <f t="shared" si="37"/>
        <v>B22_04</v>
      </c>
      <c r="C293" s="323" t="str">
        <f t="shared" si="40"/>
        <v>E5720</v>
      </c>
      <c r="D293" t="str">
        <f t="shared" si="41"/>
        <v>NO_DATAVIEWS</v>
      </c>
      <c r="E293" s="62" t="str">
        <f t="shared" si="41"/>
        <v>NO_DEPARTMENTS</v>
      </c>
      <c r="F293" t="s">
        <v>506</v>
      </c>
      <c r="G293" t="s">
        <v>507</v>
      </c>
      <c r="H293" t="s">
        <v>508</v>
      </c>
      <c r="I293" t="s">
        <v>509</v>
      </c>
      <c r="J293" t="s">
        <v>589</v>
      </c>
      <c r="K293" s="497">
        <f>ROUND(HLOOKUP($B293,'2-Préparation saisie LV PROD'!$F$1:$Q$86,'2-Préparation saisie LV PROD'!A53,FALSE),0)</f>
        <v>3415653</v>
      </c>
      <c r="L293" t="str">
        <f>VLOOKUP(C293,Capacité!C:L,10,FALSE)</f>
        <v>Basse Thiérache Nord</v>
      </c>
    </row>
    <row r="294" spans="1:12">
      <c r="A294" t="s">
        <v>505</v>
      </c>
      <c r="B294" t="str">
        <f t="shared" si="37"/>
        <v>B22_04</v>
      </c>
      <c r="C294" s="323" t="str">
        <f t="shared" si="40"/>
        <v>E5710</v>
      </c>
      <c r="D294" t="str">
        <f t="shared" si="41"/>
        <v>NO_DATAVIEWS</v>
      </c>
      <c r="E294" s="62" t="str">
        <f t="shared" si="41"/>
        <v>NO_DEPARTMENTS</v>
      </c>
      <c r="F294" t="s">
        <v>506</v>
      </c>
      <c r="G294" t="s">
        <v>507</v>
      </c>
      <c r="H294" t="s">
        <v>508</v>
      </c>
      <c r="I294" t="s">
        <v>509</v>
      </c>
      <c r="J294" t="s">
        <v>589</v>
      </c>
      <c r="K294" s="497">
        <f>ROUND(HLOOKUP($B294,'2-Préparation saisie LV PROD'!$F$1:$Q$86,'2-Préparation saisie LV PROD'!A54,FALSE),0)</f>
        <v>4794381</v>
      </c>
      <c r="L294" t="str">
        <f>VLOOKUP(C294,Capacité!C:L,10,FALSE)</f>
        <v>Sources de l'Ancre</v>
      </c>
    </row>
    <row r="295" spans="1:12">
      <c r="A295" t="s">
        <v>505</v>
      </c>
      <c r="B295" t="str">
        <f t="shared" si="37"/>
        <v>B22_04</v>
      </c>
      <c r="C295" s="323" t="str">
        <f t="shared" si="40"/>
        <v>E6190</v>
      </c>
      <c r="D295" t="str">
        <f t="shared" si="41"/>
        <v>NO_DATAVIEWS</v>
      </c>
      <c r="E295" s="62" t="str">
        <f t="shared" si="41"/>
        <v>NO_DEPARTMENTS</v>
      </c>
      <c r="F295" t="s">
        <v>506</v>
      </c>
      <c r="G295" t="s">
        <v>507</v>
      </c>
      <c r="H295" t="s">
        <v>508</v>
      </c>
      <c r="I295" t="s">
        <v>509</v>
      </c>
      <c r="J295" t="s">
        <v>589</v>
      </c>
      <c r="K295" s="497">
        <f>ROUND(HLOOKUP($B295,'2-Préparation saisie LV PROD'!$F$1:$Q$86,'2-Préparation saisie LV PROD'!A55,FALSE),0)</f>
        <v>0</v>
      </c>
      <c r="L295" t="str">
        <f>VLOOKUP(C295,Capacité!C:L,10,FALSE)</f>
        <v>Evits et Josaphats</v>
      </c>
    </row>
    <row r="296" spans="1:12">
      <c r="A296" t="s">
        <v>505</v>
      </c>
      <c r="B296" t="str">
        <f t="shared" si="37"/>
        <v>B22_04</v>
      </c>
      <c r="C296" s="323" t="str">
        <f t="shared" si="40"/>
        <v>E6200</v>
      </c>
      <c r="D296" t="str">
        <f t="shared" si="41"/>
        <v>NO_DATAVIEWS</v>
      </c>
      <c r="E296" s="62" t="str">
        <f t="shared" si="41"/>
        <v>NO_DEPARTMENTS</v>
      </c>
      <c r="F296" t="s">
        <v>506</v>
      </c>
      <c r="G296" t="s">
        <v>507</v>
      </c>
      <c r="H296" t="s">
        <v>508</v>
      </c>
      <c r="I296" t="s">
        <v>509</v>
      </c>
      <c r="J296" t="s">
        <v>589</v>
      </c>
      <c r="K296" s="497">
        <f>ROUND(HLOOKUP($B296,'2-Préparation saisie LV PROD'!$F$1:$Q$86,'2-Préparation saisie LV PROD'!A56,FALSE),0)</f>
        <v>0</v>
      </c>
      <c r="L296" t="str">
        <f>VLOOKUP(C296,Capacité!C:L,10,FALSE)</f>
        <v>Remise Reclainville</v>
      </c>
    </row>
    <row r="297" spans="1:12">
      <c r="A297" t="s">
        <v>505</v>
      </c>
      <c r="B297" t="str">
        <f t="shared" si="37"/>
        <v>B22_04</v>
      </c>
      <c r="C297" s="323" t="str">
        <f t="shared" si="40"/>
        <v>E6150</v>
      </c>
      <c r="D297" t="str">
        <f t="shared" si="41"/>
        <v>NO_DATAVIEWS</v>
      </c>
      <c r="E297" s="62" t="str">
        <f t="shared" si="41"/>
        <v>NO_DEPARTMENTS</v>
      </c>
      <c r="F297" t="s">
        <v>506</v>
      </c>
      <c r="G297" t="s">
        <v>507</v>
      </c>
      <c r="H297" t="s">
        <v>508</v>
      </c>
      <c r="I297" t="s">
        <v>509</v>
      </c>
      <c r="J297" t="s">
        <v>589</v>
      </c>
      <c r="K297" s="497">
        <f>ROUND(HLOOKUP($B297,'2-Préparation saisie LV PROD'!$F$1:$Q$86,'2-Préparation saisie LV PROD'!A57,FALSE),0)</f>
        <v>1293725</v>
      </c>
      <c r="L297" t="str">
        <f>VLOOKUP(C297,Capacité!C:L,10,FALSE)</f>
        <v>Fierville</v>
      </c>
    </row>
    <row r="298" spans="1:12">
      <c r="A298" t="s">
        <v>505</v>
      </c>
      <c r="B298" t="str">
        <f t="shared" si="37"/>
        <v>B22_04</v>
      </c>
      <c r="C298" s="323" t="str">
        <f t="shared" si="40"/>
        <v>E6340</v>
      </c>
      <c r="D298" t="str">
        <f t="shared" si="41"/>
        <v>NO_DATAVIEWS</v>
      </c>
      <c r="E298" s="62" t="str">
        <f t="shared" si="41"/>
        <v>NO_DEPARTMENTS</v>
      </c>
      <c r="F298" t="s">
        <v>506</v>
      </c>
      <c r="G298" t="s">
        <v>507</v>
      </c>
      <c r="H298" t="s">
        <v>508</v>
      </c>
      <c r="I298" t="s">
        <v>509</v>
      </c>
      <c r="J298" t="s">
        <v>589</v>
      </c>
      <c r="K298" s="497">
        <f>ROUND(HLOOKUP($B298,'2-Préparation saisie LV PROD'!$F$1:$Q$86,'2-Préparation saisie LV PROD'!A58,FALSE),0)</f>
        <v>2039959</v>
      </c>
      <c r="L298" t="str">
        <f>VLOOKUP(C298,Capacité!C:L,10,FALSE)</f>
        <v>Plaine de Beaunay</v>
      </c>
    </row>
    <row r="299" spans="1:12">
      <c r="A299" t="s">
        <v>505</v>
      </c>
      <c r="B299" t="str">
        <f t="shared" si="37"/>
        <v>B22_04</v>
      </c>
      <c r="C299" s="323" t="str">
        <f t="shared" si="40"/>
        <v>E6370</v>
      </c>
      <c r="D299" t="str">
        <f t="shared" si="41"/>
        <v>NO_DATAVIEWS</v>
      </c>
      <c r="E299" s="62" t="str">
        <f t="shared" si="41"/>
        <v>NO_DEPARTMENTS</v>
      </c>
      <c r="F299" t="s">
        <v>506</v>
      </c>
      <c r="G299" t="s">
        <v>507</v>
      </c>
      <c r="H299" t="s">
        <v>508</v>
      </c>
      <c r="I299" t="s">
        <v>509</v>
      </c>
      <c r="J299" t="s">
        <v>589</v>
      </c>
      <c r="K299" s="497">
        <f>ROUND(HLOOKUP($B299,'2-Préparation saisie LV PROD'!$F$1:$Q$86,'2-Préparation saisie LV PROD'!A59,FALSE),0)</f>
        <v>2677985</v>
      </c>
      <c r="L299" t="str">
        <f>VLOOKUP(C299,Capacité!C:L,10,FALSE)</f>
        <v>Val au Moines</v>
      </c>
    </row>
    <row r="300" spans="1:12">
      <c r="A300" t="s">
        <v>505</v>
      </c>
      <c r="B300" t="str">
        <f t="shared" si="37"/>
        <v>B22_04</v>
      </c>
      <c r="C300" s="323" t="str">
        <f t="shared" si="40"/>
        <v>E6250</v>
      </c>
      <c r="D300" t="str">
        <f t="shared" ref="D300:E315" si="42">D299</f>
        <v>NO_DATAVIEWS</v>
      </c>
      <c r="E300" s="62" t="str">
        <f t="shared" si="42"/>
        <v>NO_DEPARTMENTS</v>
      </c>
      <c r="F300" t="s">
        <v>506</v>
      </c>
      <c r="G300" t="s">
        <v>507</v>
      </c>
      <c r="H300" t="s">
        <v>508</v>
      </c>
      <c r="I300" t="s">
        <v>509</v>
      </c>
      <c r="J300" t="s">
        <v>589</v>
      </c>
      <c r="K300" s="497">
        <f>ROUND(HLOOKUP($B300,'2-Préparation saisie LV PROD'!$F$1:$Q$86,'2-Préparation saisie LV PROD'!A60,FALSE),0)</f>
        <v>1337884</v>
      </c>
      <c r="L300" t="str">
        <f>VLOOKUP(C300,Capacité!C:L,10,FALSE)</f>
        <v>Bougainville</v>
      </c>
    </row>
    <row r="301" spans="1:12">
      <c r="A301" t="s">
        <v>505</v>
      </c>
      <c r="B301" t="str">
        <f t="shared" si="37"/>
        <v>B22_04</v>
      </c>
      <c r="C301" s="323" t="str">
        <f t="shared" si="40"/>
        <v>E6260</v>
      </c>
      <c r="D301" t="str">
        <f t="shared" si="42"/>
        <v>NO_DATAVIEWS</v>
      </c>
      <c r="E301" s="62" t="str">
        <f t="shared" si="42"/>
        <v>NO_DEPARTMENTS</v>
      </c>
      <c r="F301" t="s">
        <v>506</v>
      </c>
      <c r="G301" t="s">
        <v>507</v>
      </c>
      <c r="H301" t="s">
        <v>508</v>
      </c>
      <c r="I301" t="s">
        <v>509</v>
      </c>
      <c r="J301" t="s">
        <v>589</v>
      </c>
      <c r="K301" s="497">
        <f>ROUND(HLOOKUP($B301,'2-Préparation saisie LV PROD'!$F$1:$Q$86,'2-Préparation saisie LV PROD'!A61,FALSE),0)</f>
        <v>1556520</v>
      </c>
      <c r="L301" t="str">
        <f>VLOOKUP(C301,Capacité!C:L,10,FALSE)</f>
        <v>Saint André</v>
      </c>
    </row>
    <row r="302" spans="1:12">
      <c r="A302" t="s">
        <v>505</v>
      </c>
      <c r="B302" t="str">
        <f t="shared" si="37"/>
        <v>B22_04</v>
      </c>
      <c r="C302" s="323" t="str">
        <f t="shared" si="40"/>
        <v>E6120</v>
      </c>
      <c r="D302" t="str">
        <f t="shared" si="42"/>
        <v>NO_DATAVIEWS</v>
      </c>
      <c r="E302" s="62" t="str">
        <f t="shared" si="42"/>
        <v>NO_DEPARTMENTS</v>
      </c>
      <c r="F302" t="s">
        <v>506</v>
      </c>
      <c r="G302" t="s">
        <v>507</v>
      </c>
      <c r="H302" t="s">
        <v>508</v>
      </c>
      <c r="I302" t="s">
        <v>509</v>
      </c>
      <c r="J302" t="s">
        <v>589</v>
      </c>
      <c r="K302" s="497">
        <f>ROUND(HLOOKUP($B302,'2-Préparation saisie LV PROD'!$F$1:$Q$86,'2-Préparation saisie LV PROD'!A62,FALSE),0)</f>
        <v>807180</v>
      </c>
      <c r="L302" t="str">
        <f>VLOOKUP(C302,Capacité!C:L,10,FALSE)</f>
        <v>Fond de la Plaine</v>
      </c>
    </row>
    <row r="303" spans="1:12">
      <c r="A303" t="s">
        <v>505</v>
      </c>
      <c r="B303" t="str">
        <f t="shared" si="37"/>
        <v>B22_04</v>
      </c>
      <c r="C303" s="323" t="str">
        <f t="shared" si="40"/>
        <v>E6130</v>
      </c>
      <c r="D303" t="str">
        <f t="shared" si="42"/>
        <v>NO_DATAVIEWS</v>
      </c>
      <c r="E303" s="62" t="str">
        <f t="shared" si="42"/>
        <v>NO_DEPARTMENTS</v>
      </c>
      <c r="F303" t="s">
        <v>506</v>
      </c>
      <c r="G303" t="s">
        <v>507</v>
      </c>
      <c r="H303" t="s">
        <v>508</v>
      </c>
      <c r="I303" t="s">
        <v>509</v>
      </c>
      <c r="J303" t="s">
        <v>589</v>
      </c>
      <c r="K303" s="497">
        <f>ROUND(HLOOKUP($B303,'2-Préparation saisie LV PROD'!$F$1:$Q$86,'2-Préparation saisie LV PROD'!A63,FALSE),0)</f>
        <v>1722109</v>
      </c>
      <c r="L303" t="str">
        <f>VLOOKUP(C303,Capacité!C:L,10,FALSE)</f>
        <v>Bassigny</v>
      </c>
    </row>
    <row r="304" spans="1:12">
      <c r="A304" t="s">
        <v>505</v>
      </c>
      <c r="B304" t="str">
        <f t="shared" si="37"/>
        <v>B22_04</v>
      </c>
      <c r="C304" s="323" t="str">
        <f t="shared" si="40"/>
        <v>E6210</v>
      </c>
      <c r="D304" t="str">
        <f t="shared" si="42"/>
        <v>NO_DATAVIEWS</v>
      </c>
      <c r="E304" s="62" t="str">
        <f t="shared" si="42"/>
        <v>NO_DEPARTMENTS</v>
      </c>
      <c r="F304" t="s">
        <v>506</v>
      </c>
      <c r="G304" t="s">
        <v>507</v>
      </c>
      <c r="H304" t="s">
        <v>508</v>
      </c>
      <c r="I304" t="s">
        <v>509</v>
      </c>
      <c r="J304" t="s">
        <v>589</v>
      </c>
      <c r="K304" s="497">
        <f>ROUND(HLOOKUP($B304,'2-Préparation saisie LV PROD'!$F$1:$Q$86,'2-Préparation saisie LV PROD'!A64,FALSE),0)</f>
        <v>1237485</v>
      </c>
      <c r="L304" t="str">
        <f>VLOOKUP(C304,Capacité!C:L,10,FALSE)</f>
        <v>Les Clérimois</v>
      </c>
    </row>
    <row r="305" spans="1:12">
      <c r="A305" t="s">
        <v>505</v>
      </c>
      <c r="B305" t="str">
        <f t="shared" si="37"/>
        <v>B22_04</v>
      </c>
      <c r="C305" s="323" t="str">
        <f t="shared" si="40"/>
        <v>E6160</v>
      </c>
      <c r="D305" t="str">
        <f t="shared" si="42"/>
        <v>NO_DATAVIEWS</v>
      </c>
      <c r="E305" s="62" t="str">
        <f t="shared" si="42"/>
        <v>NO_DEPARTMENTS</v>
      </c>
      <c r="F305" t="s">
        <v>506</v>
      </c>
      <c r="G305" t="s">
        <v>507</v>
      </c>
      <c r="H305" t="s">
        <v>508</v>
      </c>
      <c r="I305" t="s">
        <v>509</v>
      </c>
      <c r="J305" t="s">
        <v>589</v>
      </c>
      <c r="K305" s="497">
        <f>ROUND(HLOOKUP($B305,'2-Préparation saisie LV PROD'!$F$1:$Q$86,'2-Préparation saisie LV PROD'!A65,FALSE),0)</f>
        <v>1593574</v>
      </c>
      <c r="L305" t="str">
        <f>VLOOKUP(C305,Capacité!C:L,10,FALSE)</f>
        <v>Plateau de Langres</v>
      </c>
    </row>
    <row r="306" spans="1:12">
      <c r="A306" t="s">
        <v>505</v>
      </c>
      <c r="B306" t="str">
        <f t="shared" si="37"/>
        <v>B22_04</v>
      </c>
      <c r="C306" s="323" t="str">
        <f t="shared" si="40"/>
        <v>E6170</v>
      </c>
      <c r="D306" t="str">
        <f t="shared" si="42"/>
        <v>NO_DATAVIEWS</v>
      </c>
      <c r="E306" s="62" t="str">
        <f t="shared" si="42"/>
        <v>NO_DEPARTMENTS</v>
      </c>
      <c r="F306" t="s">
        <v>506</v>
      </c>
      <c r="G306" t="s">
        <v>507</v>
      </c>
      <c r="H306" t="s">
        <v>508</v>
      </c>
      <c r="I306" t="s">
        <v>509</v>
      </c>
      <c r="J306" t="s">
        <v>589</v>
      </c>
      <c r="K306" s="497">
        <f>ROUND(HLOOKUP($B306,'2-Préparation saisie LV PROD'!$F$1:$Q$86,'2-Préparation saisie LV PROD'!A66,FALSE),0)</f>
        <v>1278781</v>
      </c>
      <c r="L306" t="str">
        <f>VLOOKUP(C306,Capacité!C:L,10,FALSE)</f>
        <v>Les Moulins de Boulay</v>
      </c>
    </row>
    <row r="307" spans="1:12">
      <c r="A307" t="s">
        <v>505</v>
      </c>
      <c r="B307" t="str">
        <f t="shared" si="37"/>
        <v>B22_04</v>
      </c>
      <c r="C307" s="323" t="str">
        <f t="shared" si="40"/>
        <v>E6330</v>
      </c>
      <c r="D307" t="str">
        <f t="shared" si="42"/>
        <v>NO_DATAVIEWS</v>
      </c>
      <c r="E307" s="62" t="str">
        <f t="shared" si="42"/>
        <v>NO_DEPARTMENTS</v>
      </c>
      <c r="F307" t="s">
        <v>506</v>
      </c>
      <c r="G307" t="s">
        <v>507</v>
      </c>
      <c r="H307" t="s">
        <v>508</v>
      </c>
      <c r="I307" t="s">
        <v>509</v>
      </c>
      <c r="J307" t="s">
        <v>589</v>
      </c>
      <c r="K307" s="497">
        <f>ROUND(HLOOKUP($B307,'2-Préparation saisie LV PROD'!$F$1:$Q$86,'2-Préparation saisie LV PROD'!A67,FALSE),0)</f>
        <v>1605661</v>
      </c>
      <c r="L307" t="str">
        <f>VLOOKUP(C307,Capacité!C:L,10,FALSE)</f>
        <v>Morlange</v>
      </c>
    </row>
    <row r="308" spans="1:12">
      <c r="A308" t="s">
        <v>505</v>
      </c>
      <c r="B308" t="str">
        <f t="shared" si="37"/>
        <v>B22_04</v>
      </c>
      <c r="C308" s="323" t="str">
        <f t="shared" si="40"/>
        <v>E6140</v>
      </c>
      <c r="D308" t="str">
        <f t="shared" si="42"/>
        <v>NO_DATAVIEWS</v>
      </c>
      <c r="E308" s="62" t="str">
        <f t="shared" si="42"/>
        <v>NO_DEPARTMENTS</v>
      </c>
      <c r="F308" t="s">
        <v>506</v>
      </c>
      <c r="G308" t="s">
        <v>507</v>
      </c>
      <c r="H308" t="s">
        <v>508</v>
      </c>
      <c r="I308" t="s">
        <v>509</v>
      </c>
      <c r="J308" t="s">
        <v>589</v>
      </c>
      <c r="K308" s="497">
        <f>ROUND(HLOOKUP($B308,'2-Préparation saisie LV PROD'!$F$1:$Q$86,'2-Préparation saisie LV PROD'!A68,FALSE),0)</f>
        <v>1663563</v>
      </c>
      <c r="L308" t="str">
        <f>VLOOKUP(C308,Capacité!C:L,10,FALSE)</f>
        <v>Renardières mont de Bezard</v>
      </c>
    </row>
    <row r="309" spans="1:12">
      <c r="A309" t="s">
        <v>505</v>
      </c>
      <c r="B309" t="str">
        <f t="shared" si="37"/>
        <v>B22_04</v>
      </c>
      <c r="C309" s="323" t="str">
        <f t="shared" ref="C309:C319" si="43">C228</f>
        <v>E6350</v>
      </c>
      <c r="D309" t="str">
        <f t="shared" si="42"/>
        <v>NO_DATAVIEWS</v>
      </c>
      <c r="E309" s="62" t="str">
        <f t="shared" si="42"/>
        <v>NO_DEPARTMENTS</v>
      </c>
      <c r="F309" t="s">
        <v>506</v>
      </c>
      <c r="G309" t="s">
        <v>507</v>
      </c>
      <c r="H309" t="s">
        <v>508</v>
      </c>
      <c r="I309" t="s">
        <v>509</v>
      </c>
      <c r="J309" t="s">
        <v>589</v>
      </c>
      <c r="K309" s="497">
        <f>ROUND(HLOOKUP($B309,'2-Préparation saisie LV PROD'!$F$1:$Q$86,'2-Préparation saisie LV PROD'!A69,FALSE),0)</f>
        <v>1679323</v>
      </c>
      <c r="L309" t="str">
        <f>VLOOKUP(C309,Capacité!C:L,10,FALSE)</f>
        <v>Zondrange</v>
      </c>
    </row>
    <row r="310" spans="1:12">
      <c r="A310" t="s">
        <v>505</v>
      </c>
      <c r="B310" t="str">
        <f t="shared" si="37"/>
        <v>B22_04</v>
      </c>
      <c r="C310" s="323" t="str">
        <f t="shared" si="43"/>
        <v>E6360</v>
      </c>
      <c r="D310" t="str">
        <f t="shared" si="42"/>
        <v>NO_DATAVIEWS</v>
      </c>
      <c r="E310" s="62" t="str">
        <f t="shared" si="42"/>
        <v>NO_DEPARTMENTS</v>
      </c>
      <c r="F310" t="s">
        <v>506</v>
      </c>
      <c r="G310" t="s">
        <v>507</v>
      </c>
      <c r="H310" t="s">
        <v>508</v>
      </c>
      <c r="I310" t="s">
        <v>509</v>
      </c>
      <c r="J310" t="s">
        <v>589</v>
      </c>
      <c r="K310" s="497">
        <f>ROUND(HLOOKUP($B310,'2-Préparation saisie LV PROD'!$F$1:$Q$86,'2-Préparation saisie LV PROD'!A70,FALSE),0)</f>
        <v>1784593</v>
      </c>
      <c r="L310" t="str">
        <f>VLOOKUP(C310,Capacité!C:L,10,FALSE)</f>
        <v xml:space="preserve">Noyers </v>
      </c>
    </row>
    <row r="311" spans="1:12">
      <c r="A311" t="s">
        <v>505</v>
      </c>
      <c r="B311" t="str">
        <f>+$B$245</f>
        <v>B22_04</v>
      </c>
      <c r="C311" s="323" t="str">
        <f t="shared" si="43"/>
        <v>E5550</v>
      </c>
      <c r="D311" t="str">
        <f t="shared" si="42"/>
        <v>NO_DATAVIEWS</v>
      </c>
      <c r="E311" s="62" t="str">
        <f t="shared" si="42"/>
        <v>NO_DEPARTMENTS</v>
      </c>
      <c r="F311" t="s">
        <v>506</v>
      </c>
      <c r="G311" t="s">
        <v>507</v>
      </c>
      <c r="H311" t="s">
        <v>508</v>
      </c>
      <c r="I311" t="s">
        <v>509</v>
      </c>
      <c r="J311" t="s">
        <v>589</v>
      </c>
      <c r="K311" s="497">
        <f>ROUND(HLOOKUP($B311,'2-Préparation saisie LV PROD'!$F$1:$Q$86,'2-Préparation saisie LV PROD'!A71,FALSE),0)</f>
        <v>1366177</v>
      </c>
      <c r="L311" t="str">
        <f>VLOOKUP(C311,Capacité!C:L,10,FALSE)</f>
        <v>Les Cigalettes (Montfort) / Solaire</v>
      </c>
    </row>
    <row r="312" spans="1:12">
      <c r="A312" t="s">
        <v>505</v>
      </c>
      <c r="B312" t="str">
        <f>+$B$245</f>
        <v>B22_04</v>
      </c>
      <c r="C312" s="323" t="str">
        <f t="shared" si="43"/>
        <v>E5250</v>
      </c>
      <c r="D312" t="str">
        <f t="shared" si="42"/>
        <v>NO_DATAVIEWS</v>
      </c>
      <c r="E312" s="62" t="str">
        <f t="shared" si="42"/>
        <v>NO_DEPARTMENTS</v>
      </c>
      <c r="F312" t="s">
        <v>506</v>
      </c>
      <c r="G312" t="s">
        <v>507</v>
      </c>
      <c r="H312" t="s">
        <v>508</v>
      </c>
      <c r="I312" t="s">
        <v>509</v>
      </c>
      <c r="J312" t="s">
        <v>589</v>
      </c>
      <c r="K312" s="497">
        <f>ROUND(HLOOKUP($B312,'2-Préparation saisie LV PROD'!$F$1:$Q$86,'2-Préparation saisie LV PROD'!A72,FALSE),0)</f>
        <v>582474</v>
      </c>
      <c r="L312" t="str">
        <f>VLOOKUP(C312,Capacité!C:L,10,FALSE)</f>
        <v>Avignonet / Solaire</v>
      </c>
    </row>
    <row r="313" spans="1:12">
      <c r="A313" t="s">
        <v>505</v>
      </c>
      <c r="B313" t="str">
        <f t="shared" ref="B313:B325" si="44">+$B$245</f>
        <v>B22_04</v>
      </c>
      <c r="C313" s="323" t="str">
        <f t="shared" si="43"/>
        <v>E6010</v>
      </c>
      <c r="D313" t="str">
        <f t="shared" si="42"/>
        <v>NO_DATAVIEWS</v>
      </c>
      <c r="E313" s="62" t="str">
        <f t="shared" si="42"/>
        <v>NO_DEPARTMENTS</v>
      </c>
      <c r="F313" t="s">
        <v>506</v>
      </c>
      <c r="G313" t="s">
        <v>507</v>
      </c>
      <c r="H313" t="s">
        <v>508</v>
      </c>
      <c r="I313" t="s">
        <v>509</v>
      </c>
      <c r="J313" t="s">
        <v>589</v>
      </c>
      <c r="K313" s="497">
        <f>ROUND(HLOOKUP($B313,'2-Préparation saisie LV PROD'!$F$1:$Q$86,'2-Préparation saisie LV PROD'!A74,FALSE),0)</f>
        <v>8039723</v>
      </c>
      <c r="L313" t="str">
        <f>VLOOKUP(C313,Capacité!C:L,10,FALSE)</f>
        <v>CDC-R</v>
      </c>
    </row>
    <row r="314" spans="1:12">
      <c r="A314" t="s">
        <v>505</v>
      </c>
      <c r="B314" t="str">
        <f t="shared" si="44"/>
        <v>B22_04</v>
      </c>
      <c r="C314" s="323" t="str">
        <f t="shared" si="43"/>
        <v>E6280</v>
      </c>
      <c r="D314" t="str">
        <f t="shared" si="42"/>
        <v>NO_DATAVIEWS</v>
      </c>
      <c r="E314" s="62" t="str">
        <f t="shared" si="42"/>
        <v>NO_DEPARTMENTS</v>
      </c>
      <c r="F314" t="s">
        <v>506</v>
      </c>
      <c r="G314" t="s">
        <v>507</v>
      </c>
      <c r="H314" t="s">
        <v>508</v>
      </c>
      <c r="I314" t="s">
        <v>509</v>
      </c>
      <c r="J314" t="s">
        <v>589</v>
      </c>
      <c r="K314" s="497">
        <f>ROUND(HLOOKUP($B314,'2-Préparation saisie LV PROD'!$F$1:$Q$86,'2-Préparation saisie LV PROD'!A75,FALSE),0)</f>
        <v>2388572</v>
      </c>
      <c r="L314" t="str">
        <f>VLOOKUP(C314,Capacité!C:L,10,FALSE)</f>
        <v>BPF</v>
      </c>
    </row>
    <row r="315" spans="1:12">
      <c r="A315" t="s">
        <v>505</v>
      </c>
      <c r="B315" t="str">
        <f t="shared" si="44"/>
        <v>B22_04</v>
      </c>
      <c r="C315" s="323" t="str">
        <f t="shared" si="43"/>
        <v>E5930</v>
      </c>
      <c r="D315" t="str">
        <f t="shared" si="42"/>
        <v>NO_DATAVIEWS</v>
      </c>
      <c r="E315" s="62" t="str">
        <f t="shared" si="42"/>
        <v>NO_DEPARTMENTS</v>
      </c>
      <c r="F315" t="s">
        <v>506</v>
      </c>
      <c r="G315" t="s">
        <v>507</v>
      </c>
      <c r="H315" t="s">
        <v>508</v>
      </c>
      <c r="I315" t="s">
        <v>509</v>
      </c>
      <c r="J315" t="s">
        <v>589</v>
      </c>
      <c r="K315" s="497">
        <f>ROUND(HLOOKUP($B315,'2-Préparation saisie LV PROD'!$F$1:$Q$86,'2-Préparation saisie LV PROD'!A76,FALSE),0)</f>
        <v>3314250</v>
      </c>
      <c r="L315" t="str">
        <f>VLOOKUP(C315,Capacité!C:L,10,FALSE)</f>
        <v>XSB</v>
      </c>
    </row>
    <row r="316" spans="1:12" s="4" customFormat="1">
      <c r="A316" s="4" t="s">
        <v>505</v>
      </c>
      <c r="B316" s="4" t="str">
        <f>+$B$245</f>
        <v>B22_04</v>
      </c>
      <c r="C316" s="323" t="str">
        <f t="shared" si="43"/>
        <v>E5880</v>
      </c>
      <c r="D316" t="str">
        <f t="shared" ref="D316:E337" si="45">D315</f>
        <v>NO_DATAVIEWS</v>
      </c>
      <c r="E316" s="62" t="str">
        <f t="shared" si="45"/>
        <v>NO_DEPARTMENTS</v>
      </c>
      <c r="F316" s="4" t="s">
        <v>506</v>
      </c>
      <c r="G316" s="4" t="s">
        <v>507</v>
      </c>
      <c r="H316" s="4" t="s">
        <v>508</v>
      </c>
      <c r="I316" s="4" t="s">
        <v>509</v>
      </c>
      <c r="J316" s="4" t="s">
        <v>589</v>
      </c>
      <c r="K316" s="497">
        <f>ROUND(HLOOKUP($B316,'2-Préparation saisie LV PROD'!$F$1:$Q$86,'2-Préparation saisie LV PROD'!A77,FALSE),0)</f>
        <v>2767426</v>
      </c>
      <c r="L316" t="str">
        <f>VLOOKUP(C316,Capacité!C:L,10,FALSE)</f>
        <v>Extension plaine d'Escrebieux</v>
      </c>
    </row>
    <row r="317" spans="1:12" s="4" customFormat="1">
      <c r="A317" s="4" t="s">
        <v>505</v>
      </c>
      <c r="B317" s="4" t="str">
        <f t="shared" si="44"/>
        <v>B22_04</v>
      </c>
      <c r="C317" s="323" t="str">
        <f t="shared" si="43"/>
        <v>E6720</v>
      </c>
      <c r="D317" t="str">
        <f t="shared" si="45"/>
        <v>NO_DATAVIEWS</v>
      </c>
      <c r="E317" s="62" t="str">
        <f t="shared" si="45"/>
        <v>NO_DEPARTMENTS</v>
      </c>
      <c r="F317" s="4" t="s">
        <v>506</v>
      </c>
      <c r="G317" s="4" t="s">
        <v>507</v>
      </c>
      <c r="H317" s="4" t="s">
        <v>508</v>
      </c>
      <c r="I317" s="4" t="s">
        <v>509</v>
      </c>
      <c r="J317" s="4" t="s">
        <v>589</v>
      </c>
      <c r="K317" s="497">
        <f>ROUND(HLOOKUP($B317,'2-Préparation saisie LV PROD'!$F$1:$Q$86,'2-Préparation saisie LV PROD'!A78,FALSE),0)</f>
        <v>1691007</v>
      </c>
      <c r="L317" t="str">
        <f>VLOOKUP(C317,Capacité!C:L,10,FALSE)</f>
        <v xml:space="preserve">St Christophe - Clé des champs / Solaire </v>
      </c>
    </row>
    <row r="318" spans="1:12" s="4" customFormat="1">
      <c r="A318" s="4" t="s">
        <v>505</v>
      </c>
      <c r="B318" s="4" t="str">
        <f t="shared" si="44"/>
        <v>B22_04</v>
      </c>
      <c r="C318" s="323" t="str">
        <f t="shared" si="43"/>
        <v>E6040</v>
      </c>
      <c r="D318" t="str">
        <f t="shared" si="45"/>
        <v>NO_DATAVIEWS</v>
      </c>
      <c r="E318" s="62" t="str">
        <f t="shared" si="45"/>
        <v>NO_DEPARTMENTS</v>
      </c>
      <c r="F318" s="4" t="s">
        <v>506</v>
      </c>
      <c r="G318" s="4" t="s">
        <v>507</v>
      </c>
      <c r="H318" s="4" t="s">
        <v>508</v>
      </c>
      <c r="I318" s="4" t="s">
        <v>509</v>
      </c>
      <c r="J318" s="4" t="s">
        <v>589</v>
      </c>
      <c r="K318" s="497">
        <f>ROUND(HLOOKUP($B318,'2-Préparation saisie LV PROD'!$F$1:$Q$86,'2-Préparation saisie LV PROD'!A79,FALSE),0)</f>
        <v>2188001</v>
      </c>
      <c r="L318" t="str">
        <f>VLOOKUP(C318,Capacité!C:L,10,FALSE)</f>
        <v>Peyrolles / Solaire</v>
      </c>
    </row>
    <row r="319" spans="1:12" s="4" customFormat="1">
      <c r="A319" s="4" t="s">
        <v>505</v>
      </c>
      <c r="B319" s="4" t="str">
        <f t="shared" si="44"/>
        <v>B22_04</v>
      </c>
      <c r="C319" s="323" t="str">
        <f t="shared" si="43"/>
        <v>E6310</v>
      </c>
      <c r="D319" t="str">
        <f t="shared" si="45"/>
        <v>NO_DATAVIEWS</v>
      </c>
      <c r="E319" s="62" t="str">
        <f t="shared" si="45"/>
        <v>NO_DEPARTMENTS</v>
      </c>
      <c r="F319" s="4" t="s">
        <v>506</v>
      </c>
      <c r="G319" s="4" t="s">
        <v>507</v>
      </c>
      <c r="H319" s="4" t="s">
        <v>508</v>
      </c>
      <c r="I319" s="4" t="s">
        <v>509</v>
      </c>
      <c r="J319" s="4" t="s">
        <v>589</v>
      </c>
      <c r="K319" s="497">
        <f>ROUND(HLOOKUP($B319,'2-Préparation saisie LV PROD'!$F$1:$Q$86,'2-Préparation saisie LV PROD'!A80,FALSE),0)</f>
        <v>2417460</v>
      </c>
      <c r="L319" t="str">
        <f>VLOOKUP(C319,Capacité!C:L,10,FALSE)</f>
        <v>Bazougeais</v>
      </c>
    </row>
    <row r="320" spans="1:12" s="4" customFormat="1">
      <c r="A320" s="4" t="s">
        <v>505</v>
      </c>
      <c r="B320" s="4" t="str">
        <f t="shared" si="44"/>
        <v>B22_04</v>
      </c>
      <c r="C320" s="323" t="str">
        <f t="shared" ref="C320:C325" si="46">C239</f>
        <v>E6571</v>
      </c>
      <c r="D320" t="str">
        <f t="shared" ref="D320:E320" si="47">D319</f>
        <v>NO_DATAVIEWS</v>
      </c>
      <c r="E320" s="62" t="str">
        <f t="shared" si="47"/>
        <v>NO_DEPARTMENTS</v>
      </c>
      <c r="F320" s="4" t="s">
        <v>506</v>
      </c>
      <c r="G320" s="4" t="s">
        <v>507</v>
      </c>
      <c r="H320" s="4" t="s">
        <v>508</v>
      </c>
      <c r="I320" s="4" t="s">
        <v>509</v>
      </c>
      <c r="J320" s="4" t="s">
        <v>589</v>
      </c>
      <c r="K320" s="497">
        <f>ROUND(HLOOKUP($B320,'2-Préparation saisie LV PROD'!$F$1:$Q$86,'2-Préparation saisie LV PROD'!A81,FALSE),0)</f>
        <v>0</v>
      </c>
      <c r="L320" t="s">
        <v>3538</v>
      </c>
    </row>
    <row r="321" spans="1:12" s="4" customFormat="1">
      <c r="A321" s="4" t="s">
        <v>505</v>
      </c>
      <c r="B321" s="4" t="str">
        <f t="shared" si="44"/>
        <v>B22_04</v>
      </c>
      <c r="C321" s="323" t="str">
        <f t="shared" si="46"/>
        <v>E5890</v>
      </c>
      <c r="D321" t="str">
        <f t="shared" ref="D321:E321" si="48">D320</f>
        <v>NO_DATAVIEWS</v>
      </c>
      <c r="E321" s="62" t="str">
        <f t="shared" si="48"/>
        <v>NO_DEPARTMENTS</v>
      </c>
      <c r="F321" s="4" t="s">
        <v>506</v>
      </c>
      <c r="G321" s="4" t="s">
        <v>507</v>
      </c>
      <c r="H321" s="4" t="s">
        <v>508</v>
      </c>
      <c r="I321" s="4" t="s">
        <v>509</v>
      </c>
      <c r="J321" s="4" t="s">
        <v>589</v>
      </c>
      <c r="K321" s="497">
        <f>ROUND(HLOOKUP($B321,'2-Préparation saisie LV PROD'!$F$1:$Q$86,'2-Préparation saisie LV PROD'!A82,FALSE),0)</f>
        <v>1756014</v>
      </c>
      <c r="L321" t="str">
        <f>VLOOKUP(C321,Capacité!C:L,10,FALSE)</f>
        <v>La Grande Borne</v>
      </c>
    </row>
    <row r="322" spans="1:12" s="4" customFormat="1">
      <c r="A322" s="4" t="s">
        <v>505</v>
      </c>
      <c r="B322" s="4" t="str">
        <f t="shared" si="44"/>
        <v>B22_04</v>
      </c>
      <c r="C322" s="323" t="str">
        <f t="shared" si="46"/>
        <v>E6730</v>
      </c>
      <c r="D322" t="str">
        <f t="shared" ref="D322:E322" si="49">D321</f>
        <v>NO_DATAVIEWS</v>
      </c>
      <c r="E322" s="62" t="str">
        <f t="shared" si="49"/>
        <v>NO_DEPARTMENTS</v>
      </c>
      <c r="F322" s="4" t="s">
        <v>506</v>
      </c>
      <c r="G322" s="4" t="s">
        <v>507</v>
      </c>
      <c r="H322" s="4" t="s">
        <v>508</v>
      </c>
      <c r="I322" s="4" t="s">
        <v>509</v>
      </c>
      <c r="J322" s="4" t="s">
        <v>589</v>
      </c>
      <c r="K322" s="497">
        <f>ROUND(HLOOKUP($B322,'2-Préparation saisie LV PROD'!$F$1:$Q$86,'2-Préparation saisie LV PROD'!A83,FALSE),0)</f>
        <v>0</v>
      </c>
      <c r="L322" t="str">
        <f>VLOOKUP(C322,Capacité!C:L,10,FALSE)</f>
        <v xml:space="preserve">R-EEJ - Evits et Josaphats </v>
      </c>
    </row>
    <row r="323" spans="1:12" s="4" customFormat="1">
      <c r="A323" s="4" t="s">
        <v>505</v>
      </c>
      <c r="B323" s="4" t="str">
        <f t="shared" si="44"/>
        <v>B22_04</v>
      </c>
      <c r="C323" s="323" t="str">
        <f t="shared" si="46"/>
        <v>E6740</v>
      </c>
      <c r="D323" t="str">
        <f t="shared" ref="D323:E323" si="50">D322</f>
        <v>NO_DATAVIEWS</v>
      </c>
      <c r="E323" s="62" t="str">
        <f t="shared" si="50"/>
        <v>NO_DEPARTMENTS</v>
      </c>
      <c r="F323" s="4" t="s">
        <v>506</v>
      </c>
      <c r="G323" s="4" t="s">
        <v>507</v>
      </c>
      <c r="H323" s="4" t="s">
        <v>508</v>
      </c>
      <c r="I323" s="4" t="s">
        <v>509</v>
      </c>
      <c r="J323" s="4" t="s">
        <v>589</v>
      </c>
      <c r="K323" s="497">
        <f>ROUND(HLOOKUP($B323,'2-Préparation saisie LV PROD'!$F$1:$Q$86,'2-Préparation saisie LV PROD'!A84,FALSE),0)</f>
        <v>0</v>
      </c>
      <c r="L323" t="str">
        <f>VLOOKUP(C323,Capacité!C:L,10,FALSE)</f>
        <v>R-RCL - Remise Reclainville</v>
      </c>
    </row>
    <row r="324" spans="1:12" s="4" customFormat="1">
      <c r="A324" s="4" t="s">
        <v>505</v>
      </c>
      <c r="B324" s="4" t="str">
        <f t="shared" si="44"/>
        <v>B22_04</v>
      </c>
      <c r="C324" s="323" t="str">
        <f t="shared" si="46"/>
        <v>E6290</v>
      </c>
      <c r="D324" t="str">
        <f t="shared" ref="D324:E324" si="51">D323</f>
        <v>NO_DATAVIEWS</v>
      </c>
      <c r="E324" s="62" t="str">
        <f t="shared" si="51"/>
        <v>NO_DEPARTMENTS</v>
      </c>
      <c r="F324" s="4" t="s">
        <v>506</v>
      </c>
      <c r="G324" s="4" t="s">
        <v>507</v>
      </c>
      <c r="H324" s="4" t="s">
        <v>508</v>
      </c>
      <c r="I324" s="4" t="s">
        <v>509</v>
      </c>
      <c r="J324" s="4" t="s">
        <v>589</v>
      </c>
      <c r="K324" s="497">
        <f>ROUND(HLOOKUP($B324,'2-Préparation saisie LV PROD'!$F$1:$Q$86,'2-Préparation saisie LV PROD'!A85,FALSE),0)</f>
        <v>0</v>
      </c>
      <c r="L324" t="str">
        <f>VLOOKUP(C324,Capacité!C:L,10,FALSE)</f>
        <v>Bois des Fontaines (extension EEJ)</v>
      </c>
    </row>
    <row r="325" spans="1:12" s="4" customFormat="1">
      <c r="A325" s="4" t="s">
        <v>505</v>
      </c>
      <c r="B325" s="4" t="str">
        <f t="shared" si="44"/>
        <v>B22_04</v>
      </c>
      <c r="C325" s="323" t="str">
        <f t="shared" si="46"/>
        <v>E6760</v>
      </c>
      <c r="D325" t="str">
        <f t="shared" ref="D325:E325" si="52">D324</f>
        <v>NO_DATAVIEWS</v>
      </c>
      <c r="E325" s="62" t="str">
        <f t="shared" si="52"/>
        <v>NO_DEPARTMENTS</v>
      </c>
      <c r="F325" s="4" t="s">
        <v>506</v>
      </c>
      <c r="G325" s="4" t="s">
        <v>507</v>
      </c>
      <c r="H325" s="4" t="s">
        <v>508</v>
      </c>
      <c r="I325" s="4" t="s">
        <v>509</v>
      </c>
      <c r="J325" s="4" t="s">
        <v>589</v>
      </c>
      <c r="K325" s="497">
        <f>ROUND(HLOOKUP($B325,'2-Préparation saisie LV PROD'!$F$1:$Q$86,'2-Préparation saisie LV PROD'!A86,FALSE),0)</f>
        <v>0</v>
      </c>
      <c r="L325" t="str">
        <f>VLOOKUP(C325,Capacité!C:L,10,FALSE)</f>
        <v>R-BGV - Bougainville</v>
      </c>
    </row>
    <row r="326" spans="1:12">
      <c r="A326" t="s">
        <v>505</v>
      </c>
      <c r="B326" s="3" t="s">
        <v>3360</v>
      </c>
      <c r="C326" s="323" t="str">
        <f t="shared" ref="C326:C357" si="53">C245</f>
        <v>E5030</v>
      </c>
      <c r="D326" t="str">
        <f>D319</f>
        <v>NO_DATAVIEWS</v>
      </c>
      <c r="E326" s="62" t="str">
        <f>E319</f>
        <v>NO_DEPARTMENTS</v>
      </c>
      <c r="F326" t="s">
        <v>506</v>
      </c>
      <c r="G326" t="s">
        <v>507</v>
      </c>
      <c r="H326" t="s">
        <v>508</v>
      </c>
      <c r="I326" t="s">
        <v>509</v>
      </c>
      <c r="J326" t="s">
        <v>589</v>
      </c>
      <c r="K326" s="497">
        <f>ROUND(HLOOKUP($B326,'2-Préparation saisie LV PROD'!$F$1:$Q$86,'2-Préparation saisie LV PROD'!A5,FALSE),0)</f>
        <v>1507293</v>
      </c>
      <c r="L326" t="str">
        <f>VLOOKUP(C326,Capacité!C:L,10,FALSE)</f>
        <v>Avignonet</v>
      </c>
    </row>
    <row r="327" spans="1:12">
      <c r="A327" t="s">
        <v>505</v>
      </c>
      <c r="B327" t="str">
        <f>+$B$326</f>
        <v>B22_05</v>
      </c>
      <c r="C327" s="323" t="str">
        <f t="shared" si="53"/>
        <v>E5040</v>
      </c>
      <c r="D327" t="str">
        <f t="shared" si="45"/>
        <v>NO_DATAVIEWS</v>
      </c>
      <c r="E327" s="62" t="str">
        <f t="shared" si="45"/>
        <v>NO_DEPARTMENTS</v>
      </c>
      <c r="F327" t="s">
        <v>506</v>
      </c>
      <c r="G327" t="s">
        <v>507</v>
      </c>
      <c r="H327" t="s">
        <v>508</v>
      </c>
      <c r="I327" t="s">
        <v>509</v>
      </c>
      <c r="J327" t="s">
        <v>589</v>
      </c>
      <c r="K327" s="497">
        <f>ROUND(HLOOKUP($B327,'2-Préparation saisie LV PROD'!$F$1:$Q$86,'2-Préparation saisie LV PROD'!A6,FALSE),0)</f>
        <v>376105</v>
      </c>
      <c r="L327" t="str">
        <f>VLOOKUP(C327,Capacité!C:L,10,FALSE)</f>
        <v>Chépy</v>
      </c>
    </row>
    <row r="328" spans="1:12">
      <c r="A328" t="s">
        <v>505</v>
      </c>
      <c r="B328" t="str">
        <f t="shared" ref="B328:B391" si="54">+$B$326</f>
        <v>B22_05</v>
      </c>
      <c r="C328" s="323" t="str">
        <f t="shared" si="53"/>
        <v>E5050</v>
      </c>
      <c r="D328" t="str">
        <f t="shared" si="45"/>
        <v>NO_DATAVIEWS</v>
      </c>
      <c r="E328" s="62" t="str">
        <f t="shared" si="45"/>
        <v>NO_DEPARTMENTS</v>
      </c>
      <c r="F328" t="s">
        <v>506</v>
      </c>
      <c r="G328" t="s">
        <v>507</v>
      </c>
      <c r="H328" t="s">
        <v>508</v>
      </c>
      <c r="I328" t="s">
        <v>509</v>
      </c>
      <c r="J328" t="s">
        <v>589</v>
      </c>
      <c r="K328" s="497">
        <f>ROUND(HLOOKUP($B328,'2-Préparation saisie LV PROD'!$F$1:$Q$86,'2-Préparation saisie LV PROD'!A7,FALSE),0)</f>
        <v>1120249</v>
      </c>
      <c r="L328" t="str">
        <f>VLOOKUP(C328,Capacité!C:L,10,FALSE)</f>
        <v>Nibas</v>
      </c>
    </row>
    <row r="329" spans="1:12">
      <c r="A329" t="s">
        <v>505</v>
      </c>
      <c r="B329" t="str">
        <f t="shared" si="54"/>
        <v>B22_05</v>
      </c>
      <c r="C329" s="323" t="str">
        <f t="shared" si="53"/>
        <v>E5070</v>
      </c>
      <c r="D329" t="str">
        <f t="shared" si="45"/>
        <v>NO_DATAVIEWS</v>
      </c>
      <c r="E329" s="62" t="str">
        <f t="shared" si="45"/>
        <v>NO_DEPARTMENTS</v>
      </c>
      <c r="F329" t="s">
        <v>506</v>
      </c>
      <c r="G329" t="s">
        <v>507</v>
      </c>
      <c r="H329" t="s">
        <v>508</v>
      </c>
      <c r="I329" t="s">
        <v>509</v>
      </c>
      <c r="J329" t="s">
        <v>589</v>
      </c>
      <c r="K329" s="497">
        <f>ROUND(HLOOKUP($B329,'2-Préparation saisie LV PROD'!$F$1:$Q$86,'2-Préparation saisie LV PROD'!A8,FALSE),0)</f>
        <v>1388247</v>
      </c>
      <c r="L329" t="str">
        <f>VLOOKUP(C329,Capacité!C:L,10,FALSE)</f>
        <v>Ally Bessadous</v>
      </c>
    </row>
    <row r="330" spans="1:12">
      <c r="A330" t="s">
        <v>505</v>
      </c>
      <c r="B330" t="str">
        <f t="shared" si="54"/>
        <v>B22_05</v>
      </c>
      <c r="C330" s="323" t="str">
        <f t="shared" si="53"/>
        <v>E5080</v>
      </c>
      <c r="D330" t="str">
        <f t="shared" si="45"/>
        <v>NO_DATAVIEWS</v>
      </c>
      <c r="E330" s="62" t="str">
        <f t="shared" si="45"/>
        <v>NO_DEPARTMENTS</v>
      </c>
      <c r="F330" t="s">
        <v>506</v>
      </c>
      <c r="G330" t="s">
        <v>507</v>
      </c>
      <c r="H330" t="s">
        <v>508</v>
      </c>
      <c r="I330" t="s">
        <v>509</v>
      </c>
      <c r="J330" t="s">
        <v>589</v>
      </c>
      <c r="K330" s="497">
        <f>ROUND(HLOOKUP($B330,'2-Préparation saisie LV PROD'!$F$1:$Q$86,'2-Préparation saisie LV PROD'!A9,FALSE),0)</f>
        <v>924487</v>
      </c>
      <c r="L330" t="str">
        <f>VLOOKUP(C330,Capacité!C:L,10,FALSE)</f>
        <v>Ally Mercoeur</v>
      </c>
    </row>
    <row r="331" spans="1:12">
      <c r="A331" t="s">
        <v>505</v>
      </c>
      <c r="B331" t="str">
        <f t="shared" si="54"/>
        <v>B22_05</v>
      </c>
      <c r="C331" s="323" t="str">
        <f t="shared" si="53"/>
        <v>E5090</v>
      </c>
      <c r="D331" t="str">
        <f t="shared" si="45"/>
        <v>NO_DATAVIEWS</v>
      </c>
      <c r="E331" s="62" t="str">
        <f t="shared" si="45"/>
        <v>NO_DEPARTMENTS</v>
      </c>
      <c r="F331" t="s">
        <v>506</v>
      </c>
      <c r="G331" t="s">
        <v>507</v>
      </c>
      <c r="H331" t="s">
        <v>508</v>
      </c>
      <c r="I331" t="s">
        <v>509</v>
      </c>
      <c r="J331" t="s">
        <v>589</v>
      </c>
      <c r="K331" s="497">
        <f>ROUND(HLOOKUP($B331,'2-Préparation saisie LV PROD'!$F$1:$Q$86,'2-Préparation saisie LV PROD'!A10,FALSE),0)</f>
        <v>1200744</v>
      </c>
      <c r="L331" t="str">
        <f>VLOOKUP(C331,Capacité!C:L,10,FALSE)</f>
        <v>Ally Monteil</v>
      </c>
    </row>
    <row r="332" spans="1:12">
      <c r="A332" t="s">
        <v>505</v>
      </c>
      <c r="B332" t="str">
        <f t="shared" si="54"/>
        <v>B22_05</v>
      </c>
      <c r="C332" s="323" t="str">
        <f t="shared" si="53"/>
        <v>E5100</v>
      </c>
      <c r="D332" t="str">
        <f t="shared" si="45"/>
        <v>NO_DATAVIEWS</v>
      </c>
      <c r="E332" s="62" t="str">
        <f t="shared" si="45"/>
        <v>NO_DEPARTMENTS</v>
      </c>
      <c r="F332" t="s">
        <v>506</v>
      </c>
      <c r="G332" t="s">
        <v>507</v>
      </c>
      <c r="H332" t="s">
        <v>508</v>
      </c>
      <c r="I332" t="s">
        <v>509</v>
      </c>
      <c r="J332" t="s">
        <v>589</v>
      </c>
      <c r="K332" s="497">
        <f>ROUND(HLOOKUP($B332,'2-Préparation saisie LV PROD'!$F$1:$Q$86,'2-Préparation saisie LV PROD'!A11,FALSE),0)</f>
        <v>1453586</v>
      </c>
      <c r="L332" t="str">
        <f>VLOOKUP(C332,Capacité!C:L,10,FALSE)</f>
        <v>Ally Verseilles</v>
      </c>
    </row>
    <row r="333" spans="1:12">
      <c r="A333" t="s">
        <v>505</v>
      </c>
      <c r="B333" t="str">
        <f t="shared" si="54"/>
        <v>B22_05</v>
      </c>
      <c r="C333" s="323" t="str">
        <f t="shared" si="53"/>
        <v>E5110</v>
      </c>
      <c r="D333" t="str">
        <f t="shared" si="45"/>
        <v>NO_DATAVIEWS</v>
      </c>
      <c r="E333" s="62" t="str">
        <f t="shared" si="45"/>
        <v>NO_DEPARTMENTS</v>
      </c>
      <c r="F333" t="s">
        <v>506</v>
      </c>
      <c r="G333" t="s">
        <v>507</v>
      </c>
      <c r="H333" t="s">
        <v>508</v>
      </c>
      <c r="I333" t="s">
        <v>509</v>
      </c>
      <c r="J333" t="s">
        <v>589</v>
      </c>
      <c r="K333" s="497">
        <f>ROUND(HLOOKUP($B333,'2-Préparation saisie LV PROD'!$F$1:$Q$86,'2-Préparation saisie LV PROD'!A12,FALSE),0)</f>
        <v>0</v>
      </c>
      <c r="L333" t="str">
        <f>VLOOKUP(C333,Capacité!C:L,10,FALSE)</f>
        <v>Cham Longe Bel Air</v>
      </c>
    </row>
    <row r="334" spans="1:12">
      <c r="A334" t="s">
        <v>505</v>
      </c>
      <c r="B334" t="str">
        <f t="shared" si="54"/>
        <v>B22_05</v>
      </c>
      <c r="C334" s="323" t="str">
        <f t="shared" si="53"/>
        <v>E5120</v>
      </c>
      <c r="D334" t="str">
        <f t="shared" si="45"/>
        <v>NO_DATAVIEWS</v>
      </c>
      <c r="E334" s="62" t="str">
        <f t="shared" si="45"/>
        <v>NO_DEPARTMENTS</v>
      </c>
      <c r="F334" t="s">
        <v>506</v>
      </c>
      <c r="G334" t="s">
        <v>507</v>
      </c>
      <c r="H334" t="s">
        <v>508</v>
      </c>
      <c r="I334" t="s">
        <v>509</v>
      </c>
      <c r="J334" t="s">
        <v>589</v>
      </c>
      <c r="K334" s="497">
        <f>ROUND(HLOOKUP($B334,'2-Préparation saisie LV PROD'!$F$1:$Q$86,'2-Préparation saisie LV PROD'!A13,FALSE),0)</f>
        <v>0</v>
      </c>
      <c r="L334" t="str">
        <f>VLOOKUP(C334,Capacité!C:L,10,FALSE)</f>
        <v>Cham Longe Le Courbil (Eole Cevennes)</v>
      </c>
    </row>
    <row r="335" spans="1:12">
      <c r="A335" t="s">
        <v>505</v>
      </c>
      <c r="B335" t="str">
        <f t="shared" si="54"/>
        <v>B22_05</v>
      </c>
      <c r="C335" s="323" t="str">
        <f t="shared" si="53"/>
        <v>E5150</v>
      </c>
      <c r="D335" t="str">
        <f t="shared" si="45"/>
        <v>NO_DATAVIEWS</v>
      </c>
      <c r="E335" s="62" t="str">
        <f t="shared" si="45"/>
        <v>NO_DEPARTMENTS</v>
      </c>
      <c r="F335" t="s">
        <v>506</v>
      </c>
      <c r="G335" t="s">
        <v>507</v>
      </c>
      <c r="H335" t="s">
        <v>508</v>
      </c>
      <c r="I335" t="s">
        <v>509</v>
      </c>
      <c r="J335" t="s">
        <v>589</v>
      </c>
      <c r="K335" s="497">
        <f>ROUND(HLOOKUP($B335,'2-Préparation saisie LV PROD'!$F$1:$Q$86,'2-Préparation saisie LV PROD'!A14,FALSE),0)</f>
        <v>872612</v>
      </c>
      <c r="L335" t="str">
        <f>VLOOKUP(C335,Capacité!C:L,10,FALSE)</f>
        <v>Cham Longe II</v>
      </c>
    </row>
    <row r="336" spans="1:12">
      <c r="A336" t="s">
        <v>505</v>
      </c>
      <c r="B336" t="str">
        <f t="shared" si="54"/>
        <v>B22_05</v>
      </c>
      <c r="C336" s="323" t="str">
        <f t="shared" si="53"/>
        <v>E5130</v>
      </c>
      <c r="D336" t="str">
        <f t="shared" si="45"/>
        <v>NO_DATAVIEWS</v>
      </c>
      <c r="E336" s="62" t="str">
        <f t="shared" si="45"/>
        <v>NO_DEPARTMENTS</v>
      </c>
      <c r="F336" t="s">
        <v>506</v>
      </c>
      <c r="G336" t="s">
        <v>507</v>
      </c>
      <c r="H336" t="s">
        <v>508</v>
      </c>
      <c r="I336" t="s">
        <v>509</v>
      </c>
      <c r="J336" t="s">
        <v>589</v>
      </c>
      <c r="K336" s="497">
        <f>ROUND(HLOOKUP($B336,'2-Préparation saisie LV PROD'!$F$1:$Q$86,'2-Préparation saisie LV PROD'!A15,FALSE),0)</f>
        <v>1282319</v>
      </c>
      <c r="L336" t="str">
        <f>VLOOKUP(C336,Capacité!C:L,10,FALSE)</f>
        <v>Plouguin</v>
      </c>
    </row>
    <row r="337" spans="1:12">
      <c r="A337" t="s">
        <v>505</v>
      </c>
      <c r="B337" t="str">
        <f t="shared" si="54"/>
        <v>B22_05</v>
      </c>
      <c r="C337" s="323" t="str">
        <f t="shared" si="53"/>
        <v>E5140</v>
      </c>
      <c r="D337" t="str">
        <f t="shared" si="45"/>
        <v>NO_DATAVIEWS</v>
      </c>
      <c r="E337" s="62" t="str">
        <f t="shared" si="45"/>
        <v>NO_DEPARTMENTS</v>
      </c>
      <c r="F337" t="s">
        <v>506</v>
      </c>
      <c r="G337" t="s">
        <v>507</v>
      </c>
      <c r="H337" t="s">
        <v>508</v>
      </c>
      <c r="I337" t="s">
        <v>509</v>
      </c>
      <c r="J337" t="s">
        <v>589</v>
      </c>
      <c r="K337" s="497">
        <f>ROUND(HLOOKUP($B337,'2-Préparation saisie LV PROD'!$F$1:$Q$86,'2-Préparation saisie LV PROD'!A16,FALSE),0)</f>
        <v>2300875</v>
      </c>
      <c r="L337" t="str">
        <f>VLOOKUP(C337,Capacité!C:L,10,FALSE)</f>
        <v>La Citadelle</v>
      </c>
    </row>
    <row r="338" spans="1:12">
      <c r="A338" t="s">
        <v>505</v>
      </c>
      <c r="B338" t="str">
        <f t="shared" si="54"/>
        <v>B22_05</v>
      </c>
      <c r="C338" s="323" t="str">
        <f t="shared" si="53"/>
        <v>E5160</v>
      </c>
      <c r="D338" t="str">
        <f t="shared" ref="D338:E353" si="55">D337</f>
        <v>NO_DATAVIEWS</v>
      </c>
      <c r="E338" s="62" t="str">
        <f t="shared" si="55"/>
        <v>NO_DEPARTMENTS</v>
      </c>
      <c r="F338" t="s">
        <v>506</v>
      </c>
      <c r="G338" t="s">
        <v>507</v>
      </c>
      <c r="H338" t="s">
        <v>508</v>
      </c>
      <c r="I338" t="s">
        <v>509</v>
      </c>
      <c r="J338" t="s">
        <v>589</v>
      </c>
      <c r="K338" s="497">
        <f>ROUND(HLOOKUP($B338,'2-Préparation saisie LV PROD'!$F$1:$Q$86,'2-Préparation saisie LV PROD'!A17,FALSE),0)</f>
        <v>1263474</v>
      </c>
      <c r="L338" t="str">
        <f>VLOOKUP(C338,Capacité!C:L,10,FALSE)</f>
        <v>Chasse Marée</v>
      </c>
    </row>
    <row r="339" spans="1:12">
      <c r="A339" t="s">
        <v>505</v>
      </c>
      <c r="B339" t="str">
        <f t="shared" si="54"/>
        <v>B22_05</v>
      </c>
      <c r="C339" s="323" t="str">
        <f t="shared" si="53"/>
        <v>E5170</v>
      </c>
      <c r="D339" t="str">
        <f t="shared" si="55"/>
        <v>NO_DATAVIEWS</v>
      </c>
      <c r="E339" s="62" t="str">
        <f t="shared" si="55"/>
        <v>NO_DEPARTMENTS</v>
      </c>
      <c r="F339" t="s">
        <v>506</v>
      </c>
      <c r="G339" t="s">
        <v>507</v>
      </c>
      <c r="H339" t="s">
        <v>508</v>
      </c>
      <c r="I339" t="s">
        <v>509</v>
      </c>
      <c r="J339" t="s">
        <v>589</v>
      </c>
      <c r="K339" s="497">
        <f>ROUND(HLOOKUP($B339,'2-Préparation saisie LV PROD'!$F$1:$Q$86,'2-Préparation saisie LV PROD'!A18,FALSE),0)</f>
        <v>4388767</v>
      </c>
      <c r="L339" t="str">
        <f>VLOOKUP(C339,Capacité!C:L,10,FALSE)</f>
        <v>Ronchois</v>
      </c>
    </row>
    <row r="340" spans="1:12">
      <c r="A340" t="s">
        <v>505</v>
      </c>
      <c r="B340" t="str">
        <f t="shared" si="54"/>
        <v>B22_05</v>
      </c>
      <c r="C340" s="323" t="str">
        <f t="shared" si="53"/>
        <v>E5180</v>
      </c>
      <c r="D340" t="str">
        <f t="shared" si="55"/>
        <v>NO_DATAVIEWS</v>
      </c>
      <c r="E340" s="62" t="str">
        <f t="shared" si="55"/>
        <v>NO_DEPARTMENTS</v>
      </c>
      <c r="F340" t="s">
        <v>506</v>
      </c>
      <c r="G340" t="s">
        <v>507</v>
      </c>
      <c r="H340" t="s">
        <v>508</v>
      </c>
      <c r="I340" t="s">
        <v>509</v>
      </c>
      <c r="J340" t="s">
        <v>589</v>
      </c>
      <c r="K340" s="497">
        <f>ROUND(HLOOKUP($B340,'2-Préparation saisie LV PROD'!$F$1:$Q$86,'2-Préparation saisie LV PROD'!A19,FALSE),0)</f>
        <v>1779917</v>
      </c>
      <c r="L340" t="str">
        <f>VLOOKUP(C340,Capacité!C:L,10,FALSE)</f>
        <v>Le Grand Camp</v>
      </c>
    </row>
    <row r="341" spans="1:12">
      <c r="A341" t="s">
        <v>505</v>
      </c>
      <c r="B341" t="str">
        <f t="shared" si="54"/>
        <v>B22_05</v>
      </c>
      <c r="C341" s="323" t="str">
        <f t="shared" si="53"/>
        <v>E5210</v>
      </c>
      <c r="D341" t="str">
        <f t="shared" si="55"/>
        <v>NO_DATAVIEWS</v>
      </c>
      <c r="E341" s="62" t="str">
        <f t="shared" si="55"/>
        <v>NO_DEPARTMENTS</v>
      </c>
      <c r="F341" t="s">
        <v>506</v>
      </c>
      <c r="G341" t="s">
        <v>507</v>
      </c>
      <c r="H341" t="s">
        <v>508</v>
      </c>
      <c r="I341" t="s">
        <v>509</v>
      </c>
      <c r="J341" t="s">
        <v>589</v>
      </c>
      <c r="K341" s="497">
        <f>ROUND(HLOOKUP($B341,'2-Préparation saisie LV PROD'!$F$1:$Q$86,'2-Préparation saisie LV PROD'!A20,FALSE),0)</f>
        <v>939841</v>
      </c>
      <c r="L341" t="str">
        <f>VLOOKUP(C341,Capacité!C:L,10,FALSE)</f>
        <v>Avignonet II</v>
      </c>
    </row>
    <row r="342" spans="1:12">
      <c r="A342" t="s">
        <v>505</v>
      </c>
      <c r="B342" t="str">
        <f t="shared" si="54"/>
        <v>B22_05</v>
      </c>
      <c r="C342" s="323" t="str">
        <f t="shared" si="53"/>
        <v>E5270</v>
      </c>
      <c r="D342" t="str">
        <f t="shared" si="55"/>
        <v>NO_DATAVIEWS</v>
      </c>
      <c r="E342" s="62" t="str">
        <f t="shared" si="55"/>
        <v>NO_DEPARTMENTS</v>
      </c>
      <c r="F342" t="s">
        <v>506</v>
      </c>
      <c r="G342" t="s">
        <v>507</v>
      </c>
      <c r="H342" t="s">
        <v>508</v>
      </c>
      <c r="I342" t="s">
        <v>509</v>
      </c>
      <c r="J342" t="s">
        <v>589</v>
      </c>
      <c r="K342" s="497">
        <f>ROUND(HLOOKUP($B342,'2-Préparation saisie LV PROD'!$F$1:$Q$86,'2-Préparation saisie LV PROD'!A21,FALSE),0)</f>
        <v>3981472</v>
      </c>
      <c r="L342" t="str">
        <f>VLOOKUP(C342,Capacité!C:L,10,FALSE)</f>
        <v>Ménétréols Renardiére (La vallée 2)</v>
      </c>
    </row>
    <row r="343" spans="1:12">
      <c r="A343" t="s">
        <v>505</v>
      </c>
      <c r="B343" t="str">
        <f t="shared" si="54"/>
        <v>B22_05</v>
      </c>
      <c r="C343" s="323" t="str">
        <f t="shared" si="53"/>
        <v>E5280</v>
      </c>
      <c r="D343" t="str">
        <f t="shared" si="55"/>
        <v>NO_DATAVIEWS</v>
      </c>
      <c r="E343" s="62" t="str">
        <f t="shared" si="55"/>
        <v>NO_DEPARTMENTS</v>
      </c>
      <c r="F343" t="s">
        <v>506</v>
      </c>
      <c r="G343" t="s">
        <v>507</v>
      </c>
      <c r="H343" t="s">
        <v>508</v>
      </c>
      <c r="I343" t="s">
        <v>509</v>
      </c>
      <c r="J343" t="s">
        <v>589</v>
      </c>
      <c r="K343" s="497">
        <f>ROUND(HLOOKUP($B343,'2-Préparation saisie LV PROD'!$F$1:$Q$86,'2-Préparation saisie LV PROD'!A22,FALSE),0)</f>
        <v>656797</v>
      </c>
      <c r="L343" t="str">
        <f>VLOOKUP(C343,Capacité!C:L,10,FALSE)</f>
        <v>St Georges (La Vallée 1)</v>
      </c>
    </row>
    <row r="344" spans="1:12">
      <c r="A344" t="s">
        <v>505</v>
      </c>
      <c r="B344" t="str">
        <f t="shared" si="54"/>
        <v>B22_05</v>
      </c>
      <c r="C344" s="323" t="str">
        <f t="shared" si="53"/>
        <v>E5300</v>
      </c>
      <c r="D344" t="str">
        <f t="shared" si="55"/>
        <v>NO_DATAVIEWS</v>
      </c>
      <c r="E344" s="62" t="str">
        <f t="shared" si="55"/>
        <v>NO_DEPARTMENTS</v>
      </c>
      <c r="F344" t="s">
        <v>506</v>
      </c>
      <c r="G344" t="s">
        <v>507</v>
      </c>
      <c r="H344" t="s">
        <v>508</v>
      </c>
      <c r="I344" t="s">
        <v>509</v>
      </c>
      <c r="J344" t="s">
        <v>589</v>
      </c>
      <c r="K344" s="497">
        <f>ROUND(HLOOKUP($B344,'2-Préparation saisie LV PROD'!$F$1:$Q$86,'2-Préparation saisie LV PROD'!A23,FALSE),0)</f>
        <v>1337744</v>
      </c>
      <c r="L344" t="str">
        <f>VLOOKUP(C344,Capacité!C:L,10,FALSE)</f>
        <v>Vron</v>
      </c>
    </row>
    <row r="345" spans="1:12">
      <c r="A345" t="s">
        <v>505</v>
      </c>
      <c r="B345" t="str">
        <f t="shared" si="54"/>
        <v>B22_05</v>
      </c>
      <c r="C345" s="323" t="str">
        <f t="shared" si="53"/>
        <v>E5310</v>
      </c>
      <c r="D345" t="str">
        <f t="shared" si="55"/>
        <v>NO_DATAVIEWS</v>
      </c>
      <c r="E345" s="62" t="str">
        <f t="shared" si="55"/>
        <v>NO_DEPARTMENTS</v>
      </c>
      <c r="F345" t="s">
        <v>506</v>
      </c>
      <c r="G345" t="s">
        <v>507</v>
      </c>
      <c r="H345" t="s">
        <v>508</v>
      </c>
      <c r="I345" t="s">
        <v>509</v>
      </c>
      <c r="J345" t="s">
        <v>589</v>
      </c>
      <c r="K345" s="497">
        <f>ROUND(HLOOKUP($B345,'2-Préparation saisie LV PROD'!$F$1:$Q$86,'2-Préparation saisie LV PROD'!A24,FALSE),0)</f>
        <v>3777322</v>
      </c>
      <c r="L345" t="str">
        <f>VLOOKUP(C345,Capacité!C:L,10,FALSE)</f>
        <v>Fortel</v>
      </c>
    </row>
    <row r="346" spans="1:12">
      <c r="A346" t="s">
        <v>505</v>
      </c>
      <c r="B346" t="str">
        <f t="shared" si="54"/>
        <v>B22_05</v>
      </c>
      <c r="C346" s="323" t="str">
        <f t="shared" si="53"/>
        <v>E5320</v>
      </c>
      <c r="D346" t="str">
        <f t="shared" si="55"/>
        <v>NO_DATAVIEWS</v>
      </c>
      <c r="E346" s="62" t="str">
        <f t="shared" si="55"/>
        <v>NO_DEPARTMENTS</v>
      </c>
      <c r="F346" t="s">
        <v>506</v>
      </c>
      <c r="G346" t="s">
        <v>507</v>
      </c>
      <c r="H346" t="s">
        <v>508</v>
      </c>
      <c r="I346" t="s">
        <v>509</v>
      </c>
      <c r="J346" t="s">
        <v>589</v>
      </c>
      <c r="K346" s="497">
        <f>ROUND(HLOOKUP($B346,'2-Préparation saisie LV PROD'!$F$1:$Q$86,'2-Préparation saisie LV PROD'!A25,FALSE),0)</f>
        <v>3683314</v>
      </c>
      <c r="L346" t="str">
        <f>VLOOKUP(C346,Capacité!C:L,10,FALSE)</f>
        <v>St François Roye</v>
      </c>
    </row>
    <row r="347" spans="1:12">
      <c r="A347" t="s">
        <v>505</v>
      </c>
      <c r="B347" t="str">
        <f t="shared" si="54"/>
        <v>B22_05</v>
      </c>
      <c r="C347" s="323" t="str">
        <f t="shared" si="53"/>
        <v>E5290</v>
      </c>
      <c r="D347" t="str">
        <f t="shared" si="55"/>
        <v>NO_DATAVIEWS</v>
      </c>
      <c r="E347" s="62" t="str">
        <f t="shared" si="55"/>
        <v>NO_DEPARTMENTS</v>
      </c>
      <c r="F347" t="s">
        <v>506</v>
      </c>
      <c r="G347" t="s">
        <v>507</v>
      </c>
      <c r="H347" t="s">
        <v>508</v>
      </c>
      <c r="I347" t="s">
        <v>509</v>
      </c>
      <c r="J347" t="s">
        <v>589</v>
      </c>
      <c r="K347" s="497">
        <f>ROUND(HLOOKUP($B347,'2-Préparation saisie LV PROD'!$F$1:$Q$86,'2-Préparation saisie LV PROD'!A26,FALSE),0)</f>
        <v>6593106</v>
      </c>
      <c r="L347" t="str">
        <f>VLOOKUP(C347,Capacité!C:L,10,FALSE)</f>
        <v>St Patrick</v>
      </c>
    </row>
    <row r="348" spans="1:12">
      <c r="A348" t="s">
        <v>505</v>
      </c>
      <c r="B348" t="str">
        <f t="shared" si="54"/>
        <v>B22_05</v>
      </c>
      <c r="C348" s="323" t="str">
        <f t="shared" si="53"/>
        <v>E5360</v>
      </c>
      <c r="D348" t="str">
        <f t="shared" si="55"/>
        <v>NO_DATAVIEWS</v>
      </c>
      <c r="E348" s="62" t="str">
        <f t="shared" si="55"/>
        <v>NO_DEPARTMENTS</v>
      </c>
      <c r="F348" t="s">
        <v>506</v>
      </c>
      <c r="G348" t="s">
        <v>507</v>
      </c>
      <c r="H348" t="s">
        <v>508</v>
      </c>
      <c r="I348" t="s">
        <v>509</v>
      </c>
      <c r="J348" t="s">
        <v>589</v>
      </c>
      <c r="K348" s="497">
        <f>ROUND(HLOOKUP($B348,'2-Préparation saisie LV PROD'!$F$1:$Q$86,'2-Préparation saisie LV PROD'!A27,FALSE),0)</f>
        <v>2916951</v>
      </c>
      <c r="L348" t="str">
        <f>VLOOKUP(C348,Capacité!C:L,10,FALSE)</f>
        <v>Calmont (Laur Eole Energie )</v>
      </c>
    </row>
    <row r="349" spans="1:12">
      <c r="A349" t="s">
        <v>505</v>
      </c>
      <c r="B349" t="str">
        <f t="shared" si="54"/>
        <v>B22_05</v>
      </c>
      <c r="C349" s="323" t="str">
        <f t="shared" si="53"/>
        <v>E5391</v>
      </c>
      <c r="D349" t="str">
        <f t="shared" si="55"/>
        <v>NO_DATAVIEWS</v>
      </c>
      <c r="E349" s="62" t="str">
        <f t="shared" si="55"/>
        <v>NO_DEPARTMENTS</v>
      </c>
      <c r="F349" t="s">
        <v>506</v>
      </c>
      <c r="G349" t="s">
        <v>507</v>
      </c>
      <c r="H349" t="s">
        <v>508</v>
      </c>
      <c r="I349" t="s">
        <v>509</v>
      </c>
      <c r="J349" t="s">
        <v>589</v>
      </c>
      <c r="K349" s="497">
        <f>ROUND(HLOOKUP($B349,'2-Préparation saisie LV PROD'!$F$1:$Q$86,'2-Préparation saisie LV PROD'!A28,FALSE),0)</f>
        <v>592763</v>
      </c>
      <c r="L349" t="str">
        <f>VLOOKUP(C349,Capacité!C:L,10,FALSE)</f>
        <v>Coat Conval</v>
      </c>
    </row>
    <row r="350" spans="1:12">
      <c r="A350" t="s">
        <v>505</v>
      </c>
      <c r="B350" t="str">
        <f t="shared" si="54"/>
        <v>B22_05</v>
      </c>
      <c r="C350" s="323" t="str">
        <f t="shared" si="53"/>
        <v>E5392</v>
      </c>
      <c r="D350" t="str">
        <f t="shared" si="55"/>
        <v>NO_DATAVIEWS</v>
      </c>
      <c r="E350" s="62" t="str">
        <f t="shared" si="55"/>
        <v>NO_DEPARTMENTS</v>
      </c>
      <c r="F350" t="s">
        <v>506</v>
      </c>
      <c r="G350" t="s">
        <v>507</v>
      </c>
      <c r="H350" t="s">
        <v>508</v>
      </c>
      <c r="I350" t="s">
        <v>509</v>
      </c>
      <c r="J350" t="s">
        <v>589</v>
      </c>
      <c r="K350" s="497">
        <f>ROUND(HLOOKUP($B350,'2-Préparation saisie LV PROD'!$F$1:$Q$86,'2-Préparation saisie LV PROD'!A29,FALSE),0)</f>
        <v>991647</v>
      </c>
      <c r="L350" t="str">
        <f>VLOOKUP(C350,Capacité!C:L,10,FALSE)</f>
        <v>Leign ar Gasprenn</v>
      </c>
    </row>
    <row r="351" spans="1:12">
      <c r="A351" t="s">
        <v>505</v>
      </c>
      <c r="B351" t="str">
        <f t="shared" si="54"/>
        <v>B22_05</v>
      </c>
      <c r="C351" s="323" t="str">
        <f t="shared" si="53"/>
        <v>E5393</v>
      </c>
      <c r="D351" t="str">
        <f t="shared" si="55"/>
        <v>NO_DATAVIEWS</v>
      </c>
      <c r="E351" s="62" t="str">
        <f t="shared" si="55"/>
        <v>NO_DEPARTMENTS</v>
      </c>
      <c r="F351" t="s">
        <v>506</v>
      </c>
      <c r="G351" t="s">
        <v>507</v>
      </c>
      <c r="H351" t="s">
        <v>508</v>
      </c>
      <c r="I351" t="s">
        <v>509</v>
      </c>
      <c r="J351" t="s">
        <v>589</v>
      </c>
      <c r="K351" s="497">
        <f>ROUND(HLOOKUP($B351,'2-Préparation saisie LV PROD'!$F$1:$Q$86,'2-Préparation saisie LV PROD'!A30,FALSE),0)</f>
        <v>4980495</v>
      </c>
      <c r="L351" t="str">
        <f>VLOOKUP(C351,Capacité!C:L,10,FALSE)</f>
        <v>Vallée d'Arce</v>
      </c>
    </row>
    <row r="352" spans="1:12">
      <c r="A352" t="s">
        <v>505</v>
      </c>
      <c r="B352" t="str">
        <f t="shared" si="54"/>
        <v>B22_05</v>
      </c>
      <c r="C352" s="323" t="str">
        <f t="shared" si="53"/>
        <v>E5394</v>
      </c>
      <c r="D352" t="str">
        <f t="shared" si="55"/>
        <v>NO_DATAVIEWS</v>
      </c>
      <c r="E352" s="62" t="str">
        <f t="shared" si="55"/>
        <v>NO_DEPARTMENTS</v>
      </c>
      <c r="F352" t="s">
        <v>506</v>
      </c>
      <c r="G352" t="s">
        <v>507</v>
      </c>
      <c r="H352" t="s">
        <v>508</v>
      </c>
      <c r="I352" t="s">
        <v>509</v>
      </c>
      <c r="J352" t="s">
        <v>589</v>
      </c>
      <c r="K352" s="497">
        <f>ROUND(HLOOKUP($B352,'2-Préparation saisie LV PROD'!$F$1:$Q$86,'2-Préparation saisie LV PROD'!A31,FALSE),0)</f>
        <v>1441931</v>
      </c>
      <c r="L352" t="str">
        <f>VLOOKUP(C352,Capacité!C:L,10,FALSE)</f>
        <v>La Bouleste</v>
      </c>
    </row>
    <row r="353" spans="1:12">
      <c r="A353" t="s">
        <v>505</v>
      </c>
      <c r="B353" t="str">
        <f t="shared" si="54"/>
        <v>B22_05</v>
      </c>
      <c r="C353" s="323" t="str">
        <f t="shared" si="53"/>
        <v>E5395</v>
      </c>
      <c r="D353" t="str">
        <f t="shared" si="55"/>
        <v>NO_DATAVIEWS</v>
      </c>
      <c r="E353" s="62" t="str">
        <f t="shared" si="55"/>
        <v>NO_DEPARTMENTS</v>
      </c>
      <c r="F353" t="s">
        <v>506</v>
      </c>
      <c r="G353" t="s">
        <v>507</v>
      </c>
      <c r="H353" t="s">
        <v>508</v>
      </c>
      <c r="I353" t="s">
        <v>509</v>
      </c>
      <c r="J353" t="s">
        <v>589</v>
      </c>
      <c r="K353" s="497">
        <f>ROUND(HLOOKUP($B353,'2-Préparation saisie LV PROD'!$F$1:$Q$86,'2-Préparation saisie LV PROD'!A32,FALSE),0)</f>
        <v>3235988</v>
      </c>
      <c r="L353" t="str">
        <f>VLOOKUP(C353,Capacité!C:L,10,FALSE)</f>
        <v>Haut de Conge</v>
      </c>
    </row>
    <row r="354" spans="1:12">
      <c r="A354" t="s">
        <v>505</v>
      </c>
      <c r="B354" t="str">
        <f t="shared" si="54"/>
        <v>B22_05</v>
      </c>
      <c r="C354" s="323" t="str">
        <f t="shared" si="53"/>
        <v>E5396</v>
      </c>
      <c r="D354" t="str">
        <f t="shared" ref="D354:E369" si="56">D353</f>
        <v>NO_DATAVIEWS</v>
      </c>
      <c r="E354" s="62" t="str">
        <f t="shared" si="56"/>
        <v>NO_DEPARTMENTS</v>
      </c>
      <c r="F354" t="s">
        <v>506</v>
      </c>
      <c r="G354" t="s">
        <v>507</v>
      </c>
      <c r="H354" t="s">
        <v>508</v>
      </c>
      <c r="I354" t="s">
        <v>509</v>
      </c>
      <c r="J354" t="s">
        <v>589</v>
      </c>
      <c r="K354" s="497">
        <f>ROUND(HLOOKUP($B354,'2-Préparation saisie LV PROD'!$F$1:$Q$86,'2-Préparation saisie LV PROD'!A33,FALSE),0)</f>
        <v>1324219</v>
      </c>
      <c r="L354" t="str">
        <f>VLOOKUP(C354,Capacité!C:L,10,FALSE)</f>
        <v>Les Eparmonts</v>
      </c>
    </row>
    <row r="355" spans="1:12">
      <c r="A355" t="s">
        <v>505</v>
      </c>
      <c r="B355" t="str">
        <f t="shared" si="54"/>
        <v>B22_05</v>
      </c>
      <c r="C355" s="323" t="str">
        <f t="shared" si="53"/>
        <v>E5397</v>
      </c>
      <c r="D355" t="str">
        <f t="shared" si="56"/>
        <v>NO_DATAVIEWS</v>
      </c>
      <c r="E355" s="62" t="str">
        <f t="shared" si="56"/>
        <v>NO_DEPARTMENTS</v>
      </c>
      <c r="F355" t="s">
        <v>506</v>
      </c>
      <c r="G355" t="s">
        <v>507</v>
      </c>
      <c r="H355" t="s">
        <v>508</v>
      </c>
      <c r="I355" t="s">
        <v>509</v>
      </c>
      <c r="J355" t="s">
        <v>589</v>
      </c>
      <c r="K355" s="497">
        <f>ROUND(HLOOKUP($B355,'2-Préparation saisie LV PROD'!$F$1:$Q$86,'2-Préparation saisie LV PROD'!A34,FALSE),0)</f>
        <v>1603456</v>
      </c>
      <c r="L355" t="str">
        <f>VLOOKUP(C355,Capacité!C:L,10,FALSE)</f>
        <v>Charmoy</v>
      </c>
    </row>
    <row r="356" spans="1:12">
      <c r="A356" t="s">
        <v>505</v>
      </c>
      <c r="B356" t="str">
        <f t="shared" si="54"/>
        <v>B22_05</v>
      </c>
      <c r="C356" s="323" t="str">
        <f t="shared" si="53"/>
        <v>E5398</v>
      </c>
      <c r="D356" t="str">
        <f t="shared" si="56"/>
        <v>NO_DATAVIEWS</v>
      </c>
      <c r="E356" s="62" t="str">
        <f t="shared" si="56"/>
        <v>NO_DEPARTMENTS</v>
      </c>
      <c r="F356" t="s">
        <v>506</v>
      </c>
      <c r="G356" t="s">
        <v>507</v>
      </c>
      <c r="H356" t="s">
        <v>508</v>
      </c>
      <c r="I356" t="s">
        <v>509</v>
      </c>
      <c r="J356" t="s">
        <v>589</v>
      </c>
      <c r="K356" s="497">
        <f>ROUND(HLOOKUP($B356,'2-Préparation saisie LV PROD'!$F$1:$Q$86,'2-Préparation saisie LV PROD'!A35,FALSE),0)</f>
        <v>2847140</v>
      </c>
      <c r="L356" t="str">
        <f>VLOOKUP(C356,Capacité!C:L,10,FALSE)</f>
        <v>Pannecé</v>
      </c>
    </row>
    <row r="357" spans="1:12">
      <c r="A357" t="s">
        <v>505</v>
      </c>
      <c r="B357" t="str">
        <f t="shared" si="54"/>
        <v>B22_05</v>
      </c>
      <c r="C357" s="323" t="str">
        <f t="shared" si="53"/>
        <v>E5399</v>
      </c>
      <c r="D357" t="str">
        <f t="shared" si="56"/>
        <v>NO_DATAVIEWS</v>
      </c>
      <c r="E357" s="62" t="str">
        <f t="shared" si="56"/>
        <v>NO_DEPARTMENTS</v>
      </c>
      <c r="F357" t="s">
        <v>506</v>
      </c>
      <c r="G357" t="s">
        <v>507</v>
      </c>
      <c r="H357" t="s">
        <v>508</v>
      </c>
      <c r="I357" t="s">
        <v>509</v>
      </c>
      <c r="J357" t="s">
        <v>589</v>
      </c>
      <c r="K357" s="497">
        <f>ROUND(HLOOKUP($B357,'2-Préparation saisie LV PROD'!$F$1:$Q$86,'2-Préparation saisie LV PROD'!A36,FALSE),0)</f>
        <v>5295770</v>
      </c>
      <c r="L357" t="str">
        <f>VLOOKUP(C357,Capacité!C:L,10,FALSE)</f>
        <v>Coulonges</v>
      </c>
    </row>
    <row r="358" spans="1:12">
      <c r="A358" t="s">
        <v>505</v>
      </c>
      <c r="B358" t="str">
        <f t="shared" si="54"/>
        <v>B22_05</v>
      </c>
      <c r="C358" s="323" t="str">
        <f t="shared" ref="C358:C389" si="57">C277</f>
        <v>E5400</v>
      </c>
      <c r="D358" t="str">
        <f t="shared" si="56"/>
        <v>NO_DATAVIEWS</v>
      </c>
      <c r="E358" s="62" t="str">
        <f t="shared" si="56"/>
        <v>NO_DEPARTMENTS</v>
      </c>
      <c r="F358" t="s">
        <v>506</v>
      </c>
      <c r="G358" t="s">
        <v>507</v>
      </c>
      <c r="H358" t="s">
        <v>508</v>
      </c>
      <c r="I358" t="s">
        <v>509</v>
      </c>
      <c r="J358" t="s">
        <v>589</v>
      </c>
      <c r="K358" s="497">
        <f>ROUND(HLOOKUP($B358,'2-Préparation saisie LV PROD'!$F$1:$Q$86,'2-Préparation saisie LV PROD'!A37,FALSE),0)</f>
        <v>3173588</v>
      </c>
      <c r="L358" t="str">
        <f>VLOOKUP(C358,Capacité!C:L,10,FALSE)</f>
        <v>SdlL</v>
      </c>
    </row>
    <row r="359" spans="1:12">
      <c r="A359" t="s">
        <v>505</v>
      </c>
      <c r="B359" t="str">
        <f t="shared" si="54"/>
        <v>B22_05</v>
      </c>
      <c r="C359" s="323" t="str">
        <f t="shared" si="57"/>
        <v>E5401</v>
      </c>
      <c r="D359" t="str">
        <f t="shared" si="56"/>
        <v>NO_DATAVIEWS</v>
      </c>
      <c r="E359" s="62" t="str">
        <f t="shared" si="56"/>
        <v>NO_DEPARTMENTS</v>
      </c>
      <c r="F359" t="s">
        <v>506</v>
      </c>
      <c r="G359" t="s">
        <v>507</v>
      </c>
      <c r="H359" t="s">
        <v>508</v>
      </c>
      <c r="I359" t="s">
        <v>509</v>
      </c>
      <c r="J359" t="s">
        <v>589</v>
      </c>
      <c r="K359" s="497">
        <f>ROUND(HLOOKUP($B359,'2-Préparation saisie LV PROD'!$F$1:$Q$86,'2-Préparation saisie LV PROD'!A38,FALSE),0)</f>
        <v>1282670</v>
      </c>
      <c r="L359" t="str">
        <f>VLOOKUP(C359,Capacité!C:L,10,FALSE)</f>
        <v>Pays d'Othe</v>
      </c>
    </row>
    <row r="360" spans="1:12">
      <c r="A360" t="s">
        <v>505</v>
      </c>
      <c r="B360" t="str">
        <f t="shared" si="54"/>
        <v>B22_05</v>
      </c>
      <c r="C360" s="323" t="str">
        <f t="shared" si="57"/>
        <v>E5402</v>
      </c>
      <c r="D360" t="str">
        <f t="shared" si="56"/>
        <v>NO_DATAVIEWS</v>
      </c>
      <c r="E360" s="62" t="str">
        <f t="shared" si="56"/>
        <v>NO_DEPARTMENTS</v>
      </c>
      <c r="F360" t="s">
        <v>506</v>
      </c>
      <c r="G360" t="s">
        <v>507</v>
      </c>
      <c r="H360" t="s">
        <v>508</v>
      </c>
      <c r="I360" t="s">
        <v>509</v>
      </c>
      <c r="J360" t="s">
        <v>589</v>
      </c>
      <c r="K360" s="497">
        <f>ROUND(HLOOKUP($B360,'2-Préparation saisie LV PROD'!$F$1:$Q$86,'2-Préparation saisie LV PROD'!A39,FALSE),0)</f>
        <v>1650368</v>
      </c>
      <c r="L360" t="str">
        <f>VLOOKUP(C360,Capacité!C:L,10,FALSE)</f>
        <v>Comes de l'Arce</v>
      </c>
    </row>
    <row r="361" spans="1:12">
      <c r="A361" t="s">
        <v>505</v>
      </c>
      <c r="B361" t="str">
        <f t="shared" si="54"/>
        <v>B22_05</v>
      </c>
      <c r="C361" s="323" t="str">
        <f t="shared" si="57"/>
        <v>E5570</v>
      </c>
      <c r="D361" t="str">
        <f t="shared" si="56"/>
        <v>NO_DATAVIEWS</v>
      </c>
      <c r="E361" s="62" t="str">
        <f t="shared" si="56"/>
        <v>NO_DEPARTMENTS</v>
      </c>
      <c r="F361" t="s">
        <v>506</v>
      </c>
      <c r="G361" t="s">
        <v>507</v>
      </c>
      <c r="H361" t="s">
        <v>508</v>
      </c>
      <c r="I361" t="s">
        <v>509</v>
      </c>
      <c r="J361" t="s">
        <v>589</v>
      </c>
      <c r="K361" s="497">
        <f>ROUND(HLOOKUP($B361,'2-Préparation saisie LV PROD'!$F$1:$Q$86,'2-Préparation saisie LV PROD'!A40,FALSE),0)</f>
        <v>2374514</v>
      </c>
      <c r="L361" t="str">
        <f>VLOOKUP(C361,Capacité!C:L,10,FALSE)</f>
        <v>Plateau de Savernat</v>
      </c>
    </row>
    <row r="362" spans="1:12">
      <c r="A362" t="s">
        <v>505</v>
      </c>
      <c r="B362" t="str">
        <f t="shared" si="54"/>
        <v>B22_05</v>
      </c>
      <c r="C362" s="323" t="str">
        <f t="shared" si="57"/>
        <v>E5560</v>
      </c>
      <c r="D362" t="str">
        <f t="shared" si="56"/>
        <v>NO_DATAVIEWS</v>
      </c>
      <c r="E362" s="62" t="str">
        <f t="shared" si="56"/>
        <v>NO_DEPARTMENTS</v>
      </c>
      <c r="F362" t="s">
        <v>506</v>
      </c>
      <c r="G362" t="s">
        <v>507</v>
      </c>
      <c r="H362" t="s">
        <v>508</v>
      </c>
      <c r="I362" t="s">
        <v>509</v>
      </c>
      <c r="J362" t="s">
        <v>589</v>
      </c>
      <c r="K362" s="497">
        <f>ROUND(HLOOKUP($B362,'2-Préparation saisie LV PROD'!$F$1:$Q$86,'2-Préparation saisie LV PROD'!A41,FALSE),0)</f>
        <v>2007099</v>
      </c>
      <c r="L362" t="str">
        <f>VLOOKUP(C362,Capacité!C:L,10,FALSE)</f>
        <v>Touvent</v>
      </c>
    </row>
    <row r="363" spans="1:12">
      <c r="A363" t="s">
        <v>505</v>
      </c>
      <c r="B363" t="str">
        <f t="shared" si="54"/>
        <v>B22_05</v>
      </c>
      <c r="C363" s="323" t="str">
        <f t="shared" si="57"/>
        <v>E5700</v>
      </c>
      <c r="D363" t="str">
        <f t="shared" si="56"/>
        <v>NO_DATAVIEWS</v>
      </c>
      <c r="E363" s="62" t="str">
        <f t="shared" si="56"/>
        <v>NO_DEPARTMENTS</v>
      </c>
      <c r="F363" t="s">
        <v>506</v>
      </c>
      <c r="G363" t="s">
        <v>507</v>
      </c>
      <c r="H363" t="s">
        <v>508</v>
      </c>
      <c r="I363" t="s">
        <v>509</v>
      </c>
      <c r="J363" t="s">
        <v>589</v>
      </c>
      <c r="K363" s="497">
        <f>ROUND(HLOOKUP($B363,'2-Préparation saisie LV PROD'!$F$1:$Q$86,'2-Préparation saisie LV PROD'!A42,FALSE),0)</f>
        <v>3780916</v>
      </c>
      <c r="L363" t="str">
        <f>VLOOKUP(C363,Capacité!C:L,10,FALSE)</f>
        <v>Haut de Comble (HC)</v>
      </c>
    </row>
    <row r="364" spans="1:12">
      <c r="A364" t="s">
        <v>505</v>
      </c>
      <c r="B364" t="str">
        <f t="shared" si="54"/>
        <v>B22_05</v>
      </c>
      <c r="C364" s="323" t="str">
        <f t="shared" si="57"/>
        <v>E5600</v>
      </c>
      <c r="D364" t="str">
        <f t="shared" si="56"/>
        <v>NO_DATAVIEWS</v>
      </c>
      <c r="E364" s="62" t="str">
        <f t="shared" si="56"/>
        <v>NO_DEPARTMENTS</v>
      </c>
      <c r="F364" t="s">
        <v>506</v>
      </c>
      <c r="G364" t="s">
        <v>507</v>
      </c>
      <c r="H364" t="s">
        <v>508</v>
      </c>
      <c r="I364" t="s">
        <v>509</v>
      </c>
      <c r="J364" t="s">
        <v>589</v>
      </c>
      <c r="K364" s="497">
        <f>ROUND(HLOOKUP($B364,'2-Préparation saisie LV PROD'!$F$1:$Q$86,'2-Préparation saisie LV PROD'!A43,FALSE),0)</f>
        <v>5235558</v>
      </c>
      <c r="L364" t="str">
        <f>VLOOKUP(C364,Capacité!C:L,10,FALSE)</f>
        <v>Inter deux bos (MET)</v>
      </c>
    </row>
    <row r="365" spans="1:12">
      <c r="A365" t="s">
        <v>505</v>
      </c>
      <c r="B365" t="str">
        <f t="shared" si="54"/>
        <v>B22_05</v>
      </c>
      <c r="C365" s="323" t="str">
        <f t="shared" si="57"/>
        <v>E5770</v>
      </c>
      <c r="D365" t="str">
        <f t="shared" si="56"/>
        <v>NO_DATAVIEWS</v>
      </c>
      <c r="E365" s="62" t="str">
        <f t="shared" si="56"/>
        <v>NO_DEPARTMENTS</v>
      </c>
      <c r="F365" t="s">
        <v>506</v>
      </c>
      <c r="G365" t="s">
        <v>507</v>
      </c>
      <c r="H365" t="s">
        <v>508</v>
      </c>
      <c r="I365" t="s">
        <v>509</v>
      </c>
      <c r="J365" t="s">
        <v>589</v>
      </c>
      <c r="K365" s="497">
        <f>ROUND(HLOOKUP($B365,'2-Préparation saisie LV PROD'!$F$1:$Q$86,'2-Préparation saisie LV PROD'!A44,FALSE),0)</f>
        <v>1931130</v>
      </c>
      <c r="L365" t="str">
        <f>VLOOKUP(C365,Capacité!C:L,10,FALSE)</f>
        <v>Le Pelon</v>
      </c>
    </row>
    <row r="366" spans="1:12">
      <c r="A366" t="s">
        <v>505</v>
      </c>
      <c r="B366" t="str">
        <f t="shared" si="54"/>
        <v>B22_05</v>
      </c>
      <c r="C366" s="323" t="str">
        <f t="shared" si="57"/>
        <v>E5630</v>
      </c>
      <c r="D366" t="str">
        <f t="shared" si="56"/>
        <v>NO_DATAVIEWS</v>
      </c>
      <c r="E366" s="62" t="str">
        <f t="shared" si="56"/>
        <v>NO_DEPARTMENTS</v>
      </c>
      <c r="F366" t="s">
        <v>506</v>
      </c>
      <c r="G366" t="s">
        <v>507</v>
      </c>
      <c r="H366" t="s">
        <v>508</v>
      </c>
      <c r="I366" t="s">
        <v>509</v>
      </c>
      <c r="J366" t="s">
        <v>589</v>
      </c>
      <c r="K366" s="497">
        <f>ROUND(HLOOKUP($B366,'2-Préparation saisie LV PROD'!$F$1:$Q$86,'2-Préparation saisie LV PROD'!A45,FALSE),0)</f>
        <v>4522776</v>
      </c>
      <c r="L366" t="str">
        <f>VLOOKUP(C366,Capacité!C:L,10,FALSE)</f>
        <v>Monts de Bagny</v>
      </c>
    </row>
    <row r="367" spans="1:12">
      <c r="A367" t="s">
        <v>505</v>
      </c>
      <c r="B367" t="str">
        <f t="shared" si="54"/>
        <v>B22_05</v>
      </c>
      <c r="C367" s="323" t="str">
        <f t="shared" si="57"/>
        <v>E5690</v>
      </c>
      <c r="D367" t="str">
        <f t="shared" si="56"/>
        <v>NO_DATAVIEWS</v>
      </c>
      <c r="E367" s="62" t="str">
        <f t="shared" si="56"/>
        <v>NO_DEPARTMENTS</v>
      </c>
      <c r="F367" t="s">
        <v>506</v>
      </c>
      <c r="G367" t="s">
        <v>507</v>
      </c>
      <c r="H367" t="s">
        <v>508</v>
      </c>
      <c r="I367" t="s">
        <v>509</v>
      </c>
      <c r="J367" t="s">
        <v>589</v>
      </c>
      <c r="K367" s="497">
        <f>ROUND(HLOOKUP($B367,'2-Préparation saisie LV PROD'!$F$1:$Q$86,'2-Préparation saisie LV PROD'!A46,FALSE),0)</f>
        <v>2154098</v>
      </c>
      <c r="L367" t="str">
        <f>VLOOKUP(C367,Capacité!C:L,10,FALSE)</f>
        <v>Voie des monts</v>
      </c>
    </row>
    <row r="368" spans="1:12">
      <c r="A368" t="s">
        <v>505</v>
      </c>
      <c r="B368" t="str">
        <f t="shared" si="54"/>
        <v>B22_05</v>
      </c>
      <c r="C368" s="323" t="str">
        <f t="shared" si="57"/>
        <v>E5640</v>
      </c>
      <c r="D368" t="str">
        <f t="shared" si="56"/>
        <v>NO_DATAVIEWS</v>
      </c>
      <c r="E368" s="62" t="str">
        <f t="shared" si="56"/>
        <v>NO_DEPARTMENTS</v>
      </c>
      <c r="F368" t="s">
        <v>506</v>
      </c>
      <c r="G368" t="s">
        <v>507</v>
      </c>
      <c r="H368" t="s">
        <v>508</v>
      </c>
      <c r="I368" t="s">
        <v>509</v>
      </c>
      <c r="J368" t="s">
        <v>589</v>
      </c>
      <c r="K368" s="497">
        <f>ROUND(HLOOKUP($B368,'2-Préparation saisie LV PROD'!$F$1:$Q$86,'2-Préparation saisie LV PROD'!A47,FALSE),0)</f>
        <v>4227484</v>
      </c>
      <c r="L368" t="str">
        <f>VLOOKUP(C368,Capacité!C:L,10,FALSE)</f>
        <v>Artois</v>
      </c>
    </row>
    <row r="369" spans="1:12">
      <c r="A369" t="s">
        <v>505</v>
      </c>
      <c r="B369" t="str">
        <f t="shared" si="54"/>
        <v>B22_05</v>
      </c>
      <c r="C369" s="323" t="str">
        <f t="shared" si="57"/>
        <v>E5620</v>
      </c>
      <c r="D369" t="str">
        <f t="shared" si="56"/>
        <v>NO_DATAVIEWS</v>
      </c>
      <c r="E369" s="62" t="str">
        <f t="shared" si="56"/>
        <v>NO_DEPARTMENTS</v>
      </c>
      <c r="F369" t="s">
        <v>506</v>
      </c>
      <c r="G369" t="s">
        <v>507</v>
      </c>
      <c r="H369" t="s">
        <v>508</v>
      </c>
      <c r="I369" t="s">
        <v>509</v>
      </c>
      <c r="J369" t="s">
        <v>589</v>
      </c>
      <c r="K369" s="497">
        <f>ROUND(HLOOKUP($B369,'2-Préparation saisie LV PROD'!$F$1:$Q$86,'2-Préparation saisie LV PROD'!A48,FALSE),0)</f>
        <v>5220939</v>
      </c>
      <c r="L369" t="str">
        <f>VLOOKUP(C369,Capacité!C:L,10,FALSE)</f>
        <v>Chemin de Grès</v>
      </c>
    </row>
    <row r="370" spans="1:12">
      <c r="A370" t="s">
        <v>505</v>
      </c>
      <c r="B370" t="str">
        <f t="shared" si="54"/>
        <v>B22_05</v>
      </c>
      <c r="C370" s="323" t="str">
        <f t="shared" si="57"/>
        <v>E5810</v>
      </c>
      <c r="D370" t="str">
        <f t="shared" ref="D370:E385" si="58">D369</f>
        <v>NO_DATAVIEWS</v>
      </c>
      <c r="E370" s="62" t="str">
        <f t="shared" si="58"/>
        <v>NO_DEPARTMENTS</v>
      </c>
      <c r="F370" t="s">
        <v>506</v>
      </c>
      <c r="G370" t="s">
        <v>507</v>
      </c>
      <c r="H370" t="s">
        <v>508</v>
      </c>
      <c r="I370" t="s">
        <v>509</v>
      </c>
      <c r="J370" t="s">
        <v>589</v>
      </c>
      <c r="K370" s="497">
        <f>ROUND(HLOOKUP($B370,'2-Préparation saisie LV PROD'!$F$1:$Q$86,'2-Préparation saisie LV PROD'!A49,FALSE),0)</f>
        <v>3333149</v>
      </c>
      <c r="L370" t="str">
        <f>VLOOKUP(C370,Capacité!C:L,10,FALSE)</f>
        <v>Coteaux du Blaiseron</v>
      </c>
    </row>
    <row r="371" spans="1:12">
      <c r="A371" t="s">
        <v>505</v>
      </c>
      <c r="B371" t="str">
        <f t="shared" si="54"/>
        <v>B22_05</v>
      </c>
      <c r="C371" s="323" t="str">
        <f t="shared" si="57"/>
        <v>E5660</v>
      </c>
      <c r="D371" t="str">
        <f t="shared" si="58"/>
        <v>NO_DATAVIEWS</v>
      </c>
      <c r="E371" s="62" t="str">
        <f t="shared" si="58"/>
        <v>NO_DEPARTMENTS</v>
      </c>
      <c r="F371" t="s">
        <v>506</v>
      </c>
      <c r="G371" t="s">
        <v>507</v>
      </c>
      <c r="H371" t="s">
        <v>508</v>
      </c>
      <c r="I371" t="s">
        <v>509</v>
      </c>
      <c r="J371" t="s">
        <v>589</v>
      </c>
      <c r="K371" s="497">
        <f>ROUND(HLOOKUP($B371,'2-Préparation saisie LV PROD'!$F$1:$Q$86,'2-Préparation saisie LV PROD'!A50,FALSE),0)</f>
        <v>3359169</v>
      </c>
      <c r="L371" t="str">
        <f>VLOOKUP(C371,Capacité!C:L,10,FALSE)</f>
        <v>XSAN</v>
      </c>
    </row>
    <row r="372" spans="1:12">
      <c r="A372" t="s">
        <v>505</v>
      </c>
      <c r="B372" t="str">
        <f t="shared" si="54"/>
        <v>B22_05</v>
      </c>
      <c r="C372" s="323" t="str">
        <f t="shared" si="57"/>
        <v>E5590</v>
      </c>
      <c r="D372" t="str">
        <f t="shared" si="58"/>
        <v>NO_DATAVIEWS</v>
      </c>
      <c r="E372" s="62" t="str">
        <f t="shared" si="58"/>
        <v>NO_DEPARTMENTS</v>
      </c>
      <c r="F372" t="s">
        <v>506</v>
      </c>
      <c r="G372" t="s">
        <v>507</v>
      </c>
      <c r="H372" t="s">
        <v>508</v>
      </c>
      <c r="I372" t="s">
        <v>509</v>
      </c>
      <c r="J372" t="s">
        <v>589</v>
      </c>
      <c r="K372" s="497">
        <f>ROUND(HLOOKUP($B372,'2-Préparation saisie LV PROD'!$F$1:$Q$86,'2-Préparation saisie LV PROD'!A51,FALSE),0)</f>
        <v>2429996</v>
      </c>
      <c r="L372" t="str">
        <f>VLOOKUP(C372,Capacité!C:L,10,FALSE)</f>
        <v>Le Catésis (CAT)</v>
      </c>
    </row>
    <row r="373" spans="1:12">
      <c r="A373" t="s">
        <v>505</v>
      </c>
      <c r="B373" t="str">
        <f t="shared" si="54"/>
        <v>B22_05</v>
      </c>
      <c r="C373" s="323" t="str">
        <f t="shared" si="57"/>
        <v>E5650</v>
      </c>
      <c r="D373" t="str">
        <f t="shared" si="58"/>
        <v>NO_DATAVIEWS</v>
      </c>
      <c r="E373" s="62" t="str">
        <f t="shared" si="58"/>
        <v>NO_DEPARTMENTS</v>
      </c>
      <c r="F373" t="s">
        <v>506</v>
      </c>
      <c r="G373" t="s">
        <v>507</v>
      </c>
      <c r="H373" t="s">
        <v>508</v>
      </c>
      <c r="I373" t="s">
        <v>509</v>
      </c>
      <c r="J373" t="s">
        <v>589</v>
      </c>
      <c r="K373" s="497">
        <f>ROUND(HLOOKUP($B373,'2-Préparation saisie LV PROD'!$F$1:$Q$86,'2-Préparation saisie LV PROD'!A52,FALSE),0)</f>
        <v>4204642</v>
      </c>
      <c r="L373" t="str">
        <f>VLOOKUP(C373,Capacité!C:L,10,FALSE)</f>
        <v>Seuil du Cambrésis- Ribecourt (RIB)</v>
      </c>
    </row>
    <row r="374" spans="1:12">
      <c r="A374" t="s">
        <v>505</v>
      </c>
      <c r="B374" t="str">
        <f t="shared" si="54"/>
        <v>B22_05</v>
      </c>
      <c r="C374" s="323" t="str">
        <f t="shared" si="57"/>
        <v>E5720</v>
      </c>
      <c r="D374" t="str">
        <f t="shared" si="58"/>
        <v>NO_DATAVIEWS</v>
      </c>
      <c r="E374" s="62" t="str">
        <f t="shared" si="58"/>
        <v>NO_DEPARTMENTS</v>
      </c>
      <c r="F374" t="s">
        <v>506</v>
      </c>
      <c r="G374" t="s">
        <v>507</v>
      </c>
      <c r="H374" t="s">
        <v>508</v>
      </c>
      <c r="I374" t="s">
        <v>509</v>
      </c>
      <c r="J374" t="s">
        <v>589</v>
      </c>
      <c r="K374" s="497">
        <f>ROUND(HLOOKUP($B374,'2-Préparation saisie LV PROD'!$F$1:$Q$86,'2-Préparation saisie LV PROD'!A53,FALSE),0)</f>
        <v>3160038</v>
      </c>
      <c r="L374" t="str">
        <f>VLOOKUP(C374,Capacité!C:L,10,FALSE)</f>
        <v>Basse Thiérache Nord</v>
      </c>
    </row>
    <row r="375" spans="1:12">
      <c r="A375" t="s">
        <v>505</v>
      </c>
      <c r="B375" t="str">
        <f t="shared" si="54"/>
        <v>B22_05</v>
      </c>
      <c r="C375" s="323" t="str">
        <f t="shared" si="57"/>
        <v>E5710</v>
      </c>
      <c r="D375" t="str">
        <f t="shared" si="58"/>
        <v>NO_DATAVIEWS</v>
      </c>
      <c r="E375" s="62" t="str">
        <f t="shared" si="58"/>
        <v>NO_DEPARTMENTS</v>
      </c>
      <c r="F375" t="s">
        <v>506</v>
      </c>
      <c r="G375" t="s">
        <v>507</v>
      </c>
      <c r="H375" t="s">
        <v>508</v>
      </c>
      <c r="I375" t="s">
        <v>509</v>
      </c>
      <c r="J375" t="s">
        <v>589</v>
      </c>
      <c r="K375" s="497">
        <f>ROUND(HLOOKUP($B375,'2-Préparation saisie LV PROD'!$F$1:$Q$86,'2-Préparation saisie LV PROD'!A54,FALSE),0)</f>
        <v>4121614</v>
      </c>
      <c r="L375" t="str">
        <f>VLOOKUP(C375,Capacité!C:L,10,FALSE)</f>
        <v>Sources de l'Ancre</v>
      </c>
    </row>
    <row r="376" spans="1:12">
      <c r="A376" t="s">
        <v>505</v>
      </c>
      <c r="B376" t="str">
        <f t="shared" si="54"/>
        <v>B22_05</v>
      </c>
      <c r="C376" s="323" t="str">
        <f t="shared" si="57"/>
        <v>E6190</v>
      </c>
      <c r="D376" t="str">
        <f t="shared" si="58"/>
        <v>NO_DATAVIEWS</v>
      </c>
      <c r="E376" s="62" t="str">
        <f t="shared" si="58"/>
        <v>NO_DEPARTMENTS</v>
      </c>
      <c r="F376" t="s">
        <v>506</v>
      </c>
      <c r="G376" t="s">
        <v>507</v>
      </c>
      <c r="H376" t="s">
        <v>508</v>
      </c>
      <c r="I376" t="s">
        <v>509</v>
      </c>
      <c r="J376" t="s">
        <v>589</v>
      </c>
      <c r="K376" s="497">
        <f>ROUND(HLOOKUP($B376,'2-Préparation saisie LV PROD'!$F$1:$Q$86,'2-Préparation saisie LV PROD'!A55,FALSE),0)</f>
        <v>0</v>
      </c>
      <c r="L376" t="str">
        <f>VLOOKUP(C376,Capacité!C:L,10,FALSE)</f>
        <v>Evits et Josaphats</v>
      </c>
    </row>
    <row r="377" spans="1:12">
      <c r="A377" t="s">
        <v>505</v>
      </c>
      <c r="B377" t="str">
        <f t="shared" si="54"/>
        <v>B22_05</v>
      </c>
      <c r="C377" s="323" t="str">
        <f t="shared" si="57"/>
        <v>E6200</v>
      </c>
      <c r="D377" t="str">
        <f t="shared" si="58"/>
        <v>NO_DATAVIEWS</v>
      </c>
      <c r="E377" s="62" t="str">
        <f t="shared" si="58"/>
        <v>NO_DEPARTMENTS</v>
      </c>
      <c r="F377" t="s">
        <v>506</v>
      </c>
      <c r="G377" t="s">
        <v>507</v>
      </c>
      <c r="H377" t="s">
        <v>508</v>
      </c>
      <c r="I377" t="s">
        <v>509</v>
      </c>
      <c r="J377" t="s">
        <v>589</v>
      </c>
      <c r="K377" s="497">
        <f>ROUND(HLOOKUP($B377,'2-Préparation saisie LV PROD'!$F$1:$Q$86,'2-Préparation saisie LV PROD'!A56,FALSE),0)</f>
        <v>0</v>
      </c>
      <c r="L377" t="str">
        <f>VLOOKUP(C377,Capacité!C:L,10,FALSE)</f>
        <v>Remise Reclainville</v>
      </c>
    </row>
    <row r="378" spans="1:12">
      <c r="A378" t="s">
        <v>505</v>
      </c>
      <c r="B378" t="str">
        <f t="shared" si="54"/>
        <v>B22_05</v>
      </c>
      <c r="C378" s="323" t="str">
        <f t="shared" si="57"/>
        <v>E6150</v>
      </c>
      <c r="D378" t="str">
        <f t="shared" si="58"/>
        <v>NO_DATAVIEWS</v>
      </c>
      <c r="E378" s="62" t="str">
        <f t="shared" si="58"/>
        <v>NO_DEPARTMENTS</v>
      </c>
      <c r="F378" t="s">
        <v>506</v>
      </c>
      <c r="G378" t="s">
        <v>507</v>
      </c>
      <c r="H378" t="s">
        <v>508</v>
      </c>
      <c r="I378" t="s">
        <v>509</v>
      </c>
      <c r="J378" t="s">
        <v>589</v>
      </c>
      <c r="K378" s="497">
        <f>ROUND(HLOOKUP($B378,'2-Préparation saisie LV PROD'!$F$1:$Q$86,'2-Préparation saisie LV PROD'!A57,FALSE),0)</f>
        <v>1212516</v>
      </c>
      <c r="L378" t="str">
        <f>VLOOKUP(C378,Capacité!C:L,10,FALSE)</f>
        <v>Fierville</v>
      </c>
    </row>
    <row r="379" spans="1:12">
      <c r="A379" t="s">
        <v>505</v>
      </c>
      <c r="B379" t="str">
        <f t="shared" si="54"/>
        <v>B22_05</v>
      </c>
      <c r="C379" s="323" t="str">
        <f t="shared" si="57"/>
        <v>E6340</v>
      </c>
      <c r="D379" t="str">
        <f t="shared" si="58"/>
        <v>NO_DATAVIEWS</v>
      </c>
      <c r="E379" s="62" t="str">
        <f t="shared" si="58"/>
        <v>NO_DEPARTMENTS</v>
      </c>
      <c r="F379" t="s">
        <v>506</v>
      </c>
      <c r="G379" t="s">
        <v>507</v>
      </c>
      <c r="H379" t="s">
        <v>508</v>
      </c>
      <c r="I379" t="s">
        <v>509</v>
      </c>
      <c r="J379" t="s">
        <v>589</v>
      </c>
      <c r="K379" s="497">
        <f>ROUND(HLOOKUP($B379,'2-Préparation saisie LV PROD'!$F$1:$Q$86,'2-Préparation saisie LV PROD'!A58,FALSE),0)</f>
        <v>1966926</v>
      </c>
      <c r="L379" t="str">
        <f>VLOOKUP(C379,Capacité!C:L,10,FALSE)</f>
        <v>Plaine de Beaunay</v>
      </c>
    </row>
    <row r="380" spans="1:12">
      <c r="A380" t="s">
        <v>505</v>
      </c>
      <c r="B380" t="str">
        <f t="shared" si="54"/>
        <v>B22_05</v>
      </c>
      <c r="C380" s="323" t="str">
        <f t="shared" si="57"/>
        <v>E6370</v>
      </c>
      <c r="D380" t="str">
        <f t="shared" si="58"/>
        <v>NO_DATAVIEWS</v>
      </c>
      <c r="E380" s="62" t="str">
        <f t="shared" si="58"/>
        <v>NO_DEPARTMENTS</v>
      </c>
      <c r="F380" t="s">
        <v>506</v>
      </c>
      <c r="G380" t="s">
        <v>507</v>
      </c>
      <c r="H380" t="s">
        <v>508</v>
      </c>
      <c r="I380" t="s">
        <v>509</v>
      </c>
      <c r="J380" t="s">
        <v>589</v>
      </c>
      <c r="K380" s="497">
        <f>ROUND(HLOOKUP($B380,'2-Préparation saisie LV PROD'!$F$1:$Q$86,'2-Préparation saisie LV PROD'!A59,FALSE),0)</f>
        <v>2583571</v>
      </c>
      <c r="L380" t="str">
        <f>VLOOKUP(C380,Capacité!C:L,10,FALSE)</f>
        <v>Val au Moines</v>
      </c>
    </row>
    <row r="381" spans="1:12">
      <c r="A381" t="s">
        <v>505</v>
      </c>
      <c r="B381" t="str">
        <f t="shared" si="54"/>
        <v>B22_05</v>
      </c>
      <c r="C381" s="323" t="str">
        <f t="shared" si="57"/>
        <v>E6250</v>
      </c>
      <c r="D381" t="str">
        <f t="shared" si="58"/>
        <v>NO_DATAVIEWS</v>
      </c>
      <c r="E381" s="62" t="str">
        <f t="shared" si="58"/>
        <v>NO_DEPARTMENTS</v>
      </c>
      <c r="F381" t="s">
        <v>506</v>
      </c>
      <c r="G381" t="s">
        <v>507</v>
      </c>
      <c r="H381" t="s">
        <v>508</v>
      </c>
      <c r="I381" t="s">
        <v>509</v>
      </c>
      <c r="J381" t="s">
        <v>589</v>
      </c>
      <c r="K381" s="497">
        <f>ROUND(HLOOKUP($B381,'2-Préparation saisie LV PROD'!$F$1:$Q$86,'2-Préparation saisie LV PROD'!A60,FALSE),0)</f>
        <v>0</v>
      </c>
      <c r="L381" t="str">
        <f>VLOOKUP(C381,Capacité!C:L,10,FALSE)</f>
        <v>Bougainville</v>
      </c>
    </row>
    <row r="382" spans="1:12">
      <c r="A382" t="s">
        <v>505</v>
      </c>
      <c r="B382" t="str">
        <f t="shared" si="54"/>
        <v>B22_05</v>
      </c>
      <c r="C382" s="323" t="str">
        <f t="shared" si="57"/>
        <v>E6260</v>
      </c>
      <c r="D382" t="str">
        <f t="shared" si="58"/>
        <v>NO_DATAVIEWS</v>
      </c>
      <c r="E382" s="62" t="str">
        <f t="shared" si="58"/>
        <v>NO_DEPARTMENTS</v>
      </c>
      <c r="F382" t="s">
        <v>506</v>
      </c>
      <c r="G382" t="s">
        <v>507</v>
      </c>
      <c r="H382" t="s">
        <v>508</v>
      </c>
      <c r="I382" t="s">
        <v>509</v>
      </c>
      <c r="J382" t="s">
        <v>589</v>
      </c>
      <c r="K382" s="497">
        <f>ROUND(HLOOKUP($B382,'2-Préparation saisie LV PROD'!$F$1:$Q$86,'2-Préparation saisie LV PROD'!A61,FALSE),0)</f>
        <v>1493468</v>
      </c>
      <c r="L382" t="str">
        <f>VLOOKUP(C382,Capacité!C:L,10,FALSE)</f>
        <v>Saint André</v>
      </c>
    </row>
    <row r="383" spans="1:12">
      <c r="A383" t="s">
        <v>505</v>
      </c>
      <c r="B383" t="str">
        <f t="shared" si="54"/>
        <v>B22_05</v>
      </c>
      <c r="C383" s="323" t="str">
        <f t="shared" si="57"/>
        <v>E6120</v>
      </c>
      <c r="D383" t="str">
        <f t="shared" si="58"/>
        <v>NO_DATAVIEWS</v>
      </c>
      <c r="E383" s="62" t="str">
        <f t="shared" si="58"/>
        <v>NO_DEPARTMENTS</v>
      </c>
      <c r="F383" t="s">
        <v>506</v>
      </c>
      <c r="G383" t="s">
        <v>507</v>
      </c>
      <c r="H383" t="s">
        <v>508</v>
      </c>
      <c r="I383" t="s">
        <v>509</v>
      </c>
      <c r="J383" t="s">
        <v>589</v>
      </c>
      <c r="K383" s="497">
        <f>ROUND(HLOOKUP($B383,'2-Préparation saisie LV PROD'!$F$1:$Q$86,'2-Préparation saisie LV PROD'!A62,FALSE),0)</f>
        <v>723853</v>
      </c>
      <c r="L383" t="str">
        <f>VLOOKUP(C383,Capacité!C:L,10,FALSE)</f>
        <v>Fond de la Plaine</v>
      </c>
    </row>
    <row r="384" spans="1:12">
      <c r="A384" t="s">
        <v>505</v>
      </c>
      <c r="B384" t="str">
        <f t="shared" si="54"/>
        <v>B22_05</v>
      </c>
      <c r="C384" s="323" t="str">
        <f t="shared" si="57"/>
        <v>E6130</v>
      </c>
      <c r="D384" t="str">
        <f t="shared" si="58"/>
        <v>NO_DATAVIEWS</v>
      </c>
      <c r="E384" s="62" t="str">
        <f t="shared" si="58"/>
        <v>NO_DEPARTMENTS</v>
      </c>
      <c r="F384" t="s">
        <v>506</v>
      </c>
      <c r="G384" t="s">
        <v>507</v>
      </c>
      <c r="H384" t="s">
        <v>508</v>
      </c>
      <c r="I384" t="s">
        <v>509</v>
      </c>
      <c r="J384" t="s">
        <v>589</v>
      </c>
      <c r="K384" s="497">
        <f>ROUND(HLOOKUP($B384,'2-Préparation saisie LV PROD'!$F$1:$Q$86,'2-Préparation saisie LV PROD'!A63,FALSE),0)</f>
        <v>1481636</v>
      </c>
      <c r="L384" t="str">
        <f>VLOOKUP(C384,Capacité!C:L,10,FALSE)</f>
        <v>Bassigny</v>
      </c>
    </row>
    <row r="385" spans="1:12">
      <c r="A385" t="s">
        <v>505</v>
      </c>
      <c r="B385" t="str">
        <f t="shared" si="54"/>
        <v>B22_05</v>
      </c>
      <c r="C385" s="323" t="str">
        <f t="shared" si="57"/>
        <v>E6210</v>
      </c>
      <c r="D385" t="str">
        <f t="shared" si="58"/>
        <v>NO_DATAVIEWS</v>
      </c>
      <c r="E385" s="62" t="str">
        <f t="shared" si="58"/>
        <v>NO_DEPARTMENTS</v>
      </c>
      <c r="F385" t="s">
        <v>506</v>
      </c>
      <c r="G385" t="s">
        <v>507</v>
      </c>
      <c r="H385" t="s">
        <v>508</v>
      </c>
      <c r="I385" t="s">
        <v>509</v>
      </c>
      <c r="J385" t="s">
        <v>589</v>
      </c>
      <c r="K385" s="497">
        <f>ROUND(HLOOKUP($B385,'2-Préparation saisie LV PROD'!$F$1:$Q$86,'2-Préparation saisie LV PROD'!A64,FALSE),0)</f>
        <v>1092136</v>
      </c>
      <c r="L385" t="str">
        <f>VLOOKUP(C385,Capacité!C:L,10,FALSE)</f>
        <v>Les Clérimois</v>
      </c>
    </row>
    <row r="386" spans="1:12">
      <c r="A386" t="s">
        <v>505</v>
      </c>
      <c r="B386" t="str">
        <f t="shared" si="54"/>
        <v>B22_05</v>
      </c>
      <c r="C386" s="323" t="str">
        <f t="shared" si="57"/>
        <v>E6160</v>
      </c>
      <c r="D386" t="str">
        <f t="shared" ref="D386:E400" si="59">D385</f>
        <v>NO_DATAVIEWS</v>
      </c>
      <c r="E386" s="62" t="str">
        <f t="shared" si="59"/>
        <v>NO_DEPARTMENTS</v>
      </c>
      <c r="F386" t="s">
        <v>506</v>
      </c>
      <c r="G386" t="s">
        <v>507</v>
      </c>
      <c r="H386" t="s">
        <v>508</v>
      </c>
      <c r="I386" t="s">
        <v>509</v>
      </c>
      <c r="J386" t="s">
        <v>589</v>
      </c>
      <c r="K386" s="497">
        <f>ROUND(HLOOKUP($B386,'2-Préparation saisie LV PROD'!$F$1:$Q$86,'2-Préparation saisie LV PROD'!A65,FALSE),0)</f>
        <v>1360526</v>
      </c>
      <c r="L386" t="str">
        <f>VLOOKUP(C386,Capacité!C:L,10,FALSE)</f>
        <v>Plateau de Langres</v>
      </c>
    </row>
    <row r="387" spans="1:12">
      <c r="A387" t="s">
        <v>505</v>
      </c>
      <c r="B387" t="str">
        <f t="shared" si="54"/>
        <v>B22_05</v>
      </c>
      <c r="C387" s="323" t="str">
        <f t="shared" si="57"/>
        <v>E6170</v>
      </c>
      <c r="D387" t="str">
        <f t="shared" si="59"/>
        <v>NO_DATAVIEWS</v>
      </c>
      <c r="E387" s="62" t="str">
        <f t="shared" si="59"/>
        <v>NO_DEPARTMENTS</v>
      </c>
      <c r="F387" t="s">
        <v>506</v>
      </c>
      <c r="G387" t="s">
        <v>507</v>
      </c>
      <c r="H387" t="s">
        <v>508</v>
      </c>
      <c r="I387" t="s">
        <v>509</v>
      </c>
      <c r="J387" t="s">
        <v>589</v>
      </c>
      <c r="K387" s="497">
        <f>ROUND(HLOOKUP($B387,'2-Préparation saisie LV PROD'!$F$1:$Q$86,'2-Préparation saisie LV PROD'!A66,FALSE),0)</f>
        <v>1159350</v>
      </c>
      <c r="L387" t="str">
        <f>VLOOKUP(C387,Capacité!C:L,10,FALSE)</f>
        <v>Les Moulins de Boulay</v>
      </c>
    </row>
    <row r="388" spans="1:12">
      <c r="A388" t="s">
        <v>505</v>
      </c>
      <c r="B388" t="str">
        <f t="shared" si="54"/>
        <v>B22_05</v>
      </c>
      <c r="C388" s="323" t="str">
        <f t="shared" si="57"/>
        <v>E6330</v>
      </c>
      <c r="D388" t="str">
        <f t="shared" si="59"/>
        <v>NO_DATAVIEWS</v>
      </c>
      <c r="E388" s="62" t="str">
        <f t="shared" si="59"/>
        <v>NO_DEPARTMENTS</v>
      </c>
      <c r="F388" t="s">
        <v>506</v>
      </c>
      <c r="G388" t="s">
        <v>507</v>
      </c>
      <c r="H388" t="s">
        <v>508</v>
      </c>
      <c r="I388" t="s">
        <v>509</v>
      </c>
      <c r="J388" t="s">
        <v>589</v>
      </c>
      <c r="K388" s="497">
        <f>ROUND(HLOOKUP($B388,'2-Préparation saisie LV PROD'!$F$1:$Q$86,'2-Préparation saisie LV PROD'!A67,FALSE),0)</f>
        <v>1479072</v>
      </c>
      <c r="L388" t="str">
        <f>VLOOKUP(C388,Capacité!C:L,10,FALSE)</f>
        <v>Morlange</v>
      </c>
    </row>
    <row r="389" spans="1:12">
      <c r="A389" t="s">
        <v>505</v>
      </c>
      <c r="B389" t="str">
        <f t="shared" si="54"/>
        <v>B22_05</v>
      </c>
      <c r="C389" s="323" t="str">
        <f t="shared" si="57"/>
        <v>E6140</v>
      </c>
      <c r="D389" t="str">
        <f t="shared" si="59"/>
        <v>NO_DATAVIEWS</v>
      </c>
      <c r="E389" s="62" t="str">
        <f t="shared" si="59"/>
        <v>NO_DEPARTMENTS</v>
      </c>
      <c r="F389" t="s">
        <v>506</v>
      </c>
      <c r="G389" t="s">
        <v>507</v>
      </c>
      <c r="H389" t="s">
        <v>508</v>
      </c>
      <c r="I389" t="s">
        <v>509</v>
      </c>
      <c r="J389" t="s">
        <v>589</v>
      </c>
      <c r="K389" s="497">
        <f>ROUND(HLOOKUP($B389,'2-Préparation saisie LV PROD'!$F$1:$Q$86,'2-Préparation saisie LV PROD'!A68,FALSE),0)</f>
        <v>1462296</v>
      </c>
      <c r="L389" t="str">
        <f>VLOOKUP(C389,Capacité!C:L,10,FALSE)</f>
        <v>Renardières mont de Bezard</v>
      </c>
    </row>
    <row r="390" spans="1:12">
      <c r="A390" t="s">
        <v>505</v>
      </c>
      <c r="B390" t="str">
        <f t="shared" si="54"/>
        <v>B22_05</v>
      </c>
      <c r="C390" s="323" t="str">
        <f t="shared" ref="C390:C400" si="60">C309</f>
        <v>E6350</v>
      </c>
      <c r="D390" t="str">
        <f t="shared" si="59"/>
        <v>NO_DATAVIEWS</v>
      </c>
      <c r="E390" s="62" t="str">
        <f t="shared" si="59"/>
        <v>NO_DEPARTMENTS</v>
      </c>
      <c r="F390" t="s">
        <v>506</v>
      </c>
      <c r="G390" t="s">
        <v>507</v>
      </c>
      <c r="H390" t="s">
        <v>508</v>
      </c>
      <c r="I390" t="s">
        <v>509</v>
      </c>
      <c r="J390" t="s">
        <v>589</v>
      </c>
      <c r="K390" s="497">
        <f>ROUND(HLOOKUP($B390,'2-Préparation saisie LV PROD'!$F$1:$Q$86,'2-Préparation saisie LV PROD'!A69,FALSE),0)</f>
        <v>1527507</v>
      </c>
      <c r="L390" t="str">
        <f>VLOOKUP(C390,Capacité!C:L,10,FALSE)</f>
        <v>Zondrange</v>
      </c>
    </row>
    <row r="391" spans="1:12">
      <c r="A391" t="s">
        <v>505</v>
      </c>
      <c r="B391" t="str">
        <f t="shared" si="54"/>
        <v>B22_05</v>
      </c>
      <c r="C391" s="323" t="str">
        <f t="shared" si="60"/>
        <v>E6360</v>
      </c>
      <c r="D391" t="str">
        <f t="shared" si="59"/>
        <v>NO_DATAVIEWS</v>
      </c>
      <c r="E391" s="62" t="str">
        <f t="shared" si="59"/>
        <v>NO_DEPARTMENTS</v>
      </c>
      <c r="F391" t="s">
        <v>506</v>
      </c>
      <c r="G391" t="s">
        <v>507</v>
      </c>
      <c r="H391" t="s">
        <v>508</v>
      </c>
      <c r="I391" t="s">
        <v>509</v>
      </c>
      <c r="J391" t="s">
        <v>589</v>
      </c>
      <c r="K391" s="497">
        <f>ROUND(HLOOKUP($B391,'2-Préparation saisie LV PROD'!$F$1:$Q$86,'2-Préparation saisie LV PROD'!A70,FALSE),0)</f>
        <v>1730433</v>
      </c>
      <c r="L391" t="str">
        <f>VLOOKUP(C391,Capacité!C:L,10,FALSE)</f>
        <v xml:space="preserve">Noyers </v>
      </c>
    </row>
    <row r="392" spans="1:12">
      <c r="A392" t="s">
        <v>505</v>
      </c>
      <c r="B392" t="str">
        <f>+$B$326</f>
        <v>B22_05</v>
      </c>
      <c r="C392" s="323" t="str">
        <f t="shared" si="60"/>
        <v>E5550</v>
      </c>
      <c r="D392" t="str">
        <f t="shared" si="59"/>
        <v>NO_DATAVIEWS</v>
      </c>
      <c r="E392" s="62" t="str">
        <f t="shared" si="59"/>
        <v>NO_DEPARTMENTS</v>
      </c>
      <c r="F392" t="s">
        <v>506</v>
      </c>
      <c r="G392" t="s">
        <v>507</v>
      </c>
      <c r="H392" t="s">
        <v>508</v>
      </c>
      <c r="I392" t="s">
        <v>509</v>
      </c>
      <c r="J392" t="s">
        <v>589</v>
      </c>
      <c r="K392" s="497">
        <f>ROUND(HLOOKUP($B392,'2-Préparation saisie LV PROD'!$F$1:$Q$86,'2-Préparation saisie LV PROD'!A71,FALSE),0)</f>
        <v>1545287</v>
      </c>
      <c r="L392" t="str">
        <f>VLOOKUP(C392,Capacité!C:L,10,FALSE)</f>
        <v>Les Cigalettes (Montfort) / Solaire</v>
      </c>
    </row>
    <row r="393" spans="1:12">
      <c r="A393" t="s">
        <v>505</v>
      </c>
      <c r="B393" t="str">
        <f>+$B$326</f>
        <v>B22_05</v>
      </c>
      <c r="C393" s="323" t="str">
        <f t="shared" si="60"/>
        <v>E5250</v>
      </c>
      <c r="D393" t="str">
        <f t="shared" si="59"/>
        <v>NO_DATAVIEWS</v>
      </c>
      <c r="E393" s="62" t="str">
        <f t="shared" si="59"/>
        <v>NO_DEPARTMENTS</v>
      </c>
      <c r="F393" t="s">
        <v>506</v>
      </c>
      <c r="G393" t="s">
        <v>507</v>
      </c>
      <c r="H393" t="s">
        <v>508</v>
      </c>
      <c r="I393" t="s">
        <v>509</v>
      </c>
      <c r="J393" t="s">
        <v>589</v>
      </c>
      <c r="K393" s="497">
        <f>ROUND(HLOOKUP($B393,'2-Préparation saisie LV PROD'!$F$1:$Q$86,'2-Préparation saisie LV PROD'!A72,FALSE),0)</f>
        <v>636720</v>
      </c>
      <c r="L393" t="str">
        <f>VLOOKUP(C393,Capacité!C:L,10,FALSE)</f>
        <v>Avignonet / Solaire</v>
      </c>
    </row>
    <row r="394" spans="1:12">
      <c r="A394" t="s">
        <v>505</v>
      </c>
      <c r="B394" t="str">
        <f t="shared" ref="B394:B406" si="61">+$B$326</f>
        <v>B22_05</v>
      </c>
      <c r="C394" s="323" t="str">
        <f t="shared" si="60"/>
        <v>E6010</v>
      </c>
      <c r="D394" t="str">
        <f t="shared" si="59"/>
        <v>NO_DATAVIEWS</v>
      </c>
      <c r="E394" s="62" t="str">
        <f t="shared" si="59"/>
        <v>NO_DEPARTMENTS</v>
      </c>
      <c r="F394" t="s">
        <v>506</v>
      </c>
      <c r="G394" t="s">
        <v>507</v>
      </c>
      <c r="H394" t="s">
        <v>508</v>
      </c>
      <c r="I394" t="s">
        <v>509</v>
      </c>
      <c r="J394" t="s">
        <v>589</v>
      </c>
      <c r="K394" s="497">
        <f>ROUND(HLOOKUP($B394,'2-Préparation saisie LV PROD'!$F$1:$Q$86,'2-Préparation saisie LV PROD'!A74,FALSE),0)</f>
        <v>6988287</v>
      </c>
      <c r="L394" t="str">
        <f>VLOOKUP(C394,Capacité!C:L,10,FALSE)</f>
        <v>CDC-R</v>
      </c>
    </row>
    <row r="395" spans="1:12">
      <c r="A395" t="s">
        <v>505</v>
      </c>
      <c r="B395" t="str">
        <f t="shared" si="61"/>
        <v>B22_05</v>
      </c>
      <c r="C395" s="323" t="str">
        <f t="shared" si="60"/>
        <v>E6280</v>
      </c>
      <c r="D395" t="str">
        <f t="shared" si="59"/>
        <v>NO_DATAVIEWS</v>
      </c>
      <c r="E395" s="62" t="str">
        <f t="shared" si="59"/>
        <v>NO_DEPARTMENTS</v>
      </c>
      <c r="F395" t="s">
        <v>506</v>
      </c>
      <c r="G395" t="s">
        <v>507</v>
      </c>
      <c r="H395" t="s">
        <v>508</v>
      </c>
      <c r="I395" t="s">
        <v>509</v>
      </c>
      <c r="J395" t="s">
        <v>589</v>
      </c>
      <c r="K395" s="497">
        <f>ROUND(HLOOKUP($B395,'2-Préparation saisie LV PROD'!$F$1:$Q$86,'2-Préparation saisie LV PROD'!A75,FALSE),0)</f>
        <v>2231804</v>
      </c>
      <c r="L395" t="str">
        <f>VLOOKUP(C395,Capacité!C:L,10,FALSE)</f>
        <v>BPF</v>
      </c>
    </row>
    <row r="396" spans="1:12">
      <c r="A396" t="s">
        <v>505</v>
      </c>
      <c r="B396" t="str">
        <f t="shared" si="61"/>
        <v>B22_05</v>
      </c>
      <c r="C396" s="323" t="str">
        <f t="shared" si="60"/>
        <v>E5930</v>
      </c>
      <c r="D396" t="str">
        <f t="shared" si="59"/>
        <v>NO_DATAVIEWS</v>
      </c>
      <c r="E396" s="62" t="str">
        <f t="shared" si="59"/>
        <v>NO_DEPARTMENTS</v>
      </c>
      <c r="F396" t="s">
        <v>506</v>
      </c>
      <c r="G396" t="s">
        <v>507</v>
      </c>
      <c r="H396" t="s">
        <v>508</v>
      </c>
      <c r="I396" t="s">
        <v>509</v>
      </c>
      <c r="J396" t="s">
        <v>589</v>
      </c>
      <c r="K396" s="497">
        <f>ROUND(HLOOKUP($B396,'2-Préparation saisie LV PROD'!$F$1:$Q$86,'2-Préparation saisie LV PROD'!A76,FALSE),0)</f>
        <v>3153473</v>
      </c>
      <c r="L396" t="str">
        <f>VLOOKUP(C396,Capacité!C:L,10,FALSE)</f>
        <v>XSB</v>
      </c>
    </row>
    <row r="397" spans="1:12" s="4" customFormat="1">
      <c r="A397" s="4" t="s">
        <v>505</v>
      </c>
      <c r="B397" s="4" t="str">
        <f>+$B$326</f>
        <v>B22_05</v>
      </c>
      <c r="C397" s="323" t="str">
        <f t="shared" si="60"/>
        <v>E5880</v>
      </c>
      <c r="D397" t="str">
        <f t="shared" si="59"/>
        <v>NO_DATAVIEWS</v>
      </c>
      <c r="E397" s="62" t="str">
        <f t="shared" si="59"/>
        <v>NO_DEPARTMENTS</v>
      </c>
      <c r="F397" s="4" t="s">
        <v>506</v>
      </c>
      <c r="G397" s="4" t="s">
        <v>507</v>
      </c>
      <c r="H397" s="4" t="s">
        <v>508</v>
      </c>
      <c r="I397" s="4" t="s">
        <v>509</v>
      </c>
      <c r="J397" s="4" t="s">
        <v>589</v>
      </c>
      <c r="K397" s="497">
        <f>ROUND(HLOOKUP($B397,'2-Préparation saisie LV PROD'!$F$1:$Q$86,'2-Préparation saisie LV PROD'!A77,FALSE),0)</f>
        <v>2945500</v>
      </c>
      <c r="L397" t="str">
        <f>VLOOKUP(C397,Capacité!C:L,10,FALSE)</f>
        <v>Extension plaine d'Escrebieux</v>
      </c>
    </row>
    <row r="398" spans="1:12" s="4" customFormat="1">
      <c r="A398" s="4" t="s">
        <v>505</v>
      </c>
      <c r="B398" s="4" t="str">
        <f t="shared" si="61"/>
        <v>B22_05</v>
      </c>
      <c r="C398" s="323" t="str">
        <f t="shared" si="60"/>
        <v>E6720</v>
      </c>
      <c r="D398" t="str">
        <f t="shared" si="59"/>
        <v>NO_DATAVIEWS</v>
      </c>
      <c r="E398" s="62" t="str">
        <f t="shared" si="59"/>
        <v>NO_DEPARTMENTS</v>
      </c>
      <c r="F398" s="4" t="s">
        <v>506</v>
      </c>
      <c r="G398" s="4" t="s">
        <v>507</v>
      </c>
      <c r="H398" s="4" t="s">
        <v>508</v>
      </c>
      <c r="I398" s="4" t="s">
        <v>509</v>
      </c>
      <c r="J398" s="4" t="s">
        <v>589</v>
      </c>
      <c r="K398" s="497">
        <f>ROUND(HLOOKUP($B398,'2-Préparation saisie LV PROD'!$F$1:$Q$86,'2-Préparation saisie LV PROD'!A78,FALSE),0)</f>
        <v>1925998</v>
      </c>
      <c r="L398" t="str">
        <f>VLOOKUP(C398,Capacité!C:L,10,FALSE)</f>
        <v xml:space="preserve">St Christophe - Clé des champs / Solaire </v>
      </c>
    </row>
    <row r="399" spans="1:12" s="4" customFormat="1">
      <c r="A399" s="4" t="s">
        <v>505</v>
      </c>
      <c r="B399" s="4" t="str">
        <f t="shared" si="61"/>
        <v>B22_05</v>
      </c>
      <c r="C399" s="323" t="str">
        <f t="shared" si="60"/>
        <v>E6040</v>
      </c>
      <c r="D399" t="str">
        <f t="shared" si="59"/>
        <v>NO_DATAVIEWS</v>
      </c>
      <c r="E399" s="62" t="str">
        <f t="shared" si="59"/>
        <v>NO_DEPARTMENTS</v>
      </c>
      <c r="F399" s="4" t="s">
        <v>506</v>
      </c>
      <c r="G399" s="4" t="s">
        <v>507</v>
      </c>
      <c r="H399" s="4" t="s">
        <v>508</v>
      </c>
      <c r="I399" s="4" t="s">
        <v>509</v>
      </c>
      <c r="J399" s="4" t="s">
        <v>589</v>
      </c>
      <c r="K399" s="497">
        <f>ROUND(HLOOKUP($B399,'2-Préparation saisie LV PROD'!$F$1:$Q$86,'2-Préparation saisie LV PROD'!A79,FALSE),0)</f>
        <v>2600203</v>
      </c>
      <c r="L399" t="str">
        <f>VLOOKUP(C399,Capacité!C:L,10,FALSE)</f>
        <v>Peyrolles / Solaire</v>
      </c>
    </row>
    <row r="400" spans="1:12" s="4" customFormat="1">
      <c r="A400" s="4" t="s">
        <v>505</v>
      </c>
      <c r="B400" s="4" t="str">
        <f t="shared" si="61"/>
        <v>B22_05</v>
      </c>
      <c r="C400" s="323" t="str">
        <f t="shared" si="60"/>
        <v>E6310</v>
      </c>
      <c r="D400" t="str">
        <f t="shared" si="59"/>
        <v>NO_DATAVIEWS</v>
      </c>
      <c r="E400" s="62" t="str">
        <f t="shared" si="59"/>
        <v>NO_DEPARTMENTS</v>
      </c>
      <c r="F400" s="4" t="s">
        <v>506</v>
      </c>
      <c r="G400" s="4" t="s">
        <v>507</v>
      </c>
      <c r="H400" s="4" t="s">
        <v>508</v>
      </c>
      <c r="I400" s="4" t="s">
        <v>509</v>
      </c>
      <c r="J400" s="4" t="s">
        <v>589</v>
      </c>
      <c r="K400" s="497">
        <f>ROUND(HLOOKUP($B400,'2-Préparation saisie LV PROD'!$F$1:$Q$86,'2-Préparation saisie LV PROD'!A80,FALSE),0)</f>
        <v>2326470</v>
      </c>
      <c r="L400" t="str">
        <f>VLOOKUP(C400,Capacité!C:L,10,FALSE)</f>
        <v>Bazougeais</v>
      </c>
    </row>
    <row r="401" spans="1:12" s="4" customFormat="1">
      <c r="A401" s="4" t="s">
        <v>505</v>
      </c>
      <c r="B401" s="4" t="str">
        <f t="shared" si="61"/>
        <v>B22_05</v>
      </c>
      <c r="C401" s="323" t="str">
        <f t="shared" ref="C401:C406" si="62">C320</f>
        <v>E6571</v>
      </c>
      <c r="D401" t="str">
        <f t="shared" ref="D401:E401" si="63">D400</f>
        <v>NO_DATAVIEWS</v>
      </c>
      <c r="E401" s="62" t="str">
        <f t="shared" si="63"/>
        <v>NO_DEPARTMENTS</v>
      </c>
      <c r="F401" s="4" t="s">
        <v>506</v>
      </c>
      <c r="G401" s="4" t="s">
        <v>507</v>
      </c>
      <c r="H401" s="4" t="s">
        <v>508</v>
      </c>
      <c r="I401" s="4" t="s">
        <v>509</v>
      </c>
      <c r="J401" s="4" t="s">
        <v>589</v>
      </c>
      <c r="K401" s="497">
        <f>ROUND(HLOOKUP($B401,'2-Préparation saisie LV PROD'!$F$1:$Q$86,'2-Préparation saisie LV PROD'!A81,FALSE),0)</f>
        <v>0</v>
      </c>
      <c r="L401" t="s">
        <v>3538</v>
      </c>
    </row>
    <row r="402" spans="1:12" s="4" customFormat="1">
      <c r="A402" s="4" t="s">
        <v>505</v>
      </c>
      <c r="B402" s="4" t="str">
        <f t="shared" si="61"/>
        <v>B22_05</v>
      </c>
      <c r="C402" s="323" t="str">
        <f t="shared" si="62"/>
        <v>E5890</v>
      </c>
      <c r="D402" t="str">
        <f t="shared" ref="D402:E402" si="64">D401</f>
        <v>NO_DATAVIEWS</v>
      </c>
      <c r="E402" s="62" t="str">
        <f t="shared" si="64"/>
        <v>NO_DEPARTMENTS</v>
      </c>
      <c r="F402" s="4" t="s">
        <v>506</v>
      </c>
      <c r="G402" s="4" t="s">
        <v>507</v>
      </c>
      <c r="H402" s="4" t="s">
        <v>508</v>
      </c>
      <c r="I402" s="4" t="s">
        <v>509</v>
      </c>
      <c r="J402" s="4" t="s">
        <v>589</v>
      </c>
      <c r="K402" s="497">
        <f>ROUND(HLOOKUP($B402,'2-Préparation saisie LV PROD'!$F$1:$Q$86,'2-Préparation saisie LV PROD'!A82,FALSE),0)</f>
        <v>1629985</v>
      </c>
      <c r="L402" t="str">
        <f>VLOOKUP(C402,Capacité!C:L,10,FALSE)</f>
        <v>La Grande Borne</v>
      </c>
    </row>
    <row r="403" spans="1:12" s="4" customFormat="1">
      <c r="A403" s="4" t="s">
        <v>505</v>
      </c>
      <c r="B403" s="4" t="str">
        <f t="shared" si="61"/>
        <v>B22_05</v>
      </c>
      <c r="C403" s="323" t="str">
        <f t="shared" si="62"/>
        <v>E6730</v>
      </c>
      <c r="D403" t="str">
        <f t="shared" ref="D403:E403" si="65">D402</f>
        <v>NO_DATAVIEWS</v>
      </c>
      <c r="E403" s="62" t="str">
        <f t="shared" si="65"/>
        <v>NO_DEPARTMENTS</v>
      </c>
      <c r="F403" s="4" t="s">
        <v>506</v>
      </c>
      <c r="G403" s="4" t="s">
        <v>507</v>
      </c>
      <c r="H403" s="4" t="s">
        <v>508</v>
      </c>
      <c r="I403" s="4" t="s">
        <v>509</v>
      </c>
      <c r="J403" s="4" t="s">
        <v>589</v>
      </c>
      <c r="K403" s="497">
        <f>ROUND(HLOOKUP($B403,'2-Préparation saisie LV PROD'!$F$1:$Q$86,'2-Préparation saisie LV PROD'!A83,FALSE),0)</f>
        <v>0</v>
      </c>
      <c r="L403" t="str">
        <f>VLOOKUP(C403,Capacité!C:L,10,FALSE)</f>
        <v xml:space="preserve">R-EEJ - Evits et Josaphats </v>
      </c>
    </row>
    <row r="404" spans="1:12" s="4" customFormat="1">
      <c r="A404" s="4" t="s">
        <v>505</v>
      </c>
      <c r="B404" s="4" t="str">
        <f t="shared" si="61"/>
        <v>B22_05</v>
      </c>
      <c r="C404" s="323" t="str">
        <f t="shared" si="62"/>
        <v>E6740</v>
      </c>
      <c r="D404" t="str">
        <f t="shared" ref="D404:E404" si="66">D403</f>
        <v>NO_DATAVIEWS</v>
      </c>
      <c r="E404" s="62" t="str">
        <f t="shared" si="66"/>
        <v>NO_DEPARTMENTS</v>
      </c>
      <c r="F404" s="4" t="s">
        <v>506</v>
      </c>
      <c r="G404" s="4" t="s">
        <v>507</v>
      </c>
      <c r="H404" s="4" t="s">
        <v>508</v>
      </c>
      <c r="I404" s="4" t="s">
        <v>509</v>
      </c>
      <c r="J404" s="4" t="s">
        <v>589</v>
      </c>
      <c r="K404" s="497">
        <f>ROUND(HLOOKUP($B404,'2-Préparation saisie LV PROD'!$F$1:$Q$86,'2-Préparation saisie LV PROD'!A84,FALSE),0)</f>
        <v>0</v>
      </c>
      <c r="L404" t="str">
        <f>VLOOKUP(C404,Capacité!C:L,10,FALSE)</f>
        <v>R-RCL - Remise Reclainville</v>
      </c>
    </row>
    <row r="405" spans="1:12" s="4" customFormat="1">
      <c r="A405" s="4" t="s">
        <v>505</v>
      </c>
      <c r="B405" s="4" t="str">
        <f t="shared" si="61"/>
        <v>B22_05</v>
      </c>
      <c r="C405" s="323" t="str">
        <f t="shared" si="62"/>
        <v>E6290</v>
      </c>
      <c r="D405" t="str">
        <f t="shared" ref="D405:E405" si="67">D404</f>
        <v>NO_DATAVIEWS</v>
      </c>
      <c r="E405" s="62" t="str">
        <f t="shared" si="67"/>
        <v>NO_DEPARTMENTS</v>
      </c>
      <c r="F405" s="4" t="s">
        <v>506</v>
      </c>
      <c r="G405" s="4" t="s">
        <v>507</v>
      </c>
      <c r="H405" s="4" t="s">
        <v>508</v>
      </c>
      <c r="I405" s="4" t="s">
        <v>509</v>
      </c>
      <c r="J405" s="4" t="s">
        <v>589</v>
      </c>
      <c r="K405" s="497">
        <f>ROUND(HLOOKUP($B405,'2-Préparation saisie LV PROD'!$F$1:$Q$86,'2-Préparation saisie LV PROD'!A85,FALSE),0)</f>
        <v>0</v>
      </c>
      <c r="L405" t="str">
        <f>VLOOKUP(C405,Capacité!C:L,10,FALSE)</f>
        <v>Bois des Fontaines (extension EEJ)</v>
      </c>
    </row>
    <row r="406" spans="1:12" s="4" customFormat="1">
      <c r="A406" s="4" t="s">
        <v>505</v>
      </c>
      <c r="B406" s="4" t="str">
        <f t="shared" si="61"/>
        <v>B22_05</v>
      </c>
      <c r="C406" s="323" t="str">
        <f t="shared" si="62"/>
        <v>E6760</v>
      </c>
      <c r="D406" t="str">
        <f t="shared" ref="D406:E406" si="68">D405</f>
        <v>NO_DATAVIEWS</v>
      </c>
      <c r="E406" s="62" t="str">
        <f t="shared" si="68"/>
        <v>NO_DEPARTMENTS</v>
      </c>
      <c r="F406" s="4" t="s">
        <v>506</v>
      </c>
      <c r="G406" s="4" t="s">
        <v>507</v>
      </c>
      <c r="H406" s="4" t="s">
        <v>508</v>
      </c>
      <c r="I406" s="4" t="s">
        <v>509</v>
      </c>
      <c r="J406" s="4" t="s">
        <v>589</v>
      </c>
      <c r="K406" s="497">
        <f>ROUND(HLOOKUP($B406,'2-Préparation saisie LV PROD'!$F$1:$Q$86,'2-Préparation saisie LV PROD'!A86,FALSE),0)</f>
        <v>0</v>
      </c>
      <c r="L406" t="str">
        <f>VLOOKUP(C406,Capacité!C:L,10,FALSE)</f>
        <v>R-BGV - Bougainville</v>
      </c>
    </row>
    <row r="407" spans="1:12">
      <c r="A407" t="s">
        <v>505</v>
      </c>
      <c r="B407" s="3" t="s">
        <v>3361</v>
      </c>
      <c r="C407" s="323" t="str">
        <f t="shared" ref="C407:C438" si="69">C326</f>
        <v>E5030</v>
      </c>
      <c r="D407" t="str">
        <f>D400</f>
        <v>NO_DATAVIEWS</v>
      </c>
      <c r="E407" s="62" t="str">
        <f>E400</f>
        <v>NO_DEPARTMENTS</v>
      </c>
      <c r="F407" t="s">
        <v>506</v>
      </c>
      <c r="G407" t="s">
        <v>507</v>
      </c>
      <c r="H407" t="s">
        <v>508</v>
      </c>
      <c r="I407" t="s">
        <v>509</v>
      </c>
      <c r="J407" t="s">
        <v>589</v>
      </c>
      <c r="K407" s="497">
        <f>ROUND(HLOOKUP($B407,'2-Préparation saisie LV PROD'!$F$1:$Q$86,'2-Préparation saisie LV PROD'!A5,FALSE),0)</f>
        <v>1094099</v>
      </c>
      <c r="L407" t="str">
        <f>VLOOKUP(C407,Capacité!C:L,10,FALSE)</f>
        <v>Avignonet</v>
      </c>
    </row>
    <row r="408" spans="1:12">
      <c r="A408" t="s">
        <v>505</v>
      </c>
      <c r="B408" t="str">
        <f>+$B$407</f>
        <v>B22_06</v>
      </c>
      <c r="C408" s="323" t="str">
        <f t="shared" si="69"/>
        <v>E5040</v>
      </c>
      <c r="D408" t="str">
        <f t="shared" ref="D408:E423" si="70">D407</f>
        <v>NO_DATAVIEWS</v>
      </c>
      <c r="E408" s="62" t="str">
        <f t="shared" si="70"/>
        <v>NO_DEPARTMENTS</v>
      </c>
      <c r="F408" t="s">
        <v>506</v>
      </c>
      <c r="G408" t="s">
        <v>507</v>
      </c>
      <c r="H408" t="s">
        <v>508</v>
      </c>
      <c r="I408" t="s">
        <v>509</v>
      </c>
      <c r="J408" t="s">
        <v>589</v>
      </c>
      <c r="K408" s="497">
        <f>ROUND(HLOOKUP($B408,'2-Préparation saisie LV PROD'!$F$1:$Q$86,'2-Préparation saisie LV PROD'!A6,FALSE),0)</f>
        <v>285175</v>
      </c>
      <c r="L408" t="str">
        <f>VLOOKUP(C408,Capacité!C:L,10,FALSE)</f>
        <v>Chépy</v>
      </c>
    </row>
    <row r="409" spans="1:12">
      <c r="A409" t="s">
        <v>505</v>
      </c>
      <c r="B409" t="str">
        <f t="shared" ref="B409:B472" si="71">+$B$407</f>
        <v>B22_06</v>
      </c>
      <c r="C409" s="323" t="str">
        <f t="shared" si="69"/>
        <v>E5050</v>
      </c>
      <c r="D409" t="str">
        <f t="shared" si="70"/>
        <v>NO_DATAVIEWS</v>
      </c>
      <c r="E409" s="62" t="str">
        <f t="shared" si="70"/>
        <v>NO_DEPARTMENTS</v>
      </c>
      <c r="F409" t="s">
        <v>506</v>
      </c>
      <c r="G409" t="s">
        <v>507</v>
      </c>
      <c r="H409" t="s">
        <v>508</v>
      </c>
      <c r="I409" t="s">
        <v>509</v>
      </c>
      <c r="J409" t="s">
        <v>589</v>
      </c>
      <c r="K409" s="497">
        <f>ROUND(HLOOKUP($B409,'2-Préparation saisie LV PROD'!$F$1:$Q$86,'2-Préparation saisie LV PROD'!A7,FALSE),0)</f>
        <v>861878</v>
      </c>
      <c r="L409" t="str">
        <f>VLOOKUP(C409,Capacité!C:L,10,FALSE)</f>
        <v>Nibas</v>
      </c>
    </row>
    <row r="410" spans="1:12">
      <c r="A410" t="s">
        <v>505</v>
      </c>
      <c r="B410" t="str">
        <f t="shared" si="71"/>
        <v>B22_06</v>
      </c>
      <c r="C410" s="323" t="str">
        <f t="shared" si="69"/>
        <v>E5070</v>
      </c>
      <c r="D410" t="str">
        <f t="shared" si="70"/>
        <v>NO_DATAVIEWS</v>
      </c>
      <c r="E410" s="62" t="str">
        <f t="shared" si="70"/>
        <v>NO_DEPARTMENTS</v>
      </c>
      <c r="F410" t="s">
        <v>506</v>
      </c>
      <c r="G410" t="s">
        <v>507</v>
      </c>
      <c r="H410" t="s">
        <v>508</v>
      </c>
      <c r="I410" t="s">
        <v>509</v>
      </c>
      <c r="J410" t="s">
        <v>589</v>
      </c>
      <c r="K410" s="497">
        <f>ROUND(HLOOKUP($B410,'2-Préparation saisie LV PROD'!$F$1:$Q$86,'2-Préparation saisie LV PROD'!A8,FALSE),0)</f>
        <v>946416</v>
      </c>
      <c r="L410" t="str">
        <f>VLOOKUP(C410,Capacité!C:L,10,FALSE)</f>
        <v>Ally Bessadous</v>
      </c>
    </row>
    <row r="411" spans="1:12">
      <c r="A411" t="s">
        <v>505</v>
      </c>
      <c r="B411" t="str">
        <f t="shared" si="71"/>
        <v>B22_06</v>
      </c>
      <c r="C411" s="323" t="str">
        <f t="shared" si="69"/>
        <v>E5080</v>
      </c>
      <c r="D411" t="str">
        <f t="shared" si="70"/>
        <v>NO_DATAVIEWS</v>
      </c>
      <c r="E411" s="62" t="str">
        <f t="shared" si="70"/>
        <v>NO_DEPARTMENTS</v>
      </c>
      <c r="F411" t="s">
        <v>506</v>
      </c>
      <c r="G411" t="s">
        <v>507</v>
      </c>
      <c r="H411" t="s">
        <v>508</v>
      </c>
      <c r="I411" t="s">
        <v>509</v>
      </c>
      <c r="J411" t="s">
        <v>589</v>
      </c>
      <c r="K411" s="497">
        <f>ROUND(HLOOKUP($B411,'2-Préparation saisie LV PROD'!$F$1:$Q$86,'2-Préparation saisie LV PROD'!A9,FALSE),0)</f>
        <v>630255</v>
      </c>
      <c r="L411" t="str">
        <f>VLOOKUP(C411,Capacité!C:L,10,FALSE)</f>
        <v>Ally Mercoeur</v>
      </c>
    </row>
    <row r="412" spans="1:12">
      <c r="A412" t="s">
        <v>505</v>
      </c>
      <c r="B412" t="str">
        <f t="shared" si="71"/>
        <v>B22_06</v>
      </c>
      <c r="C412" s="323" t="str">
        <f t="shared" si="69"/>
        <v>E5090</v>
      </c>
      <c r="D412" t="str">
        <f t="shared" si="70"/>
        <v>NO_DATAVIEWS</v>
      </c>
      <c r="E412" s="62" t="str">
        <f t="shared" si="70"/>
        <v>NO_DEPARTMENTS</v>
      </c>
      <c r="F412" t="s">
        <v>506</v>
      </c>
      <c r="G412" t="s">
        <v>507</v>
      </c>
      <c r="H412" t="s">
        <v>508</v>
      </c>
      <c r="I412" t="s">
        <v>509</v>
      </c>
      <c r="J412" t="s">
        <v>589</v>
      </c>
      <c r="K412" s="497">
        <f>ROUND(HLOOKUP($B412,'2-Préparation saisie LV PROD'!$F$1:$Q$86,'2-Préparation saisie LV PROD'!A10,FALSE),0)</f>
        <v>818588</v>
      </c>
      <c r="L412" t="str">
        <f>VLOOKUP(C412,Capacité!C:L,10,FALSE)</f>
        <v>Ally Monteil</v>
      </c>
    </row>
    <row r="413" spans="1:12">
      <c r="A413" t="s">
        <v>505</v>
      </c>
      <c r="B413" t="str">
        <f t="shared" si="71"/>
        <v>B22_06</v>
      </c>
      <c r="C413" s="323" t="str">
        <f t="shared" si="69"/>
        <v>E5100</v>
      </c>
      <c r="D413" t="str">
        <f t="shared" si="70"/>
        <v>NO_DATAVIEWS</v>
      </c>
      <c r="E413" s="62" t="str">
        <f t="shared" si="70"/>
        <v>NO_DEPARTMENTS</v>
      </c>
      <c r="F413" t="s">
        <v>506</v>
      </c>
      <c r="G413" t="s">
        <v>507</v>
      </c>
      <c r="H413" t="s">
        <v>508</v>
      </c>
      <c r="I413" t="s">
        <v>509</v>
      </c>
      <c r="J413" t="s">
        <v>589</v>
      </c>
      <c r="K413" s="497">
        <f>ROUND(HLOOKUP($B413,'2-Préparation saisie LV PROD'!$F$1:$Q$86,'2-Préparation saisie LV PROD'!A11,FALSE),0)</f>
        <v>990960</v>
      </c>
      <c r="L413" t="str">
        <f>VLOOKUP(C413,Capacité!C:L,10,FALSE)</f>
        <v>Ally Verseilles</v>
      </c>
    </row>
    <row r="414" spans="1:12">
      <c r="A414" t="s">
        <v>505</v>
      </c>
      <c r="B414" t="str">
        <f t="shared" si="71"/>
        <v>B22_06</v>
      </c>
      <c r="C414" s="323" t="str">
        <f t="shared" si="69"/>
        <v>E5110</v>
      </c>
      <c r="D414" t="str">
        <f t="shared" si="70"/>
        <v>NO_DATAVIEWS</v>
      </c>
      <c r="E414" s="62" t="str">
        <f t="shared" si="70"/>
        <v>NO_DEPARTMENTS</v>
      </c>
      <c r="F414" t="s">
        <v>506</v>
      </c>
      <c r="G414" t="s">
        <v>507</v>
      </c>
      <c r="H414" t="s">
        <v>508</v>
      </c>
      <c r="I414" t="s">
        <v>509</v>
      </c>
      <c r="J414" t="s">
        <v>589</v>
      </c>
      <c r="K414" s="497">
        <f>ROUND(HLOOKUP($B414,'2-Préparation saisie LV PROD'!$F$1:$Q$86,'2-Préparation saisie LV PROD'!A12,FALSE),0)</f>
        <v>0</v>
      </c>
      <c r="L414" t="str">
        <f>VLOOKUP(C414,Capacité!C:L,10,FALSE)</f>
        <v>Cham Longe Bel Air</v>
      </c>
    </row>
    <row r="415" spans="1:12">
      <c r="A415" t="s">
        <v>505</v>
      </c>
      <c r="B415" t="str">
        <f t="shared" si="71"/>
        <v>B22_06</v>
      </c>
      <c r="C415" s="323" t="str">
        <f t="shared" si="69"/>
        <v>E5120</v>
      </c>
      <c r="D415" t="str">
        <f t="shared" si="70"/>
        <v>NO_DATAVIEWS</v>
      </c>
      <c r="E415" s="62" t="str">
        <f t="shared" si="70"/>
        <v>NO_DEPARTMENTS</v>
      </c>
      <c r="F415" t="s">
        <v>506</v>
      </c>
      <c r="G415" t="s">
        <v>507</v>
      </c>
      <c r="H415" t="s">
        <v>508</v>
      </c>
      <c r="I415" t="s">
        <v>509</v>
      </c>
      <c r="J415" t="s">
        <v>589</v>
      </c>
      <c r="K415" s="497">
        <f>ROUND(HLOOKUP($B415,'2-Préparation saisie LV PROD'!$F$1:$Q$86,'2-Préparation saisie LV PROD'!A13,FALSE),0)</f>
        <v>0</v>
      </c>
      <c r="L415" t="str">
        <f>VLOOKUP(C415,Capacité!C:L,10,FALSE)</f>
        <v>Cham Longe Le Courbil (Eole Cevennes)</v>
      </c>
    </row>
    <row r="416" spans="1:12">
      <c r="A416" t="s">
        <v>505</v>
      </c>
      <c r="B416" t="str">
        <f t="shared" si="71"/>
        <v>B22_06</v>
      </c>
      <c r="C416" s="323" t="str">
        <f t="shared" si="69"/>
        <v>E5150</v>
      </c>
      <c r="D416" t="str">
        <f t="shared" si="70"/>
        <v>NO_DATAVIEWS</v>
      </c>
      <c r="E416" s="62" t="str">
        <f t="shared" si="70"/>
        <v>NO_DEPARTMENTS</v>
      </c>
      <c r="F416" t="s">
        <v>506</v>
      </c>
      <c r="G416" t="s">
        <v>507</v>
      </c>
      <c r="H416" t="s">
        <v>508</v>
      </c>
      <c r="I416" t="s">
        <v>509</v>
      </c>
      <c r="J416" t="s">
        <v>589</v>
      </c>
      <c r="K416" s="497">
        <f>ROUND(HLOOKUP($B416,'2-Préparation saisie LV PROD'!$F$1:$Q$86,'2-Préparation saisie LV PROD'!A14,FALSE),0)</f>
        <v>757787</v>
      </c>
      <c r="L416" t="str">
        <f>VLOOKUP(C416,Capacité!C:L,10,FALSE)</f>
        <v>Cham Longe II</v>
      </c>
    </row>
    <row r="417" spans="1:12">
      <c r="A417" t="s">
        <v>505</v>
      </c>
      <c r="B417" t="str">
        <f t="shared" si="71"/>
        <v>B22_06</v>
      </c>
      <c r="C417" s="323" t="str">
        <f t="shared" si="69"/>
        <v>E5130</v>
      </c>
      <c r="D417" t="str">
        <f t="shared" si="70"/>
        <v>NO_DATAVIEWS</v>
      </c>
      <c r="E417" s="62" t="str">
        <f t="shared" si="70"/>
        <v>NO_DEPARTMENTS</v>
      </c>
      <c r="F417" t="s">
        <v>506</v>
      </c>
      <c r="G417" t="s">
        <v>507</v>
      </c>
      <c r="H417" t="s">
        <v>508</v>
      </c>
      <c r="I417" t="s">
        <v>509</v>
      </c>
      <c r="J417" t="s">
        <v>589</v>
      </c>
      <c r="K417" s="497">
        <f>ROUND(HLOOKUP($B417,'2-Préparation saisie LV PROD'!$F$1:$Q$86,'2-Préparation saisie LV PROD'!A15,FALSE),0)</f>
        <v>1032342</v>
      </c>
      <c r="L417" t="str">
        <f>VLOOKUP(C417,Capacité!C:L,10,FALSE)</f>
        <v>Plouguin</v>
      </c>
    </row>
    <row r="418" spans="1:12">
      <c r="A418" t="s">
        <v>505</v>
      </c>
      <c r="B418" t="str">
        <f t="shared" si="71"/>
        <v>B22_06</v>
      </c>
      <c r="C418" s="323" t="str">
        <f t="shared" si="69"/>
        <v>E5140</v>
      </c>
      <c r="D418" t="str">
        <f t="shared" si="70"/>
        <v>NO_DATAVIEWS</v>
      </c>
      <c r="E418" s="62" t="str">
        <f t="shared" si="70"/>
        <v>NO_DEPARTMENTS</v>
      </c>
      <c r="F418" t="s">
        <v>506</v>
      </c>
      <c r="G418" t="s">
        <v>507</v>
      </c>
      <c r="H418" t="s">
        <v>508</v>
      </c>
      <c r="I418" t="s">
        <v>509</v>
      </c>
      <c r="J418" t="s">
        <v>589</v>
      </c>
      <c r="K418" s="497">
        <f>ROUND(HLOOKUP($B418,'2-Préparation saisie LV PROD'!$F$1:$Q$86,'2-Préparation saisie LV PROD'!A16,FALSE),0)</f>
        <v>1953797</v>
      </c>
      <c r="L418" t="str">
        <f>VLOOKUP(C418,Capacité!C:L,10,FALSE)</f>
        <v>La Citadelle</v>
      </c>
    </row>
    <row r="419" spans="1:12">
      <c r="A419" t="s">
        <v>505</v>
      </c>
      <c r="B419" t="str">
        <f t="shared" si="71"/>
        <v>B22_06</v>
      </c>
      <c r="C419" s="323" t="str">
        <f t="shared" si="69"/>
        <v>E5160</v>
      </c>
      <c r="D419" t="str">
        <f t="shared" si="70"/>
        <v>NO_DATAVIEWS</v>
      </c>
      <c r="E419" s="62" t="str">
        <f t="shared" si="70"/>
        <v>NO_DEPARTMENTS</v>
      </c>
      <c r="F419" t="s">
        <v>506</v>
      </c>
      <c r="G419" t="s">
        <v>507</v>
      </c>
      <c r="H419" t="s">
        <v>508</v>
      </c>
      <c r="I419" t="s">
        <v>509</v>
      </c>
      <c r="J419" t="s">
        <v>589</v>
      </c>
      <c r="K419" s="497">
        <f>ROUND(HLOOKUP($B419,'2-Préparation saisie LV PROD'!$F$1:$Q$86,'2-Préparation saisie LV PROD'!A17,FALSE),0)</f>
        <v>983095</v>
      </c>
      <c r="L419" t="str">
        <f>VLOOKUP(C419,Capacité!C:L,10,FALSE)</f>
        <v>Chasse Marée</v>
      </c>
    </row>
    <row r="420" spans="1:12">
      <c r="A420" t="s">
        <v>505</v>
      </c>
      <c r="B420" t="str">
        <f t="shared" si="71"/>
        <v>B22_06</v>
      </c>
      <c r="C420" s="323" t="str">
        <f t="shared" si="69"/>
        <v>E5170</v>
      </c>
      <c r="D420" t="str">
        <f t="shared" si="70"/>
        <v>NO_DATAVIEWS</v>
      </c>
      <c r="E420" s="62" t="str">
        <f t="shared" si="70"/>
        <v>NO_DEPARTMENTS</v>
      </c>
      <c r="F420" t="s">
        <v>506</v>
      </c>
      <c r="G420" t="s">
        <v>507</v>
      </c>
      <c r="H420" t="s">
        <v>508</v>
      </c>
      <c r="I420" t="s">
        <v>509</v>
      </c>
      <c r="J420" t="s">
        <v>589</v>
      </c>
      <c r="K420" s="497">
        <f>ROUND(HLOOKUP($B420,'2-Préparation saisie LV PROD'!$F$1:$Q$86,'2-Préparation saisie LV PROD'!A18,FALSE),0)</f>
        <v>3301727</v>
      </c>
      <c r="L420" t="str">
        <f>VLOOKUP(C420,Capacité!C:L,10,FALSE)</f>
        <v>Ronchois</v>
      </c>
    </row>
    <row r="421" spans="1:12">
      <c r="A421" t="s">
        <v>505</v>
      </c>
      <c r="B421" t="str">
        <f t="shared" si="71"/>
        <v>B22_06</v>
      </c>
      <c r="C421" s="323" t="str">
        <f t="shared" si="69"/>
        <v>E5180</v>
      </c>
      <c r="D421" t="str">
        <f t="shared" si="70"/>
        <v>NO_DATAVIEWS</v>
      </c>
      <c r="E421" s="62" t="str">
        <f t="shared" si="70"/>
        <v>NO_DEPARTMENTS</v>
      </c>
      <c r="F421" t="s">
        <v>506</v>
      </c>
      <c r="G421" t="s">
        <v>507</v>
      </c>
      <c r="H421" t="s">
        <v>508</v>
      </c>
      <c r="I421" t="s">
        <v>509</v>
      </c>
      <c r="J421" t="s">
        <v>589</v>
      </c>
      <c r="K421" s="497">
        <f>ROUND(HLOOKUP($B421,'2-Préparation saisie LV PROD'!$F$1:$Q$86,'2-Préparation saisie LV PROD'!A19,FALSE),0)</f>
        <v>1375988</v>
      </c>
      <c r="L421" t="str">
        <f>VLOOKUP(C421,Capacité!C:L,10,FALSE)</f>
        <v>Le Grand Camp</v>
      </c>
    </row>
    <row r="422" spans="1:12">
      <c r="A422" t="s">
        <v>505</v>
      </c>
      <c r="B422" t="str">
        <f t="shared" si="71"/>
        <v>B22_06</v>
      </c>
      <c r="C422" s="323" t="str">
        <f t="shared" si="69"/>
        <v>E5210</v>
      </c>
      <c r="D422" t="str">
        <f t="shared" si="70"/>
        <v>NO_DATAVIEWS</v>
      </c>
      <c r="E422" s="62" t="str">
        <f t="shared" si="70"/>
        <v>NO_DEPARTMENTS</v>
      </c>
      <c r="F422" t="s">
        <v>506</v>
      </c>
      <c r="G422" t="s">
        <v>507</v>
      </c>
      <c r="H422" t="s">
        <v>508</v>
      </c>
      <c r="I422" t="s">
        <v>509</v>
      </c>
      <c r="J422" t="s">
        <v>589</v>
      </c>
      <c r="K422" s="497">
        <f>ROUND(HLOOKUP($B422,'2-Préparation saisie LV PROD'!$F$1:$Q$86,'2-Préparation saisie LV PROD'!A20,FALSE),0)</f>
        <v>682203</v>
      </c>
      <c r="L422" t="str">
        <f>VLOOKUP(C422,Capacité!C:L,10,FALSE)</f>
        <v>Avignonet II</v>
      </c>
    </row>
    <row r="423" spans="1:12">
      <c r="A423" t="s">
        <v>505</v>
      </c>
      <c r="B423" t="str">
        <f t="shared" si="71"/>
        <v>B22_06</v>
      </c>
      <c r="C423" s="323" t="str">
        <f t="shared" si="69"/>
        <v>E5270</v>
      </c>
      <c r="D423" t="str">
        <f t="shared" si="70"/>
        <v>NO_DATAVIEWS</v>
      </c>
      <c r="E423" s="62" t="str">
        <f t="shared" si="70"/>
        <v>NO_DEPARTMENTS</v>
      </c>
      <c r="F423" t="s">
        <v>506</v>
      </c>
      <c r="G423" t="s">
        <v>507</v>
      </c>
      <c r="H423" t="s">
        <v>508</v>
      </c>
      <c r="I423" t="s">
        <v>509</v>
      </c>
      <c r="J423" t="s">
        <v>589</v>
      </c>
      <c r="K423" s="497">
        <f>ROUND(HLOOKUP($B423,'2-Préparation saisie LV PROD'!$F$1:$Q$86,'2-Préparation saisie LV PROD'!A21,FALSE),0)</f>
        <v>3173781</v>
      </c>
      <c r="L423" t="str">
        <f>VLOOKUP(C423,Capacité!C:L,10,FALSE)</f>
        <v>Ménétréols Renardiére (La vallée 2)</v>
      </c>
    </row>
    <row r="424" spans="1:12">
      <c r="A424" t="s">
        <v>505</v>
      </c>
      <c r="B424" t="str">
        <f t="shared" si="71"/>
        <v>B22_06</v>
      </c>
      <c r="C424" s="323" t="str">
        <f t="shared" si="69"/>
        <v>E5280</v>
      </c>
      <c r="D424" t="str">
        <f t="shared" ref="D424:E439" si="72">D423</f>
        <v>NO_DATAVIEWS</v>
      </c>
      <c r="E424" s="62" t="str">
        <f t="shared" si="72"/>
        <v>NO_DEPARTMENTS</v>
      </c>
      <c r="F424" t="s">
        <v>506</v>
      </c>
      <c r="G424" t="s">
        <v>507</v>
      </c>
      <c r="H424" t="s">
        <v>508</v>
      </c>
      <c r="I424" t="s">
        <v>509</v>
      </c>
      <c r="J424" t="s">
        <v>589</v>
      </c>
      <c r="K424" s="497">
        <f>ROUND(HLOOKUP($B424,'2-Préparation saisie LV PROD'!$F$1:$Q$86,'2-Préparation saisie LV PROD'!A22,FALSE),0)</f>
        <v>523557</v>
      </c>
      <c r="L424" t="str">
        <f>VLOOKUP(C424,Capacité!C:L,10,FALSE)</f>
        <v>St Georges (La Vallée 1)</v>
      </c>
    </row>
    <row r="425" spans="1:12">
      <c r="A425" t="s">
        <v>505</v>
      </c>
      <c r="B425" t="str">
        <f t="shared" si="71"/>
        <v>B22_06</v>
      </c>
      <c r="C425" s="323" t="str">
        <f t="shared" si="69"/>
        <v>E5300</v>
      </c>
      <c r="D425" t="str">
        <f t="shared" si="72"/>
        <v>NO_DATAVIEWS</v>
      </c>
      <c r="E425" s="62" t="str">
        <f t="shared" si="72"/>
        <v>NO_DEPARTMENTS</v>
      </c>
      <c r="F425" t="s">
        <v>506</v>
      </c>
      <c r="G425" t="s">
        <v>507</v>
      </c>
      <c r="H425" t="s">
        <v>508</v>
      </c>
      <c r="I425" t="s">
        <v>509</v>
      </c>
      <c r="J425" t="s">
        <v>589</v>
      </c>
      <c r="K425" s="497">
        <f>ROUND(HLOOKUP($B425,'2-Préparation saisie LV PROD'!$F$1:$Q$86,'2-Préparation saisie LV PROD'!A23,FALSE),0)</f>
        <v>1064375</v>
      </c>
      <c r="L425" t="str">
        <f>VLOOKUP(C425,Capacité!C:L,10,FALSE)</f>
        <v>Vron</v>
      </c>
    </row>
    <row r="426" spans="1:12">
      <c r="A426" t="s">
        <v>505</v>
      </c>
      <c r="B426" t="str">
        <f t="shared" si="71"/>
        <v>B22_06</v>
      </c>
      <c r="C426" s="323" t="str">
        <f t="shared" si="69"/>
        <v>E5310</v>
      </c>
      <c r="D426" t="str">
        <f t="shared" si="72"/>
        <v>NO_DATAVIEWS</v>
      </c>
      <c r="E426" s="62" t="str">
        <f t="shared" si="72"/>
        <v>NO_DEPARTMENTS</v>
      </c>
      <c r="F426" t="s">
        <v>506</v>
      </c>
      <c r="G426" t="s">
        <v>507</v>
      </c>
      <c r="H426" t="s">
        <v>508</v>
      </c>
      <c r="I426" t="s">
        <v>509</v>
      </c>
      <c r="J426" t="s">
        <v>589</v>
      </c>
      <c r="K426" s="497">
        <f>ROUND(HLOOKUP($B426,'2-Préparation saisie LV PROD'!$F$1:$Q$86,'2-Préparation saisie LV PROD'!A24,FALSE),0)</f>
        <v>3004088</v>
      </c>
      <c r="L426" t="str">
        <f>VLOOKUP(C426,Capacité!C:L,10,FALSE)</f>
        <v>Fortel</v>
      </c>
    </row>
    <row r="427" spans="1:12">
      <c r="A427" t="s">
        <v>505</v>
      </c>
      <c r="B427" t="str">
        <f t="shared" si="71"/>
        <v>B22_06</v>
      </c>
      <c r="C427" s="323" t="str">
        <f t="shared" si="69"/>
        <v>E5320</v>
      </c>
      <c r="D427" t="str">
        <f t="shared" si="72"/>
        <v>NO_DATAVIEWS</v>
      </c>
      <c r="E427" s="62" t="str">
        <f t="shared" si="72"/>
        <v>NO_DEPARTMENTS</v>
      </c>
      <c r="F427" t="s">
        <v>506</v>
      </c>
      <c r="G427" t="s">
        <v>507</v>
      </c>
      <c r="H427" t="s">
        <v>508</v>
      </c>
      <c r="I427" t="s">
        <v>509</v>
      </c>
      <c r="J427" t="s">
        <v>589</v>
      </c>
      <c r="K427" s="497">
        <f>ROUND(HLOOKUP($B427,'2-Préparation saisie LV PROD'!$F$1:$Q$86,'2-Préparation saisie LV PROD'!A25,FALSE),0)</f>
        <v>2885018</v>
      </c>
      <c r="L427" t="str">
        <f>VLOOKUP(C427,Capacité!C:L,10,FALSE)</f>
        <v>St François Roye</v>
      </c>
    </row>
    <row r="428" spans="1:12">
      <c r="A428" t="s">
        <v>505</v>
      </c>
      <c r="B428" t="str">
        <f t="shared" si="71"/>
        <v>B22_06</v>
      </c>
      <c r="C428" s="323" t="str">
        <f t="shared" si="69"/>
        <v>E5290</v>
      </c>
      <c r="D428" t="str">
        <f t="shared" si="72"/>
        <v>NO_DATAVIEWS</v>
      </c>
      <c r="E428" s="62" t="str">
        <f t="shared" si="72"/>
        <v>NO_DEPARTMENTS</v>
      </c>
      <c r="F428" t="s">
        <v>506</v>
      </c>
      <c r="G428" t="s">
        <v>507</v>
      </c>
      <c r="H428" t="s">
        <v>508</v>
      </c>
      <c r="I428" t="s">
        <v>509</v>
      </c>
      <c r="J428" t="s">
        <v>589</v>
      </c>
      <c r="K428" s="497">
        <f>ROUND(HLOOKUP($B428,'2-Préparation saisie LV PROD'!$F$1:$Q$86,'2-Préparation saisie LV PROD'!A26,FALSE),0)</f>
        <v>5586624</v>
      </c>
      <c r="L428" t="str">
        <f>VLOOKUP(C428,Capacité!C:L,10,FALSE)</f>
        <v>St Patrick</v>
      </c>
    </row>
    <row r="429" spans="1:12">
      <c r="A429" t="s">
        <v>505</v>
      </c>
      <c r="B429" t="str">
        <f t="shared" si="71"/>
        <v>B22_06</v>
      </c>
      <c r="C429" s="323" t="str">
        <f t="shared" si="69"/>
        <v>E5360</v>
      </c>
      <c r="D429" t="str">
        <f t="shared" si="72"/>
        <v>NO_DATAVIEWS</v>
      </c>
      <c r="E429" s="62" t="str">
        <f t="shared" si="72"/>
        <v>NO_DEPARTMENTS</v>
      </c>
      <c r="F429" t="s">
        <v>506</v>
      </c>
      <c r="G429" t="s">
        <v>507</v>
      </c>
      <c r="H429" t="s">
        <v>508</v>
      </c>
      <c r="I429" t="s">
        <v>509</v>
      </c>
      <c r="J429" t="s">
        <v>589</v>
      </c>
      <c r="K429" s="497">
        <f>ROUND(HLOOKUP($B429,'2-Préparation saisie LV PROD'!$F$1:$Q$86,'2-Préparation saisie LV PROD'!A27,FALSE),0)</f>
        <v>2087930</v>
      </c>
      <c r="L429" t="str">
        <f>VLOOKUP(C429,Capacité!C:L,10,FALSE)</f>
        <v>Calmont (Laur Eole Energie )</v>
      </c>
    </row>
    <row r="430" spans="1:12">
      <c r="A430" t="s">
        <v>505</v>
      </c>
      <c r="B430" t="str">
        <f t="shared" si="71"/>
        <v>B22_06</v>
      </c>
      <c r="C430" s="323" t="str">
        <f t="shared" si="69"/>
        <v>E5391</v>
      </c>
      <c r="D430" t="str">
        <f t="shared" si="72"/>
        <v>NO_DATAVIEWS</v>
      </c>
      <c r="E430" s="62" t="str">
        <f t="shared" si="72"/>
        <v>NO_DEPARTMENTS</v>
      </c>
      <c r="F430" t="s">
        <v>506</v>
      </c>
      <c r="G430" t="s">
        <v>507</v>
      </c>
      <c r="H430" t="s">
        <v>508</v>
      </c>
      <c r="I430" t="s">
        <v>509</v>
      </c>
      <c r="J430" t="s">
        <v>589</v>
      </c>
      <c r="K430" s="497">
        <f>ROUND(HLOOKUP($B430,'2-Préparation saisie LV PROD'!$F$1:$Q$86,'2-Préparation saisie LV PROD'!A28,FALSE),0)</f>
        <v>425325</v>
      </c>
      <c r="L430" t="str">
        <f>VLOOKUP(C430,Capacité!C:L,10,FALSE)</f>
        <v>Coat Conval</v>
      </c>
    </row>
    <row r="431" spans="1:12">
      <c r="A431" t="s">
        <v>505</v>
      </c>
      <c r="B431" t="str">
        <f t="shared" si="71"/>
        <v>B22_06</v>
      </c>
      <c r="C431" s="323" t="str">
        <f t="shared" si="69"/>
        <v>E5392</v>
      </c>
      <c r="D431" t="str">
        <f t="shared" si="72"/>
        <v>NO_DATAVIEWS</v>
      </c>
      <c r="E431" s="62" t="str">
        <f t="shared" si="72"/>
        <v>NO_DEPARTMENTS</v>
      </c>
      <c r="F431" t="s">
        <v>506</v>
      </c>
      <c r="G431" t="s">
        <v>507</v>
      </c>
      <c r="H431" t="s">
        <v>508</v>
      </c>
      <c r="I431" t="s">
        <v>509</v>
      </c>
      <c r="J431" t="s">
        <v>589</v>
      </c>
      <c r="K431" s="497">
        <f>ROUND(HLOOKUP($B431,'2-Préparation saisie LV PROD'!$F$1:$Q$86,'2-Préparation saisie LV PROD'!A29,FALSE),0)</f>
        <v>743924</v>
      </c>
      <c r="L431" t="str">
        <f>VLOOKUP(C431,Capacité!C:L,10,FALSE)</f>
        <v>Leign ar Gasprenn</v>
      </c>
    </row>
    <row r="432" spans="1:12">
      <c r="A432" t="s">
        <v>505</v>
      </c>
      <c r="B432" t="str">
        <f t="shared" si="71"/>
        <v>B22_06</v>
      </c>
      <c r="C432" s="323" t="str">
        <f t="shared" si="69"/>
        <v>E5393</v>
      </c>
      <c r="D432" t="str">
        <f t="shared" si="72"/>
        <v>NO_DATAVIEWS</v>
      </c>
      <c r="E432" s="62" t="str">
        <f t="shared" si="72"/>
        <v>NO_DEPARTMENTS</v>
      </c>
      <c r="F432" t="s">
        <v>506</v>
      </c>
      <c r="G432" t="s">
        <v>507</v>
      </c>
      <c r="H432" t="s">
        <v>508</v>
      </c>
      <c r="I432" t="s">
        <v>509</v>
      </c>
      <c r="J432" t="s">
        <v>589</v>
      </c>
      <c r="K432" s="497">
        <f>ROUND(HLOOKUP($B432,'2-Préparation saisie LV PROD'!$F$1:$Q$86,'2-Préparation saisie LV PROD'!A30,FALSE),0)</f>
        <v>3869040</v>
      </c>
      <c r="L432" t="str">
        <f>VLOOKUP(C432,Capacité!C:L,10,FALSE)</f>
        <v>Vallée d'Arce</v>
      </c>
    </row>
    <row r="433" spans="1:12">
      <c r="A433" t="s">
        <v>505</v>
      </c>
      <c r="B433" t="str">
        <f t="shared" si="71"/>
        <v>B22_06</v>
      </c>
      <c r="C433" s="323" t="str">
        <f t="shared" si="69"/>
        <v>E5394</v>
      </c>
      <c r="D433" t="str">
        <f t="shared" si="72"/>
        <v>NO_DATAVIEWS</v>
      </c>
      <c r="E433" s="62" t="str">
        <f t="shared" si="72"/>
        <v>NO_DEPARTMENTS</v>
      </c>
      <c r="F433" t="s">
        <v>506</v>
      </c>
      <c r="G433" t="s">
        <v>507</v>
      </c>
      <c r="H433" t="s">
        <v>508</v>
      </c>
      <c r="I433" t="s">
        <v>509</v>
      </c>
      <c r="J433" t="s">
        <v>589</v>
      </c>
      <c r="K433" s="497">
        <f>ROUND(HLOOKUP($B433,'2-Préparation saisie LV PROD'!$F$1:$Q$86,'2-Préparation saisie LV PROD'!A31,FALSE),0)</f>
        <v>865162</v>
      </c>
      <c r="L433" t="str">
        <f>VLOOKUP(C433,Capacité!C:L,10,FALSE)</f>
        <v>La Bouleste</v>
      </c>
    </row>
    <row r="434" spans="1:12">
      <c r="A434" t="s">
        <v>505</v>
      </c>
      <c r="B434" t="str">
        <f t="shared" si="71"/>
        <v>B22_06</v>
      </c>
      <c r="C434" s="323" t="str">
        <f t="shared" si="69"/>
        <v>E5395</v>
      </c>
      <c r="D434" t="str">
        <f t="shared" si="72"/>
        <v>NO_DATAVIEWS</v>
      </c>
      <c r="E434" s="62" t="str">
        <f t="shared" si="72"/>
        <v>NO_DEPARTMENTS</v>
      </c>
      <c r="F434" t="s">
        <v>506</v>
      </c>
      <c r="G434" t="s">
        <v>507</v>
      </c>
      <c r="H434" t="s">
        <v>508</v>
      </c>
      <c r="I434" t="s">
        <v>509</v>
      </c>
      <c r="J434" t="s">
        <v>589</v>
      </c>
      <c r="K434" s="497">
        <f>ROUND(HLOOKUP($B434,'2-Préparation saisie LV PROD'!$F$1:$Q$86,'2-Préparation saisie LV PROD'!A32,FALSE),0)</f>
        <v>2499602</v>
      </c>
      <c r="L434" t="str">
        <f>VLOOKUP(C434,Capacité!C:L,10,FALSE)</f>
        <v>Haut de Conge</v>
      </c>
    </row>
    <row r="435" spans="1:12">
      <c r="A435" t="s">
        <v>505</v>
      </c>
      <c r="B435" t="str">
        <f t="shared" si="71"/>
        <v>B22_06</v>
      </c>
      <c r="C435" s="323" t="str">
        <f t="shared" si="69"/>
        <v>E5396</v>
      </c>
      <c r="D435" t="str">
        <f t="shared" si="72"/>
        <v>NO_DATAVIEWS</v>
      </c>
      <c r="E435" s="62" t="str">
        <f t="shared" si="72"/>
        <v>NO_DEPARTMENTS</v>
      </c>
      <c r="F435" t="s">
        <v>506</v>
      </c>
      <c r="G435" t="s">
        <v>507</v>
      </c>
      <c r="H435" t="s">
        <v>508</v>
      </c>
      <c r="I435" t="s">
        <v>509</v>
      </c>
      <c r="J435" t="s">
        <v>589</v>
      </c>
      <c r="K435" s="497">
        <f>ROUND(HLOOKUP($B435,'2-Préparation saisie LV PROD'!$F$1:$Q$86,'2-Préparation saisie LV PROD'!A33,FALSE),0)</f>
        <v>994058</v>
      </c>
      <c r="L435" t="str">
        <f>VLOOKUP(C435,Capacité!C:L,10,FALSE)</f>
        <v>Les Eparmonts</v>
      </c>
    </row>
    <row r="436" spans="1:12">
      <c r="A436" t="s">
        <v>505</v>
      </c>
      <c r="B436" t="str">
        <f t="shared" si="71"/>
        <v>B22_06</v>
      </c>
      <c r="C436" s="323" t="str">
        <f t="shared" si="69"/>
        <v>E5397</v>
      </c>
      <c r="D436" t="str">
        <f t="shared" si="72"/>
        <v>NO_DATAVIEWS</v>
      </c>
      <c r="E436" s="62" t="str">
        <f t="shared" si="72"/>
        <v>NO_DEPARTMENTS</v>
      </c>
      <c r="F436" t="s">
        <v>506</v>
      </c>
      <c r="G436" t="s">
        <v>507</v>
      </c>
      <c r="H436" t="s">
        <v>508</v>
      </c>
      <c r="I436" t="s">
        <v>509</v>
      </c>
      <c r="J436" t="s">
        <v>589</v>
      </c>
      <c r="K436" s="497">
        <f>ROUND(HLOOKUP($B436,'2-Préparation saisie LV PROD'!$F$1:$Q$86,'2-Préparation saisie LV PROD'!A34,FALSE),0)</f>
        <v>1243102</v>
      </c>
      <c r="L436" t="str">
        <f>VLOOKUP(C436,Capacité!C:L,10,FALSE)</f>
        <v>Charmoy</v>
      </c>
    </row>
    <row r="437" spans="1:12">
      <c r="A437" t="s">
        <v>505</v>
      </c>
      <c r="B437" t="str">
        <f t="shared" si="71"/>
        <v>B22_06</v>
      </c>
      <c r="C437" s="323" t="str">
        <f t="shared" si="69"/>
        <v>E5398</v>
      </c>
      <c r="D437" t="str">
        <f t="shared" si="72"/>
        <v>NO_DATAVIEWS</v>
      </c>
      <c r="E437" s="62" t="str">
        <f t="shared" si="72"/>
        <v>NO_DEPARTMENTS</v>
      </c>
      <c r="F437" t="s">
        <v>506</v>
      </c>
      <c r="G437" t="s">
        <v>507</v>
      </c>
      <c r="H437" t="s">
        <v>508</v>
      </c>
      <c r="I437" t="s">
        <v>509</v>
      </c>
      <c r="J437" t="s">
        <v>589</v>
      </c>
      <c r="K437" s="497">
        <f>ROUND(HLOOKUP($B437,'2-Préparation saisie LV PROD'!$F$1:$Q$86,'2-Préparation saisie LV PROD'!A35,FALSE),0)</f>
        <v>2212165</v>
      </c>
      <c r="L437" t="str">
        <f>VLOOKUP(C437,Capacité!C:L,10,FALSE)</f>
        <v>Pannecé</v>
      </c>
    </row>
    <row r="438" spans="1:12">
      <c r="A438" t="s">
        <v>505</v>
      </c>
      <c r="B438" t="str">
        <f t="shared" si="71"/>
        <v>B22_06</v>
      </c>
      <c r="C438" s="323" t="str">
        <f t="shared" si="69"/>
        <v>E5399</v>
      </c>
      <c r="D438" t="str">
        <f t="shared" si="72"/>
        <v>NO_DATAVIEWS</v>
      </c>
      <c r="E438" s="62" t="str">
        <f t="shared" si="72"/>
        <v>NO_DEPARTMENTS</v>
      </c>
      <c r="F438" t="s">
        <v>506</v>
      </c>
      <c r="G438" t="s">
        <v>507</v>
      </c>
      <c r="H438" t="s">
        <v>508</v>
      </c>
      <c r="I438" t="s">
        <v>509</v>
      </c>
      <c r="J438" t="s">
        <v>589</v>
      </c>
      <c r="K438" s="497">
        <f>ROUND(HLOOKUP($B438,'2-Préparation saisie LV PROD'!$F$1:$Q$86,'2-Préparation saisie LV PROD'!A36,FALSE),0)</f>
        <v>4041027</v>
      </c>
      <c r="L438" t="str">
        <f>VLOOKUP(C438,Capacité!C:L,10,FALSE)</f>
        <v>Coulonges</v>
      </c>
    </row>
    <row r="439" spans="1:12">
      <c r="A439" t="s">
        <v>505</v>
      </c>
      <c r="B439" t="str">
        <f t="shared" si="71"/>
        <v>B22_06</v>
      </c>
      <c r="C439" s="323" t="str">
        <f t="shared" ref="C439:C470" si="73">C358</f>
        <v>E5400</v>
      </c>
      <c r="D439" t="str">
        <f t="shared" si="72"/>
        <v>NO_DATAVIEWS</v>
      </c>
      <c r="E439" s="62" t="str">
        <f t="shared" si="72"/>
        <v>NO_DEPARTMENTS</v>
      </c>
      <c r="F439" t="s">
        <v>506</v>
      </c>
      <c r="G439" t="s">
        <v>507</v>
      </c>
      <c r="H439" t="s">
        <v>508</v>
      </c>
      <c r="I439" t="s">
        <v>509</v>
      </c>
      <c r="J439" t="s">
        <v>589</v>
      </c>
      <c r="K439" s="497">
        <f>ROUND(HLOOKUP($B439,'2-Préparation saisie LV PROD'!$F$1:$Q$86,'2-Préparation saisie LV PROD'!A37,FALSE),0)</f>
        <v>2587658</v>
      </c>
      <c r="L439" t="str">
        <f>VLOOKUP(C439,Capacité!C:L,10,FALSE)</f>
        <v>SdlL</v>
      </c>
    </row>
    <row r="440" spans="1:12">
      <c r="A440" t="s">
        <v>505</v>
      </c>
      <c r="B440" t="str">
        <f t="shared" si="71"/>
        <v>B22_06</v>
      </c>
      <c r="C440" s="323" t="str">
        <f t="shared" si="73"/>
        <v>E5401</v>
      </c>
      <c r="D440" t="str">
        <f t="shared" ref="D440:E455" si="74">D439</f>
        <v>NO_DATAVIEWS</v>
      </c>
      <c r="E440" s="62" t="str">
        <f t="shared" si="74"/>
        <v>NO_DEPARTMENTS</v>
      </c>
      <c r="F440" t="s">
        <v>506</v>
      </c>
      <c r="G440" t="s">
        <v>507</v>
      </c>
      <c r="H440" t="s">
        <v>508</v>
      </c>
      <c r="I440" t="s">
        <v>509</v>
      </c>
      <c r="J440" t="s">
        <v>589</v>
      </c>
      <c r="K440" s="497">
        <f>ROUND(HLOOKUP($B440,'2-Préparation saisie LV PROD'!$F$1:$Q$86,'2-Préparation saisie LV PROD'!A38,FALSE),0)</f>
        <v>981299</v>
      </c>
      <c r="L440" t="str">
        <f>VLOOKUP(C440,Capacité!C:L,10,FALSE)</f>
        <v>Pays d'Othe</v>
      </c>
    </row>
    <row r="441" spans="1:12">
      <c r="A441" t="s">
        <v>505</v>
      </c>
      <c r="B441" t="str">
        <f t="shared" si="71"/>
        <v>B22_06</v>
      </c>
      <c r="C441" s="323" t="str">
        <f t="shared" si="73"/>
        <v>E5402</v>
      </c>
      <c r="D441" t="str">
        <f t="shared" si="74"/>
        <v>NO_DATAVIEWS</v>
      </c>
      <c r="E441" s="62" t="str">
        <f t="shared" si="74"/>
        <v>NO_DEPARTMENTS</v>
      </c>
      <c r="F441" t="s">
        <v>506</v>
      </c>
      <c r="G441" t="s">
        <v>507</v>
      </c>
      <c r="H441" t="s">
        <v>508</v>
      </c>
      <c r="I441" t="s">
        <v>509</v>
      </c>
      <c r="J441" t="s">
        <v>589</v>
      </c>
      <c r="K441" s="497">
        <f>ROUND(HLOOKUP($B441,'2-Préparation saisie LV PROD'!$F$1:$Q$86,'2-Préparation saisie LV PROD'!A39,FALSE),0)</f>
        <v>1278643</v>
      </c>
      <c r="L441" t="str">
        <f>VLOOKUP(C441,Capacité!C:L,10,FALSE)</f>
        <v>Comes de l'Arce</v>
      </c>
    </row>
    <row r="442" spans="1:12">
      <c r="A442" t="s">
        <v>505</v>
      </c>
      <c r="B442" t="str">
        <f t="shared" si="71"/>
        <v>B22_06</v>
      </c>
      <c r="C442" s="323" t="str">
        <f t="shared" si="73"/>
        <v>E5570</v>
      </c>
      <c r="D442" t="str">
        <f t="shared" si="74"/>
        <v>NO_DATAVIEWS</v>
      </c>
      <c r="E442" s="62" t="str">
        <f t="shared" si="74"/>
        <v>NO_DEPARTMENTS</v>
      </c>
      <c r="F442" t="s">
        <v>506</v>
      </c>
      <c r="G442" t="s">
        <v>507</v>
      </c>
      <c r="H442" t="s">
        <v>508</v>
      </c>
      <c r="I442" t="s">
        <v>509</v>
      </c>
      <c r="J442" t="s">
        <v>589</v>
      </c>
      <c r="K442" s="497">
        <f>ROUND(HLOOKUP($B442,'2-Préparation saisie LV PROD'!$F$1:$Q$86,'2-Préparation saisie LV PROD'!A40,FALSE),0)</f>
        <v>1852400</v>
      </c>
      <c r="L442" t="str">
        <f>VLOOKUP(C442,Capacité!C:L,10,FALSE)</f>
        <v>Plateau de Savernat</v>
      </c>
    </row>
    <row r="443" spans="1:12">
      <c r="A443" t="s">
        <v>505</v>
      </c>
      <c r="B443" t="str">
        <f t="shared" si="71"/>
        <v>B22_06</v>
      </c>
      <c r="C443" s="323" t="str">
        <f t="shared" si="73"/>
        <v>E5560</v>
      </c>
      <c r="D443" t="str">
        <f t="shared" si="74"/>
        <v>NO_DATAVIEWS</v>
      </c>
      <c r="E443" s="62" t="str">
        <f t="shared" si="74"/>
        <v>NO_DEPARTMENTS</v>
      </c>
      <c r="F443" t="s">
        <v>506</v>
      </c>
      <c r="G443" t="s">
        <v>507</v>
      </c>
      <c r="H443" t="s">
        <v>508</v>
      </c>
      <c r="I443" t="s">
        <v>509</v>
      </c>
      <c r="J443" t="s">
        <v>589</v>
      </c>
      <c r="K443" s="497">
        <f>ROUND(HLOOKUP($B443,'2-Préparation saisie LV PROD'!$F$1:$Q$86,'2-Préparation saisie LV PROD'!A41,FALSE),0)</f>
        <v>1667159</v>
      </c>
      <c r="L443" t="str">
        <f>VLOOKUP(C443,Capacité!C:L,10,FALSE)</f>
        <v>Touvent</v>
      </c>
    </row>
    <row r="444" spans="1:12">
      <c r="A444" t="s">
        <v>505</v>
      </c>
      <c r="B444" t="str">
        <f t="shared" si="71"/>
        <v>B22_06</v>
      </c>
      <c r="C444" s="323" t="str">
        <f t="shared" si="73"/>
        <v>E5700</v>
      </c>
      <c r="D444" t="str">
        <f t="shared" si="74"/>
        <v>NO_DATAVIEWS</v>
      </c>
      <c r="E444" s="62" t="str">
        <f t="shared" si="74"/>
        <v>NO_DEPARTMENTS</v>
      </c>
      <c r="F444" t="s">
        <v>506</v>
      </c>
      <c r="G444" t="s">
        <v>507</v>
      </c>
      <c r="H444" t="s">
        <v>508</v>
      </c>
      <c r="I444" t="s">
        <v>509</v>
      </c>
      <c r="J444" t="s">
        <v>589</v>
      </c>
      <c r="K444" s="497">
        <f>ROUND(HLOOKUP($B444,'2-Préparation saisie LV PROD'!$F$1:$Q$86,'2-Préparation saisie LV PROD'!A42,FALSE),0)</f>
        <v>3146609</v>
      </c>
      <c r="L444" t="str">
        <f>VLOOKUP(C444,Capacité!C:L,10,FALSE)</f>
        <v>Haut de Comble (HC)</v>
      </c>
    </row>
    <row r="445" spans="1:12">
      <c r="A445" t="s">
        <v>505</v>
      </c>
      <c r="B445" t="str">
        <f t="shared" si="71"/>
        <v>B22_06</v>
      </c>
      <c r="C445" s="323" t="str">
        <f t="shared" si="73"/>
        <v>E5600</v>
      </c>
      <c r="D445" t="str">
        <f t="shared" si="74"/>
        <v>NO_DATAVIEWS</v>
      </c>
      <c r="E445" s="62" t="str">
        <f t="shared" si="74"/>
        <v>NO_DEPARTMENTS</v>
      </c>
      <c r="F445" t="s">
        <v>506</v>
      </c>
      <c r="G445" t="s">
        <v>507</v>
      </c>
      <c r="H445" t="s">
        <v>508</v>
      </c>
      <c r="I445" t="s">
        <v>509</v>
      </c>
      <c r="J445" t="s">
        <v>589</v>
      </c>
      <c r="K445" s="497">
        <f>ROUND(HLOOKUP($B445,'2-Préparation saisie LV PROD'!$F$1:$Q$86,'2-Préparation saisie LV PROD'!A43,FALSE),0)</f>
        <v>4312774</v>
      </c>
      <c r="L445" t="str">
        <f>VLOOKUP(C445,Capacité!C:L,10,FALSE)</f>
        <v>Inter deux bos (MET)</v>
      </c>
    </row>
    <row r="446" spans="1:12">
      <c r="A446" t="s">
        <v>505</v>
      </c>
      <c r="B446" t="str">
        <f t="shared" si="71"/>
        <v>B22_06</v>
      </c>
      <c r="C446" s="323" t="str">
        <f t="shared" si="73"/>
        <v>E5770</v>
      </c>
      <c r="D446" t="str">
        <f t="shared" si="74"/>
        <v>NO_DATAVIEWS</v>
      </c>
      <c r="E446" s="62" t="str">
        <f t="shared" si="74"/>
        <v>NO_DEPARTMENTS</v>
      </c>
      <c r="F446" t="s">
        <v>506</v>
      </c>
      <c r="G446" t="s">
        <v>507</v>
      </c>
      <c r="H446" t="s">
        <v>508</v>
      </c>
      <c r="I446" t="s">
        <v>509</v>
      </c>
      <c r="J446" t="s">
        <v>589</v>
      </c>
      <c r="K446" s="497">
        <f>ROUND(HLOOKUP($B446,'2-Préparation saisie LV PROD'!$F$1:$Q$86,'2-Préparation saisie LV PROD'!A44,FALSE),0)</f>
        <v>1648011</v>
      </c>
      <c r="L446" t="str">
        <f>VLOOKUP(C446,Capacité!C:L,10,FALSE)</f>
        <v>Le Pelon</v>
      </c>
    </row>
    <row r="447" spans="1:12">
      <c r="A447" t="s">
        <v>505</v>
      </c>
      <c r="B447" t="str">
        <f t="shared" si="71"/>
        <v>B22_06</v>
      </c>
      <c r="C447" s="323" t="str">
        <f t="shared" si="73"/>
        <v>E5630</v>
      </c>
      <c r="D447" t="str">
        <f t="shared" si="74"/>
        <v>NO_DATAVIEWS</v>
      </c>
      <c r="E447" s="62" t="str">
        <f t="shared" si="74"/>
        <v>NO_DEPARTMENTS</v>
      </c>
      <c r="F447" t="s">
        <v>506</v>
      </c>
      <c r="G447" t="s">
        <v>507</v>
      </c>
      <c r="H447" t="s">
        <v>508</v>
      </c>
      <c r="I447" t="s">
        <v>509</v>
      </c>
      <c r="J447" t="s">
        <v>589</v>
      </c>
      <c r="K447" s="497">
        <f>ROUND(HLOOKUP($B447,'2-Préparation saisie LV PROD'!$F$1:$Q$86,'2-Préparation saisie LV PROD'!A45,FALSE),0)</f>
        <v>3644118</v>
      </c>
      <c r="L447" t="str">
        <f>VLOOKUP(C447,Capacité!C:L,10,FALSE)</f>
        <v>Monts de Bagny</v>
      </c>
    </row>
    <row r="448" spans="1:12">
      <c r="A448" t="s">
        <v>505</v>
      </c>
      <c r="B448" t="str">
        <f t="shared" si="71"/>
        <v>B22_06</v>
      </c>
      <c r="C448" s="323" t="str">
        <f t="shared" si="73"/>
        <v>E5690</v>
      </c>
      <c r="D448" t="str">
        <f t="shared" si="74"/>
        <v>NO_DATAVIEWS</v>
      </c>
      <c r="E448" s="62" t="str">
        <f t="shared" si="74"/>
        <v>NO_DEPARTMENTS</v>
      </c>
      <c r="F448" t="s">
        <v>506</v>
      </c>
      <c r="G448" t="s">
        <v>507</v>
      </c>
      <c r="H448" t="s">
        <v>508</v>
      </c>
      <c r="I448" t="s">
        <v>509</v>
      </c>
      <c r="J448" t="s">
        <v>589</v>
      </c>
      <c r="K448" s="497">
        <f>ROUND(HLOOKUP($B448,'2-Préparation saisie LV PROD'!$F$1:$Q$86,'2-Préparation saisie LV PROD'!A46,FALSE),0)</f>
        <v>1804460</v>
      </c>
      <c r="L448" t="str">
        <f>VLOOKUP(C448,Capacité!C:L,10,FALSE)</f>
        <v>Voie des monts</v>
      </c>
    </row>
    <row r="449" spans="1:12">
      <c r="A449" t="s">
        <v>505</v>
      </c>
      <c r="B449" t="str">
        <f t="shared" si="71"/>
        <v>B22_06</v>
      </c>
      <c r="C449" s="323" t="str">
        <f t="shared" si="73"/>
        <v>E5640</v>
      </c>
      <c r="D449" t="str">
        <f t="shared" si="74"/>
        <v>NO_DATAVIEWS</v>
      </c>
      <c r="E449" s="62" t="str">
        <f t="shared" si="74"/>
        <v>NO_DEPARTMENTS</v>
      </c>
      <c r="F449" t="s">
        <v>506</v>
      </c>
      <c r="G449" t="s">
        <v>507</v>
      </c>
      <c r="H449" t="s">
        <v>508</v>
      </c>
      <c r="I449" t="s">
        <v>509</v>
      </c>
      <c r="J449" t="s">
        <v>589</v>
      </c>
      <c r="K449" s="497">
        <f>ROUND(HLOOKUP($B449,'2-Préparation saisie LV PROD'!$F$1:$Q$86,'2-Préparation saisie LV PROD'!A47,FALSE),0)</f>
        <v>3612716</v>
      </c>
      <c r="L449" t="str">
        <f>VLOOKUP(C449,Capacité!C:L,10,FALSE)</f>
        <v>Artois</v>
      </c>
    </row>
    <row r="450" spans="1:12">
      <c r="A450" t="s">
        <v>505</v>
      </c>
      <c r="B450" t="str">
        <f t="shared" si="71"/>
        <v>B22_06</v>
      </c>
      <c r="C450" s="323" t="str">
        <f t="shared" si="73"/>
        <v>E5620</v>
      </c>
      <c r="D450" t="str">
        <f t="shared" si="74"/>
        <v>NO_DATAVIEWS</v>
      </c>
      <c r="E450" s="62" t="str">
        <f t="shared" si="74"/>
        <v>NO_DEPARTMENTS</v>
      </c>
      <c r="F450" t="s">
        <v>506</v>
      </c>
      <c r="G450" t="s">
        <v>507</v>
      </c>
      <c r="H450" t="s">
        <v>508</v>
      </c>
      <c r="I450" t="s">
        <v>509</v>
      </c>
      <c r="J450" t="s">
        <v>589</v>
      </c>
      <c r="K450" s="497">
        <f>ROUND(HLOOKUP($B450,'2-Préparation saisie LV PROD'!$F$1:$Q$86,'2-Préparation saisie LV PROD'!A48,FALSE),0)</f>
        <v>4345662</v>
      </c>
      <c r="L450" t="str">
        <f>VLOOKUP(C450,Capacité!C:L,10,FALSE)</f>
        <v>Chemin de Grès</v>
      </c>
    </row>
    <row r="451" spans="1:12">
      <c r="A451" t="s">
        <v>505</v>
      </c>
      <c r="B451" t="str">
        <f t="shared" si="71"/>
        <v>B22_06</v>
      </c>
      <c r="C451" s="323" t="str">
        <f t="shared" si="73"/>
        <v>E5810</v>
      </c>
      <c r="D451" t="str">
        <f t="shared" si="74"/>
        <v>NO_DATAVIEWS</v>
      </c>
      <c r="E451" s="62" t="str">
        <f t="shared" si="74"/>
        <v>NO_DEPARTMENTS</v>
      </c>
      <c r="F451" t="s">
        <v>506</v>
      </c>
      <c r="G451" t="s">
        <v>507</v>
      </c>
      <c r="H451" t="s">
        <v>508</v>
      </c>
      <c r="I451" t="s">
        <v>509</v>
      </c>
      <c r="J451" t="s">
        <v>589</v>
      </c>
      <c r="K451" s="497">
        <f>ROUND(HLOOKUP($B451,'2-Préparation saisie LV PROD'!$F$1:$Q$86,'2-Préparation saisie LV PROD'!A49,FALSE),0)</f>
        <v>2548059</v>
      </c>
      <c r="L451" t="str">
        <f>VLOOKUP(C451,Capacité!C:L,10,FALSE)</f>
        <v>Coteaux du Blaiseron</v>
      </c>
    </row>
    <row r="452" spans="1:12">
      <c r="A452" t="s">
        <v>505</v>
      </c>
      <c r="B452" t="str">
        <f t="shared" si="71"/>
        <v>B22_06</v>
      </c>
      <c r="C452" s="323" t="str">
        <f t="shared" si="73"/>
        <v>E5660</v>
      </c>
      <c r="D452" t="str">
        <f t="shared" si="74"/>
        <v>NO_DATAVIEWS</v>
      </c>
      <c r="E452" s="62" t="str">
        <f t="shared" si="74"/>
        <v>NO_DEPARTMENTS</v>
      </c>
      <c r="F452" t="s">
        <v>506</v>
      </c>
      <c r="G452" t="s">
        <v>507</v>
      </c>
      <c r="H452" t="s">
        <v>508</v>
      </c>
      <c r="I452" t="s">
        <v>509</v>
      </c>
      <c r="J452" t="s">
        <v>589</v>
      </c>
      <c r="K452" s="497">
        <f>ROUND(HLOOKUP($B452,'2-Préparation saisie LV PROD'!$F$1:$Q$86,'2-Préparation saisie LV PROD'!A50,FALSE),0)</f>
        <v>2815048</v>
      </c>
      <c r="L452" t="str">
        <f>VLOOKUP(C452,Capacité!C:L,10,FALSE)</f>
        <v>XSAN</v>
      </c>
    </row>
    <row r="453" spans="1:12">
      <c r="A453" t="s">
        <v>505</v>
      </c>
      <c r="B453" t="str">
        <f t="shared" si="71"/>
        <v>B22_06</v>
      </c>
      <c r="C453" s="323" t="str">
        <f t="shared" si="73"/>
        <v>E5590</v>
      </c>
      <c r="D453" t="str">
        <f t="shared" si="74"/>
        <v>NO_DATAVIEWS</v>
      </c>
      <c r="E453" s="62" t="str">
        <f t="shared" si="74"/>
        <v>NO_DEPARTMENTS</v>
      </c>
      <c r="F453" t="s">
        <v>506</v>
      </c>
      <c r="G453" t="s">
        <v>507</v>
      </c>
      <c r="H453" t="s">
        <v>508</v>
      </c>
      <c r="I453" t="s">
        <v>509</v>
      </c>
      <c r="J453" t="s">
        <v>589</v>
      </c>
      <c r="K453" s="497">
        <f>ROUND(HLOOKUP($B453,'2-Préparation saisie LV PROD'!$F$1:$Q$86,'2-Préparation saisie LV PROD'!A51,FALSE),0)</f>
        <v>2061647</v>
      </c>
      <c r="L453" t="str">
        <f>VLOOKUP(C453,Capacité!C:L,10,FALSE)</f>
        <v>Le Catésis (CAT)</v>
      </c>
    </row>
    <row r="454" spans="1:12">
      <c r="A454" t="s">
        <v>505</v>
      </c>
      <c r="B454" t="str">
        <f t="shared" si="71"/>
        <v>B22_06</v>
      </c>
      <c r="C454" s="323" t="str">
        <f t="shared" si="73"/>
        <v>E5650</v>
      </c>
      <c r="D454" t="str">
        <f t="shared" si="74"/>
        <v>NO_DATAVIEWS</v>
      </c>
      <c r="E454" s="62" t="str">
        <f t="shared" si="74"/>
        <v>NO_DEPARTMENTS</v>
      </c>
      <c r="F454" t="s">
        <v>506</v>
      </c>
      <c r="G454" t="s">
        <v>507</v>
      </c>
      <c r="H454" t="s">
        <v>508</v>
      </c>
      <c r="I454" t="s">
        <v>509</v>
      </c>
      <c r="J454" t="s">
        <v>589</v>
      </c>
      <c r="K454" s="497">
        <f>ROUND(HLOOKUP($B454,'2-Préparation saisie LV PROD'!$F$1:$Q$86,'2-Préparation saisie LV PROD'!A52,FALSE),0)</f>
        <v>3526419</v>
      </c>
      <c r="L454" t="str">
        <f>VLOOKUP(C454,Capacité!C:L,10,FALSE)</f>
        <v>Seuil du Cambrésis- Ribecourt (RIB)</v>
      </c>
    </row>
    <row r="455" spans="1:12">
      <c r="A455" t="s">
        <v>505</v>
      </c>
      <c r="B455" t="str">
        <f t="shared" si="71"/>
        <v>B22_06</v>
      </c>
      <c r="C455" s="323" t="str">
        <f t="shared" si="73"/>
        <v>E5720</v>
      </c>
      <c r="D455" t="str">
        <f t="shared" si="74"/>
        <v>NO_DATAVIEWS</v>
      </c>
      <c r="E455" s="62" t="str">
        <f t="shared" si="74"/>
        <v>NO_DEPARTMENTS</v>
      </c>
      <c r="F455" t="s">
        <v>506</v>
      </c>
      <c r="G455" t="s">
        <v>507</v>
      </c>
      <c r="H455" t="s">
        <v>508</v>
      </c>
      <c r="I455" t="s">
        <v>509</v>
      </c>
      <c r="J455" t="s">
        <v>589</v>
      </c>
      <c r="K455" s="497">
        <f>ROUND(HLOOKUP($B455,'2-Préparation saisie LV PROD'!$F$1:$Q$86,'2-Préparation saisie LV PROD'!A53,FALSE),0)</f>
        <v>2543408</v>
      </c>
      <c r="L455" t="str">
        <f>VLOOKUP(C455,Capacité!C:L,10,FALSE)</f>
        <v>Basse Thiérache Nord</v>
      </c>
    </row>
    <row r="456" spans="1:12">
      <c r="A456" t="s">
        <v>505</v>
      </c>
      <c r="B456" t="str">
        <f t="shared" si="71"/>
        <v>B22_06</v>
      </c>
      <c r="C456" s="323" t="str">
        <f t="shared" si="73"/>
        <v>E5710</v>
      </c>
      <c r="D456" t="str">
        <f t="shared" ref="D456:E471" si="75">D455</f>
        <v>NO_DATAVIEWS</v>
      </c>
      <c r="E456" s="62" t="str">
        <f t="shared" si="75"/>
        <v>NO_DEPARTMENTS</v>
      </c>
      <c r="F456" t="s">
        <v>506</v>
      </c>
      <c r="G456" t="s">
        <v>507</v>
      </c>
      <c r="H456" t="s">
        <v>508</v>
      </c>
      <c r="I456" t="s">
        <v>509</v>
      </c>
      <c r="J456" t="s">
        <v>589</v>
      </c>
      <c r="K456" s="497">
        <f>ROUND(HLOOKUP($B456,'2-Préparation saisie LV PROD'!$F$1:$Q$86,'2-Préparation saisie LV PROD'!A54,FALSE),0)</f>
        <v>3360653</v>
      </c>
      <c r="L456" t="str">
        <f>VLOOKUP(C456,Capacité!C:L,10,FALSE)</f>
        <v>Sources de l'Ancre</v>
      </c>
    </row>
    <row r="457" spans="1:12">
      <c r="A457" t="s">
        <v>505</v>
      </c>
      <c r="B457" t="str">
        <f t="shared" si="71"/>
        <v>B22_06</v>
      </c>
      <c r="C457" s="323" t="str">
        <f t="shared" si="73"/>
        <v>E6190</v>
      </c>
      <c r="D457" t="str">
        <f t="shared" si="75"/>
        <v>NO_DATAVIEWS</v>
      </c>
      <c r="E457" s="62" t="str">
        <f t="shared" si="75"/>
        <v>NO_DEPARTMENTS</v>
      </c>
      <c r="F457" t="s">
        <v>506</v>
      </c>
      <c r="G457" t="s">
        <v>507</v>
      </c>
      <c r="H457" t="s">
        <v>508</v>
      </c>
      <c r="I457" t="s">
        <v>509</v>
      </c>
      <c r="J457" t="s">
        <v>589</v>
      </c>
      <c r="K457" s="497">
        <f>ROUND(HLOOKUP($B457,'2-Préparation saisie LV PROD'!$F$1:$Q$86,'2-Préparation saisie LV PROD'!A55,FALSE),0)</f>
        <v>0</v>
      </c>
      <c r="L457" t="str">
        <f>VLOOKUP(C457,Capacité!C:L,10,FALSE)</f>
        <v>Evits et Josaphats</v>
      </c>
    </row>
    <row r="458" spans="1:12">
      <c r="A458" t="s">
        <v>505</v>
      </c>
      <c r="B458" t="str">
        <f t="shared" si="71"/>
        <v>B22_06</v>
      </c>
      <c r="C458" s="323" t="str">
        <f t="shared" si="73"/>
        <v>E6200</v>
      </c>
      <c r="D458" t="str">
        <f t="shared" si="75"/>
        <v>NO_DATAVIEWS</v>
      </c>
      <c r="E458" s="62" t="str">
        <f t="shared" si="75"/>
        <v>NO_DEPARTMENTS</v>
      </c>
      <c r="F458" t="s">
        <v>506</v>
      </c>
      <c r="G458" t="s">
        <v>507</v>
      </c>
      <c r="H458" t="s">
        <v>508</v>
      </c>
      <c r="I458" t="s">
        <v>509</v>
      </c>
      <c r="J458" t="s">
        <v>589</v>
      </c>
      <c r="K458" s="497">
        <f>ROUND(HLOOKUP($B458,'2-Préparation saisie LV PROD'!$F$1:$Q$86,'2-Préparation saisie LV PROD'!A56,FALSE),0)</f>
        <v>0</v>
      </c>
      <c r="L458" t="str">
        <f>VLOOKUP(C458,Capacité!C:L,10,FALSE)</f>
        <v>Remise Reclainville</v>
      </c>
    </row>
    <row r="459" spans="1:12">
      <c r="A459" t="s">
        <v>505</v>
      </c>
      <c r="B459" t="str">
        <f t="shared" si="71"/>
        <v>B22_06</v>
      </c>
      <c r="C459" s="323" t="str">
        <f t="shared" si="73"/>
        <v>E6150</v>
      </c>
      <c r="D459" t="str">
        <f t="shared" si="75"/>
        <v>NO_DATAVIEWS</v>
      </c>
      <c r="E459" s="62" t="str">
        <f t="shared" si="75"/>
        <v>NO_DEPARTMENTS</v>
      </c>
      <c r="F459" t="s">
        <v>506</v>
      </c>
      <c r="G459" t="s">
        <v>507</v>
      </c>
      <c r="H459" t="s">
        <v>508</v>
      </c>
      <c r="I459" t="s">
        <v>509</v>
      </c>
      <c r="J459" t="s">
        <v>589</v>
      </c>
      <c r="K459" s="497">
        <f>ROUND(HLOOKUP($B459,'2-Préparation saisie LV PROD'!$F$1:$Q$86,'2-Préparation saisie LV PROD'!A57,FALSE),0)</f>
        <v>906942</v>
      </c>
      <c r="L459" t="str">
        <f>VLOOKUP(C459,Capacité!C:L,10,FALSE)</f>
        <v>Fierville</v>
      </c>
    </row>
    <row r="460" spans="1:12">
      <c r="A460" t="s">
        <v>505</v>
      </c>
      <c r="B460" t="str">
        <f t="shared" si="71"/>
        <v>B22_06</v>
      </c>
      <c r="C460" s="323" t="str">
        <f t="shared" si="73"/>
        <v>E6340</v>
      </c>
      <c r="D460" t="str">
        <f t="shared" si="75"/>
        <v>NO_DATAVIEWS</v>
      </c>
      <c r="E460" s="62" t="str">
        <f t="shared" si="75"/>
        <v>NO_DEPARTMENTS</v>
      </c>
      <c r="F460" t="s">
        <v>506</v>
      </c>
      <c r="G460" t="s">
        <v>507</v>
      </c>
      <c r="H460" t="s">
        <v>508</v>
      </c>
      <c r="I460" t="s">
        <v>509</v>
      </c>
      <c r="J460" t="s">
        <v>589</v>
      </c>
      <c r="K460" s="497">
        <f>ROUND(HLOOKUP($B460,'2-Préparation saisie LV PROD'!$F$1:$Q$86,'2-Préparation saisie LV PROD'!A58,FALSE),0)</f>
        <v>1470449</v>
      </c>
      <c r="L460" t="str">
        <f>VLOOKUP(C460,Capacité!C:L,10,FALSE)</f>
        <v>Plaine de Beaunay</v>
      </c>
    </row>
    <row r="461" spans="1:12">
      <c r="A461" t="s">
        <v>505</v>
      </c>
      <c r="B461" t="str">
        <f t="shared" si="71"/>
        <v>B22_06</v>
      </c>
      <c r="C461" s="323" t="str">
        <f t="shared" si="73"/>
        <v>E6370</v>
      </c>
      <c r="D461" t="str">
        <f t="shared" si="75"/>
        <v>NO_DATAVIEWS</v>
      </c>
      <c r="E461" s="62" t="str">
        <f t="shared" si="75"/>
        <v>NO_DEPARTMENTS</v>
      </c>
      <c r="F461" t="s">
        <v>506</v>
      </c>
      <c r="G461" t="s">
        <v>507</v>
      </c>
      <c r="H461" t="s">
        <v>508</v>
      </c>
      <c r="I461" t="s">
        <v>509</v>
      </c>
      <c r="J461" t="s">
        <v>589</v>
      </c>
      <c r="K461" s="497">
        <f>ROUND(HLOOKUP($B461,'2-Préparation saisie LV PROD'!$F$1:$Q$86,'2-Préparation saisie LV PROD'!A59,FALSE),0)</f>
        <v>2021724</v>
      </c>
      <c r="L461" t="str">
        <f>VLOOKUP(C461,Capacité!C:L,10,FALSE)</f>
        <v>Val au Moines</v>
      </c>
    </row>
    <row r="462" spans="1:12">
      <c r="A462" t="s">
        <v>505</v>
      </c>
      <c r="B462" t="str">
        <f t="shared" si="71"/>
        <v>B22_06</v>
      </c>
      <c r="C462" s="323" t="str">
        <f t="shared" si="73"/>
        <v>E6250</v>
      </c>
      <c r="D462" t="str">
        <f t="shared" si="75"/>
        <v>NO_DATAVIEWS</v>
      </c>
      <c r="E462" s="62" t="str">
        <f t="shared" si="75"/>
        <v>NO_DEPARTMENTS</v>
      </c>
      <c r="F462" t="s">
        <v>506</v>
      </c>
      <c r="G462" t="s">
        <v>507</v>
      </c>
      <c r="H462" t="s">
        <v>508</v>
      </c>
      <c r="I462" t="s">
        <v>509</v>
      </c>
      <c r="J462" t="s">
        <v>589</v>
      </c>
      <c r="K462" s="497">
        <f>ROUND(HLOOKUP($B462,'2-Préparation saisie LV PROD'!$F$1:$Q$86,'2-Préparation saisie LV PROD'!A60,FALSE),0)</f>
        <v>0</v>
      </c>
      <c r="L462" t="str">
        <f>VLOOKUP(C462,Capacité!C:L,10,FALSE)</f>
        <v>Bougainville</v>
      </c>
    </row>
    <row r="463" spans="1:12">
      <c r="A463" t="s">
        <v>505</v>
      </c>
      <c r="B463" t="str">
        <f t="shared" si="71"/>
        <v>B22_06</v>
      </c>
      <c r="C463" s="323" t="str">
        <f t="shared" si="73"/>
        <v>E6260</v>
      </c>
      <c r="D463" t="str">
        <f t="shared" si="75"/>
        <v>NO_DATAVIEWS</v>
      </c>
      <c r="E463" s="62" t="str">
        <f t="shared" si="75"/>
        <v>NO_DEPARTMENTS</v>
      </c>
      <c r="F463" t="s">
        <v>506</v>
      </c>
      <c r="G463" t="s">
        <v>507</v>
      </c>
      <c r="H463" t="s">
        <v>508</v>
      </c>
      <c r="I463" t="s">
        <v>509</v>
      </c>
      <c r="J463" t="s">
        <v>589</v>
      </c>
      <c r="K463" s="497">
        <f>ROUND(HLOOKUP($B463,'2-Préparation saisie LV PROD'!$F$1:$Q$86,'2-Préparation saisie LV PROD'!A61,FALSE),0)</f>
        <v>1186282</v>
      </c>
      <c r="L463" t="str">
        <f>VLOOKUP(C463,Capacité!C:L,10,FALSE)</f>
        <v>Saint André</v>
      </c>
    </row>
    <row r="464" spans="1:12">
      <c r="A464" t="s">
        <v>505</v>
      </c>
      <c r="B464" t="str">
        <f t="shared" si="71"/>
        <v>B22_06</v>
      </c>
      <c r="C464" s="323" t="str">
        <f t="shared" si="73"/>
        <v>E6120</v>
      </c>
      <c r="D464" t="str">
        <f t="shared" si="75"/>
        <v>NO_DATAVIEWS</v>
      </c>
      <c r="E464" s="62" t="str">
        <f t="shared" si="75"/>
        <v>NO_DEPARTMENTS</v>
      </c>
      <c r="F464" t="s">
        <v>506</v>
      </c>
      <c r="G464" t="s">
        <v>507</v>
      </c>
      <c r="H464" t="s">
        <v>508</v>
      </c>
      <c r="I464" t="s">
        <v>509</v>
      </c>
      <c r="J464" t="s">
        <v>589</v>
      </c>
      <c r="K464" s="497">
        <f>ROUND(HLOOKUP($B464,'2-Préparation saisie LV PROD'!$F$1:$Q$86,'2-Préparation saisie LV PROD'!A62,FALSE),0)</f>
        <v>643596</v>
      </c>
      <c r="L464" t="str">
        <f>VLOOKUP(C464,Capacité!C:L,10,FALSE)</f>
        <v>Fond de la Plaine</v>
      </c>
    </row>
    <row r="465" spans="1:12">
      <c r="A465" t="s">
        <v>505</v>
      </c>
      <c r="B465" t="str">
        <f t="shared" si="71"/>
        <v>B22_06</v>
      </c>
      <c r="C465" s="323" t="str">
        <f t="shared" si="73"/>
        <v>E6130</v>
      </c>
      <c r="D465" t="str">
        <f t="shared" si="75"/>
        <v>NO_DATAVIEWS</v>
      </c>
      <c r="E465" s="62" t="str">
        <f t="shared" si="75"/>
        <v>NO_DEPARTMENTS</v>
      </c>
      <c r="F465" t="s">
        <v>506</v>
      </c>
      <c r="G465" t="s">
        <v>507</v>
      </c>
      <c r="H465" t="s">
        <v>508</v>
      </c>
      <c r="I465" t="s">
        <v>509</v>
      </c>
      <c r="J465" t="s">
        <v>589</v>
      </c>
      <c r="K465" s="497">
        <f>ROUND(HLOOKUP($B465,'2-Préparation saisie LV PROD'!$F$1:$Q$86,'2-Préparation saisie LV PROD'!A63,FALSE),0)</f>
        <v>1205362</v>
      </c>
      <c r="L465" t="str">
        <f>VLOOKUP(C465,Capacité!C:L,10,FALSE)</f>
        <v>Bassigny</v>
      </c>
    </row>
    <row r="466" spans="1:12">
      <c r="A466" t="s">
        <v>505</v>
      </c>
      <c r="B466" t="str">
        <f t="shared" si="71"/>
        <v>B22_06</v>
      </c>
      <c r="C466" s="323" t="str">
        <f t="shared" si="73"/>
        <v>E6210</v>
      </c>
      <c r="D466" t="str">
        <f t="shared" si="75"/>
        <v>NO_DATAVIEWS</v>
      </c>
      <c r="E466" s="62" t="str">
        <f t="shared" si="75"/>
        <v>NO_DEPARTMENTS</v>
      </c>
      <c r="F466" t="s">
        <v>506</v>
      </c>
      <c r="G466" t="s">
        <v>507</v>
      </c>
      <c r="H466" t="s">
        <v>508</v>
      </c>
      <c r="I466" t="s">
        <v>509</v>
      </c>
      <c r="J466" t="s">
        <v>589</v>
      </c>
      <c r="K466" s="497">
        <f>ROUND(HLOOKUP($B466,'2-Préparation saisie LV PROD'!$F$1:$Q$86,'2-Préparation saisie LV PROD'!A64,FALSE),0)</f>
        <v>844561</v>
      </c>
      <c r="L466" t="str">
        <f>VLOOKUP(C466,Capacité!C:L,10,FALSE)</f>
        <v>Les Clérimois</v>
      </c>
    </row>
    <row r="467" spans="1:12">
      <c r="A467" t="s">
        <v>505</v>
      </c>
      <c r="B467" t="str">
        <f t="shared" si="71"/>
        <v>B22_06</v>
      </c>
      <c r="C467" s="323" t="str">
        <f t="shared" si="73"/>
        <v>E6160</v>
      </c>
      <c r="D467" t="str">
        <f t="shared" si="75"/>
        <v>NO_DATAVIEWS</v>
      </c>
      <c r="E467" s="62" t="str">
        <f t="shared" si="75"/>
        <v>NO_DEPARTMENTS</v>
      </c>
      <c r="F467" t="s">
        <v>506</v>
      </c>
      <c r="G467" t="s">
        <v>507</v>
      </c>
      <c r="H467" t="s">
        <v>508</v>
      </c>
      <c r="I467" t="s">
        <v>509</v>
      </c>
      <c r="J467" t="s">
        <v>589</v>
      </c>
      <c r="K467" s="497">
        <f>ROUND(HLOOKUP($B467,'2-Préparation saisie LV PROD'!$F$1:$Q$86,'2-Préparation saisie LV PROD'!A65,FALSE),0)</f>
        <v>1121294</v>
      </c>
      <c r="L467" t="str">
        <f>VLOOKUP(C467,Capacité!C:L,10,FALSE)</f>
        <v>Plateau de Langres</v>
      </c>
    </row>
    <row r="468" spans="1:12">
      <c r="A468" t="s">
        <v>505</v>
      </c>
      <c r="B468" t="str">
        <f t="shared" si="71"/>
        <v>B22_06</v>
      </c>
      <c r="C468" s="323" t="str">
        <f t="shared" si="73"/>
        <v>E6170</v>
      </c>
      <c r="D468" t="str">
        <f t="shared" si="75"/>
        <v>NO_DATAVIEWS</v>
      </c>
      <c r="E468" s="62" t="str">
        <f t="shared" si="75"/>
        <v>NO_DEPARTMENTS</v>
      </c>
      <c r="F468" t="s">
        <v>506</v>
      </c>
      <c r="G468" t="s">
        <v>507</v>
      </c>
      <c r="H468" t="s">
        <v>508</v>
      </c>
      <c r="I468" t="s">
        <v>509</v>
      </c>
      <c r="J468" t="s">
        <v>589</v>
      </c>
      <c r="K468" s="497">
        <f>ROUND(HLOOKUP($B468,'2-Préparation saisie LV PROD'!$F$1:$Q$86,'2-Préparation saisie LV PROD'!A66,FALSE),0)</f>
        <v>910385</v>
      </c>
      <c r="L468" t="str">
        <f>VLOOKUP(C468,Capacité!C:L,10,FALSE)</f>
        <v>Les Moulins de Boulay</v>
      </c>
    </row>
    <row r="469" spans="1:12">
      <c r="A469" t="s">
        <v>505</v>
      </c>
      <c r="B469" t="str">
        <f t="shared" si="71"/>
        <v>B22_06</v>
      </c>
      <c r="C469" s="323" t="str">
        <f t="shared" si="73"/>
        <v>E6330</v>
      </c>
      <c r="D469" t="str">
        <f t="shared" si="75"/>
        <v>NO_DATAVIEWS</v>
      </c>
      <c r="E469" s="62" t="str">
        <f t="shared" si="75"/>
        <v>NO_DEPARTMENTS</v>
      </c>
      <c r="F469" t="s">
        <v>506</v>
      </c>
      <c r="G469" t="s">
        <v>507</v>
      </c>
      <c r="H469" t="s">
        <v>508</v>
      </c>
      <c r="I469" t="s">
        <v>509</v>
      </c>
      <c r="J469" t="s">
        <v>589</v>
      </c>
      <c r="K469" s="497">
        <f>ROUND(HLOOKUP($B469,'2-Préparation saisie LV PROD'!$F$1:$Q$86,'2-Préparation saisie LV PROD'!A67,FALSE),0)</f>
        <v>1207128</v>
      </c>
      <c r="L469" t="str">
        <f>VLOOKUP(C469,Capacité!C:L,10,FALSE)</f>
        <v>Morlange</v>
      </c>
    </row>
    <row r="470" spans="1:12">
      <c r="A470" t="s">
        <v>505</v>
      </c>
      <c r="B470" t="str">
        <f t="shared" si="71"/>
        <v>B22_06</v>
      </c>
      <c r="C470" s="323" t="str">
        <f t="shared" si="73"/>
        <v>E6140</v>
      </c>
      <c r="D470" t="str">
        <f t="shared" si="75"/>
        <v>NO_DATAVIEWS</v>
      </c>
      <c r="E470" s="62" t="str">
        <f t="shared" si="75"/>
        <v>NO_DEPARTMENTS</v>
      </c>
      <c r="F470" t="s">
        <v>506</v>
      </c>
      <c r="G470" t="s">
        <v>507</v>
      </c>
      <c r="H470" t="s">
        <v>508</v>
      </c>
      <c r="I470" t="s">
        <v>509</v>
      </c>
      <c r="J470" t="s">
        <v>589</v>
      </c>
      <c r="K470" s="497">
        <f>ROUND(HLOOKUP($B470,'2-Préparation saisie LV PROD'!$F$1:$Q$86,'2-Préparation saisie LV PROD'!A68,FALSE),0)</f>
        <v>1217706</v>
      </c>
      <c r="L470" t="str">
        <f>VLOOKUP(C470,Capacité!C:L,10,FALSE)</f>
        <v>Renardières mont de Bezard</v>
      </c>
    </row>
    <row r="471" spans="1:12">
      <c r="A471" t="s">
        <v>505</v>
      </c>
      <c r="B471" t="str">
        <f t="shared" si="71"/>
        <v>B22_06</v>
      </c>
      <c r="C471" s="323" t="str">
        <f t="shared" ref="C471:C481" si="76">C390</f>
        <v>E6350</v>
      </c>
      <c r="D471" t="str">
        <f t="shared" si="75"/>
        <v>NO_DATAVIEWS</v>
      </c>
      <c r="E471" s="62" t="str">
        <f t="shared" si="75"/>
        <v>NO_DEPARTMENTS</v>
      </c>
      <c r="F471" t="s">
        <v>506</v>
      </c>
      <c r="G471" t="s">
        <v>507</v>
      </c>
      <c r="H471" t="s">
        <v>508</v>
      </c>
      <c r="I471" t="s">
        <v>509</v>
      </c>
      <c r="J471" t="s">
        <v>589</v>
      </c>
      <c r="K471" s="497">
        <f>ROUND(HLOOKUP($B471,'2-Préparation saisie LV PROD'!$F$1:$Q$86,'2-Préparation saisie LV PROD'!A69,FALSE),0)</f>
        <v>1223694</v>
      </c>
      <c r="L471" t="str">
        <f>VLOOKUP(C471,Capacité!C:L,10,FALSE)</f>
        <v>Zondrange</v>
      </c>
    </row>
    <row r="472" spans="1:12">
      <c r="A472" t="s">
        <v>505</v>
      </c>
      <c r="B472" t="str">
        <f t="shared" si="71"/>
        <v>B22_06</v>
      </c>
      <c r="C472" s="323" t="str">
        <f t="shared" si="76"/>
        <v>E6360</v>
      </c>
      <c r="D472" t="str">
        <f t="shared" ref="D472:E493" si="77">D471</f>
        <v>NO_DATAVIEWS</v>
      </c>
      <c r="E472" s="62" t="str">
        <f t="shared" si="77"/>
        <v>NO_DEPARTMENTS</v>
      </c>
      <c r="F472" t="s">
        <v>506</v>
      </c>
      <c r="G472" t="s">
        <v>507</v>
      </c>
      <c r="H472" t="s">
        <v>508</v>
      </c>
      <c r="I472" t="s">
        <v>509</v>
      </c>
      <c r="J472" t="s">
        <v>589</v>
      </c>
      <c r="K472" s="497">
        <f>ROUND(HLOOKUP($B472,'2-Préparation saisie LV PROD'!$F$1:$Q$86,'2-Préparation saisie LV PROD'!A70,FALSE),0)</f>
        <v>1408428</v>
      </c>
      <c r="L472" t="str">
        <f>VLOOKUP(C472,Capacité!C:L,10,FALSE)</f>
        <v xml:space="preserve">Noyers </v>
      </c>
    </row>
    <row r="473" spans="1:12">
      <c r="A473" t="s">
        <v>505</v>
      </c>
      <c r="B473" t="str">
        <f>+$B$407</f>
        <v>B22_06</v>
      </c>
      <c r="C473" s="323" t="str">
        <f t="shared" si="76"/>
        <v>E5550</v>
      </c>
      <c r="D473" t="str">
        <f t="shared" si="77"/>
        <v>NO_DATAVIEWS</v>
      </c>
      <c r="E473" s="62" t="str">
        <f t="shared" si="77"/>
        <v>NO_DEPARTMENTS</v>
      </c>
      <c r="F473" t="s">
        <v>506</v>
      </c>
      <c r="G473" t="s">
        <v>507</v>
      </c>
      <c r="H473" t="s">
        <v>508</v>
      </c>
      <c r="I473" t="s">
        <v>509</v>
      </c>
      <c r="J473" t="s">
        <v>589</v>
      </c>
      <c r="K473" s="497">
        <f>ROUND(HLOOKUP($B473,'2-Préparation saisie LV PROD'!$F$1:$Q$86,'2-Préparation saisie LV PROD'!A71,FALSE),0)</f>
        <v>1663778</v>
      </c>
      <c r="L473" t="str">
        <f>VLOOKUP(C473,Capacité!C:L,10,FALSE)</f>
        <v>Les Cigalettes (Montfort) / Solaire</v>
      </c>
    </row>
    <row r="474" spans="1:12">
      <c r="A474" t="s">
        <v>505</v>
      </c>
      <c r="B474" t="str">
        <f>+$B$407</f>
        <v>B22_06</v>
      </c>
      <c r="C474" s="323" t="str">
        <f t="shared" si="76"/>
        <v>E5250</v>
      </c>
      <c r="D474" t="str">
        <f t="shared" si="77"/>
        <v>NO_DATAVIEWS</v>
      </c>
      <c r="E474" s="62" t="str">
        <f t="shared" si="77"/>
        <v>NO_DEPARTMENTS</v>
      </c>
      <c r="F474" t="s">
        <v>506</v>
      </c>
      <c r="G474" t="s">
        <v>507</v>
      </c>
      <c r="H474" t="s">
        <v>508</v>
      </c>
      <c r="I474" t="s">
        <v>509</v>
      </c>
      <c r="J474" t="s">
        <v>589</v>
      </c>
      <c r="K474" s="497">
        <f>ROUND(HLOOKUP($B474,'2-Préparation saisie LV PROD'!$F$1:$Q$86,'2-Préparation saisie LV PROD'!A72,FALSE),0)</f>
        <v>668992</v>
      </c>
      <c r="L474" t="str">
        <f>VLOOKUP(C474,Capacité!C:L,10,FALSE)</f>
        <v>Avignonet / Solaire</v>
      </c>
    </row>
    <row r="475" spans="1:12">
      <c r="A475" t="s">
        <v>505</v>
      </c>
      <c r="B475" t="str">
        <f t="shared" ref="B475:B487" si="78">+$B$407</f>
        <v>B22_06</v>
      </c>
      <c r="C475" s="323" t="str">
        <f t="shared" si="76"/>
        <v>E6010</v>
      </c>
      <c r="D475" t="str">
        <f t="shared" si="77"/>
        <v>NO_DATAVIEWS</v>
      </c>
      <c r="E475" s="62" t="str">
        <f t="shared" si="77"/>
        <v>NO_DEPARTMENTS</v>
      </c>
      <c r="F475" t="s">
        <v>506</v>
      </c>
      <c r="G475" t="s">
        <v>507</v>
      </c>
      <c r="H475" t="s">
        <v>508</v>
      </c>
      <c r="I475" t="s">
        <v>509</v>
      </c>
      <c r="J475" t="s">
        <v>589</v>
      </c>
      <c r="K475" s="497">
        <f>ROUND(HLOOKUP($B475,'2-Préparation saisie LV PROD'!$F$1:$Q$86,'2-Préparation saisie LV PROD'!A74,FALSE),0)</f>
        <v>6138010</v>
      </c>
      <c r="L475" t="str">
        <f>VLOOKUP(C475,Capacité!C:L,10,FALSE)</f>
        <v>CDC-R</v>
      </c>
    </row>
    <row r="476" spans="1:12">
      <c r="A476" t="s">
        <v>505</v>
      </c>
      <c r="B476" t="str">
        <f t="shared" si="78"/>
        <v>B22_06</v>
      </c>
      <c r="C476" s="323" t="str">
        <f t="shared" si="76"/>
        <v>E6280</v>
      </c>
      <c r="D476" t="str">
        <f t="shared" si="77"/>
        <v>NO_DATAVIEWS</v>
      </c>
      <c r="E476" s="62" t="str">
        <f t="shared" si="77"/>
        <v>NO_DEPARTMENTS</v>
      </c>
      <c r="F476" t="s">
        <v>506</v>
      </c>
      <c r="G476" t="s">
        <v>507</v>
      </c>
      <c r="H476" t="s">
        <v>508</v>
      </c>
      <c r="I476" t="s">
        <v>509</v>
      </c>
      <c r="J476" t="s">
        <v>589</v>
      </c>
      <c r="K476" s="497">
        <f>ROUND(HLOOKUP($B476,'2-Préparation saisie LV PROD'!$F$1:$Q$86,'2-Préparation saisie LV PROD'!A75,FALSE),0)</f>
        <v>1850909</v>
      </c>
      <c r="L476" t="str">
        <f>VLOOKUP(C476,Capacité!C:L,10,FALSE)</f>
        <v>BPF</v>
      </c>
    </row>
    <row r="477" spans="1:12">
      <c r="A477" t="s">
        <v>505</v>
      </c>
      <c r="B477" t="str">
        <f t="shared" si="78"/>
        <v>B22_06</v>
      </c>
      <c r="C477" s="323" t="str">
        <f t="shared" si="76"/>
        <v>E5930</v>
      </c>
      <c r="D477" t="str">
        <f t="shared" si="77"/>
        <v>NO_DATAVIEWS</v>
      </c>
      <c r="E477" s="62" t="str">
        <f t="shared" si="77"/>
        <v>NO_DEPARTMENTS</v>
      </c>
      <c r="F477" t="s">
        <v>506</v>
      </c>
      <c r="G477" t="s">
        <v>507</v>
      </c>
      <c r="H477" t="s">
        <v>508</v>
      </c>
      <c r="I477" t="s">
        <v>509</v>
      </c>
      <c r="J477" t="s">
        <v>589</v>
      </c>
      <c r="K477" s="497">
        <f>ROUND(HLOOKUP($B477,'2-Préparation saisie LV PROD'!$F$1:$Q$86,'2-Préparation saisie LV PROD'!A76,FALSE),0)</f>
        <v>2596815</v>
      </c>
      <c r="L477" t="str">
        <f>VLOOKUP(C477,Capacité!C:L,10,FALSE)</f>
        <v>XSB</v>
      </c>
    </row>
    <row r="478" spans="1:12" s="4" customFormat="1">
      <c r="A478" s="4" t="s">
        <v>505</v>
      </c>
      <c r="B478" s="4" t="str">
        <f>+$B$407</f>
        <v>B22_06</v>
      </c>
      <c r="C478" s="323" t="str">
        <f t="shared" si="76"/>
        <v>E5880</v>
      </c>
      <c r="D478" t="str">
        <f t="shared" si="77"/>
        <v>NO_DATAVIEWS</v>
      </c>
      <c r="E478" s="62" t="str">
        <f t="shared" si="77"/>
        <v>NO_DEPARTMENTS</v>
      </c>
      <c r="F478" s="4" t="s">
        <v>506</v>
      </c>
      <c r="G478" s="4" t="s">
        <v>507</v>
      </c>
      <c r="H478" s="4" t="s">
        <v>508</v>
      </c>
      <c r="I478" s="4" t="s">
        <v>509</v>
      </c>
      <c r="J478" s="4" t="s">
        <v>589</v>
      </c>
      <c r="K478" s="497">
        <f>ROUND(HLOOKUP($B478,'2-Préparation saisie LV PROD'!$F$1:$Q$86,'2-Préparation saisie LV PROD'!A77,FALSE),0)</f>
        <v>2401260</v>
      </c>
      <c r="L478" t="str">
        <f>VLOOKUP(C478,Capacité!C:L,10,FALSE)</f>
        <v>Extension plaine d'Escrebieux</v>
      </c>
    </row>
    <row r="479" spans="1:12" s="4" customFormat="1">
      <c r="A479" s="4" t="s">
        <v>505</v>
      </c>
      <c r="B479" s="4" t="str">
        <f t="shared" si="78"/>
        <v>B22_06</v>
      </c>
      <c r="C479" s="323" t="str">
        <f t="shared" si="76"/>
        <v>E6720</v>
      </c>
      <c r="D479" t="str">
        <f t="shared" si="77"/>
        <v>NO_DATAVIEWS</v>
      </c>
      <c r="E479" s="62" t="str">
        <f t="shared" si="77"/>
        <v>NO_DEPARTMENTS</v>
      </c>
      <c r="F479" s="4" t="s">
        <v>506</v>
      </c>
      <c r="G479" s="4" t="s">
        <v>507</v>
      </c>
      <c r="H479" s="4" t="s">
        <v>508</v>
      </c>
      <c r="I479" s="4" t="s">
        <v>509</v>
      </c>
      <c r="J479" s="4" t="s">
        <v>589</v>
      </c>
      <c r="K479" s="497">
        <f>ROUND(HLOOKUP($B479,'2-Préparation saisie LV PROD'!$F$1:$Q$86,'2-Préparation saisie LV PROD'!A78,FALSE),0)</f>
        <v>2128011</v>
      </c>
      <c r="L479" t="str">
        <f>VLOOKUP(C479,Capacité!C:L,10,FALSE)</f>
        <v xml:space="preserve">St Christophe - Clé des champs / Solaire </v>
      </c>
    </row>
    <row r="480" spans="1:12" s="4" customFormat="1">
      <c r="A480" s="4" t="s">
        <v>505</v>
      </c>
      <c r="B480" s="4" t="str">
        <f t="shared" si="78"/>
        <v>B22_06</v>
      </c>
      <c r="C480" s="323" t="str">
        <f t="shared" si="76"/>
        <v>E6040</v>
      </c>
      <c r="D480" t="str">
        <f t="shared" si="77"/>
        <v>NO_DATAVIEWS</v>
      </c>
      <c r="E480" s="62" t="str">
        <f t="shared" si="77"/>
        <v>NO_DEPARTMENTS</v>
      </c>
      <c r="F480" s="4" t="s">
        <v>506</v>
      </c>
      <c r="G480" s="4" t="s">
        <v>507</v>
      </c>
      <c r="H480" s="4" t="s">
        <v>508</v>
      </c>
      <c r="I480" s="4" t="s">
        <v>509</v>
      </c>
      <c r="J480" s="4" t="s">
        <v>589</v>
      </c>
      <c r="K480" s="497">
        <f>ROUND(HLOOKUP($B480,'2-Préparation saisie LV PROD'!$F$1:$Q$86,'2-Préparation saisie LV PROD'!A79,FALSE),0)</f>
        <v>2776210</v>
      </c>
      <c r="L480" t="str">
        <f>VLOOKUP(C480,Capacité!C:L,10,FALSE)</f>
        <v>Peyrolles / Solaire</v>
      </c>
    </row>
    <row r="481" spans="1:12" s="4" customFormat="1">
      <c r="A481" s="4" t="s">
        <v>505</v>
      </c>
      <c r="B481" s="4" t="str">
        <f t="shared" si="78"/>
        <v>B22_06</v>
      </c>
      <c r="C481" s="323" t="str">
        <f t="shared" si="76"/>
        <v>E6310</v>
      </c>
      <c r="D481" t="str">
        <f t="shared" si="77"/>
        <v>NO_DATAVIEWS</v>
      </c>
      <c r="E481" s="62" t="str">
        <f t="shared" si="77"/>
        <v>NO_DEPARTMENTS</v>
      </c>
      <c r="F481" s="4" t="s">
        <v>506</v>
      </c>
      <c r="G481" s="4" t="s">
        <v>507</v>
      </c>
      <c r="H481" s="4" t="s">
        <v>508</v>
      </c>
      <c r="I481" s="4" t="s">
        <v>509</v>
      </c>
      <c r="J481" s="4" t="s">
        <v>589</v>
      </c>
      <c r="K481" s="497">
        <f>ROUND(HLOOKUP($B481,'2-Préparation saisie LV PROD'!$F$1:$Q$86,'2-Préparation saisie LV PROD'!A80,FALSE),0)</f>
        <v>1801963</v>
      </c>
      <c r="L481" t="str">
        <f>VLOOKUP(C481,Capacité!C:L,10,FALSE)</f>
        <v>Bazougeais</v>
      </c>
    </row>
    <row r="482" spans="1:12" s="4" customFormat="1">
      <c r="A482" s="4" t="s">
        <v>505</v>
      </c>
      <c r="B482" s="4" t="str">
        <f t="shared" si="78"/>
        <v>B22_06</v>
      </c>
      <c r="C482" s="323" t="str">
        <f t="shared" ref="C482:C487" si="79">C401</f>
        <v>E6571</v>
      </c>
      <c r="D482" t="str">
        <f t="shared" ref="D482:E482" si="80">D481</f>
        <v>NO_DATAVIEWS</v>
      </c>
      <c r="E482" s="62" t="str">
        <f t="shared" si="80"/>
        <v>NO_DEPARTMENTS</v>
      </c>
      <c r="F482" s="4" t="s">
        <v>506</v>
      </c>
      <c r="G482" s="4" t="s">
        <v>507</v>
      </c>
      <c r="H482" s="4" t="s">
        <v>508</v>
      </c>
      <c r="I482" s="4" t="s">
        <v>509</v>
      </c>
      <c r="J482" s="4" t="s">
        <v>589</v>
      </c>
      <c r="K482" s="497">
        <f>ROUND(HLOOKUP($B482,'2-Préparation saisie LV PROD'!$F$1:$Q$86,'2-Préparation saisie LV PROD'!A81,FALSE),0)</f>
        <v>0</v>
      </c>
      <c r="L482" t="s">
        <v>3538</v>
      </c>
    </row>
    <row r="483" spans="1:12" s="4" customFormat="1">
      <c r="A483" s="4" t="s">
        <v>505</v>
      </c>
      <c r="B483" s="4" t="str">
        <f t="shared" si="78"/>
        <v>B22_06</v>
      </c>
      <c r="C483" s="323" t="str">
        <f t="shared" si="79"/>
        <v>E5890</v>
      </c>
      <c r="D483" t="str">
        <f t="shared" ref="D483:E483" si="81">D482</f>
        <v>NO_DATAVIEWS</v>
      </c>
      <c r="E483" s="62" t="str">
        <f t="shared" si="81"/>
        <v>NO_DEPARTMENTS</v>
      </c>
      <c r="F483" s="4" t="s">
        <v>506</v>
      </c>
      <c r="G483" s="4" t="s">
        <v>507</v>
      </c>
      <c r="H483" s="4" t="s">
        <v>508</v>
      </c>
      <c r="I483" s="4" t="s">
        <v>509</v>
      </c>
      <c r="J483" s="4" t="s">
        <v>589</v>
      </c>
      <c r="K483" s="497">
        <f>ROUND(HLOOKUP($B483,'2-Préparation saisie LV PROD'!$F$1:$Q$86,'2-Préparation saisie LV PROD'!A82,FALSE),0)</f>
        <v>1674151</v>
      </c>
      <c r="L483" t="str">
        <f>VLOOKUP(C483,Capacité!C:L,10,FALSE)</f>
        <v>La Grande Borne</v>
      </c>
    </row>
    <row r="484" spans="1:12" s="4" customFormat="1">
      <c r="A484" s="4" t="s">
        <v>505</v>
      </c>
      <c r="B484" s="4" t="str">
        <f t="shared" si="78"/>
        <v>B22_06</v>
      </c>
      <c r="C484" s="323" t="str">
        <f t="shared" si="79"/>
        <v>E6730</v>
      </c>
      <c r="D484" t="str">
        <f t="shared" ref="D484:E484" si="82">D483</f>
        <v>NO_DATAVIEWS</v>
      </c>
      <c r="E484" s="62" t="str">
        <f t="shared" si="82"/>
        <v>NO_DEPARTMENTS</v>
      </c>
      <c r="F484" s="4" t="s">
        <v>506</v>
      </c>
      <c r="G484" s="4" t="s">
        <v>507</v>
      </c>
      <c r="H484" s="4" t="s">
        <v>508</v>
      </c>
      <c r="I484" s="4" t="s">
        <v>509</v>
      </c>
      <c r="J484" s="4" t="s">
        <v>589</v>
      </c>
      <c r="K484" s="497">
        <f>ROUND(HLOOKUP($B484,'2-Préparation saisie LV PROD'!$F$1:$Q$86,'2-Préparation saisie LV PROD'!A83,FALSE),0)</f>
        <v>0</v>
      </c>
      <c r="L484" t="str">
        <f>VLOOKUP(C484,Capacité!C:L,10,FALSE)</f>
        <v xml:space="preserve">R-EEJ - Evits et Josaphats </v>
      </c>
    </row>
    <row r="485" spans="1:12" s="4" customFormat="1">
      <c r="A485" s="4" t="s">
        <v>505</v>
      </c>
      <c r="B485" s="4" t="str">
        <f t="shared" si="78"/>
        <v>B22_06</v>
      </c>
      <c r="C485" s="323" t="str">
        <f t="shared" si="79"/>
        <v>E6740</v>
      </c>
      <c r="D485" t="str">
        <f t="shared" ref="D485:E485" si="83">D484</f>
        <v>NO_DATAVIEWS</v>
      </c>
      <c r="E485" s="62" t="str">
        <f t="shared" si="83"/>
        <v>NO_DEPARTMENTS</v>
      </c>
      <c r="F485" s="4" t="s">
        <v>506</v>
      </c>
      <c r="G485" s="4" t="s">
        <v>507</v>
      </c>
      <c r="H485" s="4" t="s">
        <v>508</v>
      </c>
      <c r="I485" s="4" t="s">
        <v>509</v>
      </c>
      <c r="J485" s="4" t="s">
        <v>589</v>
      </c>
      <c r="K485" s="497">
        <f>ROUND(HLOOKUP($B485,'2-Préparation saisie LV PROD'!$F$1:$Q$86,'2-Préparation saisie LV PROD'!A84,FALSE),0)</f>
        <v>0</v>
      </c>
      <c r="L485" t="str">
        <f>VLOOKUP(C485,Capacité!C:L,10,FALSE)</f>
        <v>R-RCL - Remise Reclainville</v>
      </c>
    </row>
    <row r="486" spans="1:12" s="4" customFormat="1">
      <c r="A486" s="4" t="s">
        <v>505</v>
      </c>
      <c r="B486" s="4" t="str">
        <f t="shared" si="78"/>
        <v>B22_06</v>
      </c>
      <c r="C486" s="323" t="str">
        <f t="shared" si="79"/>
        <v>E6290</v>
      </c>
      <c r="D486" t="str">
        <f t="shared" ref="D486:E486" si="84">D485</f>
        <v>NO_DATAVIEWS</v>
      </c>
      <c r="E486" s="62" t="str">
        <f t="shared" si="84"/>
        <v>NO_DEPARTMENTS</v>
      </c>
      <c r="F486" s="4" t="s">
        <v>506</v>
      </c>
      <c r="G486" s="4" t="s">
        <v>507</v>
      </c>
      <c r="H486" s="4" t="s">
        <v>508</v>
      </c>
      <c r="I486" s="4" t="s">
        <v>509</v>
      </c>
      <c r="J486" s="4" t="s">
        <v>589</v>
      </c>
      <c r="K486" s="497">
        <f>ROUND(HLOOKUP($B486,'2-Préparation saisie LV PROD'!$F$1:$Q$86,'2-Préparation saisie LV PROD'!A85,FALSE),0)</f>
        <v>3011715</v>
      </c>
      <c r="L486" t="str">
        <f>VLOOKUP(C486,Capacité!C:L,10,FALSE)</f>
        <v>Bois des Fontaines (extension EEJ)</v>
      </c>
    </row>
    <row r="487" spans="1:12" s="4" customFormat="1">
      <c r="A487" s="4" t="s">
        <v>505</v>
      </c>
      <c r="B487" s="4" t="str">
        <f t="shared" si="78"/>
        <v>B22_06</v>
      </c>
      <c r="C487" s="323" t="str">
        <f t="shared" si="79"/>
        <v>E6760</v>
      </c>
      <c r="D487" t="str">
        <f t="shared" ref="D487:E487" si="85">D486</f>
        <v>NO_DATAVIEWS</v>
      </c>
      <c r="E487" s="62" t="str">
        <f t="shared" si="85"/>
        <v>NO_DEPARTMENTS</v>
      </c>
      <c r="F487" s="4" t="s">
        <v>506</v>
      </c>
      <c r="G487" s="4" t="s">
        <v>507</v>
      </c>
      <c r="H487" s="4" t="s">
        <v>508</v>
      </c>
      <c r="I487" s="4" t="s">
        <v>509</v>
      </c>
      <c r="J487" s="4" t="s">
        <v>589</v>
      </c>
      <c r="K487" s="497">
        <f>ROUND(HLOOKUP($B487,'2-Préparation saisie LV PROD'!$F$1:$Q$86,'2-Préparation saisie LV PROD'!A86,FALSE),0)</f>
        <v>0</v>
      </c>
      <c r="L487" t="str">
        <f>VLOOKUP(C487,Capacité!C:L,10,FALSE)</f>
        <v>R-BGV - Bougainville</v>
      </c>
    </row>
    <row r="488" spans="1:12">
      <c r="A488" t="s">
        <v>505</v>
      </c>
      <c r="B488" s="3" t="s">
        <v>3362</v>
      </c>
      <c r="C488" s="323" t="str">
        <f t="shared" ref="C488:C519" si="86">C407</f>
        <v>E5030</v>
      </c>
      <c r="D488" t="str">
        <f>D481</f>
        <v>NO_DATAVIEWS</v>
      </c>
      <c r="E488" s="62" t="str">
        <f>E481</f>
        <v>NO_DEPARTMENTS</v>
      </c>
      <c r="F488" t="s">
        <v>506</v>
      </c>
      <c r="G488" t="s">
        <v>507</v>
      </c>
      <c r="H488" t="s">
        <v>508</v>
      </c>
      <c r="I488" t="s">
        <v>509</v>
      </c>
      <c r="J488" t="s">
        <v>589</v>
      </c>
      <c r="K488" s="497">
        <f>ROUND(HLOOKUP($B488,'2-Préparation saisie LV PROD'!$F$1:$Q$86,'2-Préparation saisie LV PROD'!A5,FALSE),0)</f>
        <v>974265</v>
      </c>
      <c r="L488" t="str">
        <f>VLOOKUP(C488,Capacité!C:L,10,FALSE)</f>
        <v>Avignonet</v>
      </c>
    </row>
    <row r="489" spans="1:12">
      <c r="A489" t="s">
        <v>505</v>
      </c>
      <c r="B489" t="str">
        <f>+$B$488</f>
        <v>B22_07</v>
      </c>
      <c r="C489" s="323" t="str">
        <f t="shared" si="86"/>
        <v>E5040</v>
      </c>
      <c r="D489" t="str">
        <f t="shared" si="77"/>
        <v>NO_DATAVIEWS</v>
      </c>
      <c r="E489" s="62" t="str">
        <f t="shared" si="77"/>
        <v>NO_DEPARTMENTS</v>
      </c>
      <c r="F489" t="s">
        <v>506</v>
      </c>
      <c r="G489" t="s">
        <v>507</v>
      </c>
      <c r="H489" t="s">
        <v>508</v>
      </c>
      <c r="I489" t="s">
        <v>509</v>
      </c>
      <c r="J489" t="s">
        <v>589</v>
      </c>
      <c r="K489" s="497">
        <f>ROUND(HLOOKUP($B489,'2-Préparation saisie LV PROD'!$F$1:$Q$86,'2-Préparation saisie LV PROD'!A6,FALSE),0)</f>
        <v>295718</v>
      </c>
      <c r="L489" t="str">
        <f>VLOOKUP(C489,Capacité!C:L,10,FALSE)</f>
        <v>Chépy</v>
      </c>
    </row>
    <row r="490" spans="1:12">
      <c r="A490" t="s">
        <v>505</v>
      </c>
      <c r="B490" t="str">
        <f t="shared" ref="B490:B553" si="87">+$B$488</f>
        <v>B22_07</v>
      </c>
      <c r="C490" s="323" t="str">
        <f t="shared" si="86"/>
        <v>E5050</v>
      </c>
      <c r="D490" t="str">
        <f t="shared" si="77"/>
        <v>NO_DATAVIEWS</v>
      </c>
      <c r="E490" s="62" t="str">
        <f t="shared" si="77"/>
        <v>NO_DEPARTMENTS</v>
      </c>
      <c r="F490" t="s">
        <v>506</v>
      </c>
      <c r="G490" t="s">
        <v>507</v>
      </c>
      <c r="H490" t="s">
        <v>508</v>
      </c>
      <c r="I490" t="s">
        <v>509</v>
      </c>
      <c r="J490" t="s">
        <v>589</v>
      </c>
      <c r="K490" s="497">
        <f>ROUND(HLOOKUP($B490,'2-Préparation saisie LV PROD'!$F$1:$Q$86,'2-Préparation saisie LV PROD'!A7,FALSE),0)</f>
        <v>904317</v>
      </c>
      <c r="L490" t="str">
        <f>VLOOKUP(C490,Capacité!C:L,10,FALSE)</f>
        <v>Nibas</v>
      </c>
    </row>
    <row r="491" spans="1:12">
      <c r="A491" t="s">
        <v>505</v>
      </c>
      <c r="B491" t="str">
        <f t="shared" si="87"/>
        <v>B22_07</v>
      </c>
      <c r="C491" s="323" t="str">
        <f t="shared" si="86"/>
        <v>E5070</v>
      </c>
      <c r="D491" t="str">
        <f t="shared" si="77"/>
        <v>NO_DATAVIEWS</v>
      </c>
      <c r="E491" s="62" t="str">
        <f t="shared" si="77"/>
        <v>NO_DEPARTMENTS</v>
      </c>
      <c r="F491" t="s">
        <v>506</v>
      </c>
      <c r="G491" t="s">
        <v>507</v>
      </c>
      <c r="H491" t="s">
        <v>508</v>
      </c>
      <c r="I491" t="s">
        <v>509</v>
      </c>
      <c r="J491" t="s">
        <v>589</v>
      </c>
      <c r="K491" s="497">
        <f>ROUND(HLOOKUP($B491,'2-Préparation saisie LV PROD'!$F$1:$Q$86,'2-Préparation saisie LV PROD'!A8,FALSE),0)</f>
        <v>799151</v>
      </c>
      <c r="L491" t="str">
        <f>VLOOKUP(C491,Capacité!C:L,10,FALSE)</f>
        <v>Ally Bessadous</v>
      </c>
    </row>
    <row r="492" spans="1:12">
      <c r="A492" t="s">
        <v>505</v>
      </c>
      <c r="B492" t="str">
        <f t="shared" si="87"/>
        <v>B22_07</v>
      </c>
      <c r="C492" s="323" t="str">
        <f t="shared" si="86"/>
        <v>E5080</v>
      </c>
      <c r="D492" t="str">
        <f t="shared" si="77"/>
        <v>NO_DATAVIEWS</v>
      </c>
      <c r="E492" s="62" t="str">
        <f t="shared" si="77"/>
        <v>NO_DEPARTMENTS</v>
      </c>
      <c r="F492" t="s">
        <v>506</v>
      </c>
      <c r="G492" t="s">
        <v>507</v>
      </c>
      <c r="H492" t="s">
        <v>508</v>
      </c>
      <c r="I492" t="s">
        <v>509</v>
      </c>
      <c r="J492" t="s">
        <v>589</v>
      </c>
      <c r="K492" s="497">
        <f>ROUND(HLOOKUP($B492,'2-Préparation saisie LV PROD'!$F$1:$Q$86,'2-Préparation saisie LV PROD'!A9,FALSE),0)</f>
        <v>532185</v>
      </c>
      <c r="L492" t="str">
        <f>VLOOKUP(C492,Capacité!C:L,10,FALSE)</f>
        <v>Ally Mercoeur</v>
      </c>
    </row>
    <row r="493" spans="1:12">
      <c r="A493" t="s">
        <v>505</v>
      </c>
      <c r="B493" t="str">
        <f t="shared" si="87"/>
        <v>B22_07</v>
      </c>
      <c r="C493" s="323" t="str">
        <f t="shared" si="86"/>
        <v>E5090</v>
      </c>
      <c r="D493" t="str">
        <f t="shared" si="77"/>
        <v>NO_DATAVIEWS</v>
      </c>
      <c r="E493" s="62" t="str">
        <f t="shared" si="77"/>
        <v>NO_DEPARTMENTS</v>
      </c>
      <c r="F493" t="s">
        <v>506</v>
      </c>
      <c r="G493" t="s">
        <v>507</v>
      </c>
      <c r="H493" t="s">
        <v>508</v>
      </c>
      <c r="I493" t="s">
        <v>509</v>
      </c>
      <c r="J493" t="s">
        <v>589</v>
      </c>
      <c r="K493" s="497">
        <f>ROUND(HLOOKUP($B493,'2-Préparation saisie LV PROD'!$F$1:$Q$86,'2-Préparation saisie LV PROD'!A10,FALSE),0)</f>
        <v>691214</v>
      </c>
      <c r="L493" t="str">
        <f>VLOOKUP(C493,Capacité!C:L,10,FALSE)</f>
        <v>Ally Monteil</v>
      </c>
    </row>
    <row r="494" spans="1:12">
      <c r="A494" t="s">
        <v>505</v>
      </c>
      <c r="B494" t="str">
        <f t="shared" si="87"/>
        <v>B22_07</v>
      </c>
      <c r="C494" s="323" t="str">
        <f t="shared" si="86"/>
        <v>E5100</v>
      </c>
      <c r="D494" t="str">
        <f t="shared" ref="D494:E509" si="88">D493</f>
        <v>NO_DATAVIEWS</v>
      </c>
      <c r="E494" s="62" t="str">
        <f t="shared" si="88"/>
        <v>NO_DEPARTMENTS</v>
      </c>
      <c r="F494" t="s">
        <v>506</v>
      </c>
      <c r="G494" t="s">
        <v>507</v>
      </c>
      <c r="H494" t="s">
        <v>508</v>
      </c>
      <c r="I494" t="s">
        <v>509</v>
      </c>
      <c r="J494" t="s">
        <v>589</v>
      </c>
      <c r="K494" s="497">
        <f>ROUND(HLOOKUP($B494,'2-Préparation saisie LV PROD'!$F$1:$Q$86,'2-Préparation saisie LV PROD'!A11,FALSE),0)</f>
        <v>836764</v>
      </c>
      <c r="L494" t="str">
        <f>VLOOKUP(C494,Capacité!C:L,10,FALSE)</f>
        <v>Ally Verseilles</v>
      </c>
    </row>
    <row r="495" spans="1:12">
      <c r="A495" t="s">
        <v>505</v>
      </c>
      <c r="B495" t="str">
        <f t="shared" si="87"/>
        <v>B22_07</v>
      </c>
      <c r="C495" s="323" t="str">
        <f t="shared" si="86"/>
        <v>E5110</v>
      </c>
      <c r="D495" t="str">
        <f t="shared" si="88"/>
        <v>NO_DATAVIEWS</v>
      </c>
      <c r="E495" s="62" t="str">
        <f t="shared" si="88"/>
        <v>NO_DEPARTMENTS</v>
      </c>
      <c r="F495" t="s">
        <v>506</v>
      </c>
      <c r="G495" t="s">
        <v>507</v>
      </c>
      <c r="H495" t="s">
        <v>508</v>
      </c>
      <c r="I495" t="s">
        <v>509</v>
      </c>
      <c r="J495" t="s">
        <v>589</v>
      </c>
      <c r="K495" s="497">
        <f>ROUND(HLOOKUP($B495,'2-Préparation saisie LV PROD'!$F$1:$Q$86,'2-Préparation saisie LV PROD'!A12,FALSE),0)</f>
        <v>0</v>
      </c>
      <c r="L495" t="str">
        <f>VLOOKUP(C495,Capacité!C:L,10,FALSE)</f>
        <v>Cham Longe Bel Air</v>
      </c>
    </row>
    <row r="496" spans="1:12">
      <c r="A496" t="s">
        <v>505</v>
      </c>
      <c r="B496" t="str">
        <f t="shared" si="87"/>
        <v>B22_07</v>
      </c>
      <c r="C496" s="323" t="str">
        <f t="shared" si="86"/>
        <v>E5120</v>
      </c>
      <c r="D496" t="str">
        <f t="shared" si="88"/>
        <v>NO_DATAVIEWS</v>
      </c>
      <c r="E496" s="62" t="str">
        <f t="shared" si="88"/>
        <v>NO_DEPARTMENTS</v>
      </c>
      <c r="F496" t="s">
        <v>506</v>
      </c>
      <c r="G496" t="s">
        <v>507</v>
      </c>
      <c r="H496" t="s">
        <v>508</v>
      </c>
      <c r="I496" t="s">
        <v>509</v>
      </c>
      <c r="J496" t="s">
        <v>589</v>
      </c>
      <c r="K496" s="497">
        <f>ROUND(HLOOKUP($B496,'2-Préparation saisie LV PROD'!$F$1:$Q$86,'2-Préparation saisie LV PROD'!A13,FALSE),0)</f>
        <v>0</v>
      </c>
      <c r="L496" t="str">
        <f>VLOOKUP(C496,Capacité!C:L,10,FALSE)</f>
        <v>Cham Longe Le Courbil (Eole Cevennes)</v>
      </c>
    </row>
    <row r="497" spans="1:12">
      <c r="A497" t="s">
        <v>505</v>
      </c>
      <c r="B497" t="str">
        <f t="shared" si="87"/>
        <v>B22_07</v>
      </c>
      <c r="C497" s="323" t="str">
        <f t="shared" si="86"/>
        <v>E5150</v>
      </c>
      <c r="D497" t="str">
        <f t="shared" si="88"/>
        <v>NO_DATAVIEWS</v>
      </c>
      <c r="E497" s="62" t="str">
        <f t="shared" si="88"/>
        <v>NO_DEPARTMENTS</v>
      </c>
      <c r="F497" t="s">
        <v>506</v>
      </c>
      <c r="G497" t="s">
        <v>507</v>
      </c>
      <c r="H497" t="s">
        <v>508</v>
      </c>
      <c r="I497" t="s">
        <v>509</v>
      </c>
      <c r="J497" t="s">
        <v>589</v>
      </c>
      <c r="K497" s="497">
        <f>ROUND(HLOOKUP($B497,'2-Préparation saisie LV PROD'!$F$1:$Q$86,'2-Préparation saisie LV PROD'!A14,FALSE),0)</f>
        <v>760139</v>
      </c>
      <c r="L497" t="str">
        <f>VLOOKUP(C497,Capacité!C:L,10,FALSE)</f>
        <v>Cham Longe II</v>
      </c>
    </row>
    <row r="498" spans="1:12">
      <c r="A498" t="s">
        <v>505</v>
      </c>
      <c r="B498" t="str">
        <f t="shared" si="87"/>
        <v>B22_07</v>
      </c>
      <c r="C498" s="323" t="str">
        <f t="shared" si="86"/>
        <v>E5130</v>
      </c>
      <c r="D498" t="str">
        <f t="shared" si="88"/>
        <v>NO_DATAVIEWS</v>
      </c>
      <c r="E498" s="62" t="str">
        <f t="shared" si="88"/>
        <v>NO_DEPARTMENTS</v>
      </c>
      <c r="F498" t="s">
        <v>506</v>
      </c>
      <c r="G498" t="s">
        <v>507</v>
      </c>
      <c r="H498" t="s">
        <v>508</v>
      </c>
      <c r="I498" t="s">
        <v>509</v>
      </c>
      <c r="J498" t="s">
        <v>589</v>
      </c>
      <c r="K498" s="497">
        <f>ROUND(HLOOKUP($B498,'2-Préparation saisie LV PROD'!$F$1:$Q$86,'2-Préparation saisie LV PROD'!A15,FALSE),0)</f>
        <v>996420</v>
      </c>
      <c r="L498" t="str">
        <f>VLOOKUP(C498,Capacité!C:L,10,FALSE)</f>
        <v>Plouguin</v>
      </c>
    </row>
    <row r="499" spans="1:12">
      <c r="A499" t="s">
        <v>505</v>
      </c>
      <c r="B499" t="str">
        <f t="shared" si="87"/>
        <v>B22_07</v>
      </c>
      <c r="C499" s="323" t="str">
        <f t="shared" si="86"/>
        <v>E5140</v>
      </c>
      <c r="D499" t="str">
        <f t="shared" si="88"/>
        <v>NO_DATAVIEWS</v>
      </c>
      <c r="E499" s="62" t="str">
        <f t="shared" si="88"/>
        <v>NO_DEPARTMENTS</v>
      </c>
      <c r="F499" t="s">
        <v>506</v>
      </c>
      <c r="G499" t="s">
        <v>507</v>
      </c>
      <c r="H499" t="s">
        <v>508</v>
      </c>
      <c r="I499" t="s">
        <v>509</v>
      </c>
      <c r="J499" t="s">
        <v>589</v>
      </c>
      <c r="K499" s="497">
        <f>ROUND(HLOOKUP($B499,'2-Préparation saisie LV PROD'!$F$1:$Q$86,'2-Préparation saisie LV PROD'!A16,FALSE),0)</f>
        <v>1895930</v>
      </c>
      <c r="L499" t="str">
        <f>VLOOKUP(C499,Capacité!C:L,10,FALSE)</f>
        <v>La Citadelle</v>
      </c>
    </row>
    <row r="500" spans="1:12">
      <c r="A500" t="s">
        <v>505</v>
      </c>
      <c r="B500" t="str">
        <f t="shared" si="87"/>
        <v>B22_07</v>
      </c>
      <c r="C500" s="323" t="str">
        <f t="shared" si="86"/>
        <v>E5160</v>
      </c>
      <c r="D500" t="str">
        <f t="shared" si="88"/>
        <v>NO_DATAVIEWS</v>
      </c>
      <c r="E500" s="62" t="str">
        <f t="shared" si="88"/>
        <v>NO_DEPARTMENTS</v>
      </c>
      <c r="F500" t="s">
        <v>506</v>
      </c>
      <c r="G500" t="s">
        <v>507</v>
      </c>
      <c r="H500" t="s">
        <v>508</v>
      </c>
      <c r="I500" t="s">
        <v>509</v>
      </c>
      <c r="J500" t="s">
        <v>589</v>
      </c>
      <c r="K500" s="497">
        <f>ROUND(HLOOKUP($B500,'2-Préparation saisie LV PROD'!$F$1:$Q$86,'2-Préparation saisie LV PROD'!A17,FALSE),0)</f>
        <v>1017874</v>
      </c>
      <c r="L500" t="str">
        <f>VLOOKUP(C500,Capacité!C:L,10,FALSE)</f>
        <v>Chasse Marée</v>
      </c>
    </row>
    <row r="501" spans="1:12">
      <c r="A501" t="s">
        <v>505</v>
      </c>
      <c r="B501" t="str">
        <f t="shared" si="87"/>
        <v>B22_07</v>
      </c>
      <c r="C501" s="323" t="str">
        <f t="shared" si="86"/>
        <v>E5170</v>
      </c>
      <c r="D501" t="str">
        <f t="shared" si="88"/>
        <v>NO_DATAVIEWS</v>
      </c>
      <c r="E501" s="62" t="str">
        <f t="shared" si="88"/>
        <v>NO_DEPARTMENTS</v>
      </c>
      <c r="F501" t="s">
        <v>506</v>
      </c>
      <c r="G501" t="s">
        <v>507</v>
      </c>
      <c r="H501" t="s">
        <v>508</v>
      </c>
      <c r="I501" t="s">
        <v>509</v>
      </c>
      <c r="J501" t="s">
        <v>589</v>
      </c>
      <c r="K501" s="497">
        <f>ROUND(HLOOKUP($B501,'2-Préparation saisie LV PROD'!$F$1:$Q$86,'2-Préparation saisie LV PROD'!A18,FALSE),0)</f>
        <v>3228380</v>
      </c>
      <c r="L501" t="str">
        <f>VLOOKUP(C501,Capacité!C:L,10,FALSE)</f>
        <v>Ronchois</v>
      </c>
    </row>
    <row r="502" spans="1:12">
      <c r="A502" t="s">
        <v>505</v>
      </c>
      <c r="B502" t="str">
        <f t="shared" si="87"/>
        <v>B22_07</v>
      </c>
      <c r="C502" s="323" t="str">
        <f t="shared" si="86"/>
        <v>E5180</v>
      </c>
      <c r="D502" t="str">
        <f t="shared" si="88"/>
        <v>NO_DATAVIEWS</v>
      </c>
      <c r="E502" s="62" t="str">
        <f t="shared" si="88"/>
        <v>NO_DEPARTMENTS</v>
      </c>
      <c r="F502" t="s">
        <v>506</v>
      </c>
      <c r="G502" t="s">
        <v>507</v>
      </c>
      <c r="H502" t="s">
        <v>508</v>
      </c>
      <c r="I502" t="s">
        <v>509</v>
      </c>
      <c r="J502" t="s">
        <v>589</v>
      </c>
      <c r="K502" s="497">
        <f>ROUND(HLOOKUP($B502,'2-Préparation saisie LV PROD'!$F$1:$Q$86,'2-Préparation saisie LV PROD'!A19,FALSE),0)</f>
        <v>1366768</v>
      </c>
      <c r="L502" t="str">
        <f>VLOOKUP(C502,Capacité!C:L,10,FALSE)</f>
        <v>Le Grand Camp</v>
      </c>
    </row>
    <row r="503" spans="1:12">
      <c r="A503" t="s">
        <v>505</v>
      </c>
      <c r="B503" t="str">
        <f t="shared" si="87"/>
        <v>B22_07</v>
      </c>
      <c r="C503" s="323" t="str">
        <f t="shared" si="86"/>
        <v>E5210</v>
      </c>
      <c r="D503" t="str">
        <f t="shared" si="88"/>
        <v>NO_DATAVIEWS</v>
      </c>
      <c r="E503" s="62" t="str">
        <f t="shared" si="88"/>
        <v>NO_DEPARTMENTS</v>
      </c>
      <c r="F503" t="s">
        <v>506</v>
      </c>
      <c r="G503" t="s">
        <v>507</v>
      </c>
      <c r="H503" t="s">
        <v>508</v>
      </c>
      <c r="I503" t="s">
        <v>509</v>
      </c>
      <c r="J503" t="s">
        <v>589</v>
      </c>
      <c r="K503" s="497">
        <f>ROUND(HLOOKUP($B503,'2-Préparation saisie LV PROD'!$F$1:$Q$86,'2-Préparation saisie LV PROD'!A20,FALSE),0)</f>
        <v>607483</v>
      </c>
      <c r="L503" t="str">
        <f>VLOOKUP(C503,Capacité!C:L,10,FALSE)</f>
        <v>Avignonet II</v>
      </c>
    </row>
    <row r="504" spans="1:12">
      <c r="A504" t="s">
        <v>505</v>
      </c>
      <c r="B504" t="str">
        <f t="shared" si="87"/>
        <v>B22_07</v>
      </c>
      <c r="C504" s="323" t="str">
        <f t="shared" si="86"/>
        <v>E5270</v>
      </c>
      <c r="D504" t="str">
        <f t="shared" si="88"/>
        <v>NO_DATAVIEWS</v>
      </c>
      <c r="E504" s="62" t="str">
        <f t="shared" si="88"/>
        <v>NO_DEPARTMENTS</v>
      </c>
      <c r="F504" t="s">
        <v>506</v>
      </c>
      <c r="G504" t="s">
        <v>507</v>
      </c>
      <c r="H504" t="s">
        <v>508</v>
      </c>
      <c r="I504" t="s">
        <v>509</v>
      </c>
      <c r="J504" t="s">
        <v>589</v>
      </c>
      <c r="K504" s="497">
        <f>ROUND(HLOOKUP($B504,'2-Préparation saisie LV PROD'!$F$1:$Q$86,'2-Préparation saisie LV PROD'!A21,FALSE),0)</f>
        <v>3134470</v>
      </c>
      <c r="L504" t="str">
        <f>VLOOKUP(C504,Capacité!C:L,10,FALSE)</f>
        <v>Ménétréols Renardiére (La vallée 2)</v>
      </c>
    </row>
    <row r="505" spans="1:12">
      <c r="A505" t="s">
        <v>505</v>
      </c>
      <c r="B505" t="str">
        <f t="shared" si="87"/>
        <v>B22_07</v>
      </c>
      <c r="C505" s="323" t="str">
        <f t="shared" si="86"/>
        <v>E5280</v>
      </c>
      <c r="D505" t="str">
        <f t="shared" si="88"/>
        <v>NO_DATAVIEWS</v>
      </c>
      <c r="E505" s="62" t="str">
        <f t="shared" si="88"/>
        <v>NO_DEPARTMENTS</v>
      </c>
      <c r="F505" t="s">
        <v>506</v>
      </c>
      <c r="G505" t="s">
        <v>507</v>
      </c>
      <c r="H505" t="s">
        <v>508</v>
      </c>
      <c r="I505" t="s">
        <v>509</v>
      </c>
      <c r="J505" t="s">
        <v>589</v>
      </c>
      <c r="K505" s="497">
        <f>ROUND(HLOOKUP($B505,'2-Préparation saisie LV PROD'!$F$1:$Q$86,'2-Préparation saisie LV PROD'!A22,FALSE),0)</f>
        <v>517072</v>
      </c>
      <c r="L505" t="str">
        <f>VLOOKUP(C505,Capacité!C:L,10,FALSE)</f>
        <v>St Georges (La Vallée 1)</v>
      </c>
    </row>
    <row r="506" spans="1:12">
      <c r="A506" t="s">
        <v>505</v>
      </c>
      <c r="B506" t="str">
        <f t="shared" si="87"/>
        <v>B22_07</v>
      </c>
      <c r="C506" s="323" t="str">
        <f t="shared" si="86"/>
        <v>E5300</v>
      </c>
      <c r="D506" t="str">
        <f t="shared" si="88"/>
        <v>NO_DATAVIEWS</v>
      </c>
      <c r="E506" s="62" t="str">
        <f t="shared" si="88"/>
        <v>NO_DEPARTMENTS</v>
      </c>
      <c r="F506" t="s">
        <v>506</v>
      </c>
      <c r="G506" t="s">
        <v>507</v>
      </c>
      <c r="H506" t="s">
        <v>508</v>
      </c>
      <c r="I506" t="s">
        <v>509</v>
      </c>
      <c r="J506" t="s">
        <v>589</v>
      </c>
      <c r="K506" s="497">
        <f>ROUND(HLOOKUP($B506,'2-Préparation saisie LV PROD'!$F$1:$Q$86,'2-Préparation saisie LV PROD'!A23,FALSE),0)</f>
        <v>1111675</v>
      </c>
      <c r="L506" t="str">
        <f>VLOOKUP(C506,Capacité!C:L,10,FALSE)</f>
        <v>Vron</v>
      </c>
    </row>
    <row r="507" spans="1:12">
      <c r="A507" t="s">
        <v>505</v>
      </c>
      <c r="B507" t="str">
        <f t="shared" si="87"/>
        <v>B22_07</v>
      </c>
      <c r="C507" s="323" t="str">
        <f t="shared" si="86"/>
        <v>E5310</v>
      </c>
      <c r="D507" t="str">
        <f t="shared" si="88"/>
        <v>NO_DATAVIEWS</v>
      </c>
      <c r="E507" s="62" t="str">
        <f t="shared" si="88"/>
        <v>NO_DEPARTMENTS</v>
      </c>
      <c r="F507" t="s">
        <v>506</v>
      </c>
      <c r="G507" t="s">
        <v>507</v>
      </c>
      <c r="H507" t="s">
        <v>508</v>
      </c>
      <c r="I507" t="s">
        <v>509</v>
      </c>
      <c r="J507" t="s">
        <v>589</v>
      </c>
      <c r="K507" s="497">
        <f>ROUND(HLOOKUP($B507,'2-Préparation saisie LV PROD'!$F$1:$Q$86,'2-Préparation saisie LV PROD'!A24,FALSE),0)</f>
        <v>3023682</v>
      </c>
      <c r="L507" t="str">
        <f>VLOOKUP(C507,Capacité!C:L,10,FALSE)</f>
        <v>Fortel</v>
      </c>
    </row>
    <row r="508" spans="1:12">
      <c r="A508" t="s">
        <v>505</v>
      </c>
      <c r="B508" t="str">
        <f t="shared" si="87"/>
        <v>B22_07</v>
      </c>
      <c r="C508" s="323" t="str">
        <f t="shared" si="86"/>
        <v>E5320</v>
      </c>
      <c r="D508" t="str">
        <f t="shared" si="88"/>
        <v>NO_DATAVIEWS</v>
      </c>
      <c r="E508" s="62" t="str">
        <f t="shared" si="88"/>
        <v>NO_DEPARTMENTS</v>
      </c>
      <c r="F508" t="s">
        <v>506</v>
      </c>
      <c r="G508" t="s">
        <v>507</v>
      </c>
      <c r="H508" t="s">
        <v>508</v>
      </c>
      <c r="I508" t="s">
        <v>509</v>
      </c>
      <c r="J508" t="s">
        <v>589</v>
      </c>
      <c r="K508" s="497">
        <f>ROUND(HLOOKUP($B508,'2-Préparation saisie LV PROD'!$F$1:$Q$86,'2-Préparation saisie LV PROD'!A25,FALSE),0)</f>
        <v>2830623</v>
      </c>
      <c r="L508" t="str">
        <f>VLOOKUP(C508,Capacité!C:L,10,FALSE)</f>
        <v>St François Roye</v>
      </c>
    </row>
    <row r="509" spans="1:12">
      <c r="A509" t="s">
        <v>505</v>
      </c>
      <c r="B509" t="str">
        <f t="shared" si="87"/>
        <v>B22_07</v>
      </c>
      <c r="C509" s="323" t="str">
        <f t="shared" si="86"/>
        <v>E5290</v>
      </c>
      <c r="D509" t="str">
        <f t="shared" si="88"/>
        <v>NO_DATAVIEWS</v>
      </c>
      <c r="E509" s="62" t="str">
        <f t="shared" si="88"/>
        <v>NO_DEPARTMENTS</v>
      </c>
      <c r="F509" t="s">
        <v>506</v>
      </c>
      <c r="G509" t="s">
        <v>507</v>
      </c>
      <c r="H509" t="s">
        <v>508</v>
      </c>
      <c r="I509" t="s">
        <v>509</v>
      </c>
      <c r="J509" t="s">
        <v>589</v>
      </c>
      <c r="K509" s="497">
        <f>ROUND(HLOOKUP($B509,'2-Préparation saisie LV PROD'!$F$1:$Q$86,'2-Préparation saisie LV PROD'!A26,FALSE),0)</f>
        <v>5704489</v>
      </c>
      <c r="L509" t="str">
        <f>VLOOKUP(C509,Capacité!C:L,10,FALSE)</f>
        <v>St Patrick</v>
      </c>
    </row>
    <row r="510" spans="1:12">
      <c r="A510" t="s">
        <v>505</v>
      </c>
      <c r="B510" t="str">
        <f t="shared" si="87"/>
        <v>B22_07</v>
      </c>
      <c r="C510" s="323" t="str">
        <f t="shared" si="86"/>
        <v>E5360</v>
      </c>
      <c r="D510" t="str">
        <f t="shared" ref="D510:E525" si="89">D509</f>
        <v>NO_DATAVIEWS</v>
      </c>
      <c r="E510" s="62" t="str">
        <f t="shared" si="89"/>
        <v>NO_DEPARTMENTS</v>
      </c>
      <c r="F510" t="s">
        <v>506</v>
      </c>
      <c r="G510" t="s">
        <v>507</v>
      </c>
      <c r="H510" t="s">
        <v>508</v>
      </c>
      <c r="I510" t="s">
        <v>509</v>
      </c>
      <c r="J510" t="s">
        <v>589</v>
      </c>
      <c r="K510" s="497">
        <f>ROUND(HLOOKUP($B510,'2-Préparation saisie LV PROD'!$F$1:$Q$86,'2-Préparation saisie LV PROD'!A27,FALSE),0)</f>
        <v>1820404</v>
      </c>
      <c r="L510" t="str">
        <f>VLOOKUP(C510,Capacité!C:L,10,FALSE)</f>
        <v>Calmont (Laur Eole Energie )</v>
      </c>
    </row>
    <row r="511" spans="1:12">
      <c r="A511" t="s">
        <v>505</v>
      </c>
      <c r="B511" t="str">
        <f t="shared" si="87"/>
        <v>B22_07</v>
      </c>
      <c r="C511" s="323" t="str">
        <f t="shared" si="86"/>
        <v>E5391</v>
      </c>
      <c r="D511" t="str">
        <f t="shared" si="89"/>
        <v>NO_DATAVIEWS</v>
      </c>
      <c r="E511" s="62" t="str">
        <f t="shared" si="89"/>
        <v>NO_DEPARTMENTS</v>
      </c>
      <c r="F511" t="s">
        <v>506</v>
      </c>
      <c r="G511" t="s">
        <v>507</v>
      </c>
      <c r="H511" t="s">
        <v>508</v>
      </c>
      <c r="I511" t="s">
        <v>509</v>
      </c>
      <c r="J511" t="s">
        <v>589</v>
      </c>
      <c r="K511" s="497">
        <f>ROUND(HLOOKUP($B511,'2-Préparation saisie LV PROD'!$F$1:$Q$86,'2-Préparation saisie LV PROD'!A28,FALSE),0)</f>
        <v>392709</v>
      </c>
      <c r="L511" t="str">
        <f>VLOOKUP(C511,Capacité!C:L,10,FALSE)</f>
        <v>Coat Conval</v>
      </c>
    </row>
    <row r="512" spans="1:12">
      <c r="A512" t="s">
        <v>505</v>
      </c>
      <c r="B512" t="str">
        <f t="shared" si="87"/>
        <v>B22_07</v>
      </c>
      <c r="C512" s="323" t="str">
        <f t="shared" si="86"/>
        <v>E5392</v>
      </c>
      <c r="D512" t="str">
        <f t="shared" si="89"/>
        <v>NO_DATAVIEWS</v>
      </c>
      <c r="E512" s="62" t="str">
        <f t="shared" si="89"/>
        <v>NO_DEPARTMENTS</v>
      </c>
      <c r="F512" t="s">
        <v>506</v>
      </c>
      <c r="G512" t="s">
        <v>507</v>
      </c>
      <c r="H512" t="s">
        <v>508</v>
      </c>
      <c r="I512" t="s">
        <v>509</v>
      </c>
      <c r="J512" t="s">
        <v>589</v>
      </c>
      <c r="K512" s="497">
        <f>ROUND(HLOOKUP($B512,'2-Préparation saisie LV PROD'!$F$1:$Q$86,'2-Préparation saisie LV PROD'!A29,FALSE),0)</f>
        <v>669505</v>
      </c>
      <c r="L512" t="str">
        <f>VLOOKUP(C512,Capacité!C:L,10,FALSE)</f>
        <v>Leign ar Gasprenn</v>
      </c>
    </row>
    <row r="513" spans="1:12">
      <c r="A513" t="s">
        <v>505</v>
      </c>
      <c r="B513" t="str">
        <f t="shared" si="87"/>
        <v>B22_07</v>
      </c>
      <c r="C513" s="323" t="str">
        <f t="shared" si="86"/>
        <v>E5393</v>
      </c>
      <c r="D513" t="str">
        <f t="shared" si="89"/>
        <v>NO_DATAVIEWS</v>
      </c>
      <c r="E513" s="62" t="str">
        <f t="shared" si="89"/>
        <v>NO_DEPARTMENTS</v>
      </c>
      <c r="F513" t="s">
        <v>506</v>
      </c>
      <c r="G513" t="s">
        <v>507</v>
      </c>
      <c r="H513" t="s">
        <v>508</v>
      </c>
      <c r="I513" t="s">
        <v>509</v>
      </c>
      <c r="J513" t="s">
        <v>589</v>
      </c>
      <c r="K513" s="497">
        <f>ROUND(HLOOKUP($B513,'2-Préparation saisie LV PROD'!$F$1:$Q$86,'2-Préparation saisie LV PROD'!A30,FALSE),0)</f>
        <v>3757060</v>
      </c>
      <c r="L513" t="str">
        <f>VLOOKUP(C513,Capacité!C:L,10,FALSE)</f>
        <v>Vallée d'Arce</v>
      </c>
    </row>
    <row r="514" spans="1:12">
      <c r="A514" t="s">
        <v>505</v>
      </c>
      <c r="B514" t="str">
        <f t="shared" si="87"/>
        <v>B22_07</v>
      </c>
      <c r="C514" s="323" t="str">
        <f t="shared" si="86"/>
        <v>E5394</v>
      </c>
      <c r="D514" t="str">
        <f t="shared" si="89"/>
        <v>NO_DATAVIEWS</v>
      </c>
      <c r="E514" s="62" t="str">
        <f t="shared" si="89"/>
        <v>NO_DEPARTMENTS</v>
      </c>
      <c r="F514" t="s">
        <v>506</v>
      </c>
      <c r="G514" t="s">
        <v>507</v>
      </c>
      <c r="H514" t="s">
        <v>508</v>
      </c>
      <c r="I514" t="s">
        <v>509</v>
      </c>
      <c r="J514" t="s">
        <v>589</v>
      </c>
      <c r="K514" s="497">
        <f>ROUND(HLOOKUP($B514,'2-Préparation saisie LV PROD'!$F$1:$Q$86,'2-Préparation saisie LV PROD'!A31,FALSE),0)</f>
        <v>795383</v>
      </c>
      <c r="L514" t="str">
        <f>VLOOKUP(C514,Capacité!C:L,10,FALSE)</f>
        <v>La Bouleste</v>
      </c>
    </row>
    <row r="515" spans="1:12">
      <c r="A515" t="s">
        <v>505</v>
      </c>
      <c r="B515" t="str">
        <f t="shared" si="87"/>
        <v>B22_07</v>
      </c>
      <c r="C515" s="323" t="str">
        <f t="shared" si="86"/>
        <v>E5395</v>
      </c>
      <c r="D515" t="str">
        <f t="shared" si="89"/>
        <v>NO_DATAVIEWS</v>
      </c>
      <c r="E515" s="62" t="str">
        <f t="shared" si="89"/>
        <v>NO_DEPARTMENTS</v>
      </c>
      <c r="F515" t="s">
        <v>506</v>
      </c>
      <c r="G515" t="s">
        <v>507</v>
      </c>
      <c r="H515" t="s">
        <v>508</v>
      </c>
      <c r="I515" t="s">
        <v>509</v>
      </c>
      <c r="J515" t="s">
        <v>589</v>
      </c>
      <c r="K515" s="497">
        <f>ROUND(HLOOKUP($B515,'2-Préparation saisie LV PROD'!$F$1:$Q$86,'2-Préparation saisie LV PROD'!A32,FALSE),0)</f>
        <v>2403736</v>
      </c>
      <c r="L515" t="str">
        <f>VLOOKUP(C515,Capacité!C:L,10,FALSE)</f>
        <v>Haut de Conge</v>
      </c>
    </row>
    <row r="516" spans="1:12">
      <c r="A516" t="s">
        <v>505</v>
      </c>
      <c r="B516" t="str">
        <f t="shared" si="87"/>
        <v>B22_07</v>
      </c>
      <c r="C516" s="323" t="str">
        <f t="shared" si="86"/>
        <v>E5396</v>
      </c>
      <c r="D516" t="str">
        <f t="shared" si="89"/>
        <v>NO_DATAVIEWS</v>
      </c>
      <c r="E516" s="62" t="str">
        <f t="shared" si="89"/>
        <v>NO_DEPARTMENTS</v>
      </c>
      <c r="F516" t="s">
        <v>506</v>
      </c>
      <c r="G516" t="s">
        <v>507</v>
      </c>
      <c r="H516" t="s">
        <v>508</v>
      </c>
      <c r="I516" t="s">
        <v>509</v>
      </c>
      <c r="J516" t="s">
        <v>589</v>
      </c>
      <c r="K516" s="497">
        <f>ROUND(HLOOKUP($B516,'2-Préparation saisie LV PROD'!$F$1:$Q$86,'2-Préparation saisie LV PROD'!A33,FALSE),0)</f>
        <v>976557</v>
      </c>
      <c r="L516" t="str">
        <f>VLOOKUP(C516,Capacité!C:L,10,FALSE)</f>
        <v>Les Eparmonts</v>
      </c>
    </row>
    <row r="517" spans="1:12">
      <c r="A517" t="s">
        <v>505</v>
      </c>
      <c r="B517" t="str">
        <f t="shared" si="87"/>
        <v>B22_07</v>
      </c>
      <c r="C517" s="323" t="str">
        <f t="shared" si="86"/>
        <v>E5397</v>
      </c>
      <c r="D517" t="str">
        <f t="shared" si="89"/>
        <v>NO_DATAVIEWS</v>
      </c>
      <c r="E517" s="62" t="str">
        <f t="shared" si="89"/>
        <v>NO_DEPARTMENTS</v>
      </c>
      <c r="F517" t="s">
        <v>506</v>
      </c>
      <c r="G517" t="s">
        <v>507</v>
      </c>
      <c r="H517" t="s">
        <v>508</v>
      </c>
      <c r="I517" t="s">
        <v>509</v>
      </c>
      <c r="J517" t="s">
        <v>589</v>
      </c>
      <c r="K517" s="497">
        <f>ROUND(HLOOKUP($B517,'2-Préparation saisie LV PROD'!$F$1:$Q$86,'2-Préparation saisie LV PROD'!A34,FALSE),0)</f>
        <v>1257397</v>
      </c>
      <c r="L517" t="str">
        <f>VLOOKUP(C517,Capacité!C:L,10,FALSE)</f>
        <v>Charmoy</v>
      </c>
    </row>
    <row r="518" spans="1:12">
      <c r="A518" t="s">
        <v>505</v>
      </c>
      <c r="B518" t="str">
        <f t="shared" si="87"/>
        <v>B22_07</v>
      </c>
      <c r="C518" s="323" t="str">
        <f t="shared" si="86"/>
        <v>E5398</v>
      </c>
      <c r="D518" t="str">
        <f t="shared" si="89"/>
        <v>NO_DATAVIEWS</v>
      </c>
      <c r="E518" s="62" t="str">
        <f t="shared" si="89"/>
        <v>NO_DEPARTMENTS</v>
      </c>
      <c r="F518" t="s">
        <v>506</v>
      </c>
      <c r="G518" t="s">
        <v>507</v>
      </c>
      <c r="H518" t="s">
        <v>508</v>
      </c>
      <c r="I518" t="s">
        <v>509</v>
      </c>
      <c r="J518" t="s">
        <v>589</v>
      </c>
      <c r="K518" s="497">
        <f>ROUND(HLOOKUP($B518,'2-Préparation saisie LV PROD'!$F$1:$Q$86,'2-Préparation saisie LV PROD'!A35,FALSE),0)</f>
        <v>2096830</v>
      </c>
      <c r="L518" t="str">
        <f>VLOOKUP(C518,Capacité!C:L,10,FALSE)</f>
        <v>Pannecé</v>
      </c>
    </row>
    <row r="519" spans="1:12">
      <c r="A519" t="s">
        <v>505</v>
      </c>
      <c r="B519" t="str">
        <f t="shared" si="87"/>
        <v>B22_07</v>
      </c>
      <c r="C519" s="323" t="str">
        <f t="shared" si="86"/>
        <v>E5399</v>
      </c>
      <c r="D519" t="str">
        <f t="shared" si="89"/>
        <v>NO_DATAVIEWS</v>
      </c>
      <c r="E519" s="62" t="str">
        <f t="shared" si="89"/>
        <v>NO_DEPARTMENTS</v>
      </c>
      <c r="F519" t="s">
        <v>506</v>
      </c>
      <c r="G519" t="s">
        <v>507</v>
      </c>
      <c r="H519" t="s">
        <v>508</v>
      </c>
      <c r="I519" t="s">
        <v>509</v>
      </c>
      <c r="J519" t="s">
        <v>589</v>
      </c>
      <c r="K519" s="497">
        <f>ROUND(HLOOKUP($B519,'2-Préparation saisie LV PROD'!$F$1:$Q$86,'2-Préparation saisie LV PROD'!A36,FALSE),0)</f>
        <v>3759918</v>
      </c>
      <c r="L519" t="str">
        <f>VLOOKUP(C519,Capacité!C:L,10,FALSE)</f>
        <v>Coulonges</v>
      </c>
    </row>
    <row r="520" spans="1:12">
      <c r="A520" t="s">
        <v>505</v>
      </c>
      <c r="B520" t="str">
        <f t="shared" si="87"/>
        <v>B22_07</v>
      </c>
      <c r="C520" s="323" t="str">
        <f t="shared" ref="C520:C551" si="90">C439</f>
        <v>E5400</v>
      </c>
      <c r="D520" t="str">
        <f t="shared" si="89"/>
        <v>NO_DATAVIEWS</v>
      </c>
      <c r="E520" s="62" t="str">
        <f t="shared" si="89"/>
        <v>NO_DEPARTMENTS</v>
      </c>
      <c r="F520" t="s">
        <v>506</v>
      </c>
      <c r="G520" t="s">
        <v>507</v>
      </c>
      <c r="H520" t="s">
        <v>508</v>
      </c>
      <c r="I520" t="s">
        <v>509</v>
      </c>
      <c r="J520" t="s">
        <v>589</v>
      </c>
      <c r="K520" s="497">
        <f>ROUND(HLOOKUP($B520,'2-Préparation saisie LV PROD'!$F$1:$Q$86,'2-Préparation saisie LV PROD'!A37,FALSE),0)</f>
        <v>2542055</v>
      </c>
      <c r="L520" t="str">
        <f>VLOOKUP(C520,Capacité!C:L,10,FALSE)</f>
        <v>SdlL</v>
      </c>
    </row>
    <row r="521" spans="1:12">
      <c r="A521" t="s">
        <v>505</v>
      </c>
      <c r="B521" t="str">
        <f t="shared" si="87"/>
        <v>B22_07</v>
      </c>
      <c r="C521" s="323" t="str">
        <f t="shared" si="90"/>
        <v>E5401</v>
      </c>
      <c r="D521" t="str">
        <f t="shared" si="89"/>
        <v>NO_DATAVIEWS</v>
      </c>
      <c r="E521" s="62" t="str">
        <f t="shared" si="89"/>
        <v>NO_DEPARTMENTS</v>
      </c>
      <c r="F521" t="s">
        <v>506</v>
      </c>
      <c r="G521" t="s">
        <v>507</v>
      </c>
      <c r="H521" t="s">
        <v>508</v>
      </c>
      <c r="I521" t="s">
        <v>509</v>
      </c>
      <c r="J521" t="s">
        <v>589</v>
      </c>
      <c r="K521" s="497">
        <f>ROUND(HLOOKUP($B521,'2-Préparation saisie LV PROD'!$F$1:$Q$86,'2-Préparation saisie LV PROD'!A38,FALSE),0)</f>
        <v>973600</v>
      </c>
      <c r="L521" t="str">
        <f>VLOOKUP(C521,Capacité!C:L,10,FALSE)</f>
        <v>Pays d'Othe</v>
      </c>
    </row>
    <row r="522" spans="1:12">
      <c r="A522" t="s">
        <v>505</v>
      </c>
      <c r="B522" t="str">
        <f t="shared" si="87"/>
        <v>B22_07</v>
      </c>
      <c r="C522" s="323" t="str">
        <f t="shared" si="90"/>
        <v>E5402</v>
      </c>
      <c r="D522" t="str">
        <f t="shared" si="89"/>
        <v>NO_DATAVIEWS</v>
      </c>
      <c r="E522" s="62" t="str">
        <f t="shared" si="89"/>
        <v>NO_DEPARTMENTS</v>
      </c>
      <c r="F522" t="s">
        <v>506</v>
      </c>
      <c r="G522" t="s">
        <v>507</v>
      </c>
      <c r="H522" t="s">
        <v>508</v>
      </c>
      <c r="I522" t="s">
        <v>509</v>
      </c>
      <c r="J522" t="s">
        <v>589</v>
      </c>
      <c r="K522" s="497">
        <f>ROUND(HLOOKUP($B522,'2-Préparation saisie LV PROD'!$F$1:$Q$86,'2-Préparation saisie LV PROD'!A39,FALSE),0)</f>
        <v>1240554</v>
      </c>
      <c r="L522" t="str">
        <f>VLOOKUP(C522,Capacité!C:L,10,FALSE)</f>
        <v>Comes de l'Arce</v>
      </c>
    </row>
    <row r="523" spans="1:12">
      <c r="A523" t="s">
        <v>505</v>
      </c>
      <c r="B523" t="str">
        <f t="shared" si="87"/>
        <v>B22_07</v>
      </c>
      <c r="C523" s="323" t="str">
        <f t="shared" si="90"/>
        <v>E5570</v>
      </c>
      <c r="D523" t="str">
        <f t="shared" si="89"/>
        <v>NO_DATAVIEWS</v>
      </c>
      <c r="E523" s="62" t="str">
        <f t="shared" si="89"/>
        <v>NO_DEPARTMENTS</v>
      </c>
      <c r="F523" t="s">
        <v>506</v>
      </c>
      <c r="G523" t="s">
        <v>507</v>
      </c>
      <c r="H523" t="s">
        <v>508</v>
      </c>
      <c r="I523" t="s">
        <v>509</v>
      </c>
      <c r="J523" t="s">
        <v>589</v>
      </c>
      <c r="K523" s="497">
        <f>ROUND(HLOOKUP($B523,'2-Préparation saisie LV PROD'!$F$1:$Q$86,'2-Préparation saisie LV PROD'!A40,FALSE),0)</f>
        <v>1834535</v>
      </c>
      <c r="L523" t="str">
        <f>VLOOKUP(C523,Capacité!C:L,10,FALSE)</f>
        <v>Plateau de Savernat</v>
      </c>
    </row>
    <row r="524" spans="1:12">
      <c r="A524" t="s">
        <v>505</v>
      </c>
      <c r="B524" t="str">
        <f t="shared" si="87"/>
        <v>B22_07</v>
      </c>
      <c r="C524" s="323" t="str">
        <f t="shared" si="90"/>
        <v>E5560</v>
      </c>
      <c r="D524" t="str">
        <f t="shared" si="89"/>
        <v>NO_DATAVIEWS</v>
      </c>
      <c r="E524" s="62" t="str">
        <f t="shared" si="89"/>
        <v>NO_DEPARTMENTS</v>
      </c>
      <c r="F524" t="s">
        <v>506</v>
      </c>
      <c r="G524" t="s">
        <v>507</v>
      </c>
      <c r="H524" t="s">
        <v>508</v>
      </c>
      <c r="I524" t="s">
        <v>509</v>
      </c>
      <c r="J524" t="s">
        <v>589</v>
      </c>
      <c r="K524" s="497">
        <f>ROUND(HLOOKUP($B524,'2-Préparation saisie LV PROD'!$F$1:$Q$86,'2-Préparation saisie LV PROD'!A41,FALSE),0)</f>
        <v>1811687</v>
      </c>
      <c r="L524" t="str">
        <f>VLOOKUP(C524,Capacité!C:L,10,FALSE)</f>
        <v>Touvent</v>
      </c>
    </row>
    <row r="525" spans="1:12">
      <c r="A525" t="s">
        <v>505</v>
      </c>
      <c r="B525" t="str">
        <f t="shared" si="87"/>
        <v>B22_07</v>
      </c>
      <c r="C525" s="323" t="str">
        <f t="shared" si="90"/>
        <v>E5700</v>
      </c>
      <c r="D525" t="str">
        <f t="shared" si="89"/>
        <v>NO_DATAVIEWS</v>
      </c>
      <c r="E525" s="62" t="str">
        <f t="shared" si="89"/>
        <v>NO_DEPARTMENTS</v>
      </c>
      <c r="F525" t="s">
        <v>506</v>
      </c>
      <c r="G525" t="s">
        <v>507</v>
      </c>
      <c r="H525" t="s">
        <v>508</v>
      </c>
      <c r="I525" t="s">
        <v>509</v>
      </c>
      <c r="J525" t="s">
        <v>589</v>
      </c>
      <c r="K525" s="497">
        <f>ROUND(HLOOKUP($B525,'2-Préparation saisie LV PROD'!$F$1:$Q$86,'2-Préparation saisie LV PROD'!A42,FALSE),0)</f>
        <v>3071371</v>
      </c>
      <c r="L525" t="str">
        <f>VLOOKUP(C525,Capacité!C:L,10,FALSE)</f>
        <v>Haut de Comble (HC)</v>
      </c>
    </row>
    <row r="526" spans="1:12">
      <c r="A526" t="s">
        <v>505</v>
      </c>
      <c r="B526" t="str">
        <f t="shared" si="87"/>
        <v>B22_07</v>
      </c>
      <c r="C526" s="323" t="str">
        <f t="shared" si="90"/>
        <v>E5600</v>
      </c>
      <c r="D526" t="str">
        <f t="shared" ref="D526:E541" si="91">D525</f>
        <v>NO_DATAVIEWS</v>
      </c>
      <c r="E526" s="62" t="str">
        <f t="shared" si="91"/>
        <v>NO_DEPARTMENTS</v>
      </c>
      <c r="F526" t="s">
        <v>506</v>
      </c>
      <c r="G526" t="s">
        <v>507</v>
      </c>
      <c r="H526" t="s">
        <v>508</v>
      </c>
      <c r="I526" t="s">
        <v>509</v>
      </c>
      <c r="J526" t="s">
        <v>589</v>
      </c>
      <c r="K526" s="497">
        <f>ROUND(HLOOKUP($B526,'2-Préparation saisie LV PROD'!$F$1:$Q$86,'2-Préparation saisie LV PROD'!A43,FALSE),0)</f>
        <v>4199892</v>
      </c>
      <c r="L526" t="str">
        <f>VLOOKUP(C526,Capacité!C:L,10,FALSE)</f>
        <v>Inter deux bos (MET)</v>
      </c>
    </row>
    <row r="527" spans="1:12">
      <c r="A527" t="s">
        <v>505</v>
      </c>
      <c r="B527" t="str">
        <f t="shared" si="87"/>
        <v>B22_07</v>
      </c>
      <c r="C527" s="323" t="str">
        <f t="shared" si="90"/>
        <v>E5770</v>
      </c>
      <c r="D527" t="str">
        <f t="shared" si="91"/>
        <v>NO_DATAVIEWS</v>
      </c>
      <c r="E527" s="62" t="str">
        <f t="shared" si="91"/>
        <v>NO_DEPARTMENTS</v>
      </c>
      <c r="F527" t="s">
        <v>506</v>
      </c>
      <c r="G527" t="s">
        <v>507</v>
      </c>
      <c r="H527" t="s">
        <v>508</v>
      </c>
      <c r="I527" t="s">
        <v>509</v>
      </c>
      <c r="J527" t="s">
        <v>589</v>
      </c>
      <c r="K527" s="497">
        <f>ROUND(HLOOKUP($B527,'2-Préparation saisie LV PROD'!$F$1:$Q$86,'2-Préparation saisie LV PROD'!A44,FALSE),0)</f>
        <v>1504922</v>
      </c>
      <c r="L527" t="str">
        <f>VLOOKUP(C527,Capacité!C:L,10,FALSE)</f>
        <v>Le Pelon</v>
      </c>
    </row>
    <row r="528" spans="1:12">
      <c r="A528" t="s">
        <v>505</v>
      </c>
      <c r="B528" t="str">
        <f t="shared" si="87"/>
        <v>B22_07</v>
      </c>
      <c r="C528" s="323" t="str">
        <f t="shared" si="90"/>
        <v>E5630</v>
      </c>
      <c r="D528" t="str">
        <f t="shared" si="91"/>
        <v>NO_DATAVIEWS</v>
      </c>
      <c r="E528" s="62" t="str">
        <f t="shared" si="91"/>
        <v>NO_DEPARTMENTS</v>
      </c>
      <c r="F528" t="s">
        <v>506</v>
      </c>
      <c r="G528" t="s">
        <v>507</v>
      </c>
      <c r="H528" t="s">
        <v>508</v>
      </c>
      <c r="I528" t="s">
        <v>509</v>
      </c>
      <c r="J528" t="s">
        <v>589</v>
      </c>
      <c r="K528" s="497">
        <f>ROUND(HLOOKUP($B528,'2-Préparation saisie LV PROD'!$F$1:$Q$86,'2-Préparation saisie LV PROD'!A45,FALSE),0)</f>
        <v>3517689</v>
      </c>
      <c r="L528" t="str">
        <f>VLOOKUP(C528,Capacité!C:L,10,FALSE)</f>
        <v>Monts de Bagny</v>
      </c>
    </row>
    <row r="529" spans="1:12">
      <c r="A529" t="s">
        <v>505</v>
      </c>
      <c r="B529" t="str">
        <f t="shared" si="87"/>
        <v>B22_07</v>
      </c>
      <c r="C529" s="323" t="str">
        <f t="shared" si="90"/>
        <v>E5690</v>
      </c>
      <c r="D529" t="str">
        <f t="shared" si="91"/>
        <v>NO_DATAVIEWS</v>
      </c>
      <c r="E529" s="62" t="str">
        <f t="shared" si="91"/>
        <v>NO_DEPARTMENTS</v>
      </c>
      <c r="F529" t="s">
        <v>506</v>
      </c>
      <c r="G529" t="s">
        <v>507</v>
      </c>
      <c r="H529" t="s">
        <v>508</v>
      </c>
      <c r="I529" t="s">
        <v>509</v>
      </c>
      <c r="J529" t="s">
        <v>589</v>
      </c>
      <c r="K529" s="497">
        <f>ROUND(HLOOKUP($B529,'2-Préparation saisie LV PROD'!$F$1:$Q$86,'2-Préparation saisie LV PROD'!A46,FALSE),0)</f>
        <v>1781989</v>
      </c>
      <c r="L529" t="str">
        <f>VLOOKUP(C529,Capacité!C:L,10,FALSE)</f>
        <v>Voie des monts</v>
      </c>
    </row>
    <row r="530" spans="1:12">
      <c r="A530" t="s">
        <v>505</v>
      </c>
      <c r="B530" t="str">
        <f t="shared" si="87"/>
        <v>B22_07</v>
      </c>
      <c r="C530" s="323" t="str">
        <f t="shared" si="90"/>
        <v>E5640</v>
      </c>
      <c r="D530" t="str">
        <f t="shared" si="91"/>
        <v>NO_DATAVIEWS</v>
      </c>
      <c r="E530" s="62" t="str">
        <f t="shared" si="91"/>
        <v>NO_DEPARTMENTS</v>
      </c>
      <c r="F530" t="s">
        <v>506</v>
      </c>
      <c r="G530" t="s">
        <v>507</v>
      </c>
      <c r="H530" t="s">
        <v>508</v>
      </c>
      <c r="I530" t="s">
        <v>509</v>
      </c>
      <c r="J530" t="s">
        <v>589</v>
      </c>
      <c r="K530" s="497">
        <f>ROUND(HLOOKUP($B530,'2-Préparation saisie LV PROD'!$F$1:$Q$86,'2-Préparation saisie LV PROD'!A47,FALSE),0)</f>
        <v>3606130</v>
      </c>
      <c r="L530" t="str">
        <f>VLOOKUP(C530,Capacité!C:L,10,FALSE)</f>
        <v>Artois</v>
      </c>
    </row>
    <row r="531" spans="1:12">
      <c r="A531" t="s">
        <v>505</v>
      </c>
      <c r="B531" t="str">
        <f t="shared" si="87"/>
        <v>B22_07</v>
      </c>
      <c r="C531" s="323" t="str">
        <f t="shared" si="90"/>
        <v>E5620</v>
      </c>
      <c r="D531" t="str">
        <f t="shared" si="91"/>
        <v>NO_DATAVIEWS</v>
      </c>
      <c r="E531" s="62" t="str">
        <f t="shared" si="91"/>
        <v>NO_DEPARTMENTS</v>
      </c>
      <c r="F531" t="s">
        <v>506</v>
      </c>
      <c r="G531" t="s">
        <v>507</v>
      </c>
      <c r="H531" t="s">
        <v>508</v>
      </c>
      <c r="I531" t="s">
        <v>509</v>
      </c>
      <c r="J531" t="s">
        <v>589</v>
      </c>
      <c r="K531" s="497">
        <f>ROUND(HLOOKUP($B531,'2-Préparation saisie LV PROD'!$F$1:$Q$86,'2-Préparation saisie LV PROD'!A48,FALSE),0)</f>
        <v>4265772</v>
      </c>
      <c r="L531" t="str">
        <f>VLOOKUP(C531,Capacité!C:L,10,FALSE)</f>
        <v>Chemin de Grès</v>
      </c>
    </row>
    <row r="532" spans="1:12">
      <c r="A532" t="s">
        <v>505</v>
      </c>
      <c r="B532" t="str">
        <f t="shared" si="87"/>
        <v>B22_07</v>
      </c>
      <c r="C532" s="323" t="str">
        <f t="shared" si="90"/>
        <v>E5810</v>
      </c>
      <c r="D532" t="str">
        <f t="shared" si="91"/>
        <v>NO_DATAVIEWS</v>
      </c>
      <c r="E532" s="62" t="str">
        <f t="shared" si="91"/>
        <v>NO_DEPARTMENTS</v>
      </c>
      <c r="F532" t="s">
        <v>506</v>
      </c>
      <c r="G532" t="s">
        <v>507</v>
      </c>
      <c r="H532" t="s">
        <v>508</v>
      </c>
      <c r="I532" t="s">
        <v>509</v>
      </c>
      <c r="J532" t="s">
        <v>589</v>
      </c>
      <c r="K532" s="497">
        <f>ROUND(HLOOKUP($B532,'2-Préparation saisie LV PROD'!$F$1:$Q$86,'2-Préparation saisie LV PROD'!A49,FALSE),0)</f>
        <v>2518884</v>
      </c>
      <c r="L532" t="str">
        <f>VLOOKUP(C532,Capacité!C:L,10,FALSE)</f>
        <v>Coteaux du Blaiseron</v>
      </c>
    </row>
    <row r="533" spans="1:12">
      <c r="A533" t="s">
        <v>505</v>
      </c>
      <c r="B533" t="str">
        <f t="shared" si="87"/>
        <v>B22_07</v>
      </c>
      <c r="C533" s="323" t="str">
        <f t="shared" si="90"/>
        <v>E5660</v>
      </c>
      <c r="D533" t="str">
        <f t="shared" si="91"/>
        <v>NO_DATAVIEWS</v>
      </c>
      <c r="E533" s="62" t="str">
        <f t="shared" si="91"/>
        <v>NO_DEPARTMENTS</v>
      </c>
      <c r="F533" t="s">
        <v>506</v>
      </c>
      <c r="G533" t="s">
        <v>507</v>
      </c>
      <c r="H533" t="s">
        <v>508</v>
      </c>
      <c r="I533" t="s">
        <v>509</v>
      </c>
      <c r="J533" t="s">
        <v>589</v>
      </c>
      <c r="K533" s="497">
        <f>ROUND(HLOOKUP($B533,'2-Préparation saisie LV PROD'!$F$1:$Q$86,'2-Préparation saisie LV PROD'!A50,FALSE),0)</f>
        <v>2795566</v>
      </c>
      <c r="L533" t="str">
        <f>VLOOKUP(C533,Capacité!C:L,10,FALSE)</f>
        <v>XSAN</v>
      </c>
    </row>
    <row r="534" spans="1:12">
      <c r="A534" t="s">
        <v>505</v>
      </c>
      <c r="B534" t="str">
        <f t="shared" si="87"/>
        <v>B22_07</v>
      </c>
      <c r="C534" s="323" t="str">
        <f t="shared" si="90"/>
        <v>E5590</v>
      </c>
      <c r="D534" t="str">
        <f t="shared" si="91"/>
        <v>NO_DATAVIEWS</v>
      </c>
      <c r="E534" s="62" t="str">
        <f t="shared" si="91"/>
        <v>NO_DEPARTMENTS</v>
      </c>
      <c r="F534" t="s">
        <v>506</v>
      </c>
      <c r="G534" t="s">
        <v>507</v>
      </c>
      <c r="H534" t="s">
        <v>508</v>
      </c>
      <c r="I534" t="s">
        <v>509</v>
      </c>
      <c r="J534" t="s">
        <v>589</v>
      </c>
      <c r="K534" s="497">
        <f>ROUND(HLOOKUP($B534,'2-Préparation saisie LV PROD'!$F$1:$Q$86,'2-Préparation saisie LV PROD'!A51,FALSE),0)</f>
        <v>2025599</v>
      </c>
      <c r="L534" t="str">
        <f>VLOOKUP(C534,Capacité!C:L,10,FALSE)</f>
        <v>Le Catésis (CAT)</v>
      </c>
    </row>
    <row r="535" spans="1:12">
      <c r="A535" t="s">
        <v>505</v>
      </c>
      <c r="B535" t="str">
        <f t="shared" si="87"/>
        <v>B22_07</v>
      </c>
      <c r="C535" s="323" t="str">
        <f t="shared" si="90"/>
        <v>E5650</v>
      </c>
      <c r="D535" t="str">
        <f t="shared" si="91"/>
        <v>NO_DATAVIEWS</v>
      </c>
      <c r="E535" s="62" t="str">
        <f t="shared" si="91"/>
        <v>NO_DEPARTMENTS</v>
      </c>
      <c r="F535" t="s">
        <v>506</v>
      </c>
      <c r="G535" t="s">
        <v>507</v>
      </c>
      <c r="H535" t="s">
        <v>508</v>
      </c>
      <c r="I535" t="s">
        <v>509</v>
      </c>
      <c r="J535" t="s">
        <v>589</v>
      </c>
      <c r="K535" s="497">
        <f>ROUND(HLOOKUP($B535,'2-Préparation saisie LV PROD'!$F$1:$Q$86,'2-Préparation saisie LV PROD'!A52,FALSE),0)</f>
        <v>3469918</v>
      </c>
      <c r="L535" t="str">
        <f>VLOOKUP(C535,Capacité!C:L,10,FALSE)</f>
        <v>Seuil du Cambrésis- Ribecourt (RIB)</v>
      </c>
    </row>
    <row r="536" spans="1:12">
      <c r="A536" t="s">
        <v>505</v>
      </c>
      <c r="B536" t="str">
        <f t="shared" si="87"/>
        <v>B22_07</v>
      </c>
      <c r="C536" s="323" t="str">
        <f t="shared" si="90"/>
        <v>E5720</v>
      </c>
      <c r="D536" t="str">
        <f t="shared" si="91"/>
        <v>NO_DATAVIEWS</v>
      </c>
      <c r="E536" s="62" t="str">
        <f t="shared" si="91"/>
        <v>NO_DEPARTMENTS</v>
      </c>
      <c r="F536" t="s">
        <v>506</v>
      </c>
      <c r="G536" t="s">
        <v>507</v>
      </c>
      <c r="H536" t="s">
        <v>508</v>
      </c>
      <c r="I536" t="s">
        <v>509</v>
      </c>
      <c r="J536" t="s">
        <v>589</v>
      </c>
      <c r="K536" s="497">
        <f>ROUND(HLOOKUP($B536,'2-Préparation saisie LV PROD'!$F$1:$Q$86,'2-Préparation saisie LV PROD'!A53,FALSE),0)</f>
        <v>2436393</v>
      </c>
      <c r="L536" t="str">
        <f>VLOOKUP(C536,Capacité!C:L,10,FALSE)</f>
        <v>Basse Thiérache Nord</v>
      </c>
    </row>
    <row r="537" spans="1:12">
      <c r="A537" t="s">
        <v>505</v>
      </c>
      <c r="B537" t="str">
        <f t="shared" si="87"/>
        <v>B22_07</v>
      </c>
      <c r="C537" s="323" t="str">
        <f t="shared" si="90"/>
        <v>E5710</v>
      </c>
      <c r="D537" t="str">
        <f t="shared" si="91"/>
        <v>NO_DATAVIEWS</v>
      </c>
      <c r="E537" s="62" t="str">
        <f t="shared" si="91"/>
        <v>NO_DEPARTMENTS</v>
      </c>
      <c r="F537" t="s">
        <v>506</v>
      </c>
      <c r="G537" t="s">
        <v>507</v>
      </c>
      <c r="H537" t="s">
        <v>508</v>
      </c>
      <c r="I537" t="s">
        <v>509</v>
      </c>
      <c r="J537" t="s">
        <v>589</v>
      </c>
      <c r="K537" s="497">
        <f>ROUND(HLOOKUP($B537,'2-Préparation saisie LV PROD'!$F$1:$Q$86,'2-Préparation saisie LV PROD'!A54,FALSE),0)</f>
        <v>3301427</v>
      </c>
      <c r="L537" t="str">
        <f>VLOOKUP(C537,Capacité!C:L,10,FALSE)</f>
        <v>Sources de l'Ancre</v>
      </c>
    </row>
    <row r="538" spans="1:12">
      <c r="A538" t="s">
        <v>505</v>
      </c>
      <c r="B538" t="str">
        <f t="shared" si="87"/>
        <v>B22_07</v>
      </c>
      <c r="C538" s="323" t="str">
        <f t="shared" si="90"/>
        <v>E6190</v>
      </c>
      <c r="D538" t="str">
        <f t="shared" si="91"/>
        <v>NO_DATAVIEWS</v>
      </c>
      <c r="E538" s="62" t="str">
        <f t="shared" si="91"/>
        <v>NO_DEPARTMENTS</v>
      </c>
      <c r="F538" t="s">
        <v>506</v>
      </c>
      <c r="G538" t="s">
        <v>507</v>
      </c>
      <c r="H538" t="s">
        <v>508</v>
      </c>
      <c r="I538" t="s">
        <v>509</v>
      </c>
      <c r="J538" t="s">
        <v>589</v>
      </c>
      <c r="K538" s="497">
        <f>ROUND(HLOOKUP($B538,'2-Préparation saisie LV PROD'!$F$1:$Q$86,'2-Préparation saisie LV PROD'!A55,FALSE),0)</f>
        <v>0</v>
      </c>
      <c r="L538" t="str">
        <f>VLOOKUP(C538,Capacité!C:L,10,FALSE)</f>
        <v>Evits et Josaphats</v>
      </c>
    </row>
    <row r="539" spans="1:12">
      <c r="A539" t="s">
        <v>505</v>
      </c>
      <c r="B539" t="str">
        <f t="shared" si="87"/>
        <v>B22_07</v>
      </c>
      <c r="C539" s="323" t="str">
        <f t="shared" si="90"/>
        <v>E6200</v>
      </c>
      <c r="D539" t="str">
        <f t="shared" si="91"/>
        <v>NO_DATAVIEWS</v>
      </c>
      <c r="E539" s="62" t="str">
        <f t="shared" si="91"/>
        <v>NO_DEPARTMENTS</v>
      </c>
      <c r="F539" t="s">
        <v>506</v>
      </c>
      <c r="G539" t="s">
        <v>507</v>
      </c>
      <c r="H539" t="s">
        <v>508</v>
      </c>
      <c r="I539" t="s">
        <v>509</v>
      </c>
      <c r="J539" t="s">
        <v>589</v>
      </c>
      <c r="K539" s="497">
        <f>ROUND(HLOOKUP($B539,'2-Préparation saisie LV PROD'!$F$1:$Q$86,'2-Préparation saisie LV PROD'!A56,FALSE),0)</f>
        <v>0</v>
      </c>
      <c r="L539" t="str">
        <f>VLOOKUP(C539,Capacité!C:L,10,FALSE)</f>
        <v>Remise Reclainville</v>
      </c>
    </row>
    <row r="540" spans="1:12">
      <c r="A540" t="s">
        <v>505</v>
      </c>
      <c r="B540" t="str">
        <f t="shared" si="87"/>
        <v>B22_07</v>
      </c>
      <c r="C540" s="323" t="str">
        <f t="shared" si="90"/>
        <v>E6150</v>
      </c>
      <c r="D540" t="str">
        <f t="shared" si="91"/>
        <v>NO_DATAVIEWS</v>
      </c>
      <c r="E540" s="62" t="str">
        <f t="shared" si="91"/>
        <v>NO_DEPARTMENTS</v>
      </c>
      <c r="F540" t="s">
        <v>506</v>
      </c>
      <c r="G540" t="s">
        <v>507</v>
      </c>
      <c r="H540" t="s">
        <v>508</v>
      </c>
      <c r="I540" t="s">
        <v>509</v>
      </c>
      <c r="J540" t="s">
        <v>589</v>
      </c>
      <c r="K540" s="497">
        <f>ROUND(HLOOKUP($B540,'2-Préparation saisie LV PROD'!$F$1:$Q$86,'2-Préparation saisie LV PROD'!A57,FALSE),0)</f>
        <v>922253</v>
      </c>
      <c r="L540" t="str">
        <f>VLOOKUP(C540,Capacité!C:L,10,FALSE)</f>
        <v>Fierville</v>
      </c>
    </row>
    <row r="541" spans="1:12">
      <c r="A541" t="s">
        <v>505</v>
      </c>
      <c r="B541" t="str">
        <f t="shared" si="87"/>
        <v>B22_07</v>
      </c>
      <c r="C541" s="323" t="str">
        <f t="shared" si="90"/>
        <v>E6340</v>
      </c>
      <c r="D541" t="str">
        <f t="shared" si="91"/>
        <v>NO_DATAVIEWS</v>
      </c>
      <c r="E541" s="62" t="str">
        <f t="shared" si="91"/>
        <v>NO_DEPARTMENTS</v>
      </c>
      <c r="F541" t="s">
        <v>506</v>
      </c>
      <c r="G541" t="s">
        <v>507</v>
      </c>
      <c r="H541" t="s">
        <v>508</v>
      </c>
      <c r="I541" t="s">
        <v>509</v>
      </c>
      <c r="J541" t="s">
        <v>589</v>
      </c>
      <c r="K541" s="497">
        <f>ROUND(HLOOKUP($B541,'2-Préparation saisie LV PROD'!$F$1:$Q$86,'2-Préparation saisie LV PROD'!A58,FALSE),0)</f>
        <v>1460393</v>
      </c>
      <c r="L541" t="str">
        <f>VLOOKUP(C541,Capacité!C:L,10,FALSE)</f>
        <v>Plaine de Beaunay</v>
      </c>
    </row>
    <row r="542" spans="1:12">
      <c r="A542" t="s">
        <v>505</v>
      </c>
      <c r="B542" t="str">
        <f t="shared" si="87"/>
        <v>B22_07</v>
      </c>
      <c r="C542" s="323" t="str">
        <f t="shared" si="90"/>
        <v>E6370</v>
      </c>
      <c r="D542" t="str">
        <f t="shared" ref="D542:E557" si="92">D541</f>
        <v>NO_DATAVIEWS</v>
      </c>
      <c r="E542" s="62" t="str">
        <f t="shared" si="92"/>
        <v>NO_DEPARTMENTS</v>
      </c>
      <c r="F542" t="s">
        <v>506</v>
      </c>
      <c r="G542" t="s">
        <v>507</v>
      </c>
      <c r="H542" t="s">
        <v>508</v>
      </c>
      <c r="I542" t="s">
        <v>509</v>
      </c>
      <c r="J542" t="s">
        <v>589</v>
      </c>
      <c r="K542" s="497">
        <f>ROUND(HLOOKUP($B542,'2-Préparation saisie LV PROD'!$F$1:$Q$86,'2-Préparation saisie LV PROD'!A59,FALSE),0)</f>
        <v>2008157</v>
      </c>
      <c r="L542" t="str">
        <f>VLOOKUP(C542,Capacité!C:L,10,FALSE)</f>
        <v>Val au Moines</v>
      </c>
    </row>
    <row r="543" spans="1:12">
      <c r="A543" t="s">
        <v>505</v>
      </c>
      <c r="B543" t="str">
        <f t="shared" si="87"/>
        <v>B22_07</v>
      </c>
      <c r="C543" s="323" t="str">
        <f t="shared" si="90"/>
        <v>E6250</v>
      </c>
      <c r="D543" t="str">
        <f t="shared" si="92"/>
        <v>NO_DATAVIEWS</v>
      </c>
      <c r="E543" s="62" t="str">
        <f t="shared" si="92"/>
        <v>NO_DEPARTMENTS</v>
      </c>
      <c r="F543" t="s">
        <v>506</v>
      </c>
      <c r="G543" t="s">
        <v>507</v>
      </c>
      <c r="H543" t="s">
        <v>508</v>
      </c>
      <c r="I543" t="s">
        <v>509</v>
      </c>
      <c r="J543" t="s">
        <v>589</v>
      </c>
      <c r="K543" s="497">
        <f>ROUND(HLOOKUP($B543,'2-Préparation saisie LV PROD'!$F$1:$Q$86,'2-Préparation saisie LV PROD'!A60,FALSE),0)</f>
        <v>0</v>
      </c>
      <c r="L543" t="str">
        <f>VLOOKUP(C543,Capacité!C:L,10,FALSE)</f>
        <v>Bougainville</v>
      </c>
    </row>
    <row r="544" spans="1:12">
      <c r="A544" t="s">
        <v>505</v>
      </c>
      <c r="B544" t="str">
        <f t="shared" si="87"/>
        <v>B22_07</v>
      </c>
      <c r="C544" s="323" t="str">
        <f t="shared" si="90"/>
        <v>E6260</v>
      </c>
      <c r="D544" t="str">
        <f t="shared" si="92"/>
        <v>NO_DATAVIEWS</v>
      </c>
      <c r="E544" s="62" t="str">
        <f t="shared" si="92"/>
        <v>NO_DEPARTMENTS</v>
      </c>
      <c r="F544" t="s">
        <v>506</v>
      </c>
      <c r="G544" t="s">
        <v>507</v>
      </c>
      <c r="H544" t="s">
        <v>508</v>
      </c>
      <c r="I544" t="s">
        <v>509</v>
      </c>
      <c r="J544" t="s">
        <v>589</v>
      </c>
      <c r="K544" s="497">
        <f>ROUND(HLOOKUP($B544,'2-Préparation saisie LV PROD'!$F$1:$Q$86,'2-Préparation saisie LV PROD'!A61,FALSE),0)</f>
        <v>1176181</v>
      </c>
      <c r="L544" t="str">
        <f>VLOOKUP(C544,Capacité!C:L,10,FALSE)</f>
        <v>Saint André</v>
      </c>
    </row>
    <row r="545" spans="1:12">
      <c r="A545" t="s">
        <v>505</v>
      </c>
      <c r="B545" t="str">
        <f t="shared" si="87"/>
        <v>B22_07</v>
      </c>
      <c r="C545" s="323" t="str">
        <f t="shared" si="90"/>
        <v>E6120</v>
      </c>
      <c r="D545" t="str">
        <f t="shared" si="92"/>
        <v>NO_DATAVIEWS</v>
      </c>
      <c r="E545" s="62" t="str">
        <f t="shared" si="92"/>
        <v>NO_DEPARTMENTS</v>
      </c>
      <c r="F545" t="s">
        <v>506</v>
      </c>
      <c r="G545" t="s">
        <v>507</v>
      </c>
      <c r="H545" t="s">
        <v>508</v>
      </c>
      <c r="I545" t="s">
        <v>509</v>
      </c>
      <c r="J545" t="s">
        <v>589</v>
      </c>
      <c r="K545" s="497">
        <f>ROUND(HLOOKUP($B545,'2-Préparation saisie LV PROD'!$F$1:$Q$86,'2-Préparation saisie LV PROD'!A62,FALSE),0)</f>
        <v>680996</v>
      </c>
      <c r="L545" t="str">
        <f>VLOOKUP(C545,Capacité!C:L,10,FALSE)</f>
        <v>Fond de la Plaine</v>
      </c>
    </row>
    <row r="546" spans="1:12">
      <c r="A546" t="s">
        <v>505</v>
      </c>
      <c r="B546" t="str">
        <f t="shared" si="87"/>
        <v>B22_07</v>
      </c>
      <c r="C546" s="323" t="str">
        <f t="shared" si="90"/>
        <v>E6130</v>
      </c>
      <c r="D546" t="str">
        <f t="shared" si="92"/>
        <v>NO_DATAVIEWS</v>
      </c>
      <c r="E546" s="62" t="str">
        <f t="shared" si="92"/>
        <v>NO_DEPARTMENTS</v>
      </c>
      <c r="F546" t="s">
        <v>506</v>
      </c>
      <c r="G546" t="s">
        <v>507</v>
      </c>
      <c r="H546" t="s">
        <v>508</v>
      </c>
      <c r="I546" t="s">
        <v>509</v>
      </c>
      <c r="J546" t="s">
        <v>589</v>
      </c>
      <c r="K546" s="497">
        <f>ROUND(HLOOKUP($B546,'2-Préparation saisie LV PROD'!$F$1:$Q$86,'2-Préparation saisie LV PROD'!A63,FALSE),0)</f>
        <v>1173830</v>
      </c>
      <c r="L546" t="str">
        <f>VLOOKUP(C546,Capacité!C:L,10,FALSE)</f>
        <v>Bassigny</v>
      </c>
    </row>
    <row r="547" spans="1:12">
      <c r="A547" t="s">
        <v>505</v>
      </c>
      <c r="B547" t="str">
        <f t="shared" si="87"/>
        <v>B22_07</v>
      </c>
      <c r="C547" s="323" t="str">
        <f t="shared" si="90"/>
        <v>E6210</v>
      </c>
      <c r="D547" t="str">
        <f t="shared" si="92"/>
        <v>NO_DATAVIEWS</v>
      </c>
      <c r="E547" s="62" t="str">
        <f t="shared" si="92"/>
        <v>NO_DEPARTMENTS</v>
      </c>
      <c r="F547" t="s">
        <v>506</v>
      </c>
      <c r="G547" t="s">
        <v>507</v>
      </c>
      <c r="H547" t="s">
        <v>508</v>
      </c>
      <c r="I547" t="s">
        <v>509</v>
      </c>
      <c r="J547" t="s">
        <v>589</v>
      </c>
      <c r="K547" s="497">
        <f>ROUND(HLOOKUP($B547,'2-Préparation saisie LV PROD'!$F$1:$Q$86,'2-Préparation saisie LV PROD'!A64,FALSE),0)</f>
        <v>848433</v>
      </c>
      <c r="L547" t="str">
        <f>VLOOKUP(C547,Capacité!C:L,10,FALSE)</f>
        <v>Les Clérimois</v>
      </c>
    </row>
    <row r="548" spans="1:12">
      <c r="A548" t="s">
        <v>505</v>
      </c>
      <c r="B548" t="str">
        <f t="shared" si="87"/>
        <v>B22_07</v>
      </c>
      <c r="C548" s="323" t="str">
        <f t="shared" si="90"/>
        <v>E6160</v>
      </c>
      <c r="D548" t="str">
        <f t="shared" si="92"/>
        <v>NO_DATAVIEWS</v>
      </c>
      <c r="E548" s="62" t="str">
        <f t="shared" si="92"/>
        <v>NO_DEPARTMENTS</v>
      </c>
      <c r="F548" t="s">
        <v>506</v>
      </c>
      <c r="G548" t="s">
        <v>507</v>
      </c>
      <c r="H548" t="s">
        <v>508</v>
      </c>
      <c r="I548" t="s">
        <v>509</v>
      </c>
      <c r="J548" t="s">
        <v>589</v>
      </c>
      <c r="K548" s="497">
        <f>ROUND(HLOOKUP($B548,'2-Préparation saisie LV PROD'!$F$1:$Q$86,'2-Préparation saisie LV PROD'!A65,FALSE),0)</f>
        <v>1087749</v>
      </c>
      <c r="L548" t="str">
        <f>VLOOKUP(C548,Capacité!C:L,10,FALSE)</f>
        <v>Plateau de Langres</v>
      </c>
    </row>
    <row r="549" spans="1:12">
      <c r="A549" t="s">
        <v>505</v>
      </c>
      <c r="B549" t="str">
        <f t="shared" si="87"/>
        <v>B22_07</v>
      </c>
      <c r="C549" s="323" t="str">
        <f t="shared" si="90"/>
        <v>E6170</v>
      </c>
      <c r="D549" t="str">
        <f t="shared" si="92"/>
        <v>NO_DATAVIEWS</v>
      </c>
      <c r="E549" s="62" t="str">
        <f t="shared" si="92"/>
        <v>NO_DEPARTMENTS</v>
      </c>
      <c r="F549" t="s">
        <v>506</v>
      </c>
      <c r="G549" t="s">
        <v>507</v>
      </c>
      <c r="H549" t="s">
        <v>508</v>
      </c>
      <c r="I549" t="s">
        <v>509</v>
      </c>
      <c r="J549" t="s">
        <v>589</v>
      </c>
      <c r="K549" s="497">
        <f>ROUND(HLOOKUP($B549,'2-Préparation saisie LV PROD'!$F$1:$Q$86,'2-Préparation saisie LV PROD'!A66,FALSE),0)</f>
        <v>963177</v>
      </c>
      <c r="L549" t="str">
        <f>VLOOKUP(C549,Capacité!C:L,10,FALSE)</f>
        <v>Les Moulins de Boulay</v>
      </c>
    </row>
    <row r="550" spans="1:12">
      <c r="A550" t="s">
        <v>505</v>
      </c>
      <c r="B550" t="str">
        <f t="shared" si="87"/>
        <v>B22_07</v>
      </c>
      <c r="C550" s="323" t="str">
        <f t="shared" si="90"/>
        <v>E6330</v>
      </c>
      <c r="D550" t="str">
        <f t="shared" si="92"/>
        <v>NO_DATAVIEWS</v>
      </c>
      <c r="E550" s="62" t="str">
        <f t="shared" si="92"/>
        <v>NO_DEPARTMENTS</v>
      </c>
      <c r="F550" t="s">
        <v>506</v>
      </c>
      <c r="G550" t="s">
        <v>507</v>
      </c>
      <c r="H550" t="s">
        <v>508</v>
      </c>
      <c r="I550" t="s">
        <v>509</v>
      </c>
      <c r="J550" t="s">
        <v>589</v>
      </c>
      <c r="K550" s="497">
        <f>ROUND(HLOOKUP($B550,'2-Préparation saisie LV PROD'!$F$1:$Q$86,'2-Préparation saisie LV PROD'!A67,FALSE),0)</f>
        <v>1264565</v>
      </c>
      <c r="L550" t="str">
        <f>VLOOKUP(C550,Capacité!C:L,10,FALSE)</f>
        <v>Morlange</v>
      </c>
    </row>
    <row r="551" spans="1:12">
      <c r="A551" t="s">
        <v>505</v>
      </c>
      <c r="B551" t="str">
        <f t="shared" si="87"/>
        <v>B22_07</v>
      </c>
      <c r="C551" s="323" t="str">
        <f t="shared" si="90"/>
        <v>E6140</v>
      </c>
      <c r="D551" t="str">
        <f t="shared" si="92"/>
        <v>NO_DATAVIEWS</v>
      </c>
      <c r="E551" s="62" t="str">
        <f t="shared" si="92"/>
        <v>NO_DEPARTMENTS</v>
      </c>
      <c r="F551" t="s">
        <v>506</v>
      </c>
      <c r="G551" t="s">
        <v>507</v>
      </c>
      <c r="H551" t="s">
        <v>508</v>
      </c>
      <c r="I551" t="s">
        <v>509</v>
      </c>
      <c r="J551" t="s">
        <v>589</v>
      </c>
      <c r="K551" s="497">
        <f>ROUND(HLOOKUP($B551,'2-Préparation saisie LV PROD'!$F$1:$Q$86,'2-Préparation saisie LV PROD'!A68,FALSE),0)</f>
        <v>0</v>
      </c>
      <c r="L551" t="str">
        <f>VLOOKUP(C551,Capacité!C:L,10,FALSE)</f>
        <v>Renardières mont de Bezard</v>
      </c>
    </row>
    <row r="552" spans="1:12">
      <c r="A552" t="s">
        <v>505</v>
      </c>
      <c r="B552" t="str">
        <f t="shared" si="87"/>
        <v>B22_07</v>
      </c>
      <c r="C552" s="323" t="str">
        <f t="shared" ref="C552:C562" si="93">C471</f>
        <v>E6350</v>
      </c>
      <c r="D552" t="str">
        <f t="shared" si="92"/>
        <v>NO_DATAVIEWS</v>
      </c>
      <c r="E552" s="62" t="str">
        <f t="shared" si="92"/>
        <v>NO_DEPARTMENTS</v>
      </c>
      <c r="F552" t="s">
        <v>506</v>
      </c>
      <c r="G552" t="s">
        <v>507</v>
      </c>
      <c r="H552" t="s">
        <v>508</v>
      </c>
      <c r="I552" t="s">
        <v>509</v>
      </c>
      <c r="J552" t="s">
        <v>589</v>
      </c>
      <c r="K552" s="497">
        <f>ROUND(HLOOKUP($B552,'2-Préparation saisie LV PROD'!$F$1:$Q$86,'2-Préparation saisie LV PROD'!A69,FALSE),0)</f>
        <v>1283076</v>
      </c>
      <c r="L552" t="str">
        <f>VLOOKUP(C552,Capacité!C:L,10,FALSE)</f>
        <v>Zondrange</v>
      </c>
    </row>
    <row r="553" spans="1:12">
      <c r="A553" t="s">
        <v>505</v>
      </c>
      <c r="B553" t="str">
        <f t="shared" si="87"/>
        <v>B22_07</v>
      </c>
      <c r="C553" s="323" t="str">
        <f t="shared" si="93"/>
        <v>E6360</v>
      </c>
      <c r="D553" t="str">
        <f t="shared" si="92"/>
        <v>NO_DATAVIEWS</v>
      </c>
      <c r="E553" s="62" t="str">
        <f t="shared" si="92"/>
        <v>NO_DEPARTMENTS</v>
      </c>
      <c r="F553" t="s">
        <v>506</v>
      </c>
      <c r="G553" t="s">
        <v>507</v>
      </c>
      <c r="H553" t="s">
        <v>508</v>
      </c>
      <c r="I553" t="s">
        <v>509</v>
      </c>
      <c r="J553" t="s">
        <v>589</v>
      </c>
      <c r="K553" s="497">
        <f>ROUND(HLOOKUP($B553,'2-Préparation saisie LV PROD'!$F$1:$Q$86,'2-Préparation saisie LV PROD'!A70,FALSE),0)</f>
        <v>1401023</v>
      </c>
      <c r="L553" t="str">
        <f>VLOOKUP(C553,Capacité!C:L,10,FALSE)</f>
        <v xml:space="preserve">Noyers </v>
      </c>
    </row>
    <row r="554" spans="1:12">
      <c r="A554" t="s">
        <v>505</v>
      </c>
      <c r="B554" t="str">
        <f>+$B$488</f>
        <v>B22_07</v>
      </c>
      <c r="C554" s="323" t="str">
        <f t="shared" si="93"/>
        <v>E5550</v>
      </c>
      <c r="D554" t="str">
        <f t="shared" si="92"/>
        <v>NO_DATAVIEWS</v>
      </c>
      <c r="E554" s="62" t="str">
        <f t="shared" si="92"/>
        <v>NO_DEPARTMENTS</v>
      </c>
      <c r="F554" t="s">
        <v>506</v>
      </c>
      <c r="G554" t="s">
        <v>507</v>
      </c>
      <c r="H554" t="s">
        <v>508</v>
      </c>
      <c r="I554" t="s">
        <v>509</v>
      </c>
      <c r="J554" t="s">
        <v>589</v>
      </c>
      <c r="K554" s="497">
        <f>ROUND(HLOOKUP($B554,'2-Préparation saisie LV PROD'!$F$1:$Q$86,'2-Préparation saisie LV PROD'!A71,FALSE),0)</f>
        <v>1780896</v>
      </c>
      <c r="L554" t="str">
        <f>VLOOKUP(C554,Capacité!C:L,10,FALSE)</f>
        <v>Les Cigalettes (Montfort) / Solaire</v>
      </c>
    </row>
    <row r="555" spans="1:12">
      <c r="A555" t="s">
        <v>505</v>
      </c>
      <c r="B555" t="str">
        <f>+$B$488</f>
        <v>B22_07</v>
      </c>
      <c r="C555" s="323" t="str">
        <f t="shared" si="93"/>
        <v>E5250</v>
      </c>
      <c r="D555" t="str">
        <f t="shared" si="92"/>
        <v>NO_DATAVIEWS</v>
      </c>
      <c r="E555" s="62" t="str">
        <f t="shared" si="92"/>
        <v>NO_DEPARTMENTS</v>
      </c>
      <c r="F555" t="s">
        <v>506</v>
      </c>
      <c r="G555" t="s">
        <v>507</v>
      </c>
      <c r="H555" t="s">
        <v>508</v>
      </c>
      <c r="I555" t="s">
        <v>509</v>
      </c>
      <c r="J555" t="s">
        <v>589</v>
      </c>
      <c r="K555" s="497">
        <f>ROUND(HLOOKUP($B555,'2-Préparation saisie LV PROD'!$F$1:$Q$86,'2-Préparation saisie LV PROD'!A72,FALSE),0)</f>
        <v>704796</v>
      </c>
      <c r="L555" t="str">
        <f>VLOOKUP(C555,Capacité!C:L,10,FALSE)</f>
        <v>Avignonet / Solaire</v>
      </c>
    </row>
    <row r="556" spans="1:12">
      <c r="A556" t="s">
        <v>505</v>
      </c>
      <c r="B556" t="str">
        <f t="shared" ref="B556:B568" si="94">+$B$488</f>
        <v>B22_07</v>
      </c>
      <c r="C556" s="323" t="str">
        <f t="shared" si="93"/>
        <v>E6010</v>
      </c>
      <c r="D556" t="str">
        <f t="shared" si="92"/>
        <v>NO_DATAVIEWS</v>
      </c>
      <c r="E556" s="62" t="str">
        <f t="shared" si="92"/>
        <v>NO_DEPARTMENTS</v>
      </c>
      <c r="F556" t="s">
        <v>506</v>
      </c>
      <c r="G556" t="s">
        <v>507</v>
      </c>
      <c r="H556" t="s">
        <v>508</v>
      </c>
      <c r="I556" t="s">
        <v>509</v>
      </c>
      <c r="J556" t="s">
        <v>589</v>
      </c>
      <c r="K556" s="497">
        <f>ROUND(HLOOKUP($B556,'2-Préparation saisie LV PROD'!$F$1:$Q$86,'2-Préparation saisie LV PROD'!A74,FALSE),0)</f>
        <v>6177475</v>
      </c>
      <c r="L556" t="str">
        <f>VLOOKUP(C556,Capacité!C:L,10,FALSE)</f>
        <v>CDC-R</v>
      </c>
    </row>
    <row r="557" spans="1:12">
      <c r="A557" t="s">
        <v>505</v>
      </c>
      <c r="B557" t="str">
        <f t="shared" si="94"/>
        <v>B22_07</v>
      </c>
      <c r="C557" s="323" t="str">
        <f t="shared" si="93"/>
        <v>E6280</v>
      </c>
      <c r="D557" t="str">
        <f t="shared" si="92"/>
        <v>NO_DATAVIEWS</v>
      </c>
      <c r="E557" s="62" t="str">
        <f t="shared" si="92"/>
        <v>NO_DEPARTMENTS</v>
      </c>
      <c r="F557" t="s">
        <v>506</v>
      </c>
      <c r="G557" t="s">
        <v>507</v>
      </c>
      <c r="H557" t="s">
        <v>508</v>
      </c>
      <c r="I557" t="s">
        <v>509</v>
      </c>
      <c r="J557" t="s">
        <v>589</v>
      </c>
      <c r="K557" s="497">
        <f>ROUND(HLOOKUP($B557,'2-Préparation saisie LV PROD'!$F$1:$Q$86,'2-Préparation saisie LV PROD'!A75,FALSE),0)</f>
        <v>1807210</v>
      </c>
      <c r="L557" t="str">
        <f>VLOOKUP(C557,Capacité!C:L,10,FALSE)</f>
        <v>BPF</v>
      </c>
    </row>
    <row r="558" spans="1:12">
      <c r="A558" t="s">
        <v>505</v>
      </c>
      <c r="B558" t="str">
        <f t="shared" si="94"/>
        <v>B22_07</v>
      </c>
      <c r="C558" s="323" t="str">
        <f t="shared" si="93"/>
        <v>E5930</v>
      </c>
      <c r="D558" t="str">
        <f t="shared" ref="D558:E579" si="95">D557</f>
        <v>NO_DATAVIEWS</v>
      </c>
      <c r="E558" s="62" t="str">
        <f t="shared" si="95"/>
        <v>NO_DEPARTMENTS</v>
      </c>
      <c r="F558" t="s">
        <v>506</v>
      </c>
      <c r="G558" t="s">
        <v>507</v>
      </c>
      <c r="H558" t="s">
        <v>508</v>
      </c>
      <c r="I558" t="s">
        <v>509</v>
      </c>
      <c r="J558" t="s">
        <v>589</v>
      </c>
      <c r="K558" s="497">
        <f>ROUND(HLOOKUP($B558,'2-Préparation saisie LV PROD'!$F$1:$Q$86,'2-Préparation saisie LV PROD'!A76,FALSE),0)</f>
        <v>2520193</v>
      </c>
      <c r="L558" t="str">
        <f>VLOOKUP(C558,Capacité!C:L,10,FALSE)</f>
        <v>XSB</v>
      </c>
    </row>
    <row r="559" spans="1:12" s="4" customFormat="1">
      <c r="A559" s="4" t="s">
        <v>505</v>
      </c>
      <c r="B559" s="4" t="str">
        <f>+$B$488</f>
        <v>B22_07</v>
      </c>
      <c r="C559" s="323" t="str">
        <f t="shared" si="93"/>
        <v>E5880</v>
      </c>
      <c r="D559" t="str">
        <f t="shared" si="95"/>
        <v>NO_DATAVIEWS</v>
      </c>
      <c r="E559" s="62" t="str">
        <f t="shared" si="95"/>
        <v>NO_DEPARTMENTS</v>
      </c>
      <c r="F559" s="4" t="s">
        <v>506</v>
      </c>
      <c r="G559" s="4" t="s">
        <v>507</v>
      </c>
      <c r="H559" s="4" t="s">
        <v>508</v>
      </c>
      <c r="I559" s="4" t="s">
        <v>509</v>
      </c>
      <c r="J559" s="4" t="s">
        <v>589</v>
      </c>
      <c r="K559" s="497">
        <f>ROUND(HLOOKUP($B559,'2-Préparation saisie LV PROD'!$F$1:$Q$86,'2-Préparation saisie LV PROD'!A77,FALSE),0)</f>
        <v>2503451</v>
      </c>
      <c r="L559" t="str">
        <f>VLOOKUP(C559,Capacité!C:L,10,FALSE)</f>
        <v>Extension plaine d'Escrebieux</v>
      </c>
    </row>
    <row r="560" spans="1:12" s="4" customFormat="1">
      <c r="A560" s="4" t="s">
        <v>505</v>
      </c>
      <c r="B560" s="4" t="str">
        <f t="shared" si="94"/>
        <v>B22_07</v>
      </c>
      <c r="C560" s="323" t="str">
        <f t="shared" si="93"/>
        <v>E6720</v>
      </c>
      <c r="D560" t="str">
        <f t="shared" si="95"/>
        <v>NO_DATAVIEWS</v>
      </c>
      <c r="E560" s="62" t="str">
        <f t="shared" si="95"/>
        <v>NO_DEPARTMENTS</v>
      </c>
      <c r="F560" s="4" t="s">
        <v>506</v>
      </c>
      <c r="G560" s="4" t="s">
        <v>507</v>
      </c>
      <c r="H560" s="4" t="s">
        <v>508</v>
      </c>
      <c r="I560" s="4" t="s">
        <v>509</v>
      </c>
      <c r="J560" s="4" t="s">
        <v>589</v>
      </c>
      <c r="K560" s="497">
        <f>ROUND(HLOOKUP($B560,'2-Préparation saisie LV PROD'!$F$1:$Q$86,'2-Préparation saisie LV PROD'!A78,FALSE),0)</f>
        <v>2343944</v>
      </c>
      <c r="L560" t="str">
        <f>VLOOKUP(C560,Capacité!C:L,10,FALSE)</f>
        <v xml:space="preserve">St Christophe - Clé des champs / Solaire </v>
      </c>
    </row>
    <row r="561" spans="1:12" s="4" customFormat="1">
      <c r="A561" s="4" t="s">
        <v>505</v>
      </c>
      <c r="B561" s="4" t="str">
        <f t="shared" si="94"/>
        <v>B22_07</v>
      </c>
      <c r="C561" s="323" t="str">
        <f t="shared" si="93"/>
        <v>E6040</v>
      </c>
      <c r="D561" t="str">
        <f t="shared" si="95"/>
        <v>NO_DATAVIEWS</v>
      </c>
      <c r="E561" s="62" t="str">
        <f t="shared" si="95"/>
        <v>NO_DEPARTMENTS</v>
      </c>
      <c r="F561" s="4" t="s">
        <v>506</v>
      </c>
      <c r="G561" s="4" t="s">
        <v>507</v>
      </c>
      <c r="H561" s="4" t="s">
        <v>508</v>
      </c>
      <c r="I561" s="4" t="s">
        <v>509</v>
      </c>
      <c r="J561" s="4" t="s">
        <v>589</v>
      </c>
      <c r="K561" s="497">
        <f>ROUND(HLOOKUP($B561,'2-Préparation saisie LV PROD'!$F$1:$Q$86,'2-Préparation saisie LV PROD'!A79,FALSE),0)</f>
        <v>2963160</v>
      </c>
      <c r="L561" t="str">
        <f>VLOOKUP(C561,Capacité!C:L,10,FALSE)</f>
        <v>Peyrolles / Solaire</v>
      </c>
    </row>
    <row r="562" spans="1:12" s="4" customFormat="1">
      <c r="A562" s="4" t="s">
        <v>505</v>
      </c>
      <c r="B562" s="4" t="str">
        <f t="shared" si="94"/>
        <v>B22_07</v>
      </c>
      <c r="C562" s="323" t="str">
        <f t="shared" si="93"/>
        <v>E6310</v>
      </c>
      <c r="D562" t="str">
        <f t="shared" si="95"/>
        <v>NO_DATAVIEWS</v>
      </c>
      <c r="E562" s="62" t="str">
        <f t="shared" si="95"/>
        <v>NO_DEPARTMENTS</v>
      </c>
      <c r="F562" s="4" t="s">
        <v>506</v>
      </c>
      <c r="G562" s="4" t="s">
        <v>507</v>
      </c>
      <c r="H562" s="4" t="s">
        <v>508</v>
      </c>
      <c r="I562" s="4" t="s">
        <v>509</v>
      </c>
      <c r="J562" s="4" t="s">
        <v>589</v>
      </c>
      <c r="K562" s="497">
        <f>ROUND(HLOOKUP($B562,'2-Préparation saisie LV PROD'!$F$1:$Q$86,'2-Préparation saisie LV PROD'!A80,FALSE),0)</f>
        <v>1839684</v>
      </c>
      <c r="L562" t="str">
        <f>VLOOKUP(C562,Capacité!C:L,10,FALSE)</f>
        <v>Bazougeais</v>
      </c>
    </row>
    <row r="563" spans="1:12" s="4" customFormat="1">
      <c r="A563" s="4" t="s">
        <v>505</v>
      </c>
      <c r="B563" s="4" t="str">
        <f t="shared" si="94"/>
        <v>B22_07</v>
      </c>
      <c r="C563" s="323" t="str">
        <f t="shared" ref="C563:C568" si="96">C482</f>
        <v>E6571</v>
      </c>
      <c r="D563" t="str">
        <f t="shared" ref="D563:E563" si="97">D562</f>
        <v>NO_DATAVIEWS</v>
      </c>
      <c r="E563" s="62" t="str">
        <f t="shared" si="97"/>
        <v>NO_DEPARTMENTS</v>
      </c>
      <c r="F563" s="4" t="s">
        <v>506</v>
      </c>
      <c r="G563" s="4" t="s">
        <v>507</v>
      </c>
      <c r="H563" s="4" t="s">
        <v>508</v>
      </c>
      <c r="I563" s="4" t="s">
        <v>509</v>
      </c>
      <c r="J563" s="4" t="s">
        <v>589</v>
      </c>
      <c r="K563" s="497">
        <f>ROUND(HLOOKUP($B563,'2-Préparation saisie LV PROD'!$F$1:$Q$86,'2-Préparation saisie LV PROD'!A81,FALSE),0)</f>
        <v>0</v>
      </c>
      <c r="L563" t="s">
        <v>3538</v>
      </c>
    </row>
    <row r="564" spans="1:12" s="4" customFormat="1">
      <c r="A564" s="4" t="s">
        <v>505</v>
      </c>
      <c r="B564" s="4" t="str">
        <f t="shared" si="94"/>
        <v>B22_07</v>
      </c>
      <c r="C564" s="323" t="str">
        <f t="shared" si="96"/>
        <v>E5890</v>
      </c>
      <c r="D564" t="str">
        <f t="shared" ref="D564:E564" si="98">D563</f>
        <v>NO_DATAVIEWS</v>
      </c>
      <c r="E564" s="62" t="str">
        <f t="shared" si="98"/>
        <v>NO_DEPARTMENTS</v>
      </c>
      <c r="F564" s="4" t="s">
        <v>506</v>
      </c>
      <c r="G564" s="4" t="s">
        <v>507</v>
      </c>
      <c r="H564" s="4" t="s">
        <v>508</v>
      </c>
      <c r="I564" s="4" t="s">
        <v>509</v>
      </c>
      <c r="J564" s="4" t="s">
        <v>589</v>
      </c>
      <c r="K564" s="497">
        <f>ROUND(HLOOKUP($B564,'2-Préparation saisie LV PROD'!$F$1:$Q$86,'2-Préparation saisie LV PROD'!A82,FALSE),0)</f>
        <v>1640238</v>
      </c>
      <c r="L564" t="str">
        <f>VLOOKUP(C564,Capacité!C:L,10,FALSE)</f>
        <v>La Grande Borne</v>
      </c>
    </row>
    <row r="565" spans="1:12" s="4" customFormat="1">
      <c r="A565" s="4" t="s">
        <v>505</v>
      </c>
      <c r="B565" s="4" t="str">
        <f t="shared" si="94"/>
        <v>B22_07</v>
      </c>
      <c r="C565" s="323" t="str">
        <f t="shared" si="96"/>
        <v>E6730</v>
      </c>
      <c r="D565" t="str">
        <f t="shared" ref="D565:E565" si="99">D564</f>
        <v>NO_DATAVIEWS</v>
      </c>
      <c r="E565" s="62" t="str">
        <f t="shared" si="99"/>
        <v>NO_DEPARTMENTS</v>
      </c>
      <c r="F565" s="4" t="s">
        <v>506</v>
      </c>
      <c r="G565" s="4" t="s">
        <v>507</v>
      </c>
      <c r="H565" s="4" t="s">
        <v>508</v>
      </c>
      <c r="I565" s="4" t="s">
        <v>509</v>
      </c>
      <c r="J565" s="4" t="s">
        <v>589</v>
      </c>
      <c r="K565" s="497">
        <f>ROUND(HLOOKUP($B565,'2-Préparation saisie LV PROD'!$F$1:$Q$86,'2-Préparation saisie LV PROD'!A83,FALSE),0)</f>
        <v>0</v>
      </c>
      <c r="L565" t="str">
        <f>VLOOKUP(C565,Capacité!C:L,10,FALSE)</f>
        <v xml:space="preserve">R-EEJ - Evits et Josaphats </v>
      </c>
    </row>
    <row r="566" spans="1:12" s="4" customFormat="1">
      <c r="A566" s="4" t="s">
        <v>505</v>
      </c>
      <c r="B566" s="4" t="str">
        <f t="shared" si="94"/>
        <v>B22_07</v>
      </c>
      <c r="C566" s="323" t="str">
        <f t="shared" si="96"/>
        <v>E6740</v>
      </c>
      <c r="D566" t="str">
        <f t="shared" ref="D566:E566" si="100">D565</f>
        <v>NO_DATAVIEWS</v>
      </c>
      <c r="E566" s="62" t="str">
        <f t="shared" si="100"/>
        <v>NO_DEPARTMENTS</v>
      </c>
      <c r="F566" s="4" t="s">
        <v>506</v>
      </c>
      <c r="G566" s="4" t="s">
        <v>507</v>
      </c>
      <c r="H566" s="4" t="s">
        <v>508</v>
      </c>
      <c r="I566" s="4" t="s">
        <v>509</v>
      </c>
      <c r="J566" s="4" t="s">
        <v>589</v>
      </c>
      <c r="K566" s="497">
        <f>ROUND(HLOOKUP($B566,'2-Préparation saisie LV PROD'!$F$1:$Q$86,'2-Préparation saisie LV PROD'!A84,FALSE),0)</f>
        <v>2373741</v>
      </c>
      <c r="L566" t="str">
        <f>VLOOKUP(C566,Capacité!C:L,10,FALSE)</f>
        <v>R-RCL - Remise Reclainville</v>
      </c>
    </row>
    <row r="567" spans="1:12" s="4" customFormat="1">
      <c r="A567" s="4" t="s">
        <v>505</v>
      </c>
      <c r="B567" s="4" t="str">
        <f t="shared" si="94"/>
        <v>B22_07</v>
      </c>
      <c r="C567" s="323" t="str">
        <f t="shared" si="96"/>
        <v>E6290</v>
      </c>
      <c r="D567" t="str">
        <f t="shared" ref="D567:E567" si="101">D566</f>
        <v>NO_DATAVIEWS</v>
      </c>
      <c r="E567" s="62" t="str">
        <f t="shared" si="101"/>
        <v>NO_DEPARTMENTS</v>
      </c>
      <c r="F567" s="4" t="s">
        <v>506</v>
      </c>
      <c r="G567" s="4" t="s">
        <v>507</v>
      </c>
      <c r="H567" s="4" t="s">
        <v>508</v>
      </c>
      <c r="I567" s="4" t="s">
        <v>509</v>
      </c>
      <c r="J567" s="4" t="s">
        <v>589</v>
      </c>
      <c r="K567" s="497">
        <f>ROUND(HLOOKUP($B567,'2-Préparation saisie LV PROD'!$F$1:$Q$86,'2-Préparation saisie LV PROD'!A85,FALSE),0)</f>
        <v>3234805</v>
      </c>
      <c r="L567" t="str">
        <f>VLOOKUP(C567,Capacité!C:L,10,FALSE)</f>
        <v>Bois des Fontaines (extension EEJ)</v>
      </c>
    </row>
    <row r="568" spans="1:12" s="4" customFormat="1">
      <c r="A568" s="4" t="s">
        <v>505</v>
      </c>
      <c r="B568" s="4" t="str">
        <f t="shared" si="94"/>
        <v>B22_07</v>
      </c>
      <c r="C568" s="323" t="str">
        <f t="shared" si="96"/>
        <v>E6760</v>
      </c>
      <c r="D568" t="str">
        <f t="shared" ref="D568:E568" si="102">D567</f>
        <v>NO_DATAVIEWS</v>
      </c>
      <c r="E568" s="62" t="str">
        <f t="shared" si="102"/>
        <v>NO_DEPARTMENTS</v>
      </c>
      <c r="F568" s="4" t="s">
        <v>506</v>
      </c>
      <c r="G568" s="4" t="s">
        <v>507</v>
      </c>
      <c r="H568" s="4" t="s">
        <v>508</v>
      </c>
      <c r="I568" s="4" t="s">
        <v>509</v>
      </c>
      <c r="J568" s="4" t="s">
        <v>589</v>
      </c>
      <c r="K568" s="497">
        <f>ROUND(HLOOKUP($B568,'2-Préparation saisie LV PROD'!$F$1:$Q$86,'2-Préparation saisie LV PROD'!A86,FALSE),0)</f>
        <v>0</v>
      </c>
      <c r="L568" t="str">
        <f>VLOOKUP(C568,Capacité!C:L,10,FALSE)</f>
        <v>R-BGV - Bougainville</v>
      </c>
    </row>
    <row r="569" spans="1:12">
      <c r="A569" t="s">
        <v>505</v>
      </c>
      <c r="B569" s="3" t="s">
        <v>3363</v>
      </c>
      <c r="C569" s="323" t="str">
        <f t="shared" ref="C569:C600" si="103">C488</f>
        <v>E5030</v>
      </c>
      <c r="D569" t="str">
        <f>D562</f>
        <v>NO_DATAVIEWS</v>
      </c>
      <c r="E569" s="62" t="str">
        <f>E562</f>
        <v>NO_DEPARTMENTS</v>
      </c>
      <c r="F569" t="s">
        <v>506</v>
      </c>
      <c r="G569" t="s">
        <v>507</v>
      </c>
      <c r="H569" t="s">
        <v>508</v>
      </c>
      <c r="I569" t="s">
        <v>509</v>
      </c>
      <c r="J569" t="s">
        <v>589</v>
      </c>
      <c r="K569" s="497">
        <f>ROUND(HLOOKUP($B569,'2-Préparation saisie LV PROD'!$F$1:$Q$86,'2-Préparation saisie LV PROD'!A5,FALSE),0)</f>
        <v>962112</v>
      </c>
      <c r="L569" t="str">
        <f>VLOOKUP(C569,Capacité!C:L,10,FALSE)</f>
        <v>Avignonet</v>
      </c>
    </row>
    <row r="570" spans="1:12">
      <c r="A570" t="s">
        <v>505</v>
      </c>
      <c r="B570" t="str">
        <f>+$B$569</f>
        <v>B22_08</v>
      </c>
      <c r="C570" s="323" t="str">
        <f t="shared" si="103"/>
        <v>E5040</v>
      </c>
      <c r="D570" t="str">
        <f t="shared" si="95"/>
        <v>NO_DATAVIEWS</v>
      </c>
      <c r="E570" s="62" t="str">
        <f t="shared" si="95"/>
        <v>NO_DEPARTMENTS</v>
      </c>
      <c r="F570" t="s">
        <v>506</v>
      </c>
      <c r="G570" t="s">
        <v>507</v>
      </c>
      <c r="H570" t="s">
        <v>508</v>
      </c>
      <c r="I570" t="s">
        <v>509</v>
      </c>
      <c r="J570" t="s">
        <v>589</v>
      </c>
      <c r="K570" s="497">
        <f>ROUND(HLOOKUP($B570,'2-Préparation saisie LV PROD'!$F$1:$Q$86,'2-Préparation saisie LV PROD'!A6,FALSE),0)</f>
        <v>298311</v>
      </c>
      <c r="L570" t="str">
        <f>VLOOKUP(C570,Capacité!C:L,10,FALSE)</f>
        <v>Chépy</v>
      </c>
    </row>
    <row r="571" spans="1:12">
      <c r="A571" t="s">
        <v>505</v>
      </c>
      <c r="B571" t="str">
        <f t="shared" ref="B571:B634" si="104">+$B$569</f>
        <v>B22_08</v>
      </c>
      <c r="C571" s="323" t="str">
        <f t="shared" si="103"/>
        <v>E5050</v>
      </c>
      <c r="D571" t="str">
        <f t="shared" si="95"/>
        <v>NO_DATAVIEWS</v>
      </c>
      <c r="E571" s="62" t="str">
        <f t="shared" si="95"/>
        <v>NO_DEPARTMENTS</v>
      </c>
      <c r="F571" t="s">
        <v>506</v>
      </c>
      <c r="G571" t="s">
        <v>507</v>
      </c>
      <c r="H571" t="s">
        <v>508</v>
      </c>
      <c r="I571" t="s">
        <v>509</v>
      </c>
      <c r="J571" t="s">
        <v>589</v>
      </c>
      <c r="K571" s="497">
        <f>ROUND(HLOOKUP($B571,'2-Préparation saisie LV PROD'!$F$1:$Q$86,'2-Préparation saisie LV PROD'!A7,FALSE),0)</f>
        <v>907744</v>
      </c>
      <c r="L571" t="str">
        <f>VLOOKUP(C571,Capacité!C:L,10,FALSE)</f>
        <v>Nibas</v>
      </c>
    </row>
    <row r="572" spans="1:12">
      <c r="A572" t="s">
        <v>505</v>
      </c>
      <c r="B572" t="str">
        <f t="shared" si="104"/>
        <v>B22_08</v>
      </c>
      <c r="C572" s="323" t="str">
        <f t="shared" si="103"/>
        <v>E5070</v>
      </c>
      <c r="D572" t="str">
        <f t="shared" si="95"/>
        <v>NO_DATAVIEWS</v>
      </c>
      <c r="E572" s="62" t="str">
        <f t="shared" si="95"/>
        <v>NO_DEPARTMENTS</v>
      </c>
      <c r="F572" t="s">
        <v>506</v>
      </c>
      <c r="G572" t="s">
        <v>507</v>
      </c>
      <c r="H572" t="s">
        <v>508</v>
      </c>
      <c r="I572" t="s">
        <v>509</v>
      </c>
      <c r="J572" t="s">
        <v>589</v>
      </c>
      <c r="K572" s="497">
        <f>ROUND(HLOOKUP($B572,'2-Préparation saisie LV PROD'!$F$1:$Q$86,'2-Préparation saisie LV PROD'!A8,FALSE),0)</f>
        <v>728552</v>
      </c>
      <c r="L572" t="str">
        <f>VLOOKUP(C572,Capacité!C:L,10,FALSE)</f>
        <v>Ally Bessadous</v>
      </c>
    </row>
    <row r="573" spans="1:12">
      <c r="A573" t="s">
        <v>505</v>
      </c>
      <c r="B573" t="str">
        <f t="shared" si="104"/>
        <v>B22_08</v>
      </c>
      <c r="C573" s="323" t="str">
        <f t="shared" si="103"/>
        <v>E5080</v>
      </c>
      <c r="D573" t="str">
        <f t="shared" si="95"/>
        <v>NO_DATAVIEWS</v>
      </c>
      <c r="E573" s="62" t="str">
        <f t="shared" si="95"/>
        <v>NO_DEPARTMENTS</v>
      </c>
      <c r="F573" t="s">
        <v>506</v>
      </c>
      <c r="G573" t="s">
        <v>507</v>
      </c>
      <c r="H573" t="s">
        <v>508</v>
      </c>
      <c r="I573" t="s">
        <v>509</v>
      </c>
      <c r="J573" t="s">
        <v>589</v>
      </c>
      <c r="K573" s="497">
        <f>ROUND(HLOOKUP($B573,'2-Préparation saisie LV PROD'!$F$1:$Q$86,'2-Préparation saisie LV PROD'!A9,FALSE),0)</f>
        <v>485171</v>
      </c>
      <c r="L573" t="str">
        <f>VLOOKUP(C573,Capacité!C:L,10,FALSE)</f>
        <v>Ally Mercoeur</v>
      </c>
    </row>
    <row r="574" spans="1:12">
      <c r="A574" t="s">
        <v>505</v>
      </c>
      <c r="B574" t="str">
        <f t="shared" si="104"/>
        <v>B22_08</v>
      </c>
      <c r="C574" s="323" t="str">
        <f t="shared" si="103"/>
        <v>E5090</v>
      </c>
      <c r="D574" t="str">
        <f t="shared" si="95"/>
        <v>NO_DATAVIEWS</v>
      </c>
      <c r="E574" s="62" t="str">
        <f t="shared" si="95"/>
        <v>NO_DEPARTMENTS</v>
      </c>
      <c r="F574" t="s">
        <v>506</v>
      </c>
      <c r="G574" t="s">
        <v>507</v>
      </c>
      <c r="H574" t="s">
        <v>508</v>
      </c>
      <c r="I574" t="s">
        <v>509</v>
      </c>
      <c r="J574" t="s">
        <v>589</v>
      </c>
      <c r="K574" s="497">
        <f>ROUND(HLOOKUP($B574,'2-Préparation saisie LV PROD'!$F$1:$Q$86,'2-Préparation saisie LV PROD'!A10,FALSE),0)</f>
        <v>630150</v>
      </c>
      <c r="L574" t="str">
        <f>VLOOKUP(C574,Capacité!C:L,10,FALSE)</f>
        <v>Ally Monteil</v>
      </c>
    </row>
    <row r="575" spans="1:12">
      <c r="A575" t="s">
        <v>505</v>
      </c>
      <c r="B575" t="str">
        <f t="shared" si="104"/>
        <v>B22_08</v>
      </c>
      <c r="C575" s="323" t="str">
        <f t="shared" si="103"/>
        <v>E5100</v>
      </c>
      <c r="D575" t="str">
        <f t="shared" si="95"/>
        <v>NO_DATAVIEWS</v>
      </c>
      <c r="E575" s="62" t="str">
        <f t="shared" si="95"/>
        <v>NO_DEPARTMENTS</v>
      </c>
      <c r="F575" t="s">
        <v>506</v>
      </c>
      <c r="G575" t="s">
        <v>507</v>
      </c>
      <c r="H575" t="s">
        <v>508</v>
      </c>
      <c r="I575" t="s">
        <v>509</v>
      </c>
      <c r="J575" t="s">
        <v>589</v>
      </c>
      <c r="K575" s="497">
        <f>ROUND(HLOOKUP($B575,'2-Préparation saisie LV PROD'!$F$1:$Q$86,'2-Préparation saisie LV PROD'!A11,FALSE),0)</f>
        <v>762842</v>
      </c>
      <c r="L575" t="str">
        <f>VLOOKUP(C575,Capacité!C:L,10,FALSE)</f>
        <v>Ally Verseilles</v>
      </c>
    </row>
    <row r="576" spans="1:12">
      <c r="A576" t="s">
        <v>505</v>
      </c>
      <c r="B576" t="str">
        <f t="shared" si="104"/>
        <v>B22_08</v>
      </c>
      <c r="C576" s="323" t="str">
        <f t="shared" si="103"/>
        <v>E5110</v>
      </c>
      <c r="D576" t="str">
        <f t="shared" si="95"/>
        <v>NO_DATAVIEWS</v>
      </c>
      <c r="E576" s="62" t="str">
        <f t="shared" si="95"/>
        <v>NO_DEPARTMENTS</v>
      </c>
      <c r="F576" t="s">
        <v>506</v>
      </c>
      <c r="G576" t="s">
        <v>507</v>
      </c>
      <c r="H576" t="s">
        <v>508</v>
      </c>
      <c r="I576" t="s">
        <v>509</v>
      </c>
      <c r="J576" t="s">
        <v>589</v>
      </c>
      <c r="K576" s="497">
        <f>ROUND(HLOOKUP($B576,'2-Préparation saisie LV PROD'!$F$1:$Q$86,'2-Préparation saisie LV PROD'!A12,FALSE),0)</f>
        <v>0</v>
      </c>
      <c r="L576" t="str">
        <f>VLOOKUP(C576,Capacité!C:L,10,FALSE)</f>
        <v>Cham Longe Bel Air</v>
      </c>
    </row>
    <row r="577" spans="1:12">
      <c r="A577" t="s">
        <v>505</v>
      </c>
      <c r="B577" t="str">
        <f t="shared" si="104"/>
        <v>B22_08</v>
      </c>
      <c r="C577" s="323" t="str">
        <f t="shared" si="103"/>
        <v>E5120</v>
      </c>
      <c r="D577" t="str">
        <f t="shared" si="95"/>
        <v>NO_DATAVIEWS</v>
      </c>
      <c r="E577" s="62" t="str">
        <f t="shared" si="95"/>
        <v>NO_DEPARTMENTS</v>
      </c>
      <c r="F577" t="s">
        <v>506</v>
      </c>
      <c r="G577" t="s">
        <v>507</v>
      </c>
      <c r="H577" t="s">
        <v>508</v>
      </c>
      <c r="I577" t="s">
        <v>509</v>
      </c>
      <c r="J577" t="s">
        <v>589</v>
      </c>
      <c r="K577" s="497">
        <f>ROUND(HLOOKUP($B577,'2-Préparation saisie LV PROD'!$F$1:$Q$86,'2-Préparation saisie LV PROD'!A13,FALSE),0)</f>
        <v>0</v>
      </c>
      <c r="L577" t="str">
        <f>VLOOKUP(C577,Capacité!C:L,10,FALSE)</f>
        <v>Cham Longe Le Courbil (Eole Cevennes)</v>
      </c>
    </row>
    <row r="578" spans="1:12">
      <c r="A578" t="s">
        <v>505</v>
      </c>
      <c r="B578" t="str">
        <f t="shared" si="104"/>
        <v>B22_08</v>
      </c>
      <c r="C578" s="323" t="str">
        <f t="shared" si="103"/>
        <v>E5150</v>
      </c>
      <c r="D578" t="str">
        <f t="shared" si="95"/>
        <v>NO_DATAVIEWS</v>
      </c>
      <c r="E578" s="62" t="str">
        <f t="shared" si="95"/>
        <v>NO_DEPARTMENTS</v>
      </c>
      <c r="F578" t="s">
        <v>506</v>
      </c>
      <c r="G578" t="s">
        <v>507</v>
      </c>
      <c r="H578" t="s">
        <v>508</v>
      </c>
      <c r="I578" t="s">
        <v>509</v>
      </c>
      <c r="J578" t="s">
        <v>589</v>
      </c>
      <c r="K578" s="497">
        <f>ROUND(HLOOKUP($B578,'2-Préparation saisie LV PROD'!$F$1:$Q$86,'2-Préparation saisie LV PROD'!A14,FALSE),0)</f>
        <v>669657</v>
      </c>
      <c r="L578" t="str">
        <f>VLOOKUP(C578,Capacité!C:L,10,FALSE)</f>
        <v>Cham Longe II</v>
      </c>
    </row>
    <row r="579" spans="1:12">
      <c r="A579" t="s">
        <v>505</v>
      </c>
      <c r="B579" t="str">
        <f t="shared" si="104"/>
        <v>B22_08</v>
      </c>
      <c r="C579" s="323" t="str">
        <f t="shared" si="103"/>
        <v>E5130</v>
      </c>
      <c r="D579" t="str">
        <f t="shared" si="95"/>
        <v>NO_DATAVIEWS</v>
      </c>
      <c r="E579" s="62" t="str">
        <f t="shared" si="95"/>
        <v>NO_DEPARTMENTS</v>
      </c>
      <c r="F579" t="s">
        <v>506</v>
      </c>
      <c r="G579" t="s">
        <v>507</v>
      </c>
      <c r="H579" t="s">
        <v>508</v>
      </c>
      <c r="I579" t="s">
        <v>509</v>
      </c>
      <c r="J579" t="s">
        <v>589</v>
      </c>
      <c r="K579" s="497">
        <f>ROUND(HLOOKUP($B579,'2-Préparation saisie LV PROD'!$F$1:$Q$86,'2-Préparation saisie LV PROD'!A15,FALSE),0)</f>
        <v>941293</v>
      </c>
      <c r="L579" t="str">
        <f>VLOOKUP(C579,Capacité!C:L,10,FALSE)</f>
        <v>Plouguin</v>
      </c>
    </row>
    <row r="580" spans="1:12">
      <c r="A580" t="s">
        <v>505</v>
      </c>
      <c r="B580" t="str">
        <f t="shared" si="104"/>
        <v>B22_08</v>
      </c>
      <c r="C580" s="323" t="str">
        <f t="shared" si="103"/>
        <v>E5140</v>
      </c>
      <c r="D580" t="str">
        <f t="shared" ref="D580:E595" si="105">D579</f>
        <v>NO_DATAVIEWS</v>
      </c>
      <c r="E580" s="62" t="str">
        <f t="shared" si="105"/>
        <v>NO_DEPARTMENTS</v>
      </c>
      <c r="F580" t="s">
        <v>506</v>
      </c>
      <c r="G580" t="s">
        <v>507</v>
      </c>
      <c r="H580" t="s">
        <v>508</v>
      </c>
      <c r="I580" t="s">
        <v>509</v>
      </c>
      <c r="J580" t="s">
        <v>589</v>
      </c>
      <c r="K580" s="497">
        <f>ROUND(HLOOKUP($B580,'2-Préparation saisie LV PROD'!$F$1:$Q$86,'2-Préparation saisie LV PROD'!A16,FALSE),0)</f>
        <v>1751357</v>
      </c>
      <c r="L580" t="str">
        <f>VLOOKUP(C580,Capacité!C:L,10,FALSE)</f>
        <v>La Citadelle</v>
      </c>
    </row>
    <row r="581" spans="1:12">
      <c r="A581" t="s">
        <v>505</v>
      </c>
      <c r="B581" t="str">
        <f t="shared" si="104"/>
        <v>B22_08</v>
      </c>
      <c r="C581" s="323" t="str">
        <f t="shared" si="103"/>
        <v>E5160</v>
      </c>
      <c r="D581" t="str">
        <f t="shared" si="105"/>
        <v>NO_DATAVIEWS</v>
      </c>
      <c r="E581" s="62" t="str">
        <f t="shared" si="105"/>
        <v>NO_DEPARTMENTS</v>
      </c>
      <c r="F581" t="s">
        <v>506</v>
      </c>
      <c r="G581" t="s">
        <v>507</v>
      </c>
      <c r="H581" t="s">
        <v>508</v>
      </c>
      <c r="I581" t="s">
        <v>509</v>
      </c>
      <c r="J581" t="s">
        <v>589</v>
      </c>
      <c r="K581" s="497">
        <f>ROUND(HLOOKUP($B581,'2-Préparation saisie LV PROD'!$F$1:$Q$86,'2-Préparation saisie LV PROD'!A17,FALSE),0)</f>
        <v>1027919</v>
      </c>
      <c r="L581" t="str">
        <f>VLOOKUP(C581,Capacité!C:L,10,FALSE)</f>
        <v>Chasse Marée</v>
      </c>
    </row>
    <row r="582" spans="1:12">
      <c r="A582" t="s">
        <v>505</v>
      </c>
      <c r="B582" t="str">
        <f t="shared" si="104"/>
        <v>B22_08</v>
      </c>
      <c r="C582" s="323" t="str">
        <f t="shared" si="103"/>
        <v>E5170</v>
      </c>
      <c r="D582" t="str">
        <f t="shared" si="105"/>
        <v>NO_DATAVIEWS</v>
      </c>
      <c r="E582" s="62" t="str">
        <f t="shared" si="105"/>
        <v>NO_DEPARTMENTS</v>
      </c>
      <c r="F582" t="s">
        <v>506</v>
      </c>
      <c r="G582" t="s">
        <v>507</v>
      </c>
      <c r="H582" t="s">
        <v>508</v>
      </c>
      <c r="I582" t="s">
        <v>509</v>
      </c>
      <c r="J582" t="s">
        <v>589</v>
      </c>
      <c r="K582" s="497">
        <f>ROUND(HLOOKUP($B582,'2-Préparation saisie LV PROD'!$F$1:$Q$86,'2-Préparation saisie LV PROD'!A18,FALSE),0)</f>
        <v>3219562</v>
      </c>
      <c r="L582" t="str">
        <f>VLOOKUP(C582,Capacité!C:L,10,FALSE)</f>
        <v>Ronchois</v>
      </c>
    </row>
    <row r="583" spans="1:12">
      <c r="A583" t="s">
        <v>505</v>
      </c>
      <c r="B583" t="str">
        <f t="shared" si="104"/>
        <v>B22_08</v>
      </c>
      <c r="C583" s="323" t="str">
        <f t="shared" si="103"/>
        <v>E5180</v>
      </c>
      <c r="D583" t="str">
        <f t="shared" si="105"/>
        <v>NO_DATAVIEWS</v>
      </c>
      <c r="E583" s="62" t="str">
        <f t="shared" si="105"/>
        <v>NO_DEPARTMENTS</v>
      </c>
      <c r="F583" t="s">
        <v>506</v>
      </c>
      <c r="G583" t="s">
        <v>507</v>
      </c>
      <c r="H583" t="s">
        <v>508</v>
      </c>
      <c r="I583" t="s">
        <v>509</v>
      </c>
      <c r="J583" t="s">
        <v>589</v>
      </c>
      <c r="K583" s="497">
        <f>ROUND(HLOOKUP($B583,'2-Préparation saisie LV PROD'!$F$1:$Q$86,'2-Préparation saisie LV PROD'!A19,FALSE),0)</f>
        <v>1256595</v>
      </c>
      <c r="L583" t="str">
        <f>VLOOKUP(C583,Capacité!C:L,10,FALSE)</f>
        <v>Le Grand Camp</v>
      </c>
    </row>
    <row r="584" spans="1:12">
      <c r="A584" t="s">
        <v>505</v>
      </c>
      <c r="B584" t="str">
        <f t="shared" si="104"/>
        <v>B22_08</v>
      </c>
      <c r="C584" s="323" t="str">
        <f t="shared" si="103"/>
        <v>E5210</v>
      </c>
      <c r="D584" t="str">
        <f t="shared" si="105"/>
        <v>NO_DATAVIEWS</v>
      </c>
      <c r="E584" s="62" t="str">
        <f t="shared" si="105"/>
        <v>NO_DEPARTMENTS</v>
      </c>
      <c r="F584" t="s">
        <v>506</v>
      </c>
      <c r="G584" t="s">
        <v>507</v>
      </c>
      <c r="H584" t="s">
        <v>508</v>
      </c>
      <c r="I584" t="s">
        <v>509</v>
      </c>
      <c r="J584" t="s">
        <v>589</v>
      </c>
      <c r="K584" s="497">
        <f>ROUND(HLOOKUP($B584,'2-Préparation saisie LV PROD'!$F$1:$Q$86,'2-Préparation saisie LV PROD'!A20,FALSE),0)</f>
        <v>599905</v>
      </c>
      <c r="L584" t="str">
        <f>VLOOKUP(C584,Capacité!C:L,10,FALSE)</f>
        <v>Avignonet II</v>
      </c>
    </row>
    <row r="585" spans="1:12">
      <c r="A585" t="s">
        <v>505</v>
      </c>
      <c r="B585" t="str">
        <f t="shared" si="104"/>
        <v>B22_08</v>
      </c>
      <c r="C585" s="323" t="str">
        <f t="shared" si="103"/>
        <v>E5270</v>
      </c>
      <c r="D585" t="str">
        <f t="shared" si="105"/>
        <v>NO_DATAVIEWS</v>
      </c>
      <c r="E585" s="62" t="str">
        <f t="shared" si="105"/>
        <v>NO_DEPARTMENTS</v>
      </c>
      <c r="F585" t="s">
        <v>506</v>
      </c>
      <c r="G585" t="s">
        <v>507</v>
      </c>
      <c r="H585" t="s">
        <v>508</v>
      </c>
      <c r="I585" t="s">
        <v>509</v>
      </c>
      <c r="J585" t="s">
        <v>589</v>
      </c>
      <c r="K585" s="497">
        <f>ROUND(HLOOKUP($B585,'2-Préparation saisie LV PROD'!$F$1:$Q$86,'2-Préparation saisie LV PROD'!A21,FALSE),0)</f>
        <v>2844262</v>
      </c>
      <c r="L585" t="str">
        <f>VLOOKUP(C585,Capacité!C:L,10,FALSE)</f>
        <v>Ménétréols Renardiére (La vallée 2)</v>
      </c>
    </row>
    <row r="586" spans="1:12">
      <c r="A586" t="s">
        <v>505</v>
      </c>
      <c r="B586" t="str">
        <f t="shared" si="104"/>
        <v>B22_08</v>
      </c>
      <c r="C586" s="323" t="str">
        <f t="shared" si="103"/>
        <v>E5280</v>
      </c>
      <c r="D586" t="str">
        <f t="shared" si="105"/>
        <v>NO_DATAVIEWS</v>
      </c>
      <c r="E586" s="62" t="str">
        <f t="shared" si="105"/>
        <v>NO_DEPARTMENTS</v>
      </c>
      <c r="F586" t="s">
        <v>506</v>
      </c>
      <c r="G586" t="s">
        <v>507</v>
      </c>
      <c r="H586" t="s">
        <v>508</v>
      </c>
      <c r="I586" t="s">
        <v>509</v>
      </c>
      <c r="J586" t="s">
        <v>589</v>
      </c>
      <c r="K586" s="497">
        <f>ROUND(HLOOKUP($B586,'2-Préparation saisie LV PROD'!$F$1:$Q$86,'2-Préparation saisie LV PROD'!A22,FALSE),0)</f>
        <v>469199</v>
      </c>
      <c r="L586" t="str">
        <f>VLOOKUP(C586,Capacité!C:L,10,FALSE)</f>
        <v>St Georges (La Vallée 1)</v>
      </c>
    </row>
    <row r="587" spans="1:12">
      <c r="A587" t="s">
        <v>505</v>
      </c>
      <c r="B587" t="str">
        <f t="shared" si="104"/>
        <v>B22_08</v>
      </c>
      <c r="C587" s="323" t="str">
        <f t="shared" si="103"/>
        <v>E5300</v>
      </c>
      <c r="D587" t="str">
        <f t="shared" si="105"/>
        <v>NO_DATAVIEWS</v>
      </c>
      <c r="E587" s="62" t="str">
        <f t="shared" si="105"/>
        <v>NO_DEPARTMENTS</v>
      </c>
      <c r="F587" t="s">
        <v>506</v>
      </c>
      <c r="G587" t="s">
        <v>507</v>
      </c>
      <c r="H587" t="s">
        <v>508</v>
      </c>
      <c r="I587" t="s">
        <v>509</v>
      </c>
      <c r="J587" t="s">
        <v>589</v>
      </c>
      <c r="K587" s="497">
        <f>ROUND(HLOOKUP($B587,'2-Préparation saisie LV PROD'!$F$1:$Q$86,'2-Préparation saisie LV PROD'!A23,FALSE),0)</f>
        <v>1097392</v>
      </c>
      <c r="L587" t="str">
        <f>VLOOKUP(C587,Capacité!C:L,10,FALSE)</f>
        <v>Vron</v>
      </c>
    </row>
    <row r="588" spans="1:12">
      <c r="A588" t="s">
        <v>505</v>
      </c>
      <c r="B588" t="str">
        <f t="shared" si="104"/>
        <v>B22_08</v>
      </c>
      <c r="C588" s="323" t="str">
        <f t="shared" si="103"/>
        <v>E5310</v>
      </c>
      <c r="D588" t="str">
        <f t="shared" si="105"/>
        <v>NO_DATAVIEWS</v>
      </c>
      <c r="E588" s="62" t="str">
        <f t="shared" si="105"/>
        <v>NO_DEPARTMENTS</v>
      </c>
      <c r="F588" t="s">
        <v>506</v>
      </c>
      <c r="G588" t="s">
        <v>507</v>
      </c>
      <c r="H588" t="s">
        <v>508</v>
      </c>
      <c r="I588" t="s">
        <v>509</v>
      </c>
      <c r="J588" t="s">
        <v>589</v>
      </c>
      <c r="K588" s="497">
        <f>ROUND(HLOOKUP($B588,'2-Préparation saisie LV PROD'!$F$1:$Q$86,'2-Préparation saisie LV PROD'!A24,FALSE),0)</f>
        <v>2997794</v>
      </c>
      <c r="L588" t="str">
        <f>VLOOKUP(C588,Capacité!C:L,10,FALSE)</f>
        <v>Fortel</v>
      </c>
    </row>
    <row r="589" spans="1:12">
      <c r="A589" t="s">
        <v>505</v>
      </c>
      <c r="B589" t="str">
        <f t="shared" si="104"/>
        <v>B22_08</v>
      </c>
      <c r="C589" s="323" t="str">
        <f t="shared" si="103"/>
        <v>E5320</v>
      </c>
      <c r="D589" t="str">
        <f t="shared" si="105"/>
        <v>NO_DATAVIEWS</v>
      </c>
      <c r="E589" s="62" t="str">
        <f t="shared" si="105"/>
        <v>NO_DEPARTMENTS</v>
      </c>
      <c r="F589" t="s">
        <v>506</v>
      </c>
      <c r="G589" t="s">
        <v>507</v>
      </c>
      <c r="H589" t="s">
        <v>508</v>
      </c>
      <c r="I589" t="s">
        <v>509</v>
      </c>
      <c r="J589" t="s">
        <v>589</v>
      </c>
      <c r="K589" s="497">
        <f>ROUND(HLOOKUP($B589,'2-Préparation saisie LV PROD'!$F$1:$Q$86,'2-Préparation saisie LV PROD'!A25,FALSE),0)</f>
        <v>2784411</v>
      </c>
      <c r="L589" t="str">
        <f>VLOOKUP(C589,Capacité!C:L,10,FALSE)</f>
        <v>St François Roye</v>
      </c>
    </row>
    <row r="590" spans="1:12">
      <c r="A590" t="s">
        <v>505</v>
      </c>
      <c r="B590" t="str">
        <f t="shared" si="104"/>
        <v>B22_08</v>
      </c>
      <c r="C590" s="323" t="str">
        <f t="shared" si="103"/>
        <v>E5290</v>
      </c>
      <c r="D590" t="str">
        <f t="shared" si="105"/>
        <v>NO_DATAVIEWS</v>
      </c>
      <c r="E590" s="62" t="str">
        <f t="shared" si="105"/>
        <v>NO_DEPARTMENTS</v>
      </c>
      <c r="F590" t="s">
        <v>506</v>
      </c>
      <c r="G590" t="s">
        <v>507</v>
      </c>
      <c r="H590" t="s">
        <v>508</v>
      </c>
      <c r="I590" t="s">
        <v>509</v>
      </c>
      <c r="J590" t="s">
        <v>589</v>
      </c>
      <c r="K590" s="497">
        <f>ROUND(HLOOKUP($B590,'2-Préparation saisie LV PROD'!$F$1:$Q$86,'2-Préparation saisie LV PROD'!A26,FALSE),0)</f>
        <v>5663903</v>
      </c>
      <c r="L590" t="str">
        <f>VLOOKUP(C590,Capacité!C:L,10,FALSE)</f>
        <v>St Patrick</v>
      </c>
    </row>
    <row r="591" spans="1:12">
      <c r="A591" t="s">
        <v>505</v>
      </c>
      <c r="B591" t="str">
        <f t="shared" si="104"/>
        <v>B22_08</v>
      </c>
      <c r="C591" s="323" t="str">
        <f t="shared" si="103"/>
        <v>E5360</v>
      </c>
      <c r="D591" t="str">
        <f t="shared" si="105"/>
        <v>NO_DATAVIEWS</v>
      </c>
      <c r="E591" s="62" t="str">
        <f t="shared" si="105"/>
        <v>NO_DEPARTMENTS</v>
      </c>
      <c r="F591" t="s">
        <v>506</v>
      </c>
      <c r="G591" t="s">
        <v>507</v>
      </c>
      <c r="H591" t="s">
        <v>508</v>
      </c>
      <c r="I591" t="s">
        <v>509</v>
      </c>
      <c r="J591" t="s">
        <v>589</v>
      </c>
      <c r="K591" s="497">
        <f>ROUND(HLOOKUP($B591,'2-Préparation saisie LV PROD'!$F$1:$Q$86,'2-Préparation saisie LV PROD'!A27,FALSE),0)</f>
        <v>1789023</v>
      </c>
      <c r="L591" t="str">
        <f>VLOOKUP(C591,Capacité!C:L,10,FALSE)</f>
        <v>Calmont (Laur Eole Energie )</v>
      </c>
    </row>
    <row r="592" spans="1:12">
      <c r="A592" t="s">
        <v>505</v>
      </c>
      <c r="B592" t="str">
        <f t="shared" si="104"/>
        <v>B22_08</v>
      </c>
      <c r="C592" s="323" t="str">
        <f t="shared" si="103"/>
        <v>E5391</v>
      </c>
      <c r="D592" t="str">
        <f t="shared" si="105"/>
        <v>NO_DATAVIEWS</v>
      </c>
      <c r="E592" s="62" t="str">
        <f t="shared" si="105"/>
        <v>NO_DEPARTMENTS</v>
      </c>
      <c r="F592" t="s">
        <v>506</v>
      </c>
      <c r="G592" t="s">
        <v>507</v>
      </c>
      <c r="H592" t="s">
        <v>508</v>
      </c>
      <c r="I592" t="s">
        <v>509</v>
      </c>
      <c r="J592" t="s">
        <v>589</v>
      </c>
      <c r="K592" s="497">
        <f>ROUND(HLOOKUP($B592,'2-Préparation saisie LV PROD'!$F$1:$Q$86,'2-Préparation saisie LV PROD'!A28,FALSE),0)</f>
        <v>363003</v>
      </c>
      <c r="L592" t="str">
        <f>VLOOKUP(C592,Capacité!C:L,10,FALSE)</f>
        <v>Coat Conval</v>
      </c>
    </row>
    <row r="593" spans="1:12">
      <c r="A593" t="s">
        <v>505</v>
      </c>
      <c r="B593" t="str">
        <f t="shared" si="104"/>
        <v>B22_08</v>
      </c>
      <c r="C593" s="323" t="str">
        <f t="shared" si="103"/>
        <v>E5392</v>
      </c>
      <c r="D593" t="str">
        <f t="shared" si="105"/>
        <v>NO_DATAVIEWS</v>
      </c>
      <c r="E593" s="62" t="str">
        <f t="shared" si="105"/>
        <v>NO_DEPARTMENTS</v>
      </c>
      <c r="F593" t="s">
        <v>506</v>
      </c>
      <c r="G593" t="s">
        <v>507</v>
      </c>
      <c r="H593" t="s">
        <v>508</v>
      </c>
      <c r="I593" t="s">
        <v>509</v>
      </c>
      <c r="J593" t="s">
        <v>589</v>
      </c>
      <c r="K593" s="497">
        <f>ROUND(HLOOKUP($B593,'2-Préparation saisie LV PROD'!$F$1:$Q$86,'2-Préparation saisie LV PROD'!A29,FALSE),0)</f>
        <v>613462</v>
      </c>
      <c r="L593" t="str">
        <f>VLOOKUP(C593,Capacité!C:L,10,FALSE)</f>
        <v>Leign ar Gasprenn</v>
      </c>
    </row>
    <row r="594" spans="1:12">
      <c r="A594" t="s">
        <v>505</v>
      </c>
      <c r="B594" t="str">
        <f t="shared" si="104"/>
        <v>B22_08</v>
      </c>
      <c r="C594" s="323" t="str">
        <f t="shared" si="103"/>
        <v>E5393</v>
      </c>
      <c r="D594" t="str">
        <f t="shared" si="105"/>
        <v>NO_DATAVIEWS</v>
      </c>
      <c r="E594" s="62" t="str">
        <f t="shared" si="105"/>
        <v>NO_DEPARTMENTS</v>
      </c>
      <c r="F594" t="s">
        <v>506</v>
      </c>
      <c r="G594" t="s">
        <v>507</v>
      </c>
      <c r="H594" t="s">
        <v>508</v>
      </c>
      <c r="I594" t="s">
        <v>509</v>
      </c>
      <c r="J594" t="s">
        <v>589</v>
      </c>
      <c r="K594" s="497">
        <f>ROUND(HLOOKUP($B594,'2-Préparation saisie LV PROD'!$F$1:$Q$86,'2-Préparation saisie LV PROD'!A30,FALSE),0)</f>
        <v>3553500</v>
      </c>
      <c r="L594" t="str">
        <f>VLOOKUP(C594,Capacité!C:L,10,FALSE)</f>
        <v>Vallée d'Arce</v>
      </c>
    </row>
    <row r="595" spans="1:12">
      <c r="A595" t="s">
        <v>505</v>
      </c>
      <c r="B595" t="str">
        <f t="shared" si="104"/>
        <v>B22_08</v>
      </c>
      <c r="C595" s="323" t="str">
        <f t="shared" si="103"/>
        <v>E5394</v>
      </c>
      <c r="D595" t="str">
        <f t="shared" si="105"/>
        <v>NO_DATAVIEWS</v>
      </c>
      <c r="E595" s="62" t="str">
        <f t="shared" si="105"/>
        <v>NO_DEPARTMENTS</v>
      </c>
      <c r="F595" t="s">
        <v>506</v>
      </c>
      <c r="G595" t="s">
        <v>507</v>
      </c>
      <c r="H595" t="s">
        <v>508</v>
      </c>
      <c r="I595" t="s">
        <v>509</v>
      </c>
      <c r="J595" t="s">
        <v>589</v>
      </c>
      <c r="K595" s="497">
        <f>ROUND(HLOOKUP($B595,'2-Préparation saisie LV PROD'!$F$1:$Q$86,'2-Préparation saisie LV PROD'!A31,FALSE),0)</f>
        <v>687709</v>
      </c>
      <c r="L595" t="str">
        <f>VLOOKUP(C595,Capacité!C:L,10,FALSE)</f>
        <v>La Bouleste</v>
      </c>
    </row>
    <row r="596" spans="1:12">
      <c r="A596" t="s">
        <v>505</v>
      </c>
      <c r="B596" t="str">
        <f t="shared" si="104"/>
        <v>B22_08</v>
      </c>
      <c r="C596" s="323" t="str">
        <f t="shared" si="103"/>
        <v>E5395</v>
      </c>
      <c r="D596" t="str">
        <f t="shared" ref="D596:E611" si="106">D595</f>
        <v>NO_DATAVIEWS</v>
      </c>
      <c r="E596" s="62" t="str">
        <f t="shared" si="106"/>
        <v>NO_DEPARTMENTS</v>
      </c>
      <c r="F596" t="s">
        <v>506</v>
      </c>
      <c r="G596" t="s">
        <v>507</v>
      </c>
      <c r="H596" t="s">
        <v>508</v>
      </c>
      <c r="I596" t="s">
        <v>509</v>
      </c>
      <c r="J596" t="s">
        <v>589</v>
      </c>
      <c r="K596" s="497">
        <f>ROUND(HLOOKUP($B596,'2-Préparation saisie LV PROD'!$F$1:$Q$86,'2-Préparation saisie LV PROD'!A32,FALSE),0)</f>
        <v>2181605</v>
      </c>
      <c r="L596" t="str">
        <f>VLOOKUP(C596,Capacité!C:L,10,FALSE)</f>
        <v>Haut de Conge</v>
      </c>
    </row>
    <row r="597" spans="1:12">
      <c r="A597" t="s">
        <v>505</v>
      </c>
      <c r="B597" t="str">
        <f t="shared" si="104"/>
        <v>B22_08</v>
      </c>
      <c r="C597" s="323" t="str">
        <f t="shared" si="103"/>
        <v>E5396</v>
      </c>
      <c r="D597" t="str">
        <f t="shared" si="106"/>
        <v>NO_DATAVIEWS</v>
      </c>
      <c r="E597" s="62" t="str">
        <f t="shared" si="106"/>
        <v>NO_DEPARTMENTS</v>
      </c>
      <c r="F597" t="s">
        <v>506</v>
      </c>
      <c r="G597" t="s">
        <v>507</v>
      </c>
      <c r="H597" t="s">
        <v>508</v>
      </c>
      <c r="I597" t="s">
        <v>509</v>
      </c>
      <c r="J597" t="s">
        <v>589</v>
      </c>
      <c r="K597" s="497">
        <f>ROUND(HLOOKUP($B597,'2-Préparation saisie LV PROD'!$F$1:$Q$86,'2-Préparation saisie LV PROD'!A33,FALSE),0)</f>
        <v>901220</v>
      </c>
      <c r="L597" t="str">
        <f>VLOOKUP(C597,Capacité!C:L,10,FALSE)</f>
        <v>Les Eparmonts</v>
      </c>
    </row>
    <row r="598" spans="1:12">
      <c r="A598" t="s">
        <v>505</v>
      </c>
      <c r="B598" t="str">
        <f t="shared" si="104"/>
        <v>B22_08</v>
      </c>
      <c r="C598" s="323" t="str">
        <f t="shared" si="103"/>
        <v>E5397</v>
      </c>
      <c r="D598" t="str">
        <f t="shared" si="106"/>
        <v>NO_DATAVIEWS</v>
      </c>
      <c r="E598" s="62" t="str">
        <f t="shared" si="106"/>
        <v>NO_DEPARTMENTS</v>
      </c>
      <c r="F598" t="s">
        <v>506</v>
      </c>
      <c r="G598" t="s">
        <v>507</v>
      </c>
      <c r="H598" t="s">
        <v>508</v>
      </c>
      <c r="I598" t="s">
        <v>509</v>
      </c>
      <c r="J598" t="s">
        <v>589</v>
      </c>
      <c r="K598" s="497">
        <f>ROUND(HLOOKUP($B598,'2-Préparation saisie LV PROD'!$F$1:$Q$86,'2-Préparation saisie LV PROD'!A34,FALSE),0)</f>
        <v>1167829</v>
      </c>
      <c r="L598" t="str">
        <f>VLOOKUP(C598,Capacité!C:L,10,FALSE)</f>
        <v>Charmoy</v>
      </c>
    </row>
    <row r="599" spans="1:12">
      <c r="A599" t="s">
        <v>505</v>
      </c>
      <c r="B599" t="str">
        <f t="shared" si="104"/>
        <v>B22_08</v>
      </c>
      <c r="C599" s="323" t="str">
        <f t="shared" si="103"/>
        <v>E5398</v>
      </c>
      <c r="D599" t="str">
        <f t="shared" si="106"/>
        <v>NO_DATAVIEWS</v>
      </c>
      <c r="E599" s="62" t="str">
        <f t="shared" si="106"/>
        <v>NO_DEPARTMENTS</v>
      </c>
      <c r="F599" t="s">
        <v>506</v>
      </c>
      <c r="G599" t="s">
        <v>507</v>
      </c>
      <c r="H599" t="s">
        <v>508</v>
      </c>
      <c r="I599" t="s">
        <v>509</v>
      </c>
      <c r="J599" t="s">
        <v>589</v>
      </c>
      <c r="K599" s="497">
        <f>ROUND(HLOOKUP($B599,'2-Préparation saisie LV PROD'!$F$1:$Q$86,'2-Préparation saisie LV PROD'!A35,FALSE),0)</f>
        <v>1891004</v>
      </c>
      <c r="L599" t="str">
        <f>VLOOKUP(C599,Capacité!C:L,10,FALSE)</f>
        <v>Pannecé</v>
      </c>
    </row>
    <row r="600" spans="1:12">
      <c r="A600" t="s">
        <v>505</v>
      </c>
      <c r="B600" t="str">
        <f t="shared" si="104"/>
        <v>B22_08</v>
      </c>
      <c r="C600" s="323" t="str">
        <f t="shared" si="103"/>
        <v>E5399</v>
      </c>
      <c r="D600" t="str">
        <f t="shared" si="106"/>
        <v>NO_DATAVIEWS</v>
      </c>
      <c r="E600" s="62" t="str">
        <f t="shared" si="106"/>
        <v>NO_DEPARTMENTS</v>
      </c>
      <c r="F600" t="s">
        <v>506</v>
      </c>
      <c r="G600" t="s">
        <v>507</v>
      </c>
      <c r="H600" t="s">
        <v>508</v>
      </c>
      <c r="I600" t="s">
        <v>509</v>
      </c>
      <c r="J600" t="s">
        <v>589</v>
      </c>
      <c r="K600" s="497">
        <f>ROUND(HLOOKUP($B600,'2-Préparation saisie LV PROD'!$F$1:$Q$86,'2-Préparation saisie LV PROD'!A36,FALSE),0)</f>
        <v>3430635</v>
      </c>
      <c r="L600" t="str">
        <f>VLOOKUP(C600,Capacité!C:L,10,FALSE)</f>
        <v>Coulonges</v>
      </c>
    </row>
    <row r="601" spans="1:12">
      <c r="A601" t="s">
        <v>505</v>
      </c>
      <c r="B601" t="str">
        <f t="shared" si="104"/>
        <v>B22_08</v>
      </c>
      <c r="C601" s="323" t="str">
        <f t="shared" ref="C601:C632" si="107">C520</f>
        <v>E5400</v>
      </c>
      <c r="D601" t="str">
        <f t="shared" si="106"/>
        <v>NO_DATAVIEWS</v>
      </c>
      <c r="E601" s="62" t="str">
        <f t="shared" si="106"/>
        <v>NO_DEPARTMENTS</v>
      </c>
      <c r="F601" t="s">
        <v>506</v>
      </c>
      <c r="G601" t="s">
        <v>507</v>
      </c>
      <c r="H601" t="s">
        <v>508</v>
      </c>
      <c r="I601" t="s">
        <v>509</v>
      </c>
      <c r="J601" t="s">
        <v>589</v>
      </c>
      <c r="K601" s="497">
        <f>ROUND(HLOOKUP($B601,'2-Préparation saisie LV PROD'!$F$1:$Q$86,'2-Préparation saisie LV PROD'!A37,FALSE),0)</f>
        <v>2257518</v>
      </c>
      <c r="L601" t="str">
        <f>VLOOKUP(C601,Capacité!C:L,10,FALSE)</f>
        <v>SdlL</v>
      </c>
    </row>
    <row r="602" spans="1:12">
      <c r="A602" t="s">
        <v>505</v>
      </c>
      <c r="B602" t="str">
        <f t="shared" si="104"/>
        <v>B22_08</v>
      </c>
      <c r="C602" s="323" t="str">
        <f t="shared" si="107"/>
        <v>E5401</v>
      </c>
      <c r="D602" t="str">
        <f t="shared" si="106"/>
        <v>NO_DATAVIEWS</v>
      </c>
      <c r="E602" s="62" t="str">
        <f t="shared" si="106"/>
        <v>NO_DEPARTMENTS</v>
      </c>
      <c r="F602" t="s">
        <v>506</v>
      </c>
      <c r="G602" t="s">
        <v>507</v>
      </c>
      <c r="H602" t="s">
        <v>508</v>
      </c>
      <c r="I602" t="s">
        <v>509</v>
      </c>
      <c r="J602" t="s">
        <v>589</v>
      </c>
      <c r="K602" s="497">
        <f>ROUND(HLOOKUP($B602,'2-Préparation saisie LV PROD'!$F$1:$Q$86,'2-Préparation saisie LV PROD'!A38,FALSE),0)</f>
        <v>902612</v>
      </c>
      <c r="L602" t="str">
        <f>VLOOKUP(C602,Capacité!C:L,10,FALSE)</f>
        <v>Pays d'Othe</v>
      </c>
    </row>
    <row r="603" spans="1:12">
      <c r="A603" t="s">
        <v>505</v>
      </c>
      <c r="B603" t="str">
        <f t="shared" si="104"/>
        <v>B22_08</v>
      </c>
      <c r="C603" s="323" t="str">
        <f t="shared" si="107"/>
        <v>E5402</v>
      </c>
      <c r="D603" t="str">
        <f t="shared" si="106"/>
        <v>NO_DATAVIEWS</v>
      </c>
      <c r="E603" s="62" t="str">
        <f t="shared" si="106"/>
        <v>NO_DEPARTMENTS</v>
      </c>
      <c r="F603" t="s">
        <v>506</v>
      </c>
      <c r="G603" t="s">
        <v>507</v>
      </c>
      <c r="H603" t="s">
        <v>508</v>
      </c>
      <c r="I603" t="s">
        <v>509</v>
      </c>
      <c r="J603" t="s">
        <v>589</v>
      </c>
      <c r="K603" s="497">
        <f>ROUND(HLOOKUP($B603,'2-Préparation saisie LV PROD'!$F$1:$Q$86,'2-Préparation saisie LV PROD'!A39,FALSE),0)</f>
        <v>1172368</v>
      </c>
      <c r="L603" t="str">
        <f>VLOOKUP(C603,Capacité!C:L,10,FALSE)</f>
        <v>Comes de l'Arce</v>
      </c>
    </row>
    <row r="604" spans="1:12">
      <c r="A604" t="s">
        <v>505</v>
      </c>
      <c r="B604" t="str">
        <f t="shared" si="104"/>
        <v>B22_08</v>
      </c>
      <c r="C604" s="323" t="str">
        <f t="shared" si="107"/>
        <v>E5570</v>
      </c>
      <c r="D604" t="str">
        <f t="shared" si="106"/>
        <v>NO_DATAVIEWS</v>
      </c>
      <c r="E604" s="62" t="str">
        <f t="shared" si="106"/>
        <v>NO_DEPARTMENTS</v>
      </c>
      <c r="F604" t="s">
        <v>506</v>
      </c>
      <c r="G604" t="s">
        <v>507</v>
      </c>
      <c r="H604" t="s">
        <v>508</v>
      </c>
      <c r="I604" t="s">
        <v>509</v>
      </c>
      <c r="J604" t="s">
        <v>589</v>
      </c>
      <c r="K604" s="497">
        <f>ROUND(HLOOKUP($B604,'2-Préparation saisie LV PROD'!$F$1:$Q$86,'2-Préparation saisie LV PROD'!A40,FALSE),0)</f>
        <v>1669252</v>
      </c>
      <c r="L604" t="str">
        <f>VLOOKUP(C604,Capacité!C:L,10,FALSE)</f>
        <v>Plateau de Savernat</v>
      </c>
    </row>
    <row r="605" spans="1:12">
      <c r="A605" t="s">
        <v>505</v>
      </c>
      <c r="B605" t="str">
        <f t="shared" si="104"/>
        <v>B22_08</v>
      </c>
      <c r="C605" s="323" t="str">
        <f t="shared" si="107"/>
        <v>E5560</v>
      </c>
      <c r="D605" t="str">
        <f t="shared" si="106"/>
        <v>NO_DATAVIEWS</v>
      </c>
      <c r="E605" s="62" t="str">
        <f t="shared" si="106"/>
        <v>NO_DEPARTMENTS</v>
      </c>
      <c r="F605" t="s">
        <v>506</v>
      </c>
      <c r="G605" t="s">
        <v>507</v>
      </c>
      <c r="H605" t="s">
        <v>508</v>
      </c>
      <c r="I605" t="s">
        <v>509</v>
      </c>
      <c r="J605" t="s">
        <v>589</v>
      </c>
      <c r="K605" s="497">
        <f>ROUND(HLOOKUP($B605,'2-Préparation saisie LV PROD'!$F$1:$Q$86,'2-Préparation saisie LV PROD'!A41,FALSE),0)</f>
        <v>1645441</v>
      </c>
      <c r="L605" t="str">
        <f>VLOOKUP(C605,Capacité!C:L,10,FALSE)</f>
        <v>Touvent</v>
      </c>
    </row>
    <row r="606" spans="1:12">
      <c r="A606" t="s">
        <v>505</v>
      </c>
      <c r="B606" t="str">
        <f t="shared" si="104"/>
        <v>B22_08</v>
      </c>
      <c r="C606" s="323" t="str">
        <f t="shared" si="107"/>
        <v>E5700</v>
      </c>
      <c r="D606" t="str">
        <f t="shared" si="106"/>
        <v>NO_DATAVIEWS</v>
      </c>
      <c r="E606" s="62" t="str">
        <f t="shared" si="106"/>
        <v>NO_DEPARTMENTS</v>
      </c>
      <c r="F606" t="s">
        <v>506</v>
      </c>
      <c r="G606" t="s">
        <v>507</v>
      </c>
      <c r="H606" t="s">
        <v>508</v>
      </c>
      <c r="I606" t="s">
        <v>509</v>
      </c>
      <c r="J606" t="s">
        <v>589</v>
      </c>
      <c r="K606" s="497">
        <f>ROUND(HLOOKUP($B606,'2-Préparation saisie LV PROD'!$F$1:$Q$86,'2-Préparation saisie LV PROD'!A42,FALSE),0)</f>
        <v>3044596</v>
      </c>
      <c r="L606" t="str">
        <f>VLOOKUP(C606,Capacité!C:L,10,FALSE)</f>
        <v>Haut de Comble (HC)</v>
      </c>
    </row>
    <row r="607" spans="1:12">
      <c r="A607" t="s">
        <v>505</v>
      </c>
      <c r="B607" t="str">
        <f t="shared" si="104"/>
        <v>B22_08</v>
      </c>
      <c r="C607" s="323" t="str">
        <f t="shared" si="107"/>
        <v>E5600</v>
      </c>
      <c r="D607" t="str">
        <f t="shared" si="106"/>
        <v>NO_DATAVIEWS</v>
      </c>
      <c r="E607" s="62" t="str">
        <f t="shared" si="106"/>
        <v>NO_DEPARTMENTS</v>
      </c>
      <c r="F607" t="s">
        <v>506</v>
      </c>
      <c r="G607" t="s">
        <v>507</v>
      </c>
      <c r="H607" t="s">
        <v>508</v>
      </c>
      <c r="I607" t="s">
        <v>509</v>
      </c>
      <c r="J607" t="s">
        <v>589</v>
      </c>
      <c r="K607" s="497">
        <f>ROUND(HLOOKUP($B607,'2-Préparation saisie LV PROD'!$F$1:$Q$86,'2-Préparation saisie LV PROD'!A43,FALSE),0)</f>
        <v>4168949</v>
      </c>
      <c r="L607" t="str">
        <f>VLOOKUP(C607,Capacité!C:L,10,FALSE)</f>
        <v>Inter deux bos (MET)</v>
      </c>
    </row>
    <row r="608" spans="1:12">
      <c r="A608" t="s">
        <v>505</v>
      </c>
      <c r="B608" t="str">
        <f t="shared" si="104"/>
        <v>B22_08</v>
      </c>
      <c r="C608" s="323" t="str">
        <f t="shared" si="107"/>
        <v>E5770</v>
      </c>
      <c r="D608" t="str">
        <f t="shared" si="106"/>
        <v>NO_DATAVIEWS</v>
      </c>
      <c r="E608" s="62" t="str">
        <f t="shared" si="106"/>
        <v>NO_DEPARTMENTS</v>
      </c>
      <c r="F608" t="s">
        <v>506</v>
      </c>
      <c r="G608" t="s">
        <v>507</v>
      </c>
      <c r="H608" t="s">
        <v>508</v>
      </c>
      <c r="I608" t="s">
        <v>509</v>
      </c>
      <c r="J608" t="s">
        <v>589</v>
      </c>
      <c r="K608" s="497">
        <f>ROUND(HLOOKUP($B608,'2-Préparation saisie LV PROD'!$F$1:$Q$86,'2-Préparation saisie LV PROD'!A44,FALSE),0)</f>
        <v>1428860</v>
      </c>
      <c r="L608" t="str">
        <f>VLOOKUP(C608,Capacité!C:L,10,FALSE)</f>
        <v>Le Pelon</v>
      </c>
    </row>
    <row r="609" spans="1:12">
      <c r="A609" t="s">
        <v>505</v>
      </c>
      <c r="B609" t="str">
        <f t="shared" si="104"/>
        <v>B22_08</v>
      </c>
      <c r="C609" s="323" t="str">
        <f t="shared" si="107"/>
        <v>E5630</v>
      </c>
      <c r="D609" t="str">
        <f t="shared" si="106"/>
        <v>NO_DATAVIEWS</v>
      </c>
      <c r="E609" s="62" t="str">
        <f t="shared" si="106"/>
        <v>NO_DEPARTMENTS</v>
      </c>
      <c r="F609" t="s">
        <v>506</v>
      </c>
      <c r="G609" t="s">
        <v>507</v>
      </c>
      <c r="H609" t="s">
        <v>508</v>
      </c>
      <c r="I609" t="s">
        <v>509</v>
      </c>
      <c r="J609" t="s">
        <v>589</v>
      </c>
      <c r="K609" s="497">
        <f>ROUND(HLOOKUP($B609,'2-Préparation saisie LV PROD'!$F$1:$Q$86,'2-Préparation saisie LV PROD'!A45,FALSE),0)</f>
        <v>3517689</v>
      </c>
      <c r="L609" t="str">
        <f>VLOOKUP(C609,Capacité!C:L,10,FALSE)</f>
        <v>Monts de Bagny</v>
      </c>
    </row>
    <row r="610" spans="1:12">
      <c r="A610" t="s">
        <v>505</v>
      </c>
      <c r="B610" t="str">
        <f t="shared" si="104"/>
        <v>B22_08</v>
      </c>
      <c r="C610" s="323" t="str">
        <f t="shared" si="107"/>
        <v>E5690</v>
      </c>
      <c r="D610" t="str">
        <f t="shared" si="106"/>
        <v>NO_DATAVIEWS</v>
      </c>
      <c r="E610" s="62" t="str">
        <f t="shared" si="106"/>
        <v>NO_DEPARTMENTS</v>
      </c>
      <c r="F610" t="s">
        <v>506</v>
      </c>
      <c r="G610" t="s">
        <v>507</v>
      </c>
      <c r="H610" t="s">
        <v>508</v>
      </c>
      <c r="I610" t="s">
        <v>509</v>
      </c>
      <c r="J610" t="s">
        <v>589</v>
      </c>
      <c r="K610" s="497">
        <f>ROUND(HLOOKUP($B610,'2-Préparation saisie LV PROD'!$F$1:$Q$86,'2-Préparation saisie LV PROD'!A46,FALSE),0)</f>
        <v>1762776</v>
      </c>
      <c r="L610" t="str">
        <f>VLOOKUP(C610,Capacité!C:L,10,FALSE)</f>
        <v>Voie des monts</v>
      </c>
    </row>
    <row r="611" spans="1:12">
      <c r="A611" t="s">
        <v>505</v>
      </c>
      <c r="B611" t="str">
        <f t="shared" si="104"/>
        <v>B22_08</v>
      </c>
      <c r="C611" s="323" t="str">
        <f t="shared" si="107"/>
        <v>E5640</v>
      </c>
      <c r="D611" t="str">
        <f t="shared" si="106"/>
        <v>NO_DATAVIEWS</v>
      </c>
      <c r="E611" s="62" t="str">
        <f t="shared" si="106"/>
        <v>NO_DEPARTMENTS</v>
      </c>
      <c r="F611" t="s">
        <v>506</v>
      </c>
      <c r="G611" t="s">
        <v>507</v>
      </c>
      <c r="H611" t="s">
        <v>508</v>
      </c>
      <c r="I611" t="s">
        <v>509</v>
      </c>
      <c r="J611" t="s">
        <v>589</v>
      </c>
      <c r="K611" s="497">
        <f>ROUND(HLOOKUP($B611,'2-Préparation saisie LV PROD'!$F$1:$Q$86,'2-Préparation saisie LV PROD'!A47,FALSE),0)</f>
        <v>3576245</v>
      </c>
      <c r="L611" t="str">
        <f>VLOOKUP(C611,Capacité!C:L,10,FALSE)</f>
        <v>Artois</v>
      </c>
    </row>
    <row r="612" spans="1:12">
      <c r="A612" t="s">
        <v>505</v>
      </c>
      <c r="B612" t="str">
        <f t="shared" si="104"/>
        <v>B22_08</v>
      </c>
      <c r="C612" s="323" t="str">
        <f t="shared" si="107"/>
        <v>E5620</v>
      </c>
      <c r="D612" t="str">
        <f t="shared" ref="D612:E627" si="108">D611</f>
        <v>NO_DATAVIEWS</v>
      </c>
      <c r="E612" s="62" t="str">
        <f t="shared" si="108"/>
        <v>NO_DEPARTMENTS</v>
      </c>
      <c r="F612" t="s">
        <v>506</v>
      </c>
      <c r="G612" t="s">
        <v>507</v>
      </c>
      <c r="H612" t="s">
        <v>508</v>
      </c>
      <c r="I612" t="s">
        <v>509</v>
      </c>
      <c r="J612" t="s">
        <v>589</v>
      </c>
      <c r="K612" s="497">
        <f>ROUND(HLOOKUP($B612,'2-Préparation saisie LV PROD'!$F$1:$Q$86,'2-Préparation saisie LV PROD'!A48,FALSE),0)</f>
        <v>4281096</v>
      </c>
      <c r="L612" t="str">
        <f>VLOOKUP(C612,Capacité!C:L,10,FALSE)</f>
        <v>Chemin de Grès</v>
      </c>
    </row>
    <row r="613" spans="1:12">
      <c r="A613" t="s">
        <v>505</v>
      </c>
      <c r="B613" t="str">
        <f t="shared" si="104"/>
        <v>B22_08</v>
      </c>
      <c r="C613" s="323" t="str">
        <f t="shared" si="107"/>
        <v>E5810</v>
      </c>
      <c r="D613" t="str">
        <f t="shared" si="108"/>
        <v>NO_DATAVIEWS</v>
      </c>
      <c r="E613" s="62" t="str">
        <f t="shared" si="108"/>
        <v>NO_DEPARTMENTS</v>
      </c>
      <c r="F613" t="s">
        <v>506</v>
      </c>
      <c r="G613" t="s">
        <v>507</v>
      </c>
      <c r="H613" t="s">
        <v>508</v>
      </c>
      <c r="I613" t="s">
        <v>509</v>
      </c>
      <c r="J613" t="s">
        <v>589</v>
      </c>
      <c r="K613" s="497">
        <f>ROUND(HLOOKUP($B613,'2-Préparation saisie LV PROD'!$F$1:$Q$86,'2-Préparation saisie LV PROD'!A49,FALSE),0)</f>
        <v>2369556</v>
      </c>
      <c r="L613" t="str">
        <f>VLOOKUP(C613,Capacité!C:L,10,FALSE)</f>
        <v>Coteaux du Blaiseron</v>
      </c>
    </row>
    <row r="614" spans="1:12">
      <c r="A614" t="s">
        <v>505</v>
      </c>
      <c r="B614" t="str">
        <f t="shared" si="104"/>
        <v>B22_08</v>
      </c>
      <c r="C614" s="323" t="str">
        <f t="shared" si="107"/>
        <v>E5660</v>
      </c>
      <c r="D614" t="str">
        <f t="shared" si="108"/>
        <v>NO_DATAVIEWS</v>
      </c>
      <c r="E614" s="62" t="str">
        <f t="shared" si="108"/>
        <v>NO_DEPARTMENTS</v>
      </c>
      <c r="F614" t="s">
        <v>506</v>
      </c>
      <c r="G614" t="s">
        <v>507</v>
      </c>
      <c r="H614" t="s">
        <v>508</v>
      </c>
      <c r="I614" t="s">
        <v>509</v>
      </c>
      <c r="J614" t="s">
        <v>589</v>
      </c>
      <c r="K614" s="497">
        <f>ROUND(HLOOKUP($B614,'2-Préparation saisie LV PROD'!$F$1:$Q$86,'2-Préparation saisie LV PROD'!A50,FALSE),0)</f>
        <v>2775686</v>
      </c>
      <c r="L614" t="str">
        <f>VLOOKUP(C614,Capacité!C:L,10,FALSE)</f>
        <v>XSAN</v>
      </c>
    </row>
    <row r="615" spans="1:12">
      <c r="A615" t="s">
        <v>505</v>
      </c>
      <c r="B615" t="str">
        <f t="shared" si="104"/>
        <v>B22_08</v>
      </c>
      <c r="C615" s="323" t="str">
        <f t="shared" si="107"/>
        <v>E5590</v>
      </c>
      <c r="D615" t="str">
        <f t="shared" si="108"/>
        <v>NO_DATAVIEWS</v>
      </c>
      <c r="E615" s="62" t="str">
        <f t="shared" si="108"/>
        <v>NO_DEPARTMENTS</v>
      </c>
      <c r="F615" t="s">
        <v>506</v>
      </c>
      <c r="G615" t="s">
        <v>507</v>
      </c>
      <c r="H615" t="s">
        <v>508</v>
      </c>
      <c r="I615" t="s">
        <v>509</v>
      </c>
      <c r="J615" t="s">
        <v>589</v>
      </c>
      <c r="K615" s="497">
        <f>ROUND(HLOOKUP($B615,'2-Préparation saisie LV PROD'!$F$1:$Q$86,'2-Préparation saisie LV PROD'!A51,FALSE),0)</f>
        <v>2028935</v>
      </c>
      <c r="L615" t="str">
        <f>VLOOKUP(C615,Capacité!C:L,10,FALSE)</f>
        <v>Le Catésis (CAT)</v>
      </c>
    </row>
    <row r="616" spans="1:12">
      <c r="A616" t="s">
        <v>505</v>
      </c>
      <c r="B616" t="str">
        <f t="shared" si="104"/>
        <v>B22_08</v>
      </c>
      <c r="C616" s="323" t="str">
        <f t="shared" si="107"/>
        <v>E5650</v>
      </c>
      <c r="D616" t="str">
        <f t="shared" si="108"/>
        <v>NO_DATAVIEWS</v>
      </c>
      <c r="E616" s="62" t="str">
        <f t="shared" si="108"/>
        <v>NO_DEPARTMENTS</v>
      </c>
      <c r="F616" t="s">
        <v>506</v>
      </c>
      <c r="G616" t="s">
        <v>507</v>
      </c>
      <c r="H616" t="s">
        <v>508</v>
      </c>
      <c r="I616" t="s">
        <v>509</v>
      </c>
      <c r="J616" t="s">
        <v>589</v>
      </c>
      <c r="K616" s="497">
        <f>ROUND(HLOOKUP($B616,'2-Préparation saisie LV PROD'!$F$1:$Q$86,'2-Préparation saisie LV PROD'!A52,FALSE),0)</f>
        <v>3456631</v>
      </c>
      <c r="L616" t="str">
        <f>VLOOKUP(C616,Capacité!C:L,10,FALSE)</f>
        <v>Seuil du Cambrésis- Ribecourt (RIB)</v>
      </c>
    </row>
    <row r="617" spans="1:12">
      <c r="A617" t="s">
        <v>505</v>
      </c>
      <c r="B617" t="str">
        <f t="shared" si="104"/>
        <v>B22_08</v>
      </c>
      <c r="C617" s="323" t="str">
        <f t="shared" si="107"/>
        <v>E5720</v>
      </c>
      <c r="D617" t="str">
        <f t="shared" si="108"/>
        <v>NO_DATAVIEWS</v>
      </c>
      <c r="E617" s="62" t="str">
        <f t="shared" si="108"/>
        <v>NO_DEPARTMENTS</v>
      </c>
      <c r="F617" t="s">
        <v>506</v>
      </c>
      <c r="G617" t="s">
        <v>507</v>
      </c>
      <c r="H617" t="s">
        <v>508</v>
      </c>
      <c r="I617" t="s">
        <v>509</v>
      </c>
      <c r="J617" t="s">
        <v>589</v>
      </c>
      <c r="K617" s="497">
        <f>ROUND(HLOOKUP($B617,'2-Préparation saisie LV PROD'!$F$1:$Q$86,'2-Préparation saisie LV PROD'!A53,FALSE),0)</f>
        <v>2441100</v>
      </c>
      <c r="L617" t="str">
        <f>VLOOKUP(C617,Capacité!C:L,10,FALSE)</f>
        <v>Basse Thiérache Nord</v>
      </c>
    </row>
    <row r="618" spans="1:12">
      <c r="A618" t="s">
        <v>505</v>
      </c>
      <c r="B618" t="str">
        <f t="shared" si="104"/>
        <v>B22_08</v>
      </c>
      <c r="C618" s="323" t="str">
        <f t="shared" si="107"/>
        <v>E5710</v>
      </c>
      <c r="D618" t="str">
        <f t="shared" si="108"/>
        <v>NO_DATAVIEWS</v>
      </c>
      <c r="E618" s="62" t="str">
        <f t="shared" si="108"/>
        <v>NO_DEPARTMENTS</v>
      </c>
      <c r="F618" t="s">
        <v>506</v>
      </c>
      <c r="G618" t="s">
        <v>507</v>
      </c>
      <c r="H618" t="s">
        <v>508</v>
      </c>
      <c r="I618" t="s">
        <v>509</v>
      </c>
      <c r="J618" t="s">
        <v>589</v>
      </c>
      <c r="K618" s="497">
        <f>ROUND(HLOOKUP($B618,'2-Préparation saisie LV PROD'!$F$1:$Q$86,'2-Préparation saisie LV PROD'!A54,FALSE),0)</f>
        <v>2931893</v>
      </c>
      <c r="L618" t="str">
        <f>VLOOKUP(C618,Capacité!C:L,10,FALSE)</f>
        <v>Sources de l'Ancre</v>
      </c>
    </row>
    <row r="619" spans="1:12">
      <c r="A619" t="s">
        <v>505</v>
      </c>
      <c r="B619" t="str">
        <f t="shared" si="104"/>
        <v>B22_08</v>
      </c>
      <c r="C619" s="323" t="str">
        <f t="shared" si="107"/>
        <v>E6190</v>
      </c>
      <c r="D619" t="str">
        <f t="shared" si="108"/>
        <v>NO_DATAVIEWS</v>
      </c>
      <c r="E619" s="62" t="str">
        <f t="shared" si="108"/>
        <v>NO_DEPARTMENTS</v>
      </c>
      <c r="F619" t="s">
        <v>506</v>
      </c>
      <c r="G619" t="s">
        <v>507</v>
      </c>
      <c r="H619" t="s">
        <v>508</v>
      </c>
      <c r="I619" t="s">
        <v>509</v>
      </c>
      <c r="J619" t="s">
        <v>589</v>
      </c>
      <c r="K619" s="497">
        <f>ROUND(HLOOKUP($B619,'2-Préparation saisie LV PROD'!$F$1:$Q$86,'2-Préparation saisie LV PROD'!A55,FALSE),0)</f>
        <v>0</v>
      </c>
      <c r="L619" t="str">
        <f>VLOOKUP(C619,Capacité!C:L,10,FALSE)</f>
        <v>Evits et Josaphats</v>
      </c>
    </row>
    <row r="620" spans="1:12">
      <c r="A620" t="s">
        <v>505</v>
      </c>
      <c r="B620" t="str">
        <f t="shared" si="104"/>
        <v>B22_08</v>
      </c>
      <c r="C620" s="323" t="str">
        <f t="shared" si="107"/>
        <v>E6200</v>
      </c>
      <c r="D620" t="str">
        <f t="shared" si="108"/>
        <v>NO_DATAVIEWS</v>
      </c>
      <c r="E620" s="62" t="str">
        <f t="shared" si="108"/>
        <v>NO_DEPARTMENTS</v>
      </c>
      <c r="F620" t="s">
        <v>506</v>
      </c>
      <c r="G620" t="s">
        <v>507</v>
      </c>
      <c r="H620" t="s">
        <v>508</v>
      </c>
      <c r="I620" t="s">
        <v>509</v>
      </c>
      <c r="J620" t="s">
        <v>589</v>
      </c>
      <c r="K620" s="497">
        <f>ROUND(HLOOKUP($B620,'2-Préparation saisie LV PROD'!$F$1:$Q$86,'2-Préparation saisie LV PROD'!A56,FALSE),0)</f>
        <v>0</v>
      </c>
      <c r="L620" t="str">
        <f>VLOOKUP(C620,Capacité!C:L,10,FALSE)</f>
        <v>Remise Reclainville</v>
      </c>
    </row>
    <row r="621" spans="1:12">
      <c r="A621" t="s">
        <v>505</v>
      </c>
      <c r="B621" t="str">
        <f t="shared" si="104"/>
        <v>B22_08</v>
      </c>
      <c r="C621" s="323" t="str">
        <f t="shared" si="107"/>
        <v>E6150</v>
      </c>
      <c r="D621" t="str">
        <f t="shared" si="108"/>
        <v>NO_DATAVIEWS</v>
      </c>
      <c r="E621" s="62" t="str">
        <f t="shared" si="108"/>
        <v>NO_DEPARTMENTS</v>
      </c>
      <c r="F621" t="s">
        <v>506</v>
      </c>
      <c r="G621" t="s">
        <v>507</v>
      </c>
      <c r="H621" t="s">
        <v>508</v>
      </c>
      <c r="I621" t="s">
        <v>509</v>
      </c>
      <c r="J621" t="s">
        <v>589</v>
      </c>
      <c r="K621" s="497">
        <f>ROUND(HLOOKUP($B621,'2-Préparation saisie LV PROD'!$F$1:$Q$86,'2-Préparation saisie LV PROD'!A57,FALSE),0)</f>
        <v>919540</v>
      </c>
      <c r="L621" t="str">
        <f>VLOOKUP(C621,Capacité!C:L,10,FALSE)</f>
        <v>Fierville</v>
      </c>
    </row>
    <row r="622" spans="1:12">
      <c r="A622" t="s">
        <v>505</v>
      </c>
      <c r="B622" t="str">
        <f t="shared" si="104"/>
        <v>B22_08</v>
      </c>
      <c r="C622" s="323" t="str">
        <f t="shared" si="107"/>
        <v>E6340</v>
      </c>
      <c r="D622" t="str">
        <f t="shared" si="108"/>
        <v>NO_DATAVIEWS</v>
      </c>
      <c r="E622" s="62" t="str">
        <f t="shared" si="108"/>
        <v>NO_DEPARTMENTS</v>
      </c>
      <c r="F622" t="s">
        <v>506</v>
      </c>
      <c r="G622" t="s">
        <v>507</v>
      </c>
      <c r="H622" t="s">
        <v>508</v>
      </c>
      <c r="I622" t="s">
        <v>509</v>
      </c>
      <c r="J622" t="s">
        <v>589</v>
      </c>
      <c r="K622" s="497">
        <f>ROUND(HLOOKUP($B622,'2-Préparation saisie LV PROD'!$F$1:$Q$86,'2-Préparation saisie LV PROD'!A58,FALSE),0)</f>
        <v>1485499</v>
      </c>
      <c r="L622" t="str">
        <f>VLOOKUP(C622,Capacité!C:L,10,FALSE)</f>
        <v>Plaine de Beaunay</v>
      </c>
    </row>
    <row r="623" spans="1:12">
      <c r="A623" t="s">
        <v>505</v>
      </c>
      <c r="B623" t="str">
        <f t="shared" si="104"/>
        <v>B22_08</v>
      </c>
      <c r="C623" s="323" t="str">
        <f t="shared" si="107"/>
        <v>E6370</v>
      </c>
      <c r="D623" t="str">
        <f t="shared" si="108"/>
        <v>NO_DATAVIEWS</v>
      </c>
      <c r="E623" s="62" t="str">
        <f t="shared" si="108"/>
        <v>NO_DEPARTMENTS</v>
      </c>
      <c r="F623" t="s">
        <v>506</v>
      </c>
      <c r="G623" t="s">
        <v>507</v>
      </c>
      <c r="H623" t="s">
        <v>508</v>
      </c>
      <c r="I623" t="s">
        <v>509</v>
      </c>
      <c r="J623" t="s">
        <v>589</v>
      </c>
      <c r="K623" s="497">
        <f>ROUND(HLOOKUP($B623,'2-Préparation saisie LV PROD'!$F$1:$Q$86,'2-Préparation saisie LV PROD'!A59,FALSE),0)</f>
        <v>2040366</v>
      </c>
      <c r="L623" t="str">
        <f>VLOOKUP(C623,Capacité!C:L,10,FALSE)</f>
        <v>Val au Moines</v>
      </c>
    </row>
    <row r="624" spans="1:12">
      <c r="A624" t="s">
        <v>505</v>
      </c>
      <c r="B624" t="str">
        <f t="shared" si="104"/>
        <v>B22_08</v>
      </c>
      <c r="C624" s="323" t="str">
        <f t="shared" si="107"/>
        <v>E6250</v>
      </c>
      <c r="D624" t="str">
        <f t="shared" si="108"/>
        <v>NO_DATAVIEWS</v>
      </c>
      <c r="E624" s="62" t="str">
        <f t="shared" si="108"/>
        <v>NO_DEPARTMENTS</v>
      </c>
      <c r="F624" t="s">
        <v>506</v>
      </c>
      <c r="G624" t="s">
        <v>507</v>
      </c>
      <c r="H624" t="s">
        <v>508</v>
      </c>
      <c r="I624" t="s">
        <v>509</v>
      </c>
      <c r="J624" t="s">
        <v>589</v>
      </c>
      <c r="K624" s="497">
        <f>ROUND(HLOOKUP($B624,'2-Préparation saisie LV PROD'!$F$1:$Q$86,'2-Préparation saisie LV PROD'!A60,FALSE),0)</f>
        <v>0</v>
      </c>
      <c r="L624" t="str">
        <f>VLOOKUP(C624,Capacité!C:L,10,FALSE)</f>
        <v>Bougainville</v>
      </c>
    </row>
    <row r="625" spans="1:12">
      <c r="A625" t="s">
        <v>505</v>
      </c>
      <c r="B625" t="str">
        <f t="shared" si="104"/>
        <v>B22_08</v>
      </c>
      <c r="C625" s="323" t="str">
        <f t="shared" si="107"/>
        <v>E6260</v>
      </c>
      <c r="D625" t="str">
        <f t="shared" si="108"/>
        <v>NO_DATAVIEWS</v>
      </c>
      <c r="E625" s="62" t="str">
        <f t="shared" si="108"/>
        <v>NO_DEPARTMENTS</v>
      </c>
      <c r="F625" t="s">
        <v>506</v>
      </c>
      <c r="G625" t="s">
        <v>507</v>
      </c>
      <c r="H625" t="s">
        <v>508</v>
      </c>
      <c r="I625" t="s">
        <v>509</v>
      </c>
      <c r="J625" t="s">
        <v>589</v>
      </c>
      <c r="K625" s="497">
        <f>ROUND(HLOOKUP($B625,'2-Préparation saisie LV PROD'!$F$1:$Q$86,'2-Préparation saisie LV PROD'!A61,FALSE),0)</f>
        <v>1146503</v>
      </c>
      <c r="L625" t="str">
        <f>VLOOKUP(C625,Capacité!C:L,10,FALSE)</f>
        <v>Saint André</v>
      </c>
    </row>
    <row r="626" spans="1:12">
      <c r="A626" t="s">
        <v>505</v>
      </c>
      <c r="B626" t="str">
        <f t="shared" si="104"/>
        <v>B22_08</v>
      </c>
      <c r="C626" s="323" t="str">
        <f t="shared" si="107"/>
        <v>E6120</v>
      </c>
      <c r="D626" t="str">
        <f t="shared" si="108"/>
        <v>NO_DATAVIEWS</v>
      </c>
      <c r="E626" s="62" t="str">
        <f t="shared" si="108"/>
        <v>NO_DEPARTMENTS</v>
      </c>
      <c r="F626" t="s">
        <v>506</v>
      </c>
      <c r="G626" t="s">
        <v>507</v>
      </c>
      <c r="H626" t="s">
        <v>508</v>
      </c>
      <c r="I626" t="s">
        <v>509</v>
      </c>
      <c r="J626" t="s">
        <v>589</v>
      </c>
      <c r="K626" s="497">
        <f>ROUND(HLOOKUP($B626,'2-Préparation saisie LV PROD'!$F$1:$Q$86,'2-Préparation saisie LV PROD'!A62,FALSE),0)</f>
        <v>594285</v>
      </c>
      <c r="L626" t="str">
        <f>VLOOKUP(C626,Capacité!C:L,10,FALSE)</f>
        <v>Fond de la Plaine</v>
      </c>
    </row>
    <row r="627" spans="1:12">
      <c r="A627" t="s">
        <v>505</v>
      </c>
      <c r="B627" t="str">
        <f t="shared" si="104"/>
        <v>B22_08</v>
      </c>
      <c r="C627" s="323" t="str">
        <f t="shared" si="107"/>
        <v>E6130</v>
      </c>
      <c r="D627" t="str">
        <f t="shared" si="108"/>
        <v>NO_DATAVIEWS</v>
      </c>
      <c r="E627" s="62" t="str">
        <f t="shared" si="108"/>
        <v>NO_DEPARTMENTS</v>
      </c>
      <c r="F627" t="s">
        <v>506</v>
      </c>
      <c r="G627" t="s">
        <v>507</v>
      </c>
      <c r="H627" t="s">
        <v>508</v>
      </c>
      <c r="I627" t="s">
        <v>509</v>
      </c>
      <c r="J627" t="s">
        <v>589</v>
      </c>
      <c r="K627" s="497">
        <f>ROUND(HLOOKUP($B627,'2-Préparation saisie LV PROD'!$F$1:$Q$86,'2-Préparation saisie LV PROD'!A63,FALSE),0)</f>
        <v>1083915</v>
      </c>
      <c r="L627" t="str">
        <f>VLOOKUP(C627,Capacité!C:L,10,FALSE)</f>
        <v>Bassigny</v>
      </c>
    </row>
    <row r="628" spans="1:12">
      <c r="A628" t="s">
        <v>505</v>
      </c>
      <c r="B628" t="str">
        <f t="shared" si="104"/>
        <v>B22_08</v>
      </c>
      <c r="C628" s="323" t="str">
        <f t="shared" si="107"/>
        <v>E6210</v>
      </c>
      <c r="D628" t="str">
        <f t="shared" ref="D628:E643" si="109">D627</f>
        <v>NO_DATAVIEWS</v>
      </c>
      <c r="E628" s="62" t="str">
        <f t="shared" si="109"/>
        <v>NO_DEPARTMENTS</v>
      </c>
      <c r="F628" t="s">
        <v>506</v>
      </c>
      <c r="G628" t="s">
        <v>507</v>
      </c>
      <c r="H628" t="s">
        <v>508</v>
      </c>
      <c r="I628" t="s">
        <v>509</v>
      </c>
      <c r="J628" t="s">
        <v>589</v>
      </c>
      <c r="K628" s="497">
        <f>ROUND(HLOOKUP($B628,'2-Préparation saisie LV PROD'!$F$1:$Q$86,'2-Préparation saisie LV PROD'!A64,FALSE),0)</f>
        <v>782786</v>
      </c>
      <c r="L628" t="str">
        <f>VLOOKUP(C628,Capacité!C:L,10,FALSE)</f>
        <v>Les Clérimois</v>
      </c>
    </row>
    <row r="629" spans="1:12">
      <c r="A629" t="s">
        <v>505</v>
      </c>
      <c r="B629" t="str">
        <f t="shared" si="104"/>
        <v>B22_08</v>
      </c>
      <c r="C629" s="323" t="str">
        <f t="shared" si="107"/>
        <v>E6160</v>
      </c>
      <c r="D629" t="str">
        <f t="shared" si="109"/>
        <v>NO_DATAVIEWS</v>
      </c>
      <c r="E629" s="62" t="str">
        <f t="shared" si="109"/>
        <v>NO_DEPARTMENTS</v>
      </c>
      <c r="F629" t="s">
        <v>506</v>
      </c>
      <c r="G629" t="s">
        <v>507</v>
      </c>
      <c r="H629" t="s">
        <v>508</v>
      </c>
      <c r="I629" t="s">
        <v>509</v>
      </c>
      <c r="J629" t="s">
        <v>589</v>
      </c>
      <c r="K629" s="497">
        <f>ROUND(HLOOKUP($B629,'2-Préparation saisie LV PROD'!$F$1:$Q$86,'2-Préparation saisie LV PROD'!A65,FALSE),0)</f>
        <v>1006412</v>
      </c>
      <c r="L629" t="str">
        <f>VLOOKUP(C629,Capacité!C:L,10,FALSE)</f>
        <v>Plateau de Langres</v>
      </c>
    </row>
    <row r="630" spans="1:12">
      <c r="A630" t="s">
        <v>505</v>
      </c>
      <c r="B630" t="str">
        <f t="shared" si="104"/>
        <v>B22_08</v>
      </c>
      <c r="C630" s="323" t="str">
        <f t="shared" si="107"/>
        <v>E6170</v>
      </c>
      <c r="D630" t="str">
        <f t="shared" si="109"/>
        <v>NO_DATAVIEWS</v>
      </c>
      <c r="E630" s="62" t="str">
        <f t="shared" si="109"/>
        <v>NO_DEPARTMENTS</v>
      </c>
      <c r="F630" t="s">
        <v>506</v>
      </c>
      <c r="G630" t="s">
        <v>507</v>
      </c>
      <c r="H630" t="s">
        <v>508</v>
      </c>
      <c r="I630" t="s">
        <v>509</v>
      </c>
      <c r="J630" t="s">
        <v>589</v>
      </c>
      <c r="K630" s="497">
        <f>ROUND(HLOOKUP($B630,'2-Préparation saisie LV PROD'!$F$1:$Q$86,'2-Préparation saisie LV PROD'!A66,FALSE),0)</f>
        <v>905267</v>
      </c>
      <c r="L630" t="str">
        <f>VLOOKUP(C630,Capacité!C:L,10,FALSE)</f>
        <v>Les Moulins de Boulay</v>
      </c>
    </row>
    <row r="631" spans="1:12">
      <c r="A631" t="s">
        <v>505</v>
      </c>
      <c r="B631" t="str">
        <f t="shared" si="104"/>
        <v>B22_08</v>
      </c>
      <c r="C631" s="323" t="str">
        <f t="shared" si="107"/>
        <v>E6330</v>
      </c>
      <c r="D631" t="str">
        <f t="shared" si="109"/>
        <v>NO_DATAVIEWS</v>
      </c>
      <c r="E631" s="62" t="str">
        <f t="shared" si="109"/>
        <v>NO_DEPARTMENTS</v>
      </c>
      <c r="F631" t="s">
        <v>506</v>
      </c>
      <c r="G631" t="s">
        <v>507</v>
      </c>
      <c r="H631" t="s">
        <v>508</v>
      </c>
      <c r="I631" t="s">
        <v>509</v>
      </c>
      <c r="J631" t="s">
        <v>589</v>
      </c>
      <c r="K631" s="497">
        <f>ROUND(HLOOKUP($B631,'2-Préparation saisie LV PROD'!$F$1:$Q$86,'2-Préparation saisie LV PROD'!A67,FALSE),0)</f>
        <v>1206279</v>
      </c>
      <c r="L631" t="str">
        <f>VLOOKUP(C631,Capacité!C:L,10,FALSE)</f>
        <v>Morlange</v>
      </c>
    </row>
    <row r="632" spans="1:12">
      <c r="A632" t="s">
        <v>505</v>
      </c>
      <c r="B632" t="str">
        <f t="shared" si="104"/>
        <v>B22_08</v>
      </c>
      <c r="C632" s="323" t="str">
        <f t="shared" si="107"/>
        <v>E6140</v>
      </c>
      <c r="D632" t="str">
        <f t="shared" si="109"/>
        <v>NO_DATAVIEWS</v>
      </c>
      <c r="E632" s="62" t="str">
        <f t="shared" si="109"/>
        <v>NO_DEPARTMENTS</v>
      </c>
      <c r="F632" t="s">
        <v>506</v>
      </c>
      <c r="G632" t="s">
        <v>507</v>
      </c>
      <c r="H632" t="s">
        <v>508</v>
      </c>
      <c r="I632" t="s">
        <v>509</v>
      </c>
      <c r="J632" t="s">
        <v>589</v>
      </c>
      <c r="K632" s="497">
        <f>ROUND(HLOOKUP($B632,'2-Préparation saisie LV PROD'!$F$1:$Q$86,'2-Préparation saisie LV PROD'!A68,FALSE),0)</f>
        <v>0</v>
      </c>
      <c r="L632" t="str">
        <f>VLOOKUP(C632,Capacité!C:L,10,FALSE)</f>
        <v>Renardières mont de Bezard</v>
      </c>
    </row>
    <row r="633" spans="1:12">
      <c r="A633" t="s">
        <v>505</v>
      </c>
      <c r="B633" t="str">
        <f t="shared" si="104"/>
        <v>B22_08</v>
      </c>
      <c r="C633" s="323" t="str">
        <f t="shared" ref="C633:C643" si="110">C552</f>
        <v>E6350</v>
      </c>
      <c r="D633" t="str">
        <f t="shared" si="109"/>
        <v>NO_DATAVIEWS</v>
      </c>
      <c r="E633" s="62" t="str">
        <f t="shared" si="109"/>
        <v>NO_DEPARTMENTS</v>
      </c>
      <c r="F633" t="s">
        <v>506</v>
      </c>
      <c r="G633" t="s">
        <v>507</v>
      </c>
      <c r="H633" t="s">
        <v>508</v>
      </c>
      <c r="I633" t="s">
        <v>509</v>
      </c>
      <c r="J633" t="s">
        <v>589</v>
      </c>
      <c r="K633" s="497">
        <f>ROUND(HLOOKUP($B633,'2-Préparation saisie LV PROD'!$F$1:$Q$86,'2-Préparation saisie LV PROD'!A69,FALSE),0)</f>
        <v>1216910</v>
      </c>
      <c r="L633" t="str">
        <f>VLOOKUP(C633,Capacité!C:L,10,FALSE)</f>
        <v>Zondrange</v>
      </c>
    </row>
    <row r="634" spans="1:12">
      <c r="A634" t="s">
        <v>505</v>
      </c>
      <c r="B634" t="str">
        <f t="shared" si="104"/>
        <v>B22_08</v>
      </c>
      <c r="C634" s="323" t="str">
        <f t="shared" si="110"/>
        <v>E6360</v>
      </c>
      <c r="D634" t="str">
        <f t="shared" si="109"/>
        <v>NO_DATAVIEWS</v>
      </c>
      <c r="E634" s="62" t="str">
        <f t="shared" si="109"/>
        <v>NO_DEPARTMENTS</v>
      </c>
      <c r="F634" t="s">
        <v>506</v>
      </c>
      <c r="G634" t="s">
        <v>507</v>
      </c>
      <c r="H634" t="s">
        <v>508</v>
      </c>
      <c r="I634" t="s">
        <v>509</v>
      </c>
      <c r="J634" t="s">
        <v>589</v>
      </c>
      <c r="K634" s="497">
        <f>ROUND(HLOOKUP($B634,'2-Préparation saisie LV PROD'!$F$1:$Q$86,'2-Préparation saisie LV PROD'!A70,FALSE),0)</f>
        <v>1365337</v>
      </c>
      <c r="L634" t="str">
        <f>VLOOKUP(C634,Capacité!C:L,10,FALSE)</f>
        <v xml:space="preserve">Noyers </v>
      </c>
    </row>
    <row r="635" spans="1:12">
      <c r="A635" t="s">
        <v>505</v>
      </c>
      <c r="B635" t="str">
        <f>+$B$569</f>
        <v>B22_08</v>
      </c>
      <c r="C635" s="323" t="str">
        <f t="shared" si="110"/>
        <v>E5550</v>
      </c>
      <c r="D635" t="str">
        <f t="shared" si="109"/>
        <v>NO_DATAVIEWS</v>
      </c>
      <c r="E635" s="62" t="str">
        <f t="shared" si="109"/>
        <v>NO_DEPARTMENTS</v>
      </c>
      <c r="F635" t="s">
        <v>506</v>
      </c>
      <c r="G635" t="s">
        <v>507</v>
      </c>
      <c r="H635" t="s">
        <v>508</v>
      </c>
      <c r="I635" t="s">
        <v>509</v>
      </c>
      <c r="J635" t="s">
        <v>589</v>
      </c>
      <c r="K635" s="497">
        <f>ROUND(HLOOKUP($B635,'2-Préparation saisie LV PROD'!$F$1:$Q$86,'2-Préparation saisie LV PROD'!A71,FALSE),0)</f>
        <v>1646122</v>
      </c>
      <c r="L635" t="str">
        <f>VLOOKUP(C635,Capacité!C:L,10,FALSE)</f>
        <v>Les Cigalettes (Montfort) / Solaire</v>
      </c>
    </row>
    <row r="636" spans="1:12">
      <c r="A636" t="s">
        <v>505</v>
      </c>
      <c r="B636" t="str">
        <f>+$B$569</f>
        <v>B22_08</v>
      </c>
      <c r="C636" s="323" t="str">
        <f t="shared" si="110"/>
        <v>E5250</v>
      </c>
      <c r="D636" t="str">
        <f t="shared" si="109"/>
        <v>NO_DATAVIEWS</v>
      </c>
      <c r="E636" s="62" t="str">
        <f t="shared" si="109"/>
        <v>NO_DEPARTMENTS</v>
      </c>
      <c r="F636" t="s">
        <v>506</v>
      </c>
      <c r="G636" t="s">
        <v>507</v>
      </c>
      <c r="H636" t="s">
        <v>508</v>
      </c>
      <c r="I636" t="s">
        <v>509</v>
      </c>
      <c r="J636" t="s">
        <v>589</v>
      </c>
      <c r="K636" s="497">
        <f>ROUND(HLOOKUP($B636,'2-Préparation saisie LV PROD'!$F$1:$Q$86,'2-Préparation saisie LV PROD'!A72,FALSE),0)</f>
        <v>668404</v>
      </c>
      <c r="L636" t="str">
        <f>VLOOKUP(C636,Capacité!C:L,10,FALSE)</f>
        <v>Avignonet / Solaire</v>
      </c>
    </row>
    <row r="637" spans="1:12">
      <c r="A637" t="s">
        <v>505</v>
      </c>
      <c r="B637" t="str">
        <f t="shared" ref="B637:B649" si="111">+$B$569</f>
        <v>B22_08</v>
      </c>
      <c r="C637" s="323" t="str">
        <f t="shared" si="110"/>
        <v>E6010</v>
      </c>
      <c r="D637" t="str">
        <f t="shared" si="109"/>
        <v>NO_DATAVIEWS</v>
      </c>
      <c r="E637" s="62" t="str">
        <f t="shared" si="109"/>
        <v>NO_DEPARTMENTS</v>
      </c>
      <c r="F637" t="s">
        <v>506</v>
      </c>
      <c r="G637" t="s">
        <v>507</v>
      </c>
      <c r="H637" t="s">
        <v>508</v>
      </c>
      <c r="I637" t="s">
        <v>509</v>
      </c>
      <c r="J637" t="s">
        <v>589</v>
      </c>
      <c r="K637" s="497">
        <f>ROUND(HLOOKUP($B637,'2-Préparation saisie LV PROD'!$F$1:$Q$86,'2-Préparation saisie LV PROD'!A74,FALSE),0)</f>
        <v>5525193</v>
      </c>
      <c r="L637" t="str">
        <f>VLOOKUP(C637,Capacité!C:L,10,FALSE)</f>
        <v>CDC-R</v>
      </c>
    </row>
    <row r="638" spans="1:12">
      <c r="A638" t="s">
        <v>505</v>
      </c>
      <c r="B638" t="str">
        <f t="shared" si="111"/>
        <v>B22_08</v>
      </c>
      <c r="C638" s="323" t="str">
        <f t="shared" si="110"/>
        <v>E6280</v>
      </c>
      <c r="D638" t="str">
        <f t="shared" si="109"/>
        <v>NO_DATAVIEWS</v>
      </c>
      <c r="E638" s="62" t="str">
        <f t="shared" si="109"/>
        <v>NO_DEPARTMENTS</v>
      </c>
      <c r="F638" t="s">
        <v>506</v>
      </c>
      <c r="G638" t="s">
        <v>507</v>
      </c>
      <c r="H638" t="s">
        <v>508</v>
      </c>
      <c r="I638" t="s">
        <v>509</v>
      </c>
      <c r="J638" t="s">
        <v>589</v>
      </c>
      <c r="K638" s="497">
        <f>ROUND(HLOOKUP($B638,'2-Préparation saisie LV PROD'!$F$1:$Q$86,'2-Préparation saisie LV PROD'!A75,FALSE),0)</f>
        <v>1795918</v>
      </c>
      <c r="L638" t="str">
        <f>VLOOKUP(C638,Capacité!C:L,10,FALSE)</f>
        <v>BPF</v>
      </c>
    </row>
    <row r="639" spans="1:12">
      <c r="A639" t="s">
        <v>505</v>
      </c>
      <c r="B639" t="str">
        <f t="shared" si="111"/>
        <v>B22_08</v>
      </c>
      <c r="C639" s="323" t="str">
        <f t="shared" si="110"/>
        <v>E5930</v>
      </c>
      <c r="D639" t="str">
        <f t="shared" si="109"/>
        <v>NO_DATAVIEWS</v>
      </c>
      <c r="E639" s="62" t="str">
        <f t="shared" si="109"/>
        <v>NO_DEPARTMENTS</v>
      </c>
      <c r="F639" t="s">
        <v>506</v>
      </c>
      <c r="G639" t="s">
        <v>507</v>
      </c>
      <c r="H639" t="s">
        <v>508</v>
      </c>
      <c r="I639" t="s">
        <v>509</v>
      </c>
      <c r="J639" t="s">
        <v>589</v>
      </c>
      <c r="K639" s="497">
        <f>ROUND(HLOOKUP($B639,'2-Préparation saisie LV PROD'!$F$1:$Q$86,'2-Préparation saisie LV PROD'!A76,FALSE),0)</f>
        <v>2497498</v>
      </c>
      <c r="L639" t="str">
        <f>VLOOKUP(C639,Capacité!C:L,10,FALSE)</f>
        <v>XSB</v>
      </c>
    </row>
    <row r="640" spans="1:12" s="4" customFormat="1">
      <c r="A640" s="4" t="s">
        <v>505</v>
      </c>
      <c r="B640" s="4" t="str">
        <f t="shared" si="111"/>
        <v>B22_08</v>
      </c>
      <c r="C640" s="323" t="str">
        <f t="shared" si="110"/>
        <v>E5880</v>
      </c>
      <c r="D640" t="str">
        <f t="shared" si="109"/>
        <v>NO_DATAVIEWS</v>
      </c>
      <c r="E640" s="62" t="str">
        <f t="shared" si="109"/>
        <v>NO_DEPARTMENTS</v>
      </c>
      <c r="F640" s="4" t="s">
        <v>506</v>
      </c>
      <c r="G640" s="4" t="s">
        <v>507</v>
      </c>
      <c r="H640" s="4" t="s">
        <v>508</v>
      </c>
      <c r="I640" s="4" t="s">
        <v>509</v>
      </c>
      <c r="J640" s="4" t="s">
        <v>589</v>
      </c>
      <c r="K640" s="497">
        <f>ROUND(HLOOKUP($B640,'2-Préparation saisie LV PROD'!$F$1:$Q$86,'2-Préparation saisie LV PROD'!A77,FALSE),0)</f>
        <v>2609579</v>
      </c>
      <c r="L640" t="str">
        <f>VLOOKUP(C640,Capacité!C:L,10,FALSE)</f>
        <v>Extension plaine d'Escrebieux</v>
      </c>
    </row>
    <row r="641" spans="1:12" s="4" customFormat="1">
      <c r="A641" s="4" t="s">
        <v>505</v>
      </c>
      <c r="B641" s="4" t="str">
        <f t="shared" si="111"/>
        <v>B22_08</v>
      </c>
      <c r="C641" s="323" t="str">
        <f t="shared" si="110"/>
        <v>E6720</v>
      </c>
      <c r="D641" t="str">
        <f t="shared" si="109"/>
        <v>NO_DATAVIEWS</v>
      </c>
      <c r="E641" s="62" t="str">
        <f t="shared" si="109"/>
        <v>NO_DEPARTMENTS</v>
      </c>
      <c r="F641" s="4" t="s">
        <v>506</v>
      </c>
      <c r="G641" s="4" t="s">
        <v>507</v>
      </c>
      <c r="H641" s="4" t="s">
        <v>508</v>
      </c>
      <c r="I641" s="4" t="s">
        <v>509</v>
      </c>
      <c r="J641" s="4" t="s">
        <v>589</v>
      </c>
      <c r="K641" s="497">
        <f>ROUND(HLOOKUP($B641,'2-Préparation saisie LV PROD'!$F$1:$Q$86,'2-Préparation saisie LV PROD'!A78,FALSE),0)</f>
        <v>2090061</v>
      </c>
      <c r="L641" t="str">
        <f>VLOOKUP(C641,Capacité!C:L,10,FALSE)</f>
        <v xml:space="preserve">St Christophe - Clé des champs / Solaire </v>
      </c>
    </row>
    <row r="642" spans="1:12" s="4" customFormat="1">
      <c r="A642" s="4" t="s">
        <v>505</v>
      </c>
      <c r="B642" s="4" t="str">
        <f t="shared" si="111"/>
        <v>B22_08</v>
      </c>
      <c r="C642" s="323" t="str">
        <f t="shared" si="110"/>
        <v>E6040</v>
      </c>
      <c r="D642" t="str">
        <f t="shared" si="109"/>
        <v>NO_DATAVIEWS</v>
      </c>
      <c r="E642" s="62" t="str">
        <f t="shared" si="109"/>
        <v>NO_DEPARTMENTS</v>
      </c>
      <c r="F642" s="4" t="s">
        <v>506</v>
      </c>
      <c r="G642" s="4" t="s">
        <v>507</v>
      </c>
      <c r="H642" s="4" t="s">
        <v>508</v>
      </c>
      <c r="I642" s="4" t="s">
        <v>509</v>
      </c>
      <c r="J642" s="4" t="s">
        <v>589</v>
      </c>
      <c r="K642" s="497">
        <f>ROUND(HLOOKUP($B642,'2-Préparation saisie LV PROD'!$F$1:$Q$86,'2-Préparation saisie LV PROD'!A79,FALSE),0)</f>
        <v>2650133</v>
      </c>
      <c r="L642" t="str">
        <f>VLOOKUP(C642,Capacité!C:L,10,FALSE)</f>
        <v>Peyrolles / Solaire</v>
      </c>
    </row>
    <row r="643" spans="1:12" s="4" customFormat="1">
      <c r="A643" s="4" t="s">
        <v>505</v>
      </c>
      <c r="B643" s="4" t="str">
        <f t="shared" si="111"/>
        <v>B22_08</v>
      </c>
      <c r="C643" s="323" t="str">
        <f t="shared" si="110"/>
        <v>E6310</v>
      </c>
      <c r="D643" t="str">
        <f t="shared" si="109"/>
        <v>NO_DATAVIEWS</v>
      </c>
      <c r="E643" s="62" t="str">
        <f t="shared" si="109"/>
        <v>NO_DEPARTMENTS</v>
      </c>
      <c r="F643" s="4" t="s">
        <v>506</v>
      </c>
      <c r="G643" s="4" t="s">
        <v>507</v>
      </c>
      <c r="H643" s="4" t="s">
        <v>508</v>
      </c>
      <c r="I643" s="4" t="s">
        <v>509</v>
      </c>
      <c r="J643" s="4" t="s">
        <v>589</v>
      </c>
      <c r="K643" s="497">
        <f>ROUND(HLOOKUP($B643,'2-Préparation saisie LV PROD'!$F$1:$Q$86,'2-Préparation saisie LV PROD'!A80,FALSE),0)</f>
        <v>1825320</v>
      </c>
      <c r="L643" t="str">
        <f>VLOOKUP(C643,Capacité!C:L,10,FALSE)</f>
        <v>Bazougeais</v>
      </c>
    </row>
    <row r="644" spans="1:12" s="4" customFormat="1">
      <c r="A644" s="4" t="s">
        <v>505</v>
      </c>
      <c r="B644" s="4" t="str">
        <f t="shared" si="111"/>
        <v>B22_08</v>
      </c>
      <c r="C644" s="323" t="str">
        <f t="shared" ref="C644:C649" si="112">C563</f>
        <v>E6571</v>
      </c>
      <c r="D644" t="str">
        <f t="shared" ref="D644:E644" si="113">D643</f>
        <v>NO_DATAVIEWS</v>
      </c>
      <c r="E644" s="62" t="str">
        <f t="shared" si="113"/>
        <v>NO_DEPARTMENTS</v>
      </c>
      <c r="F644" s="4" t="s">
        <v>506</v>
      </c>
      <c r="G644" s="4" t="s">
        <v>507</v>
      </c>
      <c r="H644" s="4" t="s">
        <v>508</v>
      </c>
      <c r="I644" s="4" t="s">
        <v>509</v>
      </c>
      <c r="J644" s="4" t="s">
        <v>589</v>
      </c>
      <c r="K644" s="497">
        <f>ROUND(HLOOKUP($B644,'2-Préparation saisie LV PROD'!$F$1:$Q$86,'2-Préparation saisie LV PROD'!A81,FALSE),0)</f>
        <v>0</v>
      </c>
      <c r="L644" t="s">
        <v>3538</v>
      </c>
    </row>
    <row r="645" spans="1:12" s="4" customFormat="1">
      <c r="A645" s="4" t="s">
        <v>505</v>
      </c>
      <c r="B645" s="4" t="str">
        <f t="shared" si="111"/>
        <v>B22_08</v>
      </c>
      <c r="C645" s="323" t="str">
        <f t="shared" si="112"/>
        <v>E5890</v>
      </c>
      <c r="D645" t="str">
        <f t="shared" ref="D645:E645" si="114">D644</f>
        <v>NO_DATAVIEWS</v>
      </c>
      <c r="E645" s="62" t="str">
        <f t="shared" si="114"/>
        <v>NO_DEPARTMENTS</v>
      </c>
      <c r="F645" s="4" t="s">
        <v>506</v>
      </c>
      <c r="G645" s="4" t="s">
        <v>507</v>
      </c>
      <c r="H645" s="4" t="s">
        <v>508</v>
      </c>
      <c r="I645" s="4" t="s">
        <v>509</v>
      </c>
      <c r="J645" s="4" t="s">
        <v>589</v>
      </c>
      <c r="K645" s="497">
        <f>ROUND(HLOOKUP($B645,'2-Préparation saisie LV PROD'!$F$1:$Q$86,'2-Préparation saisie LV PROD'!A82,FALSE),0)</f>
        <v>1294183</v>
      </c>
      <c r="L645" t="str">
        <f>VLOOKUP(C645,Capacité!C:L,10,FALSE)</f>
        <v>La Grande Borne</v>
      </c>
    </row>
    <row r="646" spans="1:12" s="4" customFormat="1">
      <c r="A646" s="4" t="s">
        <v>505</v>
      </c>
      <c r="B646" s="4" t="str">
        <f t="shared" si="111"/>
        <v>B22_08</v>
      </c>
      <c r="C646" s="323" t="str">
        <f t="shared" si="112"/>
        <v>E6730</v>
      </c>
      <c r="D646" t="str">
        <f t="shared" ref="D646:E646" si="115">D645</f>
        <v>NO_DATAVIEWS</v>
      </c>
      <c r="E646" s="62" t="str">
        <f t="shared" si="115"/>
        <v>NO_DEPARTMENTS</v>
      </c>
      <c r="F646" s="4" t="s">
        <v>506</v>
      </c>
      <c r="G646" s="4" t="s">
        <v>507</v>
      </c>
      <c r="H646" s="4" t="s">
        <v>508</v>
      </c>
      <c r="I646" s="4" t="s">
        <v>509</v>
      </c>
      <c r="J646" s="4" t="s">
        <v>589</v>
      </c>
      <c r="K646" s="497">
        <f>ROUND(HLOOKUP($B646,'2-Préparation saisie LV PROD'!$F$1:$Q$86,'2-Préparation saisie LV PROD'!A83,FALSE),0)</f>
        <v>2238222</v>
      </c>
      <c r="L646" t="str">
        <f>VLOOKUP(C646,Capacité!C:L,10,FALSE)</f>
        <v xml:space="preserve">R-EEJ - Evits et Josaphats </v>
      </c>
    </row>
    <row r="647" spans="1:12" s="4" customFormat="1">
      <c r="A647" s="4" t="s">
        <v>505</v>
      </c>
      <c r="B647" s="4" t="str">
        <f t="shared" si="111"/>
        <v>B22_08</v>
      </c>
      <c r="C647" s="323" t="str">
        <f t="shared" si="112"/>
        <v>E6740</v>
      </c>
      <c r="D647" t="str">
        <f t="shared" ref="D647:E647" si="116">D646</f>
        <v>NO_DATAVIEWS</v>
      </c>
      <c r="E647" s="62" t="str">
        <f t="shared" si="116"/>
        <v>NO_DEPARTMENTS</v>
      </c>
      <c r="F647" s="4" t="s">
        <v>506</v>
      </c>
      <c r="G647" s="4" t="s">
        <v>507</v>
      </c>
      <c r="H647" s="4" t="s">
        <v>508</v>
      </c>
      <c r="I647" s="4" t="s">
        <v>509</v>
      </c>
      <c r="J647" s="4" t="s">
        <v>589</v>
      </c>
      <c r="K647" s="497">
        <f>ROUND(HLOOKUP($B647,'2-Préparation saisie LV PROD'!$F$1:$Q$86,'2-Préparation saisie LV PROD'!A84,FALSE),0)</f>
        <v>2210035</v>
      </c>
      <c r="L647" t="str">
        <f>VLOOKUP(C647,Capacité!C:L,10,FALSE)</f>
        <v>R-RCL - Remise Reclainville</v>
      </c>
    </row>
    <row r="648" spans="1:12" s="4" customFormat="1">
      <c r="A648" s="4" t="s">
        <v>505</v>
      </c>
      <c r="B648" s="4" t="str">
        <f t="shared" si="111"/>
        <v>B22_08</v>
      </c>
      <c r="C648" s="323" t="str">
        <f t="shared" si="112"/>
        <v>E6290</v>
      </c>
      <c r="D648" t="str">
        <f t="shared" ref="D648:E648" si="117">D647</f>
        <v>NO_DATAVIEWS</v>
      </c>
      <c r="E648" s="62" t="str">
        <f t="shared" si="117"/>
        <v>NO_DEPARTMENTS</v>
      </c>
      <c r="F648" s="4" t="s">
        <v>506</v>
      </c>
      <c r="G648" s="4" t="s">
        <v>507</v>
      </c>
      <c r="H648" s="4" t="s">
        <v>508</v>
      </c>
      <c r="I648" s="4" t="s">
        <v>509</v>
      </c>
      <c r="J648" s="4" t="s">
        <v>589</v>
      </c>
      <c r="K648" s="497">
        <f>ROUND(HLOOKUP($B648,'2-Préparation saisie LV PROD'!$F$1:$Q$86,'2-Préparation saisie LV PROD'!A85,FALSE),0)</f>
        <v>2955942</v>
      </c>
      <c r="L648" t="str">
        <f>VLOOKUP(C648,Capacité!C:L,10,FALSE)</f>
        <v>Bois des Fontaines (extension EEJ)</v>
      </c>
    </row>
    <row r="649" spans="1:12" s="4" customFormat="1">
      <c r="A649" s="4" t="s">
        <v>505</v>
      </c>
      <c r="B649" s="4" t="str">
        <f t="shared" si="111"/>
        <v>B22_08</v>
      </c>
      <c r="C649" s="323" t="str">
        <f t="shared" si="112"/>
        <v>E6760</v>
      </c>
      <c r="D649" t="str">
        <f t="shared" ref="D649:E649" si="118">D648</f>
        <v>NO_DATAVIEWS</v>
      </c>
      <c r="E649" s="62" t="str">
        <f t="shared" si="118"/>
        <v>NO_DEPARTMENTS</v>
      </c>
      <c r="F649" s="4" t="s">
        <v>506</v>
      </c>
      <c r="G649" s="4" t="s">
        <v>507</v>
      </c>
      <c r="H649" s="4" t="s">
        <v>508</v>
      </c>
      <c r="I649" s="4" t="s">
        <v>509</v>
      </c>
      <c r="J649" s="4" t="s">
        <v>589</v>
      </c>
      <c r="K649" s="497">
        <f>ROUND(HLOOKUP($B649,'2-Préparation saisie LV PROD'!$F$1:$Q$86,'2-Préparation saisie LV PROD'!A86,FALSE),0)</f>
        <v>0</v>
      </c>
      <c r="L649" t="str">
        <f>VLOOKUP(C649,Capacité!C:L,10,FALSE)</f>
        <v>R-BGV - Bougainville</v>
      </c>
    </row>
    <row r="650" spans="1:12">
      <c r="A650" t="s">
        <v>505</v>
      </c>
      <c r="B650" s="3" t="s">
        <v>3364</v>
      </c>
      <c r="C650" s="323" t="str">
        <f t="shared" ref="C650:C681" si="119">C569</f>
        <v>E5030</v>
      </c>
      <c r="D650" t="str">
        <f>D643</f>
        <v>NO_DATAVIEWS</v>
      </c>
      <c r="E650" s="62" t="str">
        <f>E643</f>
        <v>NO_DEPARTMENTS</v>
      </c>
      <c r="F650" t="s">
        <v>506</v>
      </c>
      <c r="G650" t="s">
        <v>507</v>
      </c>
      <c r="H650" t="s">
        <v>508</v>
      </c>
      <c r="I650" t="s">
        <v>509</v>
      </c>
      <c r="J650" t="s">
        <v>589</v>
      </c>
      <c r="K650" s="497">
        <f>ROUND(HLOOKUP($B650,'2-Préparation saisie LV PROD'!$F$1:$Q$86,'2-Préparation saisie LV PROD'!A5,FALSE),0)</f>
        <v>1176422</v>
      </c>
      <c r="L650" t="str">
        <f>VLOOKUP(C650,Capacité!C:L,10,FALSE)</f>
        <v>Avignonet</v>
      </c>
    </row>
    <row r="651" spans="1:12">
      <c r="A651" t="s">
        <v>505</v>
      </c>
      <c r="B651" t="str">
        <f>+$B$650</f>
        <v>B22_09</v>
      </c>
      <c r="C651" s="323" t="str">
        <f t="shared" si="119"/>
        <v>E5040</v>
      </c>
      <c r="D651" t="str">
        <f t="shared" ref="D651:E665" si="120">D650</f>
        <v>NO_DATAVIEWS</v>
      </c>
      <c r="E651" s="62" t="str">
        <f t="shared" si="120"/>
        <v>NO_DEPARTMENTS</v>
      </c>
      <c r="F651" t="s">
        <v>506</v>
      </c>
      <c r="G651" t="s">
        <v>507</v>
      </c>
      <c r="H651" t="s">
        <v>508</v>
      </c>
      <c r="I651" t="s">
        <v>509</v>
      </c>
      <c r="J651" t="s">
        <v>589</v>
      </c>
      <c r="K651" s="497">
        <f>ROUND(HLOOKUP($B651,'2-Préparation saisie LV PROD'!$F$1:$Q$86,'2-Préparation saisie LV PROD'!A6,FALSE),0)</f>
        <v>368824</v>
      </c>
      <c r="L651" t="str">
        <f>VLOOKUP(C651,Capacité!C:L,10,FALSE)</f>
        <v>Chépy</v>
      </c>
    </row>
    <row r="652" spans="1:12">
      <c r="A652" t="s">
        <v>505</v>
      </c>
      <c r="B652" t="str">
        <f t="shared" ref="B652:B715" si="121">+$B$650</f>
        <v>B22_09</v>
      </c>
      <c r="C652" s="323" t="str">
        <f t="shared" si="119"/>
        <v>E5050</v>
      </c>
      <c r="D652" t="str">
        <f t="shared" si="120"/>
        <v>NO_DATAVIEWS</v>
      </c>
      <c r="E652" s="62" t="str">
        <f t="shared" si="120"/>
        <v>NO_DEPARTMENTS</v>
      </c>
      <c r="F652" t="s">
        <v>506</v>
      </c>
      <c r="G652" t="s">
        <v>507</v>
      </c>
      <c r="H652" t="s">
        <v>508</v>
      </c>
      <c r="I652" t="s">
        <v>509</v>
      </c>
      <c r="J652" t="s">
        <v>589</v>
      </c>
      <c r="K652" s="497">
        <f>ROUND(HLOOKUP($B652,'2-Préparation saisie LV PROD'!$F$1:$Q$86,'2-Préparation saisie LV PROD'!A7,FALSE),0)</f>
        <v>1106383</v>
      </c>
      <c r="L652" t="str">
        <f>VLOOKUP(C652,Capacité!C:L,10,FALSE)</f>
        <v>Nibas</v>
      </c>
    </row>
    <row r="653" spans="1:12">
      <c r="A653" t="s">
        <v>505</v>
      </c>
      <c r="B653" t="str">
        <f t="shared" si="121"/>
        <v>B22_09</v>
      </c>
      <c r="C653" s="323" t="str">
        <f t="shared" si="119"/>
        <v>E5070</v>
      </c>
      <c r="D653" t="str">
        <f t="shared" si="120"/>
        <v>NO_DATAVIEWS</v>
      </c>
      <c r="E653" s="62" t="str">
        <f t="shared" si="120"/>
        <v>NO_DEPARTMENTS</v>
      </c>
      <c r="F653" t="s">
        <v>506</v>
      </c>
      <c r="G653" t="s">
        <v>507</v>
      </c>
      <c r="H653" t="s">
        <v>508</v>
      </c>
      <c r="I653" t="s">
        <v>509</v>
      </c>
      <c r="J653" t="s">
        <v>589</v>
      </c>
      <c r="K653" s="497">
        <f>ROUND(HLOOKUP($B653,'2-Préparation saisie LV PROD'!$F$1:$Q$86,'2-Préparation saisie LV PROD'!A8,FALSE),0)</f>
        <v>1134580</v>
      </c>
      <c r="L653" t="str">
        <f>VLOOKUP(C653,Capacité!C:L,10,FALSE)</f>
        <v>Ally Bessadous</v>
      </c>
    </row>
    <row r="654" spans="1:12">
      <c r="A654" t="s">
        <v>505</v>
      </c>
      <c r="B654" t="str">
        <f t="shared" si="121"/>
        <v>B22_09</v>
      </c>
      <c r="C654" s="323" t="str">
        <f t="shared" si="119"/>
        <v>E5080</v>
      </c>
      <c r="D654" t="str">
        <f t="shared" si="120"/>
        <v>NO_DATAVIEWS</v>
      </c>
      <c r="E654" s="62" t="str">
        <f t="shared" si="120"/>
        <v>NO_DEPARTMENTS</v>
      </c>
      <c r="F654" t="s">
        <v>506</v>
      </c>
      <c r="G654" t="s">
        <v>507</v>
      </c>
      <c r="H654" t="s">
        <v>508</v>
      </c>
      <c r="I654" t="s">
        <v>509</v>
      </c>
      <c r="J654" t="s">
        <v>589</v>
      </c>
      <c r="K654" s="497">
        <f>ROUND(HLOOKUP($B654,'2-Préparation saisie LV PROD'!$F$1:$Q$86,'2-Préparation saisie LV PROD'!A9,FALSE),0)</f>
        <v>755560</v>
      </c>
      <c r="L654" t="str">
        <f>VLOOKUP(C654,Capacité!C:L,10,FALSE)</f>
        <v>Ally Mercoeur</v>
      </c>
    </row>
    <row r="655" spans="1:12">
      <c r="A655" t="s">
        <v>505</v>
      </c>
      <c r="B655" t="str">
        <f t="shared" si="121"/>
        <v>B22_09</v>
      </c>
      <c r="C655" s="323" t="str">
        <f t="shared" si="119"/>
        <v>E5090</v>
      </c>
      <c r="D655" t="str">
        <f t="shared" si="120"/>
        <v>NO_DATAVIEWS</v>
      </c>
      <c r="E655" s="62" t="str">
        <f t="shared" si="120"/>
        <v>NO_DEPARTMENTS</v>
      </c>
      <c r="F655" t="s">
        <v>506</v>
      </c>
      <c r="G655" t="s">
        <v>507</v>
      </c>
      <c r="H655" t="s">
        <v>508</v>
      </c>
      <c r="I655" t="s">
        <v>509</v>
      </c>
      <c r="J655" t="s">
        <v>589</v>
      </c>
      <c r="K655" s="497">
        <f>ROUND(HLOOKUP($B655,'2-Préparation saisie LV PROD'!$F$1:$Q$86,'2-Préparation saisie LV PROD'!A10,FALSE),0)</f>
        <v>981338</v>
      </c>
      <c r="L655" t="str">
        <f>VLOOKUP(C655,Capacité!C:L,10,FALSE)</f>
        <v>Ally Monteil</v>
      </c>
    </row>
    <row r="656" spans="1:12">
      <c r="A656" t="s">
        <v>505</v>
      </c>
      <c r="B656" t="str">
        <f t="shared" si="121"/>
        <v>B22_09</v>
      </c>
      <c r="C656" s="323" t="str">
        <f t="shared" si="119"/>
        <v>E5100</v>
      </c>
      <c r="D656" t="str">
        <f t="shared" si="120"/>
        <v>NO_DATAVIEWS</v>
      </c>
      <c r="E656" s="62" t="str">
        <f t="shared" si="120"/>
        <v>NO_DEPARTMENTS</v>
      </c>
      <c r="F656" t="s">
        <v>506</v>
      </c>
      <c r="G656" t="s">
        <v>507</v>
      </c>
      <c r="H656" t="s">
        <v>508</v>
      </c>
      <c r="I656" t="s">
        <v>509</v>
      </c>
      <c r="J656" t="s">
        <v>589</v>
      </c>
      <c r="K656" s="497">
        <f>ROUND(HLOOKUP($B656,'2-Préparation saisie LV PROD'!$F$1:$Q$86,'2-Préparation saisie LV PROD'!A11,FALSE),0)</f>
        <v>1187980</v>
      </c>
      <c r="L656" t="str">
        <f>VLOOKUP(C656,Capacité!C:L,10,FALSE)</f>
        <v>Ally Verseilles</v>
      </c>
    </row>
    <row r="657" spans="1:12">
      <c r="A657" t="s">
        <v>505</v>
      </c>
      <c r="B657" t="str">
        <f t="shared" si="121"/>
        <v>B22_09</v>
      </c>
      <c r="C657" s="323" t="str">
        <f t="shared" si="119"/>
        <v>E5110</v>
      </c>
      <c r="D657" t="str">
        <f t="shared" si="120"/>
        <v>NO_DATAVIEWS</v>
      </c>
      <c r="E657" s="62" t="str">
        <f t="shared" si="120"/>
        <v>NO_DEPARTMENTS</v>
      </c>
      <c r="F657" t="s">
        <v>506</v>
      </c>
      <c r="G657" t="s">
        <v>507</v>
      </c>
      <c r="H657" t="s">
        <v>508</v>
      </c>
      <c r="I657" t="s">
        <v>509</v>
      </c>
      <c r="J657" t="s">
        <v>589</v>
      </c>
      <c r="K657" s="497">
        <f>ROUND(HLOOKUP($B657,'2-Préparation saisie LV PROD'!$F$1:$Q$86,'2-Préparation saisie LV PROD'!A12,FALSE),0)</f>
        <v>0</v>
      </c>
      <c r="L657" t="str">
        <f>VLOOKUP(C657,Capacité!C:L,10,FALSE)</f>
        <v>Cham Longe Bel Air</v>
      </c>
    </row>
    <row r="658" spans="1:12">
      <c r="A658" t="s">
        <v>505</v>
      </c>
      <c r="B658" t="str">
        <f t="shared" si="121"/>
        <v>B22_09</v>
      </c>
      <c r="C658" s="323" t="str">
        <f t="shared" si="119"/>
        <v>E5120</v>
      </c>
      <c r="D658" t="str">
        <f t="shared" si="120"/>
        <v>NO_DATAVIEWS</v>
      </c>
      <c r="E658" s="62" t="str">
        <f t="shared" si="120"/>
        <v>NO_DEPARTMENTS</v>
      </c>
      <c r="F658" t="s">
        <v>506</v>
      </c>
      <c r="G658" t="s">
        <v>507</v>
      </c>
      <c r="H658" t="s">
        <v>508</v>
      </c>
      <c r="I658" t="s">
        <v>509</v>
      </c>
      <c r="J658" t="s">
        <v>589</v>
      </c>
      <c r="K658" s="497">
        <f>ROUND(HLOOKUP($B658,'2-Préparation saisie LV PROD'!$F$1:$Q$86,'2-Préparation saisie LV PROD'!A13,FALSE),0)</f>
        <v>0</v>
      </c>
      <c r="L658" t="str">
        <f>VLOOKUP(C658,Capacité!C:L,10,FALSE)</f>
        <v>Cham Longe Le Courbil (Eole Cevennes)</v>
      </c>
    </row>
    <row r="659" spans="1:12">
      <c r="A659" t="s">
        <v>505</v>
      </c>
      <c r="B659" t="str">
        <f t="shared" si="121"/>
        <v>B22_09</v>
      </c>
      <c r="C659" s="323" t="str">
        <f t="shared" si="119"/>
        <v>E5150</v>
      </c>
      <c r="D659" t="str">
        <f t="shared" si="120"/>
        <v>NO_DATAVIEWS</v>
      </c>
      <c r="E659" s="62" t="str">
        <f t="shared" si="120"/>
        <v>NO_DEPARTMENTS</v>
      </c>
      <c r="F659" t="s">
        <v>506</v>
      </c>
      <c r="G659" t="s">
        <v>507</v>
      </c>
      <c r="H659" t="s">
        <v>508</v>
      </c>
      <c r="I659" t="s">
        <v>509</v>
      </c>
      <c r="J659" t="s">
        <v>589</v>
      </c>
      <c r="K659" s="497">
        <f>ROUND(HLOOKUP($B659,'2-Préparation saisie LV PROD'!$F$1:$Q$86,'2-Préparation saisie LV PROD'!A14,FALSE),0)</f>
        <v>818748</v>
      </c>
      <c r="L659" t="str">
        <f>VLOOKUP(C659,Capacité!C:L,10,FALSE)</f>
        <v>Cham Longe II</v>
      </c>
    </row>
    <row r="660" spans="1:12">
      <c r="A660" t="s">
        <v>505</v>
      </c>
      <c r="B660" t="str">
        <f t="shared" si="121"/>
        <v>B22_09</v>
      </c>
      <c r="C660" s="323" t="str">
        <f t="shared" si="119"/>
        <v>E5130</v>
      </c>
      <c r="D660" t="str">
        <f t="shared" si="120"/>
        <v>NO_DATAVIEWS</v>
      </c>
      <c r="E660" s="62" t="str">
        <f t="shared" si="120"/>
        <v>NO_DEPARTMENTS</v>
      </c>
      <c r="F660" t="s">
        <v>506</v>
      </c>
      <c r="G660" t="s">
        <v>507</v>
      </c>
      <c r="H660" t="s">
        <v>508</v>
      </c>
      <c r="I660" t="s">
        <v>509</v>
      </c>
      <c r="J660" t="s">
        <v>589</v>
      </c>
      <c r="K660" s="497">
        <f>ROUND(HLOOKUP($B660,'2-Préparation saisie LV PROD'!$F$1:$Q$86,'2-Préparation saisie LV PROD'!A15,FALSE),0)</f>
        <v>1192756</v>
      </c>
      <c r="L660" t="str">
        <f>VLOOKUP(C660,Capacité!C:L,10,FALSE)</f>
        <v>Plouguin</v>
      </c>
    </row>
    <row r="661" spans="1:12">
      <c r="A661" t="s">
        <v>505</v>
      </c>
      <c r="B661" t="str">
        <f t="shared" si="121"/>
        <v>B22_09</v>
      </c>
      <c r="C661" s="323" t="str">
        <f t="shared" si="119"/>
        <v>E5140</v>
      </c>
      <c r="D661" t="str">
        <f t="shared" si="120"/>
        <v>NO_DATAVIEWS</v>
      </c>
      <c r="E661" s="62" t="str">
        <f t="shared" si="120"/>
        <v>NO_DEPARTMENTS</v>
      </c>
      <c r="F661" t="s">
        <v>506</v>
      </c>
      <c r="G661" t="s">
        <v>507</v>
      </c>
      <c r="H661" t="s">
        <v>508</v>
      </c>
      <c r="I661" t="s">
        <v>509</v>
      </c>
      <c r="J661" t="s">
        <v>589</v>
      </c>
      <c r="K661" s="497">
        <f>ROUND(HLOOKUP($B661,'2-Préparation saisie LV PROD'!$F$1:$Q$86,'2-Préparation saisie LV PROD'!A16,FALSE),0)</f>
        <v>2078392</v>
      </c>
      <c r="L661" t="str">
        <f>VLOOKUP(C661,Capacité!C:L,10,FALSE)</f>
        <v>La Citadelle</v>
      </c>
    </row>
    <row r="662" spans="1:12">
      <c r="A662" t="s">
        <v>505</v>
      </c>
      <c r="B662" t="str">
        <f t="shared" si="121"/>
        <v>B22_09</v>
      </c>
      <c r="C662" s="323" t="str">
        <f t="shared" si="119"/>
        <v>E5160</v>
      </c>
      <c r="D662" t="str">
        <f t="shared" si="120"/>
        <v>NO_DATAVIEWS</v>
      </c>
      <c r="E662" s="62" t="str">
        <f t="shared" si="120"/>
        <v>NO_DEPARTMENTS</v>
      </c>
      <c r="F662" t="s">
        <v>506</v>
      </c>
      <c r="G662" t="s">
        <v>507</v>
      </c>
      <c r="H662" t="s">
        <v>508</v>
      </c>
      <c r="I662" t="s">
        <v>509</v>
      </c>
      <c r="J662" t="s">
        <v>589</v>
      </c>
      <c r="K662" s="497">
        <f>ROUND(HLOOKUP($B662,'2-Préparation saisie LV PROD'!$F$1:$Q$86,'2-Préparation saisie LV PROD'!A17,FALSE),0)</f>
        <v>1246047</v>
      </c>
      <c r="L662" t="str">
        <f>VLOOKUP(C662,Capacité!C:L,10,FALSE)</f>
        <v>Chasse Marée</v>
      </c>
    </row>
    <row r="663" spans="1:12">
      <c r="A663" t="s">
        <v>505</v>
      </c>
      <c r="B663" t="str">
        <f t="shared" si="121"/>
        <v>B22_09</v>
      </c>
      <c r="C663" s="323" t="str">
        <f t="shared" si="119"/>
        <v>E5170</v>
      </c>
      <c r="D663" t="str">
        <f t="shared" si="120"/>
        <v>NO_DATAVIEWS</v>
      </c>
      <c r="E663" s="62" t="str">
        <f t="shared" si="120"/>
        <v>NO_DEPARTMENTS</v>
      </c>
      <c r="F663" t="s">
        <v>506</v>
      </c>
      <c r="G663" t="s">
        <v>507</v>
      </c>
      <c r="H663" t="s">
        <v>508</v>
      </c>
      <c r="I663" t="s">
        <v>509</v>
      </c>
      <c r="J663" t="s">
        <v>589</v>
      </c>
      <c r="K663" s="497">
        <f>ROUND(HLOOKUP($B663,'2-Préparation saisie LV PROD'!$F$1:$Q$86,'2-Préparation saisie LV PROD'!A18,FALSE),0)</f>
        <v>4062879</v>
      </c>
      <c r="L663" t="str">
        <f>VLOOKUP(C663,Capacité!C:L,10,FALSE)</f>
        <v>Ronchois</v>
      </c>
    </row>
    <row r="664" spans="1:12">
      <c r="A664" t="s">
        <v>505</v>
      </c>
      <c r="B664" t="str">
        <f t="shared" si="121"/>
        <v>B22_09</v>
      </c>
      <c r="C664" s="323" t="str">
        <f t="shared" si="119"/>
        <v>E5180</v>
      </c>
      <c r="D664" t="str">
        <f t="shared" si="120"/>
        <v>NO_DATAVIEWS</v>
      </c>
      <c r="E664" s="62" t="str">
        <f t="shared" si="120"/>
        <v>NO_DEPARTMENTS</v>
      </c>
      <c r="F664" t="s">
        <v>506</v>
      </c>
      <c r="G664" t="s">
        <v>507</v>
      </c>
      <c r="H664" t="s">
        <v>508</v>
      </c>
      <c r="I664" t="s">
        <v>509</v>
      </c>
      <c r="J664" t="s">
        <v>589</v>
      </c>
      <c r="K664" s="497">
        <f>ROUND(HLOOKUP($B664,'2-Préparation saisie LV PROD'!$F$1:$Q$86,'2-Préparation saisie LV PROD'!A19,FALSE),0)</f>
        <v>1613777</v>
      </c>
      <c r="L664" t="str">
        <f>VLOOKUP(C664,Capacité!C:L,10,FALSE)</f>
        <v>Le Grand Camp</v>
      </c>
    </row>
    <row r="665" spans="1:12">
      <c r="A665" t="s">
        <v>505</v>
      </c>
      <c r="B665" t="str">
        <f t="shared" si="121"/>
        <v>B22_09</v>
      </c>
      <c r="C665" s="323" t="str">
        <f t="shared" si="119"/>
        <v>E5210</v>
      </c>
      <c r="D665" t="str">
        <f t="shared" si="120"/>
        <v>NO_DATAVIEWS</v>
      </c>
      <c r="E665" s="62" t="str">
        <f t="shared" si="120"/>
        <v>NO_DEPARTMENTS</v>
      </c>
      <c r="F665" t="s">
        <v>506</v>
      </c>
      <c r="G665" t="s">
        <v>507</v>
      </c>
      <c r="H665" t="s">
        <v>508</v>
      </c>
      <c r="I665" t="s">
        <v>509</v>
      </c>
      <c r="J665" t="s">
        <v>589</v>
      </c>
      <c r="K665" s="497">
        <f>ROUND(HLOOKUP($B665,'2-Préparation saisie LV PROD'!$F$1:$Q$86,'2-Préparation saisie LV PROD'!A20,FALSE),0)</f>
        <v>733534</v>
      </c>
      <c r="L665" t="str">
        <f>VLOOKUP(C665,Capacité!C:L,10,FALSE)</f>
        <v>Avignonet II</v>
      </c>
    </row>
    <row r="666" spans="1:12">
      <c r="A666" t="s">
        <v>505</v>
      </c>
      <c r="B666" t="str">
        <f t="shared" si="121"/>
        <v>B22_09</v>
      </c>
      <c r="C666" s="323" t="str">
        <f t="shared" si="119"/>
        <v>E5270</v>
      </c>
      <c r="D666" t="str">
        <f t="shared" ref="D666:E681" si="122">D665</f>
        <v>NO_DATAVIEWS</v>
      </c>
      <c r="E666" s="62" t="str">
        <f t="shared" si="122"/>
        <v>NO_DEPARTMENTS</v>
      </c>
      <c r="F666" t="s">
        <v>506</v>
      </c>
      <c r="G666" t="s">
        <v>507</v>
      </c>
      <c r="H666" t="s">
        <v>508</v>
      </c>
      <c r="I666" t="s">
        <v>509</v>
      </c>
      <c r="J666" t="s">
        <v>589</v>
      </c>
      <c r="K666" s="497">
        <f>ROUND(HLOOKUP($B666,'2-Préparation saisie LV PROD'!$F$1:$Q$86,'2-Préparation saisie LV PROD'!A21,FALSE),0)</f>
        <v>3639137</v>
      </c>
      <c r="L666" t="str">
        <f>VLOOKUP(C666,Capacité!C:L,10,FALSE)</f>
        <v>Ménétréols Renardiére (La vallée 2)</v>
      </c>
    </row>
    <row r="667" spans="1:12">
      <c r="A667" t="s">
        <v>505</v>
      </c>
      <c r="B667" t="str">
        <f t="shared" si="121"/>
        <v>B22_09</v>
      </c>
      <c r="C667" s="323" t="str">
        <f t="shared" si="119"/>
        <v>E5280</v>
      </c>
      <c r="D667" t="str">
        <f t="shared" si="122"/>
        <v>NO_DATAVIEWS</v>
      </c>
      <c r="E667" s="62" t="str">
        <f t="shared" si="122"/>
        <v>NO_DEPARTMENTS</v>
      </c>
      <c r="F667" t="s">
        <v>506</v>
      </c>
      <c r="G667" t="s">
        <v>507</v>
      </c>
      <c r="H667" t="s">
        <v>508</v>
      </c>
      <c r="I667" t="s">
        <v>509</v>
      </c>
      <c r="J667" t="s">
        <v>589</v>
      </c>
      <c r="K667" s="497">
        <f>ROUND(HLOOKUP($B667,'2-Préparation saisie LV PROD'!$F$1:$Q$86,'2-Préparation saisie LV PROD'!A22,FALSE),0)</f>
        <v>600324</v>
      </c>
      <c r="L667" t="str">
        <f>VLOOKUP(C667,Capacité!C:L,10,FALSE)</f>
        <v>St Georges (La Vallée 1)</v>
      </c>
    </row>
    <row r="668" spans="1:12">
      <c r="A668" t="s">
        <v>505</v>
      </c>
      <c r="B668" t="str">
        <f t="shared" si="121"/>
        <v>B22_09</v>
      </c>
      <c r="C668" s="323" t="str">
        <f t="shared" si="119"/>
        <v>E5300</v>
      </c>
      <c r="D668" t="str">
        <f t="shared" si="122"/>
        <v>NO_DATAVIEWS</v>
      </c>
      <c r="E668" s="62" t="str">
        <f t="shared" si="122"/>
        <v>NO_DEPARTMENTS</v>
      </c>
      <c r="F668" t="s">
        <v>506</v>
      </c>
      <c r="G668" t="s">
        <v>507</v>
      </c>
      <c r="H668" t="s">
        <v>508</v>
      </c>
      <c r="I668" t="s">
        <v>509</v>
      </c>
      <c r="J668" t="s">
        <v>589</v>
      </c>
      <c r="K668" s="497">
        <f>ROUND(HLOOKUP($B668,'2-Préparation saisie LV PROD'!$F$1:$Q$86,'2-Préparation saisie LV PROD'!A23,FALSE),0)</f>
        <v>1299834</v>
      </c>
      <c r="L668" t="str">
        <f>VLOOKUP(C668,Capacité!C:L,10,FALSE)</f>
        <v>Vron</v>
      </c>
    </row>
    <row r="669" spans="1:12">
      <c r="A669" t="s">
        <v>505</v>
      </c>
      <c r="B669" t="str">
        <f t="shared" si="121"/>
        <v>B22_09</v>
      </c>
      <c r="C669" s="323" t="str">
        <f t="shared" si="119"/>
        <v>E5310</v>
      </c>
      <c r="D669" t="str">
        <f t="shared" si="122"/>
        <v>NO_DATAVIEWS</v>
      </c>
      <c r="E669" s="62" t="str">
        <f t="shared" si="122"/>
        <v>NO_DEPARTMENTS</v>
      </c>
      <c r="F669" t="s">
        <v>506</v>
      </c>
      <c r="G669" t="s">
        <v>507</v>
      </c>
      <c r="H669" t="s">
        <v>508</v>
      </c>
      <c r="I669" t="s">
        <v>509</v>
      </c>
      <c r="J669" t="s">
        <v>589</v>
      </c>
      <c r="K669" s="497">
        <f>ROUND(HLOOKUP($B669,'2-Préparation saisie LV PROD'!$F$1:$Q$86,'2-Préparation saisie LV PROD'!A24,FALSE),0)</f>
        <v>3592839</v>
      </c>
      <c r="L669" t="str">
        <f>VLOOKUP(C669,Capacité!C:L,10,FALSE)</f>
        <v>Fortel</v>
      </c>
    </row>
    <row r="670" spans="1:12">
      <c r="A670" t="s">
        <v>505</v>
      </c>
      <c r="B670" t="str">
        <f t="shared" si="121"/>
        <v>B22_09</v>
      </c>
      <c r="C670" s="323" t="str">
        <f t="shared" si="119"/>
        <v>E5320</v>
      </c>
      <c r="D670" t="str">
        <f t="shared" si="122"/>
        <v>NO_DATAVIEWS</v>
      </c>
      <c r="E670" s="62" t="str">
        <f t="shared" si="122"/>
        <v>NO_DEPARTMENTS</v>
      </c>
      <c r="F670" t="s">
        <v>506</v>
      </c>
      <c r="G670" t="s">
        <v>507</v>
      </c>
      <c r="H670" t="s">
        <v>508</v>
      </c>
      <c r="I670" t="s">
        <v>509</v>
      </c>
      <c r="J670" t="s">
        <v>589</v>
      </c>
      <c r="K670" s="497">
        <f>ROUND(HLOOKUP($B670,'2-Préparation saisie LV PROD'!$F$1:$Q$86,'2-Préparation saisie LV PROD'!A25,FALSE),0)</f>
        <v>3496693</v>
      </c>
      <c r="L670" t="str">
        <f>VLOOKUP(C670,Capacité!C:L,10,FALSE)</f>
        <v>St François Roye</v>
      </c>
    </row>
    <row r="671" spans="1:12">
      <c r="A671" t="s">
        <v>505</v>
      </c>
      <c r="B671" t="str">
        <f t="shared" si="121"/>
        <v>B22_09</v>
      </c>
      <c r="C671" s="323" t="str">
        <f t="shared" si="119"/>
        <v>E5290</v>
      </c>
      <c r="D671" t="str">
        <f t="shared" si="122"/>
        <v>NO_DATAVIEWS</v>
      </c>
      <c r="E671" s="62" t="str">
        <f t="shared" si="122"/>
        <v>NO_DEPARTMENTS</v>
      </c>
      <c r="F671" t="s">
        <v>506</v>
      </c>
      <c r="G671" t="s">
        <v>507</v>
      </c>
      <c r="H671" t="s">
        <v>508</v>
      </c>
      <c r="I671" t="s">
        <v>509</v>
      </c>
      <c r="J671" t="s">
        <v>589</v>
      </c>
      <c r="K671" s="497">
        <f>ROUND(HLOOKUP($B671,'2-Préparation saisie LV PROD'!$F$1:$Q$86,'2-Préparation saisie LV PROD'!A26,FALSE),0)</f>
        <v>6438307</v>
      </c>
      <c r="L671" t="str">
        <f>VLOOKUP(C671,Capacité!C:L,10,FALSE)</f>
        <v>St Patrick</v>
      </c>
    </row>
    <row r="672" spans="1:12">
      <c r="A672" t="s">
        <v>505</v>
      </c>
      <c r="B672" t="str">
        <f t="shared" si="121"/>
        <v>B22_09</v>
      </c>
      <c r="C672" s="323" t="str">
        <f t="shared" si="119"/>
        <v>E5360</v>
      </c>
      <c r="D672" t="str">
        <f t="shared" si="122"/>
        <v>NO_DATAVIEWS</v>
      </c>
      <c r="E672" s="62" t="str">
        <f t="shared" si="122"/>
        <v>NO_DEPARTMENTS</v>
      </c>
      <c r="F672" t="s">
        <v>506</v>
      </c>
      <c r="G672" t="s">
        <v>507</v>
      </c>
      <c r="H672" t="s">
        <v>508</v>
      </c>
      <c r="I672" t="s">
        <v>509</v>
      </c>
      <c r="J672" t="s">
        <v>589</v>
      </c>
      <c r="K672" s="497">
        <f>ROUND(HLOOKUP($B672,'2-Préparation saisie LV PROD'!$F$1:$Q$86,'2-Préparation saisie LV PROD'!A27,FALSE),0)</f>
        <v>2259731</v>
      </c>
      <c r="L672" t="str">
        <f>VLOOKUP(C672,Capacité!C:L,10,FALSE)</f>
        <v>Calmont (Laur Eole Energie )</v>
      </c>
    </row>
    <row r="673" spans="1:12">
      <c r="A673" t="s">
        <v>505</v>
      </c>
      <c r="B673" t="str">
        <f t="shared" si="121"/>
        <v>B22_09</v>
      </c>
      <c r="C673" s="323" t="str">
        <f t="shared" si="119"/>
        <v>E5391</v>
      </c>
      <c r="D673" t="str">
        <f t="shared" si="122"/>
        <v>NO_DATAVIEWS</v>
      </c>
      <c r="E673" s="62" t="str">
        <f t="shared" si="122"/>
        <v>NO_DEPARTMENTS</v>
      </c>
      <c r="F673" t="s">
        <v>506</v>
      </c>
      <c r="G673" t="s">
        <v>507</v>
      </c>
      <c r="H673" t="s">
        <v>508</v>
      </c>
      <c r="I673" t="s">
        <v>509</v>
      </c>
      <c r="J673" t="s">
        <v>589</v>
      </c>
      <c r="K673" s="497">
        <f>ROUND(HLOOKUP($B673,'2-Préparation saisie LV PROD'!$F$1:$Q$86,'2-Préparation saisie LV PROD'!A28,FALSE),0)</f>
        <v>560922</v>
      </c>
      <c r="L673" t="str">
        <f>VLOOKUP(C673,Capacité!C:L,10,FALSE)</f>
        <v>Coat Conval</v>
      </c>
    </row>
    <row r="674" spans="1:12">
      <c r="A674" t="s">
        <v>505</v>
      </c>
      <c r="B674" t="str">
        <f t="shared" si="121"/>
        <v>B22_09</v>
      </c>
      <c r="C674" s="323" t="str">
        <f t="shared" si="119"/>
        <v>E5392</v>
      </c>
      <c r="D674" t="str">
        <f t="shared" si="122"/>
        <v>NO_DATAVIEWS</v>
      </c>
      <c r="E674" s="62" t="str">
        <f t="shared" si="122"/>
        <v>NO_DEPARTMENTS</v>
      </c>
      <c r="F674" t="s">
        <v>506</v>
      </c>
      <c r="G674" t="s">
        <v>507</v>
      </c>
      <c r="H674" t="s">
        <v>508</v>
      </c>
      <c r="I674" t="s">
        <v>509</v>
      </c>
      <c r="J674" t="s">
        <v>589</v>
      </c>
      <c r="K674" s="497">
        <f>ROUND(HLOOKUP($B674,'2-Préparation saisie LV PROD'!$F$1:$Q$86,'2-Préparation saisie LV PROD'!A29,FALSE),0)</f>
        <v>884935</v>
      </c>
      <c r="L674" t="str">
        <f>VLOOKUP(C674,Capacité!C:L,10,FALSE)</f>
        <v>Leign ar Gasprenn</v>
      </c>
    </row>
    <row r="675" spans="1:12">
      <c r="A675" t="s">
        <v>505</v>
      </c>
      <c r="B675" t="str">
        <f t="shared" si="121"/>
        <v>B22_09</v>
      </c>
      <c r="C675" s="323" t="str">
        <f t="shared" si="119"/>
        <v>E5393</v>
      </c>
      <c r="D675" t="str">
        <f t="shared" si="122"/>
        <v>NO_DATAVIEWS</v>
      </c>
      <c r="E675" s="62" t="str">
        <f t="shared" si="122"/>
        <v>NO_DEPARTMENTS</v>
      </c>
      <c r="F675" t="s">
        <v>506</v>
      </c>
      <c r="G675" t="s">
        <v>507</v>
      </c>
      <c r="H675" t="s">
        <v>508</v>
      </c>
      <c r="I675" t="s">
        <v>509</v>
      </c>
      <c r="J675" t="s">
        <v>589</v>
      </c>
      <c r="K675" s="497">
        <f>ROUND(HLOOKUP($B675,'2-Préparation saisie LV PROD'!$F$1:$Q$86,'2-Préparation saisie LV PROD'!A30,FALSE),0)</f>
        <v>4912300</v>
      </c>
      <c r="L675" t="str">
        <f>VLOOKUP(C675,Capacité!C:L,10,FALSE)</f>
        <v>Vallée d'Arce</v>
      </c>
    </row>
    <row r="676" spans="1:12">
      <c r="A676" t="s">
        <v>505</v>
      </c>
      <c r="B676" t="str">
        <f t="shared" si="121"/>
        <v>B22_09</v>
      </c>
      <c r="C676" s="323" t="str">
        <f t="shared" si="119"/>
        <v>E5394</v>
      </c>
      <c r="D676" t="str">
        <f t="shared" si="122"/>
        <v>NO_DATAVIEWS</v>
      </c>
      <c r="E676" s="62" t="str">
        <f t="shared" si="122"/>
        <v>NO_DEPARTMENTS</v>
      </c>
      <c r="F676" t="s">
        <v>506</v>
      </c>
      <c r="G676" t="s">
        <v>507</v>
      </c>
      <c r="H676" t="s">
        <v>508</v>
      </c>
      <c r="I676" t="s">
        <v>509</v>
      </c>
      <c r="J676" t="s">
        <v>589</v>
      </c>
      <c r="K676" s="497">
        <f>ROUND(HLOOKUP($B676,'2-Préparation saisie LV PROD'!$F$1:$Q$86,'2-Préparation saisie LV PROD'!A31,FALSE),0)</f>
        <v>1023897</v>
      </c>
      <c r="L676" t="str">
        <f>VLOOKUP(C676,Capacité!C:L,10,FALSE)</f>
        <v>La Bouleste</v>
      </c>
    </row>
    <row r="677" spans="1:12">
      <c r="A677" t="s">
        <v>505</v>
      </c>
      <c r="B677" t="str">
        <f t="shared" si="121"/>
        <v>B22_09</v>
      </c>
      <c r="C677" s="323" t="str">
        <f t="shared" si="119"/>
        <v>E5395</v>
      </c>
      <c r="D677" t="str">
        <f t="shared" si="122"/>
        <v>NO_DATAVIEWS</v>
      </c>
      <c r="E677" s="62" t="str">
        <f t="shared" si="122"/>
        <v>NO_DEPARTMENTS</v>
      </c>
      <c r="F677" t="s">
        <v>506</v>
      </c>
      <c r="G677" t="s">
        <v>507</v>
      </c>
      <c r="H677" t="s">
        <v>508</v>
      </c>
      <c r="I677" t="s">
        <v>509</v>
      </c>
      <c r="J677" t="s">
        <v>589</v>
      </c>
      <c r="K677" s="497">
        <f>ROUND(HLOOKUP($B677,'2-Préparation saisie LV PROD'!$F$1:$Q$86,'2-Préparation saisie LV PROD'!A32,FALSE),0)</f>
        <v>3201823</v>
      </c>
      <c r="L677" t="str">
        <f>VLOOKUP(C677,Capacité!C:L,10,FALSE)</f>
        <v>Haut de Conge</v>
      </c>
    </row>
    <row r="678" spans="1:12">
      <c r="A678" t="s">
        <v>505</v>
      </c>
      <c r="B678" t="str">
        <f t="shared" si="121"/>
        <v>B22_09</v>
      </c>
      <c r="C678" s="323" t="str">
        <f t="shared" si="119"/>
        <v>E5396</v>
      </c>
      <c r="D678" t="str">
        <f t="shared" si="122"/>
        <v>NO_DATAVIEWS</v>
      </c>
      <c r="E678" s="62" t="str">
        <f t="shared" si="122"/>
        <v>NO_DEPARTMENTS</v>
      </c>
      <c r="F678" t="s">
        <v>506</v>
      </c>
      <c r="G678" t="s">
        <v>507</v>
      </c>
      <c r="H678" t="s">
        <v>508</v>
      </c>
      <c r="I678" t="s">
        <v>509</v>
      </c>
      <c r="J678" t="s">
        <v>589</v>
      </c>
      <c r="K678" s="497">
        <f>ROUND(HLOOKUP($B678,'2-Préparation saisie LV PROD'!$F$1:$Q$86,'2-Préparation saisie LV PROD'!A33,FALSE),0)</f>
        <v>1331701</v>
      </c>
      <c r="L678" t="str">
        <f>VLOOKUP(C678,Capacité!C:L,10,FALSE)</f>
        <v>Les Eparmonts</v>
      </c>
    </row>
    <row r="679" spans="1:12">
      <c r="A679" t="s">
        <v>505</v>
      </c>
      <c r="B679" t="str">
        <f t="shared" si="121"/>
        <v>B22_09</v>
      </c>
      <c r="C679" s="323" t="str">
        <f t="shared" si="119"/>
        <v>E5397</v>
      </c>
      <c r="D679" t="str">
        <f t="shared" si="122"/>
        <v>NO_DATAVIEWS</v>
      </c>
      <c r="E679" s="62" t="str">
        <f t="shared" si="122"/>
        <v>NO_DEPARTMENTS</v>
      </c>
      <c r="F679" t="s">
        <v>506</v>
      </c>
      <c r="G679" t="s">
        <v>507</v>
      </c>
      <c r="H679" t="s">
        <v>508</v>
      </c>
      <c r="I679" t="s">
        <v>509</v>
      </c>
      <c r="J679" t="s">
        <v>589</v>
      </c>
      <c r="K679" s="497">
        <f>ROUND(HLOOKUP($B679,'2-Préparation saisie LV PROD'!$F$1:$Q$86,'2-Préparation saisie LV PROD'!A34,FALSE),0)</f>
        <v>1534659</v>
      </c>
      <c r="L679" t="str">
        <f>VLOOKUP(C679,Capacité!C:L,10,FALSE)</f>
        <v>Charmoy</v>
      </c>
    </row>
    <row r="680" spans="1:12">
      <c r="A680" t="s">
        <v>505</v>
      </c>
      <c r="B680" t="str">
        <f t="shared" si="121"/>
        <v>B22_09</v>
      </c>
      <c r="C680" s="323" t="str">
        <f t="shared" si="119"/>
        <v>E5398</v>
      </c>
      <c r="D680" t="str">
        <f t="shared" si="122"/>
        <v>NO_DATAVIEWS</v>
      </c>
      <c r="E680" s="62" t="str">
        <f t="shared" si="122"/>
        <v>NO_DEPARTMENTS</v>
      </c>
      <c r="F680" t="s">
        <v>506</v>
      </c>
      <c r="G680" t="s">
        <v>507</v>
      </c>
      <c r="H680" t="s">
        <v>508</v>
      </c>
      <c r="I680" t="s">
        <v>509</v>
      </c>
      <c r="J680" t="s">
        <v>589</v>
      </c>
      <c r="K680" s="497">
        <f>ROUND(HLOOKUP($B680,'2-Préparation saisie LV PROD'!$F$1:$Q$86,'2-Préparation saisie LV PROD'!A35,FALSE),0)</f>
        <v>2526000</v>
      </c>
      <c r="L680" t="str">
        <f>VLOOKUP(C680,Capacité!C:L,10,FALSE)</f>
        <v>Pannecé</v>
      </c>
    </row>
    <row r="681" spans="1:12">
      <c r="A681" t="s">
        <v>505</v>
      </c>
      <c r="B681" t="str">
        <f t="shared" si="121"/>
        <v>B22_09</v>
      </c>
      <c r="C681" s="323" t="str">
        <f t="shared" si="119"/>
        <v>E5399</v>
      </c>
      <c r="D681" t="str">
        <f t="shared" si="122"/>
        <v>NO_DATAVIEWS</v>
      </c>
      <c r="E681" s="62" t="str">
        <f t="shared" si="122"/>
        <v>NO_DEPARTMENTS</v>
      </c>
      <c r="F681" t="s">
        <v>506</v>
      </c>
      <c r="G681" t="s">
        <v>507</v>
      </c>
      <c r="H681" t="s">
        <v>508</v>
      </c>
      <c r="I681" t="s">
        <v>509</v>
      </c>
      <c r="J681" t="s">
        <v>589</v>
      </c>
      <c r="K681" s="497">
        <f>ROUND(HLOOKUP($B681,'2-Préparation saisie LV PROD'!$F$1:$Q$86,'2-Préparation saisie LV PROD'!A36,FALSE),0)</f>
        <v>4773714</v>
      </c>
      <c r="L681" t="str">
        <f>VLOOKUP(C681,Capacité!C:L,10,FALSE)</f>
        <v>Coulonges</v>
      </c>
    </row>
    <row r="682" spans="1:12">
      <c r="A682" t="s">
        <v>505</v>
      </c>
      <c r="B682" t="str">
        <f t="shared" si="121"/>
        <v>B22_09</v>
      </c>
      <c r="C682" s="323" t="str">
        <f t="shared" ref="C682:C713" si="123">C601</f>
        <v>E5400</v>
      </c>
      <c r="D682" t="str">
        <f t="shared" ref="D682:E697" si="124">D681</f>
        <v>NO_DATAVIEWS</v>
      </c>
      <c r="E682" s="62" t="str">
        <f t="shared" si="124"/>
        <v>NO_DEPARTMENTS</v>
      </c>
      <c r="F682" t="s">
        <v>506</v>
      </c>
      <c r="G682" t="s">
        <v>507</v>
      </c>
      <c r="H682" t="s">
        <v>508</v>
      </c>
      <c r="I682" t="s">
        <v>509</v>
      </c>
      <c r="J682" t="s">
        <v>589</v>
      </c>
      <c r="K682" s="497">
        <f>ROUND(HLOOKUP($B682,'2-Préparation saisie LV PROD'!$F$1:$Q$86,'2-Préparation saisie LV PROD'!A37,FALSE),0)</f>
        <v>2855461</v>
      </c>
      <c r="L682" t="str">
        <f>VLOOKUP(C682,Capacité!C:L,10,FALSE)</f>
        <v>SdlL</v>
      </c>
    </row>
    <row r="683" spans="1:12">
      <c r="A683" t="s">
        <v>505</v>
      </c>
      <c r="B683" t="str">
        <f t="shared" si="121"/>
        <v>B22_09</v>
      </c>
      <c r="C683" s="323" t="str">
        <f t="shared" si="123"/>
        <v>E5401</v>
      </c>
      <c r="D683" t="str">
        <f t="shared" si="124"/>
        <v>NO_DATAVIEWS</v>
      </c>
      <c r="E683" s="62" t="str">
        <f t="shared" si="124"/>
        <v>NO_DEPARTMENTS</v>
      </c>
      <c r="F683" t="s">
        <v>506</v>
      </c>
      <c r="G683" t="s">
        <v>507</v>
      </c>
      <c r="H683" t="s">
        <v>508</v>
      </c>
      <c r="I683" t="s">
        <v>509</v>
      </c>
      <c r="J683" t="s">
        <v>589</v>
      </c>
      <c r="K683" s="497">
        <f>ROUND(HLOOKUP($B683,'2-Préparation saisie LV PROD'!$F$1:$Q$86,'2-Préparation saisie LV PROD'!A38,FALSE),0)</f>
        <v>1223327</v>
      </c>
      <c r="L683" t="str">
        <f>VLOOKUP(C683,Capacité!C:L,10,FALSE)</f>
        <v>Pays d'Othe</v>
      </c>
    </row>
    <row r="684" spans="1:12">
      <c r="A684" t="s">
        <v>505</v>
      </c>
      <c r="B684" t="str">
        <f t="shared" si="121"/>
        <v>B22_09</v>
      </c>
      <c r="C684" s="323" t="str">
        <f t="shared" si="123"/>
        <v>E5402</v>
      </c>
      <c r="D684" t="str">
        <f t="shared" si="124"/>
        <v>NO_DATAVIEWS</v>
      </c>
      <c r="E684" s="62" t="str">
        <f t="shared" si="124"/>
        <v>NO_DEPARTMENTS</v>
      </c>
      <c r="F684" t="s">
        <v>506</v>
      </c>
      <c r="G684" t="s">
        <v>507</v>
      </c>
      <c r="H684" t="s">
        <v>508</v>
      </c>
      <c r="I684" t="s">
        <v>509</v>
      </c>
      <c r="J684" t="s">
        <v>589</v>
      </c>
      <c r="K684" s="497">
        <f>ROUND(HLOOKUP($B684,'2-Préparation saisie LV PROD'!$F$1:$Q$86,'2-Préparation saisie LV PROD'!A39,FALSE),0)</f>
        <v>1628103</v>
      </c>
      <c r="L684" t="str">
        <f>VLOOKUP(C684,Capacité!C:L,10,FALSE)</f>
        <v>Comes de l'Arce</v>
      </c>
    </row>
    <row r="685" spans="1:12">
      <c r="A685" t="s">
        <v>505</v>
      </c>
      <c r="B685" t="str">
        <f t="shared" si="121"/>
        <v>B22_09</v>
      </c>
      <c r="C685" s="323" t="str">
        <f t="shared" si="123"/>
        <v>E5570</v>
      </c>
      <c r="D685" t="str">
        <f t="shared" si="124"/>
        <v>NO_DATAVIEWS</v>
      </c>
      <c r="E685" s="62" t="str">
        <f t="shared" si="124"/>
        <v>NO_DEPARTMENTS</v>
      </c>
      <c r="F685" t="s">
        <v>506</v>
      </c>
      <c r="G685" t="s">
        <v>507</v>
      </c>
      <c r="H685" t="s">
        <v>508</v>
      </c>
      <c r="I685" t="s">
        <v>509</v>
      </c>
      <c r="J685" t="s">
        <v>589</v>
      </c>
      <c r="K685" s="497">
        <f>ROUND(HLOOKUP($B685,'2-Préparation saisie LV PROD'!$F$1:$Q$86,'2-Préparation saisie LV PROD'!A40,FALSE),0)</f>
        <v>2202449</v>
      </c>
      <c r="L685" t="str">
        <f>VLOOKUP(C685,Capacité!C:L,10,FALSE)</f>
        <v>Plateau de Savernat</v>
      </c>
    </row>
    <row r="686" spans="1:12">
      <c r="A686" t="s">
        <v>505</v>
      </c>
      <c r="B686" t="str">
        <f t="shared" si="121"/>
        <v>B22_09</v>
      </c>
      <c r="C686" s="323" t="str">
        <f t="shared" si="123"/>
        <v>E5560</v>
      </c>
      <c r="D686" t="str">
        <f t="shared" si="124"/>
        <v>NO_DATAVIEWS</v>
      </c>
      <c r="E686" s="62" t="str">
        <f t="shared" si="124"/>
        <v>NO_DEPARTMENTS</v>
      </c>
      <c r="F686" t="s">
        <v>506</v>
      </c>
      <c r="G686" t="s">
        <v>507</v>
      </c>
      <c r="H686" t="s">
        <v>508</v>
      </c>
      <c r="I686" t="s">
        <v>509</v>
      </c>
      <c r="J686" t="s">
        <v>589</v>
      </c>
      <c r="K686" s="497">
        <f>ROUND(HLOOKUP($B686,'2-Préparation saisie LV PROD'!$F$1:$Q$86,'2-Préparation saisie LV PROD'!A41,FALSE),0)</f>
        <v>1743367</v>
      </c>
      <c r="L686" t="str">
        <f>VLOOKUP(C686,Capacité!C:L,10,FALSE)</f>
        <v>Touvent</v>
      </c>
    </row>
    <row r="687" spans="1:12">
      <c r="A687" t="s">
        <v>505</v>
      </c>
      <c r="B687" t="str">
        <f t="shared" si="121"/>
        <v>B22_09</v>
      </c>
      <c r="C687" s="323" t="str">
        <f t="shared" si="123"/>
        <v>E5700</v>
      </c>
      <c r="D687" t="str">
        <f t="shared" si="124"/>
        <v>NO_DATAVIEWS</v>
      </c>
      <c r="E687" s="62" t="str">
        <f t="shared" si="124"/>
        <v>NO_DEPARTMENTS</v>
      </c>
      <c r="F687" t="s">
        <v>506</v>
      </c>
      <c r="G687" t="s">
        <v>507</v>
      </c>
      <c r="H687" t="s">
        <v>508</v>
      </c>
      <c r="I687" t="s">
        <v>509</v>
      </c>
      <c r="J687" t="s">
        <v>589</v>
      </c>
      <c r="K687" s="497">
        <f>ROUND(HLOOKUP($B687,'2-Préparation saisie LV PROD'!$F$1:$Q$86,'2-Préparation saisie LV PROD'!A42,FALSE),0)</f>
        <v>3617728</v>
      </c>
      <c r="L687" t="str">
        <f>VLOOKUP(C687,Capacité!C:L,10,FALSE)</f>
        <v>Haut de Comble (HC)</v>
      </c>
    </row>
    <row r="688" spans="1:12">
      <c r="A688" t="s">
        <v>505</v>
      </c>
      <c r="B688" t="str">
        <f t="shared" si="121"/>
        <v>B22_09</v>
      </c>
      <c r="C688" s="323" t="str">
        <f t="shared" si="123"/>
        <v>E5600</v>
      </c>
      <c r="D688" t="str">
        <f t="shared" si="124"/>
        <v>NO_DATAVIEWS</v>
      </c>
      <c r="E688" s="62" t="str">
        <f t="shared" si="124"/>
        <v>NO_DEPARTMENTS</v>
      </c>
      <c r="F688" t="s">
        <v>506</v>
      </c>
      <c r="G688" t="s">
        <v>507</v>
      </c>
      <c r="H688" t="s">
        <v>508</v>
      </c>
      <c r="I688" t="s">
        <v>509</v>
      </c>
      <c r="J688" t="s">
        <v>589</v>
      </c>
      <c r="K688" s="497">
        <f>ROUND(HLOOKUP($B688,'2-Préparation saisie LV PROD'!$F$1:$Q$86,'2-Préparation saisie LV PROD'!A43,FALSE),0)</f>
        <v>5086044</v>
      </c>
      <c r="L688" t="str">
        <f>VLOOKUP(C688,Capacité!C:L,10,FALSE)</f>
        <v>Inter deux bos (MET)</v>
      </c>
    </row>
    <row r="689" spans="1:12">
      <c r="A689" t="s">
        <v>505</v>
      </c>
      <c r="B689" t="str">
        <f t="shared" si="121"/>
        <v>B22_09</v>
      </c>
      <c r="C689" s="323" t="str">
        <f t="shared" si="123"/>
        <v>E5770</v>
      </c>
      <c r="D689" t="str">
        <f t="shared" si="124"/>
        <v>NO_DATAVIEWS</v>
      </c>
      <c r="E689" s="62" t="str">
        <f t="shared" si="124"/>
        <v>NO_DEPARTMENTS</v>
      </c>
      <c r="F689" t="s">
        <v>506</v>
      </c>
      <c r="G689" t="s">
        <v>507</v>
      </c>
      <c r="H689" t="s">
        <v>508</v>
      </c>
      <c r="I689" t="s">
        <v>509</v>
      </c>
      <c r="J689" t="s">
        <v>589</v>
      </c>
      <c r="K689" s="497">
        <f>ROUND(HLOOKUP($B689,'2-Préparation saisie LV PROD'!$F$1:$Q$86,'2-Préparation saisie LV PROD'!A44,FALSE),0)</f>
        <v>1823782</v>
      </c>
      <c r="L689" t="str">
        <f>VLOOKUP(C689,Capacité!C:L,10,FALSE)</f>
        <v>Le Pelon</v>
      </c>
    </row>
    <row r="690" spans="1:12">
      <c r="A690" t="s">
        <v>505</v>
      </c>
      <c r="B690" t="str">
        <f t="shared" si="121"/>
        <v>B22_09</v>
      </c>
      <c r="C690" s="323" t="str">
        <f t="shared" si="123"/>
        <v>E5630</v>
      </c>
      <c r="D690" t="str">
        <f t="shared" si="124"/>
        <v>NO_DATAVIEWS</v>
      </c>
      <c r="E690" s="62" t="str">
        <f t="shared" si="124"/>
        <v>NO_DEPARTMENTS</v>
      </c>
      <c r="F690" t="s">
        <v>506</v>
      </c>
      <c r="G690" t="s">
        <v>507</v>
      </c>
      <c r="H690" t="s">
        <v>508</v>
      </c>
      <c r="I690" t="s">
        <v>509</v>
      </c>
      <c r="J690" t="s">
        <v>589</v>
      </c>
      <c r="K690" s="497">
        <f>ROUND(HLOOKUP($B690,'2-Préparation saisie LV PROD'!$F$1:$Q$86,'2-Préparation saisie LV PROD'!A45,FALSE),0)</f>
        <v>4465007</v>
      </c>
      <c r="L690" t="str">
        <f>VLOOKUP(C690,Capacité!C:L,10,FALSE)</f>
        <v>Monts de Bagny</v>
      </c>
    </row>
    <row r="691" spans="1:12">
      <c r="A691" t="s">
        <v>505</v>
      </c>
      <c r="B691" t="str">
        <f t="shared" si="121"/>
        <v>B22_09</v>
      </c>
      <c r="C691" s="323" t="str">
        <f t="shared" si="123"/>
        <v>E5690</v>
      </c>
      <c r="D691" t="str">
        <f t="shared" si="124"/>
        <v>NO_DATAVIEWS</v>
      </c>
      <c r="E691" s="62" t="str">
        <f t="shared" si="124"/>
        <v>NO_DEPARTMENTS</v>
      </c>
      <c r="F691" t="s">
        <v>506</v>
      </c>
      <c r="G691" t="s">
        <v>507</v>
      </c>
      <c r="H691" t="s">
        <v>508</v>
      </c>
      <c r="I691" t="s">
        <v>509</v>
      </c>
      <c r="J691" t="s">
        <v>589</v>
      </c>
      <c r="K691" s="497">
        <f>ROUND(HLOOKUP($B691,'2-Préparation saisie LV PROD'!$F$1:$Q$86,'2-Préparation saisie LV PROD'!A46,FALSE),0)</f>
        <v>2062918</v>
      </c>
      <c r="L691" t="str">
        <f>VLOOKUP(C691,Capacité!C:L,10,FALSE)</f>
        <v>Voie des monts</v>
      </c>
    </row>
    <row r="692" spans="1:12">
      <c r="A692" t="s">
        <v>505</v>
      </c>
      <c r="B692" t="str">
        <f t="shared" si="121"/>
        <v>B22_09</v>
      </c>
      <c r="C692" s="323" t="str">
        <f t="shared" si="123"/>
        <v>E5640</v>
      </c>
      <c r="D692" t="str">
        <f t="shared" si="124"/>
        <v>NO_DATAVIEWS</v>
      </c>
      <c r="E692" s="62" t="str">
        <f t="shared" si="124"/>
        <v>NO_DEPARTMENTS</v>
      </c>
      <c r="F692" t="s">
        <v>506</v>
      </c>
      <c r="G692" t="s">
        <v>507</v>
      </c>
      <c r="H692" t="s">
        <v>508</v>
      </c>
      <c r="I692" t="s">
        <v>509</v>
      </c>
      <c r="J692" t="s">
        <v>589</v>
      </c>
      <c r="K692" s="497">
        <f>ROUND(HLOOKUP($B692,'2-Préparation saisie LV PROD'!$F$1:$Q$86,'2-Préparation saisie LV PROD'!A47,FALSE),0)</f>
        <v>4123649</v>
      </c>
      <c r="L692" t="str">
        <f>VLOOKUP(C692,Capacité!C:L,10,FALSE)</f>
        <v>Artois</v>
      </c>
    </row>
    <row r="693" spans="1:12">
      <c r="A693" t="s">
        <v>505</v>
      </c>
      <c r="B693" t="str">
        <f t="shared" si="121"/>
        <v>B22_09</v>
      </c>
      <c r="C693" s="323" t="str">
        <f t="shared" si="123"/>
        <v>E5620</v>
      </c>
      <c r="D693" t="str">
        <f t="shared" si="124"/>
        <v>NO_DATAVIEWS</v>
      </c>
      <c r="E693" s="62" t="str">
        <f t="shared" si="124"/>
        <v>NO_DEPARTMENTS</v>
      </c>
      <c r="F693" t="s">
        <v>506</v>
      </c>
      <c r="G693" t="s">
        <v>507</v>
      </c>
      <c r="H693" t="s">
        <v>508</v>
      </c>
      <c r="I693" t="s">
        <v>509</v>
      </c>
      <c r="J693" t="s">
        <v>589</v>
      </c>
      <c r="K693" s="497">
        <f>ROUND(HLOOKUP($B693,'2-Préparation saisie LV PROD'!$F$1:$Q$86,'2-Préparation saisie LV PROD'!A48,FALSE),0)</f>
        <v>5218939</v>
      </c>
      <c r="L693" t="str">
        <f>VLOOKUP(C693,Capacité!C:L,10,FALSE)</f>
        <v>Chemin de Grès</v>
      </c>
    </row>
    <row r="694" spans="1:12">
      <c r="A694" t="s">
        <v>505</v>
      </c>
      <c r="B694" t="str">
        <f t="shared" si="121"/>
        <v>B22_09</v>
      </c>
      <c r="C694" s="323" t="str">
        <f t="shared" si="123"/>
        <v>E5810</v>
      </c>
      <c r="D694" t="str">
        <f t="shared" si="124"/>
        <v>NO_DATAVIEWS</v>
      </c>
      <c r="E694" s="62" t="str">
        <f t="shared" si="124"/>
        <v>NO_DEPARTMENTS</v>
      </c>
      <c r="F694" t="s">
        <v>506</v>
      </c>
      <c r="G694" t="s">
        <v>507</v>
      </c>
      <c r="H694" t="s">
        <v>508</v>
      </c>
      <c r="I694" t="s">
        <v>509</v>
      </c>
      <c r="J694" t="s">
        <v>589</v>
      </c>
      <c r="K694" s="497">
        <f>ROUND(HLOOKUP($B694,'2-Préparation saisie LV PROD'!$F$1:$Q$86,'2-Préparation saisie LV PROD'!A49,FALSE),0)</f>
        <v>3349690</v>
      </c>
      <c r="L694" t="str">
        <f>VLOOKUP(C694,Capacité!C:L,10,FALSE)</f>
        <v>Coteaux du Blaiseron</v>
      </c>
    </row>
    <row r="695" spans="1:12">
      <c r="A695" t="s">
        <v>505</v>
      </c>
      <c r="B695" t="str">
        <f t="shared" si="121"/>
        <v>B22_09</v>
      </c>
      <c r="C695" s="323" t="str">
        <f t="shared" si="123"/>
        <v>E5660</v>
      </c>
      <c r="D695" t="str">
        <f t="shared" si="124"/>
        <v>NO_DATAVIEWS</v>
      </c>
      <c r="E695" s="62" t="str">
        <f t="shared" si="124"/>
        <v>NO_DEPARTMENTS</v>
      </c>
      <c r="F695" t="s">
        <v>506</v>
      </c>
      <c r="G695" t="s">
        <v>507</v>
      </c>
      <c r="H695" t="s">
        <v>508</v>
      </c>
      <c r="I695" t="s">
        <v>509</v>
      </c>
      <c r="J695" t="s">
        <v>589</v>
      </c>
      <c r="K695" s="497">
        <f>ROUND(HLOOKUP($B695,'2-Préparation saisie LV PROD'!$F$1:$Q$86,'2-Préparation saisie LV PROD'!A50,FALSE),0)</f>
        <v>3220026</v>
      </c>
      <c r="L695" t="str">
        <f>VLOOKUP(C695,Capacité!C:L,10,FALSE)</f>
        <v>XSAN</v>
      </c>
    </row>
    <row r="696" spans="1:12">
      <c r="A696" t="s">
        <v>505</v>
      </c>
      <c r="B696" t="str">
        <f t="shared" si="121"/>
        <v>B22_09</v>
      </c>
      <c r="C696" s="323" t="str">
        <f t="shared" si="123"/>
        <v>E5590</v>
      </c>
      <c r="D696" t="str">
        <f t="shared" si="124"/>
        <v>NO_DATAVIEWS</v>
      </c>
      <c r="E696" s="62" t="str">
        <f t="shared" si="124"/>
        <v>NO_DEPARTMENTS</v>
      </c>
      <c r="F696" t="s">
        <v>506</v>
      </c>
      <c r="G696" t="s">
        <v>507</v>
      </c>
      <c r="H696" t="s">
        <v>508</v>
      </c>
      <c r="I696" t="s">
        <v>509</v>
      </c>
      <c r="J696" t="s">
        <v>589</v>
      </c>
      <c r="K696" s="497">
        <f>ROUND(HLOOKUP($B696,'2-Préparation saisie LV PROD'!$F$1:$Q$86,'2-Préparation saisie LV PROD'!A51,FALSE),0)</f>
        <v>2392294</v>
      </c>
      <c r="L696" t="str">
        <f>VLOOKUP(C696,Capacité!C:L,10,FALSE)</f>
        <v>Le Catésis (CAT)</v>
      </c>
    </row>
    <row r="697" spans="1:12">
      <c r="A697" t="s">
        <v>505</v>
      </c>
      <c r="B697" t="str">
        <f t="shared" si="121"/>
        <v>B22_09</v>
      </c>
      <c r="C697" s="323" t="str">
        <f t="shared" si="123"/>
        <v>E5650</v>
      </c>
      <c r="D697" t="str">
        <f t="shared" si="124"/>
        <v>NO_DATAVIEWS</v>
      </c>
      <c r="E697" s="62" t="str">
        <f t="shared" si="124"/>
        <v>NO_DEPARTMENTS</v>
      </c>
      <c r="F697" t="s">
        <v>506</v>
      </c>
      <c r="G697" t="s">
        <v>507</v>
      </c>
      <c r="H697" t="s">
        <v>508</v>
      </c>
      <c r="I697" t="s">
        <v>509</v>
      </c>
      <c r="J697" t="s">
        <v>589</v>
      </c>
      <c r="K697" s="497">
        <f>ROUND(HLOOKUP($B697,'2-Préparation saisie LV PROD'!$F$1:$Q$86,'2-Préparation saisie LV PROD'!A52,FALSE),0)</f>
        <v>4123010</v>
      </c>
      <c r="L697" t="str">
        <f>VLOOKUP(C697,Capacité!C:L,10,FALSE)</f>
        <v>Seuil du Cambrésis- Ribecourt (RIB)</v>
      </c>
    </row>
    <row r="698" spans="1:12">
      <c r="A698" t="s">
        <v>505</v>
      </c>
      <c r="B698" t="str">
        <f t="shared" si="121"/>
        <v>B22_09</v>
      </c>
      <c r="C698" s="323" t="str">
        <f t="shared" si="123"/>
        <v>E5720</v>
      </c>
      <c r="D698" t="str">
        <f t="shared" ref="D698:E713" si="125">D697</f>
        <v>NO_DATAVIEWS</v>
      </c>
      <c r="E698" s="62" t="str">
        <f t="shared" si="125"/>
        <v>NO_DEPARTMENTS</v>
      </c>
      <c r="F698" t="s">
        <v>506</v>
      </c>
      <c r="G698" t="s">
        <v>507</v>
      </c>
      <c r="H698" t="s">
        <v>508</v>
      </c>
      <c r="I698" t="s">
        <v>509</v>
      </c>
      <c r="J698" t="s">
        <v>589</v>
      </c>
      <c r="K698" s="497">
        <f>ROUND(HLOOKUP($B698,'2-Préparation saisie LV PROD'!$F$1:$Q$86,'2-Préparation saisie LV PROD'!A53,FALSE),0)</f>
        <v>3112759</v>
      </c>
      <c r="L698" t="str">
        <f>VLOOKUP(C698,Capacité!C:L,10,FALSE)</f>
        <v>Basse Thiérache Nord</v>
      </c>
    </row>
    <row r="699" spans="1:12">
      <c r="A699" t="s">
        <v>505</v>
      </c>
      <c r="B699" t="str">
        <f t="shared" si="121"/>
        <v>B22_09</v>
      </c>
      <c r="C699" s="323" t="str">
        <f t="shared" si="123"/>
        <v>E5710</v>
      </c>
      <c r="D699" t="str">
        <f t="shared" si="125"/>
        <v>NO_DATAVIEWS</v>
      </c>
      <c r="E699" s="62" t="str">
        <f t="shared" si="125"/>
        <v>NO_DEPARTMENTS</v>
      </c>
      <c r="F699" t="s">
        <v>506</v>
      </c>
      <c r="G699" t="s">
        <v>507</v>
      </c>
      <c r="H699" t="s">
        <v>508</v>
      </c>
      <c r="I699" t="s">
        <v>509</v>
      </c>
      <c r="J699" t="s">
        <v>589</v>
      </c>
      <c r="K699" s="497">
        <f>ROUND(HLOOKUP($B699,'2-Préparation saisie LV PROD'!$F$1:$Q$86,'2-Préparation saisie LV PROD'!A54,FALSE),0)</f>
        <v>3708455</v>
      </c>
      <c r="L699" t="str">
        <f>VLOOKUP(C699,Capacité!C:L,10,FALSE)</f>
        <v>Sources de l'Ancre</v>
      </c>
    </row>
    <row r="700" spans="1:12">
      <c r="A700" t="s">
        <v>505</v>
      </c>
      <c r="B700" t="str">
        <f t="shared" si="121"/>
        <v>B22_09</v>
      </c>
      <c r="C700" s="323" t="str">
        <f t="shared" si="123"/>
        <v>E6190</v>
      </c>
      <c r="D700" t="str">
        <f t="shared" si="125"/>
        <v>NO_DATAVIEWS</v>
      </c>
      <c r="E700" s="62" t="str">
        <f t="shared" si="125"/>
        <v>NO_DEPARTMENTS</v>
      </c>
      <c r="F700" t="s">
        <v>506</v>
      </c>
      <c r="G700" t="s">
        <v>507</v>
      </c>
      <c r="H700" t="s">
        <v>508</v>
      </c>
      <c r="I700" t="s">
        <v>509</v>
      </c>
      <c r="J700" t="s">
        <v>589</v>
      </c>
      <c r="K700" s="497">
        <f>ROUND(HLOOKUP($B700,'2-Préparation saisie LV PROD'!$F$1:$Q$86,'2-Préparation saisie LV PROD'!A55,FALSE),0)</f>
        <v>0</v>
      </c>
      <c r="L700" t="str">
        <f>VLOOKUP(C700,Capacité!C:L,10,FALSE)</f>
        <v>Evits et Josaphats</v>
      </c>
    </row>
    <row r="701" spans="1:12">
      <c r="A701" t="s">
        <v>505</v>
      </c>
      <c r="B701" t="str">
        <f t="shared" si="121"/>
        <v>B22_09</v>
      </c>
      <c r="C701" s="323" t="str">
        <f t="shared" si="123"/>
        <v>E6200</v>
      </c>
      <c r="D701" t="str">
        <f t="shared" si="125"/>
        <v>NO_DATAVIEWS</v>
      </c>
      <c r="E701" s="62" t="str">
        <f t="shared" si="125"/>
        <v>NO_DEPARTMENTS</v>
      </c>
      <c r="F701" t="s">
        <v>506</v>
      </c>
      <c r="G701" t="s">
        <v>507</v>
      </c>
      <c r="H701" t="s">
        <v>508</v>
      </c>
      <c r="I701" t="s">
        <v>509</v>
      </c>
      <c r="J701" t="s">
        <v>589</v>
      </c>
      <c r="K701" s="497">
        <f>ROUND(HLOOKUP($B701,'2-Préparation saisie LV PROD'!$F$1:$Q$86,'2-Préparation saisie LV PROD'!A56,FALSE),0)</f>
        <v>0</v>
      </c>
      <c r="L701" t="str">
        <f>VLOOKUP(C701,Capacité!C:L,10,FALSE)</f>
        <v>Remise Reclainville</v>
      </c>
    </row>
    <row r="702" spans="1:12">
      <c r="A702" t="s">
        <v>505</v>
      </c>
      <c r="B702" t="str">
        <f t="shared" si="121"/>
        <v>B22_09</v>
      </c>
      <c r="C702" s="323" t="str">
        <f t="shared" si="123"/>
        <v>E6150</v>
      </c>
      <c r="D702" t="str">
        <f t="shared" si="125"/>
        <v>NO_DATAVIEWS</v>
      </c>
      <c r="E702" s="62" t="str">
        <f t="shared" si="125"/>
        <v>NO_DEPARTMENTS</v>
      </c>
      <c r="F702" t="s">
        <v>506</v>
      </c>
      <c r="G702" t="s">
        <v>507</v>
      </c>
      <c r="H702" t="s">
        <v>508</v>
      </c>
      <c r="I702" t="s">
        <v>509</v>
      </c>
      <c r="J702" t="s">
        <v>589</v>
      </c>
      <c r="K702" s="497">
        <f>ROUND(HLOOKUP($B702,'2-Préparation saisie LV PROD'!$F$1:$Q$86,'2-Préparation saisie LV PROD'!A57,FALSE),0)</f>
        <v>1152838</v>
      </c>
      <c r="L702" t="str">
        <f>VLOOKUP(C702,Capacité!C:L,10,FALSE)</f>
        <v>Fierville</v>
      </c>
    </row>
    <row r="703" spans="1:12">
      <c r="A703" t="s">
        <v>505</v>
      </c>
      <c r="B703" t="str">
        <f t="shared" si="121"/>
        <v>B22_09</v>
      </c>
      <c r="C703" s="323" t="str">
        <f t="shared" si="123"/>
        <v>E6340</v>
      </c>
      <c r="D703" t="str">
        <f t="shared" si="125"/>
        <v>NO_DATAVIEWS</v>
      </c>
      <c r="E703" s="62" t="str">
        <f t="shared" si="125"/>
        <v>NO_DEPARTMENTS</v>
      </c>
      <c r="F703" t="s">
        <v>506</v>
      </c>
      <c r="G703" t="s">
        <v>507</v>
      </c>
      <c r="H703" t="s">
        <v>508</v>
      </c>
      <c r="I703" t="s">
        <v>509</v>
      </c>
      <c r="J703" t="s">
        <v>589</v>
      </c>
      <c r="K703" s="497">
        <f>ROUND(HLOOKUP($B703,'2-Préparation saisie LV PROD'!$F$1:$Q$86,'2-Préparation saisie LV PROD'!A58,FALSE),0)</f>
        <v>1827733</v>
      </c>
      <c r="L703" t="str">
        <f>VLOOKUP(C703,Capacité!C:L,10,FALSE)</f>
        <v>Plaine de Beaunay</v>
      </c>
    </row>
    <row r="704" spans="1:12">
      <c r="A704" t="s">
        <v>505</v>
      </c>
      <c r="B704" t="str">
        <f t="shared" si="121"/>
        <v>B22_09</v>
      </c>
      <c r="C704" s="323" t="str">
        <f t="shared" si="123"/>
        <v>E6370</v>
      </c>
      <c r="D704" t="str">
        <f t="shared" si="125"/>
        <v>NO_DATAVIEWS</v>
      </c>
      <c r="E704" s="62" t="str">
        <f t="shared" si="125"/>
        <v>NO_DEPARTMENTS</v>
      </c>
      <c r="F704" t="s">
        <v>506</v>
      </c>
      <c r="G704" t="s">
        <v>507</v>
      </c>
      <c r="H704" t="s">
        <v>508</v>
      </c>
      <c r="I704" t="s">
        <v>509</v>
      </c>
      <c r="J704" t="s">
        <v>589</v>
      </c>
      <c r="K704" s="497">
        <f>ROUND(HLOOKUP($B704,'2-Préparation saisie LV PROD'!$F$1:$Q$86,'2-Préparation saisie LV PROD'!A59,FALSE),0)</f>
        <v>2447999</v>
      </c>
      <c r="L704" t="str">
        <f>VLOOKUP(C704,Capacité!C:L,10,FALSE)</f>
        <v>Val au Moines</v>
      </c>
    </row>
    <row r="705" spans="1:12">
      <c r="A705" t="s">
        <v>505</v>
      </c>
      <c r="B705" t="str">
        <f t="shared" si="121"/>
        <v>B22_09</v>
      </c>
      <c r="C705" s="323" t="str">
        <f t="shared" si="123"/>
        <v>E6250</v>
      </c>
      <c r="D705" t="str">
        <f t="shared" si="125"/>
        <v>NO_DATAVIEWS</v>
      </c>
      <c r="E705" s="62" t="str">
        <f t="shared" si="125"/>
        <v>NO_DEPARTMENTS</v>
      </c>
      <c r="F705" t="s">
        <v>506</v>
      </c>
      <c r="G705" t="s">
        <v>507</v>
      </c>
      <c r="H705" t="s">
        <v>508</v>
      </c>
      <c r="I705" t="s">
        <v>509</v>
      </c>
      <c r="J705" t="s">
        <v>589</v>
      </c>
      <c r="K705" s="497">
        <f>ROUND(HLOOKUP($B705,'2-Préparation saisie LV PROD'!$F$1:$Q$86,'2-Préparation saisie LV PROD'!A60,FALSE),0)</f>
        <v>0</v>
      </c>
      <c r="L705" t="str">
        <f>VLOOKUP(C705,Capacité!C:L,10,FALSE)</f>
        <v>Bougainville</v>
      </c>
    </row>
    <row r="706" spans="1:12">
      <c r="A706" t="s">
        <v>505</v>
      </c>
      <c r="B706" t="str">
        <f t="shared" si="121"/>
        <v>B22_09</v>
      </c>
      <c r="C706" s="323" t="str">
        <f t="shared" si="123"/>
        <v>E6260</v>
      </c>
      <c r="D706" t="str">
        <f t="shared" si="125"/>
        <v>NO_DATAVIEWS</v>
      </c>
      <c r="E706" s="62" t="str">
        <f t="shared" si="125"/>
        <v>NO_DEPARTMENTS</v>
      </c>
      <c r="F706" t="s">
        <v>506</v>
      </c>
      <c r="G706" t="s">
        <v>507</v>
      </c>
      <c r="H706" t="s">
        <v>508</v>
      </c>
      <c r="I706" t="s">
        <v>509</v>
      </c>
      <c r="J706" t="s">
        <v>589</v>
      </c>
      <c r="K706" s="497">
        <f>ROUND(HLOOKUP($B706,'2-Préparation saisie LV PROD'!$F$1:$Q$86,'2-Préparation saisie LV PROD'!A61,FALSE),0)</f>
        <v>1395683</v>
      </c>
      <c r="L706" t="str">
        <f>VLOOKUP(C706,Capacité!C:L,10,FALSE)</f>
        <v>Saint André</v>
      </c>
    </row>
    <row r="707" spans="1:12">
      <c r="A707" t="s">
        <v>505</v>
      </c>
      <c r="B707" t="str">
        <f t="shared" si="121"/>
        <v>B22_09</v>
      </c>
      <c r="C707" s="323" t="str">
        <f t="shared" si="123"/>
        <v>E6120</v>
      </c>
      <c r="D707" t="str">
        <f t="shared" si="125"/>
        <v>NO_DATAVIEWS</v>
      </c>
      <c r="E707" s="62" t="str">
        <f t="shared" si="125"/>
        <v>NO_DEPARTMENTS</v>
      </c>
      <c r="F707" t="s">
        <v>506</v>
      </c>
      <c r="G707" t="s">
        <v>507</v>
      </c>
      <c r="H707" t="s">
        <v>508</v>
      </c>
      <c r="I707" t="s">
        <v>509</v>
      </c>
      <c r="J707" t="s">
        <v>589</v>
      </c>
      <c r="K707" s="497">
        <f>ROUND(HLOOKUP($B707,'2-Préparation saisie LV PROD'!$F$1:$Q$86,'2-Préparation saisie LV PROD'!A62,FALSE),0)</f>
        <v>581674</v>
      </c>
      <c r="L707" t="str">
        <f>VLOOKUP(C707,Capacité!C:L,10,FALSE)</f>
        <v>Fond de la Plaine</v>
      </c>
    </row>
    <row r="708" spans="1:12">
      <c r="A708" t="s">
        <v>505</v>
      </c>
      <c r="B708" t="str">
        <f t="shared" si="121"/>
        <v>B22_09</v>
      </c>
      <c r="C708" s="323" t="str">
        <f t="shared" si="123"/>
        <v>E6130</v>
      </c>
      <c r="D708" t="str">
        <f t="shared" si="125"/>
        <v>NO_DATAVIEWS</v>
      </c>
      <c r="E708" s="62" t="str">
        <f t="shared" si="125"/>
        <v>NO_DEPARTMENTS</v>
      </c>
      <c r="F708" t="s">
        <v>506</v>
      </c>
      <c r="G708" t="s">
        <v>507</v>
      </c>
      <c r="H708" t="s">
        <v>508</v>
      </c>
      <c r="I708" t="s">
        <v>509</v>
      </c>
      <c r="J708" t="s">
        <v>589</v>
      </c>
      <c r="K708" s="497">
        <f>ROUND(HLOOKUP($B708,'2-Préparation saisie LV PROD'!$F$1:$Q$86,'2-Préparation saisie LV PROD'!A63,FALSE),0)</f>
        <v>1452525</v>
      </c>
      <c r="L708" t="str">
        <f>VLOOKUP(C708,Capacité!C:L,10,FALSE)</f>
        <v>Bassigny</v>
      </c>
    </row>
    <row r="709" spans="1:12">
      <c r="A709" t="s">
        <v>505</v>
      </c>
      <c r="B709" t="str">
        <f t="shared" si="121"/>
        <v>B22_09</v>
      </c>
      <c r="C709" s="323" t="str">
        <f t="shared" si="123"/>
        <v>E6210</v>
      </c>
      <c r="D709" t="str">
        <f t="shared" si="125"/>
        <v>NO_DATAVIEWS</v>
      </c>
      <c r="E709" s="62" t="str">
        <f t="shared" si="125"/>
        <v>NO_DEPARTMENTS</v>
      </c>
      <c r="F709" t="s">
        <v>506</v>
      </c>
      <c r="G709" t="s">
        <v>507</v>
      </c>
      <c r="H709" t="s">
        <v>508</v>
      </c>
      <c r="I709" t="s">
        <v>509</v>
      </c>
      <c r="J709" t="s">
        <v>589</v>
      </c>
      <c r="K709" s="497">
        <f>ROUND(HLOOKUP($B709,'2-Préparation saisie LV PROD'!$F$1:$Q$86,'2-Préparation saisie LV PROD'!A64,FALSE),0)</f>
        <v>1038630</v>
      </c>
      <c r="L709" t="str">
        <f>VLOOKUP(C709,Capacité!C:L,10,FALSE)</f>
        <v>Les Clérimois</v>
      </c>
    </row>
    <row r="710" spans="1:12">
      <c r="A710" t="s">
        <v>505</v>
      </c>
      <c r="B710" t="str">
        <f t="shared" si="121"/>
        <v>B22_09</v>
      </c>
      <c r="C710" s="323" t="str">
        <f t="shared" si="123"/>
        <v>E6160</v>
      </c>
      <c r="D710" t="str">
        <f t="shared" si="125"/>
        <v>NO_DATAVIEWS</v>
      </c>
      <c r="E710" s="62" t="str">
        <f t="shared" si="125"/>
        <v>NO_DEPARTMENTS</v>
      </c>
      <c r="F710" t="s">
        <v>506</v>
      </c>
      <c r="G710" t="s">
        <v>507</v>
      </c>
      <c r="H710" t="s">
        <v>508</v>
      </c>
      <c r="I710" t="s">
        <v>509</v>
      </c>
      <c r="J710" t="s">
        <v>589</v>
      </c>
      <c r="K710" s="497">
        <f>ROUND(HLOOKUP($B710,'2-Préparation saisie LV PROD'!$F$1:$Q$86,'2-Préparation saisie LV PROD'!A65,FALSE),0)</f>
        <v>1321437</v>
      </c>
      <c r="L710" t="str">
        <f>VLOOKUP(C710,Capacité!C:L,10,FALSE)</f>
        <v>Plateau de Langres</v>
      </c>
    </row>
    <row r="711" spans="1:12">
      <c r="A711" t="s">
        <v>505</v>
      </c>
      <c r="B711" t="str">
        <f t="shared" si="121"/>
        <v>B22_09</v>
      </c>
      <c r="C711" s="323" t="str">
        <f t="shared" si="123"/>
        <v>E6170</v>
      </c>
      <c r="D711" t="str">
        <f t="shared" si="125"/>
        <v>NO_DATAVIEWS</v>
      </c>
      <c r="E711" s="62" t="str">
        <f t="shared" si="125"/>
        <v>NO_DEPARTMENTS</v>
      </c>
      <c r="F711" t="s">
        <v>506</v>
      </c>
      <c r="G711" t="s">
        <v>507</v>
      </c>
      <c r="H711" t="s">
        <v>508</v>
      </c>
      <c r="I711" t="s">
        <v>509</v>
      </c>
      <c r="J711" t="s">
        <v>589</v>
      </c>
      <c r="K711" s="497">
        <f>ROUND(HLOOKUP($B711,'2-Préparation saisie LV PROD'!$F$1:$Q$86,'2-Préparation saisie LV PROD'!A66,FALSE),0)</f>
        <v>1168870</v>
      </c>
      <c r="L711" t="str">
        <f>VLOOKUP(C711,Capacité!C:L,10,FALSE)</f>
        <v>Les Moulins de Boulay</v>
      </c>
    </row>
    <row r="712" spans="1:12">
      <c r="A712" t="s">
        <v>505</v>
      </c>
      <c r="B712" t="str">
        <f t="shared" si="121"/>
        <v>B22_09</v>
      </c>
      <c r="C712" s="323" t="str">
        <f t="shared" si="123"/>
        <v>E6330</v>
      </c>
      <c r="D712" t="str">
        <f t="shared" si="125"/>
        <v>NO_DATAVIEWS</v>
      </c>
      <c r="E712" s="62" t="str">
        <f t="shared" si="125"/>
        <v>NO_DEPARTMENTS</v>
      </c>
      <c r="F712" t="s">
        <v>506</v>
      </c>
      <c r="G712" t="s">
        <v>507</v>
      </c>
      <c r="H712" t="s">
        <v>508</v>
      </c>
      <c r="I712" t="s">
        <v>509</v>
      </c>
      <c r="J712" t="s">
        <v>589</v>
      </c>
      <c r="K712" s="497">
        <f>ROUND(HLOOKUP($B712,'2-Préparation saisie LV PROD'!$F$1:$Q$86,'2-Préparation saisie LV PROD'!A67,FALSE),0)</f>
        <v>1485454</v>
      </c>
      <c r="L712" t="str">
        <f>VLOOKUP(C712,Capacité!C:L,10,FALSE)</f>
        <v>Morlange</v>
      </c>
    </row>
    <row r="713" spans="1:12">
      <c r="A713" t="s">
        <v>505</v>
      </c>
      <c r="B713" t="str">
        <f t="shared" si="121"/>
        <v>B22_09</v>
      </c>
      <c r="C713" s="323" t="str">
        <f t="shared" si="123"/>
        <v>E6140</v>
      </c>
      <c r="D713" t="str">
        <f t="shared" si="125"/>
        <v>NO_DATAVIEWS</v>
      </c>
      <c r="E713" s="62" t="str">
        <f t="shared" si="125"/>
        <v>NO_DEPARTMENTS</v>
      </c>
      <c r="F713" t="s">
        <v>506</v>
      </c>
      <c r="G713" t="s">
        <v>507</v>
      </c>
      <c r="H713" t="s">
        <v>508</v>
      </c>
      <c r="I713" t="s">
        <v>509</v>
      </c>
      <c r="J713" t="s">
        <v>589</v>
      </c>
      <c r="K713" s="497">
        <f>ROUND(HLOOKUP($B713,'2-Préparation saisie LV PROD'!$F$1:$Q$86,'2-Préparation saisie LV PROD'!A68,FALSE),0)</f>
        <v>0</v>
      </c>
      <c r="L713" t="str">
        <f>VLOOKUP(C713,Capacité!C:L,10,FALSE)</f>
        <v>Renardières mont de Bezard</v>
      </c>
    </row>
    <row r="714" spans="1:12">
      <c r="A714" t="s">
        <v>505</v>
      </c>
      <c r="B714" t="str">
        <f t="shared" si="121"/>
        <v>B22_09</v>
      </c>
      <c r="C714" s="323" t="str">
        <f t="shared" ref="C714:C724" si="126">C633</f>
        <v>E6350</v>
      </c>
      <c r="D714" t="str">
        <f t="shared" ref="D714:E735" si="127">D713</f>
        <v>NO_DATAVIEWS</v>
      </c>
      <c r="E714" s="62" t="str">
        <f t="shared" si="127"/>
        <v>NO_DEPARTMENTS</v>
      </c>
      <c r="F714" t="s">
        <v>506</v>
      </c>
      <c r="G714" t="s">
        <v>507</v>
      </c>
      <c r="H714" t="s">
        <v>508</v>
      </c>
      <c r="I714" t="s">
        <v>509</v>
      </c>
      <c r="J714" t="s">
        <v>589</v>
      </c>
      <c r="K714" s="497">
        <f>ROUND(HLOOKUP($B714,'2-Préparation saisie LV PROD'!$F$1:$Q$86,'2-Préparation saisie LV PROD'!A69,FALSE),0)</f>
        <v>1543322</v>
      </c>
      <c r="L714" t="str">
        <f>VLOOKUP(C714,Capacité!C:L,10,FALSE)</f>
        <v>Zondrange</v>
      </c>
    </row>
    <row r="715" spans="1:12">
      <c r="A715" t="s">
        <v>505</v>
      </c>
      <c r="B715" t="str">
        <f t="shared" si="121"/>
        <v>B22_09</v>
      </c>
      <c r="C715" s="323" t="str">
        <f t="shared" si="126"/>
        <v>E6360</v>
      </c>
      <c r="D715" t="str">
        <f t="shared" si="127"/>
        <v>NO_DATAVIEWS</v>
      </c>
      <c r="E715" s="62" t="str">
        <f t="shared" si="127"/>
        <v>NO_DEPARTMENTS</v>
      </c>
      <c r="F715" t="s">
        <v>506</v>
      </c>
      <c r="G715" t="s">
        <v>507</v>
      </c>
      <c r="H715" t="s">
        <v>508</v>
      </c>
      <c r="I715" t="s">
        <v>509</v>
      </c>
      <c r="J715" t="s">
        <v>589</v>
      </c>
      <c r="K715" s="497">
        <f>ROUND(HLOOKUP($B715,'2-Préparation saisie LV PROD'!$F$1:$Q$86,'2-Préparation saisie LV PROD'!A70,FALSE),0)</f>
        <v>1609793</v>
      </c>
      <c r="L715" t="str">
        <f>VLOOKUP(C715,Capacité!C:L,10,FALSE)</f>
        <v xml:space="preserve">Noyers </v>
      </c>
    </row>
    <row r="716" spans="1:12">
      <c r="A716" t="s">
        <v>505</v>
      </c>
      <c r="B716" t="str">
        <f>+$B$650</f>
        <v>B22_09</v>
      </c>
      <c r="C716" s="323" t="str">
        <f t="shared" si="126"/>
        <v>E5550</v>
      </c>
      <c r="D716" t="str">
        <f t="shared" si="127"/>
        <v>NO_DATAVIEWS</v>
      </c>
      <c r="E716" s="62" t="str">
        <f t="shared" si="127"/>
        <v>NO_DEPARTMENTS</v>
      </c>
      <c r="F716" t="s">
        <v>506</v>
      </c>
      <c r="G716" t="s">
        <v>507</v>
      </c>
      <c r="H716" t="s">
        <v>508</v>
      </c>
      <c r="I716" t="s">
        <v>509</v>
      </c>
      <c r="J716" t="s">
        <v>589</v>
      </c>
      <c r="K716" s="497">
        <f>ROUND(HLOOKUP($B716,'2-Préparation saisie LV PROD'!$F$1:$Q$86,'2-Préparation saisie LV PROD'!A71,FALSE),0)</f>
        <v>1328609</v>
      </c>
      <c r="L716" t="str">
        <f>VLOOKUP(C716,Capacité!C:L,10,FALSE)</f>
        <v>Les Cigalettes (Montfort) / Solaire</v>
      </c>
    </row>
    <row r="717" spans="1:12">
      <c r="A717" t="s">
        <v>505</v>
      </c>
      <c r="B717" t="str">
        <f>+$B$650</f>
        <v>B22_09</v>
      </c>
      <c r="C717" s="323" t="str">
        <f t="shared" si="126"/>
        <v>E5250</v>
      </c>
      <c r="D717" t="str">
        <f t="shared" si="127"/>
        <v>NO_DATAVIEWS</v>
      </c>
      <c r="E717" s="62" t="str">
        <f t="shared" si="127"/>
        <v>NO_DEPARTMENTS</v>
      </c>
      <c r="F717" t="s">
        <v>506</v>
      </c>
      <c r="G717" t="s">
        <v>507</v>
      </c>
      <c r="H717" t="s">
        <v>508</v>
      </c>
      <c r="I717" t="s">
        <v>509</v>
      </c>
      <c r="J717" t="s">
        <v>589</v>
      </c>
      <c r="K717" s="497">
        <f>ROUND(HLOOKUP($B717,'2-Préparation saisie LV PROD'!$F$1:$Q$86,'2-Préparation saisie LV PROD'!A72,FALSE),0)</f>
        <v>563542</v>
      </c>
      <c r="L717" t="str">
        <f>VLOOKUP(C717,Capacité!C:L,10,FALSE)</f>
        <v>Avignonet / Solaire</v>
      </c>
    </row>
    <row r="718" spans="1:12">
      <c r="A718" t="s">
        <v>505</v>
      </c>
      <c r="B718" t="str">
        <f t="shared" ref="B718:B730" si="128">+$B$650</f>
        <v>B22_09</v>
      </c>
      <c r="C718" s="323" t="str">
        <f t="shared" si="126"/>
        <v>E6010</v>
      </c>
      <c r="D718" t="str">
        <f t="shared" si="127"/>
        <v>NO_DATAVIEWS</v>
      </c>
      <c r="E718" s="62" t="str">
        <f t="shared" si="127"/>
        <v>NO_DEPARTMENTS</v>
      </c>
      <c r="F718" t="s">
        <v>506</v>
      </c>
      <c r="G718" t="s">
        <v>507</v>
      </c>
      <c r="H718" t="s">
        <v>508</v>
      </c>
      <c r="I718" t="s">
        <v>509</v>
      </c>
      <c r="J718" t="s">
        <v>589</v>
      </c>
      <c r="K718" s="497">
        <f>ROUND(HLOOKUP($B718,'2-Préparation saisie LV PROD'!$F$1:$Q$86,'2-Préparation saisie LV PROD'!A74,FALSE),0)</f>
        <v>6577481</v>
      </c>
      <c r="L718" t="str">
        <f>VLOOKUP(C718,Capacité!C:L,10,FALSE)</f>
        <v>CDC-R</v>
      </c>
    </row>
    <row r="719" spans="1:12">
      <c r="A719" t="s">
        <v>505</v>
      </c>
      <c r="B719" t="str">
        <f t="shared" si="128"/>
        <v>B22_09</v>
      </c>
      <c r="C719" s="323" t="str">
        <f t="shared" si="126"/>
        <v>E6280</v>
      </c>
      <c r="D719" t="str">
        <f t="shared" si="127"/>
        <v>NO_DATAVIEWS</v>
      </c>
      <c r="E719" s="62" t="str">
        <f t="shared" si="127"/>
        <v>NO_DEPARTMENTS</v>
      </c>
      <c r="F719" t="s">
        <v>506</v>
      </c>
      <c r="G719" t="s">
        <v>507</v>
      </c>
      <c r="H719" t="s">
        <v>508</v>
      </c>
      <c r="I719" t="s">
        <v>509</v>
      </c>
      <c r="J719" t="s">
        <v>589</v>
      </c>
      <c r="K719" s="497">
        <f>ROUND(HLOOKUP($B719,'2-Préparation saisie LV PROD'!$F$1:$Q$86,'2-Préparation saisie LV PROD'!A75,FALSE),0)</f>
        <v>2145239</v>
      </c>
      <c r="L719" t="str">
        <f>VLOOKUP(C719,Capacité!C:L,10,FALSE)</f>
        <v>BPF</v>
      </c>
    </row>
    <row r="720" spans="1:12">
      <c r="A720" t="s">
        <v>505</v>
      </c>
      <c r="B720" t="str">
        <f t="shared" si="128"/>
        <v>B22_09</v>
      </c>
      <c r="C720" s="323" t="str">
        <f t="shared" si="126"/>
        <v>E5930</v>
      </c>
      <c r="D720" t="str">
        <f t="shared" si="127"/>
        <v>NO_DATAVIEWS</v>
      </c>
      <c r="E720" s="62" t="str">
        <f t="shared" si="127"/>
        <v>NO_DEPARTMENTS</v>
      </c>
      <c r="F720" t="s">
        <v>506</v>
      </c>
      <c r="G720" t="s">
        <v>507</v>
      </c>
      <c r="H720" t="s">
        <v>508</v>
      </c>
      <c r="I720" t="s">
        <v>509</v>
      </c>
      <c r="J720" t="s">
        <v>589</v>
      </c>
      <c r="K720" s="497">
        <f>ROUND(HLOOKUP($B720,'2-Préparation saisie LV PROD'!$F$1:$Q$86,'2-Préparation saisie LV PROD'!A76,FALSE),0)</f>
        <v>3027694</v>
      </c>
      <c r="L720" t="str">
        <f>VLOOKUP(C720,Capacité!C:L,10,FALSE)</f>
        <v>XSB</v>
      </c>
    </row>
    <row r="721" spans="1:12" s="4" customFormat="1">
      <c r="A721" s="4" t="s">
        <v>505</v>
      </c>
      <c r="B721" s="4" t="str">
        <f t="shared" si="128"/>
        <v>B22_09</v>
      </c>
      <c r="C721" s="323" t="str">
        <f t="shared" si="126"/>
        <v>E5880</v>
      </c>
      <c r="D721" t="str">
        <f t="shared" si="127"/>
        <v>NO_DATAVIEWS</v>
      </c>
      <c r="E721" s="62" t="str">
        <f t="shared" si="127"/>
        <v>NO_DEPARTMENTS</v>
      </c>
      <c r="F721" s="4" t="s">
        <v>506</v>
      </c>
      <c r="G721" s="4" t="s">
        <v>507</v>
      </c>
      <c r="H721" s="4" t="s">
        <v>508</v>
      </c>
      <c r="I721" s="4" t="s">
        <v>509</v>
      </c>
      <c r="J721" s="4" t="s">
        <v>589</v>
      </c>
      <c r="K721" s="497">
        <f>ROUND(HLOOKUP($B721,'2-Préparation saisie LV PROD'!$F$1:$Q$86,'2-Préparation saisie LV PROD'!A77,FALSE),0)</f>
        <v>2631677</v>
      </c>
      <c r="L721" t="str">
        <f>VLOOKUP(C721,Capacité!C:L,10,FALSE)</f>
        <v>Extension plaine d'Escrebieux</v>
      </c>
    </row>
    <row r="722" spans="1:12" s="4" customFormat="1">
      <c r="A722" s="4" t="s">
        <v>505</v>
      </c>
      <c r="B722" s="4" t="str">
        <f t="shared" si="128"/>
        <v>B22_09</v>
      </c>
      <c r="C722" s="323" t="str">
        <f t="shared" si="126"/>
        <v>E6720</v>
      </c>
      <c r="D722" t="str">
        <f t="shared" si="127"/>
        <v>NO_DATAVIEWS</v>
      </c>
      <c r="E722" s="62" t="str">
        <f t="shared" si="127"/>
        <v>NO_DEPARTMENTS</v>
      </c>
      <c r="F722" s="4" t="s">
        <v>506</v>
      </c>
      <c r="G722" s="4" t="s">
        <v>507</v>
      </c>
      <c r="H722" s="4" t="s">
        <v>508</v>
      </c>
      <c r="I722" s="4" t="s">
        <v>509</v>
      </c>
      <c r="J722" s="4" t="s">
        <v>589</v>
      </c>
      <c r="K722" s="497">
        <f>ROUND(HLOOKUP($B722,'2-Préparation saisie LV PROD'!$F$1:$Q$86,'2-Préparation saisie LV PROD'!A78,FALSE),0)</f>
        <v>1578980</v>
      </c>
      <c r="L722" t="str">
        <f>VLOOKUP(C722,Capacité!C:L,10,FALSE)</f>
        <v xml:space="preserve">St Christophe - Clé des champs / Solaire </v>
      </c>
    </row>
    <row r="723" spans="1:12" s="4" customFormat="1">
      <c r="A723" s="4" t="s">
        <v>505</v>
      </c>
      <c r="B723" s="4" t="str">
        <f t="shared" si="128"/>
        <v>B22_09</v>
      </c>
      <c r="C723" s="323" t="str">
        <f t="shared" si="126"/>
        <v>E6040</v>
      </c>
      <c r="D723" t="str">
        <f t="shared" si="127"/>
        <v>NO_DATAVIEWS</v>
      </c>
      <c r="E723" s="62" t="str">
        <f t="shared" si="127"/>
        <v>NO_DEPARTMENTS</v>
      </c>
      <c r="F723" s="4" t="s">
        <v>506</v>
      </c>
      <c r="G723" s="4" t="s">
        <v>507</v>
      </c>
      <c r="H723" s="4" t="s">
        <v>508</v>
      </c>
      <c r="I723" s="4" t="s">
        <v>509</v>
      </c>
      <c r="J723" s="4" t="s">
        <v>589</v>
      </c>
      <c r="K723" s="497">
        <f>ROUND(HLOOKUP($B723,'2-Préparation saisie LV PROD'!$F$1:$Q$86,'2-Préparation saisie LV PROD'!A79,FALSE),0)</f>
        <v>1957961</v>
      </c>
      <c r="L723" t="str">
        <f>VLOOKUP(C723,Capacité!C:L,10,FALSE)</f>
        <v>Peyrolles / Solaire</v>
      </c>
    </row>
    <row r="724" spans="1:12" s="4" customFormat="1">
      <c r="A724" s="4" t="s">
        <v>505</v>
      </c>
      <c r="B724" s="4" t="str">
        <f t="shared" si="128"/>
        <v>B22_09</v>
      </c>
      <c r="C724" s="323" t="str">
        <f t="shared" si="126"/>
        <v>E6310</v>
      </c>
      <c r="D724" t="str">
        <f t="shared" si="127"/>
        <v>NO_DATAVIEWS</v>
      </c>
      <c r="E724" s="62" t="str">
        <f t="shared" si="127"/>
        <v>NO_DEPARTMENTS</v>
      </c>
      <c r="F724" s="4" t="s">
        <v>506</v>
      </c>
      <c r="G724" s="4" t="s">
        <v>507</v>
      </c>
      <c r="H724" s="4" t="s">
        <v>508</v>
      </c>
      <c r="I724" s="4" t="s">
        <v>509</v>
      </c>
      <c r="J724" s="4" t="s">
        <v>589</v>
      </c>
      <c r="K724" s="497">
        <f>ROUND(HLOOKUP($B724,'2-Préparation saisie LV PROD'!$F$1:$Q$86,'2-Préparation saisie LV PROD'!A80,FALSE),0)</f>
        <v>2029009</v>
      </c>
      <c r="L724" t="str">
        <f>VLOOKUP(C724,Capacité!C:L,10,FALSE)</f>
        <v>Bazougeais</v>
      </c>
    </row>
    <row r="725" spans="1:12" s="4" customFormat="1">
      <c r="A725" s="4" t="s">
        <v>505</v>
      </c>
      <c r="B725" s="4" t="str">
        <f t="shared" si="128"/>
        <v>B22_09</v>
      </c>
      <c r="C725" s="323" t="str">
        <f t="shared" ref="C725:C730" si="129">C644</f>
        <v>E6571</v>
      </c>
      <c r="D725" t="str">
        <f t="shared" ref="D725:E725" si="130">D724</f>
        <v>NO_DATAVIEWS</v>
      </c>
      <c r="E725" s="62" t="str">
        <f t="shared" si="130"/>
        <v>NO_DEPARTMENTS</v>
      </c>
      <c r="F725" s="4" t="s">
        <v>506</v>
      </c>
      <c r="G725" s="4" t="s">
        <v>507</v>
      </c>
      <c r="H725" s="4" t="s">
        <v>508</v>
      </c>
      <c r="I725" s="4" t="s">
        <v>509</v>
      </c>
      <c r="J725" s="4" t="s">
        <v>589</v>
      </c>
      <c r="K725" s="497">
        <f>ROUND(HLOOKUP($B725,'2-Préparation saisie LV PROD'!$F$1:$Q$86,'2-Préparation saisie LV PROD'!A81,FALSE),0)</f>
        <v>0</v>
      </c>
      <c r="L725" t="s">
        <v>3538</v>
      </c>
    </row>
    <row r="726" spans="1:12" s="4" customFormat="1">
      <c r="A726" s="4" t="s">
        <v>505</v>
      </c>
      <c r="B726" s="4" t="str">
        <f t="shared" si="128"/>
        <v>B22_09</v>
      </c>
      <c r="C726" s="323" t="str">
        <f t="shared" si="129"/>
        <v>E5890</v>
      </c>
      <c r="D726" t="str">
        <f t="shared" ref="D726:E726" si="131">D725</f>
        <v>NO_DATAVIEWS</v>
      </c>
      <c r="E726" s="62" t="str">
        <f t="shared" si="131"/>
        <v>NO_DEPARTMENTS</v>
      </c>
      <c r="F726" s="4" t="s">
        <v>506</v>
      </c>
      <c r="G726" s="4" t="s">
        <v>507</v>
      </c>
      <c r="H726" s="4" t="s">
        <v>508</v>
      </c>
      <c r="I726" s="4" t="s">
        <v>509</v>
      </c>
      <c r="J726" s="4" t="s">
        <v>589</v>
      </c>
      <c r="K726" s="497">
        <f>ROUND(HLOOKUP($B726,'2-Préparation saisie LV PROD'!$F$1:$Q$86,'2-Préparation saisie LV PROD'!A82,FALSE),0)</f>
        <v>1620817</v>
      </c>
      <c r="L726" t="str">
        <f>VLOOKUP(C726,Capacité!C:L,10,FALSE)</f>
        <v>La Grande Borne</v>
      </c>
    </row>
    <row r="727" spans="1:12" s="4" customFormat="1">
      <c r="A727" s="4" t="s">
        <v>505</v>
      </c>
      <c r="B727" s="4" t="str">
        <f t="shared" si="128"/>
        <v>B22_09</v>
      </c>
      <c r="C727" s="323" t="str">
        <f t="shared" si="129"/>
        <v>E6730</v>
      </c>
      <c r="D727" t="str">
        <f t="shared" ref="D727:E727" si="132">D726</f>
        <v>NO_DATAVIEWS</v>
      </c>
      <c r="E727" s="62" t="str">
        <f t="shared" si="132"/>
        <v>NO_DEPARTMENTS</v>
      </c>
      <c r="F727" s="4" t="s">
        <v>506</v>
      </c>
      <c r="G727" s="4" t="s">
        <v>507</v>
      </c>
      <c r="H727" s="4" t="s">
        <v>508</v>
      </c>
      <c r="I727" s="4" t="s">
        <v>509</v>
      </c>
      <c r="J727" s="4" t="s">
        <v>589</v>
      </c>
      <c r="K727" s="497">
        <f>ROUND(HLOOKUP($B727,'2-Préparation saisie LV PROD'!$F$1:$Q$86,'2-Préparation saisie LV PROD'!A83,FALSE),0)</f>
        <v>2660528</v>
      </c>
      <c r="L727" t="str">
        <f>VLOOKUP(C727,Capacité!C:L,10,FALSE)</f>
        <v xml:space="preserve">R-EEJ - Evits et Josaphats </v>
      </c>
    </row>
    <row r="728" spans="1:12" s="4" customFormat="1">
      <c r="A728" s="4" t="s">
        <v>505</v>
      </c>
      <c r="B728" s="4" t="str">
        <f t="shared" si="128"/>
        <v>B22_09</v>
      </c>
      <c r="C728" s="323" t="str">
        <f t="shared" si="129"/>
        <v>E6740</v>
      </c>
      <c r="D728" t="str">
        <f t="shared" ref="D728:E728" si="133">D727</f>
        <v>NO_DATAVIEWS</v>
      </c>
      <c r="E728" s="62" t="str">
        <f t="shared" si="133"/>
        <v>NO_DEPARTMENTS</v>
      </c>
      <c r="F728" s="4" t="s">
        <v>506</v>
      </c>
      <c r="G728" s="4" t="s">
        <v>507</v>
      </c>
      <c r="H728" s="4" t="s">
        <v>508</v>
      </c>
      <c r="I728" s="4" t="s">
        <v>509</v>
      </c>
      <c r="J728" s="4" t="s">
        <v>589</v>
      </c>
      <c r="K728" s="497">
        <f>ROUND(HLOOKUP($B728,'2-Préparation saisie LV PROD'!$F$1:$Q$86,'2-Préparation saisie LV PROD'!A84,FALSE),0)</f>
        <v>2619301</v>
      </c>
      <c r="L728" t="str">
        <f>VLOOKUP(C728,Capacité!C:L,10,FALSE)</f>
        <v>R-RCL - Remise Reclainville</v>
      </c>
    </row>
    <row r="729" spans="1:12" s="4" customFormat="1">
      <c r="A729" s="4" t="s">
        <v>505</v>
      </c>
      <c r="B729" s="4" t="str">
        <f t="shared" si="128"/>
        <v>B22_09</v>
      </c>
      <c r="C729" s="323" t="str">
        <f t="shared" si="129"/>
        <v>E6290</v>
      </c>
      <c r="D729" t="str">
        <f t="shared" ref="D729:E729" si="134">D728</f>
        <v>NO_DATAVIEWS</v>
      </c>
      <c r="E729" s="62" t="str">
        <f t="shared" si="134"/>
        <v>NO_DEPARTMENTS</v>
      </c>
      <c r="F729" s="4" t="s">
        <v>506</v>
      </c>
      <c r="G729" s="4" t="s">
        <v>507</v>
      </c>
      <c r="H729" s="4" t="s">
        <v>508</v>
      </c>
      <c r="I729" s="4" t="s">
        <v>509</v>
      </c>
      <c r="J729" s="4" t="s">
        <v>589</v>
      </c>
      <c r="K729" s="497">
        <f>ROUND(HLOOKUP($B729,'2-Préparation saisie LV PROD'!$F$1:$Q$86,'2-Préparation saisie LV PROD'!A85,FALSE),0)</f>
        <v>3513667</v>
      </c>
      <c r="L729" t="str">
        <f>VLOOKUP(C729,Capacité!C:L,10,FALSE)</f>
        <v>Bois des Fontaines (extension EEJ)</v>
      </c>
    </row>
    <row r="730" spans="1:12" s="4" customFormat="1">
      <c r="A730" s="4" t="s">
        <v>505</v>
      </c>
      <c r="B730" s="4" t="str">
        <f t="shared" si="128"/>
        <v>B22_09</v>
      </c>
      <c r="C730" s="323" t="str">
        <f t="shared" si="129"/>
        <v>E6760</v>
      </c>
      <c r="D730" t="str">
        <f t="shared" ref="D730:E730" si="135">D729</f>
        <v>NO_DATAVIEWS</v>
      </c>
      <c r="E730" s="62" t="str">
        <f t="shared" si="135"/>
        <v>NO_DEPARTMENTS</v>
      </c>
      <c r="F730" s="4" t="s">
        <v>506</v>
      </c>
      <c r="G730" s="4" t="s">
        <v>507</v>
      </c>
      <c r="H730" s="4" t="s">
        <v>508</v>
      </c>
      <c r="I730" s="4" t="s">
        <v>509</v>
      </c>
      <c r="J730" s="4" t="s">
        <v>589</v>
      </c>
      <c r="K730" s="497">
        <f>ROUND(HLOOKUP($B730,'2-Préparation saisie LV PROD'!$F$1:$Q$86,'2-Préparation saisie LV PROD'!A86,FALSE),0)</f>
        <v>0</v>
      </c>
      <c r="L730" t="str">
        <f>VLOOKUP(C730,Capacité!C:L,10,FALSE)</f>
        <v>R-BGV - Bougainville</v>
      </c>
    </row>
    <row r="731" spans="1:12">
      <c r="A731" t="s">
        <v>505</v>
      </c>
      <c r="B731" s="3" t="s">
        <v>3365</v>
      </c>
      <c r="C731" s="323" t="str">
        <f t="shared" ref="C731:C762" si="136">C650</f>
        <v>E5030</v>
      </c>
      <c r="D731" t="str">
        <f>D724</f>
        <v>NO_DATAVIEWS</v>
      </c>
      <c r="E731" s="62" t="str">
        <f>E724</f>
        <v>NO_DEPARTMENTS</v>
      </c>
      <c r="F731" t="s">
        <v>506</v>
      </c>
      <c r="G731" t="s">
        <v>507</v>
      </c>
      <c r="H731" t="s">
        <v>508</v>
      </c>
      <c r="I731" t="s">
        <v>509</v>
      </c>
      <c r="J731" t="s">
        <v>589</v>
      </c>
      <c r="K731" s="497">
        <f>ROUND(HLOOKUP($B731,'2-Préparation saisie LV PROD'!$F$1:$Q$86,'2-Préparation saisie LV PROD'!A5,FALSE),0)</f>
        <v>1601159</v>
      </c>
      <c r="L731" t="str">
        <f>VLOOKUP(C731,Capacité!C:L,10,FALSE)</f>
        <v>Avignonet</v>
      </c>
    </row>
    <row r="732" spans="1:12">
      <c r="A732" t="s">
        <v>505</v>
      </c>
      <c r="B732" t="str">
        <f>+$B$731</f>
        <v>B22_10</v>
      </c>
      <c r="C732" s="323" t="str">
        <f t="shared" si="136"/>
        <v>E5040</v>
      </c>
      <c r="D732" t="str">
        <f t="shared" si="127"/>
        <v>NO_DATAVIEWS</v>
      </c>
      <c r="E732" s="62" t="str">
        <f t="shared" si="127"/>
        <v>NO_DEPARTMENTS</v>
      </c>
      <c r="F732" t="s">
        <v>506</v>
      </c>
      <c r="G732" t="s">
        <v>507</v>
      </c>
      <c r="H732" t="s">
        <v>508</v>
      </c>
      <c r="I732" t="s">
        <v>509</v>
      </c>
      <c r="J732" t="s">
        <v>589</v>
      </c>
      <c r="K732" s="497">
        <f>ROUND(HLOOKUP($B732,'2-Préparation saisie LV PROD'!$F$1:$Q$86,'2-Préparation saisie LV PROD'!A6,FALSE),0)</f>
        <v>579233</v>
      </c>
      <c r="L732" t="str">
        <f>VLOOKUP(C732,Capacité!C:L,10,FALSE)</f>
        <v>Chépy</v>
      </c>
    </row>
    <row r="733" spans="1:12">
      <c r="A733" t="s">
        <v>505</v>
      </c>
      <c r="B733" t="str">
        <f t="shared" ref="B733:B796" si="137">+$B$731</f>
        <v>B22_10</v>
      </c>
      <c r="C733" s="323" t="str">
        <f t="shared" si="136"/>
        <v>E5050</v>
      </c>
      <c r="D733" t="str">
        <f t="shared" si="127"/>
        <v>NO_DATAVIEWS</v>
      </c>
      <c r="E733" s="62" t="str">
        <f t="shared" si="127"/>
        <v>NO_DEPARTMENTS</v>
      </c>
      <c r="F733" t="s">
        <v>506</v>
      </c>
      <c r="G733" t="s">
        <v>507</v>
      </c>
      <c r="H733" t="s">
        <v>508</v>
      </c>
      <c r="I733" t="s">
        <v>509</v>
      </c>
      <c r="J733" t="s">
        <v>589</v>
      </c>
      <c r="K733" s="497">
        <f>ROUND(HLOOKUP($B733,'2-Préparation saisie LV PROD'!$F$1:$Q$86,'2-Préparation saisie LV PROD'!A7,FALSE),0)</f>
        <v>1713696</v>
      </c>
      <c r="L733" t="str">
        <f>VLOOKUP(C733,Capacité!C:L,10,FALSE)</f>
        <v>Nibas</v>
      </c>
    </row>
    <row r="734" spans="1:12">
      <c r="A734" t="s">
        <v>505</v>
      </c>
      <c r="B734" t="str">
        <f t="shared" si="137"/>
        <v>B22_10</v>
      </c>
      <c r="C734" s="323" t="str">
        <f t="shared" si="136"/>
        <v>E5070</v>
      </c>
      <c r="D734" t="str">
        <f t="shared" si="127"/>
        <v>NO_DATAVIEWS</v>
      </c>
      <c r="E734" s="62" t="str">
        <f t="shared" si="127"/>
        <v>NO_DEPARTMENTS</v>
      </c>
      <c r="F734" t="s">
        <v>506</v>
      </c>
      <c r="G734" t="s">
        <v>507</v>
      </c>
      <c r="H734" t="s">
        <v>508</v>
      </c>
      <c r="I734" t="s">
        <v>509</v>
      </c>
      <c r="J734" t="s">
        <v>589</v>
      </c>
      <c r="K734" s="497">
        <f>ROUND(HLOOKUP($B734,'2-Préparation saisie LV PROD'!$F$1:$Q$86,'2-Préparation saisie LV PROD'!A8,FALSE),0)</f>
        <v>1823993</v>
      </c>
      <c r="L734" t="str">
        <f>VLOOKUP(C734,Capacité!C:L,10,FALSE)</f>
        <v>Ally Bessadous</v>
      </c>
    </row>
    <row r="735" spans="1:12">
      <c r="A735" t="s">
        <v>505</v>
      </c>
      <c r="B735" t="str">
        <f t="shared" si="137"/>
        <v>B22_10</v>
      </c>
      <c r="C735" s="323" t="str">
        <f t="shared" si="136"/>
        <v>E5080</v>
      </c>
      <c r="D735" t="str">
        <f t="shared" si="127"/>
        <v>NO_DATAVIEWS</v>
      </c>
      <c r="E735" s="62" t="str">
        <f t="shared" si="127"/>
        <v>NO_DEPARTMENTS</v>
      </c>
      <c r="F735" t="s">
        <v>506</v>
      </c>
      <c r="G735" t="s">
        <v>507</v>
      </c>
      <c r="H735" t="s">
        <v>508</v>
      </c>
      <c r="I735" t="s">
        <v>509</v>
      </c>
      <c r="J735" t="s">
        <v>589</v>
      </c>
      <c r="K735" s="497">
        <f>ROUND(HLOOKUP($B735,'2-Préparation saisie LV PROD'!$F$1:$Q$86,'2-Préparation saisie LV PROD'!A9,FALSE),0)</f>
        <v>1214667</v>
      </c>
      <c r="L735" t="str">
        <f>VLOOKUP(C735,Capacité!C:L,10,FALSE)</f>
        <v>Ally Mercoeur</v>
      </c>
    </row>
    <row r="736" spans="1:12">
      <c r="A736" t="s">
        <v>505</v>
      </c>
      <c r="B736" t="str">
        <f t="shared" si="137"/>
        <v>B22_10</v>
      </c>
      <c r="C736" s="323" t="str">
        <f t="shared" si="136"/>
        <v>E5090</v>
      </c>
      <c r="D736" t="str">
        <f t="shared" ref="D736:E751" si="138">D735</f>
        <v>NO_DATAVIEWS</v>
      </c>
      <c r="E736" s="62" t="str">
        <f t="shared" si="138"/>
        <v>NO_DEPARTMENTS</v>
      </c>
      <c r="F736" t="s">
        <v>506</v>
      </c>
      <c r="G736" t="s">
        <v>507</v>
      </c>
      <c r="H736" t="s">
        <v>508</v>
      </c>
      <c r="I736" t="s">
        <v>509</v>
      </c>
      <c r="J736" t="s">
        <v>589</v>
      </c>
      <c r="K736" s="497">
        <f>ROUND(HLOOKUP($B736,'2-Préparation saisie LV PROD'!$F$1:$Q$86,'2-Préparation saisie LV PROD'!A10,FALSE),0)</f>
        <v>1577635</v>
      </c>
      <c r="L736" t="str">
        <f>VLOOKUP(C736,Capacité!C:L,10,FALSE)</f>
        <v>Ally Monteil</v>
      </c>
    </row>
    <row r="737" spans="1:12">
      <c r="A737" t="s">
        <v>505</v>
      </c>
      <c r="B737" t="str">
        <f t="shared" si="137"/>
        <v>B22_10</v>
      </c>
      <c r="C737" s="323" t="str">
        <f t="shared" si="136"/>
        <v>E5100</v>
      </c>
      <c r="D737" t="str">
        <f t="shared" si="138"/>
        <v>NO_DATAVIEWS</v>
      </c>
      <c r="E737" s="62" t="str">
        <f t="shared" si="138"/>
        <v>NO_DEPARTMENTS</v>
      </c>
      <c r="F737" t="s">
        <v>506</v>
      </c>
      <c r="G737" t="s">
        <v>507</v>
      </c>
      <c r="H737" t="s">
        <v>508</v>
      </c>
      <c r="I737" t="s">
        <v>509</v>
      </c>
      <c r="J737" t="s">
        <v>589</v>
      </c>
      <c r="K737" s="497">
        <f>ROUND(HLOOKUP($B737,'2-Préparation saisie LV PROD'!$F$1:$Q$86,'2-Préparation saisie LV PROD'!A11,FALSE),0)</f>
        <v>1909840</v>
      </c>
      <c r="L737" t="str">
        <f>VLOOKUP(C737,Capacité!C:L,10,FALSE)</f>
        <v>Ally Verseilles</v>
      </c>
    </row>
    <row r="738" spans="1:12">
      <c r="A738" t="s">
        <v>505</v>
      </c>
      <c r="B738" t="str">
        <f t="shared" si="137"/>
        <v>B22_10</v>
      </c>
      <c r="C738" s="323" t="str">
        <f t="shared" si="136"/>
        <v>E5110</v>
      </c>
      <c r="D738" t="str">
        <f t="shared" si="138"/>
        <v>NO_DATAVIEWS</v>
      </c>
      <c r="E738" s="62" t="str">
        <f t="shared" si="138"/>
        <v>NO_DEPARTMENTS</v>
      </c>
      <c r="F738" t="s">
        <v>506</v>
      </c>
      <c r="G738" t="s">
        <v>507</v>
      </c>
      <c r="H738" t="s">
        <v>508</v>
      </c>
      <c r="I738" t="s">
        <v>509</v>
      </c>
      <c r="J738" t="s">
        <v>589</v>
      </c>
      <c r="K738" s="497">
        <f>ROUND(HLOOKUP($B738,'2-Préparation saisie LV PROD'!$F$1:$Q$86,'2-Préparation saisie LV PROD'!A12,FALSE),0)</f>
        <v>0</v>
      </c>
      <c r="L738" t="str">
        <f>VLOOKUP(C738,Capacité!C:L,10,FALSE)</f>
        <v>Cham Longe Bel Air</v>
      </c>
    </row>
    <row r="739" spans="1:12">
      <c r="A739" t="s">
        <v>505</v>
      </c>
      <c r="B739" t="str">
        <f t="shared" si="137"/>
        <v>B22_10</v>
      </c>
      <c r="C739" s="323" t="str">
        <f t="shared" si="136"/>
        <v>E5120</v>
      </c>
      <c r="D739" t="str">
        <f t="shared" si="138"/>
        <v>NO_DATAVIEWS</v>
      </c>
      <c r="E739" s="62" t="str">
        <f t="shared" si="138"/>
        <v>NO_DEPARTMENTS</v>
      </c>
      <c r="F739" t="s">
        <v>506</v>
      </c>
      <c r="G739" t="s">
        <v>507</v>
      </c>
      <c r="H739" t="s">
        <v>508</v>
      </c>
      <c r="I739" t="s">
        <v>509</v>
      </c>
      <c r="J739" t="s">
        <v>589</v>
      </c>
      <c r="K739" s="497">
        <f>ROUND(HLOOKUP($B739,'2-Préparation saisie LV PROD'!$F$1:$Q$86,'2-Préparation saisie LV PROD'!A13,FALSE),0)</f>
        <v>0</v>
      </c>
      <c r="L739" t="str">
        <f>VLOOKUP(C739,Capacité!C:L,10,FALSE)</f>
        <v>Cham Longe Le Courbil (Eole Cevennes)</v>
      </c>
    </row>
    <row r="740" spans="1:12">
      <c r="A740" t="s">
        <v>505</v>
      </c>
      <c r="B740" t="str">
        <f t="shared" si="137"/>
        <v>B22_10</v>
      </c>
      <c r="C740" s="323" t="str">
        <f t="shared" si="136"/>
        <v>E5150</v>
      </c>
      <c r="D740" t="str">
        <f t="shared" si="138"/>
        <v>NO_DATAVIEWS</v>
      </c>
      <c r="E740" s="62" t="str">
        <f t="shared" si="138"/>
        <v>NO_DEPARTMENTS</v>
      </c>
      <c r="F740" t="s">
        <v>506</v>
      </c>
      <c r="G740" t="s">
        <v>507</v>
      </c>
      <c r="H740" t="s">
        <v>508</v>
      </c>
      <c r="I740" t="s">
        <v>509</v>
      </c>
      <c r="J740" t="s">
        <v>589</v>
      </c>
      <c r="K740" s="497">
        <f>ROUND(HLOOKUP($B740,'2-Préparation saisie LV PROD'!$F$1:$Q$86,'2-Préparation saisie LV PROD'!A14,FALSE),0)</f>
        <v>984856</v>
      </c>
      <c r="L740" t="str">
        <f>VLOOKUP(C740,Capacité!C:L,10,FALSE)</f>
        <v>Cham Longe II</v>
      </c>
    </row>
    <row r="741" spans="1:12">
      <c r="A741" t="s">
        <v>505</v>
      </c>
      <c r="B741" t="str">
        <f t="shared" si="137"/>
        <v>B22_10</v>
      </c>
      <c r="C741" s="323" t="str">
        <f t="shared" si="136"/>
        <v>E5130</v>
      </c>
      <c r="D741" t="str">
        <f t="shared" si="138"/>
        <v>NO_DATAVIEWS</v>
      </c>
      <c r="E741" s="62" t="str">
        <f t="shared" si="138"/>
        <v>NO_DEPARTMENTS</v>
      </c>
      <c r="F741" t="s">
        <v>506</v>
      </c>
      <c r="G741" t="s">
        <v>507</v>
      </c>
      <c r="H741" t="s">
        <v>508</v>
      </c>
      <c r="I741" t="s">
        <v>509</v>
      </c>
      <c r="J741" t="s">
        <v>589</v>
      </c>
      <c r="K741" s="497">
        <f>ROUND(HLOOKUP($B741,'2-Préparation saisie LV PROD'!$F$1:$Q$86,'2-Préparation saisie LV PROD'!A15,FALSE),0)</f>
        <v>1654902</v>
      </c>
      <c r="L741" t="str">
        <f>VLOOKUP(C741,Capacité!C:L,10,FALSE)</f>
        <v>Plouguin</v>
      </c>
    </row>
    <row r="742" spans="1:12">
      <c r="A742" t="s">
        <v>505</v>
      </c>
      <c r="B742" t="str">
        <f t="shared" si="137"/>
        <v>B22_10</v>
      </c>
      <c r="C742" s="323" t="str">
        <f t="shared" si="136"/>
        <v>E5140</v>
      </c>
      <c r="D742" t="str">
        <f t="shared" si="138"/>
        <v>NO_DATAVIEWS</v>
      </c>
      <c r="E742" s="62" t="str">
        <f t="shared" si="138"/>
        <v>NO_DEPARTMENTS</v>
      </c>
      <c r="F742" t="s">
        <v>506</v>
      </c>
      <c r="G742" t="s">
        <v>507</v>
      </c>
      <c r="H742" t="s">
        <v>508</v>
      </c>
      <c r="I742" t="s">
        <v>509</v>
      </c>
      <c r="J742" t="s">
        <v>589</v>
      </c>
      <c r="K742" s="497">
        <f>ROUND(HLOOKUP($B742,'2-Préparation saisie LV PROD'!$F$1:$Q$86,'2-Préparation saisie LV PROD'!A16,FALSE),0)</f>
        <v>2495076</v>
      </c>
      <c r="L742" t="str">
        <f>VLOOKUP(C742,Capacité!C:L,10,FALSE)</f>
        <v>La Citadelle</v>
      </c>
    </row>
    <row r="743" spans="1:12">
      <c r="A743" t="s">
        <v>505</v>
      </c>
      <c r="B743" t="str">
        <f t="shared" si="137"/>
        <v>B22_10</v>
      </c>
      <c r="C743" s="323" t="str">
        <f t="shared" si="136"/>
        <v>E5160</v>
      </c>
      <c r="D743" t="str">
        <f t="shared" si="138"/>
        <v>NO_DATAVIEWS</v>
      </c>
      <c r="E743" s="62" t="str">
        <f t="shared" si="138"/>
        <v>NO_DEPARTMENTS</v>
      </c>
      <c r="F743" t="s">
        <v>506</v>
      </c>
      <c r="G743" t="s">
        <v>507</v>
      </c>
      <c r="H743" t="s">
        <v>508</v>
      </c>
      <c r="I743" t="s">
        <v>509</v>
      </c>
      <c r="J743" t="s">
        <v>589</v>
      </c>
      <c r="K743" s="497">
        <f>ROUND(HLOOKUP($B743,'2-Préparation saisie LV PROD'!$F$1:$Q$86,'2-Préparation saisie LV PROD'!A17,FALSE),0)</f>
        <v>1893798</v>
      </c>
      <c r="L743" t="str">
        <f>VLOOKUP(C743,Capacité!C:L,10,FALSE)</f>
        <v>Chasse Marée</v>
      </c>
    </row>
    <row r="744" spans="1:12">
      <c r="A744" t="s">
        <v>505</v>
      </c>
      <c r="B744" t="str">
        <f t="shared" si="137"/>
        <v>B22_10</v>
      </c>
      <c r="C744" s="323" t="str">
        <f t="shared" si="136"/>
        <v>E5170</v>
      </c>
      <c r="D744" t="str">
        <f t="shared" si="138"/>
        <v>NO_DATAVIEWS</v>
      </c>
      <c r="E744" s="62" t="str">
        <f t="shared" si="138"/>
        <v>NO_DEPARTMENTS</v>
      </c>
      <c r="F744" t="s">
        <v>506</v>
      </c>
      <c r="G744" t="s">
        <v>507</v>
      </c>
      <c r="H744" t="s">
        <v>508</v>
      </c>
      <c r="I744" t="s">
        <v>509</v>
      </c>
      <c r="J744" t="s">
        <v>589</v>
      </c>
      <c r="K744" s="497">
        <f>ROUND(HLOOKUP($B744,'2-Préparation saisie LV PROD'!$F$1:$Q$86,'2-Préparation saisie LV PROD'!A18,FALSE),0)</f>
        <v>6081733</v>
      </c>
      <c r="L744" t="str">
        <f>VLOOKUP(C744,Capacité!C:L,10,FALSE)</f>
        <v>Ronchois</v>
      </c>
    </row>
    <row r="745" spans="1:12">
      <c r="A745" t="s">
        <v>505</v>
      </c>
      <c r="B745" t="str">
        <f t="shared" si="137"/>
        <v>B22_10</v>
      </c>
      <c r="C745" s="323" t="str">
        <f t="shared" si="136"/>
        <v>E5180</v>
      </c>
      <c r="D745" t="str">
        <f t="shared" si="138"/>
        <v>NO_DATAVIEWS</v>
      </c>
      <c r="E745" s="62" t="str">
        <f t="shared" si="138"/>
        <v>NO_DEPARTMENTS</v>
      </c>
      <c r="F745" t="s">
        <v>506</v>
      </c>
      <c r="G745" t="s">
        <v>507</v>
      </c>
      <c r="H745" t="s">
        <v>508</v>
      </c>
      <c r="I745" t="s">
        <v>509</v>
      </c>
      <c r="J745" t="s">
        <v>589</v>
      </c>
      <c r="K745" s="497">
        <f>ROUND(HLOOKUP($B745,'2-Préparation saisie LV PROD'!$F$1:$Q$86,'2-Préparation saisie LV PROD'!A19,FALSE),0)</f>
        <v>2208288</v>
      </c>
      <c r="L745" t="str">
        <f>VLOOKUP(C745,Capacité!C:L,10,FALSE)</f>
        <v>Le Grand Camp</v>
      </c>
    </row>
    <row r="746" spans="1:12">
      <c r="A746" t="s">
        <v>505</v>
      </c>
      <c r="B746" t="str">
        <f t="shared" si="137"/>
        <v>B22_10</v>
      </c>
      <c r="C746" s="323" t="str">
        <f t="shared" si="136"/>
        <v>E5210</v>
      </c>
      <c r="D746" t="str">
        <f t="shared" si="138"/>
        <v>NO_DATAVIEWS</v>
      </c>
      <c r="E746" s="62" t="str">
        <f t="shared" si="138"/>
        <v>NO_DEPARTMENTS</v>
      </c>
      <c r="F746" t="s">
        <v>506</v>
      </c>
      <c r="G746" t="s">
        <v>507</v>
      </c>
      <c r="H746" t="s">
        <v>508</v>
      </c>
      <c r="I746" t="s">
        <v>509</v>
      </c>
      <c r="J746" t="s">
        <v>589</v>
      </c>
      <c r="K746" s="497">
        <f>ROUND(HLOOKUP($B746,'2-Préparation saisie LV PROD'!$F$1:$Q$86,'2-Préparation saisie LV PROD'!A20,FALSE),0)</f>
        <v>998370</v>
      </c>
      <c r="L746" t="str">
        <f>VLOOKUP(C746,Capacité!C:L,10,FALSE)</f>
        <v>Avignonet II</v>
      </c>
    </row>
    <row r="747" spans="1:12">
      <c r="A747" t="s">
        <v>505</v>
      </c>
      <c r="B747" t="str">
        <f t="shared" si="137"/>
        <v>B22_10</v>
      </c>
      <c r="C747" s="323" t="str">
        <f t="shared" si="136"/>
        <v>E5270</v>
      </c>
      <c r="D747" t="str">
        <f t="shared" si="138"/>
        <v>NO_DATAVIEWS</v>
      </c>
      <c r="E747" s="62" t="str">
        <f t="shared" si="138"/>
        <v>NO_DEPARTMENTS</v>
      </c>
      <c r="F747" t="s">
        <v>506</v>
      </c>
      <c r="G747" t="s">
        <v>507</v>
      </c>
      <c r="H747" t="s">
        <v>508</v>
      </c>
      <c r="I747" t="s">
        <v>509</v>
      </c>
      <c r="J747" t="s">
        <v>589</v>
      </c>
      <c r="K747" s="497">
        <f>ROUND(HLOOKUP($B747,'2-Préparation saisie LV PROD'!$F$1:$Q$86,'2-Préparation saisie LV PROD'!A21,FALSE),0)</f>
        <v>4894278</v>
      </c>
      <c r="L747" t="str">
        <f>VLOOKUP(C747,Capacité!C:L,10,FALSE)</f>
        <v>Ménétréols Renardiére (La vallée 2)</v>
      </c>
    </row>
    <row r="748" spans="1:12">
      <c r="A748" t="s">
        <v>505</v>
      </c>
      <c r="B748" t="str">
        <f t="shared" si="137"/>
        <v>B22_10</v>
      </c>
      <c r="C748" s="323" t="str">
        <f t="shared" si="136"/>
        <v>E5280</v>
      </c>
      <c r="D748" t="str">
        <f t="shared" si="138"/>
        <v>NO_DATAVIEWS</v>
      </c>
      <c r="E748" s="62" t="str">
        <f t="shared" si="138"/>
        <v>NO_DEPARTMENTS</v>
      </c>
      <c r="F748" t="s">
        <v>506</v>
      </c>
      <c r="G748" t="s">
        <v>507</v>
      </c>
      <c r="H748" t="s">
        <v>508</v>
      </c>
      <c r="I748" t="s">
        <v>509</v>
      </c>
      <c r="J748" t="s">
        <v>589</v>
      </c>
      <c r="K748" s="497">
        <f>ROUND(HLOOKUP($B748,'2-Préparation saisie LV PROD'!$F$1:$Q$86,'2-Préparation saisie LV PROD'!A22,FALSE),0)</f>
        <v>807376</v>
      </c>
      <c r="L748" t="str">
        <f>VLOOKUP(C748,Capacité!C:L,10,FALSE)</f>
        <v>St Georges (La Vallée 1)</v>
      </c>
    </row>
    <row r="749" spans="1:12">
      <c r="A749" t="s">
        <v>505</v>
      </c>
      <c r="B749" t="str">
        <f t="shared" si="137"/>
        <v>B22_10</v>
      </c>
      <c r="C749" s="323" t="str">
        <f t="shared" si="136"/>
        <v>E5300</v>
      </c>
      <c r="D749" t="str">
        <f t="shared" si="138"/>
        <v>NO_DATAVIEWS</v>
      </c>
      <c r="E749" s="62" t="str">
        <f t="shared" si="138"/>
        <v>NO_DEPARTMENTS</v>
      </c>
      <c r="F749" t="s">
        <v>506</v>
      </c>
      <c r="G749" t="s">
        <v>507</v>
      </c>
      <c r="H749" t="s">
        <v>508</v>
      </c>
      <c r="I749" t="s">
        <v>509</v>
      </c>
      <c r="J749" t="s">
        <v>589</v>
      </c>
      <c r="K749" s="497">
        <f>ROUND(HLOOKUP($B749,'2-Préparation saisie LV PROD'!$F$1:$Q$86,'2-Préparation saisie LV PROD'!A23,FALSE),0)</f>
        <v>1856865</v>
      </c>
      <c r="L749" t="str">
        <f>VLOOKUP(C749,Capacité!C:L,10,FALSE)</f>
        <v>Vron</v>
      </c>
    </row>
    <row r="750" spans="1:12">
      <c r="A750" t="s">
        <v>505</v>
      </c>
      <c r="B750" t="str">
        <f t="shared" si="137"/>
        <v>B22_10</v>
      </c>
      <c r="C750" s="323" t="str">
        <f t="shared" si="136"/>
        <v>E5310</v>
      </c>
      <c r="D750" t="str">
        <f t="shared" si="138"/>
        <v>NO_DATAVIEWS</v>
      </c>
      <c r="E750" s="62" t="str">
        <f t="shared" si="138"/>
        <v>NO_DEPARTMENTS</v>
      </c>
      <c r="F750" t="s">
        <v>506</v>
      </c>
      <c r="G750" t="s">
        <v>507</v>
      </c>
      <c r="H750" t="s">
        <v>508</v>
      </c>
      <c r="I750" t="s">
        <v>509</v>
      </c>
      <c r="J750" t="s">
        <v>589</v>
      </c>
      <c r="K750" s="497">
        <f>ROUND(HLOOKUP($B750,'2-Préparation saisie LV PROD'!$F$1:$Q$86,'2-Préparation saisie LV PROD'!A24,FALSE),0)</f>
        <v>5189676</v>
      </c>
      <c r="L750" t="str">
        <f>VLOOKUP(C750,Capacité!C:L,10,FALSE)</f>
        <v>Fortel</v>
      </c>
    </row>
    <row r="751" spans="1:12">
      <c r="A751" t="s">
        <v>505</v>
      </c>
      <c r="B751" t="str">
        <f t="shared" si="137"/>
        <v>B22_10</v>
      </c>
      <c r="C751" s="323" t="str">
        <f t="shared" si="136"/>
        <v>E5320</v>
      </c>
      <c r="D751" t="str">
        <f t="shared" si="138"/>
        <v>NO_DATAVIEWS</v>
      </c>
      <c r="E751" s="62" t="str">
        <f t="shared" si="138"/>
        <v>NO_DEPARTMENTS</v>
      </c>
      <c r="F751" t="s">
        <v>506</v>
      </c>
      <c r="G751" t="s">
        <v>507</v>
      </c>
      <c r="H751" t="s">
        <v>508</v>
      </c>
      <c r="I751" t="s">
        <v>509</v>
      </c>
      <c r="J751" t="s">
        <v>589</v>
      </c>
      <c r="K751" s="497">
        <f>ROUND(HLOOKUP($B751,'2-Préparation saisie LV PROD'!$F$1:$Q$86,'2-Préparation saisie LV PROD'!A25,FALSE),0)</f>
        <v>4983219</v>
      </c>
      <c r="L751" t="str">
        <f>VLOOKUP(C751,Capacité!C:L,10,FALSE)</f>
        <v>St François Roye</v>
      </c>
    </row>
    <row r="752" spans="1:12">
      <c r="A752" t="s">
        <v>505</v>
      </c>
      <c r="B752" t="str">
        <f t="shared" si="137"/>
        <v>B22_10</v>
      </c>
      <c r="C752" s="323" t="str">
        <f t="shared" si="136"/>
        <v>E5290</v>
      </c>
      <c r="D752" t="str">
        <f t="shared" ref="D752:E767" si="139">D751</f>
        <v>NO_DATAVIEWS</v>
      </c>
      <c r="E752" s="62" t="str">
        <f t="shared" si="139"/>
        <v>NO_DEPARTMENTS</v>
      </c>
      <c r="F752" t="s">
        <v>506</v>
      </c>
      <c r="G752" t="s">
        <v>507</v>
      </c>
      <c r="H752" t="s">
        <v>508</v>
      </c>
      <c r="I752" t="s">
        <v>509</v>
      </c>
      <c r="J752" t="s">
        <v>589</v>
      </c>
      <c r="K752" s="497">
        <f>ROUND(HLOOKUP($B752,'2-Préparation saisie LV PROD'!$F$1:$Q$86,'2-Préparation saisie LV PROD'!A26,FALSE),0)</f>
        <v>8951359</v>
      </c>
      <c r="L752" t="str">
        <f>VLOOKUP(C752,Capacité!C:L,10,FALSE)</f>
        <v>St Patrick</v>
      </c>
    </row>
    <row r="753" spans="1:12">
      <c r="A753" t="s">
        <v>505</v>
      </c>
      <c r="B753" t="str">
        <f t="shared" si="137"/>
        <v>B22_10</v>
      </c>
      <c r="C753" s="323" t="str">
        <f t="shared" si="136"/>
        <v>E5360</v>
      </c>
      <c r="D753" t="str">
        <f t="shared" si="139"/>
        <v>NO_DATAVIEWS</v>
      </c>
      <c r="E753" s="62" t="str">
        <f t="shared" si="139"/>
        <v>NO_DEPARTMENTS</v>
      </c>
      <c r="F753" t="s">
        <v>506</v>
      </c>
      <c r="G753" t="s">
        <v>507</v>
      </c>
      <c r="H753" t="s">
        <v>508</v>
      </c>
      <c r="I753" t="s">
        <v>509</v>
      </c>
      <c r="J753" t="s">
        <v>589</v>
      </c>
      <c r="K753" s="497">
        <f>ROUND(HLOOKUP($B753,'2-Préparation saisie LV PROD'!$F$1:$Q$86,'2-Préparation saisie LV PROD'!A27,FALSE),0)</f>
        <v>3023647</v>
      </c>
      <c r="L753" t="str">
        <f>VLOOKUP(C753,Capacité!C:L,10,FALSE)</f>
        <v>Calmont (Laur Eole Energie )</v>
      </c>
    </row>
    <row r="754" spans="1:12">
      <c r="A754" t="s">
        <v>505</v>
      </c>
      <c r="B754" t="str">
        <f t="shared" si="137"/>
        <v>B22_10</v>
      </c>
      <c r="C754" s="323" t="str">
        <f t="shared" si="136"/>
        <v>E5391</v>
      </c>
      <c r="D754" t="str">
        <f t="shared" si="139"/>
        <v>NO_DATAVIEWS</v>
      </c>
      <c r="E754" s="62" t="str">
        <f t="shared" si="139"/>
        <v>NO_DEPARTMENTS</v>
      </c>
      <c r="F754" t="s">
        <v>506</v>
      </c>
      <c r="G754" t="s">
        <v>507</v>
      </c>
      <c r="H754" t="s">
        <v>508</v>
      </c>
      <c r="I754" t="s">
        <v>509</v>
      </c>
      <c r="J754" t="s">
        <v>589</v>
      </c>
      <c r="K754" s="497">
        <f>ROUND(HLOOKUP($B754,'2-Préparation saisie LV PROD'!$F$1:$Q$86,'2-Préparation saisie LV PROD'!A28,FALSE),0)</f>
        <v>872208</v>
      </c>
      <c r="L754" t="str">
        <f>VLOOKUP(C754,Capacité!C:L,10,FALSE)</f>
        <v>Coat Conval</v>
      </c>
    </row>
    <row r="755" spans="1:12">
      <c r="A755" t="s">
        <v>505</v>
      </c>
      <c r="B755" t="str">
        <f t="shared" si="137"/>
        <v>B22_10</v>
      </c>
      <c r="C755" s="323" t="str">
        <f t="shared" si="136"/>
        <v>E5392</v>
      </c>
      <c r="D755" t="str">
        <f t="shared" si="139"/>
        <v>NO_DATAVIEWS</v>
      </c>
      <c r="E755" s="62" t="str">
        <f t="shared" si="139"/>
        <v>NO_DEPARTMENTS</v>
      </c>
      <c r="F755" t="s">
        <v>506</v>
      </c>
      <c r="G755" t="s">
        <v>507</v>
      </c>
      <c r="H755" t="s">
        <v>508</v>
      </c>
      <c r="I755" t="s">
        <v>509</v>
      </c>
      <c r="J755" t="s">
        <v>589</v>
      </c>
      <c r="K755" s="497">
        <f>ROUND(HLOOKUP($B755,'2-Préparation saisie LV PROD'!$F$1:$Q$86,'2-Préparation saisie LV PROD'!A29,FALSE),0)</f>
        <v>1261068</v>
      </c>
      <c r="L755" t="str">
        <f>VLOOKUP(C755,Capacité!C:L,10,FALSE)</f>
        <v>Leign ar Gasprenn</v>
      </c>
    </row>
    <row r="756" spans="1:12">
      <c r="A756" t="s">
        <v>505</v>
      </c>
      <c r="B756" t="str">
        <f t="shared" si="137"/>
        <v>B22_10</v>
      </c>
      <c r="C756" s="323" t="str">
        <f t="shared" si="136"/>
        <v>E5393</v>
      </c>
      <c r="D756" t="str">
        <f t="shared" si="139"/>
        <v>NO_DATAVIEWS</v>
      </c>
      <c r="E756" s="62" t="str">
        <f t="shared" si="139"/>
        <v>NO_DEPARTMENTS</v>
      </c>
      <c r="F756" t="s">
        <v>506</v>
      </c>
      <c r="G756" t="s">
        <v>507</v>
      </c>
      <c r="H756" t="s">
        <v>508</v>
      </c>
      <c r="I756" t="s">
        <v>509</v>
      </c>
      <c r="J756" t="s">
        <v>589</v>
      </c>
      <c r="K756" s="497">
        <f>ROUND(HLOOKUP($B756,'2-Préparation saisie LV PROD'!$F$1:$Q$86,'2-Préparation saisie LV PROD'!A30,FALSE),0)</f>
        <v>7001550</v>
      </c>
      <c r="L756" t="str">
        <f>VLOOKUP(C756,Capacité!C:L,10,FALSE)</f>
        <v>Vallée d'Arce</v>
      </c>
    </row>
    <row r="757" spans="1:12">
      <c r="A757" t="s">
        <v>505</v>
      </c>
      <c r="B757" t="str">
        <f t="shared" si="137"/>
        <v>B22_10</v>
      </c>
      <c r="C757" s="323" t="str">
        <f t="shared" si="136"/>
        <v>E5394</v>
      </c>
      <c r="D757" t="str">
        <f t="shared" si="139"/>
        <v>NO_DATAVIEWS</v>
      </c>
      <c r="E757" s="62" t="str">
        <f t="shared" si="139"/>
        <v>NO_DEPARTMENTS</v>
      </c>
      <c r="F757" t="s">
        <v>506</v>
      </c>
      <c r="G757" t="s">
        <v>507</v>
      </c>
      <c r="H757" t="s">
        <v>508</v>
      </c>
      <c r="I757" t="s">
        <v>509</v>
      </c>
      <c r="J757" t="s">
        <v>589</v>
      </c>
      <c r="K757" s="497">
        <f>ROUND(HLOOKUP($B757,'2-Préparation saisie LV PROD'!$F$1:$Q$86,'2-Préparation saisie LV PROD'!A31,FALSE),0)</f>
        <v>1682940</v>
      </c>
      <c r="L757" t="str">
        <f>VLOOKUP(C757,Capacité!C:L,10,FALSE)</f>
        <v>La Bouleste</v>
      </c>
    </row>
    <row r="758" spans="1:12">
      <c r="A758" t="s">
        <v>505</v>
      </c>
      <c r="B758" t="str">
        <f t="shared" si="137"/>
        <v>B22_10</v>
      </c>
      <c r="C758" s="323" t="str">
        <f t="shared" si="136"/>
        <v>E5395</v>
      </c>
      <c r="D758" t="str">
        <f t="shared" si="139"/>
        <v>NO_DATAVIEWS</v>
      </c>
      <c r="E758" s="62" t="str">
        <f t="shared" si="139"/>
        <v>NO_DEPARTMENTS</v>
      </c>
      <c r="F758" t="s">
        <v>506</v>
      </c>
      <c r="G758" t="s">
        <v>507</v>
      </c>
      <c r="H758" t="s">
        <v>508</v>
      </c>
      <c r="I758" t="s">
        <v>509</v>
      </c>
      <c r="J758" t="s">
        <v>589</v>
      </c>
      <c r="K758" s="497">
        <f>ROUND(HLOOKUP($B758,'2-Préparation saisie LV PROD'!$F$1:$Q$86,'2-Préparation saisie LV PROD'!A32,FALSE),0)</f>
        <v>4562852</v>
      </c>
      <c r="L758" t="str">
        <f>VLOOKUP(C758,Capacité!C:L,10,FALSE)</f>
        <v>Haut de Conge</v>
      </c>
    </row>
    <row r="759" spans="1:12">
      <c r="A759" t="s">
        <v>505</v>
      </c>
      <c r="B759" t="str">
        <f t="shared" si="137"/>
        <v>B22_10</v>
      </c>
      <c r="C759" s="323" t="str">
        <f t="shared" si="136"/>
        <v>E5396</v>
      </c>
      <c r="D759" t="str">
        <f t="shared" si="139"/>
        <v>NO_DATAVIEWS</v>
      </c>
      <c r="E759" s="62" t="str">
        <f t="shared" si="139"/>
        <v>NO_DEPARTMENTS</v>
      </c>
      <c r="F759" t="s">
        <v>506</v>
      </c>
      <c r="G759" t="s">
        <v>507</v>
      </c>
      <c r="H759" t="s">
        <v>508</v>
      </c>
      <c r="I759" t="s">
        <v>509</v>
      </c>
      <c r="J759" t="s">
        <v>589</v>
      </c>
      <c r="K759" s="497">
        <f>ROUND(HLOOKUP($B759,'2-Préparation saisie LV PROD'!$F$1:$Q$86,'2-Préparation saisie LV PROD'!A33,FALSE),0)</f>
        <v>1963350</v>
      </c>
      <c r="L759" t="str">
        <f>VLOOKUP(C759,Capacité!C:L,10,FALSE)</f>
        <v>Les Eparmonts</v>
      </c>
    </row>
    <row r="760" spans="1:12">
      <c r="A760" t="s">
        <v>505</v>
      </c>
      <c r="B760" t="str">
        <f t="shared" si="137"/>
        <v>B22_10</v>
      </c>
      <c r="C760" s="323" t="str">
        <f t="shared" si="136"/>
        <v>E5397</v>
      </c>
      <c r="D760" t="str">
        <f t="shared" si="139"/>
        <v>NO_DATAVIEWS</v>
      </c>
      <c r="E760" s="62" t="str">
        <f t="shared" si="139"/>
        <v>NO_DEPARTMENTS</v>
      </c>
      <c r="F760" t="s">
        <v>506</v>
      </c>
      <c r="G760" t="s">
        <v>507</v>
      </c>
      <c r="H760" t="s">
        <v>508</v>
      </c>
      <c r="I760" t="s">
        <v>509</v>
      </c>
      <c r="J760" t="s">
        <v>589</v>
      </c>
      <c r="K760" s="497">
        <f>ROUND(HLOOKUP($B760,'2-Préparation saisie LV PROD'!$F$1:$Q$86,'2-Préparation saisie LV PROD'!A34,FALSE),0)</f>
        <v>2145615</v>
      </c>
      <c r="L760" t="str">
        <f>VLOOKUP(C760,Capacité!C:L,10,FALSE)</f>
        <v>Charmoy</v>
      </c>
    </row>
    <row r="761" spans="1:12">
      <c r="A761" t="s">
        <v>505</v>
      </c>
      <c r="B761" t="str">
        <f t="shared" si="137"/>
        <v>B22_10</v>
      </c>
      <c r="C761" s="323" t="str">
        <f t="shared" si="136"/>
        <v>E5398</v>
      </c>
      <c r="D761" t="str">
        <f t="shared" si="139"/>
        <v>NO_DATAVIEWS</v>
      </c>
      <c r="E761" s="62" t="str">
        <f t="shared" si="139"/>
        <v>NO_DEPARTMENTS</v>
      </c>
      <c r="F761" t="s">
        <v>506</v>
      </c>
      <c r="G761" t="s">
        <v>507</v>
      </c>
      <c r="H761" t="s">
        <v>508</v>
      </c>
      <c r="I761" t="s">
        <v>509</v>
      </c>
      <c r="J761" t="s">
        <v>589</v>
      </c>
      <c r="K761" s="497">
        <f>ROUND(HLOOKUP($B761,'2-Préparation saisie LV PROD'!$F$1:$Q$86,'2-Préparation saisie LV PROD'!A35,FALSE),0)</f>
        <v>3438293</v>
      </c>
      <c r="L761" t="str">
        <f>VLOOKUP(C761,Capacité!C:L,10,FALSE)</f>
        <v>Pannecé</v>
      </c>
    </row>
    <row r="762" spans="1:12">
      <c r="A762" t="s">
        <v>505</v>
      </c>
      <c r="B762" t="str">
        <f t="shared" si="137"/>
        <v>B22_10</v>
      </c>
      <c r="C762" s="323" t="str">
        <f t="shared" si="136"/>
        <v>E5399</v>
      </c>
      <c r="D762" t="str">
        <f t="shared" si="139"/>
        <v>NO_DATAVIEWS</v>
      </c>
      <c r="E762" s="62" t="str">
        <f t="shared" si="139"/>
        <v>NO_DEPARTMENTS</v>
      </c>
      <c r="F762" t="s">
        <v>506</v>
      </c>
      <c r="G762" t="s">
        <v>507</v>
      </c>
      <c r="H762" t="s">
        <v>508</v>
      </c>
      <c r="I762" t="s">
        <v>509</v>
      </c>
      <c r="J762" t="s">
        <v>589</v>
      </c>
      <c r="K762" s="497">
        <f>ROUND(HLOOKUP($B762,'2-Préparation saisie LV PROD'!$F$1:$Q$86,'2-Préparation saisie LV PROD'!A36,FALSE),0)</f>
        <v>6922956</v>
      </c>
      <c r="L762" t="str">
        <f>VLOOKUP(C762,Capacité!C:L,10,FALSE)</f>
        <v>Coulonges</v>
      </c>
    </row>
    <row r="763" spans="1:12">
      <c r="A763" t="s">
        <v>505</v>
      </c>
      <c r="B763" t="str">
        <f t="shared" si="137"/>
        <v>B22_10</v>
      </c>
      <c r="C763" s="323" t="str">
        <f t="shared" ref="C763:C794" si="140">C682</f>
        <v>E5400</v>
      </c>
      <c r="D763" t="str">
        <f t="shared" si="139"/>
        <v>NO_DATAVIEWS</v>
      </c>
      <c r="E763" s="62" t="str">
        <f t="shared" si="139"/>
        <v>NO_DEPARTMENTS</v>
      </c>
      <c r="F763" t="s">
        <v>506</v>
      </c>
      <c r="G763" t="s">
        <v>507</v>
      </c>
      <c r="H763" t="s">
        <v>508</v>
      </c>
      <c r="I763" t="s">
        <v>509</v>
      </c>
      <c r="J763" t="s">
        <v>589</v>
      </c>
      <c r="K763" s="497">
        <f>ROUND(HLOOKUP($B763,'2-Préparation saisie LV PROD'!$F$1:$Q$86,'2-Préparation saisie LV PROD'!A37,FALSE),0)</f>
        <v>3658515</v>
      </c>
      <c r="L763" t="str">
        <f>VLOOKUP(C763,Capacité!C:L,10,FALSE)</f>
        <v>SdlL</v>
      </c>
    </row>
    <row r="764" spans="1:12">
      <c r="A764" t="s">
        <v>505</v>
      </c>
      <c r="B764" t="str">
        <f t="shared" si="137"/>
        <v>B22_10</v>
      </c>
      <c r="C764" s="323" t="str">
        <f t="shared" si="140"/>
        <v>E5401</v>
      </c>
      <c r="D764" t="str">
        <f t="shared" si="139"/>
        <v>NO_DATAVIEWS</v>
      </c>
      <c r="E764" s="62" t="str">
        <f t="shared" si="139"/>
        <v>NO_DEPARTMENTS</v>
      </c>
      <c r="F764" t="s">
        <v>506</v>
      </c>
      <c r="G764" t="s">
        <v>507</v>
      </c>
      <c r="H764" t="s">
        <v>508</v>
      </c>
      <c r="I764" t="s">
        <v>509</v>
      </c>
      <c r="J764" t="s">
        <v>589</v>
      </c>
      <c r="K764" s="497">
        <f>ROUND(HLOOKUP($B764,'2-Préparation saisie LV PROD'!$F$1:$Q$86,'2-Préparation saisie LV PROD'!A38,FALSE),0)</f>
        <v>1724433</v>
      </c>
      <c r="L764" t="str">
        <f>VLOOKUP(C764,Capacité!C:L,10,FALSE)</f>
        <v>Pays d'Othe</v>
      </c>
    </row>
    <row r="765" spans="1:12">
      <c r="A765" t="s">
        <v>505</v>
      </c>
      <c r="B765" t="str">
        <f t="shared" si="137"/>
        <v>B22_10</v>
      </c>
      <c r="C765" s="323" t="str">
        <f t="shared" si="140"/>
        <v>E5402</v>
      </c>
      <c r="D765" t="str">
        <f t="shared" si="139"/>
        <v>NO_DATAVIEWS</v>
      </c>
      <c r="E765" s="62" t="str">
        <f t="shared" si="139"/>
        <v>NO_DEPARTMENTS</v>
      </c>
      <c r="F765" t="s">
        <v>506</v>
      </c>
      <c r="G765" t="s">
        <v>507</v>
      </c>
      <c r="H765" t="s">
        <v>508</v>
      </c>
      <c r="I765" t="s">
        <v>509</v>
      </c>
      <c r="J765" t="s">
        <v>589</v>
      </c>
      <c r="K765" s="497">
        <f>ROUND(HLOOKUP($B765,'2-Préparation saisie LV PROD'!$F$1:$Q$86,'2-Préparation saisie LV PROD'!A39,FALSE),0)</f>
        <v>2327360</v>
      </c>
      <c r="L765" t="str">
        <f>VLOOKUP(C765,Capacité!C:L,10,FALSE)</f>
        <v>Comes de l'Arce</v>
      </c>
    </row>
    <row r="766" spans="1:12">
      <c r="A766" t="s">
        <v>505</v>
      </c>
      <c r="B766" t="str">
        <f t="shared" si="137"/>
        <v>B22_10</v>
      </c>
      <c r="C766" s="323" t="str">
        <f t="shared" si="140"/>
        <v>E5570</v>
      </c>
      <c r="D766" t="str">
        <f t="shared" si="139"/>
        <v>NO_DATAVIEWS</v>
      </c>
      <c r="E766" s="62" t="str">
        <f t="shared" si="139"/>
        <v>NO_DEPARTMENTS</v>
      </c>
      <c r="F766" t="s">
        <v>506</v>
      </c>
      <c r="G766" t="s">
        <v>507</v>
      </c>
      <c r="H766" t="s">
        <v>508</v>
      </c>
      <c r="I766" t="s">
        <v>509</v>
      </c>
      <c r="J766" t="s">
        <v>589</v>
      </c>
      <c r="K766" s="497">
        <f>ROUND(HLOOKUP($B766,'2-Préparation saisie LV PROD'!$F$1:$Q$86,'2-Préparation saisie LV PROD'!A40,FALSE),0)</f>
        <v>3039969</v>
      </c>
      <c r="L766" t="str">
        <f>VLOOKUP(C766,Capacité!C:L,10,FALSE)</f>
        <v>Plateau de Savernat</v>
      </c>
    </row>
    <row r="767" spans="1:12">
      <c r="A767" t="s">
        <v>505</v>
      </c>
      <c r="B767" t="str">
        <f t="shared" si="137"/>
        <v>B22_10</v>
      </c>
      <c r="C767" s="323" t="str">
        <f t="shared" si="140"/>
        <v>E5560</v>
      </c>
      <c r="D767" t="str">
        <f t="shared" si="139"/>
        <v>NO_DATAVIEWS</v>
      </c>
      <c r="E767" s="62" t="str">
        <f t="shared" si="139"/>
        <v>NO_DEPARTMENTS</v>
      </c>
      <c r="F767" t="s">
        <v>506</v>
      </c>
      <c r="G767" t="s">
        <v>507</v>
      </c>
      <c r="H767" t="s">
        <v>508</v>
      </c>
      <c r="I767" t="s">
        <v>509</v>
      </c>
      <c r="J767" t="s">
        <v>589</v>
      </c>
      <c r="K767" s="497">
        <f>ROUND(HLOOKUP($B767,'2-Préparation saisie LV PROD'!$F$1:$Q$86,'2-Préparation saisie LV PROD'!A41,FALSE),0)</f>
        <v>2685209</v>
      </c>
      <c r="L767" t="str">
        <f>VLOOKUP(C767,Capacité!C:L,10,FALSE)</f>
        <v>Touvent</v>
      </c>
    </row>
    <row r="768" spans="1:12">
      <c r="A768" t="s">
        <v>505</v>
      </c>
      <c r="B768" t="str">
        <f t="shared" si="137"/>
        <v>B22_10</v>
      </c>
      <c r="C768" s="323" t="str">
        <f t="shared" si="140"/>
        <v>E5700</v>
      </c>
      <c r="D768" t="str">
        <f t="shared" ref="D768:E783" si="141">D767</f>
        <v>NO_DATAVIEWS</v>
      </c>
      <c r="E768" s="62" t="str">
        <f t="shared" si="141"/>
        <v>NO_DEPARTMENTS</v>
      </c>
      <c r="F768" t="s">
        <v>506</v>
      </c>
      <c r="G768" t="s">
        <v>507</v>
      </c>
      <c r="H768" t="s">
        <v>508</v>
      </c>
      <c r="I768" t="s">
        <v>509</v>
      </c>
      <c r="J768" t="s">
        <v>589</v>
      </c>
      <c r="K768" s="497">
        <f>ROUND(HLOOKUP($B768,'2-Préparation saisie LV PROD'!$F$1:$Q$86,'2-Préparation saisie LV PROD'!A42,FALSE),0)</f>
        <v>4894525</v>
      </c>
      <c r="L768" t="str">
        <f>VLOOKUP(C768,Capacité!C:L,10,FALSE)</f>
        <v>Haut de Comble (HC)</v>
      </c>
    </row>
    <row r="769" spans="1:12">
      <c r="A769" t="s">
        <v>505</v>
      </c>
      <c r="B769" t="str">
        <f t="shared" si="137"/>
        <v>B22_10</v>
      </c>
      <c r="C769" s="323" t="str">
        <f t="shared" si="140"/>
        <v>E5600</v>
      </c>
      <c r="D769" t="str">
        <f t="shared" si="141"/>
        <v>NO_DATAVIEWS</v>
      </c>
      <c r="E769" s="62" t="str">
        <f t="shared" si="141"/>
        <v>NO_DEPARTMENTS</v>
      </c>
      <c r="F769" t="s">
        <v>506</v>
      </c>
      <c r="G769" t="s">
        <v>507</v>
      </c>
      <c r="H769" t="s">
        <v>508</v>
      </c>
      <c r="I769" t="s">
        <v>509</v>
      </c>
      <c r="J769" t="s">
        <v>589</v>
      </c>
      <c r="K769" s="497">
        <f>ROUND(HLOOKUP($B769,'2-Préparation saisie LV PROD'!$F$1:$Q$86,'2-Préparation saisie LV PROD'!A43,FALSE),0)</f>
        <v>7097572</v>
      </c>
      <c r="L769" t="str">
        <f>VLOOKUP(C769,Capacité!C:L,10,FALSE)</f>
        <v>Inter deux bos (MET)</v>
      </c>
    </row>
    <row r="770" spans="1:12">
      <c r="A770" t="s">
        <v>505</v>
      </c>
      <c r="B770" t="str">
        <f t="shared" si="137"/>
        <v>B22_10</v>
      </c>
      <c r="C770" s="323" t="str">
        <f t="shared" si="140"/>
        <v>E5770</v>
      </c>
      <c r="D770" t="str">
        <f t="shared" si="141"/>
        <v>NO_DATAVIEWS</v>
      </c>
      <c r="E770" s="62" t="str">
        <f t="shared" si="141"/>
        <v>NO_DEPARTMENTS</v>
      </c>
      <c r="F770" t="s">
        <v>506</v>
      </c>
      <c r="G770" t="s">
        <v>507</v>
      </c>
      <c r="H770" t="s">
        <v>508</v>
      </c>
      <c r="I770" t="s">
        <v>509</v>
      </c>
      <c r="J770" t="s">
        <v>589</v>
      </c>
      <c r="K770" s="497">
        <f>ROUND(HLOOKUP($B770,'2-Préparation saisie LV PROD'!$F$1:$Q$86,'2-Préparation saisie LV PROD'!A44,FALSE),0)</f>
        <v>2412418</v>
      </c>
      <c r="L770" t="str">
        <f>VLOOKUP(C770,Capacité!C:L,10,FALSE)</f>
        <v>Le Pelon</v>
      </c>
    </row>
    <row r="771" spans="1:12">
      <c r="A771" t="s">
        <v>505</v>
      </c>
      <c r="B771" t="str">
        <f t="shared" si="137"/>
        <v>B22_10</v>
      </c>
      <c r="C771" s="323" t="str">
        <f t="shared" si="140"/>
        <v>E5630</v>
      </c>
      <c r="D771" t="str">
        <f t="shared" si="141"/>
        <v>NO_DATAVIEWS</v>
      </c>
      <c r="E771" s="62" t="str">
        <f t="shared" si="141"/>
        <v>NO_DEPARTMENTS</v>
      </c>
      <c r="F771" t="s">
        <v>506</v>
      </c>
      <c r="G771" t="s">
        <v>507</v>
      </c>
      <c r="H771" t="s">
        <v>508</v>
      </c>
      <c r="I771" t="s">
        <v>509</v>
      </c>
      <c r="J771" t="s">
        <v>589</v>
      </c>
      <c r="K771" s="497">
        <f>ROUND(HLOOKUP($B771,'2-Préparation saisie LV PROD'!$F$1:$Q$86,'2-Préparation saisie LV PROD'!A45,FALSE),0)</f>
        <v>6398038</v>
      </c>
      <c r="L771" t="str">
        <f>VLOOKUP(C771,Capacité!C:L,10,FALSE)</f>
        <v>Monts de Bagny</v>
      </c>
    </row>
    <row r="772" spans="1:12">
      <c r="A772" t="s">
        <v>505</v>
      </c>
      <c r="B772" t="str">
        <f t="shared" si="137"/>
        <v>B22_10</v>
      </c>
      <c r="C772" s="323" t="str">
        <f t="shared" si="140"/>
        <v>E5690</v>
      </c>
      <c r="D772" t="str">
        <f t="shared" si="141"/>
        <v>NO_DATAVIEWS</v>
      </c>
      <c r="E772" s="62" t="str">
        <f t="shared" si="141"/>
        <v>NO_DEPARTMENTS</v>
      </c>
      <c r="F772" t="s">
        <v>506</v>
      </c>
      <c r="G772" t="s">
        <v>507</v>
      </c>
      <c r="H772" t="s">
        <v>508</v>
      </c>
      <c r="I772" t="s">
        <v>509</v>
      </c>
      <c r="J772" t="s">
        <v>589</v>
      </c>
      <c r="K772" s="497">
        <f>ROUND(HLOOKUP($B772,'2-Préparation saisie LV PROD'!$F$1:$Q$86,'2-Préparation saisie LV PROD'!A46,FALSE),0)</f>
        <v>2713221</v>
      </c>
      <c r="L772" t="str">
        <f>VLOOKUP(C772,Capacité!C:L,10,FALSE)</f>
        <v>Voie des monts</v>
      </c>
    </row>
    <row r="773" spans="1:12">
      <c r="A773" t="s">
        <v>505</v>
      </c>
      <c r="B773" t="str">
        <f t="shared" si="137"/>
        <v>B22_10</v>
      </c>
      <c r="C773" s="323" t="str">
        <f t="shared" si="140"/>
        <v>E5640</v>
      </c>
      <c r="D773" t="str">
        <f t="shared" si="141"/>
        <v>NO_DATAVIEWS</v>
      </c>
      <c r="E773" s="62" t="str">
        <f t="shared" si="141"/>
        <v>NO_DEPARTMENTS</v>
      </c>
      <c r="F773" t="s">
        <v>506</v>
      </c>
      <c r="G773" t="s">
        <v>507</v>
      </c>
      <c r="H773" t="s">
        <v>508</v>
      </c>
      <c r="I773" t="s">
        <v>509</v>
      </c>
      <c r="J773" t="s">
        <v>589</v>
      </c>
      <c r="K773" s="497">
        <f>ROUND(HLOOKUP($B773,'2-Préparation saisie LV PROD'!$F$1:$Q$86,'2-Préparation saisie LV PROD'!A47,FALSE),0)</f>
        <v>5527471</v>
      </c>
      <c r="L773" t="str">
        <f>VLOOKUP(C773,Capacité!C:L,10,FALSE)</f>
        <v>Artois</v>
      </c>
    </row>
    <row r="774" spans="1:12">
      <c r="A774" t="s">
        <v>505</v>
      </c>
      <c r="B774" t="str">
        <f t="shared" si="137"/>
        <v>B22_10</v>
      </c>
      <c r="C774" s="323" t="str">
        <f t="shared" si="140"/>
        <v>E5620</v>
      </c>
      <c r="D774" t="str">
        <f t="shared" si="141"/>
        <v>NO_DATAVIEWS</v>
      </c>
      <c r="E774" s="62" t="str">
        <f t="shared" si="141"/>
        <v>NO_DEPARTMENTS</v>
      </c>
      <c r="F774" t="s">
        <v>506</v>
      </c>
      <c r="G774" t="s">
        <v>507</v>
      </c>
      <c r="H774" t="s">
        <v>508</v>
      </c>
      <c r="I774" t="s">
        <v>509</v>
      </c>
      <c r="J774" t="s">
        <v>589</v>
      </c>
      <c r="K774" s="497">
        <f>ROUND(HLOOKUP($B774,'2-Préparation saisie LV PROD'!$F$1:$Q$86,'2-Préparation saisie LV PROD'!A48,FALSE),0)</f>
        <v>7291319</v>
      </c>
      <c r="L774" t="str">
        <f>VLOOKUP(C774,Capacité!C:L,10,FALSE)</f>
        <v>Chemin de Grès</v>
      </c>
    </row>
    <row r="775" spans="1:12">
      <c r="A775" t="s">
        <v>505</v>
      </c>
      <c r="B775" t="str">
        <f t="shared" si="137"/>
        <v>B22_10</v>
      </c>
      <c r="C775" s="323" t="str">
        <f t="shared" si="140"/>
        <v>E5810</v>
      </c>
      <c r="D775" t="str">
        <f t="shared" si="141"/>
        <v>NO_DATAVIEWS</v>
      </c>
      <c r="E775" s="62" t="str">
        <f t="shared" si="141"/>
        <v>NO_DEPARTMENTS</v>
      </c>
      <c r="F775" t="s">
        <v>506</v>
      </c>
      <c r="G775" t="s">
        <v>507</v>
      </c>
      <c r="H775" t="s">
        <v>508</v>
      </c>
      <c r="I775" t="s">
        <v>509</v>
      </c>
      <c r="J775" t="s">
        <v>589</v>
      </c>
      <c r="K775" s="497">
        <f>ROUND(HLOOKUP($B775,'2-Préparation saisie LV PROD'!$F$1:$Q$86,'2-Préparation saisie LV PROD'!A49,FALSE),0)</f>
        <v>4874334</v>
      </c>
      <c r="L775" t="str">
        <f>VLOOKUP(C775,Capacité!C:L,10,FALSE)</f>
        <v>Coteaux du Blaiseron</v>
      </c>
    </row>
    <row r="776" spans="1:12">
      <c r="A776" t="s">
        <v>505</v>
      </c>
      <c r="B776" t="str">
        <f t="shared" si="137"/>
        <v>B22_10</v>
      </c>
      <c r="C776" s="323" t="str">
        <f t="shared" si="140"/>
        <v>E5660</v>
      </c>
      <c r="D776" t="str">
        <f t="shared" si="141"/>
        <v>NO_DATAVIEWS</v>
      </c>
      <c r="E776" s="62" t="str">
        <f t="shared" si="141"/>
        <v>NO_DEPARTMENTS</v>
      </c>
      <c r="F776" t="s">
        <v>506</v>
      </c>
      <c r="G776" t="s">
        <v>507</v>
      </c>
      <c r="H776" t="s">
        <v>508</v>
      </c>
      <c r="I776" t="s">
        <v>509</v>
      </c>
      <c r="J776" t="s">
        <v>589</v>
      </c>
      <c r="K776" s="497">
        <f>ROUND(HLOOKUP($B776,'2-Préparation saisie LV PROD'!$F$1:$Q$86,'2-Préparation saisie LV PROD'!A50,FALSE),0)</f>
        <v>4248806</v>
      </c>
      <c r="L776" t="str">
        <f>VLOOKUP(C776,Capacité!C:L,10,FALSE)</f>
        <v>XSAN</v>
      </c>
    </row>
    <row r="777" spans="1:12">
      <c r="A777" t="s">
        <v>505</v>
      </c>
      <c r="B777" t="str">
        <f t="shared" si="137"/>
        <v>B22_10</v>
      </c>
      <c r="C777" s="323" t="str">
        <f t="shared" si="140"/>
        <v>E5590</v>
      </c>
      <c r="D777" t="str">
        <f t="shared" si="141"/>
        <v>NO_DATAVIEWS</v>
      </c>
      <c r="E777" s="62" t="str">
        <f t="shared" si="141"/>
        <v>NO_DEPARTMENTS</v>
      </c>
      <c r="F777" t="s">
        <v>506</v>
      </c>
      <c r="G777" t="s">
        <v>507</v>
      </c>
      <c r="H777" t="s">
        <v>508</v>
      </c>
      <c r="I777" t="s">
        <v>509</v>
      </c>
      <c r="J777" t="s">
        <v>589</v>
      </c>
      <c r="K777" s="497">
        <f>ROUND(HLOOKUP($B777,'2-Préparation saisie LV PROD'!$F$1:$Q$86,'2-Préparation saisie LV PROD'!A51,FALSE),0)</f>
        <v>3191410</v>
      </c>
      <c r="L777" t="str">
        <f>VLOOKUP(C777,Capacité!C:L,10,FALSE)</f>
        <v>Le Catésis (CAT)</v>
      </c>
    </row>
    <row r="778" spans="1:12">
      <c r="A778" t="s">
        <v>505</v>
      </c>
      <c r="B778" t="str">
        <f t="shared" si="137"/>
        <v>B22_10</v>
      </c>
      <c r="C778" s="323" t="str">
        <f t="shared" si="140"/>
        <v>E5650</v>
      </c>
      <c r="D778" t="str">
        <f t="shared" si="141"/>
        <v>NO_DATAVIEWS</v>
      </c>
      <c r="E778" s="62" t="str">
        <f t="shared" si="141"/>
        <v>NO_DEPARTMENTS</v>
      </c>
      <c r="F778" t="s">
        <v>506</v>
      </c>
      <c r="G778" t="s">
        <v>507</v>
      </c>
      <c r="H778" t="s">
        <v>508</v>
      </c>
      <c r="I778" t="s">
        <v>509</v>
      </c>
      <c r="J778" t="s">
        <v>589</v>
      </c>
      <c r="K778" s="497">
        <f>ROUND(HLOOKUP($B778,'2-Préparation saisie LV PROD'!$F$1:$Q$86,'2-Préparation saisie LV PROD'!A52,FALSE),0)</f>
        <v>5646190</v>
      </c>
      <c r="L778" t="str">
        <f>VLOOKUP(C778,Capacité!C:L,10,FALSE)</f>
        <v>Seuil du Cambrésis- Ribecourt (RIB)</v>
      </c>
    </row>
    <row r="779" spans="1:12">
      <c r="A779" t="s">
        <v>505</v>
      </c>
      <c r="B779" t="str">
        <f t="shared" si="137"/>
        <v>B22_10</v>
      </c>
      <c r="C779" s="323" t="str">
        <f t="shared" si="140"/>
        <v>E5720</v>
      </c>
      <c r="D779" t="str">
        <f t="shared" si="141"/>
        <v>NO_DATAVIEWS</v>
      </c>
      <c r="E779" s="62" t="str">
        <f t="shared" si="141"/>
        <v>NO_DEPARTMENTS</v>
      </c>
      <c r="F779" t="s">
        <v>506</v>
      </c>
      <c r="G779" t="s">
        <v>507</v>
      </c>
      <c r="H779" t="s">
        <v>508</v>
      </c>
      <c r="I779" t="s">
        <v>509</v>
      </c>
      <c r="J779" t="s">
        <v>589</v>
      </c>
      <c r="K779" s="497">
        <f>ROUND(HLOOKUP($B779,'2-Préparation saisie LV PROD'!$F$1:$Q$86,'2-Préparation saisie LV PROD'!A53,FALSE),0)</f>
        <v>4467304</v>
      </c>
      <c r="L779" t="str">
        <f>VLOOKUP(C779,Capacité!C:L,10,FALSE)</f>
        <v>Basse Thiérache Nord</v>
      </c>
    </row>
    <row r="780" spans="1:12">
      <c r="A780" t="s">
        <v>505</v>
      </c>
      <c r="B780" t="str">
        <f t="shared" si="137"/>
        <v>B22_10</v>
      </c>
      <c r="C780" s="323" t="str">
        <f t="shared" si="140"/>
        <v>E5710</v>
      </c>
      <c r="D780" t="str">
        <f t="shared" si="141"/>
        <v>NO_DATAVIEWS</v>
      </c>
      <c r="E780" s="62" t="str">
        <f t="shared" si="141"/>
        <v>NO_DEPARTMENTS</v>
      </c>
      <c r="F780" t="s">
        <v>506</v>
      </c>
      <c r="G780" t="s">
        <v>507</v>
      </c>
      <c r="H780" t="s">
        <v>508</v>
      </c>
      <c r="I780" t="s">
        <v>509</v>
      </c>
      <c r="J780" t="s">
        <v>589</v>
      </c>
      <c r="K780" s="497">
        <f>ROUND(HLOOKUP($B780,'2-Préparation saisie LV PROD'!$F$1:$Q$86,'2-Préparation saisie LV PROD'!A54,FALSE),0)</f>
        <v>4751400</v>
      </c>
      <c r="L780" t="str">
        <f>VLOOKUP(C780,Capacité!C:L,10,FALSE)</f>
        <v>Sources de l'Ancre</v>
      </c>
    </row>
    <row r="781" spans="1:12">
      <c r="A781" t="s">
        <v>505</v>
      </c>
      <c r="B781" t="str">
        <f t="shared" si="137"/>
        <v>B22_10</v>
      </c>
      <c r="C781" s="323" t="str">
        <f t="shared" si="140"/>
        <v>E6190</v>
      </c>
      <c r="D781" t="str">
        <f t="shared" si="141"/>
        <v>NO_DATAVIEWS</v>
      </c>
      <c r="E781" s="62" t="str">
        <f t="shared" si="141"/>
        <v>NO_DEPARTMENTS</v>
      </c>
      <c r="F781" t="s">
        <v>506</v>
      </c>
      <c r="G781" t="s">
        <v>507</v>
      </c>
      <c r="H781" t="s">
        <v>508</v>
      </c>
      <c r="I781" t="s">
        <v>509</v>
      </c>
      <c r="J781" t="s">
        <v>589</v>
      </c>
      <c r="K781" s="497">
        <f>ROUND(HLOOKUP($B781,'2-Préparation saisie LV PROD'!$F$1:$Q$86,'2-Préparation saisie LV PROD'!A55,FALSE),0)</f>
        <v>0</v>
      </c>
      <c r="L781" t="str">
        <f>VLOOKUP(C781,Capacité!C:L,10,FALSE)</f>
        <v>Evits et Josaphats</v>
      </c>
    </row>
    <row r="782" spans="1:12">
      <c r="A782" t="s">
        <v>505</v>
      </c>
      <c r="B782" t="str">
        <f t="shared" si="137"/>
        <v>B22_10</v>
      </c>
      <c r="C782" s="323" t="str">
        <f t="shared" si="140"/>
        <v>E6200</v>
      </c>
      <c r="D782" t="str">
        <f t="shared" si="141"/>
        <v>NO_DATAVIEWS</v>
      </c>
      <c r="E782" s="62" t="str">
        <f t="shared" si="141"/>
        <v>NO_DEPARTMENTS</v>
      </c>
      <c r="F782" t="s">
        <v>506</v>
      </c>
      <c r="G782" t="s">
        <v>507</v>
      </c>
      <c r="H782" t="s">
        <v>508</v>
      </c>
      <c r="I782" t="s">
        <v>509</v>
      </c>
      <c r="J782" t="s">
        <v>589</v>
      </c>
      <c r="K782" s="497">
        <f>ROUND(HLOOKUP($B782,'2-Préparation saisie LV PROD'!$F$1:$Q$86,'2-Préparation saisie LV PROD'!A56,FALSE),0)</f>
        <v>0</v>
      </c>
      <c r="L782" t="str">
        <f>VLOOKUP(C782,Capacité!C:L,10,FALSE)</f>
        <v>Remise Reclainville</v>
      </c>
    </row>
    <row r="783" spans="1:12">
      <c r="A783" t="s">
        <v>505</v>
      </c>
      <c r="B783" t="str">
        <f t="shared" si="137"/>
        <v>B22_10</v>
      </c>
      <c r="C783" s="323" t="str">
        <f t="shared" si="140"/>
        <v>E6150</v>
      </c>
      <c r="D783" t="str">
        <f t="shared" si="141"/>
        <v>NO_DATAVIEWS</v>
      </c>
      <c r="E783" s="62" t="str">
        <f t="shared" si="141"/>
        <v>NO_DEPARTMENTS</v>
      </c>
      <c r="F783" t="s">
        <v>506</v>
      </c>
      <c r="G783" t="s">
        <v>507</v>
      </c>
      <c r="H783" t="s">
        <v>508</v>
      </c>
      <c r="I783" t="s">
        <v>509</v>
      </c>
      <c r="J783" t="s">
        <v>589</v>
      </c>
      <c r="K783" s="497">
        <f>ROUND(HLOOKUP($B783,'2-Préparation saisie LV PROD'!$F$1:$Q$86,'2-Préparation saisie LV PROD'!A57,FALSE),0)</f>
        <v>1674585</v>
      </c>
      <c r="L783" t="str">
        <f>VLOOKUP(C783,Capacité!C:L,10,FALSE)</f>
        <v>Fierville</v>
      </c>
    </row>
    <row r="784" spans="1:12">
      <c r="A784" t="s">
        <v>505</v>
      </c>
      <c r="B784" t="str">
        <f t="shared" si="137"/>
        <v>B22_10</v>
      </c>
      <c r="C784" s="323" t="str">
        <f t="shared" si="140"/>
        <v>E6340</v>
      </c>
      <c r="D784" t="str">
        <f t="shared" ref="D784:E799" si="142">D783</f>
        <v>NO_DATAVIEWS</v>
      </c>
      <c r="E784" s="62" t="str">
        <f t="shared" si="142"/>
        <v>NO_DEPARTMENTS</v>
      </c>
      <c r="F784" t="s">
        <v>506</v>
      </c>
      <c r="G784" t="s">
        <v>507</v>
      </c>
      <c r="H784" t="s">
        <v>508</v>
      </c>
      <c r="I784" t="s">
        <v>509</v>
      </c>
      <c r="J784" t="s">
        <v>589</v>
      </c>
      <c r="K784" s="497">
        <f>ROUND(HLOOKUP($B784,'2-Préparation saisie LV PROD'!$F$1:$Q$86,'2-Préparation saisie LV PROD'!A58,FALSE),0)</f>
        <v>2763644</v>
      </c>
      <c r="L784" t="str">
        <f>VLOOKUP(C784,Capacité!C:L,10,FALSE)</f>
        <v>Plaine de Beaunay</v>
      </c>
    </row>
    <row r="785" spans="1:12">
      <c r="A785" t="s">
        <v>505</v>
      </c>
      <c r="B785" t="str">
        <f t="shared" si="137"/>
        <v>B22_10</v>
      </c>
      <c r="C785" s="323" t="str">
        <f t="shared" si="140"/>
        <v>E6370</v>
      </c>
      <c r="D785" t="str">
        <f t="shared" si="142"/>
        <v>NO_DATAVIEWS</v>
      </c>
      <c r="E785" s="62" t="str">
        <f t="shared" si="142"/>
        <v>NO_DEPARTMENTS</v>
      </c>
      <c r="F785" t="s">
        <v>506</v>
      </c>
      <c r="G785" t="s">
        <v>507</v>
      </c>
      <c r="H785" t="s">
        <v>508</v>
      </c>
      <c r="I785" t="s">
        <v>509</v>
      </c>
      <c r="J785" t="s">
        <v>589</v>
      </c>
      <c r="K785" s="497">
        <f>ROUND(HLOOKUP($B785,'2-Préparation saisie LV PROD'!$F$1:$Q$86,'2-Préparation saisie LV PROD'!A59,FALSE),0)</f>
        <v>3554203</v>
      </c>
      <c r="L785" t="str">
        <f>VLOOKUP(C785,Capacité!C:L,10,FALSE)</f>
        <v>Val au Moines</v>
      </c>
    </row>
    <row r="786" spans="1:12">
      <c r="A786" t="s">
        <v>505</v>
      </c>
      <c r="B786" t="str">
        <f t="shared" si="137"/>
        <v>B22_10</v>
      </c>
      <c r="C786" s="323" t="str">
        <f t="shared" si="140"/>
        <v>E6250</v>
      </c>
      <c r="D786" t="str">
        <f t="shared" si="142"/>
        <v>NO_DATAVIEWS</v>
      </c>
      <c r="E786" s="62" t="str">
        <f t="shared" si="142"/>
        <v>NO_DEPARTMENTS</v>
      </c>
      <c r="F786" t="s">
        <v>506</v>
      </c>
      <c r="G786" t="s">
        <v>507</v>
      </c>
      <c r="H786" t="s">
        <v>508</v>
      </c>
      <c r="I786" t="s">
        <v>509</v>
      </c>
      <c r="J786" t="s">
        <v>589</v>
      </c>
      <c r="K786" s="497">
        <f>ROUND(HLOOKUP($B786,'2-Préparation saisie LV PROD'!$F$1:$Q$86,'2-Préparation saisie LV PROD'!A60,FALSE),0)</f>
        <v>0</v>
      </c>
      <c r="L786" t="str">
        <f>VLOOKUP(C786,Capacité!C:L,10,FALSE)</f>
        <v>Bougainville</v>
      </c>
    </row>
    <row r="787" spans="1:12">
      <c r="A787" t="s">
        <v>505</v>
      </c>
      <c r="B787" t="str">
        <f t="shared" si="137"/>
        <v>B22_10</v>
      </c>
      <c r="C787" s="323" t="str">
        <f t="shared" si="140"/>
        <v>E6260</v>
      </c>
      <c r="D787" t="str">
        <f t="shared" si="142"/>
        <v>NO_DATAVIEWS</v>
      </c>
      <c r="E787" s="62" t="str">
        <f t="shared" si="142"/>
        <v>NO_DEPARTMENTS</v>
      </c>
      <c r="F787" t="s">
        <v>506</v>
      </c>
      <c r="G787" t="s">
        <v>507</v>
      </c>
      <c r="H787" t="s">
        <v>508</v>
      </c>
      <c r="I787" t="s">
        <v>509</v>
      </c>
      <c r="J787" t="s">
        <v>589</v>
      </c>
      <c r="K787" s="497">
        <f>ROUND(HLOOKUP($B787,'2-Préparation saisie LV PROD'!$F$1:$Q$86,'2-Préparation saisie LV PROD'!A61,FALSE),0)</f>
        <v>1954290</v>
      </c>
      <c r="L787" t="str">
        <f>VLOOKUP(C787,Capacité!C:L,10,FALSE)</f>
        <v>Saint André</v>
      </c>
    </row>
    <row r="788" spans="1:12">
      <c r="A788" t="s">
        <v>505</v>
      </c>
      <c r="B788" t="str">
        <f t="shared" si="137"/>
        <v>B22_10</v>
      </c>
      <c r="C788" s="323" t="str">
        <f t="shared" si="140"/>
        <v>E6120</v>
      </c>
      <c r="D788" t="str">
        <f t="shared" si="142"/>
        <v>NO_DATAVIEWS</v>
      </c>
      <c r="E788" s="62" t="str">
        <f t="shared" si="142"/>
        <v>NO_DEPARTMENTS</v>
      </c>
      <c r="F788" t="s">
        <v>506</v>
      </c>
      <c r="G788" t="s">
        <v>507</v>
      </c>
      <c r="H788" t="s">
        <v>508</v>
      </c>
      <c r="I788" t="s">
        <v>509</v>
      </c>
      <c r="J788" t="s">
        <v>589</v>
      </c>
      <c r="K788" s="497">
        <f>ROUND(HLOOKUP($B788,'2-Préparation saisie LV PROD'!$F$1:$Q$86,'2-Préparation saisie LV PROD'!A62,FALSE),0)</f>
        <v>674020</v>
      </c>
      <c r="L788" t="str">
        <f>VLOOKUP(C788,Capacité!C:L,10,FALSE)</f>
        <v>Fond de la Plaine</v>
      </c>
    </row>
    <row r="789" spans="1:12">
      <c r="A789" t="s">
        <v>505</v>
      </c>
      <c r="B789" t="str">
        <f t="shared" si="137"/>
        <v>B22_10</v>
      </c>
      <c r="C789" s="323" t="str">
        <f t="shared" si="140"/>
        <v>E6130</v>
      </c>
      <c r="D789" t="str">
        <f t="shared" si="142"/>
        <v>NO_DATAVIEWS</v>
      </c>
      <c r="E789" s="62" t="str">
        <f t="shared" si="142"/>
        <v>NO_DEPARTMENTS</v>
      </c>
      <c r="F789" t="s">
        <v>506</v>
      </c>
      <c r="G789" t="s">
        <v>507</v>
      </c>
      <c r="H789" t="s">
        <v>508</v>
      </c>
      <c r="I789" t="s">
        <v>509</v>
      </c>
      <c r="J789" t="s">
        <v>589</v>
      </c>
      <c r="K789" s="497">
        <f>ROUND(HLOOKUP($B789,'2-Préparation saisie LV PROD'!$F$1:$Q$86,'2-Préparation saisie LV PROD'!A63,FALSE),0)</f>
        <v>1946102</v>
      </c>
      <c r="L789" t="str">
        <f>VLOOKUP(C789,Capacité!C:L,10,FALSE)</f>
        <v>Bassigny</v>
      </c>
    </row>
    <row r="790" spans="1:12">
      <c r="A790" t="s">
        <v>505</v>
      </c>
      <c r="B790" t="str">
        <f t="shared" si="137"/>
        <v>B22_10</v>
      </c>
      <c r="C790" s="323" t="str">
        <f t="shared" si="140"/>
        <v>E6210</v>
      </c>
      <c r="D790" t="str">
        <f t="shared" si="142"/>
        <v>NO_DATAVIEWS</v>
      </c>
      <c r="E790" s="62" t="str">
        <f t="shared" si="142"/>
        <v>NO_DEPARTMENTS</v>
      </c>
      <c r="F790" t="s">
        <v>506</v>
      </c>
      <c r="G790" t="s">
        <v>507</v>
      </c>
      <c r="H790" t="s">
        <v>508</v>
      </c>
      <c r="I790" t="s">
        <v>509</v>
      </c>
      <c r="J790" t="s">
        <v>589</v>
      </c>
      <c r="K790" s="497">
        <f>ROUND(HLOOKUP($B790,'2-Préparation saisie LV PROD'!$F$1:$Q$86,'2-Préparation saisie LV PROD'!A64,FALSE),0)</f>
        <v>1423967</v>
      </c>
      <c r="L790" t="str">
        <f>VLOOKUP(C790,Capacité!C:L,10,FALSE)</f>
        <v>Les Clérimois</v>
      </c>
    </row>
    <row r="791" spans="1:12">
      <c r="A791" t="s">
        <v>505</v>
      </c>
      <c r="B791" t="str">
        <f t="shared" si="137"/>
        <v>B22_10</v>
      </c>
      <c r="C791" s="323" t="str">
        <f t="shared" si="140"/>
        <v>E6160</v>
      </c>
      <c r="D791" t="str">
        <f t="shared" si="142"/>
        <v>NO_DATAVIEWS</v>
      </c>
      <c r="E791" s="62" t="str">
        <f t="shared" si="142"/>
        <v>NO_DEPARTMENTS</v>
      </c>
      <c r="F791" t="s">
        <v>506</v>
      </c>
      <c r="G791" t="s">
        <v>507</v>
      </c>
      <c r="H791" t="s">
        <v>508</v>
      </c>
      <c r="I791" t="s">
        <v>509</v>
      </c>
      <c r="J791" t="s">
        <v>589</v>
      </c>
      <c r="K791" s="497">
        <f>ROUND(HLOOKUP($B791,'2-Préparation saisie LV PROD'!$F$1:$Q$86,'2-Préparation saisie LV PROD'!A65,FALSE),0)</f>
        <v>1709680</v>
      </c>
      <c r="L791" t="str">
        <f>VLOOKUP(C791,Capacité!C:L,10,FALSE)</f>
        <v>Plateau de Langres</v>
      </c>
    </row>
    <row r="792" spans="1:12">
      <c r="A792" t="s">
        <v>505</v>
      </c>
      <c r="B792" t="str">
        <f t="shared" si="137"/>
        <v>B22_10</v>
      </c>
      <c r="C792" s="323" t="str">
        <f t="shared" si="140"/>
        <v>E6170</v>
      </c>
      <c r="D792" t="str">
        <f t="shared" si="142"/>
        <v>NO_DATAVIEWS</v>
      </c>
      <c r="E792" s="62" t="str">
        <f t="shared" si="142"/>
        <v>NO_DEPARTMENTS</v>
      </c>
      <c r="F792" t="s">
        <v>506</v>
      </c>
      <c r="G792" t="s">
        <v>507</v>
      </c>
      <c r="H792" t="s">
        <v>508</v>
      </c>
      <c r="I792" t="s">
        <v>509</v>
      </c>
      <c r="J792" t="s">
        <v>589</v>
      </c>
      <c r="K792" s="497">
        <f>ROUND(HLOOKUP($B792,'2-Préparation saisie LV PROD'!$F$1:$Q$86,'2-Préparation saisie LV PROD'!A66,FALSE),0)</f>
        <v>1606914</v>
      </c>
      <c r="L792" t="str">
        <f>VLOOKUP(C792,Capacité!C:L,10,FALSE)</f>
        <v>Les Moulins de Boulay</v>
      </c>
    </row>
    <row r="793" spans="1:12">
      <c r="A793" t="s">
        <v>505</v>
      </c>
      <c r="B793" t="str">
        <f t="shared" si="137"/>
        <v>B22_10</v>
      </c>
      <c r="C793" s="323" t="str">
        <f t="shared" si="140"/>
        <v>E6330</v>
      </c>
      <c r="D793" t="str">
        <f t="shared" si="142"/>
        <v>NO_DATAVIEWS</v>
      </c>
      <c r="E793" s="62" t="str">
        <f t="shared" si="142"/>
        <v>NO_DEPARTMENTS</v>
      </c>
      <c r="F793" t="s">
        <v>506</v>
      </c>
      <c r="G793" t="s">
        <v>507</v>
      </c>
      <c r="H793" t="s">
        <v>508</v>
      </c>
      <c r="I793" t="s">
        <v>509</v>
      </c>
      <c r="J793" t="s">
        <v>589</v>
      </c>
      <c r="K793" s="497">
        <f>ROUND(HLOOKUP($B793,'2-Préparation saisie LV PROD'!$F$1:$Q$86,'2-Préparation saisie LV PROD'!A67,FALSE),0)</f>
        <v>1946786</v>
      </c>
      <c r="L793" t="str">
        <f>VLOOKUP(C793,Capacité!C:L,10,FALSE)</f>
        <v>Morlange</v>
      </c>
    </row>
    <row r="794" spans="1:12">
      <c r="A794" t="s">
        <v>505</v>
      </c>
      <c r="B794" t="str">
        <f t="shared" si="137"/>
        <v>B22_10</v>
      </c>
      <c r="C794" s="323" t="str">
        <f t="shared" si="140"/>
        <v>E6140</v>
      </c>
      <c r="D794" t="str">
        <f t="shared" si="142"/>
        <v>NO_DATAVIEWS</v>
      </c>
      <c r="E794" s="62" t="str">
        <f t="shared" si="142"/>
        <v>NO_DEPARTMENTS</v>
      </c>
      <c r="F794" t="s">
        <v>506</v>
      </c>
      <c r="G794" t="s">
        <v>507</v>
      </c>
      <c r="H794" t="s">
        <v>508</v>
      </c>
      <c r="I794" t="s">
        <v>509</v>
      </c>
      <c r="J794" t="s">
        <v>589</v>
      </c>
      <c r="K794" s="497">
        <f>ROUND(HLOOKUP($B794,'2-Préparation saisie LV PROD'!$F$1:$Q$86,'2-Préparation saisie LV PROD'!A68,FALSE),0)</f>
        <v>0</v>
      </c>
      <c r="L794" t="str">
        <f>VLOOKUP(C794,Capacité!C:L,10,FALSE)</f>
        <v>Renardières mont de Bezard</v>
      </c>
    </row>
    <row r="795" spans="1:12">
      <c r="A795" t="s">
        <v>505</v>
      </c>
      <c r="B795" t="str">
        <f t="shared" si="137"/>
        <v>B22_10</v>
      </c>
      <c r="C795" s="323" t="str">
        <f t="shared" ref="C795:C805" si="143">C714</f>
        <v>E6350</v>
      </c>
      <c r="D795" t="str">
        <f t="shared" si="142"/>
        <v>NO_DATAVIEWS</v>
      </c>
      <c r="E795" s="62" t="str">
        <f t="shared" si="142"/>
        <v>NO_DEPARTMENTS</v>
      </c>
      <c r="F795" t="s">
        <v>506</v>
      </c>
      <c r="G795" t="s">
        <v>507</v>
      </c>
      <c r="H795" t="s">
        <v>508</v>
      </c>
      <c r="I795" t="s">
        <v>509</v>
      </c>
      <c r="J795" t="s">
        <v>589</v>
      </c>
      <c r="K795" s="497">
        <f>ROUND(HLOOKUP($B795,'2-Préparation saisie LV PROD'!$F$1:$Q$86,'2-Préparation saisie LV PROD'!A69,FALSE),0)</f>
        <v>2058474</v>
      </c>
      <c r="L795" t="str">
        <f>VLOOKUP(C795,Capacité!C:L,10,FALSE)</f>
        <v>Zondrange</v>
      </c>
    </row>
    <row r="796" spans="1:12">
      <c r="A796" t="s">
        <v>505</v>
      </c>
      <c r="B796" t="str">
        <f t="shared" si="137"/>
        <v>B22_10</v>
      </c>
      <c r="C796" s="323" t="str">
        <f t="shared" si="143"/>
        <v>E6360</v>
      </c>
      <c r="D796" t="str">
        <f t="shared" si="142"/>
        <v>NO_DATAVIEWS</v>
      </c>
      <c r="E796" s="62" t="str">
        <f t="shared" si="142"/>
        <v>NO_DEPARTMENTS</v>
      </c>
      <c r="F796" t="s">
        <v>506</v>
      </c>
      <c r="G796" t="s">
        <v>507</v>
      </c>
      <c r="H796" t="s">
        <v>508</v>
      </c>
      <c r="I796" t="s">
        <v>509</v>
      </c>
      <c r="J796" t="s">
        <v>589</v>
      </c>
      <c r="K796" s="497">
        <f>ROUND(HLOOKUP($B796,'2-Préparation saisie LV PROD'!$F$1:$Q$86,'2-Préparation saisie LV PROD'!A70,FALSE),0)</f>
        <v>2171293</v>
      </c>
      <c r="L796" t="str">
        <f>VLOOKUP(C796,Capacité!C:L,10,FALSE)</f>
        <v xml:space="preserve">Noyers </v>
      </c>
    </row>
    <row r="797" spans="1:12">
      <c r="A797" t="s">
        <v>505</v>
      </c>
      <c r="B797" t="str">
        <f>+$B$731</f>
        <v>B22_10</v>
      </c>
      <c r="C797" s="323" t="str">
        <f t="shared" si="143"/>
        <v>E5550</v>
      </c>
      <c r="D797" t="str">
        <f t="shared" si="142"/>
        <v>NO_DATAVIEWS</v>
      </c>
      <c r="E797" s="62" t="str">
        <f t="shared" si="142"/>
        <v>NO_DEPARTMENTS</v>
      </c>
      <c r="F797" t="s">
        <v>506</v>
      </c>
      <c r="G797" t="s">
        <v>507</v>
      </c>
      <c r="H797" t="s">
        <v>508</v>
      </c>
      <c r="I797" t="s">
        <v>509</v>
      </c>
      <c r="J797" t="s">
        <v>589</v>
      </c>
      <c r="K797" s="497">
        <f>ROUND(HLOOKUP($B797,'2-Préparation saisie LV PROD'!$F$1:$Q$86,'2-Préparation saisie LV PROD'!A71,FALSE),0)</f>
        <v>1044251</v>
      </c>
      <c r="L797" t="str">
        <f>VLOOKUP(C797,Capacité!C:L,10,FALSE)</f>
        <v>Les Cigalettes (Montfort) / Solaire</v>
      </c>
    </row>
    <row r="798" spans="1:12">
      <c r="A798" t="s">
        <v>505</v>
      </c>
      <c r="B798" t="str">
        <f>+$B$731</f>
        <v>B22_10</v>
      </c>
      <c r="C798" s="323" t="str">
        <f t="shared" si="143"/>
        <v>E5250</v>
      </c>
      <c r="D798" t="str">
        <f t="shared" si="142"/>
        <v>NO_DATAVIEWS</v>
      </c>
      <c r="E798" s="62" t="str">
        <f t="shared" si="142"/>
        <v>NO_DEPARTMENTS</v>
      </c>
      <c r="F798" t="s">
        <v>506</v>
      </c>
      <c r="G798" t="s">
        <v>507</v>
      </c>
      <c r="H798" t="s">
        <v>508</v>
      </c>
      <c r="I798" t="s">
        <v>509</v>
      </c>
      <c r="J798" t="s">
        <v>589</v>
      </c>
      <c r="K798" s="497">
        <f>ROUND(HLOOKUP($B798,'2-Préparation saisie LV PROD'!$F$1:$Q$86,'2-Préparation saisie LV PROD'!A72,FALSE),0)</f>
        <v>444948</v>
      </c>
      <c r="L798" t="str">
        <f>VLOOKUP(C798,Capacité!C:L,10,FALSE)</f>
        <v>Avignonet / Solaire</v>
      </c>
    </row>
    <row r="799" spans="1:12">
      <c r="A799" t="s">
        <v>505</v>
      </c>
      <c r="B799" t="str">
        <f t="shared" ref="B799:B811" si="144">+$B$731</f>
        <v>B22_10</v>
      </c>
      <c r="C799" s="323" t="str">
        <f t="shared" si="143"/>
        <v>E6010</v>
      </c>
      <c r="D799" t="str">
        <f t="shared" si="142"/>
        <v>NO_DATAVIEWS</v>
      </c>
      <c r="E799" s="62" t="str">
        <f t="shared" si="142"/>
        <v>NO_DEPARTMENTS</v>
      </c>
      <c r="F799" t="s">
        <v>506</v>
      </c>
      <c r="G799" t="s">
        <v>507</v>
      </c>
      <c r="H799" t="s">
        <v>508</v>
      </c>
      <c r="I799" t="s">
        <v>509</v>
      </c>
      <c r="J799" t="s">
        <v>589</v>
      </c>
      <c r="K799" s="497">
        <f>ROUND(HLOOKUP($B799,'2-Préparation saisie LV PROD'!$F$1:$Q$86,'2-Préparation saisie LV PROD'!A74,FALSE),0)</f>
        <v>7797448</v>
      </c>
      <c r="L799" t="str">
        <f>VLOOKUP(C799,Capacité!C:L,10,FALSE)</f>
        <v>CDC-R</v>
      </c>
    </row>
    <row r="800" spans="1:12">
      <c r="A800" t="s">
        <v>505</v>
      </c>
      <c r="B800" t="str">
        <f t="shared" si="144"/>
        <v>B22_10</v>
      </c>
      <c r="C800" s="323" t="str">
        <f t="shared" si="143"/>
        <v>E6280</v>
      </c>
      <c r="D800" t="str">
        <f t="shared" ref="D800:E821" si="145">D799</f>
        <v>NO_DATAVIEWS</v>
      </c>
      <c r="E800" s="62" t="str">
        <f t="shared" si="145"/>
        <v>NO_DEPARTMENTS</v>
      </c>
      <c r="F800" t="s">
        <v>506</v>
      </c>
      <c r="G800" t="s">
        <v>507</v>
      </c>
      <c r="H800" t="s">
        <v>508</v>
      </c>
      <c r="I800" t="s">
        <v>509</v>
      </c>
      <c r="J800" t="s">
        <v>589</v>
      </c>
      <c r="K800" s="497">
        <f>ROUND(HLOOKUP($B800,'2-Préparation saisie LV PROD'!$F$1:$Q$86,'2-Préparation saisie LV PROD'!A75,FALSE),0)</f>
        <v>2881492</v>
      </c>
      <c r="L800" t="str">
        <f>VLOOKUP(C800,Capacité!C:L,10,FALSE)</f>
        <v>BPF</v>
      </c>
    </row>
    <row r="801" spans="1:12">
      <c r="A801" t="s">
        <v>505</v>
      </c>
      <c r="B801" t="str">
        <f t="shared" si="144"/>
        <v>B22_10</v>
      </c>
      <c r="C801" s="323" t="str">
        <f t="shared" si="143"/>
        <v>E5930</v>
      </c>
      <c r="D801" t="str">
        <f t="shared" si="145"/>
        <v>NO_DATAVIEWS</v>
      </c>
      <c r="E801" s="62" t="str">
        <f t="shared" si="145"/>
        <v>NO_DEPARTMENTS</v>
      </c>
      <c r="F801" t="s">
        <v>506</v>
      </c>
      <c r="G801" t="s">
        <v>507</v>
      </c>
      <c r="H801" t="s">
        <v>508</v>
      </c>
      <c r="I801" t="s">
        <v>509</v>
      </c>
      <c r="J801" t="s">
        <v>589</v>
      </c>
      <c r="K801" s="497">
        <f>ROUND(HLOOKUP($B801,'2-Préparation saisie LV PROD'!$F$1:$Q$86,'2-Préparation saisie LV PROD'!A76,FALSE),0)</f>
        <v>4174719</v>
      </c>
      <c r="L801" t="str">
        <f>VLOOKUP(C801,Capacité!C:L,10,FALSE)</f>
        <v>XSB</v>
      </c>
    </row>
    <row r="802" spans="1:12" s="4" customFormat="1">
      <c r="A802" s="4" t="s">
        <v>505</v>
      </c>
      <c r="B802" s="4" t="str">
        <f t="shared" si="144"/>
        <v>B22_10</v>
      </c>
      <c r="C802" s="323" t="str">
        <f t="shared" si="143"/>
        <v>E5880</v>
      </c>
      <c r="D802" t="str">
        <f t="shared" si="145"/>
        <v>NO_DATAVIEWS</v>
      </c>
      <c r="E802" s="62" t="str">
        <f t="shared" si="145"/>
        <v>NO_DEPARTMENTS</v>
      </c>
      <c r="F802" s="4" t="s">
        <v>506</v>
      </c>
      <c r="G802" s="4" t="s">
        <v>507</v>
      </c>
      <c r="H802" s="4" t="s">
        <v>508</v>
      </c>
      <c r="I802" s="4" t="s">
        <v>509</v>
      </c>
      <c r="J802" s="4" t="s">
        <v>589</v>
      </c>
      <c r="K802" s="497">
        <f>ROUND(HLOOKUP($B802,'2-Préparation saisie LV PROD'!$F$1:$Q$86,'2-Préparation saisie LV PROD'!A77,FALSE),0)</f>
        <v>3544435</v>
      </c>
      <c r="L802" t="str">
        <f>VLOOKUP(C802,Capacité!C:L,10,FALSE)</f>
        <v>Extension plaine d'Escrebieux</v>
      </c>
    </row>
    <row r="803" spans="1:12" s="4" customFormat="1">
      <c r="A803" s="4" t="s">
        <v>505</v>
      </c>
      <c r="B803" s="4" t="str">
        <f t="shared" si="144"/>
        <v>B22_10</v>
      </c>
      <c r="C803" s="323" t="str">
        <f t="shared" si="143"/>
        <v>E6720</v>
      </c>
      <c r="D803" t="str">
        <f t="shared" si="145"/>
        <v>NO_DATAVIEWS</v>
      </c>
      <c r="E803" s="62" t="str">
        <f t="shared" si="145"/>
        <v>NO_DEPARTMENTS</v>
      </c>
      <c r="F803" s="4" t="s">
        <v>506</v>
      </c>
      <c r="G803" s="4" t="s">
        <v>507</v>
      </c>
      <c r="H803" s="4" t="s">
        <v>508</v>
      </c>
      <c r="I803" s="4" t="s">
        <v>509</v>
      </c>
      <c r="J803" s="4" t="s">
        <v>589</v>
      </c>
      <c r="K803" s="497">
        <f>ROUND(HLOOKUP($B803,'2-Préparation saisie LV PROD'!$F$1:$Q$86,'2-Préparation saisie LV PROD'!A78,FALSE),0)</f>
        <v>1065082</v>
      </c>
      <c r="L803" t="str">
        <f>VLOOKUP(C803,Capacité!C:L,10,FALSE)</f>
        <v xml:space="preserve">St Christophe - Clé des champs / Solaire </v>
      </c>
    </row>
    <row r="804" spans="1:12" s="4" customFormat="1">
      <c r="A804" s="4" t="s">
        <v>505</v>
      </c>
      <c r="B804" s="4" t="str">
        <f t="shared" si="144"/>
        <v>B22_10</v>
      </c>
      <c r="C804" s="323" t="str">
        <f t="shared" si="143"/>
        <v>E6040</v>
      </c>
      <c r="D804" t="str">
        <f t="shared" si="145"/>
        <v>NO_DATAVIEWS</v>
      </c>
      <c r="E804" s="62" t="str">
        <f t="shared" si="145"/>
        <v>NO_DEPARTMENTS</v>
      </c>
      <c r="F804" s="4" t="s">
        <v>506</v>
      </c>
      <c r="G804" s="4" t="s">
        <v>507</v>
      </c>
      <c r="H804" s="4" t="s">
        <v>508</v>
      </c>
      <c r="I804" s="4" t="s">
        <v>509</v>
      </c>
      <c r="J804" s="4" t="s">
        <v>589</v>
      </c>
      <c r="K804" s="497">
        <f>ROUND(HLOOKUP($B804,'2-Préparation saisie LV PROD'!$F$1:$Q$86,'2-Préparation saisie LV PROD'!A79,FALSE),0)</f>
        <v>1485114</v>
      </c>
      <c r="L804" t="str">
        <f>VLOOKUP(C804,Capacité!C:L,10,FALSE)</f>
        <v>Peyrolles / Solaire</v>
      </c>
    </row>
    <row r="805" spans="1:12" s="4" customFormat="1">
      <c r="A805" s="4" t="s">
        <v>505</v>
      </c>
      <c r="B805" s="4" t="str">
        <f t="shared" si="144"/>
        <v>B22_10</v>
      </c>
      <c r="C805" s="323" t="str">
        <f t="shared" si="143"/>
        <v>E6310</v>
      </c>
      <c r="D805" t="str">
        <f t="shared" si="145"/>
        <v>NO_DATAVIEWS</v>
      </c>
      <c r="E805" s="62" t="str">
        <f t="shared" si="145"/>
        <v>NO_DEPARTMENTS</v>
      </c>
      <c r="F805" s="4" t="s">
        <v>506</v>
      </c>
      <c r="G805" s="4" t="s">
        <v>507</v>
      </c>
      <c r="H805" s="4" t="s">
        <v>508</v>
      </c>
      <c r="I805" s="4" t="s">
        <v>509</v>
      </c>
      <c r="J805" s="4" t="s">
        <v>589</v>
      </c>
      <c r="K805" s="497">
        <f>ROUND(HLOOKUP($B805,'2-Préparation saisie LV PROD'!$F$1:$Q$86,'2-Préparation saisie LV PROD'!A80,FALSE),0)</f>
        <v>2848369</v>
      </c>
      <c r="L805" t="str">
        <f>VLOOKUP(C805,Capacité!C:L,10,FALSE)</f>
        <v>Bazougeais</v>
      </c>
    </row>
    <row r="806" spans="1:12" s="4" customFormat="1">
      <c r="A806" s="4" t="s">
        <v>505</v>
      </c>
      <c r="B806" s="4" t="str">
        <f t="shared" si="144"/>
        <v>B22_10</v>
      </c>
      <c r="C806" s="323" t="str">
        <f t="shared" ref="C806:C811" si="146">C725</f>
        <v>E6571</v>
      </c>
      <c r="D806" t="str">
        <f t="shared" ref="D806:E806" si="147">D805</f>
        <v>NO_DATAVIEWS</v>
      </c>
      <c r="E806" s="62" t="str">
        <f t="shared" si="147"/>
        <v>NO_DEPARTMENTS</v>
      </c>
      <c r="F806" s="4" t="s">
        <v>506</v>
      </c>
      <c r="G806" s="4" t="s">
        <v>507</v>
      </c>
      <c r="H806" s="4" t="s">
        <v>508</v>
      </c>
      <c r="I806" s="4" t="s">
        <v>509</v>
      </c>
      <c r="J806" s="4" t="s">
        <v>589</v>
      </c>
      <c r="K806" s="497">
        <f>ROUND(HLOOKUP($B806,'2-Préparation saisie LV PROD'!$F$1:$Q$86,'2-Préparation saisie LV PROD'!A81,FALSE),0)</f>
        <v>0</v>
      </c>
      <c r="L806" t="s">
        <v>3538</v>
      </c>
    </row>
    <row r="807" spans="1:12" s="4" customFormat="1">
      <c r="A807" s="4" t="s">
        <v>505</v>
      </c>
      <c r="B807" s="4" t="str">
        <f t="shared" si="144"/>
        <v>B22_10</v>
      </c>
      <c r="C807" s="323" t="str">
        <f t="shared" si="146"/>
        <v>E5890</v>
      </c>
      <c r="D807" t="str">
        <f t="shared" ref="D807:E807" si="148">D806</f>
        <v>NO_DATAVIEWS</v>
      </c>
      <c r="E807" s="62" t="str">
        <f t="shared" si="148"/>
        <v>NO_DEPARTMENTS</v>
      </c>
      <c r="F807" s="4" t="s">
        <v>506</v>
      </c>
      <c r="G807" s="4" t="s">
        <v>507</v>
      </c>
      <c r="H807" s="4" t="s">
        <v>508</v>
      </c>
      <c r="I807" s="4" t="s">
        <v>509</v>
      </c>
      <c r="J807" s="4" t="s">
        <v>589</v>
      </c>
      <c r="K807" s="497">
        <f>ROUND(HLOOKUP($B807,'2-Préparation saisie LV PROD'!$F$1:$Q$86,'2-Préparation saisie LV PROD'!A82,FALSE),0)</f>
        <v>2101645</v>
      </c>
      <c r="L807" t="str">
        <f>VLOOKUP(C807,Capacité!C:L,10,FALSE)</f>
        <v>La Grande Borne</v>
      </c>
    </row>
    <row r="808" spans="1:12" s="4" customFormat="1">
      <c r="A808" s="4" t="s">
        <v>505</v>
      </c>
      <c r="B808" s="4" t="str">
        <f t="shared" si="144"/>
        <v>B22_10</v>
      </c>
      <c r="C808" s="323" t="str">
        <f t="shared" si="146"/>
        <v>E6730</v>
      </c>
      <c r="D808" t="str">
        <f t="shared" ref="D808:E808" si="149">D807</f>
        <v>NO_DATAVIEWS</v>
      </c>
      <c r="E808" s="62" t="str">
        <f t="shared" si="149"/>
        <v>NO_DEPARTMENTS</v>
      </c>
      <c r="F808" s="4" t="s">
        <v>506</v>
      </c>
      <c r="G808" s="4" t="s">
        <v>507</v>
      </c>
      <c r="H808" s="4" t="s">
        <v>508</v>
      </c>
      <c r="I808" s="4" t="s">
        <v>509</v>
      </c>
      <c r="J808" s="4" t="s">
        <v>589</v>
      </c>
      <c r="K808" s="497">
        <f>ROUND(HLOOKUP($B808,'2-Préparation saisie LV PROD'!$F$1:$Q$86,'2-Préparation saisie LV PROD'!A83,FALSE),0)</f>
        <v>3631832</v>
      </c>
      <c r="L808" t="str">
        <f>VLOOKUP(C808,Capacité!C:L,10,FALSE)</f>
        <v xml:space="preserve">R-EEJ - Evits et Josaphats </v>
      </c>
    </row>
    <row r="809" spans="1:12" s="4" customFormat="1">
      <c r="A809" s="4" t="s">
        <v>505</v>
      </c>
      <c r="B809" s="4" t="str">
        <f t="shared" si="144"/>
        <v>B22_10</v>
      </c>
      <c r="C809" s="323" t="str">
        <f t="shared" si="146"/>
        <v>E6740</v>
      </c>
      <c r="D809" t="str">
        <f t="shared" ref="D809:E809" si="150">D808</f>
        <v>NO_DATAVIEWS</v>
      </c>
      <c r="E809" s="62" t="str">
        <f t="shared" si="150"/>
        <v>NO_DEPARTMENTS</v>
      </c>
      <c r="F809" s="4" t="s">
        <v>506</v>
      </c>
      <c r="G809" s="4" t="s">
        <v>507</v>
      </c>
      <c r="H809" s="4" t="s">
        <v>508</v>
      </c>
      <c r="I809" s="4" t="s">
        <v>509</v>
      </c>
      <c r="J809" s="4" t="s">
        <v>589</v>
      </c>
      <c r="K809" s="497">
        <f>ROUND(HLOOKUP($B809,'2-Préparation saisie LV PROD'!$F$1:$Q$86,'2-Préparation saisie LV PROD'!A84,FALSE),0)</f>
        <v>3519686</v>
      </c>
      <c r="L809" t="str">
        <f>VLOOKUP(C809,Capacité!C:L,10,FALSE)</f>
        <v>R-RCL - Remise Reclainville</v>
      </c>
    </row>
    <row r="810" spans="1:12" s="4" customFormat="1">
      <c r="A810" s="4" t="s">
        <v>505</v>
      </c>
      <c r="B810" s="4" t="str">
        <f t="shared" si="144"/>
        <v>B22_10</v>
      </c>
      <c r="C810" s="323" t="str">
        <f t="shared" si="146"/>
        <v>E6290</v>
      </c>
      <c r="D810" t="str">
        <f t="shared" ref="D810:E810" si="151">D809</f>
        <v>NO_DATAVIEWS</v>
      </c>
      <c r="E810" s="62" t="str">
        <f t="shared" si="151"/>
        <v>NO_DEPARTMENTS</v>
      </c>
      <c r="F810" s="4" t="s">
        <v>506</v>
      </c>
      <c r="G810" s="4" t="s">
        <v>507</v>
      </c>
      <c r="H810" s="4" t="s">
        <v>508</v>
      </c>
      <c r="I810" s="4" t="s">
        <v>509</v>
      </c>
      <c r="J810" s="4" t="s">
        <v>589</v>
      </c>
      <c r="K810" s="497">
        <f>ROUND(HLOOKUP($B810,'2-Préparation saisie LV PROD'!$F$1:$Q$86,'2-Préparation saisie LV PROD'!A85,FALSE),0)</f>
        <v>4796434</v>
      </c>
      <c r="L810" t="str">
        <f>VLOOKUP(C810,Capacité!C:L,10,FALSE)</f>
        <v>Bois des Fontaines (extension EEJ)</v>
      </c>
    </row>
    <row r="811" spans="1:12" s="4" customFormat="1">
      <c r="A811" s="4" t="s">
        <v>505</v>
      </c>
      <c r="B811" s="4" t="str">
        <f t="shared" si="144"/>
        <v>B22_10</v>
      </c>
      <c r="C811" s="323" t="str">
        <f t="shared" si="146"/>
        <v>E6760</v>
      </c>
      <c r="D811" t="str">
        <f t="shared" ref="D811:E811" si="152">D810</f>
        <v>NO_DATAVIEWS</v>
      </c>
      <c r="E811" s="62" t="str">
        <f t="shared" si="152"/>
        <v>NO_DEPARTMENTS</v>
      </c>
      <c r="F811" s="4" t="s">
        <v>506</v>
      </c>
      <c r="G811" s="4" t="s">
        <v>507</v>
      </c>
      <c r="H811" s="4" t="s">
        <v>508</v>
      </c>
      <c r="I811" s="4" t="s">
        <v>509</v>
      </c>
      <c r="J811" s="4" t="s">
        <v>589</v>
      </c>
      <c r="K811" s="497">
        <f>ROUND(HLOOKUP($B811,'2-Préparation saisie LV PROD'!$F$1:$Q$86,'2-Préparation saisie LV PROD'!A86,FALSE),0)</f>
        <v>0</v>
      </c>
      <c r="L811" t="str">
        <f>VLOOKUP(C811,Capacité!C:L,10,FALSE)</f>
        <v>R-BGV - Bougainville</v>
      </c>
    </row>
    <row r="812" spans="1:12">
      <c r="A812" t="s">
        <v>505</v>
      </c>
      <c r="B812" s="3" t="s">
        <v>3366</v>
      </c>
      <c r="C812" s="323" t="str">
        <f t="shared" ref="C812:C843" si="153">C731</f>
        <v>E5030</v>
      </c>
      <c r="D812" t="str">
        <f>D805</f>
        <v>NO_DATAVIEWS</v>
      </c>
      <c r="E812" s="62" t="str">
        <f>E805</f>
        <v>NO_DEPARTMENTS</v>
      </c>
      <c r="F812" t="s">
        <v>506</v>
      </c>
      <c r="G812" t="s">
        <v>507</v>
      </c>
      <c r="H812" t="s">
        <v>508</v>
      </c>
      <c r="I812" t="s">
        <v>509</v>
      </c>
      <c r="J812" t="s">
        <v>589</v>
      </c>
      <c r="K812" s="497">
        <f>ROUND(HLOOKUP($B812,'2-Préparation saisie LV PROD'!$F$1:$Q$86,'2-Préparation saisie LV PROD'!A5,FALSE),0)</f>
        <v>1528827</v>
      </c>
      <c r="L812" t="str">
        <f>VLOOKUP(C812,Capacité!C:L,10,FALSE)</f>
        <v>Avignonet</v>
      </c>
    </row>
    <row r="813" spans="1:12">
      <c r="A813" t="s">
        <v>505</v>
      </c>
      <c r="B813" t="str">
        <f>+$B$812</f>
        <v>B22_11</v>
      </c>
      <c r="C813" s="323" t="str">
        <f t="shared" si="153"/>
        <v>E5040</v>
      </c>
      <c r="D813" t="str">
        <f t="shared" si="145"/>
        <v>NO_DATAVIEWS</v>
      </c>
      <c r="E813" s="62" t="str">
        <f t="shared" si="145"/>
        <v>NO_DEPARTMENTS</v>
      </c>
      <c r="F813" t="s">
        <v>506</v>
      </c>
      <c r="G813" t="s">
        <v>507</v>
      </c>
      <c r="H813" t="s">
        <v>508</v>
      </c>
      <c r="I813" t="s">
        <v>509</v>
      </c>
      <c r="J813" t="s">
        <v>589</v>
      </c>
      <c r="K813" s="497">
        <f>ROUND(HLOOKUP($B813,'2-Préparation saisie LV PROD'!$F$1:$Q$86,'2-Préparation saisie LV PROD'!A6,FALSE),0)</f>
        <v>614084</v>
      </c>
      <c r="L813" t="str">
        <f>VLOOKUP(C813,Capacité!C:L,10,FALSE)</f>
        <v>Chépy</v>
      </c>
    </row>
    <row r="814" spans="1:12">
      <c r="A814" t="s">
        <v>505</v>
      </c>
      <c r="B814" t="str">
        <f t="shared" ref="B814:B877" si="154">+$B$812</f>
        <v>B22_11</v>
      </c>
      <c r="C814" s="323" t="str">
        <f t="shared" si="153"/>
        <v>E5050</v>
      </c>
      <c r="D814" t="str">
        <f t="shared" si="145"/>
        <v>NO_DATAVIEWS</v>
      </c>
      <c r="E814" s="62" t="str">
        <f t="shared" si="145"/>
        <v>NO_DEPARTMENTS</v>
      </c>
      <c r="F814" t="s">
        <v>506</v>
      </c>
      <c r="G814" t="s">
        <v>507</v>
      </c>
      <c r="H814" t="s">
        <v>508</v>
      </c>
      <c r="I814" t="s">
        <v>509</v>
      </c>
      <c r="J814" t="s">
        <v>589</v>
      </c>
      <c r="K814" s="497">
        <f>ROUND(HLOOKUP($B814,'2-Préparation saisie LV PROD'!$F$1:$Q$86,'2-Préparation saisie LV PROD'!A7,FALSE),0)</f>
        <v>1822841</v>
      </c>
      <c r="L814" t="str">
        <f>VLOOKUP(C814,Capacité!C:L,10,FALSE)</f>
        <v>Nibas</v>
      </c>
    </row>
    <row r="815" spans="1:12">
      <c r="A815" t="s">
        <v>505</v>
      </c>
      <c r="B815" t="str">
        <f t="shared" si="154"/>
        <v>B22_11</v>
      </c>
      <c r="C815" s="323" t="str">
        <f t="shared" si="153"/>
        <v>E5070</v>
      </c>
      <c r="D815" t="str">
        <f t="shared" si="145"/>
        <v>NO_DATAVIEWS</v>
      </c>
      <c r="E815" s="62" t="str">
        <f t="shared" si="145"/>
        <v>NO_DEPARTMENTS</v>
      </c>
      <c r="F815" t="s">
        <v>506</v>
      </c>
      <c r="G815" t="s">
        <v>507</v>
      </c>
      <c r="H815" t="s">
        <v>508</v>
      </c>
      <c r="I815" t="s">
        <v>509</v>
      </c>
      <c r="J815" t="s">
        <v>589</v>
      </c>
      <c r="K815" s="497">
        <f>ROUND(HLOOKUP($B815,'2-Préparation saisie LV PROD'!$F$1:$Q$86,'2-Préparation saisie LV PROD'!A8,FALSE),0)</f>
        <v>2042361</v>
      </c>
      <c r="L815" t="str">
        <f>VLOOKUP(C815,Capacité!C:L,10,FALSE)</f>
        <v>Ally Bessadous</v>
      </c>
    </row>
    <row r="816" spans="1:12">
      <c r="A816" t="s">
        <v>505</v>
      </c>
      <c r="B816" t="str">
        <f t="shared" si="154"/>
        <v>B22_11</v>
      </c>
      <c r="C816" s="323" t="str">
        <f t="shared" si="153"/>
        <v>E5080</v>
      </c>
      <c r="D816" t="str">
        <f t="shared" si="145"/>
        <v>NO_DATAVIEWS</v>
      </c>
      <c r="E816" s="62" t="str">
        <f t="shared" si="145"/>
        <v>NO_DEPARTMENTS</v>
      </c>
      <c r="F816" t="s">
        <v>506</v>
      </c>
      <c r="G816" t="s">
        <v>507</v>
      </c>
      <c r="H816" t="s">
        <v>508</v>
      </c>
      <c r="I816" t="s">
        <v>509</v>
      </c>
      <c r="J816" t="s">
        <v>589</v>
      </c>
      <c r="K816" s="497">
        <f>ROUND(HLOOKUP($B816,'2-Préparation saisie LV PROD'!$F$1:$Q$86,'2-Préparation saisie LV PROD'!A9,FALSE),0)</f>
        <v>1360086</v>
      </c>
      <c r="L816" t="str">
        <f>VLOOKUP(C816,Capacité!C:L,10,FALSE)</f>
        <v>Ally Mercoeur</v>
      </c>
    </row>
    <row r="817" spans="1:12">
      <c r="A817" t="s">
        <v>505</v>
      </c>
      <c r="B817" t="str">
        <f t="shared" si="154"/>
        <v>B22_11</v>
      </c>
      <c r="C817" s="323" t="str">
        <f t="shared" si="153"/>
        <v>E5090</v>
      </c>
      <c r="D817" t="str">
        <f t="shared" si="145"/>
        <v>NO_DATAVIEWS</v>
      </c>
      <c r="E817" s="62" t="str">
        <f t="shared" si="145"/>
        <v>NO_DEPARTMENTS</v>
      </c>
      <c r="F817" t="s">
        <v>506</v>
      </c>
      <c r="G817" t="s">
        <v>507</v>
      </c>
      <c r="H817" t="s">
        <v>508</v>
      </c>
      <c r="I817" t="s">
        <v>509</v>
      </c>
      <c r="J817" t="s">
        <v>589</v>
      </c>
      <c r="K817" s="497">
        <f>ROUND(HLOOKUP($B817,'2-Préparation saisie LV PROD'!$F$1:$Q$86,'2-Préparation saisie LV PROD'!A10,FALSE),0)</f>
        <v>1766509</v>
      </c>
      <c r="L817" t="str">
        <f>VLOOKUP(C817,Capacité!C:L,10,FALSE)</f>
        <v>Ally Monteil</v>
      </c>
    </row>
    <row r="818" spans="1:12">
      <c r="A818" t="s">
        <v>505</v>
      </c>
      <c r="B818" t="str">
        <f t="shared" si="154"/>
        <v>B22_11</v>
      </c>
      <c r="C818" s="323" t="str">
        <f t="shared" si="153"/>
        <v>E5100</v>
      </c>
      <c r="D818" t="str">
        <f t="shared" si="145"/>
        <v>NO_DATAVIEWS</v>
      </c>
      <c r="E818" s="62" t="str">
        <f t="shared" si="145"/>
        <v>NO_DEPARTMENTS</v>
      </c>
      <c r="F818" t="s">
        <v>506</v>
      </c>
      <c r="G818" t="s">
        <v>507</v>
      </c>
      <c r="H818" t="s">
        <v>508</v>
      </c>
      <c r="I818" t="s">
        <v>509</v>
      </c>
      <c r="J818" t="s">
        <v>589</v>
      </c>
      <c r="K818" s="497">
        <f>ROUND(HLOOKUP($B818,'2-Préparation saisie LV PROD'!$F$1:$Q$86,'2-Préparation saisie LV PROD'!A11,FALSE),0)</f>
        <v>2138486</v>
      </c>
      <c r="L818" t="str">
        <f>VLOOKUP(C818,Capacité!C:L,10,FALSE)</f>
        <v>Ally Verseilles</v>
      </c>
    </row>
    <row r="819" spans="1:12">
      <c r="A819" t="s">
        <v>505</v>
      </c>
      <c r="B819" t="str">
        <f t="shared" si="154"/>
        <v>B22_11</v>
      </c>
      <c r="C819" s="323" t="str">
        <f t="shared" si="153"/>
        <v>E5110</v>
      </c>
      <c r="D819" t="str">
        <f t="shared" si="145"/>
        <v>NO_DATAVIEWS</v>
      </c>
      <c r="E819" s="62" t="str">
        <f t="shared" si="145"/>
        <v>NO_DEPARTMENTS</v>
      </c>
      <c r="F819" t="s">
        <v>506</v>
      </c>
      <c r="G819" t="s">
        <v>507</v>
      </c>
      <c r="H819" t="s">
        <v>508</v>
      </c>
      <c r="I819" t="s">
        <v>509</v>
      </c>
      <c r="J819" t="s">
        <v>589</v>
      </c>
      <c r="K819" s="497">
        <f>ROUND(HLOOKUP($B819,'2-Préparation saisie LV PROD'!$F$1:$Q$86,'2-Préparation saisie LV PROD'!A12,FALSE),0)</f>
        <v>0</v>
      </c>
      <c r="L819" t="str">
        <f>VLOOKUP(C819,Capacité!C:L,10,FALSE)</f>
        <v>Cham Longe Bel Air</v>
      </c>
    </row>
    <row r="820" spans="1:12">
      <c r="A820" t="s">
        <v>505</v>
      </c>
      <c r="B820" t="str">
        <f t="shared" si="154"/>
        <v>B22_11</v>
      </c>
      <c r="C820" s="323" t="str">
        <f t="shared" si="153"/>
        <v>E5120</v>
      </c>
      <c r="D820" t="str">
        <f t="shared" si="145"/>
        <v>NO_DATAVIEWS</v>
      </c>
      <c r="E820" s="62" t="str">
        <f t="shared" si="145"/>
        <v>NO_DEPARTMENTS</v>
      </c>
      <c r="F820" t="s">
        <v>506</v>
      </c>
      <c r="G820" t="s">
        <v>507</v>
      </c>
      <c r="H820" t="s">
        <v>508</v>
      </c>
      <c r="I820" t="s">
        <v>509</v>
      </c>
      <c r="J820" t="s">
        <v>589</v>
      </c>
      <c r="K820" s="497">
        <f>ROUND(HLOOKUP($B820,'2-Préparation saisie LV PROD'!$F$1:$Q$86,'2-Préparation saisie LV PROD'!A13,FALSE),0)</f>
        <v>0</v>
      </c>
      <c r="L820" t="str">
        <f>VLOOKUP(C820,Capacité!C:L,10,FALSE)</f>
        <v>Cham Longe Le Courbil (Eole Cevennes)</v>
      </c>
    </row>
    <row r="821" spans="1:12">
      <c r="A821" t="s">
        <v>505</v>
      </c>
      <c r="B821" t="str">
        <f t="shared" si="154"/>
        <v>B22_11</v>
      </c>
      <c r="C821" s="323" t="str">
        <f t="shared" si="153"/>
        <v>E5150</v>
      </c>
      <c r="D821" t="str">
        <f t="shared" si="145"/>
        <v>NO_DATAVIEWS</v>
      </c>
      <c r="E821" s="62" t="str">
        <f t="shared" si="145"/>
        <v>NO_DEPARTMENTS</v>
      </c>
      <c r="F821" t="s">
        <v>506</v>
      </c>
      <c r="G821" t="s">
        <v>507</v>
      </c>
      <c r="H821" t="s">
        <v>508</v>
      </c>
      <c r="I821" t="s">
        <v>509</v>
      </c>
      <c r="J821" t="s">
        <v>589</v>
      </c>
      <c r="K821" s="497">
        <f>ROUND(HLOOKUP($B821,'2-Préparation saisie LV PROD'!$F$1:$Q$86,'2-Préparation saisie LV PROD'!A14,FALSE),0)</f>
        <v>1264325</v>
      </c>
      <c r="L821" t="str">
        <f>VLOOKUP(C821,Capacité!C:L,10,FALSE)</f>
        <v>Cham Longe II</v>
      </c>
    </row>
    <row r="822" spans="1:12">
      <c r="A822" t="s">
        <v>505</v>
      </c>
      <c r="B822" t="str">
        <f t="shared" si="154"/>
        <v>B22_11</v>
      </c>
      <c r="C822" s="323" t="str">
        <f t="shared" si="153"/>
        <v>E5130</v>
      </c>
      <c r="D822" t="str">
        <f t="shared" ref="D822:E837" si="155">D821</f>
        <v>NO_DATAVIEWS</v>
      </c>
      <c r="E822" s="62" t="str">
        <f t="shared" si="155"/>
        <v>NO_DEPARTMENTS</v>
      </c>
      <c r="F822" t="s">
        <v>506</v>
      </c>
      <c r="G822" t="s">
        <v>507</v>
      </c>
      <c r="H822" t="s">
        <v>508</v>
      </c>
      <c r="I822" t="s">
        <v>509</v>
      </c>
      <c r="J822" t="s">
        <v>589</v>
      </c>
      <c r="K822" s="497">
        <f>ROUND(HLOOKUP($B822,'2-Préparation saisie LV PROD'!$F$1:$Q$86,'2-Préparation saisie LV PROD'!A15,FALSE),0)</f>
        <v>1910204</v>
      </c>
      <c r="L822" t="str">
        <f>VLOOKUP(C822,Capacité!C:L,10,FALSE)</f>
        <v>Plouguin</v>
      </c>
    </row>
    <row r="823" spans="1:12">
      <c r="A823" t="s">
        <v>505</v>
      </c>
      <c r="B823" t="str">
        <f t="shared" si="154"/>
        <v>B22_11</v>
      </c>
      <c r="C823" s="323" t="str">
        <f t="shared" si="153"/>
        <v>E5140</v>
      </c>
      <c r="D823" t="str">
        <f t="shared" si="155"/>
        <v>NO_DATAVIEWS</v>
      </c>
      <c r="E823" s="62" t="str">
        <f t="shared" si="155"/>
        <v>NO_DEPARTMENTS</v>
      </c>
      <c r="F823" t="s">
        <v>506</v>
      </c>
      <c r="G823" t="s">
        <v>507</v>
      </c>
      <c r="H823" t="s">
        <v>508</v>
      </c>
      <c r="I823" t="s">
        <v>509</v>
      </c>
      <c r="J823" t="s">
        <v>589</v>
      </c>
      <c r="K823" s="497">
        <f>ROUND(HLOOKUP($B823,'2-Préparation saisie LV PROD'!$F$1:$Q$86,'2-Préparation saisie LV PROD'!A16,FALSE),0)</f>
        <v>2926195</v>
      </c>
      <c r="L823" t="str">
        <f>VLOOKUP(C823,Capacité!C:L,10,FALSE)</f>
        <v>La Citadelle</v>
      </c>
    </row>
    <row r="824" spans="1:12">
      <c r="A824" t="s">
        <v>505</v>
      </c>
      <c r="B824" t="str">
        <f t="shared" si="154"/>
        <v>B22_11</v>
      </c>
      <c r="C824" s="323" t="str">
        <f t="shared" si="153"/>
        <v>E5160</v>
      </c>
      <c r="D824" t="str">
        <f t="shared" si="155"/>
        <v>NO_DATAVIEWS</v>
      </c>
      <c r="E824" s="62" t="str">
        <f t="shared" si="155"/>
        <v>NO_DEPARTMENTS</v>
      </c>
      <c r="F824" t="s">
        <v>506</v>
      </c>
      <c r="G824" t="s">
        <v>507</v>
      </c>
      <c r="H824" t="s">
        <v>508</v>
      </c>
      <c r="I824" t="s">
        <v>509</v>
      </c>
      <c r="J824" t="s">
        <v>589</v>
      </c>
      <c r="K824" s="497">
        <f>ROUND(HLOOKUP($B824,'2-Préparation saisie LV PROD'!$F$1:$Q$86,'2-Préparation saisie LV PROD'!A17,FALSE),0)</f>
        <v>2010116</v>
      </c>
      <c r="L824" t="str">
        <f>VLOOKUP(C824,Capacité!C:L,10,FALSE)</f>
        <v>Chasse Marée</v>
      </c>
    </row>
    <row r="825" spans="1:12">
      <c r="A825" t="s">
        <v>505</v>
      </c>
      <c r="B825" t="str">
        <f t="shared" si="154"/>
        <v>B22_11</v>
      </c>
      <c r="C825" s="323" t="str">
        <f t="shared" si="153"/>
        <v>E5170</v>
      </c>
      <c r="D825" t="str">
        <f t="shared" si="155"/>
        <v>NO_DATAVIEWS</v>
      </c>
      <c r="E825" s="62" t="str">
        <f t="shared" si="155"/>
        <v>NO_DEPARTMENTS</v>
      </c>
      <c r="F825" t="s">
        <v>506</v>
      </c>
      <c r="G825" t="s">
        <v>507</v>
      </c>
      <c r="H825" t="s">
        <v>508</v>
      </c>
      <c r="I825" t="s">
        <v>509</v>
      </c>
      <c r="J825" t="s">
        <v>589</v>
      </c>
      <c r="K825" s="497">
        <f>ROUND(HLOOKUP($B825,'2-Préparation saisie LV PROD'!$F$1:$Q$86,'2-Préparation saisie LV PROD'!A18,FALSE),0)</f>
        <v>6228579</v>
      </c>
      <c r="L825" t="str">
        <f>VLOOKUP(C825,Capacité!C:L,10,FALSE)</f>
        <v>Ronchois</v>
      </c>
    </row>
    <row r="826" spans="1:12">
      <c r="A826" t="s">
        <v>505</v>
      </c>
      <c r="B826" t="str">
        <f t="shared" si="154"/>
        <v>B22_11</v>
      </c>
      <c r="C826" s="323" t="str">
        <f t="shared" si="153"/>
        <v>E5180</v>
      </c>
      <c r="D826" t="str">
        <f t="shared" si="155"/>
        <v>NO_DATAVIEWS</v>
      </c>
      <c r="E826" s="62" t="str">
        <f t="shared" si="155"/>
        <v>NO_DEPARTMENTS</v>
      </c>
      <c r="F826" t="s">
        <v>506</v>
      </c>
      <c r="G826" t="s">
        <v>507</v>
      </c>
      <c r="H826" t="s">
        <v>508</v>
      </c>
      <c r="I826" t="s">
        <v>509</v>
      </c>
      <c r="J826" t="s">
        <v>589</v>
      </c>
      <c r="K826" s="497">
        <f>ROUND(HLOOKUP($B826,'2-Préparation saisie LV PROD'!$F$1:$Q$86,'2-Préparation saisie LV PROD'!A19,FALSE),0)</f>
        <v>2313114</v>
      </c>
      <c r="L826" t="str">
        <f>VLOOKUP(C826,Capacité!C:L,10,FALSE)</f>
        <v>Le Grand Camp</v>
      </c>
    </row>
    <row r="827" spans="1:12">
      <c r="A827" t="s">
        <v>505</v>
      </c>
      <c r="B827" t="str">
        <f t="shared" si="154"/>
        <v>B22_11</v>
      </c>
      <c r="C827" s="323" t="str">
        <f t="shared" si="153"/>
        <v>E5210</v>
      </c>
      <c r="D827" t="str">
        <f t="shared" si="155"/>
        <v>NO_DATAVIEWS</v>
      </c>
      <c r="E827" s="62" t="str">
        <f t="shared" si="155"/>
        <v>NO_DEPARTMENTS</v>
      </c>
      <c r="F827" t="s">
        <v>506</v>
      </c>
      <c r="G827" t="s">
        <v>507</v>
      </c>
      <c r="H827" t="s">
        <v>508</v>
      </c>
      <c r="I827" t="s">
        <v>509</v>
      </c>
      <c r="J827" t="s">
        <v>589</v>
      </c>
      <c r="K827" s="497">
        <f>ROUND(HLOOKUP($B827,'2-Préparation saisie LV PROD'!$F$1:$Q$86,'2-Préparation saisie LV PROD'!A20,FALSE),0)</f>
        <v>953268</v>
      </c>
      <c r="L827" t="str">
        <f>VLOOKUP(C827,Capacité!C:L,10,FALSE)</f>
        <v>Avignonet II</v>
      </c>
    </row>
    <row r="828" spans="1:12">
      <c r="A828" t="s">
        <v>505</v>
      </c>
      <c r="B828" t="str">
        <f t="shared" si="154"/>
        <v>B22_11</v>
      </c>
      <c r="C828" s="323" t="str">
        <f t="shared" si="153"/>
        <v>E5270</v>
      </c>
      <c r="D828" t="str">
        <f t="shared" si="155"/>
        <v>NO_DATAVIEWS</v>
      </c>
      <c r="E828" s="62" t="str">
        <f t="shared" si="155"/>
        <v>NO_DEPARTMENTS</v>
      </c>
      <c r="F828" t="s">
        <v>506</v>
      </c>
      <c r="G828" t="s">
        <v>507</v>
      </c>
      <c r="H828" t="s">
        <v>508</v>
      </c>
      <c r="I828" t="s">
        <v>509</v>
      </c>
      <c r="J828" t="s">
        <v>589</v>
      </c>
      <c r="K828" s="497">
        <f>ROUND(HLOOKUP($B828,'2-Préparation saisie LV PROD'!$F$1:$Q$86,'2-Préparation saisie LV PROD'!A21,FALSE),0)</f>
        <v>5392795</v>
      </c>
      <c r="L828" t="str">
        <f>VLOOKUP(C828,Capacité!C:L,10,FALSE)</f>
        <v>Ménétréols Renardiére (La vallée 2)</v>
      </c>
    </row>
    <row r="829" spans="1:12">
      <c r="A829" t="s">
        <v>505</v>
      </c>
      <c r="B829" t="str">
        <f t="shared" si="154"/>
        <v>B22_11</v>
      </c>
      <c r="C829" s="323" t="str">
        <f t="shared" si="153"/>
        <v>E5280</v>
      </c>
      <c r="D829" t="str">
        <f t="shared" si="155"/>
        <v>NO_DATAVIEWS</v>
      </c>
      <c r="E829" s="62" t="str">
        <f t="shared" si="155"/>
        <v>NO_DEPARTMENTS</v>
      </c>
      <c r="F829" t="s">
        <v>506</v>
      </c>
      <c r="G829" t="s">
        <v>507</v>
      </c>
      <c r="H829" t="s">
        <v>508</v>
      </c>
      <c r="I829" t="s">
        <v>509</v>
      </c>
      <c r="J829" t="s">
        <v>589</v>
      </c>
      <c r="K829" s="497">
        <f>ROUND(HLOOKUP($B829,'2-Préparation saisie LV PROD'!$F$1:$Q$86,'2-Préparation saisie LV PROD'!A22,FALSE),0)</f>
        <v>889613</v>
      </c>
      <c r="L829" t="str">
        <f>VLOOKUP(C829,Capacité!C:L,10,FALSE)</f>
        <v>St Georges (La Vallée 1)</v>
      </c>
    </row>
    <row r="830" spans="1:12">
      <c r="A830" t="s">
        <v>505</v>
      </c>
      <c r="B830" t="str">
        <f t="shared" si="154"/>
        <v>B22_11</v>
      </c>
      <c r="C830" s="323" t="str">
        <f t="shared" si="153"/>
        <v>E5300</v>
      </c>
      <c r="D830" t="str">
        <f t="shared" si="155"/>
        <v>NO_DATAVIEWS</v>
      </c>
      <c r="E830" s="62" t="str">
        <f t="shared" si="155"/>
        <v>NO_DEPARTMENTS</v>
      </c>
      <c r="F830" t="s">
        <v>506</v>
      </c>
      <c r="G830" t="s">
        <v>507</v>
      </c>
      <c r="H830" t="s">
        <v>508</v>
      </c>
      <c r="I830" t="s">
        <v>509</v>
      </c>
      <c r="J830" t="s">
        <v>589</v>
      </c>
      <c r="K830" s="497">
        <f>ROUND(HLOOKUP($B830,'2-Préparation saisie LV PROD'!$F$1:$Q$86,'2-Préparation saisie LV PROD'!A23,FALSE),0)</f>
        <v>1921368</v>
      </c>
      <c r="L830" t="str">
        <f>VLOOKUP(C830,Capacité!C:L,10,FALSE)</f>
        <v>Vron</v>
      </c>
    </row>
    <row r="831" spans="1:12">
      <c r="A831" t="s">
        <v>505</v>
      </c>
      <c r="B831" t="str">
        <f t="shared" si="154"/>
        <v>B22_11</v>
      </c>
      <c r="C831" s="323" t="str">
        <f t="shared" si="153"/>
        <v>E5310</v>
      </c>
      <c r="D831" t="str">
        <f t="shared" si="155"/>
        <v>NO_DATAVIEWS</v>
      </c>
      <c r="E831" s="62" t="str">
        <f t="shared" si="155"/>
        <v>NO_DEPARTMENTS</v>
      </c>
      <c r="F831" t="s">
        <v>506</v>
      </c>
      <c r="G831" t="s">
        <v>507</v>
      </c>
      <c r="H831" t="s">
        <v>508</v>
      </c>
      <c r="I831" t="s">
        <v>509</v>
      </c>
      <c r="J831" t="s">
        <v>589</v>
      </c>
      <c r="K831" s="497">
        <f>ROUND(HLOOKUP($B831,'2-Préparation saisie LV PROD'!$F$1:$Q$86,'2-Préparation saisie LV PROD'!A24,FALSE),0)</f>
        <v>5289502</v>
      </c>
      <c r="L831" t="str">
        <f>VLOOKUP(C831,Capacité!C:L,10,FALSE)</f>
        <v>Fortel</v>
      </c>
    </row>
    <row r="832" spans="1:12">
      <c r="A832" t="s">
        <v>505</v>
      </c>
      <c r="B832" t="str">
        <f t="shared" si="154"/>
        <v>B22_11</v>
      </c>
      <c r="C832" s="323" t="str">
        <f t="shared" si="153"/>
        <v>E5320</v>
      </c>
      <c r="D832" t="str">
        <f t="shared" si="155"/>
        <v>NO_DATAVIEWS</v>
      </c>
      <c r="E832" s="62" t="str">
        <f t="shared" si="155"/>
        <v>NO_DEPARTMENTS</v>
      </c>
      <c r="F832" t="s">
        <v>506</v>
      </c>
      <c r="G832" t="s">
        <v>507</v>
      </c>
      <c r="H832" t="s">
        <v>508</v>
      </c>
      <c r="I832" t="s">
        <v>509</v>
      </c>
      <c r="J832" t="s">
        <v>589</v>
      </c>
      <c r="K832" s="497">
        <f>ROUND(HLOOKUP($B832,'2-Préparation saisie LV PROD'!$F$1:$Q$86,'2-Préparation saisie LV PROD'!A25,FALSE),0)</f>
        <v>5093684</v>
      </c>
      <c r="L832" t="str">
        <f>VLOOKUP(C832,Capacité!C:L,10,FALSE)</f>
        <v>St François Roye</v>
      </c>
    </row>
    <row r="833" spans="1:12">
      <c r="A833" t="s">
        <v>505</v>
      </c>
      <c r="B833" t="str">
        <f t="shared" si="154"/>
        <v>B22_11</v>
      </c>
      <c r="C833" s="323" t="str">
        <f t="shared" si="153"/>
        <v>E5290</v>
      </c>
      <c r="D833" t="str">
        <f t="shared" si="155"/>
        <v>NO_DATAVIEWS</v>
      </c>
      <c r="E833" s="62" t="str">
        <f t="shared" si="155"/>
        <v>NO_DEPARTMENTS</v>
      </c>
      <c r="F833" t="s">
        <v>506</v>
      </c>
      <c r="G833" t="s">
        <v>507</v>
      </c>
      <c r="H833" t="s">
        <v>508</v>
      </c>
      <c r="I833" t="s">
        <v>509</v>
      </c>
      <c r="J833" t="s">
        <v>589</v>
      </c>
      <c r="K833" s="497">
        <f>ROUND(HLOOKUP($B833,'2-Préparation saisie LV PROD'!$F$1:$Q$86,'2-Préparation saisie LV PROD'!A26,FALSE),0)</f>
        <v>9274494</v>
      </c>
      <c r="L833" t="str">
        <f>VLOOKUP(C833,Capacité!C:L,10,FALSE)</f>
        <v>St Patrick</v>
      </c>
    </row>
    <row r="834" spans="1:12">
      <c r="A834" t="s">
        <v>505</v>
      </c>
      <c r="B834" t="str">
        <f t="shared" si="154"/>
        <v>B22_11</v>
      </c>
      <c r="C834" s="323" t="str">
        <f t="shared" si="153"/>
        <v>E5360</v>
      </c>
      <c r="D834" t="str">
        <f t="shared" si="155"/>
        <v>NO_DATAVIEWS</v>
      </c>
      <c r="E834" s="62" t="str">
        <f t="shared" si="155"/>
        <v>NO_DEPARTMENTS</v>
      </c>
      <c r="F834" t="s">
        <v>506</v>
      </c>
      <c r="G834" t="s">
        <v>507</v>
      </c>
      <c r="H834" t="s">
        <v>508</v>
      </c>
      <c r="I834" t="s">
        <v>509</v>
      </c>
      <c r="J834" t="s">
        <v>589</v>
      </c>
      <c r="K834" s="497">
        <f>ROUND(HLOOKUP($B834,'2-Préparation saisie LV PROD'!$F$1:$Q$86,'2-Préparation saisie LV PROD'!A27,FALSE),0)</f>
        <v>3032835</v>
      </c>
      <c r="L834" t="str">
        <f>VLOOKUP(C834,Capacité!C:L,10,FALSE)</f>
        <v>Calmont (Laur Eole Energie )</v>
      </c>
    </row>
    <row r="835" spans="1:12">
      <c r="A835" t="s">
        <v>505</v>
      </c>
      <c r="B835" t="str">
        <f t="shared" si="154"/>
        <v>B22_11</v>
      </c>
      <c r="C835" s="323" t="str">
        <f t="shared" si="153"/>
        <v>E5391</v>
      </c>
      <c r="D835" t="str">
        <f t="shared" si="155"/>
        <v>NO_DATAVIEWS</v>
      </c>
      <c r="E835" s="62" t="str">
        <f t="shared" si="155"/>
        <v>NO_DEPARTMENTS</v>
      </c>
      <c r="F835" t="s">
        <v>506</v>
      </c>
      <c r="G835" t="s">
        <v>507</v>
      </c>
      <c r="H835" t="s">
        <v>508</v>
      </c>
      <c r="I835" t="s">
        <v>509</v>
      </c>
      <c r="J835" t="s">
        <v>589</v>
      </c>
      <c r="K835" s="497">
        <f>ROUND(HLOOKUP($B835,'2-Préparation saisie LV PROD'!$F$1:$Q$86,'2-Préparation saisie LV PROD'!A28,FALSE),0)</f>
        <v>1018847</v>
      </c>
      <c r="L835" t="str">
        <f>VLOOKUP(C835,Capacité!C:L,10,FALSE)</f>
        <v>Coat Conval</v>
      </c>
    </row>
    <row r="836" spans="1:12">
      <c r="A836" t="s">
        <v>505</v>
      </c>
      <c r="B836" t="str">
        <f t="shared" si="154"/>
        <v>B22_11</v>
      </c>
      <c r="C836" s="323" t="str">
        <f t="shared" si="153"/>
        <v>E5392</v>
      </c>
      <c r="D836" t="str">
        <f t="shared" si="155"/>
        <v>NO_DATAVIEWS</v>
      </c>
      <c r="E836" s="62" t="str">
        <f t="shared" si="155"/>
        <v>NO_DEPARTMENTS</v>
      </c>
      <c r="F836" t="s">
        <v>506</v>
      </c>
      <c r="G836" t="s">
        <v>507</v>
      </c>
      <c r="H836" t="s">
        <v>508</v>
      </c>
      <c r="I836" t="s">
        <v>509</v>
      </c>
      <c r="J836" t="s">
        <v>589</v>
      </c>
      <c r="K836" s="497">
        <f>ROUND(HLOOKUP($B836,'2-Préparation saisie LV PROD'!$F$1:$Q$86,'2-Préparation saisie LV PROD'!A29,FALSE),0)</f>
        <v>1473485</v>
      </c>
      <c r="L836" t="str">
        <f>VLOOKUP(C836,Capacité!C:L,10,FALSE)</f>
        <v>Leign ar Gasprenn</v>
      </c>
    </row>
    <row r="837" spans="1:12">
      <c r="A837" t="s">
        <v>505</v>
      </c>
      <c r="B837" t="str">
        <f t="shared" si="154"/>
        <v>B22_11</v>
      </c>
      <c r="C837" s="323" t="str">
        <f t="shared" si="153"/>
        <v>E5393</v>
      </c>
      <c r="D837" t="str">
        <f t="shared" si="155"/>
        <v>NO_DATAVIEWS</v>
      </c>
      <c r="E837" s="62" t="str">
        <f t="shared" si="155"/>
        <v>NO_DEPARTMENTS</v>
      </c>
      <c r="F837" t="s">
        <v>506</v>
      </c>
      <c r="G837" t="s">
        <v>507</v>
      </c>
      <c r="H837" t="s">
        <v>508</v>
      </c>
      <c r="I837" t="s">
        <v>509</v>
      </c>
      <c r="J837" t="s">
        <v>589</v>
      </c>
      <c r="K837" s="497">
        <f>ROUND(HLOOKUP($B837,'2-Préparation saisie LV PROD'!$F$1:$Q$86,'2-Préparation saisie LV PROD'!A30,FALSE),0)</f>
        <v>7246065</v>
      </c>
      <c r="L837" t="str">
        <f>VLOOKUP(C837,Capacité!C:L,10,FALSE)</f>
        <v>Vallée d'Arce</v>
      </c>
    </row>
    <row r="838" spans="1:12">
      <c r="A838" t="s">
        <v>505</v>
      </c>
      <c r="B838" t="str">
        <f t="shared" si="154"/>
        <v>B22_11</v>
      </c>
      <c r="C838" s="323" t="str">
        <f t="shared" si="153"/>
        <v>E5394</v>
      </c>
      <c r="D838" t="str">
        <f t="shared" ref="D838:E853" si="156">D837</f>
        <v>NO_DATAVIEWS</v>
      </c>
      <c r="E838" s="62" t="str">
        <f t="shared" si="156"/>
        <v>NO_DEPARTMENTS</v>
      </c>
      <c r="F838" t="s">
        <v>506</v>
      </c>
      <c r="G838" t="s">
        <v>507</v>
      </c>
      <c r="H838" t="s">
        <v>508</v>
      </c>
      <c r="I838" t="s">
        <v>509</v>
      </c>
      <c r="J838" t="s">
        <v>589</v>
      </c>
      <c r="K838" s="497">
        <f>ROUND(HLOOKUP($B838,'2-Préparation saisie LV PROD'!$F$1:$Q$86,'2-Préparation saisie LV PROD'!A31,FALSE),0)</f>
        <v>1690977</v>
      </c>
      <c r="L838" t="str">
        <f>VLOOKUP(C838,Capacité!C:L,10,FALSE)</f>
        <v>La Bouleste</v>
      </c>
    </row>
    <row r="839" spans="1:12">
      <c r="A839" t="s">
        <v>505</v>
      </c>
      <c r="B839" t="str">
        <f t="shared" si="154"/>
        <v>B22_11</v>
      </c>
      <c r="C839" s="323" t="str">
        <f t="shared" si="153"/>
        <v>E5395</v>
      </c>
      <c r="D839" t="str">
        <f t="shared" si="156"/>
        <v>NO_DATAVIEWS</v>
      </c>
      <c r="E839" s="62" t="str">
        <f t="shared" si="156"/>
        <v>NO_DEPARTMENTS</v>
      </c>
      <c r="F839" t="s">
        <v>506</v>
      </c>
      <c r="G839" t="s">
        <v>507</v>
      </c>
      <c r="H839" t="s">
        <v>508</v>
      </c>
      <c r="I839" t="s">
        <v>509</v>
      </c>
      <c r="J839" t="s">
        <v>589</v>
      </c>
      <c r="K839" s="497">
        <f>ROUND(HLOOKUP($B839,'2-Préparation saisie LV PROD'!$F$1:$Q$86,'2-Préparation saisie LV PROD'!A32,FALSE),0)</f>
        <v>4613431</v>
      </c>
      <c r="L839" t="str">
        <f>VLOOKUP(C839,Capacité!C:L,10,FALSE)</f>
        <v>Haut de Conge</v>
      </c>
    </row>
    <row r="840" spans="1:12">
      <c r="A840" t="s">
        <v>505</v>
      </c>
      <c r="B840" t="str">
        <f t="shared" si="154"/>
        <v>B22_11</v>
      </c>
      <c r="C840" s="323" t="str">
        <f t="shared" si="153"/>
        <v>E5396</v>
      </c>
      <c r="D840" t="str">
        <f t="shared" si="156"/>
        <v>NO_DATAVIEWS</v>
      </c>
      <c r="E840" s="62" t="str">
        <f t="shared" si="156"/>
        <v>NO_DEPARTMENTS</v>
      </c>
      <c r="F840" t="s">
        <v>506</v>
      </c>
      <c r="G840" t="s">
        <v>507</v>
      </c>
      <c r="H840" t="s">
        <v>508</v>
      </c>
      <c r="I840" t="s">
        <v>509</v>
      </c>
      <c r="J840" t="s">
        <v>589</v>
      </c>
      <c r="K840" s="497">
        <f>ROUND(HLOOKUP($B840,'2-Préparation saisie LV PROD'!$F$1:$Q$86,'2-Préparation saisie LV PROD'!A33,FALSE),0)</f>
        <v>1979496</v>
      </c>
      <c r="L840" t="str">
        <f>VLOOKUP(C840,Capacité!C:L,10,FALSE)</f>
        <v>Les Eparmonts</v>
      </c>
    </row>
    <row r="841" spans="1:12">
      <c r="A841" t="s">
        <v>505</v>
      </c>
      <c r="B841" t="str">
        <f t="shared" si="154"/>
        <v>B22_11</v>
      </c>
      <c r="C841" s="323" t="str">
        <f t="shared" si="153"/>
        <v>E5397</v>
      </c>
      <c r="D841" t="str">
        <f t="shared" si="156"/>
        <v>NO_DATAVIEWS</v>
      </c>
      <c r="E841" s="62" t="str">
        <f t="shared" si="156"/>
        <v>NO_DEPARTMENTS</v>
      </c>
      <c r="F841" t="s">
        <v>506</v>
      </c>
      <c r="G841" t="s">
        <v>507</v>
      </c>
      <c r="H841" t="s">
        <v>508</v>
      </c>
      <c r="I841" t="s">
        <v>509</v>
      </c>
      <c r="J841" t="s">
        <v>589</v>
      </c>
      <c r="K841" s="497">
        <f>ROUND(HLOOKUP($B841,'2-Préparation saisie LV PROD'!$F$1:$Q$86,'2-Préparation saisie LV PROD'!A34,FALSE),0)</f>
        <v>2232686</v>
      </c>
      <c r="L841" t="str">
        <f>VLOOKUP(C841,Capacité!C:L,10,FALSE)</f>
        <v>Charmoy</v>
      </c>
    </row>
    <row r="842" spans="1:12">
      <c r="A842" t="s">
        <v>505</v>
      </c>
      <c r="B842" t="str">
        <f t="shared" si="154"/>
        <v>B22_11</v>
      </c>
      <c r="C842" s="323" t="str">
        <f t="shared" si="153"/>
        <v>E5398</v>
      </c>
      <c r="D842" t="str">
        <f t="shared" si="156"/>
        <v>NO_DATAVIEWS</v>
      </c>
      <c r="E842" s="62" t="str">
        <f t="shared" si="156"/>
        <v>NO_DEPARTMENTS</v>
      </c>
      <c r="F842" t="s">
        <v>506</v>
      </c>
      <c r="G842" t="s">
        <v>507</v>
      </c>
      <c r="H842" t="s">
        <v>508</v>
      </c>
      <c r="I842" t="s">
        <v>509</v>
      </c>
      <c r="J842" t="s">
        <v>589</v>
      </c>
      <c r="K842" s="497">
        <f>ROUND(HLOOKUP($B842,'2-Préparation saisie LV PROD'!$F$1:$Q$86,'2-Préparation saisie LV PROD'!A35,FALSE),0)</f>
        <v>3879776</v>
      </c>
      <c r="L842" t="str">
        <f>VLOOKUP(C842,Capacité!C:L,10,FALSE)</f>
        <v>Pannecé</v>
      </c>
    </row>
    <row r="843" spans="1:12">
      <c r="A843" t="s">
        <v>505</v>
      </c>
      <c r="B843" t="str">
        <f t="shared" si="154"/>
        <v>B22_11</v>
      </c>
      <c r="C843" s="323" t="str">
        <f t="shared" si="153"/>
        <v>E5399</v>
      </c>
      <c r="D843" t="str">
        <f t="shared" si="156"/>
        <v>NO_DATAVIEWS</v>
      </c>
      <c r="E843" s="62" t="str">
        <f t="shared" si="156"/>
        <v>NO_DEPARTMENTS</v>
      </c>
      <c r="F843" t="s">
        <v>506</v>
      </c>
      <c r="G843" t="s">
        <v>507</v>
      </c>
      <c r="H843" t="s">
        <v>508</v>
      </c>
      <c r="I843" t="s">
        <v>509</v>
      </c>
      <c r="J843" t="s">
        <v>589</v>
      </c>
      <c r="K843" s="497">
        <f>ROUND(HLOOKUP($B843,'2-Préparation saisie LV PROD'!$F$1:$Q$86,'2-Préparation saisie LV PROD'!A36,FALSE),0)</f>
        <v>7876586</v>
      </c>
      <c r="L843" t="str">
        <f>VLOOKUP(C843,Capacité!C:L,10,FALSE)</f>
        <v>Coulonges</v>
      </c>
    </row>
    <row r="844" spans="1:12">
      <c r="A844" t="s">
        <v>505</v>
      </c>
      <c r="B844" t="str">
        <f t="shared" si="154"/>
        <v>B22_11</v>
      </c>
      <c r="C844" s="323" t="str">
        <f t="shared" ref="C844:C875" si="157">C763</f>
        <v>E5400</v>
      </c>
      <c r="D844" t="str">
        <f t="shared" si="156"/>
        <v>NO_DATAVIEWS</v>
      </c>
      <c r="E844" s="62" t="str">
        <f t="shared" si="156"/>
        <v>NO_DEPARTMENTS</v>
      </c>
      <c r="F844" t="s">
        <v>506</v>
      </c>
      <c r="G844" t="s">
        <v>507</v>
      </c>
      <c r="H844" t="s">
        <v>508</v>
      </c>
      <c r="I844" t="s">
        <v>509</v>
      </c>
      <c r="J844" t="s">
        <v>589</v>
      </c>
      <c r="K844" s="497">
        <f>ROUND(HLOOKUP($B844,'2-Préparation saisie LV PROD'!$F$1:$Q$86,'2-Préparation saisie LV PROD'!A37,FALSE),0)</f>
        <v>4491659</v>
      </c>
      <c r="L844" t="str">
        <f>VLOOKUP(C844,Capacité!C:L,10,FALSE)</f>
        <v>SdlL</v>
      </c>
    </row>
    <row r="845" spans="1:12">
      <c r="A845" t="s">
        <v>505</v>
      </c>
      <c r="B845" t="str">
        <f t="shared" si="154"/>
        <v>B22_11</v>
      </c>
      <c r="C845" s="323" t="str">
        <f t="shared" si="157"/>
        <v>E5401</v>
      </c>
      <c r="D845" t="str">
        <f t="shared" si="156"/>
        <v>NO_DATAVIEWS</v>
      </c>
      <c r="E845" s="62" t="str">
        <f t="shared" si="156"/>
        <v>NO_DEPARTMENTS</v>
      </c>
      <c r="F845" t="s">
        <v>506</v>
      </c>
      <c r="G845" t="s">
        <v>507</v>
      </c>
      <c r="H845" t="s">
        <v>508</v>
      </c>
      <c r="I845" t="s">
        <v>509</v>
      </c>
      <c r="J845" t="s">
        <v>589</v>
      </c>
      <c r="K845" s="497">
        <f>ROUND(HLOOKUP($B845,'2-Préparation saisie LV PROD'!$F$1:$Q$86,'2-Préparation saisie LV PROD'!A38,FALSE),0)</f>
        <v>1813072</v>
      </c>
      <c r="L845" t="str">
        <f>VLOOKUP(C845,Capacité!C:L,10,FALSE)</f>
        <v>Pays d'Othe</v>
      </c>
    </row>
    <row r="846" spans="1:12">
      <c r="A846" t="s">
        <v>505</v>
      </c>
      <c r="B846" t="str">
        <f t="shared" si="154"/>
        <v>B22_11</v>
      </c>
      <c r="C846" s="323" t="str">
        <f t="shared" si="157"/>
        <v>E5402</v>
      </c>
      <c r="D846" t="str">
        <f t="shared" si="156"/>
        <v>NO_DATAVIEWS</v>
      </c>
      <c r="E846" s="62" t="str">
        <f t="shared" si="156"/>
        <v>NO_DEPARTMENTS</v>
      </c>
      <c r="F846" t="s">
        <v>506</v>
      </c>
      <c r="G846" t="s">
        <v>507</v>
      </c>
      <c r="H846" t="s">
        <v>508</v>
      </c>
      <c r="I846" t="s">
        <v>509</v>
      </c>
      <c r="J846" t="s">
        <v>589</v>
      </c>
      <c r="K846" s="497">
        <f>ROUND(HLOOKUP($B846,'2-Préparation saisie LV PROD'!$F$1:$Q$86,'2-Préparation saisie LV PROD'!A39,FALSE),0)</f>
        <v>2409844</v>
      </c>
      <c r="L846" t="str">
        <f>VLOOKUP(C846,Capacité!C:L,10,FALSE)</f>
        <v>Comes de l'Arce</v>
      </c>
    </row>
    <row r="847" spans="1:12">
      <c r="A847" t="s">
        <v>505</v>
      </c>
      <c r="B847" t="str">
        <f t="shared" si="154"/>
        <v>B22_11</v>
      </c>
      <c r="C847" s="323" t="str">
        <f t="shared" si="157"/>
        <v>E5570</v>
      </c>
      <c r="D847" t="str">
        <f t="shared" si="156"/>
        <v>NO_DATAVIEWS</v>
      </c>
      <c r="E847" s="62" t="str">
        <f t="shared" si="156"/>
        <v>NO_DEPARTMENTS</v>
      </c>
      <c r="F847" t="s">
        <v>506</v>
      </c>
      <c r="G847" t="s">
        <v>507</v>
      </c>
      <c r="H847" t="s">
        <v>508</v>
      </c>
      <c r="I847" t="s">
        <v>509</v>
      </c>
      <c r="J847" t="s">
        <v>589</v>
      </c>
      <c r="K847" s="497">
        <f>ROUND(HLOOKUP($B847,'2-Préparation saisie LV PROD'!$F$1:$Q$86,'2-Préparation saisie LV PROD'!A40,FALSE),0)</f>
        <v>3358949</v>
      </c>
      <c r="L847" t="str">
        <f>VLOOKUP(C847,Capacité!C:L,10,FALSE)</f>
        <v>Plateau de Savernat</v>
      </c>
    </row>
    <row r="848" spans="1:12">
      <c r="A848" t="s">
        <v>505</v>
      </c>
      <c r="B848" t="str">
        <f t="shared" si="154"/>
        <v>B22_11</v>
      </c>
      <c r="C848" s="323" t="str">
        <f t="shared" si="157"/>
        <v>E5560</v>
      </c>
      <c r="D848" t="str">
        <f t="shared" si="156"/>
        <v>NO_DATAVIEWS</v>
      </c>
      <c r="E848" s="62" t="str">
        <f t="shared" si="156"/>
        <v>NO_DEPARTMENTS</v>
      </c>
      <c r="F848" t="s">
        <v>506</v>
      </c>
      <c r="G848" t="s">
        <v>507</v>
      </c>
      <c r="H848" t="s">
        <v>508</v>
      </c>
      <c r="I848" t="s">
        <v>509</v>
      </c>
      <c r="J848" t="s">
        <v>589</v>
      </c>
      <c r="K848" s="497">
        <f>ROUND(HLOOKUP($B848,'2-Préparation saisie LV PROD'!$F$1:$Q$86,'2-Préparation saisie LV PROD'!A41,FALSE),0)</f>
        <v>2944348</v>
      </c>
      <c r="L848" t="str">
        <f>VLOOKUP(C848,Capacité!C:L,10,FALSE)</f>
        <v>Touvent</v>
      </c>
    </row>
    <row r="849" spans="1:12">
      <c r="A849" t="s">
        <v>505</v>
      </c>
      <c r="B849" t="str">
        <f t="shared" si="154"/>
        <v>B22_11</v>
      </c>
      <c r="C849" s="323" t="str">
        <f t="shared" si="157"/>
        <v>E5700</v>
      </c>
      <c r="D849" t="str">
        <f t="shared" si="156"/>
        <v>NO_DATAVIEWS</v>
      </c>
      <c r="E849" s="62" t="str">
        <f t="shared" si="156"/>
        <v>NO_DEPARTMENTS</v>
      </c>
      <c r="F849" t="s">
        <v>506</v>
      </c>
      <c r="G849" t="s">
        <v>507</v>
      </c>
      <c r="H849" t="s">
        <v>508</v>
      </c>
      <c r="I849" t="s">
        <v>509</v>
      </c>
      <c r="J849" t="s">
        <v>589</v>
      </c>
      <c r="K849" s="497">
        <f>ROUND(HLOOKUP($B849,'2-Préparation saisie LV PROD'!$F$1:$Q$86,'2-Préparation saisie LV PROD'!A42,FALSE),0)</f>
        <v>4962774</v>
      </c>
      <c r="L849" t="str">
        <f>VLOOKUP(C849,Capacité!C:L,10,FALSE)</f>
        <v>Haut de Comble (HC)</v>
      </c>
    </row>
    <row r="850" spans="1:12">
      <c r="A850" t="s">
        <v>505</v>
      </c>
      <c r="B850" t="str">
        <f t="shared" si="154"/>
        <v>B22_11</v>
      </c>
      <c r="C850" s="323" t="str">
        <f t="shared" si="157"/>
        <v>E5600</v>
      </c>
      <c r="D850" t="str">
        <f t="shared" si="156"/>
        <v>NO_DATAVIEWS</v>
      </c>
      <c r="E850" s="62" t="str">
        <f t="shared" si="156"/>
        <v>NO_DEPARTMENTS</v>
      </c>
      <c r="F850" t="s">
        <v>506</v>
      </c>
      <c r="G850" t="s">
        <v>507</v>
      </c>
      <c r="H850" t="s">
        <v>508</v>
      </c>
      <c r="I850" t="s">
        <v>509</v>
      </c>
      <c r="J850" t="s">
        <v>589</v>
      </c>
      <c r="K850" s="497">
        <f>ROUND(HLOOKUP($B850,'2-Préparation saisie LV PROD'!$F$1:$Q$86,'2-Préparation saisie LV PROD'!A43,FALSE),0)</f>
        <v>7284317</v>
      </c>
      <c r="L850" t="str">
        <f>VLOOKUP(C850,Capacité!C:L,10,FALSE)</f>
        <v>Inter deux bos (MET)</v>
      </c>
    </row>
    <row r="851" spans="1:12">
      <c r="A851" t="s">
        <v>505</v>
      </c>
      <c r="B851" t="str">
        <f t="shared" si="154"/>
        <v>B22_11</v>
      </c>
      <c r="C851" s="323" t="str">
        <f t="shared" si="157"/>
        <v>E5770</v>
      </c>
      <c r="D851" t="str">
        <f t="shared" si="156"/>
        <v>NO_DATAVIEWS</v>
      </c>
      <c r="E851" s="62" t="str">
        <f t="shared" si="156"/>
        <v>NO_DEPARTMENTS</v>
      </c>
      <c r="F851" t="s">
        <v>506</v>
      </c>
      <c r="G851" t="s">
        <v>507</v>
      </c>
      <c r="H851" t="s">
        <v>508</v>
      </c>
      <c r="I851" t="s">
        <v>509</v>
      </c>
      <c r="J851" t="s">
        <v>589</v>
      </c>
      <c r="K851" s="497">
        <f>ROUND(HLOOKUP($B851,'2-Préparation saisie LV PROD'!$F$1:$Q$86,'2-Préparation saisie LV PROD'!A44,FALSE),0)</f>
        <v>2575094</v>
      </c>
      <c r="L851" t="str">
        <f>VLOOKUP(C851,Capacité!C:L,10,FALSE)</f>
        <v>Le Pelon</v>
      </c>
    </row>
    <row r="852" spans="1:12">
      <c r="A852" t="s">
        <v>505</v>
      </c>
      <c r="B852" t="str">
        <f t="shared" si="154"/>
        <v>B22_11</v>
      </c>
      <c r="C852" s="323" t="str">
        <f t="shared" si="157"/>
        <v>E5630</v>
      </c>
      <c r="D852" t="str">
        <f t="shared" si="156"/>
        <v>NO_DATAVIEWS</v>
      </c>
      <c r="E852" s="62" t="str">
        <f t="shared" si="156"/>
        <v>NO_DEPARTMENTS</v>
      </c>
      <c r="F852" t="s">
        <v>506</v>
      </c>
      <c r="G852" t="s">
        <v>507</v>
      </c>
      <c r="H852" t="s">
        <v>508</v>
      </c>
      <c r="I852" t="s">
        <v>509</v>
      </c>
      <c r="J852" t="s">
        <v>589</v>
      </c>
      <c r="K852" s="497">
        <f>ROUND(HLOOKUP($B852,'2-Préparation saisie LV PROD'!$F$1:$Q$86,'2-Préparation saisie LV PROD'!A45,FALSE),0)</f>
        <v>6557214</v>
      </c>
      <c r="L852" t="str">
        <f>VLOOKUP(C852,Capacité!C:L,10,FALSE)</f>
        <v>Monts de Bagny</v>
      </c>
    </row>
    <row r="853" spans="1:12">
      <c r="A853" t="s">
        <v>505</v>
      </c>
      <c r="B853" t="str">
        <f t="shared" si="154"/>
        <v>B22_11</v>
      </c>
      <c r="C853" s="323" t="str">
        <f t="shared" si="157"/>
        <v>E5690</v>
      </c>
      <c r="D853" t="str">
        <f t="shared" si="156"/>
        <v>NO_DATAVIEWS</v>
      </c>
      <c r="E853" s="62" t="str">
        <f t="shared" si="156"/>
        <v>NO_DEPARTMENTS</v>
      </c>
      <c r="F853" t="s">
        <v>506</v>
      </c>
      <c r="G853" t="s">
        <v>507</v>
      </c>
      <c r="H853" t="s">
        <v>508</v>
      </c>
      <c r="I853" t="s">
        <v>509</v>
      </c>
      <c r="J853" t="s">
        <v>589</v>
      </c>
      <c r="K853" s="497">
        <f>ROUND(HLOOKUP($B853,'2-Préparation saisie LV PROD'!$F$1:$Q$86,'2-Préparation saisie LV PROD'!A46,FALSE),0)</f>
        <v>2718048</v>
      </c>
      <c r="L853" t="str">
        <f>VLOOKUP(C853,Capacité!C:L,10,FALSE)</f>
        <v>Voie des monts</v>
      </c>
    </row>
    <row r="854" spans="1:12">
      <c r="A854" t="s">
        <v>505</v>
      </c>
      <c r="B854" t="str">
        <f t="shared" si="154"/>
        <v>B22_11</v>
      </c>
      <c r="C854" s="323" t="str">
        <f t="shared" si="157"/>
        <v>E5640</v>
      </c>
      <c r="D854" t="str">
        <f t="shared" ref="D854:E869" si="158">D853</f>
        <v>NO_DATAVIEWS</v>
      </c>
      <c r="E854" s="62" t="str">
        <f t="shared" si="158"/>
        <v>NO_DEPARTMENTS</v>
      </c>
      <c r="F854" t="s">
        <v>506</v>
      </c>
      <c r="G854" t="s">
        <v>507</v>
      </c>
      <c r="H854" t="s">
        <v>508</v>
      </c>
      <c r="I854" t="s">
        <v>509</v>
      </c>
      <c r="J854" t="s">
        <v>589</v>
      </c>
      <c r="K854" s="497">
        <f>ROUND(HLOOKUP($B854,'2-Préparation saisie LV PROD'!$F$1:$Q$86,'2-Préparation saisie LV PROD'!A47,FALSE),0)</f>
        <v>5663678</v>
      </c>
      <c r="L854" t="str">
        <f>VLOOKUP(C854,Capacité!C:L,10,FALSE)</f>
        <v>Artois</v>
      </c>
    </row>
    <row r="855" spans="1:12">
      <c r="A855" t="s">
        <v>505</v>
      </c>
      <c r="B855" t="str">
        <f t="shared" si="154"/>
        <v>B22_11</v>
      </c>
      <c r="C855" s="323" t="str">
        <f t="shared" si="157"/>
        <v>E5620</v>
      </c>
      <c r="D855" t="str">
        <f t="shared" si="158"/>
        <v>NO_DATAVIEWS</v>
      </c>
      <c r="E855" s="62" t="str">
        <f t="shared" si="158"/>
        <v>NO_DEPARTMENTS</v>
      </c>
      <c r="F855" t="s">
        <v>506</v>
      </c>
      <c r="G855" t="s">
        <v>507</v>
      </c>
      <c r="H855" t="s">
        <v>508</v>
      </c>
      <c r="I855" t="s">
        <v>509</v>
      </c>
      <c r="J855" t="s">
        <v>589</v>
      </c>
      <c r="K855" s="497">
        <f>ROUND(HLOOKUP($B855,'2-Préparation saisie LV PROD'!$F$1:$Q$86,'2-Préparation saisie LV PROD'!A48,FALSE),0)</f>
        <v>7469686</v>
      </c>
      <c r="L855" t="str">
        <f>VLOOKUP(C855,Capacité!C:L,10,FALSE)</f>
        <v>Chemin de Grès</v>
      </c>
    </row>
    <row r="856" spans="1:12">
      <c r="A856" t="s">
        <v>505</v>
      </c>
      <c r="B856" t="str">
        <f t="shared" si="154"/>
        <v>B22_11</v>
      </c>
      <c r="C856" s="323" t="str">
        <f t="shared" si="157"/>
        <v>E5810</v>
      </c>
      <c r="D856" t="str">
        <f t="shared" si="158"/>
        <v>NO_DATAVIEWS</v>
      </c>
      <c r="E856" s="62" t="str">
        <f t="shared" si="158"/>
        <v>NO_DEPARTMENTS</v>
      </c>
      <c r="F856" t="s">
        <v>506</v>
      </c>
      <c r="G856" t="s">
        <v>507</v>
      </c>
      <c r="H856" t="s">
        <v>508</v>
      </c>
      <c r="I856" t="s">
        <v>509</v>
      </c>
      <c r="J856" t="s">
        <v>589</v>
      </c>
      <c r="K856" s="497">
        <f>ROUND(HLOOKUP($B856,'2-Préparation saisie LV PROD'!$F$1:$Q$86,'2-Préparation saisie LV PROD'!A49,FALSE),0)</f>
        <v>4931138</v>
      </c>
      <c r="L856" t="str">
        <f>VLOOKUP(C856,Capacité!C:L,10,FALSE)</f>
        <v>Coteaux du Blaiseron</v>
      </c>
    </row>
    <row r="857" spans="1:12">
      <c r="A857" t="s">
        <v>505</v>
      </c>
      <c r="B857" t="str">
        <f t="shared" si="154"/>
        <v>B22_11</v>
      </c>
      <c r="C857" s="323" t="str">
        <f t="shared" si="157"/>
        <v>E5660</v>
      </c>
      <c r="D857" t="str">
        <f t="shared" si="158"/>
        <v>NO_DATAVIEWS</v>
      </c>
      <c r="E857" s="62" t="str">
        <f t="shared" si="158"/>
        <v>NO_DEPARTMENTS</v>
      </c>
      <c r="F857" t="s">
        <v>506</v>
      </c>
      <c r="G857" t="s">
        <v>507</v>
      </c>
      <c r="H857" t="s">
        <v>508</v>
      </c>
      <c r="I857" t="s">
        <v>509</v>
      </c>
      <c r="J857" t="s">
        <v>589</v>
      </c>
      <c r="K857" s="497">
        <f>ROUND(HLOOKUP($B857,'2-Préparation saisie LV PROD'!$F$1:$Q$86,'2-Préparation saisie LV PROD'!A50,FALSE),0)</f>
        <v>4285859</v>
      </c>
      <c r="L857" t="str">
        <f>VLOOKUP(C857,Capacité!C:L,10,FALSE)</f>
        <v>XSAN</v>
      </c>
    </row>
    <row r="858" spans="1:12">
      <c r="A858" t="s">
        <v>505</v>
      </c>
      <c r="B858" t="str">
        <f t="shared" si="154"/>
        <v>B22_11</v>
      </c>
      <c r="C858" s="323" t="str">
        <f t="shared" si="157"/>
        <v>E5590</v>
      </c>
      <c r="D858" t="str">
        <f t="shared" si="158"/>
        <v>NO_DATAVIEWS</v>
      </c>
      <c r="E858" s="62" t="str">
        <f t="shared" si="158"/>
        <v>NO_DEPARTMENTS</v>
      </c>
      <c r="F858" t="s">
        <v>506</v>
      </c>
      <c r="G858" t="s">
        <v>507</v>
      </c>
      <c r="H858" t="s">
        <v>508</v>
      </c>
      <c r="I858" t="s">
        <v>509</v>
      </c>
      <c r="J858" t="s">
        <v>589</v>
      </c>
      <c r="K858" s="497">
        <f>ROUND(HLOOKUP($B858,'2-Préparation saisie LV PROD'!$F$1:$Q$86,'2-Préparation saisie LV PROD'!A51,FALSE),0)</f>
        <v>3219558</v>
      </c>
      <c r="L858" t="str">
        <f>VLOOKUP(C858,Capacité!C:L,10,FALSE)</f>
        <v>Le Catésis (CAT)</v>
      </c>
    </row>
    <row r="859" spans="1:12">
      <c r="A859" t="s">
        <v>505</v>
      </c>
      <c r="B859" t="str">
        <f t="shared" si="154"/>
        <v>B22_11</v>
      </c>
      <c r="C859" s="323" t="str">
        <f t="shared" si="157"/>
        <v>E5650</v>
      </c>
      <c r="D859" t="str">
        <f t="shared" si="158"/>
        <v>NO_DATAVIEWS</v>
      </c>
      <c r="E859" s="62" t="str">
        <f t="shared" si="158"/>
        <v>NO_DEPARTMENTS</v>
      </c>
      <c r="F859" t="s">
        <v>506</v>
      </c>
      <c r="G859" t="s">
        <v>507</v>
      </c>
      <c r="H859" t="s">
        <v>508</v>
      </c>
      <c r="I859" t="s">
        <v>509</v>
      </c>
      <c r="J859" t="s">
        <v>589</v>
      </c>
      <c r="K859" s="497">
        <f>ROUND(HLOOKUP($B859,'2-Préparation saisie LV PROD'!$F$1:$Q$86,'2-Préparation saisie LV PROD'!A52,FALSE),0)</f>
        <v>5797066</v>
      </c>
      <c r="L859" t="str">
        <f>VLOOKUP(C859,Capacité!C:L,10,FALSE)</f>
        <v>Seuil du Cambrésis- Ribecourt (RIB)</v>
      </c>
    </row>
    <row r="860" spans="1:12">
      <c r="A860" t="s">
        <v>505</v>
      </c>
      <c r="B860" t="str">
        <f t="shared" si="154"/>
        <v>B22_11</v>
      </c>
      <c r="C860" s="323" t="str">
        <f t="shared" si="157"/>
        <v>E5720</v>
      </c>
      <c r="D860" t="str">
        <f t="shared" si="158"/>
        <v>NO_DATAVIEWS</v>
      </c>
      <c r="E860" s="62" t="str">
        <f t="shared" si="158"/>
        <v>NO_DEPARTMENTS</v>
      </c>
      <c r="F860" t="s">
        <v>506</v>
      </c>
      <c r="G860" t="s">
        <v>507</v>
      </c>
      <c r="H860" t="s">
        <v>508</v>
      </c>
      <c r="I860" t="s">
        <v>509</v>
      </c>
      <c r="J860" t="s">
        <v>589</v>
      </c>
      <c r="K860" s="497">
        <f>ROUND(HLOOKUP($B860,'2-Préparation saisie LV PROD'!$F$1:$Q$86,'2-Préparation saisie LV PROD'!A53,FALSE),0)</f>
        <v>4537274</v>
      </c>
      <c r="L860" t="str">
        <f>VLOOKUP(C860,Capacité!C:L,10,FALSE)</f>
        <v>Basse Thiérache Nord</v>
      </c>
    </row>
    <row r="861" spans="1:12">
      <c r="A861" t="s">
        <v>505</v>
      </c>
      <c r="B861" t="str">
        <f t="shared" si="154"/>
        <v>B22_11</v>
      </c>
      <c r="C861" s="323" t="str">
        <f t="shared" si="157"/>
        <v>E5710</v>
      </c>
      <c r="D861" t="str">
        <f t="shared" si="158"/>
        <v>NO_DATAVIEWS</v>
      </c>
      <c r="E861" s="62" t="str">
        <f t="shared" si="158"/>
        <v>NO_DEPARTMENTS</v>
      </c>
      <c r="F861" t="s">
        <v>506</v>
      </c>
      <c r="G861" t="s">
        <v>507</v>
      </c>
      <c r="H861" t="s">
        <v>508</v>
      </c>
      <c r="I861" t="s">
        <v>509</v>
      </c>
      <c r="J861" t="s">
        <v>589</v>
      </c>
      <c r="K861" s="497">
        <f>ROUND(HLOOKUP($B861,'2-Préparation saisie LV PROD'!$F$1:$Q$86,'2-Préparation saisie LV PROD'!A54,FALSE),0)</f>
        <v>5833425</v>
      </c>
      <c r="L861" t="str">
        <f>VLOOKUP(C861,Capacité!C:L,10,FALSE)</f>
        <v>Sources de l'Ancre</v>
      </c>
    </row>
    <row r="862" spans="1:12">
      <c r="A862" t="s">
        <v>505</v>
      </c>
      <c r="B862" t="str">
        <f t="shared" si="154"/>
        <v>B22_11</v>
      </c>
      <c r="C862" s="323" t="str">
        <f t="shared" si="157"/>
        <v>E6190</v>
      </c>
      <c r="D862" t="str">
        <f t="shared" si="158"/>
        <v>NO_DATAVIEWS</v>
      </c>
      <c r="E862" s="62" t="str">
        <f t="shared" si="158"/>
        <v>NO_DEPARTMENTS</v>
      </c>
      <c r="F862" t="s">
        <v>506</v>
      </c>
      <c r="G862" t="s">
        <v>507</v>
      </c>
      <c r="H862" t="s">
        <v>508</v>
      </c>
      <c r="I862" t="s">
        <v>509</v>
      </c>
      <c r="J862" t="s">
        <v>589</v>
      </c>
      <c r="K862" s="497">
        <f>ROUND(HLOOKUP($B862,'2-Préparation saisie LV PROD'!$F$1:$Q$86,'2-Préparation saisie LV PROD'!A55,FALSE),0)</f>
        <v>0</v>
      </c>
      <c r="L862" t="str">
        <f>VLOOKUP(C862,Capacité!C:L,10,FALSE)</f>
        <v>Evits et Josaphats</v>
      </c>
    </row>
    <row r="863" spans="1:12">
      <c r="A863" t="s">
        <v>505</v>
      </c>
      <c r="B863" t="str">
        <f t="shared" si="154"/>
        <v>B22_11</v>
      </c>
      <c r="C863" s="323" t="str">
        <f t="shared" si="157"/>
        <v>E6200</v>
      </c>
      <c r="D863" t="str">
        <f t="shared" si="158"/>
        <v>NO_DATAVIEWS</v>
      </c>
      <c r="E863" s="62" t="str">
        <f t="shared" si="158"/>
        <v>NO_DEPARTMENTS</v>
      </c>
      <c r="F863" t="s">
        <v>506</v>
      </c>
      <c r="G863" t="s">
        <v>507</v>
      </c>
      <c r="H863" t="s">
        <v>508</v>
      </c>
      <c r="I863" t="s">
        <v>509</v>
      </c>
      <c r="J863" t="s">
        <v>589</v>
      </c>
      <c r="K863" s="497">
        <f>ROUND(HLOOKUP($B863,'2-Préparation saisie LV PROD'!$F$1:$Q$86,'2-Préparation saisie LV PROD'!A56,FALSE),0)</f>
        <v>0</v>
      </c>
      <c r="L863" t="str">
        <f>VLOOKUP(C863,Capacité!C:L,10,FALSE)</f>
        <v>Remise Reclainville</v>
      </c>
    </row>
    <row r="864" spans="1:12">
      <c r="A864" t="s">
        <v>505</v>
      </c>
      <c r="B864" t="str">
        <f t="shared" si="154"/>
        <v>B22_11</v>
      </c>
      <c r="C864" s="323" t="str">
        <f t="shared" si="157"/>
        <v>E6150</v>
      </c>
      <c r="D864" t="str">
        <f t="shared" si="158"/>
        <v>NO_DATAVIEWS</v>
      </c>
      <c r="E864" s="62" t="str">
        <f t="shared" si="158"/>
        <v>NO_DEPARTMENTS</v>
      </c>
      <c r="F864" t="s">
        <v>506</v>
      </c>
      <c r="G864" t="s">
        <v>507</v>
      </c>
      <c r="H864" t="s">
        <v>508</v>
      </c>
      <c r="I864" t="s">
        <v>509</v>
      </c>
      <c r="J864" t="s">
        <v>589</v>
      </c>
      <c r="K864" s="497">
        <f>ROUND(HLOOKUP($B864,'2-Préparation saisie LV PROD'!$F$1:$Q$86,'2-Préparation saisie LV PROD'!A57,FALSE),0)</f>
        <v>1806957</v>
      </c>
      <c r="L864" t="str">
        <f>VLOOKUP(C864,Capacité!C:L,10,FALSE)</f>
        <v>Fierville</v>
      </c>
    </row>
    <row r="865" spans="1:12">
      <c r="A865" t="s">
        <v>505</v>
      </c>
      <c r="B865" t="str">
        <f t="shared" si="154"/>
        <v>B22_11</v>
      </c>
      <c r="C865" s="323" t="str">
        <f t="shared" si="157"/>
        <v>E6340</v>
      </c>
      <c r="D865" t="str">
        <f t="shared" si="158"/>
        <v>NO_DATAVIEWS</v>
      </c>
      <c r="E865" s="62" t="str">
        <f t="shared" si="158"/>
        <v>NO_DEPARTMENTS</v>
      </c>
      <c r="F865" t="s">
        <v>506</v>
      </c>
      <c r="G865" t="s">
        <v>507</v>
      </c>
      <c r="H865" t="s">
        <v>508</v>
      </c>
      <c r="I865" t="s">
        <v>509</v>
      </c>
      <c r="J865" t="s">
        <v>589</v>
      </c>
      <c r="K865" s="497">
        <f>ROUND(HLOOKUP($B865,'2-Préparation saisie LV PROD'!$F$1:$Q$86,'2-Préparation saisie LV PROD'!A58,FALSE),0)</f>
        <v>2910301</v>
      </c>
      <c r="L865" t="str">
        <f>VLOOKUP(C865,Capacité!C:L,10,FALSE)</f>
        <v>Plaine de Beaunay</v>
      </c>
    </row>
    <row r="866" spans="1:12">
      <c r="A866" t="s">
        <v>505</v>
      </c>
      <c r="B866" t="str">
        <f t="shared" si="154"/>
        <v>B22_11</v>
      </c>
      <c r="C866" s="323" t="str">
        <f t="shared" si="157"/>
        <v>E6370</v>
      </c>
      <c r="D866" t="str">
        <f t="shared" si="158"/>
        <v>NO_DATAVIEWS</v>
      </c>
      <c r="E866" s="62" t="str">
        <f t="shared" si="158"/>
        <v>NO_DEPARTMENTS</v>
      </c>
      <c r="F866" t="s">
        <v>506</v>
      </c>
      <c r="G866" t="s">
        <v>507</v>
      </c>
      <c r="H866" t="s">
        <v>508</v>
      </c>
      <c r="I866" t="s">
        <v>509</v>
      </c>
      <c r="J866" t="s">
        <v>589</v>
      </c>
      <c r="K866" s="497">
        <f>ROUND(HLOOKUP($B866,'2-Préparation saisie LV PROD'!$F$1:$Q$86,'2-Préparation saisie LV PROD'!A59,FALSE),0)</f>
        <v>3640053</v>
      </c>
      <c r="L866" t="str">
        <f>VLOOKUP(C866,Capacité!C:L,10,FALSE)</f>
        <v>Val au Moines</v>
      </c>
    </row>
    <row r="867" spans="1:12">
      <c r="A867" t="s">
        <v>505</v>
      </c>
      <c r="B867" t="str">
        <f t="shared" si="154"/>
        <v>B22_11</v>
      </c>
      <c r="C867" s="323" t="str">
        <f t="shared" si="157"/>
        <v>E6250</v>
      </c>
      <c r="D867" t="str">
        <f t="shared" si="158"/>
        <v>NO_DATAVIEWS</v>
      </c>
      <c r="E867" s="62" t="str">
        <f t="shared" si="158"/>
        <v>NO_DEPARTMENTS</v>
      </c>
      <c r="F867" t="s">
        <v>506</v>
      </c>
      <c r="G867" t="s">
        <v>507</v>
      </c>
      <c r="H867" t="s">
        <v>508</v>
      </c>
      <c r="I867" t="s">
        <v>509</v>
      </c>
      <c r="J867" t="s">
        <v>589</v>
      </c>
      <c r="K867" s="497">
        <f>ROUND(HLOOKUP($B867,'2-Préparation saisie LV PROD'!$F$1:$Q$86,'2-Préparation saisie LV PROD'!A60,FALSE),0)</f>
        <v>0</v>
      </c>
      <c r="L867" t="str">
        <f>VLOOKUP(C867,Capacité!C:L,10,FALSE)</f>
        <v>Bougainville</v>
      </c>
    </row>
    <row r="868" spans="1:12">
      <c r="A868" t="s">
        <v>505</v>
      </c>
      <c r="B868" t="str">
        <f t="shared" si="154"/>
        <v>B22_11</v>
      </c>
      <c r="C868" s="323" t="str">
        <f t="shared" si="157"/>
        <v>E6260</v>
      </c>
      <c r="D868" t="str">
        <f t="shared" si="158"/>
        <v>NO_DATAVIEWS</v>
      </c>
      <c r="E868" s="62" t="str">
        <f t="shared" si="158"/>
        <v>NO_DEPARTMENTS</v>
      </c>
      <c r="F868" t="s">
        <v>506</v>
      </c>
      <c r="G868" t="s">
        <v>507</v>
      </c>
      <c r="H868" t="s">
        <v>508</v>
      </c>
      <c r="I868" t="s">
        <v>509</v>
      </c>
      <c r="J868" t="s">
        <v>589</v>
      </c>
      <c r="K868" s="497">
        <f>ROUND(HLOOKUP($B868,'2-Préparation saisie LV PROD'!$F$1:$Q$86,'2-Préparation saisie LV PROD'!A61,FALSE),0)</f>
        <v>1995688</v>
      </c>
      <c r="L868" t="str">
        <f>VLOOKUP(C868,Capacité!C:L,10,FALSE)</f>
        <v>Saint André</v>
      </c>
    </row>
    <row r="869" spans="1:12">
      <c r="A869" t="s">
        <v>505</v>
      </c>
      <c r="B869" t="str">
        <f t="shared" si="154"/>
        <v>B22_11</v>
      </c>
      <c r="C869" s="323" t="str">
        <f t="shared" si="157"/>
        <v>E6120</v>
      </c>
      <c r="D869" t="str">
        <f t="shared" si="158"/>
        <v>NO_DATAVIEWS</v>
      </c>
      <c r="E869" s="62" t="str">
        <f t="shared" si="158"/>
        <v>NO_DEPARTMENTS</v>
      </c>
      <c r="F869" t="s">
        <v>506</v>
      </c>
      <c r="G869" t="s">
        <v>507</v>
      </c>
      <c r="H869" t="s">
        <v>508</v>
      </c>
      <c r="I869" t="s">
        <v>509</v>
      </c>
      <c r="J869" t="s">
        <v>589</v>
      </c>
      <c r="K869" s="497">
        <f>ROUND(HLOOKUP($B869,'2-Préparation saisie LV PROD'!$F$1:$Q$86,'2-Préparation saisie LV PROD'!A62,FALSE),0)</f>
        <v>849426</v>
      </c>
      <c r="L869" t="str">
        <f>VLOOKUP(C869,Capacité!C:L,10,FALSE)</f>
        <v>Fond de la Plaine</v>
      </c>
    </row>
    <row r="870" spans="1:12">
      <c r="A870" t="s">
        <v>505</v>
      </c>
      <c r="B870" t="str">
        <f t="shared" si="154"/>
        <v>B22_11</v>
      </c>
      <c r="C870" s="323" t="str">
        <f t="shared" si="157"/>
        <v>E6130</v>
      </c>
      <c r="D870" t="str">
        <f t="shared" ref="D870:E885" si="159">D869</f>
        <v>NO_DATAVIEWS</v>
      </c>
      <c r="E870" s="62" t="str">
        <f t="shared" si="159"/>
        <v>NO_DEPARTMENTS</v>
      </c>
      <c r="F870" t="s">
        <v>506</v>
      </c>
      <c r="G870" t="s">
        <v>507</v>
      </c>
      <c r="H870" t="s">
        <v>508</v>
      </c>
      <c r="I870" t="s">
        <v>509</v>
      </c>
      <c r="J870" t="s">
        <v>589</v>
      </c>
      <c r="K870" s="497">
        <f>ROUND(HLOOKUP($B870,'2-Préparation saisie LV PROD'!$F$1:$Q$86,'2-Préparation saisie LV PROD'!A63,FALSE),0)</f>
        <v>1952723</v>
      </c>
      <c r="L870" t="str">
        <f>VLOOKUP(C870,Capacité!C:L,10,FALSE)</f>
        <v>Bassigny</v>
      </c>
    </row>
    <row r="871" spans="1:12">
      <c r="A871" t="s">
        <v>505</v>
      </c>
      <c r="B871" t="str">
        <f t="shared" si="154"/>
        <v>B22_11</v>
      </c>
      <c r="C871" s="323" t="str">
        <f t="shared" si="157"/>
        <v>E6210</v>
      </c>
      <c r="D871" t="str">
        <f t="shared" si="159"/>
        <v>NO_DATAVIEWS</v>
      </c>
      <c r="E871" s="62" t="str">
        <f t="shared" si="159"/>
        <v>NO_DEPARTMENTS</v>
      </c>
      <c r="F871" t="s">
        <v>506</v>
      </c>
      <c r="G871" t="s">
        <v>507</v>
      </c>
      <c r="H871" t="s">
        <v>508</v>
      </c>
      <c r="I871" t="s">
        <v>509</v>
      </c>
      <c r="J871" t="s">
        <v>589</v>
      </c>
      <c r="K871" s="497">
        <f>ROUND(HLOOKUP($B871,'2-Préparation saisie LV PROD'!$F$1:$Q$86,'2-Préparation saisie LV PROD'!A64,FALSE),0)</f>
        <v>1488556</v>
      </c>
      <c r="L871" t="str">
        <f>VLOOKUP(C871,Capacité!C:L,10,FALSE)</f>
        <v>Les Clérimois</v>
      </c>
    </row>
    <row r="872" spans="1:12">
      <c r="A872" t="s">
        <v>505</v>
      </c>
      <c r="B872" t="str">
        <f t="shared" si="154"/>
        <v>B22_11</v>
      </c>
      <c r="C872" s="323" t="str">
        <f t="shared" si="157"/>
        <v>E6160</v>
      </c>
      <c r="D872" t="str">
        <f t="shared" si="159"/>
        <v>NO_DATAVIEWS</v>
      </c>
      <c r="E872" s="62" t="str">
        <f t="shared" si="159"/>
        <v>NO_DEPARTMENTS</v>
      </c>
      <c r="F872" t="s">
        <v>506</v>
      </c>
      <c r="G872" t="s">
        <v>507</v>
      </c>
      <c r="H872" t="s">
        <v>508</v>
      </c>
      <c r="I872" t="s">
        <v>509</v>
      </c>
      <c r="J872" t="s">
        <v>589</v>
      </c>
      <c r="K872" s="497">
        <f>ROUND(HLOOKUP($B872,'2-Préparation saisie LV PROD'!$F$1:$Q$86,'2-Préparation saisie LV PROD'!A65,FALSE),0)</f>
        <v>1726523</v>
      </c>
      <c r="L872" t="str">
        <f>VLOOKUP(C872,Capacité!C:L,10,FALSE)</f>
        <v>Plateau de Langres</v>
      </c>
    </row>
    <row r="873" spans="1:12">
      <c r="A873" t="s">
        <v>505</v>
      </c>
      <c r="B873" t="str">
        <f t="shared" si="154"/>
        <v>B22_11</v>
      </c>
      <c r="C873" s="323" t="str">
        <f t="shared" si="157"/>
        <v>E6170</v>
      </c>
      <c r="D873" t="str">
        <f t="shared" si="159"/>
        <v>NO_DATAVIEWS</v>
      </c>
      <c r="E873" s="62" t="str">
        <f t="shared" si="159"/>
        <v>NO_DEPARTMENTS</v>
      </c>
      <c r="F873" t="s">
        <v>506</v>
      </c>
      <c r="G873" t="s">
        <v>507</v>
      </c>
      <c r="H873" t="s">
        <v>508</v>
      </c>
      <c r="I873" t="s">
        <v>509</v>
      </c>
      <c r="J873" t="s">
        <v>589</v>
      </c>
      <c r="K873" s="497">
        <f>ROUND(HLOOKUP($B873,'2-Préparation saisie LV PROD'!$F$1:$Q$86,'2-Préparation saisie LV PROD'!A66,FALSE),0)</f>
        <v>1577234</v>
      </c>
      <c r="L873" t="str">
        <f>VLOOKUP(C873,Capacité!C:L,10,FALSE)</f>
        <v>Les Moulins de Boulay</v>
      </c>
    </row>
    <row r="874" spans="1:12">
      <c r="A874" t="s">
        <v>505</v>
      </c>
      <c r="B874" t="str">
        <f t="shared" si="154"/>
        <v>B22_11</v>
      </c>
      <c r="C874" s="323" t="str">
        <f t="shared" si="157"/>
        <v>E6330</v>
      </c>
      <c r="D874" t="str">
        <f t="shared" si="159"/>
        <v>NO_DATAVIEWS</v>
      </c>
      <c r="E874" s="62" t="str">
        <f t="shared" si="159"/>
        <v>NO_DEPARTMENTS</v>
      </c>
      <c r="F874" t="s">
        <v>506</v>
      </c>
      <c r="G874" t="s">
        <v>507</v>
      </c>
      <c r="H874" t="s">
        <v>508</v>
      </c>
      <c r="I874" t="s">
        <v>509</v>
      </c>
      <c r="J874" t="s">
        <v>589</v>
      </c>
      <c r="K874" s="497">
        <f>ROUND(HLOOKUP($B874,'2-Préparation saisie LV PROD'!$F$1:$Q$86,'2-Préparation saisie LV PROD'!A67,FALSE),0)</f>
        <v>1905254</v>
      </c>
      <c r="L874" t="str">
        <f>VLOOKUP(C874,Capacité!C:L,10,FALSE)</f>
        <v>Morlange</v>
      </c>
    </row>
    <row r="875" spans="1:12">
      <c r="A875" t="s">
        <v>505</v>
      </c>
      <c r="B875" t="str">
        <f t="shared" si="154"/>
        <v>B22_11</v>
      </c>
      <c r="C875" s="323" t="str">
        <f t="shared" si="157"/>
        <v>E6140</v>
      </c>
      <c r="D875" t="str">
        <f t="shared" si="159"/>
        <v>NO_DATAVIEWS</v>
      </c>
      <c r="E875" s="62" t="str">
        <f t="shared" si="159"/>
        <v>NO_DEPARTMENTS</v>
      </c>
      <c r="F875" t="s">
        <v>506</v>
      </c>
      <c r="G875" t="s">
        <v>507</v>
      </c>
      <c r="H875" t="s">
        <v>508</v>
      </c>
      <c r="I875" t="s">
        <v>509</v>
      </c>
      <c r="J875" t="s">
        <v>589</v>
      </c>
      <c r="K875" s="497">
        <f>ROUND(HLOOKUP($B875,'2-Préparation saisie LV PROD'!$F$1:$Q$86,'2-Préparation saisie LV PROD'!A68,FALSE),0)</f>
        <v>0</v>
      </c>
      <c r="L875" t="str">
        <f>VLOOKUP(C875,Capacité!C:L,10,FALSE)</f>
        <v>Renardières mont de Bezard</v>
      </c>
    </row>
    <row r="876" spans="1:12">
      <c r="A876" t="s">
        <v>505</v>
      </c>
      <c r="B876" t="str">
        <f t="shared" si="154"/>
        <v>B22_11</v>
      </c>
      <c r="C876" s="323" t="str">
        <f t="shared" ref="C876:C886" si="160">C795</f>
        <v>E6350</v>
      </c>
      <c r="D876" t="str">
        <f t="shared" si="159"/>
        <v>NO_DATAVIEWS</v>
      </c>
      <c r="E876" s="62" t="str">
        <f t="shared" si="159"/>
        <v>NO_DEPARTMENTS</v>
      </c>
      <c r="F876" t="s">
        <v>506</v>
      </c>
      <c r="G876" t="s">
        <v>507</v>
      </c>
      <c r="H876" t="s">
        <v>508</v>
      </c>
      <c r="I876" t="s">
        <v>509</v>
      </c>
      <c r="J876" t="s">
        <v>589</v>
      </c>
      <c r="K876" s="497">
        <f>ROUND(HLOOKUP($B876,'2-Préparation saisie LV PROD'!$F$1:$Q$86,'2-Préparation saisie LV PROD'!A69,FALSE),0)</f>
        <v>2017473</v>
      </c>
      <c r="L876" t="str">
        <f>VLOOKUP(C876,Capacité!C:L,10,FALSE)</f>
        <v>Zondrange</v>
      </c>
    </row>
    <row r="877" spans="1:12">
      <c r="A877" t="s">
        <v>505</v>
      </c>
      <c r="B877" t="str">
        <f t="shared" si="154"/>
        <v>B22_11</v>
      </c>
      <c r="C877" s="323" t="str">
        <f t="shared" si="160"/>
        <v>E6360</v>
      </c>
      <c r="D877" t="str">
        <f t="shared" si="159"/>
        <v>NO_DATAVIEWS</v>
      </c>
      <c r="E877" s="62" t="str">
        <f t="shared" si="159"/>
        <v>NO_DEPARTMENTS</v>
      </c>
      <c r="F877" t="s">
        <v>506</v>
      </c>
      <c r="G877" t="s">
        <v>507</v>
      </c>
      <c r="H877" t="s">
        <v>508</v>
      </c>
      <c r="I877" t="s">
        <v>509</v>
      </c>
      <c r="J877" t="s">
        <v>589</v>
      </c>
      <c r="K877" s="497">
        <f>ROUND(HLOOKUP($B877,'2-Préparation saisie LV PROD'!$F$1:$Q$86,'2-Préparation saisie LV PROD'!A70,FALSE),0)</f>
        <v>2194761</v>
      </c>
      <c r="L877" t="str">
        <f>VLOOKUP(C877,Capacité!C:L,10,FALSE)</f>
        <v xml:space="preserve">Noyers </v>
      </c>
    </row>
    <row r="878" spans="1:12">
      <c r="A878" t="s">
        <v>505</v>
      </c>
      <c r="B878" t="str">
        <f>+$B$812</f>
        <v>B22_11</v>
      </c>
      <c r="C878" s="323" t="str">
        <f t="shared" si="160"/>
        <v>E5550</v>
      </c>
      <c r="D878" t="str">
        <f t="shared" si="159"/>
        <v>NO_DATAVIEWS</v>
      </c>
      <c r="E878" s="62" t="str">
        <f t="shared" si="159"/>
        <v>NO_DEPARTMENTS</v>
      </c>
      <c r="F878" t="s">
        <v>506</v>
      </c>
      <c r="G878" t="s">
        <v>507</v>
      </c>
      <c r="H878" t="s">
        <v>508</v>
      </c>
      <c r="I878" t="s">
        <v>509</v>
      </c>
      <c r="J878" t="s">
        <v>589</v>
      </c>
      <c r="K878" s="497">
        <f>ROUND(HLOOKUP($B878,'2-Préparation saisie LV PROD'!$F$1:$Q$86,'2-Préparation saisie LV PROD'!A71,FALSE),0)</f>
        <v>747337</v>
      </c>
      <c r="L878" t="str">
        <f>VLOOKUP(C878,Capacité!C:L,10,FALSE)</f>
        <v>Les Cigalettes (Montfort) / Solaire</v>
      </c>
    </row>
    <row r="879" spans="1:12">
      <c r="A879" t="s">
        <v>505</v>
      </c>
      <c r="B879" t="str">
        <f>+$B$812</f>
        <v>B22_11</v>
      </c>
      <c r="C879" s="323" t="str">
        <f t="shared" si="160"/>
        <v>E5250</v>
      </c>
      <c r="D879" t="str">
        <f t="shared" si="159"/>
        <v>NO_DATAVIEWS</v>
      </c>
      <c r="E879" s="62" t="str">
        <f t="shared" si="159"/>
        <v>NO_DEPARTMENTS</v>
      </c>
      <c r="F879" t="s">
        <v>506</v>
      </c>
      <c r="G879" t="s">
        <v>507</v>
      </c>
      <c r="H879" t="s">
        <v>508</v>
      </c>
      <c r="I879" t="s">
        <v>509</v>
      </c>
      <c r="J879" t="s">
        <v>589</v>
      </c>
      <c r="K879" s="497">
        <f>ROUND(HLOOKUP($B879,'2-Préparation saisie LV PROD'!$F$1:$Q$86,'2-Préparation saisie LV PROD'!A72,FALSE),0)</f>
        <v>271422</v>
      </c>
      <c r="L879" t="str">
        <f>VLOOKUP(C879,Capacité!C:L,10,FALSE)</f>
        <v>Avignonet / Solaire</v>
      </c>
    </row>
    <row r="880" spans="1:12">
      <c r="A880" t="s">
        <v>505</v>
      </c>
      <c r="B880" t="str">
        <f t="shared" ref="B880:B892" si="161">+$B$812</f>
        <v>B22_11</v>
      </c>
      <c r="C880" s="323" t="str">
        <f t="shared" si="160"/>
        <v>E6010</v>
      </c>
      <c r="D880" t="str">
        <f t="shared" si="159"/>
        <v>NO_DATAVIEWS</v>
      </c>
      <c r="E880" s="62" t="str">
        <f t="shared" si="159"/>
        <v>NO_DEPARTMENTS</v>
      </c>
      <c r="F880" t="s">
        <v>506</v>
      </c>
      <c r="G880" t="s">
        <v>507</v>
      </c>
      <c r="H880" t="s">
        <v>508</v>
      </c>
      <c r="I880" t="s">
        <v>509</v>
      </c>
      <c r="J880" t="s">
        <v>589</v>
      </c>
      <c r="K880" s="497">
        <f>ROUND(HLOOKUP($B880,'2-Préparation saisie LV PROD'!$F$1:$Q$86,'2-Préparation saisie LV PROD'!A74,FALSE),0)</f>
        <v>9789620</v>
      </c>
      <c r="L880" t="str">
        <f>VLOOKUP(C880,Capacité!C:L,10,FALSE)</f>
        <v>CDC-R</v>
      </c>
    </row>
    <row r="881" spans="1:12">
      <c r="A881" t="s">
        <v>505</v>
      </c>
      <c r="B881" t="str">
        <f t="shared" si="161"/>
        <v>B22_11</v>
      </c>
      <c r="C881" s="323" t="str">
        <f t="shared" si="160"/>
        <v>E6280</v>
      </c>
      <c r="D881" t="str">
        <f t="shared" si="159"/>
        <v>NO_DATAVIEWS</v>
      </c>
      <c r="E881" s="62" t="str">
        <f t="shared" si="159"/>
        <v>NO_DEPARTMENTS</v>
      </c>
      <c r="F881" t="s">
        <v>506</v>
      </c>
      <c r="G881" t="s">
        <v>507</v>
      </c>
      <c r="H881" t="s">
        <v>508</v>
      </c>
      <c r="I881" t="s">
        <v>509</v>
      </c>
      <c r="J881" t="s">
        <v>589</v>
      </c>
      <c r="K881" s="497">
        <f>ROUND(HLOOKUP($B881,'2-Préparation saisie LV PROD'!$F$1:$Q$86,'2-Préparation saisie LV PROD'!A75,FALSE),0)</f>
        <v>2830067</v>
      </c>
      <c r="L881" t="str">
        <f>VLOOKUP(C881,Capacité!C:L,10,FALSE)</f>
        <v>BPF</v>
      </c>
    </row>
    <row r="882" spans="1:12">
      <c r="A882" t="s">
        <v>505</v>
      </c>
      <c r="B882" t="str">
        <f t="shared" si="161"/>
        <v>B22_11</v>
      </c>
      <c r="C882" s="323" t="str">
        <f t="shared" si="160"/>
        <v>E5930</v>
      </c>
      <c r="D882" t="str">
        <f t="shared" si="159"/>
        <v>NO_DATAVIEWS</v>
      </c>
      <c r="E882" s="62" t="str">
        <f t="shared" si="159"/>
        <v>NO_DEPARTMENTS</v>
      </c>
      <c r="F882" t="s">
        <v>506</v>
      </c>
      <c r="G882" t="s">
        <v>507</v>
      </c>
      <c r="H882" t="s">
        <v>508</v>
      </c>
      <c r="I882" t="s">
        <v>509</v>
      </c>
      <c r="J882" t="s">
        <v>589</v>
      </c>
      <c r="K882" s="497">
        <f>ROUND(HLOOKUP($B882,'2-Préparation saisie LV PROD'!$F$1:$Q$86,'2-Préparation saisie LV PROD'!A76,FALSE),0)</f>
        <v>4255490</v>
      </c>
      <c r="L882" t="str">
        <f>VLOOKUP(C882,Capacité!C:L,10,FALSE)</f>
        <v>XSB</v>
      </c>
    </row>
    <row r="883" spans="1:12" s="4" customFormat="1">
      <c r="A883" s="4" t="s">
        <v>505</v>
      </c>
      <c r="B883" s="4" t="str">
        <f t="shared" si="161"/>
        <v>B22_11</v>
      </c>
      <c r="C883" s="323" t="str">
        <f t="shared" si="160"/>
        <v>E5880</v>
      </c>
      <c r="D883" t="str">
        <f t="shared" si="159"/>
        <v>NO_DATAVIEWS</v>
      </c>
      <c r="E883" s="62" t="str">
        <f t="shared" si="159"/>
        <v>NO_DEPARTMENTS</v>
      </c>
      <c r="F883" s="4" t="s">
        <v>506</v>
      </c>
      <c r="G883" s="4" t="s">
        <v>507</v>
      </c>
      <c r="H883" s="4" t="s">
        <v>508</v>
      </c>
      <c r="I883" s="4" t="s">
        <v>509</v>
      </c>
      <c r="J883" s="4" t="s">
        <v>589</v>
      </c>
      <c r="K883" s="497">
        <f>ROUND(HLOOKUP($B883,'2-Préparation saisie LV PROD'!$F$1:$Q$86,'2-Préparation saisie LV PROD'!A77,FALSE),0)</f>
        <v>4049901</v>
      </c>
      <c r="L883" t="str">
        <f>VLOOKUP(C883,Capacité!C:L,10,FALSE)</f>
        <v>Extension plaine d'Escrebieux</v>
      </c>
    </row>
    <row r="884" spans="1:12" s="4" customFormat="1">
      <c r="A884" s="4" t="s">
        <v>505</v>
      </c>
      <c r="B884" s="4" t="str">
        <f t="shared" si="161"/>
        <v>B22_11</v>
      </c>
      <c r="C884" s="323" t="str">
        <f t="shared" si="160"/>
        <v>E6720</v>
      </c>
      <c r="D884" t="str">
        <f t="shared" si="159"/>
        <v>NO_DATAVIEWS</v>
      </c>
      <c r="E884" s="62" t="str">
        <f t="shared" si="159"/>
        <v>NO_DEPARTMENTS</v>
      </c>
      <c r="F884" s="4" t="s">
        <v>506</v>
      </c>
      <c r="G884" s="4" t="s">
        <v>507</v>
      </c>
      <c r="H884" s="4" t="s">
        <v>508</v>
      </c>
      <c r="I884" s="4" t="s">
        <v>509</v>
      </c>
      <c r="J884" s="4" t="s">
        <v>589</v>
      </c>
      <c r="K884" s="497">
        <f>ROUND(HLOOKUP($B884,'2-Préparation saisie LV PROD'!$F$1:$Q$86,'2-Préparation saisie LV PROD'!A78,FALSE),0)</f>
        <v>586980</v>
      </c>
      <c r="L884" t="str">
        <f>VLOOKUP(C884,Capacité!C:L,10,FALSE)</f>
        <v xml:space="preserve">St Christophe - Clé des champs / Solaire </v>
      </c>
    </row>
    <row r="885" spans="1:12" s="4" customFormat="1">
      <c r="A885" s="4" t="s">
        <v>505</v>
      </c>
      <c r="B885" s="4" t="str">
        <f t="shared" si="161"/>
        <v>B22_11</v>
      </c>
      <c r="C885" s="323" t="str">
        <f t="shared" si="160"/>
        <v>E6040</v>
      </c>
      <c r="D885" t="str">
        <f t="shared" si="159"/>
        <v>NO_DATAVIEWS</v>
      </c>
      <c r="E885" s="62" t="str">
        <f t="shared" si="159"/>
        <v>NO_DEPARTMENTS</v>
      </c>
      <c r="F885" s="4" t="s">
        <v>506</v>
      </c>
      <c r="G885" s="4" t="s">
        <v>507</v>
      </c>
      <c r="H885" s="4" t="s">
        <v>508</v>
      </c>
      <c r="I885" s="4" t="s">
        <v>509</v>
      </c>
      <c r="J885" s="4" t="s">
        <v>589</v>
      </c>
      <c r="K885" s="497">
        <f>ROUND(HLOOKUP($B885,'2-Préparation saisie LV PROD'!$F$1:$Q$86,'2-Préparation saisie LV PROD'!A79,FALSE),0)</f>
        <v>985136</v>
      </c>
      <c r="L885" t="str">
        <f>VLOOKUP(C885,Capacité!C:L,10,FALSE)</f>
        <v>Peyrolles / Solaire</v>
      </c>
    </row>
    <row r="886" spans="1:12" s="4" customFormat="1">
      <c r="A886" s="4" t="s">
        <v>505</v>
      </c>
      <c r="B886" s="4" t="str">
        <f t="shared" si="161"/>
        <v>B22_11</v>
      </c>
      <c r="C886" s="323" t="str">
        <f t="shared" si="160"/>
        <v>E6310</v>
      </c>
      <c r="D886" t="str">
        <f t="shared" ref="D886:E907" si="162">D885</f>
        <v>NO_DATAVIEWS</v>
      </c>
      <c r="E886" s="62" t="str">
        <f t="shared" si="162"/>
        <v>NO_DEPARTMENTS</v>
      </c>
      <c r="F886" s="4" t="s">
        <v>506</v>
      </c>
      <c r="G886" s="4" t="s">
        <v>507</v>
      </c>
      <c r="H886" s="4" t="s">
        <v>508</v>
      </c>
      <c r="I886" s="4" t="s">
        <v>509</v>
      </c>
      <c r="J886" s="4" t="s">
        <v>589</v>
      </c>
      <c r="K886" s="497">
        <f>ROUND(HLOOKUP($B886,'2-Préparation saisie LV PROD'!$F$1:$Q$86,'2-Préparation saisie LV PROD'!A80,FALSE),0)</f>
        <v>3337231</v>
      </c>
      <c r="L886" t="str">
        <f>VLOOKUP(C886,Capacité!C:L,10,FALSE)</f>
        <v>Bazougeais</v>
      </c>
    </row>
    <row r="887" spans="1:12" s="4" customFormat="1">
      <c r="A887" s="4" t="s">
        <v>505</v>
      </c>
      <c r="B887" s="4" t="str">
        <f t="shared" si="161"/>
        <v>B22_11</v>
      </c>
      <c r="C887" s="323" t="str">
        <f t="shared" ref="C887:C892" si="163">C806</f>
        <v>E6571</v>
      </c>
      <c r="D887" t="str">
        <f t="shared" ref="D887:E887" si="164">D886</f>
        <v>NO_DATAVIEWS</v>
      </c>
      <c r="E887" s="62" t="str">
        <f t="shared" si="164"/>
        <v>NO_DEPARTMENTS</v>
      </c>
      <c r="F887" s="4" t="s">
        <v>506</v>
      </c>
      <c r="G887" s="4" t="s">
        <v>507</v>
      </c>
      <c r="H887" s="4" t="s">
        <v>508</v>
      </c>
      <c r="I887" s="4" t="s">
        <v>509</v>
      </c>
      <c r="J887" s="4" t="s">
        <v>589</v>
      </c>
      <c r="K887" s="497">
        <f>ROUND(HLOOKUP($B887,'2-Préparation saisie LV PROD'!$F$1:$Q$86,'2-Préparation saisie LV PROD'!A81,FALSE),0)</f>
        <v>0</v>
      </c>
      <c r="L887" t="s">
        <v>3538</v>
      </c>
    </row>
    <row r="888" spans="1:12" s="4" customFormat="1">
      <c r="A888" s="4" t="s">
        <v>505</v>
      </c>
      <c r="B888" s="4" t="str">
        <f t="shared" si="161"/>
        <v>B22_11</v>
      </c>
      <c r="C888" s="323" t="str">
        <f t="shared" si="163"/>
        <v>E5890</v>
      </c>
      <c r="D888" t="str">
        <f t="shared" ref="D888:E888" si="165">D887</f>
        <v>NO_DATAVIEWS</v>
      </c>
      <c r="E888" s="62" t="str">
        <f t="shared" si="165"/>
        <v>NO_DEPARTMENTS</v>
      </c>
      <c r="F888" s="4" t="s">
        <v>506</v>
      </c>
      <c r="G888" s="4" t="s">
        <v>507</v>
      </c>
      <c r="H888" s="4" t="s">
        <v>508</v>
      </c>
      <c r="I888" s="4" t="s">
        <v>509</v>
      </c>
      <c r="J888" s="4" t="s">
        <v>589</v>
      </c>
      <c r="K888" s="497">
        <f>ROUND(HLOOKUP($B888,'2-Préparation saisie LV PROD'!$F$1:$Q$86,'2-Préparation saisie LV PROD'!A82,FALSE),0)</f>
        <v>2222382</v>
      </c>
      <c r="L888" t="str">
        <f>VLOOKUP(C888,Capacité!C:L,10,FALSE)</f>
        <v>La Grande Borne</v>
      </c>
    </row>
    <row r="889" spans="1:12" s="4" customFormat="1">
      <c r="A889" s="4" t="s">
        <v>505</v>
      </c>
      <c r="B889" s="4" t="str">
        <f t="shared" si="161"/>
        <v>B22_11</v>
      </c>
      <c r="C889" s="323" t="str">
        <f t="shared" si="163"/>
        <v>E6730</v>
      </c>
      <c r="D889" t="str">
        <f t="shared" ref="D889:E889" si="166">D888</f>
        <v>NO_DATAVIEWS</v>
      </c>
      <c r="E889" s="62" t="str">
        <f t="shared" si="166"/>
        <v>NO_DEPARTMENTS</v>
      </c>
      <c r="F889" s="4" t="s">
        <v>506</v>
      </c>
      <c r="G889" s="4" t="s">
        <v>507</v>
      </c>
      <c r="H889" s="4" t="s">
        <v>508</v>
      </c>
      <c r="I889" s="4" t="s">
        <v>509</v>
      </c>
      <c r="J889" s="4" t="s">
        <v>589</v>
      </c>
      <c r="K889" s="497">
        <f>ROUND(HLOOKUP($B889,'2-Préparation saisie LV PROD'!$F$1:$Q$86,'2-Préparation saisie LV PROD'!A83,FALSE),0)</f>
        <v>4223061</v>
      </c>
      <c r="L889" t="str">
        <f>VLOOKUP(C889,Capacité!C:L,10,FALSE)</f>
        <v xml:space="preserve">R-EEJ - Evits et Josaphats </v>
      </c>
    </row>
    <row r="890" spans="1:12" s="4" customFormat="1">
      <c r="A890" s="4" t="s">
        <v>505</v>
      </c>
      <c r="B890" s="4" t="str">
        <f t="shared" si="161"/>
        <v>B22_11</v>
      </c>
      <c r="C890" s="323" t="str">
        <f t="shared" si="163"/>
        <v>E6740</v>
      </c>
      <c r="D890" t="str">
        <f t="shared" ref="D890:E890" si="167">D889</f>
        <v>NO_DATAVIEWS</v>
      </c>
      <c r="E890" s="62" t="str">
        <f t="shared" si="167"/>
        <v>NO_DEPARTMENTS</v>
      </c>
      <c r="F890" s="4" t="s">
        <v>506</v>
      </c>
      <c r="G890" s="4" t="s">
        <v>507</v>
      </c>
      <c r="H890" s="4" t="s">
        <v>508</v>
      </c>
      <c r="I890" s="4" t="s">
        <v>509</v>
      </c>
      <c r="J890" s="4" t="s">
        <v>589</v>
      </c>
      <c r="K890" s="497">
        <f>ROUND(HLOOKUP($B890,'2-Préparation saisie LV PROD'!$F$1:$Q$86,'2-Préparation saisie LV PROD'!A84,FALSE),0)</f>
        <v>4051731</v>
      </c>
      <c r="L890" t="str">
        <f>VLOOKUP(C890,Capacité!C:L,10,FALSE)</f>
        <v>R-RCL - Remise Reclainville</v>
      </c>
    </row>
    <row r="891" spans="1:12" s="4" customFormat="1">
      <c r="A891" s="4" t="s">
        <v>505</v>
      </c>
      <c r="B891" s="4" t="str">
        <f t="shared" si="161"/>
        <v>B22_11</v>
      </c>
      <c r="C891" s="323" t="str">
        <f t="shared" si="163"/>
        <v>E6290</v>
      </c>
      <c r="D891" t="str">
        <f t="shared" ref="D891:E891" si="168">D890</f>
        <v>NO_DATAVIEWS</v>
      </c>
      <c r="E891" s="62" t="str">
        <f t="shared" si="168"/>
        <v>NO_DEPARTMENTS</v>
      </c>
      <c r="F891" s="4" t="s">
        <v>506</v>
      </c>
      <c r="G891" s="4" t="s">
        <v>507</v>
      </c>
      <c r="H891" s="4" t="s">
        <v>508</v>
      </c>
      <c r="I891" s="4" t="s">
        <v>509</v>
      </c>
      <c r="J891" s="4" t="s">
        <v>589</v>
      </c>
      <c r="K891" s="497">
        <f>ROUND(HLOOKUP($B891,'2-Préparation saisie LV PROD'!$F$1:$Q$86,'2-Préparation saisie LV PROD'!A85,FALSE),0)</f>
        <v>5577249</v>
      </c>
      <c r="L891" t="str">
        <f>VLOOKUP(C891,Capacité!C:L,10,FALSE)</f>
        <v>Bois des Fontaines (extension EEJ)</v>
      </c>
    </row>
    <row r="892" spans="1:12" s="4" customFormat="1">
      <c r="A892" s="4" t="s">
        <v>505</v>
      </c>
      <c r="B892" s="4" t="str">
        <f t="shared" si="161"/>
        <v>B22_11</v>
      </c>
      <c r="C892" s="323" t="str">
        <f t="shared" si="163"/>
        <v>E6760</v>
      </c>
      <c r="D892" t="str">
        <f t="shared" ref="D892:E892" si="169">D891</f>
        <v>NO_DATAVIEWS</v>
      </c>
      <c r="E892" s="62" t="str">
        <f t="shared" si="169"/>
        <v>NO_DEPARTMENTS</v>
      </c>
      <c r="F892" s="4" t="s">
        <v>506</v>
      </c>
      <c r="G892" s="4" t="s">
        <v>507</v>
      </c>
      <c r="H892" s="4" t="s">
        <v>508</v>
      </c>
      <c r="I892" s="4" t="s">
        <v>509</v>
      </c>
      <c r="J892" s="4" t="s">
        <v>589</v>
      </c>
      <c r="K892" s="497">
        <f>ROUND(HLOOKUP($B892,'2-Préparation saisie LV PROD'!$F$1:$Q$86,'2-Préparation saisie LV PROD'!A86,FALSE),0)</f>
        <v>5066169</v>
      </c>
      <c r="L892" t="str">
        <f>VLOOKUP(C892,Capacité!C:L,10,FALSE)</f>
        <v>R-BGV - Bougainville</v>
      </c>
    </row>
    <row r="893" spans="1:12">
      <c r="A893" t="s">
        <v>505</v>
      </c>
      <c r="B893" s="3" t="s">
        <v>3367</v>
      </c>
      <c r="C893" s="323" t="str">
        <f t="shared" ref="C893:C924" si="170">C812</f>
        <v>E5030</v>
      </c>
      <c r="D893" t="str">
        <f>D886</f>
        <v>NO_DATAVIEWS</v>
      </c>
      <c r="E893" s="62" t="str">
        <f>E886</f>
        <v>NO_DEPARTMENTS</v>
      </c>
      <c r="F893" t="s">
        <v>506</v>
      </c>
      <c r="G893" t="s">
        <v>507</v>
      </c>
      <c r="H893" t="s">
        <v>508</v>
      </c>
      <c r="I893" t="s">
        <v>509</v>
      </c>
      <c r="J893" t="s">
        <v>589</v>
      </c>
      <c r="K893" s="497">
        <f>ROUND(HLOOKUP($B893,'2-Préparation saisie LV PROD'!$F$1:$Q$86,'2-Préparation saisie LV PROD'!A5,FALSE),0)</f>
        <v>1615826</v>
      </c>
      <c r="L893" t="str">
        <f>VLOOKUP(C893,Capacité!C:L,10,FALSE)</f>
        <v>Avignonet</v>
      </c>
    </row>
    <row r="894" spans="1:12">
      <c r="A894" t="s">
        <v>505</v>
      </c>
      <c r="B894" t="str">
        <f>+$B$893</f>
        <v>B22_12</v>
      </c>
      <c r="C894" s="323" t="str">
        <f t="shared" si="170"/>
        <v>E5040</v>
      </c>
      <c r="D894" t="str">
        <f t="shared" si="162"/>
        <v>NO_DATAVIEWS</v>
      </c>
      <c r="E894" s="62" t="str">
        <f t="shared" si="162"/>
        <v>NO_DEPARTMENTS</v>
      </c>
      <c r="F894" t="s">
        <v>506</v>
      </c>
      <c r="G894" t="s">
        <v>507</v>
      </c>
      <c r="H894" t="s">
        <v>508</v>
      </c>
      <c r="I894" t="s">
        <v>509</v>
      </c>
      <c r="J894" t="s">
        <v>589</v>
      </c>
      <c r="K894" s="497">
        <f>ROUND(HLOOKUP($B894,'2-Préparation saisie LV PROD'!$F$1:$Q$86,'2-Préparation saisie LV PROD'!A6,FALSE),0)</f>
        <v>749515</v>
      </c>
      <c r="L894" t="str">
        <f>VLOOKUP(C894,Capacité!C:L,10,FALSE)</f>
        <v>Chépy</v>
      </c>
    </row>
    <row r="895" spans="1:12">
      <c r="A895" t="s">
        <v>505</v>
      </c>
      <c r="B895" t="str">
        <f t="shared" ref="B895:B958" si="171">+$B$893</f>
        <v>B22_12</v>
      </c>
      <c r="C895" s="323" t="str">
        <f t="shared" si="170"/>
        <v>E5050</v>
      </c>
      <c r="D895" t="str">
        <f t="shared" si="162"/>
        <v>NO_DATAVIEWS</v>
      </c>
      <c r="E895" s="62" t="str">
        <f t="shared" si="162"/>
        <v>NO_DEPARTMENTS</v>
      </c>
      <c r="F895" t="s">
        <v>506</v>
      </c>
      <c r="G895" t="s">
        <v>507</v>
      </c>
      <c r="H895" t="s">
        <v>508</v>
      </c>
      <c r="I895" t="s">
        <v>509</v>
      </c>
      <c r="J895" t="s">
        <v>589</v>
      </c>
      <c r="K895" s="497">
        <f>ROUND(HLOOKUP($B895,'2-Préparation saisie LV PROD'!$F$1:$Q$86,'2-Préparation saisie LV PROD'!A7,FALSE),0)</f>
        <v>2211663</v>
      </c>
      <c r="L895" t="str">
        <f>VLOOKUP(C895,Capacité!C:L,10,FALSE)</f>
        <v>Nibas</v>
      </c>
    </row>
    <row r="896" spans="1:12">
      <c r="A896" t="s">
        <v>505</v>
      </c>
      <c r="B896" t="str">
        <f t="shared" si="171"/>
        <v>B22_12</v>
      </c>
      <c r="C896" s="323" t="str">
        <f t="shared" si="170"/>
        <v>E5070</v>
      </c>
      <c r="D896" t="str">
        <f t="shared" si="162"/>
        <v>NO_DATAVIEWS</v>
      </c>
      <c r="E896" s="62" t="str">
        <f t="shared" si="162"/>
        <v>NO_DEPARTMENTS</v>
      </c>
      <c r="F896" t="s">
        <v>506</v>
      </c>
      <c r="G896" t="s">
        <v>507</v>
      </c>
      <c r="H896" t="s">
        <v>508</v>
      </c>
      <c r="I896" t="s">
        <v>509</v>
      </c>
      <c r="J896" t="s">
        <v>589</v>
      </c>
      <c r="K896" s="497">
        <f>ROUND(HLOOKUP($B896,'2-Préparation saisie LV PROD'!$F$1:$Q$86,'2-Préparation saisie LV PROD'!A8,FALSE),0)</f>
        <v>2263211</v>
      </c>
      <c r="L896" t="str">
        <f>VLOOKUP(C896,Capacité!C:L,10,FALSE)</f>
        <v>Ally Bessadous</v>
      </c>
    </row>
    <row r="897" spans="1:12">
      <c r="A897" t="s">
        <v>505</v>
      </c>
      <c r="B897" t="str">
        <f t="shared" si="171"/>
        <v>B22_12</v>
      </c>
      <c r="C897" s="323" t="str">
        <f t="shared" si="170"/>
        <v>E5080</v>
      </c>
      <c r="D897" t="str">
        <f t="shared" si="162"/>
        <v>NO_DATAVIEWS</v>
      </c>
      <c r="E897" s="62" t="str">
        <f t="shared" si="162"/>
        <v>NO_DEPARTMENTS</v>
      </c>
      <c r="F897" t="s">
        <v>506</v>
      </c>
      <c r="G897" t="s">
        <v>507</v>
      </c>
      <c r="H897" t="s">
        <v>508</v>
      </c>
      <c r="I897" t="s">
        <v>509</v>
      </c>
      <c r="J897" t="s">
        <v>589</v>
      </c>
      <c r="K897" s="497">
        <f>ROUND(HLOOKUP($B897,'2-Préparation saisie LV PROD'!$F$1:$Q$86,'2-Préparation saisie LV PROD'!A9,FALSE),0)</f>
        <v>1507159</v>
      </c>
      <c r="L897" t="str">
        <f>VLOOKUP(C897,Capacité!C:L,10,FALSE)</f>
        <v>Ally Mercoeur</v>
      </c>
    </row>
    <row r="898" spans="1:12">
      <c r="A898" t="s">
        <v>505</v>
      </c>
      <c r="B898" t="str">
        <f t="shared" si="171"/>
        <v>B22_12</v>
      </c>
      <c r="C898" s="323" t="str">
        <f t="shared" si="170"/>
        <v>E5090</v>
      </c>
      <c r="D898" t="str">
        <f t="shared" si="162"/>
        <v>NO_DATAVIEWS</v>
      </c>
      <c r="E898" s="62" t="str">
        <f t="shared" si="162"/>
        <v>NO_DEPARTMENTS</v>
      </c>
      <c r="F898" t="s">
        <v>506</v>
      </c>
      <c r="G898" t="s">
        <v>507</v>
      </c>
      <c r="H898" t="s">
        <v>508</v>
      </c>
      <c r="I898" t="s">
        <v>509</v>
      </c>
      <c r="J898" t="s">
        <v>589</v>
      </c>
      <c r="K898" s="497">
        <f>ROUND(HLOOKUP($B898,'2-Préparation saisie LV PROD'!$F$1:$Q$86,'2-Préparation saisie LV PROD'!A10,FALSE),0)</f>
        <v>1957530</v>
      </c>
      <c r="L898" t="str">
        <f>VLOOKUP(C898,Capacité!C:L,10,FALSE)</f>
        <v>Ally Monteil</v>
      </c>
    </row>
    <row r="899" spans="1:12">
      <c r="A899" t="s">
        <v>505</v>
      </c>
      <c r="B899" t="str">
        <f t="shared" si="171"/>
        <v>B22_12</v>
      </c>
      <c r="C899" s="323" t="str">
        <f t="shared" si="170"/>
        <v>E5100</v>
      </c>
      <c r="D899" t="str">
        <f t="shared" si="162"/>
        <v>NO_DATAVIEWS</v>
      </c>
      <c r="E899" s="62" t="str">
        <f t="shared" si="162"/>
        <v>NO_DEPARTMENTS</v>
      </c>
      <c r="F899" t="s">
        <v>506</v>
      </c>
      <c r="G899" t="s">
        <v>507</v>
      </c>
      <c r="H899" t="s">
        <v>508</v>
      </c>
      <c r="I899" t="s">
        <v>509</v>
      </c>
      <c r="J899" t="s">
        <v>589</v>
      </c>
      <c r="K899" s="497">
        <f>ROUND(HLOOKUP($B899,'2-Préparation saisie LV PROD'!$F$1:$Q$86,'2-Préparation saisie LV PROD'!A11,FALSE),0)</f>
        <v>2369730</v>
      </c>
      <c r="L899" t="str">
        <f>VLOOKUP(C899,Capacité!C:L,10,FALSE)</f>
        <v>Ally Verseilles</v>
      </c>
    </row>
    <row r="900" spans="1:12">
      <c r="A900" t="s">
        <v>505</v>
      </c>
      <c r="B900" t="str">
        <f t="shared" si="171"/>
        <v>B22_12</v>
      </c>
      <c r="C900" s="323" t="str">
        <f t="shared" si="170"/>
        <v>E5110</v>
      </c>
      <c r="D900" t="str">
        <f t="shared" si="162"/>
        <v>NO_DATAVIEWS</v>
      </c>
      <c r="E900" s="62" t="str">
        <f t="shared" si="162"/>
        <v>NO_DEPARTMENTS</v>
      </c>
      <c r="F900" t="s">
        <v>506</v>
      </c>
      <c r="G900" t="s">
        <v>507</v>
      </c>
      <c r="H900" t="s">
        <v>508</v>
      </c>
      <c r="I900" t="s">
        <v>509</v>
      </c>
      <c r="J900" t="s">
        <v>589</v>
      </c>
      <c r="K900" s="497">
        <f>ROUND(HLOOKUP($B900,'2-Préparation saisie LV PROD'!$F$1:$Q$86,'2-Préparation saisie LV PROD'!A12,FALSE),0)</f>
        <v>0</v>
      </c>
      <c r="L900" t="str">
        <f>VLOOKUP(C900,Capacité!C:L,10,FALSE)</f>
        <v>Cham Longe Bel Air</v>
      </c>
    </row>
    <row r="901" spans="1:12">
      <c r="A901" t="s">
        <v>505</v>
      </c>
      <c r="B901" t="str">
        <f t="shared" si="171"/>
        <v>B22_12</v>
      </c>
      <c r="C901" s="323" t="str">
        <f t="shared" si="170"/>
        <v>E5120</v>
      </c>
      <c r="D901" t="str">
        <f t="shared" si="162"/>
        <v>NO_DATAVIEWS</v>
      </c>
      <c r="E901" s="62" t="str">
        <f t="shared" si="162"/>
        <v>NO_DEPARTMENTS</v>
      </c>
      <c r="F901" t="s">
        <v>506</v>
      </c>
      <c r="G901" t="s">
        <v>507</v>
      </c>
      <c r="H901" t="s">
        <v>508</v>
      </c>
      <c r="I901" t="s">
        <v>509</v>
      </c>
      <c r="J901" t="s">
        <v>589</v>
      </c>
      <c r="K901" s="497">
        <f>ROUND(HLOOKUP($B901,'2-Préparation saisie LV PROD'!$F$1:$Q$86,'2-Préparation saisie LV PROD'!A13,FALSE),0)</f>
        <v>0</v>
      </c>
      <c r="L901" t="str">
        <f>VLOOKUP(C901,Capacité!C:L,10,FALSE)</f>
        <v>Cham Longe Le Courbil (Eole Cevennes)</v>
      </c>
    </row>
    <row r="902" spans="1:12">
      <c r="A902" t="s">
        <v>505</v>
      </c>
      <c r="B902" t="str">
        <f t="shared" si="171"/>
        <v>B22_12</v>
      </c>
      <c r="C902" s="323" t="str">
        <f t="shared" si="170"/>
        <v>E5150</v>
      </c>
      <c r="D902" t="str">
        <f t="shared" si="162"/>
        <v>NO_DATAVIEWS</v>
      </c>
      <c r="E902" s="62" t="str">
        <f t="shared" si="162"/>
        <v>NO_DEPARTMENTS</v>
      </c>
      <c r="F902" t="s">
        <v>506</v>
      </c>
      <c r="G902" t="s">
        <v>507</v>
      </c>
      <c r="H902" t="s">
        <v>508</v>
      </c>
      <c r="I902" t="s">
        <v>509</v>
      </c>
      <c r="J902" t="s">
        <v>589</v>
      </c>
      <c r="K902" s="497">
        <f>ROUND(HLOOKUP($B902,'2-Préparation saisie LV PROD'!$F$1:$Q$86,'2-Préparation saisie LV PROD'!A14,FALSE),0)</f>
        <v>1355490</v>
      </c>
      <c r="L902" t="str">
        <f>VLOOKUP(C902,Capacité!C:L,10,FALSE)</f>
        <v>Cham Longe II</v>
      </c>
    </row>
    <row r="903" spans="1:12">
      <c r="A903" t="s">
        <v>505</v>
      </c>
      <c r="B903" t="str">
        <f t="shared" si="171"/>
        <v>B22_12</v>
      </c>
      <c r="C903" s="323" t="str">
        <f t="shared" si="170"/>
        <v>E5130</v>
      </c>
      <c r="D903" t="str">
        <f t="shared" si="162"/>
        <v>NO_DATAVIEWS</v>
      </c>
      <c r="E903" s="62" t="str">
        <f t="shared" si="162"/>
        <v>NO_DEPARTMENTS</v>
      </c>
      <c r="F903" t="s">
        <v>506</v>
      </c>
      <c r="G903" t="s">
        <v>507</v>
      </c>
      <c r="H903" t="s">
        <v>508</v>
      </c>
      <c r="I903" t="s">
        <v>509</v>
      </c>
      <c r="J903" t="s">
        <v>589</v>
      </c>
      <c r="K903" s="497">
        <f>ROUND(HLOOKUP($B903,'2-Préparation saisie LV PROD'!$F$1:$Q$86,'2-Préparation saisie LV PROD'!A15,FALSE),0)</f>
        <v>2215296</v>
      </c>
      <c r="L903" t="str">
        <f>VLOOKUP(C903,Capacité!C:L,10,FALSE)</f>
        <v>Plouguin</v>
      </c>
    </row>
    <row r="904" spans="1:12">
      <c r="A904" t="s">
        <v>505</v>
      </c>
      <c r="B904" t="str">
        <f t="shared" si="171"/>
        <v>B22_12</v>
      </c>
      <c r="C904" s="323" t="str">
        <f t="shared" si="170"/>
        <v>E5140</v>
      </c>
      <c r="D904" t="str">
        <f t="shared" si="162"/>
        <v>NO_DATAVIEWS</v>
      </c>
      <c r="E904" s="62" t="str">
        <f t="shared" si="162"/>
        <v>NO_DEPARTMENTS</v>
      </c>
      <c r="F904" t="s">
        <v>506</v>
      </c>
      <c r="G904" t="s">
        <v>507</v>
      </c>
      <c r="H904" t="s">
        <v>508</v>
      </c>
      <c r="I904" t="s">
        <v>509</v>
      </c>
      <c r="J904" t="s">
        <v>589</v>
      </c>
      <c r="K904" s="497">
        <f>ROUND(HLOOKUP($B904,'2-Préparation saisie LV PROD'!$F$1:$Q$86,'2-Préparation saisie LV PROD'!A16,FALSE),0)</f>
        <v>3035963</v>
      </c>
      <c r="L904" t="str">
        <f>VLOOKUP(C904,Capacité!C:L,10,FALSE)</f>
        <v>La Citadelle</v>
      </c>
    </row>
    <row r="905" spans="1:12">
      <c r="A905" t="s">
        <v>505</v>
      </c>
      <c r="B905" t="str">
        <f t="shared" si="171"/>
        <v>B22_12</v>
      </c>
      <c r="C905" s="323" t="str">
        <f t="shared" si="170"/>
        <v>E5160</v>
      </c>
      <c r="D905" t="str">
        <f t="shared" si="162"/>
        <v>NO_DATAVIEWS</v>
      </c>
      <c r="E905" s="62" t="str">
        <f t="shared" si="162"/>
        <v>NO_DEPARTMENTS</v>
      </c>
      <c r="F905" t="s">
        <v>506</v>
      </c>
      <c r="G905" t="s">
        <v>507</v>
      </c>
      <c r="H905" t="s">
        <v>508</v>
      </c>
      <c r="I905" t="s">
        <v>509</v>
      </c>
      <c r="J905" t="s">
        <v>589</v>
      </c>
      <c r="K905" s="497">
        <f>ROUND(HLOOKUP($B905,'2-Préparation saisie LV PROD'!$F$1:$Q$86,'2-Préparation saisie LV PROD'!A17,FALSE),0)</f>
        <v>2416139</v>
      </c>
      <c r="L905" t="str">
        <f>VLOOKUP(C905,Capacité!C:L,10,FALSE)</f>
        <v>Chasse Marée</v>
      </c>
    </row>
    <row r="906" spans="1:12">
      <c r="A906" t="s">
        <v>505</v>
      </c>
      <c r="B906" t="str">
        <f t="shared" si="171"/>
        <v>B22_12</v>
      </c>
      <c r="C906" s="323" t="str">
        <f t="shared" si="170"/>
        <v>E5170</v>
      </c>
      <c r="D906" t="str">
        <f t="shared" si="162"/>
        <v>NO_DATAVIEWS</v>
      </c>
      <c r="E906" s="62" t="str">
        <f t="shared" si="162"/>
        <v>NO_DEPARTMENTS</v>
      </c>
      <c r="F906" t="s">
        <v>506</v>
      </c>
      <c r="G906" t="s">
        <v>507</v>
      </c>
      <c r="H906" t="s">
        <v>508</v>
      </c>
      <c r="I906" t="s">
        <v>509</v>
      </c>
      <c r="J906" t="s">
        <v>589</v>
      </c>
      <c r="K906" s="497">
        <f>ROUND(HLOOKUP($B906,'2-Préparation saisie LV PROD'!$F$1:$Q$86,'2-Préparation saisie LV PROD'!A18,FALSE),0)</f>
        <v>7515464</v>
      </c>
      <c r="L906" t="str">
        <f>VLOOKUP(C906,Capacité!C:L,10,FALSE)</f>
        <v>Ronchois</v>
      </c>
    </row>
    <row r="907" spans="1:12">
      <c r="A907" t="s">
        <v>505</v>
      </c>
      <c r="B907" t="str">
        <f t="shared" si="171"/>
        <v>B22_12</v>
      </c>
      <c r="C907" s="323" t="str">
        <f t="shared" si="170"/>
        <v>E5180</v>
      </c>
      <c r="D907" t="str">
        <f t="shared" si="162"/>
        <v>NO_DATAVIEWS</v>
      </c>
      <c r="E907" s="62" t="str">
        <f t="shared" si="162"/>
        <v>NO_DEPARTMENTS</v>
      </c>
      <c r="F907" t="s">
        <v>506</v>
      </c>
      <c r="G907" t="s">
        <v>507</v>
      </c>
      <c r="H907" t="s">
        <v>508</v>
      </c>
      <c r="I907" t="s">
        <v>509</v>
      </c>
      <c r="J907" t="s">
        <v>589</v>
      </c>
      <c r="K907" s="497">
        <f>ROUND(HLOOKUP($B907,'2-Préparation saisie LV PROD'!$F$1:$Q$86,'2-Préparation saisie LV PROD'!A19,FALSE),0)</f>
        <v>2894695</v>
      </c>
      <c r="L907" t="str">
        <f>VLOOKUP(C907,Capacité!C:L,10,FALSE)</f>
        <v>Le Grand Camp</v>
      </c>
    </row>
    <row r="908" spans="1:12">
      <c r="A908" t="s">
        <v>505</v>
      </c>
      <c r="B908" t="str">
        <f t="shared" si="171"/>
        <v>B22_12</v>
      </c>
      <c r="C908" s="323" t="str">
        <f t="shared" si="170"/>
        <v>E5210</v>
      </c>
      <c r="D908" t="str">
        <f t="shared" ref="D908:E923" si="172">D907</f>
        <v>NO_DATAVIEWS</v>
      </c>
      <c r="E908" s="62" t="str">
        <f t="shared" si="172"/>
        <v>NO_DEPARTMENTS</v>
      </c>
      <c r="F908" t="s">
        <v>506</v>
      </c>
      <c r="G908" t="s">
        <v>507</v>
      </c>
      <c r="H908" t="s">
        <v>508</v>
      </c>
      <c r="I908" t="s">
        <v>509</v>
      </c>
      <c r="J908" t="s">
        <v>589</v>
      </c>
      <c r="K908" s="497">
        <f>ROUND(HLOOKUP($B908,'2-Préparation saisie LV PROD'!$F$1:$Q$86,'2-Préparation saisie LV PROD'!A20,FALSE),0)</f>
        <v>1007515</v>
      </c>
      <c r="L908" t="str">
        <f>VLOOKUP(C908,Capacité!C:L,10,FALSE)</f>
        <v>Avignonet II</v>
      </c>
    </row>
    <row r="909" spans="1:12">
      <c r="A909" t="s">
        <v>505</v>
      </c>
      <c r="B909" t="str">
        <f t="shared" si="171"/>
        <v>B22_12</v>
      </c>
      <c r="C909" s="323" t="str">
        <f t="shared" si="170"/>
        <v>E5270</v>
      </c>
      <c r="D909" t="str">
        <f t="shared" si="172"/>
        <v>NO_DATAVIEWS</v>
      </c>
      <c r="E909" s="62" t="str">
        <f t="shared" si="172"/>
        <v>NO_DEPARTMENTS</v>
      </c>
      <c r="F909" t="s">
        <v>506</v>
      </c>
      <c r="G909" t="s">
        <v>507</v>
      </c>
      <c r="H909" t="s">
        <v>508</v>
      </c>
      <c r="I909" t="s">
        <v>509</v>
      </c>
      <c r="J909" t="s">
        <v>589</v>
      </c>
      <c r="K909" s="497">
        <f>ROUND(HLOOKUP($B909,'2-Préparation saisie LV PROD'!$F$1:$Q$86,'2-Préparation saisie LV PROD'!A21,FALSE),0)</f>
        <v>6699641</v>
      </c>
      <c r="L909" t="str">
        <f>VLOOKUP(C909,Capacité!C:L,10,FALSE)</f>
        <v>Ménétréols Renardiére (La vallée 2)</v>
      </c>
    </row>
    <row r="910" spans="1:12">
      <c r="A910" t="s">
        <v>505</v>
      </c>
      <c r="B910" t="str">
        <f t="shared" si="171"/>
        <v>B22_12</v>
      </c>
      <c r="C910" s="323" t="str">
        <f t="shared" si="170"/>
        <v>E5280</v>
      </c>
      <c r="D910" t="str">
        <f t="shared" si="172"/>
        <v>NO_DATAVIEWS</v>
      </c>
      <c r="E910" s="62" t="str">
        <f t="shared" si="172"/>
        <v>NO_DEPARTMENTS</v>
      </c>
      <c r="F910" t="s">
        <v>506</v>
      </c>
      <c r="G910" t="s">
        <v>507</v>
      </c>
      <c r="H910" t="s">
        <v>508</v>
      </c>
      <c r="I910" t="s">
        <v>509</v>
      </c>
      <c r="J910" t="s">
        <v>589</v>
      </c>
      <c r="K910" s="497">
        <f>ROUND(HLOOKUP($B910,'2-Préparation saisie LV PROD'!$F$1:$Q$86,'2-Préparation saisie LV PROD'!A22,FALSE),0)</f>
        <v>1105194</v>
      </c>
      <c r="L910" t="str">
        <f>VLOOKUP(C910,Capacité!C:L,10,FALSE)</f>
        <v>St Georges (La Vallée 1)</v>
      </c>
    </row>
    <row r="911" spans="1:12">
      <c r="A911" t="s">
        <v>505</v>
      </c>
      <c r="B911" t="str">
        <f t="shared" si="171"/>
        <v>B22_12</v>
      </c>
      <c r="C911" s="323" t="str">
        <f t="shared" si="170"/>
        <v>E5300</v>
      </c>
      <c r="D911" t="str">
        <f t="shared" si="172"/>
        <v>NO_DATAVIEWS</v>
      </c>
      <c r="E911" s="62" t="str">
        <f t="shared" si="172"/>
        <v>NO_DEPARTMENTS</v>
      </c>
      <c r="F911" t="s">
        <v>506</v>
      </c>
      <c r="G911" t="s">
        <v>507</v>
      </c>
      <c r="H911" t="s">
        <v>508</v>
      </c>
      <c r="I911" t="s">
        <v>509</v>
      </c>
      <c r="J911" t="s">
        <v>589</v>
      </c>
      <c r="K911" s="497">
        <f>ROUND(HLOOKUP($B911,'2-Préparation saisie LV PROD'!$F$1:$Q$86,'2-Préparation saisie LV PROD'!A23,FALSE),0)</f>
        <v>2317376</v>
      </c>
      <c r="L911" t="str">
        <f>VLOOKUP(C911,Capacité!C:L,10,FALSE)</f>
        <v>Vron</v>
      </c>
    </row>
    <row r="912" spans="1:12">
      <c r="A912" t="s">
        <v>505</v>
      </c>
      <c r="B912" t="str">
        <f t="shared" si="171"/>
        <v>B22_12</v>
      </c>
      <c r="C912" s="323" t="str">
        <f t="shared" si="170"/>
        <v>E5310</v>
      </c>
      <c r="D912" t="str">
        <f t="shared" si="172"/>
        <v>NO_DATAVIEWS</v>
      </c>
      <c r="E912" s="62" t="str">
        <f t="shared" si="172"/>
        <v>NO_DEPARTMENTS</v>
      </c>
      <c r="F912" t="s">
        <v>506</v>
      </c>
      <c r="G912" t="s">
        <v>507</v>
      </c>
      <c r="H912" t="s">
        <v>508</v>
      </c>
      <c r="I912" t="s">
        <v>509</v>
      </c>
      <c r="J912" t="s">
        <v>589</v>
      </c>
      <c r="K912" s="497">
        <f>ROUND(HLOOKUP($B912,'2-Préparation saisie LV PROD'!$F$1:$Q$86,'2-Préparation saisie LV PROD'!A24,FALSE),0)</f>
        <v>6407867</v>
      </c>
      <c r="L912" t="str">
        <f>VLOOKUP(C912,Capacité!C:L,10,FALSE)</f>
        <v>Fortel</v>
      </c>
    </row>
    <row r="913" spans="1:12">
      <c r="A913" t="s">
        <v>505</v>
      </c>
      <c r="B913" t="str">
        <f t="shared" si="171"/>
        <v>B22_12</v>
      </c>
      <c r="C913" s="323" t="str">
        <f t="shared" si="170"/>
        <v>E5320</v>
      </c>
      <c r="D913" t="str">
        <f t="shared" si="172"/>
        <v>NO_DATAVIEWS</v>
      </c>
      <c r="E913" s="62" t="str">
        <f t="shared" si="172"/>
        <v>NO_DEPARTMENTS</v>
      </c>
      <c r="F913" t="s">
        <v>506</v>
      </c>
      <c r="G913" t="s">
        <v>507</v>
      </c>
      <c r="H913" t="s">
        <v>508</v>
      </c>
      <c r="I913" t="s">
        <v>509</v>
      </c>
      <c r="J913" t="s">
        <v>589</v>
      </c>
      <c r="K913" s="497">
        <f>ROUND(HLOOKUP($B913,'2-Préparation saisie LV PROD'!$F$1:$Q$86,'2-Préparation saisie LV PROD'!A25,FALSE),0)</f>
        <v>6125109</v>
      </c>
      <c r="L913" t="str">
        <f>VLOOKUP(C913,Capacité!C:L,10,FALSE)</f>
        <v>St François Roye</v>
      </c>
    </row>
    <row r="914" spans="1:12">
      <c r="A914" t="s">
        <v>505</v>
      </c>
      <c r="B914" t="str">
        <f t="shared" si="171"/>
        <v>B22_12</v>
      </c>
      <c r="C914" s="323" t="str">
        <f t="shared" si="170"/>
        <v>E5290</v>
      </c>
      <c r="D914" t="str">
        <f t="shared" si="172"/>
        <v>NO_DATAVIEWS</v>
      </c>
      <c r="E914" s="62" t="str">
        <f t="shared" si="172"/>
        <v>NO_DEPARTMENTS</v>
      </c>
      <c r="F914" t="s">
        <v>506</v>
      </c>
      <c r="G914" t="s">
        <v>507</v>
      </c>
      <c r="H914" t="s">
        <v>508</v>
      </c>
      <c r="I914" t="s">
        <v>509</v>
      </c>
      <c r="J914" t="s">
        <v>589</v>
      </c>
      <c r="K914" s="497">
        <f>ROUND(HLOOKUP($B914,'2-Préparation saisie LV PROD'!$F$1:$Q$86,'2-Préparation saisie LV PROD'!A26,FALSE),0)</f>
        <v>10984924</v>
      </c>
      <c r="L914" t="str">
        <f>VLOOKUP(C914,Capacité!C:L,10,FALSE)</f>
        <v>St Patrick</v>
      </c>
    </row>
    <row r="915" spans="1:12">
      <c r="A915" t="s">
        <v>505</v>
      </c>
      <c r="B915" t="str">
        <f t="shared" si="171"/>
        <v>B22_12</v>
      </c>
      <c r="C915" s="323" t="str">
        <f t="shared" si="170"/>
        <v>E5360</v>
      </c>
      <c r="D915" t="str">
        <f t="shared" si="172"/>
        <v>NO_DATAVIEWS</v>
      </c>
      <c r="E915" s="62" t="str">
        <f t="shared" si="172"/>
        <v>NO_DEPARTMENTS</v>
      </c>
      <c r="F915" t="s">
        <v>506</v>
      </c>
      <c r="G915" t="s">
        <v>507</v>
      </c>
      <c r="H915" t="s">
        <v>508</v>
      </c>
      <c r="I915" t="s">
        <v>509</v>
      </c>
      <c r="J915" t="s">
        <v>589</v>
      </c>
      <c r="K915" s="497">
        <f>ROUND(HLOOKUP($B915,'2-Préparation saisie LV PROD'!$F$1:$Q$86,'2-Préparation saisie LV PROD'!A27,FALSE),0)</f>
        <v>3221797</v>
      </c>
      <c r="L915" t="str">
        <f>VLOOKUP(C915,Capacité!C:L,10,FALSE)</f>
        <v>Calmont (Laur Eole Energie )</v>
      </c>
    </row>
    <row r="916" spans="1:12">
      <c r="A916" t="s">
        <v>505</v>
      </c>
      <c r="B916" t="str">
        <f t="shared" si="171"/>
        <v>B22_12</v>
      </c>
      <c r="C916" s="323" t="str">
        <f t="shared" si="170"/>
        <v>E5391</v>
      </c>
      <c r="D916" t="str">
        <f t="shared" si="172"/>
        <v>NO_DATAVIEWS</v>
      </c>
      <c r="E916" s="62" t="str">
        <f t="shared" si="172"/>
        <v>NO_DEPARTMENTS</v>
      </c>
      <c r="F916" t="s">
        <v>506</v>
      </c>
      <c r="G916" t="s">
        <v>507</v>
      </c>
      <c r="H916" t="s">
        <v>508</v>
      </c>
      <c r="I916" t="s">
        <v>509</v>
      </c>
      <c r="J916" t="s">
        <v>589</v>
      </c>
      <c r="K916" s="497">
        <f>ROUND(HLOOKUP($B916,'2-Préparation saisie LV PROD'!$F$1:$Q$86,'2-Préparation saisie LV PROD'!A28,FALSE),0)</f>
        <v>1211590</v>
      </c>
      <c r="L916" t="str">
        <f>VLOOKUP(C916,Capacité!C:L,10,FALSE)</f>
        <v>Coat Conval</v>
      </c>
    </row>
    <row r="917" spans="1:12">
      <c r="A917" t="s">
        <v>505</v>
      </c>
      <c r="B917" t="str">
        <f t="shared" si="171"/>
        <v>B22_12</v>
      </c>
      <c r="C917" s="323" t="str">
        <f t="shared" si="170"/>
        <v>E5392</v>
      </c>
      <c r="D917" t="str">
        <f t="shared" si="172"/>
        <v>NO_DATAVIEWS</v>
      </c>
      <c r="E917" s="62" t="str">
        <f t="shared" si="172"/>
        <v>NO_DEPARTMENTS</v>
      </c>
      <c r="F917" t="s">
        <v>506</v>
      </c>
      <c r="G917" t="s">
        <v>507</v>
      </c>
      <c r="H917" t="s">
        <v>508</v>
      </c>
      <c r="I917" t="s">
        <v>509</v>
      </c>
      <c r="J917" t="s">
        <v>589</v>
      </c>
      <c r="K917" s="497">
        <f>ROUND(HLOOKUP($B917,'2-Préparation saisie LV PROD'!$F$1:$Q$86,'2-Préparation saisie LV PROD'!A29,FALSE),0)</f>
        <v>1753829</v>
      </c>
      <c r="L917" t="str">
        <f>VLOOKUP(C917,Capacité!C:L,10,FALSE)</f>
        <v>Leign ar Gasprenn</v>
      </c>
    </row>
    <row r="918" spans="1:12">
      <c r="A918" t="s">
        <v>505</v>
      </c>
      <c r="B918" t="str">
        <f t="shared" si="171"/>
        <v>B22_12</v>
      </c>
      <c r="C918" s="323" t="str">
        <f t="shared" si="170"/>
        <v>E5393</v>
      </c>
      <c r="D918" t="str">
        <f t="shared" si="172"/>
        <v>NO_DATAVIEWS</v>
      </c>
      <c r="E918" s="62" t="str">
        <f t="shared" si="172"/>
        <v>NO_DEPARTMENTS</v>
      </c>
      <c r="F918" t="s">
        <v>506</v>
      </c>
      <c r="G918" t="s">
        <v>507</v>
      </c>
      <c r="H918" t="s">
        <v>508</v>
      </c>
      <c r="I918" t="s">
        <v>509</v>
      </c>
      <c r="J918" t="s">
        <v>589</v>
      </c>
      <c r="K918" s="497">
        <f>ROUND(HLOOKUP($B918,'2-Préparation saisie LV PROD'!$F$1:$Q$86,'2-Préparation saisie LV PROD'!A30,FALSE),0)</f>
        <v>8858512</v>
      </c>
      <c r="L918" t="str">
        <f>VLOOKUP(C918,Capacité!C:L,10,FALSE)</f>
        <v>Vallée d'Arce</v>
      </c>
    </row>
    <row r="919" spans="1:12">
      <c r="A919" t="s">
        <v>505</v>
      </c>
      <c r="B919" t="str">
        <f t="shared" si="171"/>
        <v>B22_12</v>
      </c>
      <c r="C919" s="323" t="str">
        <f t="shared" si="170"/>
        <v>E5394</v>
      </c>
      <c r="D919" t="str">
        <f t="shared" si="172"/>
        <v>NO_DATAVIEWS</v>
      </c>
      <c r="E919" s="62" t="str">
        <f t="shared" si="172"/>
        <v>NO_DEPARTMENTS</v>
      </c>
      <c r="F919" t="s">
        <v>506</v>
      </c>
      <c r="G919" t="s">
        <v>507</v>
      </c>
      <c r="H919" t="s">
        <v>508</v>
      </c>
      <c r="I919" t="s">
        <v>509</v>
      </c>
      <c r="J919" t="s">
        <v>589</v>
      </c>
      <c r="K919" s="497">
        <f>ROUND(HLOOKUP($B919,'2-Préparation saisie LV PROD'!$F$1:$Q$86,'2-Préparation saisie LV PROD'!A31,FALSE),0)</f>
        <v>1666839</v>
      </c>
      <c r="L919" t="str">
        <f>VLOOKUP(C919,Capacité!C:L,10,FALSE)</f>
        <v>La Bouleste</v>
      </c>
    </row>
    <row r="920" spans="1:12">
      <c r="A920" t="s">
        <v>505</v>
      </c>
      <c r="B920" t="str">
        <f t="shared" si="171"/>
        <v>B22_12</v>
      </c>
      <c r="C920" s="323" t="str">
        <f t="shared" si="170"/>
        <v>E5395</v>
      </c>
      <c r="D920" t="str">
        <f t="shared" si="172"/>
        <v>NO_DATAVIEWS</v>
      </c>
      <c r="E920" s="62" t="str">
        <f t="shared" si="172"/>
        <v>NO_DEPARTMENTS</v>
      </c>
      <c r="F920" t="s">
        <v>506</v>
      </c>
      <c r="G920" t="s">
        <v>507</v>
      </c>
      <c r="H920" t="s">
        <v>508</v>
      </c>
      <c r="I920" t="s">
        <v>509</v>
      </c>
      <c r="J920" t="s">
        <v>589</v>
      </c>
      <c r="K920" s="497">
        <f>ROUND(HLOOKUP($B920,'2-Préparation saisie LV PROD'!$F$1:$Q$86,'2-Préparation saisie LV PROD'!A32,FALSE),0)</f>
        <v>5799382</v>
      </c>
      <c r="L920" t="str">
        <f>VLOOKUP(C920,Capacité!C:L,10,FALSE)</f>
        <v>Haut de Conge</v>
      </c>
    </row>
    <row r="921" spans="1:12">
      <c r="A921" t="s">
        <v>505</v>
      </c>
      <c r="B921" t="str">
        <f t="shared" si="171"/>
        <v>B22_12</v>
      </c>
      <c r="C921" s="323" t="str">
        <f t="shared" si="170"/>
        <v>E5396</v>
      </c>
      <c r="D921" t="str">
        <f t="shared" si="172"/>
        <v>NO_DATAVIEWS</v>
      </c>
      <c r="E921" s="62" t="str">
        <f t="shared" si="172"/>
        <v>NO_DEPARTMENTS</v>
      </c>
      <c r="F921" t="s">
        <v>506</v>
      </c>
      <c r="G921" t="s">
        <v>507</v>
      </c>
      <c r="H921" t="s">
        <v>508</v>
      </c>
      <c r="I921" t="s">
        <v>509</v>
      </c>
      <c r="J921" t="s">
        <v>589</v>
      </c>
      <c r="K921" s="497">
        <f>ROUND(HLOOKUP($B921,'2-Préparation saisie LV PROD'!$F$1:$Q$86,'2-Préparation saisie LV PROD'!A33,FALSE),0)</f>
        <v>2501207</v>
      </c>
      <c r="L921" t="str">
        <f>VLOOKUP(C921,Capacité!C:L,10,FALSE)</f>
        <v>Les Eparmonts</v>
      </c>
    </row>
    <row r="922" spans="1:12">
      <c r="A922" t="s">
        <v>505</v>
      </c>
      <c r="B922" t="str">
        <f t="shared" si="171"/>
        <v>B22_12</v>
      </c>
      <c r="C922" s="323" t="str">
        <f t="shared" si="170"/>
        <v>E5397</v>
      </c>
      <c r="D922" t="str">
        <f t="shared" si="172"/>
        <v>NO_DATAVIEWS</v>
      </c>
      <c r="E922" s="62" t="str">
        <f t="shared" si="172"/>
        <v>NO_DEPARTMENTS</v>
      </c>
      <c r="F922" t="s">
        <v>506</v>
      </c>
      <c r="G922" t="s">
        <v>507</v>
      </c>
      <c r="H922" t="s">
        <v>508</v>
      </c>
      <c r="I922" t="s">
        <v>509</v>
      </c>
      <c r="J922" t="s">
        <v>589</v>
      </c>
      <c r="K922" s="497">
        <f>ROUND(HLOOKUP($B922,'2-Préparation saisie LV PROD'!$F$1:$Q$86,'2-Préparation saisie LV PROD'!A34,FALSE),0)</f>
        <v>2804484</v>
      </c>
      <c r="L922" t="str">
        <f>VLOOKUP(C922,Capacité!C:L,10,FALSE)</f>
        <v>Charmoy</v>
      </c>
    </row>
    <row r="923" spans="1:12">
      <c r="A923" t="s">
        <v>505</v>
      </c>
      <c r="B923" t="str">
        <f t="shared" si="171"/>
        <v>B22_12</v>
      </c>
      <c r="C923" s="323" t="str">
        <f t="shared" si="170"/>
        <v>E5398</v>
      </c>
      <c r="D923" t="str">
        <f t="shared" si="172"/>
        <v>NO_DATAVIEWS</v>
      </c>
      <c r="E923" s="62" t="str">
        <f t="shared" si="172"/>
        <v>NO_DEPARTMENTS</v>
      </c>
      <c r="F923" t="s">
        <v>506</v>
      </c>
      <c r="G923" t="s">
        <v>507</v>
      </c>
      <c r="H923" t="s">
        <v>508</v>
      </c>
      <c r="I923" t="s">
        <v>509</v>
      </c>
      <c r="J923" t="s">
        <v>589</v>
      </c>
      <c r="K923" s="497">
        <f>ROUND(HLOOKUP($B923,'2-Préparation saisie LV PROD'!$F$1:$Q$86,'2-Préparation saisie LV PROD'!A35,FALSE),0)</f>
        <v>4724708</v>
      </c>
      <c r="L923" t="str">
        <f>VLOOKUP(C923,Capacité!C:L,10,FALSE)</f>
        <v>Pannecé</v>
      </c>
    </row>
    <row r="924" spans="1:12">
      <c r="A924" t="s">
        <v>505</v>
      </c>
      <c r="B924" t="str">
        <f t="shared" si="171"/>
        <v>B22_12</v>
      </c>
      <c r="C924" s="323" t="str">
        <f t="shared" si="170"/>
        <v>E5399</v>
      </c>
      <c r="D924" t="str">
        <f t="shared" ref="D924:E939" si="173">D923</f>
        <v>NO_DATAVIEWS</v>
      </c>
      <c r="E924" s="62" t="str">
        <f t="shared" si="173"/>
        <v>NO_DEPARTMENTS</v>
      </c>
      <c r="F924" t="s">
        <v>506</v>
      </c>
      <c r="G924" t="s">
        <v>507</v>
      </c>
      <c r="H924" t="s">
        <v>508</v>
      </c>
      <c r="I924" t="s">
        <v>509</v>
      </c>
      <c r="J924" t="s">
        <v>589</v>
      </c>
      <c r="K924" s="497">
        <f>ROUND(HLOOKUP($B924,'2-Préparation saisie LV PROD'!$F$1:$Q$86,'2-Préparation saisie LV PROD'!A36,FALSE),0)</f>
        <v>9612500</v>
      </c>
      <c r="L924" t="str">
        <f>VLOOKUP(C924,Capacité!C:L,10,FALSE)</f>
        <v>Coulonges</v>
      </c>
    </row>
    <row r="925" spans="1:12">
      <c r="A925" t="s">
        <v>505</v>
      </c>
      <c r="B925" t="str">
        <f t="shared" si="171"/>
        <v>B22_12</v>
      </c>
      <c r="C925" s="323" t="str">
        <f t="shared" ref="C925:C956" si="174">C844</f>
        <v>E5400</v>
      </c>
      <c r="D925" t="str">
        <f t="shared" si="173"/>
        <v>NO_DATAVIEWS</v>
      </c>
      <c r="E925" s="62" t="str">
        <f t="shared" si="173"/>
        <v>NO_DEPARTMENTS</v>
      </c>
      <c r="F925" t="s">
        <v>506</v>
      </c>
      <c r="G925" t="s">
        <v>507</v>
      </c>
      <c r="H925" t="s">
        <v>508</v>
      </c>
      <c r="I925" t="s">
        <v>509</v>
      </c>
      <c r="J925" t="s">
        <v>589</v>
      </c>
      <c r="K925" s="497">
        <f>ROUND(HLOOKUP($B925,'2-Préparation saisie LV PROD'!$F$1:$Q$86,'2-Préparation saisie LV PROD'!A37,FALSE),0)</f>
        <v>4729865</v>
      </c>
      <c r="L925" t="str">
        <f>VLOOKUP(C925,Capacité!C:L,10,FALSE)</f>
        <v>SdlL</v>
      </c>
    </row>
    <row r="926" spans="1:12">
      <c r="A926" t="s">
        <v>505</v>
      </c>
      <c r="B926" t="str">
        <f t="shared" si="171"/>
        <v>B22_12</v>
      </c>
      <c r="C926" s="323" t="str">
        <f t="shared" si="174"/>
        <v>E5401</v>
      </c>
      <c r="D926" t="str">
        <f t="shared" si="173"/>
        <v>NO_DATAVIEWS</v>
      </c>
      <c r="E926" s="62" t="str">
        <f t="shared" si="173"/>
        <v>NO_DEPARTMENTS</v>
      </c>
      <c r="F926" t="s">
        <v>506</v>
      </c>
      <c r="G926" t="s">
        <v>507</v>
      </c>
      <c r="H926" t="s">
        <v>508</v>
      </c>
      <c r="I926" t="s">
        <v>509</v>
      </c>
      <c r="J926" t="s">
        <v>589</v>
      </c>
      <c r="K926" s="497">
        <f>ROUND(HLOOKUP($B926,'2-Préparation saisie LV PROD'!$F$1:$Q$86,'2-Préparation saisie LV PROD'!A38,FALSE),0)</f>
        <v>2250290</v>
      </c>
      <c r="L926" t="str">
        <f>VLOOKUP(C926,Capacité!C:L,10,FALSE)</f>
        <v>Pays d'Othe</v>
      </c>
    </row>
    <row r="927" spans="1:12">
      <c r="A927" t="s">
        <v>505</v>
      </c>
      <c r="B927" t="str">
        <f t="shared" si="171"/>
        <v>B22_12</v>
      </c>
      <c r="C927" s="323" t="str">
        <f t="shared" si="174"/>
        <v>E5402</v>
      </c>
      <c r="D927" t="str">
        <f t="shared" si="173"/>
        <v>NO_DATAVIEWS</v>
      </c>
      <c r="E927" s="62" t="str">
        <f t="shared" si="173"/>
        <v>NO_DEPARTMENTS</v>
      </c>
      <c r="F927" t="s">
        <v>506</v>
      </c>
      <c r="G927" t="s">
        <v>507</v>
      </c>
      <c r="H927" t="s">
        <v>508</v>
      </c>
      <c r="I927" t="s">
        <v>509</v>
      </c>
      <c r="J927" t="s">
        <v>589</v>
      </c>
      <c r="K927" s="497">
        <f>ROUND(HLOOKUP($B927,'2-Préparation saisie LV PROD'!$F$1:$Q$86,'2-Préparation saisie LV PROD'!A39,FALSE),0)</f>
        <v>2949386</v>
      </c>
      <c r="L927" t="str">
        <f>VLOOKUP(C927,Capacité!C:L,10,FALSE)</f>
        <v>Comes de l'Arce</v>
      </c>
    </row>
    <row r="928" spans="1:12">
      <c r="A928" t="s">
        <v>505</v>
      </c>
      <c r="B928" t="str">
        <f t="shared" si="171"/>
        <v>B22_12</v>
      </c>
      <c r="C928" s="323" t="str">
        <f t="shared" si="174"/>
        <v>E5570</v>
      </c>
      <c r="D928" t="str">
        <f t="shared" si="173"/>
        <v>NO_DATAVIEWS</v>
      </c>
      <c r="E928" s="62" t="str">
        <f t="shared" si="173"/>
        <v>NO_DEPARTMENTS</v>
      </c>
      <c r="F928" t="s">
        <v>506</v>
      </c>
      <c r="G928" t="s">
        <v>507</v>
      </c>
      <c r="H928" t="s">
        <v>508</v>
      </c>
      <c r="I928" t="s">
        <v>509</v>
      </c>
      <c r="J928" t="s">
        <v>589</v>
      </c>
      <c r="K928" s="497">
        <f>ROUND(HLOOKUP($B928,'2-Préparation saisie LV PROD'!$F$1:$Q$86,'2-Préparation saisie LV PROD'!A40,FALSE),0)</f>
        <v>4025605</v>
      </c>
      <c r="L928" t="str">
        <f>VLOOKUP(C928,Capacité!C:L,10,FALSE)</f>
        <v>Plateau de Savernat</v>
      </c>
    </row>
    <row r="929" spans="1:12">
      <c r="A929" t="s">
        <v>505</v>
      </c>
      <c r="B929" t="str">
        <f t="shared" si="171"/>
        <v>B22_12</v>
      </c>
      <c r="C929" s="323" t="str">
        <f t="shared" si="174"/>
        <v>E5560</v>
      </c>
      <c r="D929" t="str">
        <f t="shared" si="173"/>
        <v>NO_DATAVIEWS</v>
      </c>
      <c r="E929" s="62" t="str">
        <f t="shared" si="173"/>
        <v>NO_DEPARTMENTS</v>
      </c>
      <c r="F929" t="s">
        <v>506</v>
      </c>
      <c r="G929" t="s">
        <v>507</v>
      </c>
      <c r="H929" t="s">
        <v>508</v>
      </c>
      <c r="I929" t="s">
        <v>509</v>
      </c>
      <c r="J929" t="s">
        <v>589</v>
      </c>
      <c r="K929" s="497">
        <f>ROUND(HLOOKUP($B929,'2-Préparation saisie LV PROD'!$F$1:$Q$86,'2-Préparation saisie LV PROD'!A41,FALSE),0)</f>
        <v>3617063</v>
      </c>
      <c r="L929" t="str">
        <f>VLOOKUP(C929,Capacité!C:L,10,FALSE)</f>
        <v>Touvent</v>
      </c>
    </row>
    <row r="930" spans="1:12">
      <c r="A930" t="s">
        <v>505</v>
      </c>
      <c r="B930" t="str">
        <f t="shared" si="171"/>
        <v>B22_12</v>
      </c>
      <c r="C930" s="323" t="str">
        <f t="shared" si="174"/>
        <v>E5700</v>
      </c>
      <c r="D930" t="str">
        <f t="shared" si="173"/>
        <v>NO_DATAVIEWS</v>
      </c>
      <c r="E930" s="62" t="str">
        <f t="shared" si="173"/>
        <v>NO_DEPARTMENTS</v>
      </c>
      <c r="F930" t="s">
        <v>506</v>
      </c>
      <c r="G930" t="s">
        <v>507</v>
      </c>
      <c r="H930" t="s">
        <v>508</v>
      </c>
      <c r="I930" t="s">
        <v>509</v>
      </c>
      <c r="J930" t="s">
        <v>589</v>
      </c>
      <c r="K930" s="497">
        <f>ROUND(HLOOKUP($B930,'2-Préparation saisie LV PROD'!$F$1:$Q$86,'2-Préparation saisie LV PROD'!A42,FALSE),0)</f>
        <v>5830443</v>
      </c>
      <c r="L930" t="str">
        <f>VLOOKUP(C930,Capacité!C:L,10,FALSE)</f>
        <v>Haut de Comble (HC)</v>
      </c>
    </row>
    <row r="931" spans="1:12">
      <c r="A931" t="s">
        <v>505</v>
      </c>
      <c r="B931" t="str">
        <f t="shared" si="171"/>
        <v>B22_12</v>
      </c>
      <c r="C931" s="323" t="str">
        <f t="shared" si="174"/>
        <v>E5600</v>
      </c>
      <c r="D931" t="str">
        <f t="shared" si="173"/>
        <v>NO_DATAVIEWS</v>
      </c>
      <c r="E931" s="62" t="str">
        <f t="shared" si="173"/>
        <v>NO_DEPARTMENTS</v>
      </c>
      <c r="F931" t="s">
        <v>506</v>
      </c>
      <c r="G931" t="s">
        <v>507</v>
      </c>
      <c r="H931" t="s">
        <v>508</v>
      </c>
      <c r="I931" t="s">
        <v>509</v>
      </c>
      <c r="J931" t="s">
        <v>589</v>
      </c>
      <c r="K931" s="497">
        <f>ROUND(HLOOKUP($B931,'2-Préparation saisie LV PROD'!$F$1:$Q$86,'2-Préparation saisie LV PROD'!A43,FALSE),0)</f>
        <v>8555512</v>
      </c>
      <c r="L931" t="str">
        <f>VLOOKUP(C931,Capacité!C:L,10,FALSE)</f>
        <v>Inter deux bos (MET)</v>
      </c>
    </row>
    <row r="932" spans="1:12">
      <c r="A932" t="s">
        <v>505</v>
      </c>
      <c r="B932" t="str">
        <f t="shared" si="171"/>
        <v>B22_12</v>
      </c>
      <c r="C932" s="323" t="str">
        <f t="shared" si="174"/>
        <v>E5770</v>
      </c>
      <c r="D932" t="str">
        <f t="shared" si="173"/>
        <v>NO_DATAVIEWS</v>
      </c>
      <c r="E932" s="62" t="str">
        <f t="shared" si="173"/>
        <v>NO_DEPARTMENTS</v>
      </c>
      <c r="F932" t="s">
        <v>506</v>
      </c>
      <c r="G932" t="s">
        <v>507</v>
      </c>
      <c r="H932" t="s">
        <v>508</v>
      </c>
      <c r="I932" t="s">
        <v>509</v>
      </c>
      <c r="J932" t="s">
        <v>589</v>
      </c>
      <c r="K932" s="497">
        <f>ROUND(HLOOKUP($B932,'2-Préparation saisie LV PROD'!$F$1:$Q$86,'2-Préparation saisie LV PROD'!A44,FALSE),0)</f>
        <v>2994685</v>
      </c>
      <c r="L932" t="str">
        <f>VLOOKUP(C932,Capacité!C:L,10,FALSE)</f>
        <v>Le Pelon</v>
      </c>
    </row>
    <row r="933" spans="1:12">
      <c r="A933" t="s">
        <v>505</v>
      </c>
      <c r="B933" t="str">
        <f t="shared" si="171"/>
        <v>B22_12</v>
      </c>
      <c r="C933" s="323" t="str">
        <f t="shared" si="174"/>
        <v>E5630</v>
      </c>
      <c r="D933" t="str">
        <f t="shared" si="173"/>
        <v>NO_DATAVIEWS</v>
      </c>
      <c r="E933" s="62" t="str">
        <f t="shared" si="173"/>
        <v>NO_DEPARTMENTS</v>
      </c>
      <c r="F933" t="s">
        <v>506</v>
      </c>
      <c r="G933" t="s">
        <v>507</v>
      </c>
      <c r="H933" t="s">
        <v>508</v>
      </c>
      <c r="I933" t="s">
        <v>509</v>
      </c>
      <c r="J933" t="s">
        <v>589</v>
      </c>
      <c r="K933" s="497">
        <f>ROUND(HLOOKUP($B933,'2-Préparation saisie LV PROD'!$F$1:$Q$86,'2-Préparation saisie LV PROD'!A45,FALSE),0)</f>
        <v>7640904</v>
      </c>
      <c r="L933" t="str">
        <f>VLOOKUP(C933,Capacité!C:L,10,FALSE)</f>
        <v>Monts de Bagny</v>
      </c>
    </row>
    <row r="934" spans="1:12">
      <c r="A934" t="s">
        <v>505</v>
      </c>
      <c r="B934" t="str">
        <f t="shared" si="171"/>
        <v>B22_12</v>
      </c>
      <c r="C934" s="323" t="str">
        <f t="shared" si="174"/>
        <v>E5690</v>
      </c>
      <c r="D934" t="str">
        <f t="shared" si="173"/>
        <v>NO_DATAVIEWS</v>
      </c>
      <c r="E934" s="62" t="str">
        <f t="shared" si="173"/>
        <v>NO_DEPARTMENTS</v>
      </c>
      <c r="F934" t="s">
        <v>506</v>
      </c>
      <c r="G934" t="s">
        <v>507</v>
      </c>
      <c r="H934" t="s">
        <v>508</v>
      </c>
      <c r="I934" t="s">
        <v>509</v>
      </c>
      <c r="J934" t="s">
        <v>589</v>
      </c>
      <c r="K934" s="497">
        <f>ROUND(HLOOKUP($B934,'2-Préparation saisie LV PROD'!$F$1:$Q$86,'2-Préparation saisie LV PROD'!A46,FALSE),0)</f>
        <v>3142330</v>
      </c>
      <c r="L934" t="str">
        <f>VLOOKUP(C934,Capacité!C:L,10,FALSE)</f>
        <v>Voie des monts</v>
      </c>
    </row>
    <row r="935" spans="1:12">
      <c r="A935" t="s">
        <v>505</v>
      </c>
      <c r="B935" t="str">
        <f t="shared" si="171"/>
        <v>B22_12</v>
      </c>
      <c r="C935" s="323" t="str">
        <f t="shared" si="174"/>
        <v>E5640</v>
      </c>
      <c r="D935" t="str">
        <f t="shared" si="173"/>
        <v>NO_DATAVIEWS</v>
      </c>
      <c r="E935" s="62" t="str">
        <f t="shared" si="173"/>
        <v>NO_DEPARTMENTS</v>
      </c>
      <c r="F935" t="s">
        <v>506</v>
      </c>
      <c r="G935" t="s">
        <v>507</v>
      </c>
      <c r="H935" t="s">
        <v>508</v>
      </c>
      <c r="I935" t="s">
        <v>509</v>
      </c>
      <c r="J935" t="s">
        <v>589</v>
      </c>
      <c r="K935" s="497">
        <f>ROUND(HLOOKUP($B935,'2-Préparation saisie LV PROD'!$F$1:$Q$86,'2-Préparation saisie LV PROD'!A47,FALSE),0)</f>
        <v>6609548</v>
      </c>
      <c r="L935" t="str">
        <f>VLOOKUP(C935,Capacité!C:L,10,FALSE)</f>
        <v>Artois</v>
      </c>
    </row>
    <row r="936" spans="1:12">
      <c r="A936" t="s">
        <v>505</v>
      </c>
      <c r="B936" t="str">
        <f t="shared" si="171"/>
        <v>B22_12</v>
      </c>
      <c r="C936" s="323" t="str">
        <f t="shared" si="174"/>
        <v>E5620</v>
      </c>
      <c r="D936" t="str">
        <f t="shared" si="173"/>
        <v>NO_DATAVIEWS</v>
      </c>
      <c r="E936" s="62" t="str">
        <f t="shared" si="173"/>
        <v>NO_DEPARTMENTS</v>
      </c>
      <c r="F936" t="s">
        <v>506</v>
      </c>
      <c r="G936" t="s">
        <v>507</v>
      </c>
      <c r="H936" t="s">
        <v>508</v>
      </c>
      <c r="I936" t="s">
        <v>509</v>
      </c>
      <c r="J936" t="s">
        <v>589</v>
      </c>
      <c r="K936" s="497">
        <f>ROUND(HLOOKUP($B936,'2-Préparation saisie LV PROD'!$F$1:$Q$86,'2-Préparation saisie LV PROD'!A48,FALSE),0)</f>
        <v>8617656</v>
      </c>
      <c r="L936" t="str">
        <f>VLOOKUP(C936,Capacité!C:L,10,FALSE)</f>
        <v>Chemin de Grès</v>
      </c>
    </row>
    <row r="937" spans="1:12">
      <c r="A937" t="s">
        <v>505</v>
      </c>
      <c r="B937" t="str">
        <f t="shared" si="171"/>
        <v>B22_12</v>
      </c>
      <c r="C937" s="323" t="str">
        <f t="shared" si="174"/>
        <v>E5810</v>
      </c>
      <c r="D937" t="str">
        <f t="shared" si="173"/>
        <v>NO_DATAVIEWS</v>
      </c>
      <c r="E937" s="62" t="str">
        <f t="shared" si="173"/>
        <v>NO_DEPARTMENTS</v>
      </c>
      <c r="F937" t="s">
        <v>506</v>
      </c>
      <c r="G937" t="s">
        <v>507</v>
      </c>
      <c r="H937" t="s">
        <v>508</v>
      </c>
      <c r="I937" t="s">
        <v>509</v>
      </c>
      <c r="J937" t="s">
        <v>589</v>
      </c>
      <c r="K937" s="497">
        <f>ROUND(HLOOKUP($B937,'2-Préparation saisie LV PROD'!$F$1:$Q$86,'2-Préparation saisie LV PROD'!A49,FALSE),0)</f>
        <v>6123906</v>
      </c>
      <c r="L937" t="str">
        <f>VLOOKUP(C937,Capacité!C:L,10,FALSE)</f>
        <v>Coteaux du Blaiseron</v>
      </c>
    </row>
    <row r="938" spans="1:12">
      <c r="A938" t="s">
        <v>505</v>
      </c>
      <c r="B938" t="str">
        <f t="shared" si="171"/>
        <v>B22_12</v>
      </c>
      <c r="C938" s="323" t="str">
        <f t="shared" si="174"/>
        <v>E5660</v>
      </c>
      <c r="D938" t="str">
        <f t="shared" si="173"/>
        <v>NO_DATAVIEWS</v>
      </c>
      <c r="E938" s="62" t="str">
        <f t="shared" si="173"/>
        <v>NO_DEPARTMENTS</v>
      </c>
      <c r="F938" t="s">
        <v>506</v>
      </c>
      <c r="G938" t="s">
        <v>507</v>
      </c>
      <c r="H938" t="s">
        <v>508</v>
      </c>
      <c r="I938" t="s">
        <v>509</v>
      </c>
      <c r="J938" t="s">
        <v>589</v>
      </c>
      <c r="K938" s="497">
        <f>ROUND(HLOOKUP($B938,'2-Préparation saisie LV PROD'!$F$1:$Q$86,'2-Préparation saisie LV PROD'!A50,FALSE),0)</f>
        <v>4993318</v>
      </c>
      <c r="L938" t="str">
        <f>VLOOKUP(C938,Capacité!C:L,10,FALSE)</f>
        <v>XSAN</v>
      </c>
    </row>
    <row r="939" spans="1:12">
      <c r="A939" t="s">
        <v>505</v>
      </c>
      <c r="B939" t="str">
        <f t="shared" si="171"/>
        <v>B22_12</v>
      </c>
      <c r="C939" s="323" t="str">
        <f t="shared" si="174"/>
        <v>E5590</v>
      </c>
      <c r="D939" t="str">
        <f t="shared" si="173"/>
        <v>NO_DATAVIEWS</v>
      </c>
      <c r="E939" s="62" t="str">
        <f t="shared" si="173"/>
        <v>NO_DEPARTMENTS</v>
      </c>
      <c r="F939" t="s">
        <v>506</v>
      </c>
      <c r="G939" t="s">
        <v>507</v>
      </c>
      <c r="H939" t="s">
        <v>508</v>
      </c>
      <c r="I939" t="s">
        <v>509</v>
      </c>
      <c r="J939" t="s">
        <v>589</v>
      </c>
      <c r="K939" s="497">
        <f>ROUND(HLOOKUP($B939,'2-Préparation saisie LV PROD'!$F$1:$Q$86,'2-Préparation saisie LV PROD'!A51,FALSE),0)</f>
        <v>3669213</v>
      </c>
      <c r="L939" t="str">
        <f>VLOOKUP(C939,Capacité!C:L,10,FALSE)</f>
        <v>Le Catésis (CAT)</v>
      </c>
    </row>
    <row r="940" spans="1:12">
      <c r="A940" t="s">
        <v>505</v>
      </c>
      <c r="B940" t="str">
        <f t="shared" si="171"/>
        <v>B22_12</v>
      </c>
      <c r="C940" s="323" t="str">
        <f t="shared" si="174"/>
        <v>E5650</v>
      </c>
      <c r="D940" t="str">
        <f t="shared" ref="D940:E955" si="175">D939</f>
        <v>NO_DATAVIEWS</v>
      </c>
      <c r="E940" s="62" t="str">
        <f t="shared" si="175"/>
        <v>NO_DEPARTMENTS</v>
      </c>
      <c r="F940" t="s">
        <v>506</v>
      </c>
      <c r="G940" t="s">
        <v>507</v>
      </c>
      <c r="H940" t="s">
        <v>508</v>
      </c>
      <c r="I940" t="s">
        <v>509</v>
      </c>
      <c r="J940" t="s">
        <v>589</v>
      </c>
      <c r="K940" s="497">
        <f>ROUND(HLOOKUP($B940,'2-Préparation saisie LV PROD'!$F$1:$Q$86,'2-Préparation saisie LV PROD'!A52,FALSE),0)</f>
        <v>6723698</v>
      </c>
      <c r="L940" t="str">
        <f>VLOOKUP(C940,Capacité!C:L,10,FALSE)</f>
        <v>Seuil du Cambrésis- Ribecourt (RIB)</v>
      </c>
    </row>
    <row r="941" spans="1:12">
      <c r="A941" t="s">
        <v>505</v>
      </c>
      <c r="B941" t="str">
        <f t="shared" si="171"/>
        <v>B22_12</v>
      </c>
      <c r="C941" s="323" t="str">
        <f t="shared" si="174"/>
        <v>E5720</v>
      </c>
      <c r="D941" t="str">
        <f t="shared" si="175"/>
        <v>NO_DATAVIEWS</v>
      </c>
      <c r="E941" s="62" t="str">
        <f t="shared" si="175"/>
        <v>NO_DEPARTMENTS</v>
      </c>
      <c r="F941" t="s">
        <v>506</v>
      </c>
      <c r="G941" t="s">
        <v>507</v>
      </c>
      <c r="H941" t="s">
        <v>508</v>
      </c>
      <c r="I941" t="s">
        <v>509</v>
      </c>
      <c r="J941" t="s">
        <v>589</v>
      </c>
      <c r="K941" s="497">
        <f>ROUND(HLOOKUP($B941,'2-Préparation saisie LV PROD'!$F$1:$Q$86,'2-Préparation saisie LV PROD'!A53,FALSE),0)</f>
        <v>5279198</v>
      </c>
      <c r="L941" t="str">
        <f>VLOOKUP(C941,Capacité!C:L,10,FALSE)</f>
        <v>Basse Thiérache Nord</v>
      </c>
    </row>
    <row r="942" spans="1:12">
      <c r="A942" t="s">
        <v>505</v>
      </c>
      <c r="B942" t="str">
        <f t="shared" si="171"/>
        <v>B22_12</v>
      </c>
      <c r="C942" s="323" t="str">
        <f t="shared" si="174"/>
        <v>E5710</v>
      </c>
      <c r="D942" t="str">
        <f t="shared" si="175"/>
        <v>NO_DATAVIEWS</v>
      </c>
      <c r="E942" s="62" t="str">
        <f t="shared" si="175"/>
        <v>NO_DEPARTMENTS</v>
      </c>
      <c r="F942" t="s">
        <v>506</v>
      </c>
      <c r="G942" t="s">
        <v>507</v>
      </c>
      <c r="H942" t="s">
        <v>508</v>
      </c>
      <c r="I942" t="s">
        <v>509</v>
      </c>
      <c r="J942" t="s">
        <v>589</v>
      </c>
      <c r="K942" s="497">
        <f>ROUND(HLOOKUP($B942,'2-Préparation saisie LV PROD'!$F$1:$Q$86,'2-Préparation saisie LV PROD'!A54,FALSE),0)</f>
        <v>6142789</v>
      </c>
      <c r="L942" t="str">
        <f>VLOOKUP(C942,Capacité!C:L,10,FALSE)</f>
        <v>Sources de l'Ancre</v>
      </c>
    </row>
    <row r="943" spans="1:12">
      <c r="A943" t="s">
        <v>505</v>
      </c>
      <c r="B943" t="str">
        <f t="shared" si="171"/>
        <v>B22_12</v>
      </c>
      <c r="C943" s="323" t="str">
        <f t="shared" si="174"/>
        <v>E6190</v>
      </c>
      <c r="D943" t="str">
        <f t="shared" si="175"/>
        <v>NO_DATAVIEWS</v>
      </c>
      <c r="E943" s="62" t="str">
        <f t="shared" si="175"/>
        <v>NO_DEPARTMENTS</v>
      </c>
      <c r="F943" t="s">
        <v>506</v>
      </c>
      <c r="G943" t="s">
        <v>507</v>
      </c>
      <c r="H943" t="s">
        <v>508</v>
      </c>
      <c r="I943" t="s">
        <v>509</v>
      </c>
      <c r="J943" t="s">
        <v>589</v>
      </c>
      <c r="K943" s="497">
        <f>ROUND(HLOOKUP($B943,'2-Préparation saisie LV PROD'!$F$1:$Q$86,'2-Préparation saisie LV PROD'!A55,FALSE),0)</f>
        <v>0</v>
      </c>
      <c r="L943" t="str">
        <f>VLOOKUP(C943,Capacité!C:L,10,FALSE)</f>
        <v>Evits et Josaphats</v>
      </c>
    </row>
    <row r="944" spans="1:12">
      <c r="A944" t="s">
        <v>505</v>
      </c>
      <c r="B944" t="str">
        <f t="shared" si="171"/>
        <v>B22_12</v>
      </c>
      <c r="C944" s="323" t="str">
        <f t="shared" si="174"/>
        <v>E6200</v>
      </c>
      <c r="D944" t="str">
        <f t="shared" si="175"/>
        <v>NO_DATAVIEWS</v>
      </c>
      <c r="E944" s="62" t="str">
        <f t="shared" si="175"/>
        <v>NO_DEPARTMENTS</v>
      </c>
      <c r="F944" t="s">
        <v>506</v>
      </c>
      <c r="G944" t="s">
        <v>507</v>
      </c>
      <c r="H944" t="s">
        <v>508</v>
      </c>
      <c r="I944" t="s">
        <v>509</v>
      </c>
      <c r="J944" t="s">
        <v>589</v>
      </c>
      <c r="K944" s="497">
        <f>ROUND(HLOOKUP($B944,'2-Préparation saisie LV PROD'!$F$1:$Q$86,'2-Préparation saisie LV PROD'!A56,FALSE),0)</f>
        <v>0</v>
      </c>
      <c r="L944" t="str">
        <f>VLOOKUP(C944,Capacité!C:L,10,FALSE)</f>
        <v>Remise Reclainville</v>
      </c>
    </row>
    <row r="945" spans="1:12">
      <c r="A945" t="s">
        <v>505</v>
      </c>
      <c r="B945" t="str">
        <f t="shared" si="171"/>
        <v>B22_12</v>
      </c>
      <c r="C945" s="323" t="str">
        <f t="shared" si="174"/>
        <v>E6150</v>
      </c>
      <c r="D945" t="str">
        <f t="shared" si="175"/>
        <v>NO_DATAVIEWS</v>
      </c>
      <c r="E945" s="62" t="str">
        <f t="shared" si="175"/>
        <v>NO_DEPARTMENTS</v>
      </c>
      <c r="F945" t="s">
        <v>506</v>
      </c>
      <c r="G945" t="s">
        <v>507</v>
      </c>
      <c r="H945" t="s">
        <v>508</v>
      </c>
      <c r="I945" t="s">
        <v>509</v>
      </c>
      <c r="J945" t="s">
        <v>589</v>
      </c>
      <c r="K945" s="497">
        <f>ROUND(HLOOKUP($B945,'2-Préparation saisie LV PROD'!$F$1:$Q$86,'2-Préparation saisie LV PROD'!A57,FALSE),0)</f>
        <v>2065671</v>
      </c>
      <c r="L945" t="str">
        <f>VLOOKUP(C945,Capacité!C:L,10,FALSE)</f>
        <v>Fierville</v>
      </c>
    </row>
    <row r="946" spans="1:12">
      <c r="A946" t="s">
        <v>505</v>
      </c>
      <c r="B946" t="str">
        <f t="shared" si="171"/>
        <v>B22_12</v>
      </c>
      <c r="C946" s="323" t="str">
        <f t="shared" si="174"/>
        <v>E6340</v>
      </c>
      <c r="D946" t="str">
        <f t="shared" si="175"/>
        <v>NO_DATAVIEWS</v>
      </c>
      <c r="E946" s="62" t="str">
        <f t="shared" si="175"/>
        <v>NO_DEPARTMENTS</v>
      </c>
      <c r="F946" t="s">
        <v>506</v>
      </c>
      <c r="G946" t="s">
        <v>507</v>
      </c>
      <c r="H946" t="s">
        <v>508</v>
      </c>
      <c r="I946" t="s">
        <v>509</v>
      </c>
      <c r="J946" t="s">
        <v>589</v>
      </c>
      <c r="K946" s="497">
        <f>ROUND(HLOOKUP($B946,'2-Préparation saisie LV PROD'!$F$1:$Q$86,'2-Préparation saisie LV PROD'!A58,FALSE),0)</f>
        <v>3389057</v>
      </c>
      <c r="L946" t="str">
        <f>VLOOKUP(C946,Capacité!C:L,10,FALSE)</f>
        <v>Plaine de Beaunay</v>
      </c>
    </row>
    <row r="947" spans="1:12">
      <c r="A947" t="s">
        <v>505</v>
      </c>
      <c r="B947" t="str">
        <f t="shared" si="171"/>
        <v>B22_12</v>
      </c>
      <c r="C947" s="323" t="str">
        <f t="shared" si="174"/>
        <v>E6370</v>
      </c>
      <c r="D947" t="str">
        <f t="shared" si="175"/>
        <v>NO_DATAVIEWS</v>
      </c>
      <c r="E947" s="62" t="str">
        <f t="shared" si="175"/>
        <v>NO_DEPARTMENTS</v>
      </c>
      <c r="F947" t="s">
        <v>506</v>
      </c>
      <c r="G947" t="s">
        <v>507</v>
      </c>
      <c r="H947" t="s">
        <v>508</v>
      </c>
      <c r="I947" t="s">
        <v>509</v>
      </c>
      <c r="J947" t="s">
        <v>589</v>
      </c>
      <c r="K947" s="497">
        <f>ROUND(HLOOKUP($B947,'2-Préparation saisie LV PROD'!$F$1:$Q$86,'2-Préparation saisie LV PROD'!A59,FALSE),0)</f>
        <v>4271513</v>
      </c>
      <c r="L947" t="str">
        <f>VLOOKUP(C947,Capacité!C:L,10,FALSE)</f>
        <v>Val au Moines</v>
      </c>
    </row>
    <row r="948" spans="1:12">
      <c r="A948" t="s">
        <v>505</v>
      </c>
      <c r="B948" t="str">
        <f t="shared" si="171"/>
        <v>B22_12</v>
      </c>
      <c r="C948" s="323" t="str">
        <f t="shared" si="174"/>
        <v>E6250</v>
      </c>
      <c r="D948" t="str">
        <f t="shared" si="175"/>
        <v>NO_DATAVIEWS</v>
      </c>
      <c r="E948" s="62" t="str">
        <f t="shared" si="175"/>
        <v>NO_DEPARTMENTS</v>
      </c>
      <c r="F948" t="s">
        <v>506</v>
      </c>
      <c r="G948" t="s">
        <v>507</v>
      </c>
      <c r="H948" t="s">
        <v>508</v>
      </c>
      <c r="I948" t="s">
        <v>509</v>
      </c>
      <c r="J948" t="s">
        <v>589</v>
      </c>
      <c r="K948" s="497">
        <f>ROUND(HLOOKUP($B948,'2-Préparation saisie LV PROD'!$F$1:$Q$86,'2-Préparation saisie LV PROD'!A60,FALSE),0)</f>
        <v>0</v>
      </c>
      <c r="L948" t="str">
        <f>VLOOKUP(C948,Capacité!C:L,10,FALSE)</f>
        <v>Bougainville</v>
      </c>
    </row>
    <row r="949" spans="1:12">
      <c r="A949" t="s">
        <v>505</v>
      </c>
      <c r="B949" t="str">
        <f t="shared" si="171"/>
        <v>B22_12</v>
      </c>
      <c r="C949" s="323" t="str">
        <f t="shared" si="174"/>
        <v>E6260</v>
      </c>
      <c r="D949" t="str">
        <f t="shared" si="175"/>
        <v>NO_DATAVIEWS</v>
      </c>
      <c r="E949" s="62" t="str">
        <f t="shared" si="175"/>
        <v>NO_DEPARTMENTS</v>
      </c>
      <c r="F949" t="s">
        <v>506</v>
      </c>
      <c r="G949" t="s">
        <v>507</v>
      </c>
      <c r="H949" t="s">
        <v>508</v>
      </c>
      <c r="I949" t="s">
        <v>509</v>
      </c>
      <c r="J949" t="s">
        <v>589</v>
      </c>
      <c r="K949" s="497">
        <f>ROUND(HLOOKUP($B949,'2-Préparation saisie LV PROD'!$F$1:$Q$86,'2-Préparation saisie LV PROD'!A61,FALSE),0)</f>
        <v>2388132</v>
      </c>
      <c r="L949" t="str">
        <f>VLOOKUP(C949,Capacité!C:L,10,FALSE)</f>
        <v>Saint André</v>
      </c>
    </row>
    <row r="950" spans="1:12">
      <c r="A950" t="s">
        <v>505</v>
      </c>
      <c r="B950" t="str">
        <f t="shared" si="171"/>
        <v>B22_12</v>
      </c>
      <c r="C950" s="323" t="str">
        <f t="shared" si="174"/>
        <v>E6120</v>
      </c>
      <c r="D950" t="str">
        <f t="shared" si="175"/>
        <v>NO_DATAVIEWS</v>
      </c>
      <c r="E950" s="62" t="str">
        <f t="shared" si="175"/>
        <v>NO_DEPARTMENTS</v>
      </c>
      <c r="F950" t="s">
        <v>506</v>
      </c>
      <c r="G950" t="s">
        <v>507</v>
      </c>
      <c r="H950" t="s">
        <v>508</v>
      </c>
      <c r="I950" t="s">
        <v>509</v>
      </c>
      <c r="J950" t="s">
        <v>589</v>
      </c>
      <c r="K950" s="497">
        <f>ROUND(HLOOKUP($B950,'2-Préparation saisie LV PROD'!$F$1:$Q$86,'2-Préparation saisie LV PROD'!A62,FALSE),0)</f>
        <v>855813</v>
      </c>
      <c r="L950" t="str">
        <f>VLOOKUP(C950,Capacité!C:L,10,FALSE)</f>
        <v>Fond de la Plaine</v>
      </c>
    </row>
    <row r="951" spans="1:12">
      <c r="A951" t="s">
        <v>505</v>
      </c>
      <c r="B951" t="str">
        <f t="shared" si="171"/>
        <v>B22_12</v>
      </c>
      <c r="C951" s="323" t="str">
        <f t="shared" si="174"/>
        <v>E6130</v>
      </c>
      <c r="D951" t="str">
        <f t="shared" si="175"/>
        <v>NO_DATAVIEWS</v>
      </c>
      <c r="E951" s="62" t="str">
        <f t="shared" si="175"/>
        <v>NO_DEPARTMENTS</v>
      </c>
      <c r="F951" t="s">
        <v>506</v>
      </c>
      <c r="G951" t="s">
        <v>507</v>
      </c>
      <c r="H951" t="s">
        <v>508</v>
      </c>
      <c r="I951" t="s">
        <v>509</v>
      </c>
      <c r="J951" t="s">
        <v>589</v>
      </c>
      <c r="K951" s="497">
        <f>ROUND(HLOOKUP($B951,'2-Préparation saisie LV PROD'!$F$1:$Q$86,'2-Préparation saisie LV PROD'!A63,FALSE),0)</f>
        <v>2400088</v>
      </c>
      <c r="L951" t="str">
        <f>VLOOKUP(C951,Capacité!C:L,10,FALSE)</f>
        <v>Bassigny</v>
      </c>
    </row>
    <row r="952" spans="1:12">
      <c r="A952" t="s">
        <v>505</v>
      </c>
      <c r="B952" t="str">
        <f t="shared" si="171"/>
        <v>B22_12</v>
      </c>
      <c r="C952" s="323" t="str">
        <f t="shared" si="174"/>
        <v>E6210</v>
      </c>
      <c r="D952" t="str">
        <f t="shared" si="175"/>
        <v>NO_DATAVIEWS</v>
      </c>
      <c r="E952" s="62" t="str">
        <f t="shared" si="175"/>
        <v>NO_DEPARTMENTS</v>
      </c>
      <c r="F952" t="s">
        <v>506</v>
      </c>
      <c r="G952" t="s">
        <v>507</v>
      </c>
      <c r="H952" t="s">
        <v>508</v>
      </c>
      <c r="I952" t="s">
        <v>509</v>
      </c>
      <c r="J952" t="s">
        <v>589</v>
      </c>
      <c r="K952" s="497">
        <f>ROUND(HLOOKUP($B952,'2-Préparation saisie LV PROD'!$F$1:$Q$86,'2-Préparation saisie LV PROD'!A64,FALSE),0)</f>
        <v>1846176</v>
      </c>
      <c r="L952" t="str">
        <f>VLOOKUP(C952,Capacité!C:L,10,FALSE)</f>
        <v>Les Clérimois</v>
      </c>
    </row>
    <row r="953" spans="1:12">
      <c r="A953" t="s">
        <v>505</v>
      </c>
      <c r="B953" t="str">
        <f t="shared" si="171"/>
        <v>B22_12</v>
      </c>
      <c r="C953" s="323" t="str">
        <f t="shared" si="174"/>
        <v>E6160</v>
      </c>
      <c r="D953" t="str">
        <f t="shared" si="175"/>
        <v>NO_DATAVIEWS</v>
      </c>
      <c r="E953" s="62" t="str">
        <f t="shared" si="175"/>
        <v>NO_DEPARTMENTS</v>
      </c>
      <c r="F953" t="s">
        <v>506</v>
      </c>
      <c r="G953" t="s">
        <v>507</v>
      </c>
      <c r="H953" t="s">
        <v>508</v>
      </c>
      <c r="I953" t="s">
        <v>509</v>
      </c>
      <c r="J953" t="s">
        <v>589</v>
      </c>
      <c r="K953" s="497">
        <f>ROUND(HLOOKUP($B953,'2-Préparation saisie LV PROD'!$F$1:$Q$86,'2-Préparation saisie LV PROD'!A65,FALSE),0)</f>
        <v>2096031</v>
      </c>
      <c r="L953" t="str">
        <f>VLOOKUP(C953,Capacité!C:L,10,FALSE)</f>
        <v>Plateau de Langres</v>
      </c>
    </row>
    <row r="954" spans="1:12">
      <c r="A954" t="s">
        <v>505</v>
      </c>
      <c r="B954" t="str">
        <f t="shared" si="171"/>
        <v>B22_12</v>
      </c>
      <c r="C954" s="323" t="str">
        <f t="shared" si="174"/>
        <v>E6170</v>
      </c>
      <c r="D954" t="str">
        <f t="shared" si="175"/>
        <v>NO_DATAVIEWS</v>
      </c>
      <c r="E954" s="62" t="str">
        <f t="shared" si="175"/>
        <v>NO_DEPARTMENTS</v>
      </c>
      <c r="F954" t="s">
        <v>506</v>
      </c>
      <c r="G954" t="s">
        <v>507</v>
      </c>
      <c r="H954" t="s">
        <v>508</v>
      </c>
      <c r="I954" t="s">
        <v>509</v>
      </c>
      <c r="J954" t="s">
        <v>589</v>
      </c>
      <c r="K954" s="497">
        <f>ROUND(HLOOKUP($B954,'2-Préparation saisie LV PROD'!$F$1:$Q$86,'2-Préparation saisie LV PROD'!A66,FALSE),0)</f>
        <v>2002405</v>
      </c>
      <c r="L954" t="str">
        <f>VLOOKUP(C954,Capacité!C:L,10,FALSE)</f>
        <v>Les Moulins de Boulay</v>
      </c>
    </row>
    <row r="955" spans="1:12">
      <c r="A955" t="s">
        <v>505</v>
      </c>
      <c r="B955" t="str">
        <f t="shared" si="171"/>
        <v>B22_12</v>
      </c>
      <c r="C955" s="323" t="str">
        <f t="shared" si="174"/>
        <v>E6330</v>
      </c>
      <c r="D955" t="str">
        <f t="shared" si="175"/>
        <v>NO_DATAVIEWS</v>
      </c>
      <c r="E955" s="62" t="str">
        <f t="shared" si="175"/>
        <v>NO_DEPARTMENTS</v>
      </c>
      <c r="F955" t="s">
        <v>506</v>
      </c>
      <c r="G955" t="s">
        <v>507</v>
      </c>
      <c r="H955" t="s">
        <v>508</v>
      </c>
      <c r="I955" t="s">
        <v>509</v>
      </c>
      <c r="J955" t="s">
        <v>589</v>
      </c>
      <c r="K955" s="497">
        <f>ROUND(HLOOKUP($B955,'2-Préparation saisie LV PROD'!$F$1:$Q$86,'2-Préparation saisie LV PROD'!A67,FALSE),0)</f>
        <v>2350481</v>
      </c>
      <c r="L955" t="str">
        <f>VLOOKUP(C955,Capacité!C:L,10,FALSE)</f>
        <v>Morlange</v>
      </c>
    </row>
    <row r="956" spans="1:12">
      <c r="A956" t="s">
        <v>505</v>
      </c>
      <c r="B956" t="str">
        <f t="shared" si="171"/>
        <v>B22_12</v>
      </c>
      <c r="C956" s="323" t="str">
        <f t="shared" si="174"/>
        <v>E6140</v>
      </c>
      <c r="D956" t="str">
        <f t="shared" ref="D956:E967" si="176">D955</f>
        <v>NO_DATAVIEWS</v>
      </c>
      <c r="E956" s="62" t="str">
        <f t="shared" si="176"/>
        <v>NO_DEPARTMENTS</v>
      </c>
      <c r="F956" t="s">
        <v>506</v>
      </c>
      <c r="G956" t="s">
        <v>507</v>
      </c>
      <c r="H956" t="s">
        <v>508</v>
      </c>
      <c r="I956" t="s">
        <v>509</v>
      </c>
      <c r="J956" t="s">
        <v>589</v>
      </c>
      <c r="K956" s="497">
        <f>ROUND(HLOOKUP($B956,'2-Préparation saisie LV PROD'!$F$1:$Q$86,'2-Préparation saisie LV PROD'!A68,FALSE),0)</f>
        <v>0</v>
      </c>
      <c r="L956" t="str">
        <f>VLOOKUP(C956,Capacité!C:L,10,FALSE)</f>
        <v>Renardières mont de Bezard</v>
      </c>
    </row>
    <row r="957" spans="1:12">
      <c r="A957" t="s">
        <v>505</v>
      </c>
      <c r="B957" t="str">
        <f t="shared" si="171"/>
        <v>B22_12</v>
      </c>
      <c r="C957" s="323" t="str">
        <f t="shared" ref="C957:C967" si="177">C876</f>
        <v>E6350</v>
      </c>
      <c r="D957" t="str">
        <f t="shared" si="176"/>
        <v>NO_DATAVIEWS</v>
      </c>
      <c r="E957" s="62" t="str">
        <f t="shared" si="176"/>
        <v>NO_DEPARTMENTS</v>
      </c>
      <c r="F957" t="s">
        <v>506</v>
      </c>
      <c r="G957" t="s">
        <v>507</v>
      </c>
      <c r="H957" t="s">
        <v>508</v>
      </c>
      <c r="I957" t="s">
        <v>509</v>
      </c>
      <c r="J957" t="s">
        <v>589</v>
      </c>
      <c r="K957" s="497">
        <f>ROUND(HLOOKUP($B957,'2-Préparation saisie LV PROD'!$F$1:$Q$86,'2-Préparation saisie LV PROD'!A69,FALSE),0)</f>
        <v>2521635</v>
      </c>
      <c r="L957" t="str">
        <f>VLOOKUP(C957,Capacité!C:L,10,FALSE)</f>
        <v>Zondrange</v>
      </c>
    </row>
    <row r="958" spans="1:12">
      <c r="A958" t="s">
        <v>505</v>
      </c>
      <c r="B958" t="str">
        <f t="shared" si="171"/>
        <v>B22_12</v>
      </c>
      <c r="C958" s="323" t="str">
        <f t="shared" si="177"/>
        <v>E6360</v>
      </c>
      <c r="D958" t="str">
        <f t="shared" si="176"/>
        <v>NO_DATAVIEWS</v>
      </c>
      <c r="E958" s="62" t="str">
        <f t="shared" si="176"/>
        <v>NO_DEPARTMENTS</v>
      </c>
      <c r="F958" t="s">
        <v>506</v>
      </c>
      <c r="G958" t="s">
        <v>507</v>
      </c>
      <c r="H958" t="s">
        <v>508</v>
      </c>
      <c r="I958" t="s">
        <v>509</v>
      </c>
      <c r="J958" t="s">
        <v>589</v>
      </c>
      <c r="K958" s="497">
        <f>ROUND(HLOOKUP($B958,'2-Préparation saisie LV PROD'!$F$1:$Q$86,'2-Préparation saisie LV PROD'!A70,FALSE),0)</f>
        <v>2601173</v>
      </c>
      <c r="L958" t="str">
        <f>VLOOKUP(C958,Capacité!C:L,10,FALSE)</f>
        <v xml:space="preserve">Noyers </v>
      </c>
    </row>
    <row r="959" spans="1:12">
      <c r="A959" t="s">
        <v>505</v>
      </c>
      <c r="B959" t="str">
        <f t="shared" ref="B959:B967" si="178">+$B$893</f>
        <v>B22_12</v>
      </c>
      <c r="C959" s="323" t="str">
        <f t="shared" si="177"/>
        <v>E5550</v>
      </c>
      <c r="D959" t="str">
        <f t="shared" si="176"/>
        <v>NO_DATAVIEWS</v>
      </c>
      <c r="E959" s="62" t="str">
        <f t="shared" si="176"/>
        <v>NO_DEPARTMENTS</v>
      </c>
      <c r="F959" t="s">
        <v>506</v>
      </c>
      <c r="G959" t="s">
        <v>507</v>
      </c>
      <c r="H959" t="s">
        <v>508</v>
      </c>
      <c r="I959" t="s">
        <v>509</v>
      </c>
      <c r="J959" t="s">
        <v>589</v>
      </c>
      <c r="K959" s="497">
        <f>ROUND(HLOOKUP($B959,'2-Préparation saisie LV PROD'!$F$1:$Q$86,'2-Préparation saisie LV PROD'!A71,FALSE),0)</f>
        <v>725757</v>
      </c>
      <c r="L959" t="str">
        <f>VLOOKUP(C959,Capacité!C:L,10,FALSE)</f>
        <v>Les Cigalettes (Montfort) / Solaire</v>
      </c>
    </row>
    <row r="960" spans="1:12">
      <c r="A960" t="s">
        <v>505</v>
      </c>
      <c r="B960" t="str">
        <f t="shared" si="178"/>
        <v>B22_12</v>
      </c>
      <c r="C960" s="323" t="str">
        <f t="shared" si="177"/>
        <v>E5250</v>
      </c>
      <c r="D960" t="str">
        <f t="shared" si="176"/>
        <v>NO_DATAVIEWS</v>
      </c>
      <c r="E960" s="62" t="str">
        <f t="shared" si="176"/>
        <v>NO_DEPARTMENTS</v>
      </c>
      <c r="F960" t="s">
        <v>506</v>
      </c>
      <c r="G960" t="s">
        <v>507</v>
      </c>
      <c r="H960" t="s">
        <v>508</v>
      </c>
      <c r="I960" t="s">
        <v>509</v>
      </c>
      <c r="J960" t="s">
        <v>589</v>
      </c>
      <c r="K960" s="497">
        <f>ROUND(HLOOKUP($B960,'2-Préparation saisie LV PROD'!$F$1:$Q$86,'2-Préparation saisie LV PROD'!A72,FALSE),0)</f>
        <v>236796</v>
      </c>
      <c r="L960" t="str">
        <f>VLOOKUP(C960,Capacité!C:L,10,FALSE)</f>
        <v>Avignonet / Solaire</v>
      </c>
    </row>
    <row r="961" spans="1:25">
      <c r="A961" t="s">
        <v>505</v>
      </c>
      <c r="B961" t="str">
        <f t="shared" si="178"/>
        <v>B22_12</v>
      </c>
      <c r="C961" s="323" t="str">
        <f t="shared" si="177"/>
        <v>E6010</v>
      </c>
      <c r="D961" t="str">
        <f t="shared" si="176"/>
        <v>NO_DATAVIEWS</v>
      </c>
      <c r="E961" s="62" t="str">
        <f t="shared" si="176"/>
        <v>NO_DEPARTMENTS</v>
      </c>
      <c r="F961" t="s">
        <v>506</v>
      </c>
      <c r="G961" t="s">
        <v>507</v>
      </c>
      <c r="H961" t="s">
        <v>508</v>
      </c>
      <c r="I961" t="s">
        <v>509</v>
      </c>
      <c r="J961" t="s">
        <v>589</v>
      </c>
      <c r="K961" s="497">
        <f>ROUND(HLOOKUP($B961,'2-Préparation saisie LV PROD'!$F$1:$Q$86,'2-Préparation saisie LV PROD'!A74,FALSE),0)</f>
        <v>10469329</v>
      </c>
      <c r="L961" t="str">
        <f>VLOOKUP(C961,Capacité!C:L,10,FALSE)</f>
        <v>CDC-R</v>
      </c>
    </row>
    <row r="962" spans="1:25">
      <c r="A962" t="s">
        <v>505</v>
      </c>
      <c r="B962" t="str">
        <f t="shared" si="178"/>
        <v>B22_12</v>
      </c>
      <c r="C962" s="323" t="str">
        <f t="shared" si="177"/>
        <v>E6280</v>
      </c>
      <c r="D962" t="str">
        <f t="shared" si="176"/>
        <v>NO_DATAVIEWS</v>
      </c>
      <c r="E962" s="62" t="str">
        <f t="shared" si="176"/>
        <v>NO_DEPARTMENTS</v>
      </c>
      <c r="F962" t="s">
        <v>506</v>
      </c>
      <c r="G962" t="s">
        <v>507</v>
      </c>
      <c r="H962" t="s">
        <v>508</v>
      </c>
      <c r="I962" t="s">
        <v>509</v>
      </c>
      <c r="J962" t="s">
        <v>589</v>
      </c>
      <c r="K962" s="497">
        <f>ROUND(HLOOKUP($B962,'2-Préparation saisie LV PROD'!$F$1:$Q$86,'2-Préparation saisie LV PROD'!A75,FALSE),0)</f>
        <v>3288017</v>
      </c>
      <c r="L962" t="str">
        <f>VLOOKUP(C962,Capacité!C:L,10,FALSE)</f>
        <v>BPF</v>
      </c>
    </row>
    <row r="963" spans="1:25">
      <c r="A963" t="s">
        <v>505</v>
      </c>
      <c r="B963" t="str">
        <f t="shared" si="178"/>
        <v>B22_12</v>
      </c>
      <c r="C963" s="323" t="str">
        <f t="shared" si="177"/>
        <v>E5930</v>
      </c>
      <c r="D963" t="str">
        <f t="shared" si="176"/>
        <v>NO_DATAVIEWS</v>
      </c>
      <c r="E963" s="62" t="str">
        <f t="shared" si="176"/>
        <v>NO_DEPARTMENTS</v>
      </c>
      <c r="F963" t="s">
        <v>506</v>
      </c>
      <c r="G963" t="s">
        <v>507</v>
      </c>
      <c r="H963" t="s">
        <v>508</v>
      </c>
      <c r="I963" t="s">
        <v>509</v>
      </c>
      <c r="J963" t="s">
        <v>589</v>
      </c>
      <c r="K963" s="497">
        <f>ROUND(HLOOKUP($B963,'2-Préparation saisie LV PROD'!$F$1:$Q$86,'2-Préparation saisie LV PROD'!A76,FALSE),0)</f>
        <v>5012248</v>
      </c>
      <c r="L963" t="str">
        <f>VLOOKUP(C963,Capacité!C:L,10,FALSE)</f>
        <v>XSB</v>
      </c>
    </row>
    <row r="964" spans="1:25" s="4" customFormat="1">
      <c r="A964" s="4" t="s">
        <v>505</v>
      </c>
      <c r="B964" s="4" t="str">
        <f t="shared" si="178"/>
        <v>B22_12</v>
      </c>
      <c r="C964" s="323" t="str">
        <f t="shared" si="177"/>
        <v>E5880</v>
      </c>
      <c r="D964" t="str">
        <f t="shared" si="176"/>
        <v>NO_DATAVIEWS</v>
      </c>
      <c r="E964" s="62" t="str">
        <f t="shared" si="176"/>
        <v>NO_DEPARTMENTS</v>
      </c>
      <c r="F964" s="4" t="s">
        <v>506</v>
      </c>
      <c r="G964" s="4" t="s">
        <v>507</v>
      </c>
      <c r="H964" s="4" t="s">
        <v>508</v>
      </c>
      <c r="I964" s="4" t="s">
        <v>509</v>
      </c>
      <c r="J964" s="4" t="s">
        <v>589</v>
      </c>
      <c r="K964" s="497">
        <f>ROUND(HLOOKUP($B964,'2-Préparation saisie LV PROD'!$F$1:$Q$86,'2-Préparation saisie LV PROD'!A77,FALSE),0)</f>
        <v>4658324</v>
      </c>
      <c r="L964" t="str">
        <f>VLOOKUP(C964,Capacité!C:L,10,FALSE)</f>
        <v>Extension plaine d'Escrebieux</v>
      </c>
      <c r="M964"/>
      <c r="N964"/>
      <c r="O964"/>
      <c r="P964"/>
      <c r="Q964"/>
      <c r="R964"/>
      <c r="S964"/>
      <c r="T964"/>
      <c r="U964"/>
      <c r="V964"/>
      <c r="W964"/>
      <c r="X964"/>
      <c r="Y964"/>
    </row>
    <row r="965" spans="1:25" s="4" customFormat="1">
      <c r="A965" s="4" t="s">
        <v>505</v>
      </c>
      <c r="B965" s="4" t="str">
        <f t="shared" si="178"/>
        <v>B22_12</v>
      </c>
      <c r="C965" s="323" t="str">
        <f t="shared" si="177"/>
        <v>E6720</v>
      </c>
      <c r="D965" t="str">
        <f t="shared" si="176"/>
        <v>NO_DATAVIEWS</v>
      </c>
      <c r="E965" s="62" t="str">
        <f t="shared" si="176"/>
        <v>NO_DEPARTMENTS</v>
      </c>
      <c r="F965" s="4" t="s">
        <v>506</v>
      </c>
      <c r="G965" s="4" t="s">
        <v>507</v>
      </c>
      <c r="H965" s="4" t="s">
        <v>508</v>
      </c>
      <c r="I965" s="4" t="s">
        <v>509</v>
      </c>
      <c r="J965" s="4" t="s">
        <v>589</v>
      </c>
      <c r="K965" s="497">
        <f>ROUND(HLOOKUP($B965,'2-Préparation saisie LV PROD'!$F$1:$Q$86,'2-Préparation saisie LV PROD'!A78,FALSE),0)</f>
        <v>461862</v>
      </c>
      <c r="L965" t="str">
        <f>VLOOKUP(C965,Capacité!C:L,10,FALSE)</f>
        <v xml:space="preserve">St Christophe - Clé des champs / Solaire </v>
      </c>
      <c r="M965"/>
      <c r="N965"/>
      <c r="O965"/>
      <c r="P965"/>
      <c r="Q965"/>
      <c r="R965"/>
      <c r="S965"/>
      <c r="T965"/>
      <c r="U965"/>
      <c r="V965"/>
      <c r="W965"/>
      <c r="X965"/>
      <c r="Y965"/>
    </row>
    <row r="966" spans="1:25" s="4" customFormat="1">
      <c r="A966" s="4" t="s">
        <v>505</v>
      </c>
      <c r="B966" s="4" t="str">
        <f t="shared" si="178"/>
        <v>B22_12</v>
      </c>
      <c r="C966" s="323" t="str">
        <f t="shared" si="177"/>
        <v>E6040</v>
      </c>
      <c r="D966" t="str">
        <f t="shared" si="176"/>
        <v>NO_DATAVIEWS</v>
      </c>
      <c r="E966" s="62" t="str">
        <f t="shared" si="176"/>
        <v>NO_DEPARTMENTS</v>
      </c>
      <c r="F966" s="4" t="s">
        <v>506</v>
      </c>
      <c r="G966" s="4" t="s">
        <v>507</v>
      </c>
      <c r="H966" s="4" t="s">
        <v>508</v>
      </c>
      <c r="I966" s="4" t="s">
        <v>509</v>
      </c>
      <c r="J966" s="4" t="s">
        <v>589</v>
      </c>
      <c r="K966" s="497">
        <f>ROUND(HLOOKUP($B966,'2-Préparation saisie LV PROD'!$F$1:$Q$86,'2-Préparation saisie LV PROD'!A79,FALSE),0)</f>
        <v>843784</v>
      </c>
      <c r="L966" t="str">
        <f>VLOOKUP(C966,Capacité!C:L,10,FALSE)</f>
        <v>Peyrolles / Solaire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</row>
    <row r="967" spans="1:25" s="4" customFormat="1">
      <c r="A967" s="4" t="s">
        <v>505</v>
      </c>
      <c r="B967" s="4" t="str">
        <f t="shared" si="178"/>
        <v>B22_12</v>
      </c>
      <c r="C967" s="323" t="str">
        <f t="shared" si="177"/>
        <v>E6310</v>
      </c>
      <c r="D967" t="str">
        <f t="shared" si="176"/>
        <v>NO_DATAVIEWS</v>
      </c>
      <c r="E967" s="62" t="str">
        <f t="shared" si="176"/>
        <v>NO_DEPARTMENTS</v>
      </c>
      <c r="F967" s="4" t="s">
        <v>506</v>
      </c>
      <c r="G967" s="4" t="s">
        <v>507</v>
      </c>
      <c r="H967" s="4" t="s">
        <v>508</v>
      </c>
      <c r="I967" s="4" t="s">
        <v>509</v>
      </c>
      <c r="J967" s="4" t="s">
        <v>589</v>
      </c>
      <c r="K967" s="497">
        <f>ROUND(HLOOKUP($B967,'2-Préparation saisie LV PROD'!$F$1:$Q$86,'2-Préparation saisie LV PROD'!A80,FALSE),0)</f>
        <v>3616853</v>
      </c>
      <c r="L967" t="str">
        <f>VLOOKUP(C967,Capacité!C:L,10,FALSE)</f>
        <v>Bazougeais</v>
      </c>
      <c r="M967"/>
      <c r="N967"/>
      <c r="O967"/>
      <c r="P967"/>
      <c r="Q967"/>
      <c r="R967"/>
      <c r="S967"/>
      <c r="T967"/>
      <c r="U967"/>
      <c r="V967"/>
      <c r="W967"/>
      <c r="X967"/>
      <c r="Y967"/>
    </row>
    <row r="968" spans="1:25">
      <c r="A968" s="4" t="s">
        <v>505</v>
      </c>
      <c r="B968" s="4" t="str">
        <f t="shared" ref="B968:B973" si="179">+$B$893</f>
        <v>B22_12</v>
      </c>
      <c r="C968" s="323" t="str">
        <f t="shared" ref="C968:C973" si="180">C887</f>
        <v>E6571</v>
      </c>
      <c r="D968" t="str">
        <f t="shared" ref="D968:E968" si="181">D967</f>
        <v>NO_DATAVIEWS</v>
      </c>
      <c r="E968" s="62" t="str">
        <f t="shared" si="181"/>
        <v>NO_DEPARTMENTS</v>
      </c>
      <c r="F968" s="4" t="s">
        <v>506</v>
      </c>
      <c r="G968" s="4" t="s">
        <v>507</v>
      </c>
      <c r="H968" s="4" t="s">
        <v>508</v>
      </c>
      <c r="I968" s="4" t="s">
        <v>509</v>
      </c>
      <c r="J968" s="4" t="s">
        <v>589</v>
      </c>
      <c r="K968" s="497">
        <f>ROUND(HLOOKUP($B968,'2-Préparation saisie LV PROD'!$F$1:$Q$86,'2-Préparation saisie LV PROD'!A81,FALSE),0)</f>
        <v>0</v>
      </c>
      <c r="L968" t="s">
        <v>3538</v>
      </c>
    </row>
    <row r="969" spans="1:25">
      <c r="A969" s="4" t="s">
        <v>505</v>
      </c>
      <c r="B969" s="4" t="str">
        <f t="shared" si="179"/>
        <v>B22_12</v>
      </c>
      <c r="C969" s="323" t="str">
        <f t="shared" si="180"/>
        <v>E5890</v>
      </c>
      <c r="D969" t="str">
        <f t="shared" ref="D969:E969" si="182">D968</f>
        <v>NO_DATAVIEWS</v>
      </c>
      <c r="E969" s="62" t="str">
        <f t="shared" si="182"/>
        <v>NO_DEPARTMENTS</v>
      </c>
      <c r="F969" s="4" t="s">
        <v>506</v>
      </c>
      <c r="G969" s="4" t="s">
        <v>507</v>
      </c>
      <c r="H969" s="4" t="s">
        <v>508</v>
      </c>
      <c r="I969" s="4" t="s">
        <v>509</v>
      </c>
      <c r="J969" s="4" t="s">
        <v>589</v>
      </c>
      <c r="K969" s="497">
        <f>ROUND(HLOOKUP($B969,'2-Préparation saisie LV PROD'!$F$1:$Q$86,'2-Préparation saisie LV PROD'!A82,FALSE),0)</f>
        <v>2506658</v>
      </c>
      <c r="L969" t="str">
        <f>VLOOKUP(C969,Capacité!C:L,10,FALSE)</f>
        <v>La Grande Borne</v>
      </c>
    </row>
    <row r="970" spans="1:25">
      <c r="A970" s="4" t="s">
        <v>505</v>
      </c>
      <c r="B970" s="4" t="str">
        <f t="shared" si="179"/>
        <v>B22_12</v>
      </c>
      <c r="C970" s="323" t="str">
        <f t="shared" si="180"/>
        <v>E6730</v>
      </c>
      <c r="D970" t="str">
        <f t="shared" ref="D970:E970" si="183">D969</f>
        <v>NO_DATAVIEWS</v>
      </c>
      <c r="E970" s="62" t="str">
        <f t="shared" si="183"/>
        <v>NO_DEPARTMENTS</v>
      </c>
      <c r="F970" s="4" t="s">
        <v>506</v>
      </c>
      <c r="G970" s="4" t="s">
        <v>507</v>
      </c>
      <c r="H970" s="4" t="s">
        <v>508</v>
      </c>
      <c r="I970" s="4" t="s">
        <v>509</v>
      </c>
      <c r="J970" s="4" t="s">
        <v>589</v>
      </c>
      <c r="K970" s="497">
        <f>ROUND(HLOOKUP($B970,'2-Préparation saisie LV PROD'!$F$1:$Q$86,'2-Préparation saisie LV PROD'!A83,FALSE),0)</f>
        <v>5067673</v>
      </c>
      <c r="L970" t="str">
        <f>VLOOKUP(C970,Capacité!C:L,10,FALSE)</f>
        <v xml:space="preserve">R-EEJ - Evits et Josaphats </v>
      </c>
    </row>
    <row r="971" spans="1:25">
      <c r="A971" s="4" t="s">
        <v>505</v>
      </c>
      <c r="B971" s="4" t="str">
        <f t="shared" si="179"/>
        <v>B22_12</v>
      </c>
      <c r="C971" s="323" t="str">
        <f t="shared" si="180"/>
        <v>E6740</v>
      </c>
      <c r="D971" t="str">
        <f t="shared" ref="D971:E971" si="184">D970</f>
        <v>NO_DATAVIEWS</v>
      </c>
      <c r="E971" s="62" t="str">
        <f t="shared" si="184"/>
        <v>NO_DEPARTMENTS</v>
      </c>
      <c r="F971" s="4" t="s">
        <v>506</v>
      </c>
      <c r="G971" s="4" t="s">
        <v>507</v>
      </c>
      <c r="H971" s="4" t="s">
        <v>508</v>
      </c>
      <c r="I971" s="4" t="s">
        <v>509</v>
      </c>
      <c r="J971" s="4" t="s">
        <v>589</v>
      </c>
      <c r="K971" s="497">
        <f>ROUND(HLOOKUP($B971,'2-Préparation saisie LV PROD'!$F$1:$Q$86,'2-Préparation saisie LV PROD'!A84,FALSE),0)</f>
        <v>4870263</v>
      </c>
      <c r="L971" t="str">
        <f>VLOOKUP(C971,Capacité!C:L,10,FALSE)</f>
        <v>R-RCL - Remise Reclainville</v>
      </c>
    </row>
    <row r="972" spans="1:25">
      <c r="A972" s="4" t="s">
        <v>505</v>
      </c>
      <c r="B972" s="4" t="str">
        <f t="shared" si="179"/>
        <v>B22_12</v>
      </c>
      <c r="C972" s="323" t="str">
        <f t="shared" si="180"/>
        <v>E6290</v>
      </c>
      <c r="D972" t="str">
        <f t="shared" ref="D972:E972" si="185">D971</f>
        <v>NO_DATAVIEWS</v>
      </c>
      <c r="E972" s="62" t="str">
        <f t="shared" si="185"/>
        <v>NO_DEPARTMENTS</v>
      </c>
      <c r="F972" s="4" t="s">
        <v>506</v>
      </c>
      <c r="G972" s="4" t="s">
        <v>507</v>
      </c>
      <c r="H972" s="4" t="s">
        <v>508</v>
      </c>
      <c r="I972" s="4" t="s">
        <v>509</v>
      </c>
      <c r="J972" s="4" t="s">
        <v>589</v>
      </c>
      <c r="K972" s="497">
        <f>ROUND(HLOOKUP($B972,'2-Préparation saisie LV PROD'!$F$1:$Q$86,'2-Préparation saisie LV PROD'!A85,FALSE),0)</f>
        <v>6692699</v>
      </c>
      <c r="L972" t="str">
        <f>VLOOKUP(C972,Capacité!C:L,10,FALSE)</f>
        <v>Bois des Fontaines (extension EEJ)</v>
      </c>
    </row>
    <row r="973" spans="1:25">
      <c r="A973" s="4" t="s">
        <v>505</v>
      </c>
      <c r="B973" s="4" t="str">
        <f t="shared" si="179"/>
        <v>B22_12</v>
      </c>
      <c r="C973" s="323" t="str">
        <f t="shared" si="180"/>
        <v>E6760</v>
      </c>
      <c r="D973" t="str">
        <f t="shared" ref="D973:E973" si="186">D972</f>
        <v>NO_DATAVIEWS</v>
      </c>
      <c r="E973" s="62" t="str">
        <f t="shared" si="186"/>
        <v>NO_DEPARTMENTS</v>
      </c>
      <c r="F973" s="4" t="s">
        <v>506</v>
      </c>
      <c r="G973" s="4" t="s">
        <v>507</v>
      </c>
      <c r="H973" s="4" t="s">
        <v>508</v>
      </c>
      <c r="I973" s="4" t="s">
        <v>509</v>
      </c>
      <c r="J973" s="4" t="s">
        <v>589</v>
      </c>
      <c r="K973" s="497">
        <f>ROUND(HLOOKUP($B973,'2-Préparation saisie LV PROD'!$F$1:$Q$86,'2-Préparation saisie LV PROD'!A86,FALSE),0)</f>
        <v>6079402</v>
      </c>
      <c r="L973" t="str">
        <f>VLOOKUP(C973,Capacité!C:L,10,FALSE)</f>
        <v>R-BGV - Bougainville</v>
      </c>
    </row>
  </sheetData>
  <autoFilter ref="A1:Y973" xr:uid="{2FC76289-07C7-4CA7-99B4-258EA52DD7EE}"/>
  <pageMargins left="0.7" right="0.7" top="0.75" bottom="0.75" header="0.3" footer="0.3"/>
  <customProperties>
    <customPr name="Longview.RefreshTimestamp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F8426-600F-454D-A9A0-BEF6F3AF9C84}">
  <sheetPr>
    <tabColor rgb="FF00B0F0"/>
  </sheetPr>
  <dimension ref="A1:AG212"/>
  <sheetViews>
    <sheetView zoomScale="80" zoomScaleNormal="80" workbookViewId="0">
      <pane xSplit="5" ySplit="4" topLeftCell="F5" activePane="bottomRight" state="frozen"/>
      <selection activeCell="B351" sqref="B351:S454"/>
      <selection pane="topRight" activeCell="B351" sqref="B351:S454"/>
      <selection pane="bottomLeft" activeCell="B351" sqref="B351:S454"/>
      <selection pane="bottomRight" activeCell="F79" sqref="F79"/>
    </sheetView>
  </sheetViews>
  <sheetFormatPr baseColWidth="10" defaultRowHeight="15"/>
  <cols>
    <col min="2" max="2" width="16.140625" style="4" customWidth="1"/>
    <col min="4" max="4" width="35.7109375" bestFit="1" customWidth="1"/>
    <col min="5" max="5" width="49.140625" bestFit="1" customWidth="1"/>
    <col min="6" max="6" width="18.85546875" bestFit="1" customWidth="1"/>
    <col min="7" max="7" width="22.140625" bestFit="1" customWidth="1"/>
    <col min="8" max="11" width="18.85546875" bestFit="1" customWidth="1"/>
    <col min="12" max="17" width="18.85546875" customWidth="1"/>
    <col min="18" max="18" width="19.7109375" customWidth="1"/>
    <col min="19" max="19" width="14.5703125" customWidth="1"/>
    <col min="20" max="20" width="12.85546875" bestFit="1" customWidth="1"/>
    <col min="21" max="22" width="21" bestFit="1" customWidth="1"/>
    <col min="23" max="23" width="22" bestFit="1" customWidth="1"/>
    <col min="24" max="24" width="21.28515625" bestFit="1" customWidth="1"/>
    <col min="25" max="25" width="21.7109375" bestFit="1" customWidth="1"/>
    <col min="26" max="26" width="22.28515625" bestFit="1" customWidth="1"/>
    <col min="27" max="28" width="21.7109375" bestFit="1" customWidth="1"/>
    <col min="29" max="29" width="22" bestFit="1" customWidth="1"/>
    <col min="30" max="30" width="21.28515625" bestFit="1" customWidth="1"/>
    <col min="31" max="31" width="21.7109375" bestFit="1" customWidth="1"/>
    <col min="32" max="32" width="21.28515625" bestFit="1" customWidth="1"/>
    <col min="33" max="33" width="18.7109375" customWidth="1"/>
    <col min="34" max="259" width="9.140625" customWidth="1"/>
    <col min="260" max="260" width="54.85546875" bestFit="1" customWidth="1"/>
    <col min="261" max="261" width="74.5703125" bestFit="1" customWidth="1"/>
    <col min="262" max="262" width="25.28515625" bestFit="1" customWidth="1"/>
    <col min="263" max="263" width="5.5703125" bestFit="1" customWidth="1"/>
    <col min="264" max="264" width="9.85546875" bestFit="1" customWidth="1"/>
    <col min="265" max="265" width="18.28515625" bestFit="1" customWidth="1"/>
    <col min="266" max="266" width="14" bestFit="1" customWidth="1"/>
    <col min="267" max="267" width="22.42578125" bestFit="1" customWidth="1"/>
    <col min="268" max="515" width="9.140625" customWidth="1"/>
    <col min="516" max="516" width="54.85546875" bestFit="1" customWidth="1"/>
    <col min="517" max="517" width="74.5703125" bestFit="1" customWidth="1"/>
    <col min="518" max="518" width="25.28515625" bestFit="1" customWidth="1"/>
    <col min="519" max="519" width="5.5703125" bestFit="1" customWidth="1"/>
    <col min="520" max="520" width="9.85546875" bestFit="1" customWidth="1"/>
    <col min="521" max="521" width="18.28515625" bestFit="1" customWidth="1"/>
    <col min="522" max="522" width="14" bestFit="1" customWidth="1"/>
    <col min="523" max="523" width="22.42578125" bestFit="1" customWidth="1"/>
    <col min="524" max="771" width="9.140625" customWidth="1"/>
    <col min="772" max="772" width="54.85546875" bestFit="1" customWidth="1"/>
    <col min="773" max="773" width="74.5703125" bestFit="1" customWidth="1"/>
    <col min="774" max="774" width="25.28515625" bestFit="1" customWidth="1"/>
    <col min="775" max="775" width="5.5703125" bestFit="1" customWidth="1"/>
    <col min="776" max="776" width="9.85546875" bestFit="1" customWidth="1"/>
    <col min="777" max="777" width="18.28515625" bestFit="1" customWidth="1"/>
    <col min="778" max="778" width="14" bestFit="1" customWidth="1"/>
    <col min="779" max="779" width="22.42578125" bestFit="1" customWidth="1"/>
    <col min="780" max="1027" width="9.140625" customWidth="1"/>
    <col min="1028" max="1028" width="54.85546875" bestFit="1" customWidth="1"/>
    <col min="1029" max="1029" width="74.5703125" bestFit="1" customWidth="1"/>
    <col min="1030" max="1030" width="25.28515625" bestFit="1" customWidth="1"/>
    <col min="1031" max="1031" width="5.5703125" bestFit="1" customWidth="1"/>
    <col min="1032" max="1032" width="9.85546875" bestFit="1" customWidth="1"/>
    <col min="1033" max="1033" width="18.28515625" bestFit="1" customWidth="1"/>
    <col min="1034" max="1034" width="14" bestFit="1" customWidth="1"/>
    <col min="1035" max="1035" width="22.42578125" bestFit="1" customWidth="1"/>
    <col min="1036" max="1283" width="9.140625" customWidth="1"/>
    <col min="1284" max="1284" width="54.85546875" bestFit="1" customWidth="1"/>
    <col min="1285" max="1285" width="74.5703125" bestFit="1" customWidth="1"/>
    <col min="1286" max="1286" width="25.28515625" bestFit="1" customWidth="1"/>
    <col min="1287" max="1287" width="5.5703125" bestFit="1" customWidth="1"/>
    <col min="1288" max="1288" width="9.85546875" bestFit="1" customWidth="1"/>
    <col min="1289" max="1289" width="18.28515625" bestFit="1" customWidth="1"/>
    <col min="1290" max="1290" width="14" bestFit="1" customWidth="1"/>
    <col min="1291" max="1291" width="22.42578125" bestFit="1" customWidth="1"/>
    <col min="1292" max="1539" width="9.140625" customWidth="1"/>
    <col min="1540" max="1540" width="54.85546875" bestFit="1" customWidth="1"/>
    <col min="1541" max="1541" width="74.5703125" bestFit="1" customWidth="1"/>
    <col min="1542" max="1542" width="25.28515625" bestFit="1" customWidth="1"/>
    <col min="1543" max="1543" width="5.5703125" bestFit="1" customWidth="1"/>
    <col min="1544" max="1544" width="9.85546875" bestFit="1" customWidth="1"/>
    <col min="1545" max="1545" width="18.28515625" bestFit="1" customWidth="1"/>
    <col min="1546" max="1546" width="14" bestFit="1" customWidth="1"/>
    <col min="1547" max="1547" width="22.42578125" bestFit="1" customWidth="1"/>
    <col min="1548" max="1795" width="9.140625" customWidth="1"/>
    <col min="1796" max="1796" width="54.85546875" bestFit="1" customWidth="1"/>
    <col min="1797" max="1797" width="74.5703125" bestFit="1" customWidth="1"/>
    <col min="1798" max="1798" width="25.28515625" bestFit="1" customWidth="1"/>
    <col min="1799" max="1799" width="5.5703125" bestFit="1" customWidth="1"/>
    <col min="1800" max="1800" width="9.85546875" bestFit="1" customWidth="1"/>
    <col min="1801" max="1801" width="18.28515625" bestFit="1" customWidth="1"/>
    <col min="1802" max="1802" width="14" bestFit="1" customWidth="1"/>
    <col min="1803" max="1803" width="22.42578125" bestFit="1" customWidth="1"/>
    <col min="1804" max="2051" width="9.140625" customWidth="1"/>
    <col min="2052" max="2052" width="54.85546875" bestFit="1" customWidth="1"/>
    <col min="2053" max="2053" width="74.5703125" bestFit="1" customWidth="1"/>
    <col min="2054" max="2054" width="25.28515625" bestFit="1" customWidth="1"/>
    <col min="2055" max="2055" width="5.5703125" bestFit="1" customWidth="1"/>
    <col min="2056" max="2056" width="9.85546875" bestFit="1" customWidth="1"/>
    <col min="2057" max="2057" width="18.28515625" bestFit="1" customWidth="1"/>
    <col min="2058" max="2058" width="14" bestFit="1" customWidth="1"/>
    <col min="2059" max="2059" width="22.42578125" bestFit="1" customWidth="1"/>
    <col min="2060" max="2307" width="9.140625" customWidth="1"/>
    <col min="2308" max="2308" width="54.85546875" bestFit="1" customWidth="1"/>
    <col min="2309" max="2309" width="74.5703125" bestFit="1" customWidth="1"/>
    <col min="2310" max="2310" width="25.28515625" bestFit="1" customWidth="1"/>
    <col min="2311" max="2311" width="5.5703125" bestFit="1" customWidth="1"/>
    <col min="2312" max="2312" width="9.85546875" bestFit="1" customWidth="1"/>
    <col min="2313" max="2313" width="18.28515625" bestFit="1" customWidth="1"/>
    <col min="2314" max="2314" width="14" bestFit="1" customWidth="1"/>
    <col min="2315" max="2315" width="22.42578125" bestFit="1" customWidth="1"/>
    <col min="2316" max="2563" width="9.140625" customWidth="1"/>
    <col min="2564" max="2564" width="54.85546875" bestFit="1" customWidth="1"/>
    <col min="2565" max="2565" width="74.5703125" bestFit="1" customWidth="1"/>
    <col min="2566" max="2566" width="25.28515625" bestFit="1" customWidth="1"/>
    <col min="2567" max="2567" width="5.5703125" bestFit="1" customWidth="1"/>
    <col min="2568" max="2568" width="9.85546875" bestFit="1" customWidth="1"/>
    <col min="2569" max="2569" width="18.28515625" bestFit="1" customWidth="1"/>
    <col min="2570" max="2570" width="14" bestFit="1" customWidth="1"/>
    <col min="2571" max="2571" width="22.42578125" bestFit="1" customWidth="1"/>
    <col min="2572" max="2819" width="9.140625" customWidth="1"/>
    <col min="2820" max="2820" width="54.85546875" bestFit="1" customWidth="1"/>
    <col min="2821" max="2821" width="74.5703125" bestFit="1" customWidth="1"/>
    <col min="2822" max="2822" width="25.28515625" bestFit="1" customWidth="1"/>
    <col min="2823" max="2823" width="5.5703125" bestFit="1" customWidth="1"/>
    <col min="2824" max="2824" width="9.85546875" bestFit="1" customWidth="1"/>
    <col min="2825" max="2825" width="18.28515625" bestFit="1" customWidth="1"/>
    <col min="2826" max="2826" width="14" bestFit="1" customWidth="1"/>
    <col min="2827" max="2827" width="22.42578125" bestFit="1" customWidth="1"/>
    <col min="2828" max="3075" width="9.140625" customWidth="1"/>
    <col min="3076" max="3076" width="54.85546875" bestFit="1" customWidth="1"/>
    <col min="3077" max="3077" width="74.5703125" bestFit="1" customWidth="1"/>
    <col min="3078" max="3078" width="25.28515625" bestFit="1" customWidth="1"/>
    <col min="3079" max="3079" width="5.5703125" bestFit="1" customWidth="1"/>
    <col min="3080" max="3080" width="9.85546875" bestFit="1" customWidth="1"/>
    <col min="3081" max="3081" width="18.28515625" bestFit="1" customWidth="1"/>
    <col min="3082" max="3082" width="14" bestFit="1" customWidth="1"/>
    <col min="3083" max="3083" width="22.42578125" bestFit="1" customWidth="1"/>
    <col min="3084" max="3331" width="9.140625" customWidth="1"/>
    <col min="3332" max="3332" width="54.85546875" bestFit="1" customWidth="1"/>
    <col min="3333" max="3333" width="74.5703125" bestFit="1" customWidth="1"/>
    <col min="3334" max="3334" width="25.28515625" bestFit="1" customWidth="1"/>
    <col min="3335" max="3335" width="5.5703125" bestFit="1" customWidth="1"/>
    <col min="3336" max="3336" width="9.85546875" bestFit="1" customWidth="1"/>
    <col min="3337" max="3337" width="18.28515625" bestFit="1" customWidth="1"/>
    <col min="3338" max="3338" width="14" bestFit="1" customWidth="1"/>
    <col min="3339" max="3339" width="22.42578125" bestFit="1" customWidth="1"/>
    <col min="3340" max="3587" width="9.140625" customWidth="1"/>
    <col min="3588" max="3588" width="54.85546875" bestFit="1" customWidth="1"/>
    <col min="3589" max="3589" width="74.5703125" bestFit="1" customWidth="1"/>
    <col min="3590" max="3590" width="25.28515625" bestFit="1" customWidth="1"/>
    <col min="3591" max="3591" width="5.5703125" bestFit="1" customWidth="1"/>
    <col min="3592" max="3592" width="9.85546875" bestFit="1" customWidth="1"/>
    <col min="3593" max="3593" width="18.28515625" bestFit="1" customWidth="1"/>
    <col min="3594" max="3594" width="14" bestFit="1" customWidth="1"/>
    <col min="3595" max="3595" width="22.42578125" bestFit="1" customWidth="1"/>
    <col min="3596" max="3843" width="9.140625" customWidth="1"/>
    <col min="3844" max="3844" width="54.85546875" bestFit="1" customWidth="1"/>
    <col min="3845" max="3845" width="74.5703125" bestFit="1" customWidth="1"/>
    <col min="3846" max="3846" width="25.28515625" bestFit="1" customWidth="1"/>
    <col min="3847" max="3847" width="5.5703125" bestFit="1" customWidth="1"/>
    <col min="3848" max="3848" width="9.85546875" bestFit="1" customWidth="1"/>
    <col min="3849" max="3849" width="18.28515625" bestFit="1" customWidth="1"/>
    <col min="3850" max="3850" width="14" bestFit="1" customWidth="1"/>
    <col min="3851" max="3851" width="22.42578125" bestFit="1" customWidth="1"/>
    <col min="3852" max="4099" width="9.140625" customWidth="1"/>
    <col min="4100" max="4100" width="54.85546875" bestFit="1" customWidth="1"/>
    <col min="4101" max="4101" width="74.5703125" bestFit="1" customWidth="1"/>
    <col min="4102" max="4102" width="25.28515625" bestFit="1" customWidth="1"/>
    <col min="4103" max="4103" width="5.5703125" bestFit="1" customWidth="1"/>
    <col min="4104" max="4104" width="9.85546875" bestFit="1" customWidth="1"/>
    <col min="4105" max="4105" width="18.28515625" bestFit="1" customWidth="1"/>
    <col min="4106" max="4106" width="14" bestFit="1" customWidth="1"/>
    <col min="4107" max="4107" width="22.42578125" bestFit="1" customWidth="1"/>
    <col min="4108" max="4355" width="9.140625" customWidth="1"/>
    <col min="4356" max="4356" width="54.85546875" bestFit="1" customWidth="1"/>
    <col min="4357" max="4357" width="74.5703125" bestFit="1" customWidth="1"/>
    <col min="4358" max="4358" width="25.28515625" bestFit="1" customWidth="1"/>
    <col min="4359" max="4359" width="5.5703125" bestFit="1" customWidth="1"/>
    <col min="4360" max="4360" width="9.85546875" bestFit="1" customWidth="1"/>
    <col min="4361" max="4361" width="18.28515625" bestFit="1" customWidth="1"/>
    <col min="4362" max="4362" width="14" bestFit="1" customWidth="1"/>
    <col min="4363" max="4363" width="22.42578125" bestFit="1" customWidth="1"/>
    <col min="4364" max="4611" width="9.140625" customWidth="1"/>
    <col min="4612" max="4612" width="54.85546875" bestFit="1" customWidth="1"/>
    <col min="4613" max="4613" width="74.5703125" bestFit="1" customWidth="1"/>
    <col min="4614" max="4614" width="25.28515625" bestFit="1" customWidth="1"/>
    <col min="4615" max="4615" width="5.5703125" bestFit="1" customWidth="1"/>
    <col min="4616" max="4616" width="9.85546875" bestFit="1" customWidth="1"/>
    <col min="4617" max="4617" width="18.28515625" bestFit="1" customWidth="1"/>
    <col min="4618" max="4618" width="14" bestFit="1" customWidth="1"/>
    <col min="4619" max="4619" width="22.42578125" bestFit="1" customWidth="1"/>
    <col min="4620" max="4867" width="9.140625" customWidth="1"/>
    <col min="4868" max="4868" width="54.85546875" bestFit="1" customWidth="1"/>
    <col min="4869" max="4869" width="74.5703125" bestFit="1" customWidth="1"/>
    <col min="4870" max="4870" width="25.28515625" bestFit="1" customWidth="1"/>
    <col min="4871" max="4871" width="5.5703125" bestFit="1" customWidth="1"/>
    <col min="4872" max="4872" width="9.85546875" bestFit="1" customWidth="1"/>
    <col min="4873" max="4873" width="18.28515625" bestFit="1" customWidth="1"/>
    <col min="4874" max="4874" width="14" bestFit="1" customWidth="1"/>
    <col min="4875" max="4875" width="22.42578125" bestFit="1" customWidth="1"/>
    <col min="4876" max="5123" width="9.140625" customWidth="1"/>
    <col min="5124" max="5124" width="54.85546875" bestFit="1" customWidth="1"/>
    <col min="5125" max="5125" width="74.5703125" bestFit="1" customWidth="1"/>
    <col min="5126" max="5126" width="25.28515625" bestFit="1" customWidth="1"/>
    <col min="5127" max="5127" width="5.5703125" bestFit="1" customWidth="1"/>
    <col min="5128" max="5128" width="9.85546875" bestFit="1" customWidth="1"/>
    <col min="5129" max="5129" width="18.28515625" bestFit="1" customWidth="1"/>
    <col min="5130" max="5130" width="14" bestFit="1" customWidth="1"/>
    <col min="5131" max="5131" width="22.42578125" bestFit="1" customWidth="1"/>
    <col min="5132" max="5379" width="9.140625" customWidth="1"/>
    <col min="5380" max="5380" width="54.85546875" bestFit="1" customWidth="1"/>
    <col min="5381" max="5381" width="74.5703125" bestFit="1" customWidth="1"/>
    <col min="5382" max="5382" width="25.28515625" bestFit="1" customWidth="1"/>
    <col min="5383" max="5383" width="5.5703125" bestFit="1" customWidth="1"/>
    <col min="5384" max="5384" width="9.85546875" bestFit="1" customWidth="1"/>
    <col min="5385" max="5385" width="18.28515625" bestFit="1" customWidth="1"/>
    <col min="5386" max="5386" width="14" bestFit="1" customWidth="1"/>
    <col min="5387" max="5387" width="22.42578125" bestFit="1" customWidth="1"/>
    <col min="5388" max="5635" width="9.140625" customWidth="1"/>
    <col min="5636" max="5636" width="54.85546875" bestFit="1" customWidth="1"/>
    <col min="5637" max="5637" width="74.5703125" bestFit="1" customWidth="1"/>
    <col min="5638" max="5638" width="25.28515625" bestFit="1" customWidth="1"/>
    <col min="5639" max="5639" width="5.5703125" bestFit="1" customWidth="1"/>
    <col min="5640" max="5640" width="9.85546875" bestFit="1" customWidth="1"/>
    <col min="5641" max="5641" width="18.28515625" bestFit="1" customWidth="1"/>
    <col min="5642" max="5642" width="14" bestFit="1" customWidth="1"/>
    <col min="5643" max="5643" width="22.42578125" bestFit="1" customWidth="1"/>
    <col min="5644" max="5891" width="9.140625" customWidth="1"/>
    <col min="5892" max="5892" width="54.85546875" bestFit="1" customWidth="1"/>
    <col min="5893" max="5893" width="74.5703125" bestFit="1" customWidth="1"/>
    <col min="5894" max="5894" width="25.28515625" bestFit="1" customWidth="1"/>
    <col min="5895" max="5895" width="5.5703125" bestFit="1" customWidth="1"/>
    <col min="5896" max="5896" width="9.85546875" bestFit="1" customWidth="1"/>
    <col min="5897" max="5897" width="18.28515625" bestFit="1" customWidth="1"/>
    <col min="5898" max="5898" width="14" bestFit="1" customWidth="1"/>
    <col min="5899" max="5899" width="22.42578125" bestFit="1" customWidth="1"/>
    <col min="5900" max="6147" width="9.140625" customWidth="1"/>
    <col min="6148" max="6148" width="54.85546875" bestFit="1" customWidth="1"/>
    <col min="6149" max="6149" width="74.5703125" bestFit="1" customWidth="1"/>
    <col min="6150" max="6150" width="25.28515625" bestFit="1" customWidth="1"/>
    <col min="6151" max="6151" width="5.5703125" bestFit="1" customWidth="1"/>
    <col min="6152" max="6152" width="9.85546875" bestFit="1" customWidth="1"/>
    <col min="6153" max="6153" width="18.28515625" bestFit="1" customWidth="1"/>
    <col min="6154" max="6154" width="14" bestFit="1" customWidth="1"/>
    <col min="6155" max="6155" width="22.42578125" bestFit="1" customWidth="1"/>
    <col min="6156" max="6403" width="9.140625" customWidth="1"/>
    <col min="6404" max="6404" width="54.85546875" bestFit="1" customWidth="1"/>
    <col min="6405" max="6405" width="74.5703125" bestFit="1" customWidth="1"/>
    <col min="6406" max="6406" width="25.28515625" bestFit="1" customWidth="1"/>
    <col min="6407" max="6407" width="5.5703125" bestFit="1" customWidth="1"/>
    <col min="6408" max="6408" width="9.85546875" bestFit="1" customWidth="1"/>
    <col min="6409" max="6409" width="18.28515625" bestFit="1" customWidth="1"/>
    <col min="6410" max="6410" width="14" bestFit="1" customWidth="1"/>
    <col min="6411" max="6411" width="22.42578125" bestFit="1" customWidth="1"/>
    <col min="6412" max="6659" width="9.140625" customWidth="1"/>
    <col min="6660" max="6660" width="54.85546875" bestFit="1" customWidth="1"/>
    <col min="6661" max="6661" width="74.5703125" bestFit="1" customWidth="1"/>
    <col min="6662" max="6662" width="25.28515625" bestFit="1" customWidth="1"/>
    <col min="6663" max="6663" width="5.5703125" bestFit="1" customWidth="1"/>
    <col min="6664" max="6664" width="9.85546875" bestFit="1" customWidth="1"/>
    <col min="6665" max="6665" width="18.28515625" bestFit="1" customWidth="1"/>
    <col min="6666" max="6666" width="14" bestFit="1" customWidth="1"/>
    <col min="6667" max="6667" width="22.42578125" bestFit="1" customWidth="1"/>
    <col min="6668" max="6915" width="9.140625" customWidth="1"/>
    <col min="6916" max="6916" width="54.85546875" bestFit="1" customWidth="1"/>
    <col min="6917" max="6917" width="74.5703125" bestFit="1" customWidth="1"/>
    <col min="6918" max="6918" width="25.28515625" bestFit="1" customWidth="1"/>
    <col min="6919" max="6919" width="5.5703125" bestFit="1" customWidth="1"/>
    <col min="6920" max="6920" width="9.85546875" bestFit="1" customWidth="1"/>
    <col min="6921" max="6921" width="18.28515625" bestFit="1" customWidth="1"/>
    <col min="6922" max="6922" width="14" bestFit="1" customWidth="1"/>
    <col min="6923" max="6923" width="22.42578125" bestFit="1" customWidth="1"/>
    <col min="6924" max="7171" width="9.140625" customWidth="1"/>
    <col min="7172" max="7172" width="54.85546875" bestFit="1" customWidth="1"/>
    <col min="7173" max="7173" width="74.5703125" bestFit="1" customWidth="1"/>
    <col min="7174" max="7174" width="25.28515625" bestFit="1" customWidth="1"/>
    <col min="7175" max="7175" width="5.5703125" bestFit="1" customWidth="1"/>
    <col min="7176" max="7176" width="9.85546875" bestFit="1" customWidth="1"/>
    <col min="7177" max="7177" width="18.28515625" bestFit="1" customWidth="1"/>
    <col min="7178" max="7178" width="14" bestFit="1" customWidth="1"/>
    <col min="7179" max="7179" width="22.42578125" bestFit="1" customWidth="1"/>
    <col min="7180" max="7427" width="9.140625" customWidth="1"/>
    <col min="7428" max="7428" width="54.85546875" bestFit="1" customWidth="1"/>
    <col min="7429" max="7429" width="74.5703125" bestFit="1" customWidth="1"/>
    <col min="7430" max="7430" width="25.28515625" bestFit="1" customWidth="1"/>
    <col min="7431" max="7431" width="5.5703125" bestFit="1" customWidth="1"/>
    <col min="7432" max="7432" width="9.85546875" bestFit="1" customWidth="1"/>
    <col min="7433" max="7433" width="18.28515625" bestFit="1" customWidth="1"/>
    <col min="7434" max="7434" width="14" bestFit="1" customWidth="1"/>
    <col min="7435" max="7435" width="22.42578125" bestFit="1" customWidth="1"/>
    <col min="7436" max="7683" width="9.140625" customWidth="1"/>
    <col min="7684" max="7684" width="54.85546875" bestFit="1" customWidth="1"/>
    <col min="7685" max="7685" width="74.5703125" bestFit="1" customWidth="1"/>
    <col min="7686" max="7686" width="25.28515625" bestFit="1" customWidth="1"/>
    <col min="7687" max="7687" width="5.5703125" bestFit="1" customWidth="1"/>
    <col min="7688" max="7688" width="9.85546875" bestFit="1" customWidth="1"/>
    <col min="7689" max="7689" width="18.28515625" bestFit="1" customWidth="1"/>
    <col min="7690" max="7690" width="14" bestFit="1" customWidth="1"/>
    <col min="7691" max="7691" width="22.42578125" bestFit="1" customWidth="1"/>
    <col min="7692" max="7939" width="9.140625" customWidth="1"/>
    <col min="7940" max="7940" width="54.85546875" bestFit="1" customWidth="1"/>
    <col min="7941" max="7941" width="74.5703125" bestFit="1" customWidth="1"/>
    <col min="7942" max="7942" width="25.28515625" bestFit="1" customWidth="1"/>
    <col min="7943" max="7943" width="5.5703125" bestFit="1" customWidth="1"/>
    <col min="7944" max="7944" width="9.85546875" bestFit="1" customWidth="1"/>
    <col min="7945" max="7945" width="18.28515625" bestFit="1" customWidth="1"/>
    <col min="7946" max="7946" width="14" bestFit="1" customWidth="1"/>
    <col min="7947" max="7947" width="22.42578125" bestFit="1" customWidth="1"/>
    <col min="7948" max="8195" width="9.140625" customWidth="1"/>
    <col min="8196" max="8196" width="54.85546875" bestFit="1" customWidth="1"/>
    <col min="8197" max="8197" width="74.5703125" bestFit="1" customWidth="1"/>
    <col min="8198" max="8198" width="25.28515625" bestFit="1" customWidth="1"/>
    <col min="8199" max="8199" width="5.5703125" bestFit="1" customWidth="1"/>
    <col min="8200" max="8200" width="9.85546875" bestFit="1" customWidth="1"/>
    <col min="8201" max="8201" width="18.28515625" bestFit="1" customWidth="1"/>
    <col min="8202" max="8202" width="14" bestFit="1" customWidth="1"/>
    <col min="8203" max="8203" width="22.42578125" bestFit="1" customWidth="1"/>
    <col min="8204" max="8451" width="9.140625" customWidth="1"/>
    <col min="8452" max="8452" width="54.85546875" bestFit="1" customWidth="1"/>
    <col min="8453" max="8453" width="74.5703125" bestFit="1" customWidth="1"/>
    <col min="8454" max="8454" width="25.28515625" bestFit="1" customWidth="1"/>
    <col min="8455" max="8455" width="5.5703125" bestFit="1" customWidth="1"/>
    <col min="8456" max="8456" width="9.85546875" bestFit="1" customWidth="1"/>
    <col min="8457" max="8457" width="18.28515625" bestFit="1" customWidth="1"/>
    <col min="8458" max="8458" width="14" bestFit="1" customWidth="1"/>
    <col min="8459" max="8459" width="22.42578125" bestFit="1" customWidth="1"/>
    <col min="8460" max="8707" width="9.140625" customWidth="1"/>
    <col min="8708" max="8708" width="54.85546875" bestFit="1" customWidth="1"/>
    <col min="8709" max="8709" width="74.5703125" bestFit="1" customWidth="1"/>
    <col min="8710" max="8710" width="25.28515625" bestFit="1" customWidth="1"/>
    <col min="8711" max="8711" width="5.5703125" bestFit="1" customWidth="1"/>
    <col min="8712" max="8712" width="9.85546875" bestFit="1" customWidth="1"/>
    <col min="8713" max="8713" width="18.28515625" bestFit="1" customWidth="1"/>
    <col min="8714" max="8714" width="14" bestFit="1" customWidth="1"/>
    <col min="8715" max="8715" width="22.42578125" bestFit="1" customWidth="1"/>
    <col min="8716" max="8963" width="9.140625" customWidth="1"/>
    <col min="8964" max="8964" width="54.85546875" bestFit="1" customWidth="1"/>
    <col min="8965" max="8965" width="74.5703125" bestFit="1" customWidth="1"/>
    <col min="8966" max="8966" width="25.28515625" bestFit="1" customWidth="1"/>
    <col min="8967" max="8967" width="5.5703125" bestFit="1" customWidth="1"/>
    <col min="8968" max="8968" width="9.85546875" bestFit="1" customWidth="1"/>
    <col min="8969" max="8969" width="18.28515625" bestFit="1" customWidth="1"/>
    <col min="8970" max="8970" width="14" bestFit="1" customWidth="1"/>
    <col min="8971" max="8971" width="22.42578125" bestFit="1" customWidth="1"/>
    <col min="8972" max="9219" width="9.140625" customWidth="1"/>
    <col min="9220" max="9220" width="54.85546875" bestFit="1" customWidth="1"/>
    <col min="9221" max="9221" width="74.5703125" bestFit="1" customWidth="1"/>
    <col min="9222" max="9222" width="25.28515625" bestFit="1" customWidth="1"/>
    <col min="9223" max="9223" width="5.5703125" bestFit="1" customWidth="1"/>
    <col min="9224" max="9224" width="9.85546875" bestFit="1" customWidth="1"/>
    <col min="9225" max="9225" width="18.28515625" bestFit="1" customWidth="1"/>
    <col min="9226" max="9226" width="14" bestFit="1" customWidth="1"/>
    <col min="9227" max="9227" width="22.42578125" bestFit="1" customWidth="1"/>
    <col min="9228" max="9475" width="9.140625" customWidth="1"/>
    <col min="9476" max="9476" width="54.85546875" bestFit="1" customWidth="1"/>
    <col min="9477" max="9477" width="74.5703125" bestFit="1" customWidth="1"/>
    <col min="9478" max="9478" width="25.28515625" bestFit="1" customWidth="1"/>
    <col min="9479" max="9479" width="5.5703125" bestFit="1" customWidth="1"/>
    <col min="9480" max="9480" width="9.85546875" bestFit="1" customWidth="1"/>
    <col min="9481" max="9481" width="18.28515625" bestFit="1" customWidth="1"/>
    <col min="9482" max="9482" width="14" bestFit="1" customWidth="1"/>
    <col min="9483" max="9483" width="22.42578125" bestFit="1" customWidth="1"/>
    <col min="9484" max="9731" width="9.140625" customWidth="1"/>
    <col min="9732" max="9732" width="54.85546875" bestFit="1" customWidth="1"/>
    <col min="9733" max="9733" width="74.5703125" bestFit="1" customWidth="1"/>
    <col min="9734" max="9734" width="25.28515625" bestFit="1" customWidth="1"/>
    <col min="9735" max="9735" width="5.5703125" bestFit="1" customWidth="1"/>
    <col min="9736" max="9736" width="9.85546875" bestFit="1" customWidth="1"/>
    <col min="9737" max="9737" width="18.28515625" bestFit="1" customWidth="1"/>
    <col min="9738" max="9738" width="14" bestFit="1" customWidth="1"/>
    <col min="9739" max="9739" width="22.42578125" bestFit="1" customWidth="1"/>
    <col min="9740" max="9987" width="9.140625" customWidth="1"/>
    <col min="9988" max="9988" width="54.85546875" bestFit="1" customWidth="1"/>
    <col min="9989" max="9989" width="74.5703125" bestFit="1" customWidth="1"/>
    <col min="9990" max="9990" width="25.28515625" bestFit="1" customWidth="1"/>
    <col min="9991" max="9991" width="5.5703125" bestFit="1" customWidth="1"/>
    <col min="9992" max="9992" width="9.85546875" bestFit="1" customWidth="1"/>
    <col min="9993" max="9993" width="18.28515625" bestFit="1" customWidth="1"/>
    <col min="9994" max="9994" width="14" bestFit="1" customWidth="1"/>
    <col min="9995" max="9995" width="22.42578125" bestFit="1" customWidth="1"/>
    <col min="9996" max="10243" width="9.140625" customWidth="1"/>
    <col min="10244" max="10244" width="54.85546875" bestFit="1" customWidth="1"/>
    <col min="10245" max="10245" width="74.5703125" bestFit="1" customWidth="1"/>
    <col min="10246" max="10246" width="25.28515625" bestFit="1" customWidth="1"/>
    <col min="10247" max="10247" width="5.5703125" bestFit="1" customWidth="1"/>
    <col min="10248" max="10248" width="9.85546875" bestFit="1" customWidth="1"/>
    <col min="10249" max="10249" width="18.28515625" bestFit="1" customWidth="1"/>
    <col min="10250" max="10250" width="14" bestFit="1" customWidth="1"/>
    <col min="10251" max="10251" width="22.42578125" bestFit="1" customWidth="1"/>
    <col min="10252" max="10499" width="9.140625" customWidth="1"/>
    <col min="10500" max="10500" width="54.85546875" bestFit="1" customWidth="1"/>
    <col min="10501" max="10501" width="74.5703125" bestFit="1" customWidth="1"/>
    <col min="10502" max="10502" width="25.28515625" bestFit="1" customWidth="1"/>
    <col min="10503" max="10503" width="5.5703125" bestFit="1" customWidth="1"/>
    <col min="10504" max="10504" width="9.85546875" bestFit="1" customWidth="1"/>
    <col min="10505" max="10505" width="18.28515625" bestFit="1" customWidth="1"/>
    <col min="10506" max="10506" width="14" bestFit="1" customWidth="1"/>
    <col min="10507" max="10507" width="22.42578125" bestFit="1" customWidth="1"/>
    <col min="10508" max="10755" width="9.140625" customWidth="1"/>
    <col min="10756" max="10756" width="54.85546875" bestFit="1" customWidth="1"/>
    <col min="10757" max="10757" width="74.5703125" bestFit="1" customWidth="1"/>
    <col min="10758" max="10758" width="25.28515625" bestFit="1" customWidth="1"/>
    <col min="10759" max="10759" width="5.5703125" bestFit="1" customWidth="1"/>
    <col min="10760" max="10760" width="9.85546875" bestFit="1" customWidth="1"/>
    <col min="10761" max="10761" width="18.28515625" bestFit="1" customWidth="1"/>
    <col min="10762" max="10762" width="14" bestFit="1" customWidth="1"/>
    <col min="10763" max="10763" width="22.42578125" bestFit="1" customWidth="1"/>
    <col min="10764" max="11011" width="9.140625" customWidth="1"/>
    <col min="11012" max="11012" width="54.85546875" bestFit="1" customWidth="1"/>
    <col min="11013" max="11013" width="74.5703125" bestFit="1" customWidth="1"/>
    <col min="11014" max="11014" width="25.28515625" bestFit="1" customWidth="1"/>
    <col min="11015" max="11015" width="5.5703125" bestFit="1" customWidth="1"/>
    <col min="11016" max="11016" width="9.85546875" bestFit="1" customWidth="1"/>
    <col min="11017" max="11017" width="18.28515625" bestFit="1" customWidth="1"/>
    <col min="11018" max="11018" width="14" bestFit="1" customWidth="1"/>
    <col min="11019" max="11019" width="22.42578125" bestFit="1" customWidth="1"/>
    <col min="11020" max="11267" width="9.140625" customWidth="1"/>
    <col min="11268" max="11268" width="54.85546875" bestFit="1" customWidth="1"/>
    <col min="11269" max="11269" width="74.5703125" bestFit="1" customWidth="1"/>
    <col min="11270" max="11270" width="25.28515625" bestFit="1" customWidth="1"/>
    <col min="11271" max="11271" width="5.5703125" bestFit="1" customWidth="1"/>
    <col min="11272" max="11272" width="9.85546875" bestFit="1" customWidth="1"/>
    <col min="11273" max="11273" width="18.28515625" bestFit="1" customWidth="1"/>
    <col min="11274" max="11274" width="14" bestFit="1" customWidth="1"/>
    <col min="11275" max="11275" width="22.42578125" bestFit="1" customWidth="1"/>
    <col min="11276" max="11523" width="9.140625" customWidth="1"/>
    <col min="11524" max="11524" width="54.85546875" bestFit="1" customWidth="1"/>
    <col min="11525" max="11525" width="74.5703125" bestFit="1" customWidth="1"/>
    <col min="11526" max="11526" width="25.28515625" bestFit="1" customWidth="1"/>
    <col min="11527" max="11527" width="5.5703125" bestFit="1" customWidth="1"/>
    <col min="11528" max="11528" width="9.85546875" bestFit="1" customWidth="1"/>
    <col min="11529" max="11529" width="18.28515625" bestFit="1" customWidth="1"/>
    <col min="11530" max="11530" width="14" bestFit="1" customWidth="1"/>
    <col min="11531" max="11531" width="22.42578125" bestFit="1" customWidth="1"/>
    <col min="11532" max="11779" width="9.140625" customWidth="1"/>
    <col min="11780" max="11780" width="54.85546875" bestFit="1" customWidth="1"/>
    <col min="11781" max="11781" width="74.5703125" bestFit="1" customWidth="1"/>
    <col min="11782" max="11782" width="25.28515625" bestFit="1" customWidth="1"/>
    <col min="11783" max="11783" width="5.5703125" bestFit="1" customWidth="1"/>
    <col min="11784" max="11784" width="9.85546875" bestFit="1" customWidth="1"/>
    <col min="11785" max="11785" width="18.28515625" bestFit="1" customWidth="1"/>
    <col min="11786" max="11786" width="14" bestFit="1" customWidth="1"/>
    <col min="11787" max="11787" width="22.42578125" bestFit="1" customWidth="1"/>
    <col min="11788" max="12035" width="9.140625" customWidth="1"/>
    <col min="12036" max="12036" width="54.85546875" bestFit="1" customWidth="1"/>
    <col min="12037" max="12037" width="74.5703125" bestFit="1" customWidth="1"/>
    <col min="12038" max="12038" width="25.28515625" bestFit="1" customWidth="1"/>
    <col min="12039" max="12039" width="5.5703125" bestFit="1" customWidth="1"/>
    <col min="12040" max="12040" width="9.85546875" bestFit="1" customWidth="1"/>
    <col min="12041" max="12041" width="18.28515625" bestFit="1" customWidth="1"/>
    <col min="12042" max="12042" width="14" bestFit="1" customWidth="1"/>
    <col min="12043" max="12043" width="22.42578125" bestFit="1" customWidth="1"/>
    <col min="12044" max="12291" width="9.140625" customWidth="1"/>
    <col min="12292" max="12292" width="54.85546875" bestFit="1" customWidth="1"/>
    <col min="12293" max="12293" width="74.5703125" bestFit="1" customWidth="1"/>
    <col min="12294" max="12294" width="25.28515625" bestFit="1" customWidth="1"/>
    <col min="12295" max="12295" width="5.5703125" bestFit="1" customWidth="1"/>
    <col min="12296" max="12296" width="9.85546875" bestFit="1" customWidth="1"/>
    <col min="12297" max="12297" width="18.28515625" bestFit="1" customWidth="1"/>
    <col min="12298" max="12298" width="14" bestFit="1" customWidth="1"/>
    <col min="12299" max="12299" width="22.42578125" bestFit="1" customWidth="1"/>
    <col min="12300" max="12547" width="9.140625" customWidth="1"/>
    <col min="12548" max="12548" width="54.85546875" bestFit="1" customWidth="1"/>
    <col min="12549" max="12549" width="74.5703125" bestFit="1" customWidth="1"/>
    <col min="12550" max="12550" width="25.28515625" bestFit="1" customWidth="1"/>
    <col min="12551" max="12551" width="5.5703125" bestFit="1" customWidth="1"/>
    <col min="12552" max="12552" width="9.85546875" bestFit="1" customWidth="1"/>
    <col min="12553" max="12553" width="18.28515625" bestFit="1" customWidth="1"/>
    <col min="12554" max="12554" width="14" bestFit="1" customWidth="1"/>
    <col min="12555" max="12555" width="22.42578125" bestFit="1" customWidth="1"/>
    <col min="12556" max="12803" width="9.140625" customWidth="1"/>
    <col min="12804" max="12804" width="54.85546875" bestFit="1" customWidth="1"/>
    <col min="12805" max="12805" width="74.5703125" bestFit="1" customWidth="1"/>
    <col min="12806" max="12806" width="25.28515625" bestFit="1" customWidth="1"/>
    <col min="12807" max="12807" width="5.5703125" bestFit="1" customWidth="1"/>
    <col min="12808" max="12808" width="9.85546875" bestFit="1" customWidth="1"/>
    <col min="12809" max="12809" width="18.28515625" bestFit="1" customWidth="1"/>
    <col min="12810" max="12810" width="14" bestFit="1" customWidth="1"/>
    <col min="12811" max="12811" width="22.42578125" bestFit="1" customWidth="1"/>
    <col min="12812" max="13059" width="9.140625" customWidth="1"/>
    <col min="13060" max="13060" width="54.85546875" bestFit="1" customWidth="1"/>
    <col min="13061" max="13061" width="74.5703125" bestFit="1" customWidth="1"/>
    <col min="13062" max="13062" width="25.28515625" bestFit="1" customWidth="1"/>
    <col min="13063" max="13063" width="5.5703125" bestFit="1" customWidth="1"/>
    <col min="13064" max="13064" width="9.85546875" bestFit="1" customWidth="1"/>
    <col min="13065" max="13065" width="18.28515625" bestFit="1" customWidth="1"/>
    <col min="13066" max="13066" width="14" bestFit="1" customWidth="1"/>
    <col min="13067" max="13067" width="22.42578125" bestFit="1" customWidth="1"/>
    <col min="13068" max="13315" width="9.140625" customWidth="1"/>
    <col min="13316" max="13316" width="54.85546875" bestFit="1" customWidth="1"/>
    <col min="13317" max="13317" width="74.5703125" bestFit="1" customWidth="1"/>
    <col min="13318" max="13318" width="25.28515625" bestFit="1" customWidth="1"/>
    <col min="13319" max="13319" width="5.5703125" bestFit="1" customWidth="1"/>
    <col min="13320" max="13320" width="9.85546875" bestFit="1" customWidth="1"/>
    <col min="13321" max="13321" width="18.28515625" bestFit="1" customWidth="1"/>
    <col min="13322" max="13322" width="14" bestFit="1" customWidth="1"/>
    <col min="13323" max="13323" width="22.42578125" bestFit="1" customWidth="1"/>
    <col min="13324" max="13571" width="9.140625" customWidth="1"/>
    <col min="13572" max="13572" width="54.85546875" bestFit="1" customWidth="1"/>
    <col min="13573" max="13573" width="74.5703125" bestFit="1" customWidth="1"/>
    <col min="13574" max="13574" width="25.28515625" bestFit="1" customWidth="1"/>
    <col min="13575" max="13575" width="5.5703125" bestFit="1" customWidth="1"/>
    <col min="13576" max="13576" width="9.85546875" bestFit="1" customWidth="1"/>
    <col min="13577" max="13577" width="18.28515625" bestFit="1" customWidth="1"/>
    <col min="13578" max="13578" width="14" bestFit="1" customWidth="1"/>
    <col min="13579" max="13579" width="22.42578125" bestFit="1" customWidth="1"/>
    <col min="13580" max="13827" width="9.140625" customWidth="1"/>
    <col min="13828" max="13828" width="54.85546875" bestFit="1" customWidth="1"/>
    <col min="13829" max="13829" width="74.5703125" bestFit="1" customWidth="1"/>
    <col min="13830" max="13830" width="25.28515625" bestFit="1" customWidth="1"/>
    <col min="13831" max="13831" width="5.5703125" bestFit="1" customWidth="1"/>
    <col min="13832" max="13832" width="9.85546875" bestFit="1" customWidth="1"/>
    <col min="13833" max="13833" width="18.28515625" bestFit="1" customWidth="1"/>
    <col min="13834" max="13834" width="14" bestFit="1" customWidth="1"/>
    <col min="13835" max="13835" width="22.42578125" bestFit="1" customWidth="1"/>
    <col min="13836" max="14083" width="9.140625" customWidth="1"/>
    <col min="14084" max="14084" width="54.85546875" bestFit="1" customWidth="1"/>
    <col min="14085" max="14085" width="74.5703125" bestFit="1" customWidth="1"/>
    <col min="14086" max="14086" width="25.28515625" bestFit="1" customWidth="1"/>
    <col min="14087" max="14087" width="5.5703125" bestFit="1" customWidth="1"/>
    <col min="14088" max="14088" width="9.85546875" bestFit="1" customWidth="1"/>
    <col min="14089" max="14089" width="18.28515625" bestFit="1" customWidth="1"/>
    <col min="14090" max="14090" width="14" bestFit="1" customWidth="1"/>
    <col min="14091" max="14091" width="22.42578125" bestFit="1" customWidth="1"/>
    <col min="14092" max="14339" width="9.140625" customWidth="1"/>
    <col min="14340" max="14340" width="54.85546875" bestFit="1" customWidth="1"/>
    <col min="14341" max="14341" width="74.5703125" bestFit="1" customWidth="1"/>
    <col min="14342" max="14342" width="25.28515625" bestFit="1" customWidth="1"/>
    <col min="14343" max="14343" width="5.5703125" bestFit="1" customWidth="1"/>
    <col min="14344" max="14344" width="9.85546875" bestFit="1" customWidth="1"/>
    <col min="14345" max="14345" width="18.28515625" bestFit="1" customWidth="1"/>
    <col min="14346" max="14346" width="14" bestFit="1" customWidth="1"/>
    <col min="14347" max="14347" width="22.42578125" bestFit="1" customWidth="1"/>
    <col min="14348" max="14595" width="9.140625" customWidth="1"/>
    <col min="14596" max="14596" width="54.85546875" bestFit="1" customWidth="1"/>
    <col min="14597" max="14597" width="74.5703125" bestFit="1" customWidth="1"/>
    <col min="14598" max="14598" width="25.28515625" bestFit="1" customWidth="1"/>
    <col min="14599" max="14599" width="5.5703125" bestFit="1" customWidth="1"/>
    <col min="14600" max="14600" width="9.85546875" bestFit="1" customWidth="1"/>
    <col min="14601" max="14601" width="18.28515625" bestFit="1" customWidth="1"/>
    <col min="14602" max="14602" width="14" bestFit="1" customWidth="1"/>
    <col min="14603" max="14603" width="22.42578125" bestFit="1" customWidth="1"/>
    <col min="14604" max="14851" width="9.140625" customWidth="1"/>
    <col min="14852" max="14852" width="54.85546875" bestFit="1" customWidth="1"/>
    <col min="14853" max="14853" width="74.5703125" bestFit="1" customWidth="1"/>
    <col min="14854" max="14854" width="25.28515625" bestFit="1" customWidth="1"/>
    <col min="14855" max="14855" width="5.5703125" bestFit="1" customWidth="1"/>
    <col min="14856" max="14856" width="9.85546875" bestFit="1" customWidth="1"/>
    <col min="14857" max="14857" width="18.28515625" bestFit="1" customWidth="1"/>
    <col min="14858" max="14858" width="14" bestFit="1" customWidth="1"/>
    <col min="14859" max="14859" width="22.42578125" bestFit="1" customWidth="1"/>
    <col min="14860" max="15107" width="9.140625" customWidth="1"/>
    <col min="15108" max="15108" width="54.85546875" bestFit="1" customWidth="1"/>
    <col min="15109" max="15109" width="74.5703125" bestFit="1" customWidth="1"/>
    <col min="15110" max="15110" width="25.28515625" bestFit="1" customWidth="1"/>
    <col min="15111" max="15111" width="5.5703125" bestFit="1" customWidth="1"/>
    <col min="15112" max="15112" width="9.85546875" bestFit="1" customWidth="1"/>
    <col min="15113" max="15113" width="18.28515625" bestFit="1" customWidth="1"/>
    <col min="15114" max="15114" width="14" bestFit="1" customWidth="1"/>
    <col min="15115" max="15115" width="22.42578125" bestFit="1" customWidth="1"/>
    <col min="15116" max="15363" width="9.140625" customWidth="1"/>
    <col min="15364" max="15364" width="54.85546875" bestFit="1" customWidth="1"/>
    <col min="15365" max="15365" width="74.5703125" bestFit="1" customWidth="1"/>
    <col min="15366" max="15366" width="25.28515625" bestFit="1" customWidth="1"/>
    <col min="15367" max="15367" width="5.5703125" bestFit="1" customWidth="1"/>
    <col min="15368" max="15368" width="9.85546875" bestFit="1" customWidth="1"/>
    <col min="15369" max="15369" width="18.28515625" bestFit="1" customWidth="1"/>
    <col min="15370" max="15370" width="14" bestFit="1" customWidth="1"/>
    <col min="15371" max="15371" width="22.42578125" bestFit="1" customWidth="1"/>
    <col min="15372" max="15619" width="9.140625" customWidth="1"/>
    <col min="15620" max="15620" width="54.85546875" bestFit="1" customWidth="1"/>
    <col min="15621" max="15621" width="74.5703125" bestFit="1" customWidth="1"/>
    <col min="15622" max="15622" width="25.28515625" bestFit="1" customWidth="1"/>
    <col min="15623" max="15623" width="5.5703125" bestFit="1" customWidth="1"/>
    <col min="15624" max="15624" width="9.85546875" bestFit="1" customWidth="1"/>
    <col min="15625" max="15625" width="18.28515625" bestFit="1" customWidth="1"/>
    <col min="15626" max="15626" width="14" bestFit="1" customWidth="1"/>
    <col min="15627" max="15627" width="22.42578125" bestFit="1" customWidth="1"/>
    <col min="15628" max="15875" width="9.140625" customWidth="1"/>
    <col min="15876" max="15876" width="54.85546875" bestFit="1" customWidth="1"/>
    <col min="15877" max="15877" width="74.5703125" bestFit="1" customWidth="1"/>
    <col min="15878" max="15878" width="25.28515625" bestFit="1" customWidth="1"/>
    <col min="15879" max="15879" width="5.5703125" bestFit="1" customWidth="1"/>
    <col min="15880" max="15880" width="9.85546875" bestFit="1" customWidth="1"/>
    <col min="15881" max="15881" width="18.28515625" bestFit="1" customWidth="1"/>
    <col min="15882" max="15882" width="14" bestFit="1" customWidth="1"/>
    <col min="15883" max="15883" width="22.42578125" bestFit="1" customWidth="1"/>
    <col min="15884" max="16131" width="9.140625" customWidth="1"/>
    <col min="16132" max="16132" width="54.85546875" bestFit="1" customWidth="1"/>
    <col min="16133" max="16133" width="74.5703125" bestFit="1" customWidth="1"/>
    <col min="16134" max="16134" width="25.28515625" bestFit="1" customWidth="1"/>
    <col min="16135" max="16135" width="5.5703125" bestFit="1" customWidth="1"/>
    <col min="16136" max="16136" width="9.85546875" bestFit="1" customWidth="1"/>
    <col min="16137" max="16137" width="18.28515625" bestFit="1" customWidth="1"/>
    <col min="16138" max="16138" width="14" bestFit="1" customWidth="1"/>
    <col min="16139" max="16139" width="22.42578125" bestFit="1" customWidth="1"/>
    <col min="16140" max="16384" width="9.140625" customWidth="1"/>
  </cols>
  <sheetData>
    <row r="1" spans="1:32">
      <c r="F1" s="48" t="s">
        <v>3356</v>
      </c>
      <c r="G1" s="48" t="s">
        <v>3357</v>
      </c>
      <c r="H1" s="48" t="s">
        <v>3358</v>
      </c>
      <c r="I1" s="48" t="s">
        <v>3359</v>
      </c>
      <c r="J1" s="48" t="s">
        <v>3360</v>
      </c>
      <c r="K1" s="48" t="s">
        <v>3361</v>
      </c>
      <c r="L1" s="48" t="s">
        <v>3362</v>
      </c>
      <c r="M1" s="48" t="s">
        <v>3363</v>
      </c>
      <c r="N1" s="48" t="s">
        <v>3364</v>
      </c>
      <c r="O1" s="48" t="s">
        <v>3365</v>
      </c>
      <c r="P1" s="48" t="s">
        <v>3366</v>
      </c>
      <c r="Q1" s="48" t="s">
        <v>3367</v>
      </c>
    </row>
    <row r="2" spans="1:32">
      <c r="D2" s="49" t="s">
        <v>389</v>
      </c>
      <c r="E2" s="3"/>
      <c r="F2">
        <v>2</v>
      </c>
      <c r="G2">
        <f>+F2+1</f>
        <v>3</v>
      </c>
      <c r="H2">
        <f t="shared" ref="H2:Q3" si="0">+G2+1</f>
        <v>4</v>
      </c>
      <c r="I2">
        <f t="shared" si="0"/>
        <v>5</v>
      </c>
      <c r="J2">
        <f t="shared" si="0"/>
        <v>6</v>
      </c>
      <c r="K2">
        <f t="shared" si="0"/>
        <v>7</v>
      </c>
      <c r="L2">
        <f t="shared" si="0"/>
        <v>8</v>
      </c>
      <c r="M2">
        <f t="shared" si="0"/>
        <v>9</v>
      </c>
      <c r="N2">
        <f t="shared" si="0"/>
        <v>10</v>
      </c>
      <c r="O2">
        <f t="shared" si="0"/>
        <v>11</v>
      </c>
      <c r="P2">
        <f t="shared" si="0"/>
        <v>12</v>
      </c>
      <c r="Q2">
        <f t="shared" si="0"/>
        <v>13</v>
      </c>
    </row>
    <row r="3" spans="1:32">
      <c r="D3" s="49"/>
      <c r="E3" s="3"/>
      <c r="F3">
        <v>5</v>
      </c>
      <c r="G3">
        <f>+F3+1</f>
        <v>6</v>
      </c>
      <c r="H3">
        <f t="shared" si="0"/>
        <v>7</v>
      </c>
      <c r="I3">
        <f t="shared" si="0"/>
        <v>8</v>
      </c>
      <c r="J3">
        <f t="shared" si="0"/>
        <v>9</v>
      </c>
      <c r="K3">
        <f t="shared" si="0"/>
        <v>10</v>
      </c>
      <c r="L3">
        <f t="shared" si="0"/>
        <v>11</v>
      </c>
      <c r="M3">
        <f t="shared" si="0"/>
        <v>12</v>
      </c>
      <c r="N3">
        <f t="shared" si="0"/>
        <v>13</v>
      </c>
      <c r="O3">
        <f t="shared" si="0"/>
        <v>14</v>
      </c>
      <c r="P3">
        <f t="shared" si="0"/>
        <v>15</v>
      </c>
      <c r="Q3">
        <f t="shared" si="0"/>
        <v>16</v>
      </c>
      <c r="U3" s="106" t="s">
        <v>388</v>
      </c>
    </row>
    <row r="4" spans="1:32">
      <c r="A4" s="51" t="s">
        <v>390</v>
      </c>
      <c r="B4" s="51" t="s">
        <v>390</v>
      </c>
      <c r="C4" s="52" t="s">
        <v>391</v>
      </c>
      <c r="D4" s="53" t="s">
        <v>392</v>
      </c>
      <c r="E4" s="53" t="s">
        <v>393</v>
      </c>
      <c r="F4" s="54" t="s">
        <v>394</v>
      </c>
      <c r="G4" s="54" t="s">
        <v>395</v>
      </c>
      <c r="H4" s="54" t="s">
        <v>396</v>
      </c>
      <c r="I4" s="54" t="s">
        <v>397</v>
      </c>
      <c r="J4" s="54" t="s">
        <v>398</v>
      </c>
      <c r="K4" s="54" t="s">
        <v>399</v>
      </c>
      <c r="L4" s="54" t="s">
        <v>400</v>
      </c>
      <c r="M4" s="54" t="s">
        <v>401</v>
      </c>
      <c r="N4" s="54" t="s">
        <v>402</v>
      </c>
      <c r="O4" s="54" t="s">
        <v>403</v>
      </c>
      <c r="P4" s="54" t="s">
        <v>404</v>
      </c>
      <c r="Q4" s="54" t="s">
        <v>405</v>
      </c>
      <c r="T4" s="106" t="s">
        <v>827</v>
      </c>
      <c r="U4" t="s">
        <v>2584</v>
      </c>
      <c r="V4" t="s">
        <v>2585</v>
      </c>
      <c r="W4" t="s">
        <v>2586</v>
      </c>
      <c r="X4" t="s">
        <v>2587</v>
      </c>
      <c r="Y4" t="s">
        <v>2588</v>
      </c>
      <c r="Z4" t="s">
        <v>2589</v>
      </c>
      <c r="AA4" t="s">
        <v>2590</v>
      </c>
      <c r="AB4" t="s">
        <v>2591</v>
      </c>
      <c r="AC4" t="s">
        <v>2592</v>
      </c>
      <c r="AD4" t="s">
        <v>2593</v>
      </c>
      <c r="AE4" t="s">
        <v>2594</v>
      </c>
      <c r="AF4" t="s">
        <v>2595</v>
      </c>
    </row>
    <row r="5" spans="1:32">
      <c r="A5">
        <v>5</v>
      </c>
      <c r="B5" s="4" t="str">
        <f>+C5</f>
        <v>E5030</v>
      </c>
      <c r="C5" t="s">
        <v>406</v>
      </c>
      <c r="D5" s="55" t="s">
        <v>407</v>
      </c>
      <c r="E5" s="56" t="s">
        <v>408</v>
      </c>
      <c r="F5" s="57">
        <f t="shared" ref="F5:Q14" si="1">VLOOKUP($C5,$T:$AF,F$2,FALSE)</f>
        <v>1684549.4876510985</v>
      </c>
      <c r="G5" s="57">
        <f t="shared" si="1"/>
        <v>1552679.8301214315</v>
      </c>
      <c r="H5" s="57">
        <f t="shared" si="1"/>
        <v>1740282.7520709301</v>
      </c>
      <c r="I5" s="57">
        <f t="shared" si="1"/>
        <v>1562485.7630328711</v>
      </c>
      <c r="J5" s="57">
        <f t="shared" si="1"/>
        <v>1507292.5639699805</v>
      </c>
      <c r="K5" s="57">
        <f t="shared" si="1"/>
        <v>1094099.2454128941</v>
      </c>
      <c r="L5" s="57">
        <f t="shared" si="1"/>
        <v>974264.65162392147</v>
      </c>
      <c r="M5" s="57">
        <f t="shared" si="1"/>
        <v>962112.28569779312</v>
      </c>
      <c r="N5" s="57">
        <f t="shared" si="1"/>
        <v>1176421.7242673144</v>
      </c>
      <c r="O5" s="57">
        <f t="shared" si="1"/>
        <v>1601159.1145718016</v>
      </c>
      <c r="P5" s="57">
        <f t="shared" si="1"/>
        <v>1528826.8184766301</v>
      </c>
      <c r="Q5" s="57">
        <f t="shared" si="1"/>
        <v>1615825.7631033366</v>
      </c>
      <c r="R5" s="58"/>
      <c r="S5" t="str">
        <f t="shared" ref="S5:S36" si="2">VLOOKUP(T5,C:C,1,FALSE)</f>
        <v>E5030</v>
      </c>
      <c r="T5" s="50" t="s">
        <v>406</v>
      </c>
      <c r="U5" s="111">
        <v>1684549.4876510985</v>
      </c>
      <c r="V5" s="111">
        <v>1552679.8301214315</v>
      </c>
      <c r="W5" s="111">
        <v>1740282.7520709301</v>
      </c>
      <c r="X5" s="111">
        <v>1562485.7630328711</v>
      </c>
      <c r="Y5" s="111">
        <v>1507292.5639699805</v>
      </c>
      <c r="Z5" s="111">
        <v>1094099.2454128941</v>
      </c>
      <c r="AA5" s="111">
        <v>974264.65162392147</v>
      </c>
      <c r="AB5" s="111">
        <v>962112.28569779312</v>
      </c>
      <c r="AC5" s="111">
        <v>1176421.7242673144</v>
      </c>
      <c r="AD5" s="111">
        <v>1601159.1145718016</v>
      </c>
      <c r="AE5" s="111">
        <v>1528826.8184766301</v>
      </c>
      <c r="AF5" s="111">
        <v>1615825.7631033366</v>
      </c>
    </row>
    <row r="6" spans="1:32">
      <c r="A6">
        <v>6</v>
      </c>
      <c r="B6" s="4" t="str">
        <f t="shared" ref="B6:B73" si="3">+C6</f>
        <v>E5040</v>
      </c>
      <c r="C6" t="s">
        <v>409</v>
      </c>
      <c r="D6" s="55" t="s">
        <v>407</v>
      </c>
      <c r="E6" s="56" t="s">
        <v>410</v>
      </c>
      <c r="F6" s="57">
        <f t="shared" si="1"/>
        <v>794808.82804792712</v>
      </c>
      <c r="G6" s="57">
        <f t="shared" si="1"/>
        <v>625209.1544705499</v>
      </c>
      <c r="H6" s="57">
        <f t="shared" si="1"/>
        <v>569552.22567538673</v>
      </c>
      <c r="I6" s="57">
        <f t="shared" si="1"/>
        <v>399272.31582261471</v>
      </c>
      <c r="J6" s="57">
        <f t="shared" si="1"/>
        <v>376104.69071385759</v>
      </c>
      <c r="K6" s="57">
        <f t="shared" si="1"/>
        <v>285174.57402224885</v>
      </c>
      <c r="L6" s="57">
        <f t="shared" si="1"/>
        <v>295717.64535450895</v>
      </c>
      <c r="M6" s="57">
        <f t="shared" si="1"/>
        <v>298310.7758499718</v>
      </c>
      <c r="N6" s="57">
        <f t="shared" si="1"/>
        <v>368823.94484363135</v>
      </c>
      <c r="O6" s="57">
        <f t="shared" si="1"/>
        <v>579233.24619178148</v>
      </c>
      <c r="P6" s="57">
        <f t="shared" si="1"/>
        <v>614083.90009192494</v>
      </c>
      <c r="Q6" s="57">
        <f t="shared" si="1"/>
        <v>749515.48206050915</v>
      </c>
      <c r="R6" s="58"/>
      <c r="S6" s="3" t="str">
        <f t="shared" si="2"/>
        <v>E5040</v>
      </c>
      <c r="T6" s="50" t="s">
        <v>409</v>
      </c>
      <c r="U6" s="111">
        <v>794808.82804792712</v>
      </c>
      <c r="V6" s="111">
        <v>625209.1544705499</v>
      </c>
      <c r="W6" s="111">
        <v>569552.22567538673</v>
      </c>
      <c r="X6" s="111">
        <v>399272.31582261471</v>
      </c>
      <c r="Y6" s="111">
        <v>376104.69071385759</v>
      </c>
      <c r="Z6" s="111">
        <v>285174.57402224885</v>
      </c>
      <c r="AA6" s="111">
        <v>295717.64535450895</v>
      </c>
      <c r="AB6" s="111">
        <v>298310.7758499718</v>
      </c>
      <c r="AC6" s="111">
        <v>368823.94484363135</v>
      </c>
      <c r="AD6" s="111">
        <v>579233.24619178148</v>
      </c>
      <c r="AE6" s="111">
        <v>614083.90009192494</v>
      </c>
      <c r="AF6" s="111">
        <v>749515.48206050915</v>
      </c>
    </row>
    <row r="7" spans="1:32">
      <c r="A7">
        <v>7</v>
      </c>
      <c r="B7" s="4" t="str">
        <f t="shared" si="3"/>
        <v>E5050</v>
      </c>
      <c r="C7" t="s">
        <v>411</v>
      </c>
      <c r="D7" s="55" t="s">
        <v>407</v>
      </c>
      <c r="E7" s="56" t="s">
        <v>412</v>
      </c>
      <c r="F7" s="57">
        <f t="shared" si="1"/>
        <v>2344355.8761508954</v>
      </c>
      <c r="G7" s="57">
        <f t="shared" si="1"/>
        <v>1843231.1116976351</v>
      </c>
      <c r="H7" s="57">
        <f t="shared" si="1"/>
        <v>1683338.3681885155</v>
      </c>
      <c r="I7" s="57">
        <f t="shared" si="1"/>
        <v>1180303.3813721319</v>
      </c>
      <c r="J7" s="57">
        <f t="shared" si="1"/>
        <v>1120249.3799242675</v>
      </c>
      <c r="K7" s="57">
        <f t="shared" si="1"/>
        <v>861877.74312788935</v>
      </c>
      <c r="L7" s="57">
        <f t="shared" si="1"/>
        <v>904316.99398989044</v>
      </c>
      <c r="M7" s="57">
        <f t="shared" si="1"/>
        <v>907744.4921793252</v>
      </c>
      <c r="N7" s="57">
        <f t="shared" si="1"/>
        <v>1106383.1439225757</v>
      </c>
      <c r="O7" s="57">
        <f t="shared" si="1"/>
        <v>1713696.2092949366</v>
      </c>
      <c r="P7" s="57">
        <f t="shared" si="1"/>
        <v>1822840.8299721216</v>
      </c>
      <c r="Q7" s="57">
        <f t="shared" si="1"/>
        <v>2211662.7319599288</v>
      </c>
      <c r="R7" s="58"/>
      <c r="S7" s="3" t="str">
        <f t="shared" si="2"/>
        <v>E5050</v>
      </c>
      <c r="T7" s="50" t="s">
        <v>411</v>
      </c>
      <c r="U7" s="111">
        <v>2344355.8761508954</v>
      </c>
      <c r="V7" s="111">
        <v>1843231.1116976351</v>
      </c>
      <c r="W7" s="111">
        <v>1683338.3681885155</v>
      </c>
      <c r="X7" s="111">
        <v>1180303.3813721319</v>
      </c>
      <c r="Y7" s="111">
        <v>1120249.3799242675</v>
      </c>
      <c r="Z7" s="111">
        <v>861877.74312788935</v>
      </c>
      <c r="AA7" s="111">
        <v>904316.99398989044</v>
      </c>
      <c r="AB7" s="111">
        <v>907744.4921793252</v>
      </c>
      <c r="AC7" s="111">
        <v>1106383.1439225757</v>
      </c>
      <c r="AD7" s="111">
        <v>1713696.2092949366</v>
      </c>
      <c r="AE7" s="111">
        <v>1822840.8299721216</v>
      </c>
      <c r="AF7" s="111">
        <v>2211662.7319599288</v>
      </c>
    </row>
    <row r="8" spans="1:32">
      <c r="A8">
        <v>8</v>
      </c>
      <c r="B8" s="4" t="str">
        <f t="shared" si="3"/>
        <v>E5070</v>
      </c>
      <c r="C8" t="s">
        <v>316</v>
      </c>
      <c r="D8" s="55" t="s">
        <v>407</v>
      </c>
      <c r="E8" s="56" t="s">
        <v>413</v>
      </c>
      <c r="F8" s="57">
        <f t="shared" si="1"/>
        <v>2210551.4143048842</v>
      </c>
      <c r="G8" s="57">
        <f t="shared" si="1"/>
        <v>1916895.2198543821</v>
      </c>
      <c r="H8" s="57">
        <f t="shared" si="1"/>
        <v>1926998.281001407</v>
      </c>
      <c r="I8" s="57">
        <f t="shared" si="1"/>
        <v>1715873.6489110561</v>
      </c>
      <c r="J8" s="57">
        <f t="shared" si="1"/>
        <v>1388247.3277248016</v>
      </c>
      <c r="K8" s="57">
        <f t="shared" si="1"/>
        <v>946416.10086831078</v>
      </c>
      <c r="L8" s="57">
        <f t="shared" si="1"/>
        <v>799151.22629023204</v>
      </c>
      <c r="M8" s="57">
        <f t="shared" si="1"/>
        <v>728552.28289630509</v>
      </c>
      <c r="N8" s="57">
        <f t="shared" si="1"/>
        <v>1134580.3920927371</v>
      </c>
      <c r="O8" s="57">
        <f t="shared" si="1"/>
        <v>1823993.2652299399</v>
      </c>
      <c r="P8" s="57">
        <f t="shared" si="1"/>
        <v>2042361.0946962968</v>
      </c>
      <c r="Q8" s="57">
        <f t="shared" si="1"/>
        <v>2263211.2819183869</v>
      </c>
      <c r="R8" s="58"/>
      <c r="S8" s="3" t="str">
        <f t="shared" si="2"/>
        <v>E5070</v>
      </c>
      <c r="T8" s="50" t="s">
        <v>316</v>
      </c>
      <c r="U8" s="111">
        <v>2210551.4143048842</v>
      </c>
      <c r="V8" s="111">
        <v>1916895.2198543821</v>
      </c>
      <c r="W8" s="111">
        <v>1926998.281001407</v>
      </c>
      <c r="X8" s="111">
        <v>1715873.6489110561</v>
      </c>
      <c r="Y8" s="111">
        <v>1388247.3277248016</v>
      </c>
      <c r="Z8" s="111">
        <v>946416.10086831078</v>
      </c>
      <c r="AA8" s="111">
        <v>799151.22629023204</v>
      </c>
      <c r="AB8" s="111">
        <v>728552.28289630509</v>
      </c>
      <c r="AC8" s="111">
        <v>1134580.3920927371</v>
      </c>
      <c r="AD8" s="111">
        <v>1823993.2652299399</v>
      </c>
      <c r="AE8" s="111">
        <v>2042361.0946962968</v>
      </c>
      <c r="AF8" s="111">
        <v>2263211.2819183869</v>
      </c>
    </row>
    <row r="9" spans="1:32">
      <c r="A9">
        <v>9</v>
      </c>
      <c r="B9" s="4" t="str">
        <f t="shared" si="3"/>
        <v>E5080</v>
      </c>
      <c r="C9" t="s">
        <v>317</v>
      </c>
      <c r="D9" s="55" t="s">
        <v>407</v>
      </c>
      <c r="E9" s="56" t="s">
        <v>414</v>
      </c>
      <c r="F9" s="57">
        <f t="shared" si="1"/>
        <v>1472090.6641623252</v>
      </c>
      <c r="G9" s="57">
        <f t="shared" si="1"/>
        <v>1276533.7820529102</v>
      </c>
      <c r="H9" s="57">
        <f t="shared" si="1"/>
        <v>1283261.7965644719</v>
      </c>
      <c r="I9" s="57">
        <f t="shared" si="1"/>
        <v>1142665.8358174374</v>
      </c>
      <c r="J9" s="57">
        <f t="shared" si="1"/>
        <v>924486.94812855171</v>
      </c>
      <c r="K9" s="57">
        <f t="shared" si="1"/>
        <v>630254.64935374493</v>
      </c>
      <c r="L9" s="57">
        <f t="shared" si="1"/>
        <v>532185.34156811493</v>
      </c>
      <c r="M9" s="57">
        <f t="shared" si="1"/>
        <v>485170.80718660867</v>
      </c>
      <c r="N9" s="57">
        <f t="shared" si="1"/>
        <v>755560.44167674368</v>
      </c>
      <c r="O9" s="57">
        <f t="shared" si="1"/>
        <v>1214666.8201717825</v>
      </c>
      <c r="P9" s="57">
        <f t="shared" si="1"/>
        <v>1360086.3028540697</v>
      </c>
      <c r="Q9" s="57">
        <f t="shared" si="1"/>
        <v>1507158.8824304978</v>
      </c>
      <c r="R9" s="58"/>
      <c r="S9" s="3" t="str">
        <f t="shared" si="2"/>
        <v>E5080</v>
      </c>
      <c r="T9" s="50" t="s">
        <v>317</v>
      </c>
      <c r="U9" s="111">
        <v>1472090.6641623252</v>
      </c>
      <c r="V9" s="111">
        <v>1276533.7820529102</v>
      </c>
      <c r="W9" s="111">
        <v>1283261.7965644719</v>
      </c>
      <c r="X9" s="111">
        <v>1142665.8358174374</v>
      </c>
      <c r="Y9" s="111">
        <v>924486.94812855171</v>
      </c>
      <c r="Z9" s="111">
        <v>630254.64935374493</v>
      </c>
      <c r="AA9" s="111">
        <v>532185.34156811493</v>
      </c>
      <c r="AB9" s="111">
        <v>485170.80718660867</v>
      </c>
      <c r="AC9" s="111">
        <v>755560.44167674368</v>
      </c>
      <c r="AD9" s="111">
        <v>1214666.8201717825</v>
      </c>
      <c r="AE9" s="111">
        <v>1360086.3028540697</v>
      </c>
      <c r="AF9" s="111">
        <v>1507158.8824304978</v>
      </c>
    </row>
    <row r="10" spans="1:32">
      <c r="A10">
        <v>10</v>
      </c>
      <c r="B10" s="4" t="str">
        <f t="shared" si="3"/>
        <v>E5090</v>
      </c>
      <c r="C10" t="s">
        <v>318</v>
      </c>
      <c r="D10" s="55" t="s">
        <v>407</v>
      </c>
      <c r="E10" s="56" t="s">
        <v>415</v>
      </c>
      <c r="F10" s="57">
        <f t="shared" si="1"/>
        <v>1911983.0125904435</v>
      </c>
      <c r="G10" s="57">
        <f t="shared" si="1"/>
        <v>1657989.5285674215</v>
      </c>
      <c r="H10" s="57">
        <f t="shared" si="1"/>
        <v>1666728.0185040371</v>
      </c>
      <c r="I10" s="57">
        <f t="shared" si="1"/>
        <v>1484118.9611059793</v>
      </c>
      <c r="J10" s="57">
        <f t="shared" si="1"/>
        <v>1200743.5297398656</v>
      </c>
      <c r="K10" s="57">
        <f t="shared" si="1"/>
        <v>818588.292492309</v>
      </c>
      <c r="L10" s="57">
        <f t="shared" si="1"/>
        <v>691213.76651545498</v>
      </c>
      <c r="M10" s="57">
        <f t="shared" si="1"/>
        <v>630150.27819190081</v>
      </c>
      <c r="N10" s="57">
        <f t="shared" si="1"/>
        <v>981338.15031923237</v>
      </c>
      <c r="O10" s="57">
        <f t="shared" si="1"/>
        <v>1577635.3879991793</v>
      </c>
      <c r="P10" s="57">
        <f t="shared" si="1"/>
        <v>1766509.3394187668</v>
      </c>
      <c r="Q10" s="57">
        <f t="shared" si="1"/>
        <v>1957530.3686350617</v>
      </c>
      <c r="R10" s="58"/>
      <c r="S10" s="3" t="str">
        <f t="shared" si="2"/>
        <v>E5090</v>
      </c>
      <c r="T10" s="50" t="s">
        <v>318</v>
      </c>
      <c r="U10" s="111">
        <v>1911983.0125904435</v>
      </c>
      <c r="V10" s="111">
        <v>1657989.5285674215</v>
      </c>
      <c r="W10" s="111">
        <v>1666728.0185040371</v>
      </c>
      <c r="X10" s="111">
        <v>1484118.9611059793</v>
      </c>
      <c r="Y10" s="111">
        <v>1200743.5297398656</v>
      </c>
      <c r="Z10" s="111">
        <v>818588.292492309</v>
      </c>
      <c r="AA10" s="111">
        <v>691213.76651545498</v>
      </c>
      <c r="AB10" s="111">
        <v>630150.27819190081</v>
      </c>
      <c r="AC10" s="111">
        <v>981338.15031923237</v>
      </c>
      <c r="AD10" s="111">
        <v>1577635.3879991793</v>
      </c>
      <c r="AE10" s="111">
        <v>1766509.3394187668</v>
      </c>
      <c r="AF10" s="111">
        <v>1957530.3686350617</v>
      </c>
    </row>
    <row r="11" spans="1:32">
      <c r="A11">
        <v>11</v>
      </c>
      <c r="B11" s="4" t="str">
        <f t="shared" si="3"/>
        <v>E5100</v>
      </c>
      <c r="C11" t="s">
        <v>319</v>
      </c>
      <c r="D11" s="55" t="s">
        <v>407</v>
      </c>
      <c r="E11" s="56" t="s">
        <v>416</v>
      </c>
      <c r="F11" s="57">
        <f t="shared" si="1"/>
        <v>2314592.0429786821</v>
      </c>
      <c r="G11" s="57">
        <f t="shared" si="1"/>
        <v>2007114.7833917276</v>
      </c>
      <c r="H11" s="57">
        <f t="shared" si="1"/>
        <v>2017693.3498024908</v>
      </c>
      <c r="I11" s="57">
        <f t="shared" si="1"/>
        <v>1796632.0388775915</v>
      </c>
      <c r="J11" s="57">
        <f t="shared" si="1"/>
        <v>1453585.8327677283</v>
      </c>
      <c r="K11" s="57">
        <f t="shared" si="1"/>
        <v>990959.61407689482</v>
      </c>
      <c r="L11" s="57">
        <f t="shared" si="1"/>
        <v>836763.64980168303</v>
      </c>
      <c r="M11" s="57">
        <f t="shared" si="1"/>
        <v>762841.93435781507</v>
      </c>
      <c r="N11" s="57">
        <f t="shared" si="1"/>
        <v>1187979.9450325232</v>
      </c>
      <c r="O11" s="57">
        <f t="shared" si="1"/>
        <v>1909840.3551384867</v>
      </c>
      <c r="P11" s="57">
        <f t="shared" si="1"/>
        <v>2138485.767886912</v>
      </c>
      <c r="Q11" s="57">
        <f t="shared" si="1"/>
        <v>2369730.3717114036</v>
      </c>
      <c r="R11" s="58"/>
      <c r="S11" s="3" t="str">
        <f t="shared" si="2"/>
        <v>E5100</v>
      </c>
      <c r="T11" s="50" t="s">
        <v>319</v>
      </c>
      <c r="U11" s="111">
        <v>2314592.0429786821</v>
      </c>
      <c r="V11" s="111">
        <v>2007114.7833917276</v>
      </c>
      <c r="W11" s="111">
        <v>2017693.3498024908</v>
      </c>
      <c r="X11" s="111">
        <v>1796632.0388775915</v>
      </c>
      <c r="Y11" s="111">
        <v>1453585.8327677283</v>
      </c>
      <c r="Z11" s="111">
        <v>990959.61407689482</v>
      </c>
      <c r="AA11" s="111">
        <v>836763.64980168303</v>
      </c>
      <c r="AB11" s="111">
        <v>762841.93435781507</v>
      </c>
      <c r="AC11" s="111">
        <v>1187979.9450325232</v>
      </c>
      <c r="AD11" s="111">
        <v>1909840.3551384867</v>
      </c>
      <c r="AE11" s="111">
        <v>2138485.767886912</v>
      </c>
      <c r="AF11" s="111">
        <v>2369730.3717114036</v>
      </c>
    </row>
    <row r="12" spans="1:32">
      <c r="A12">
        <v>12</v>
      </c>
      <c r="B12" s="4" t="str">
        <f t="shared" si="3"/>
        <v>E5110</v>
      </c>
      <c r="C12" t="s">
        <v>320</v>
      </c>
      <c r="D12" s="55" t="s">
        <v>407</v>
      </c>
      <c r="E12" s="56" t="s">
        <v>417</v>
      </c>
      <c r="F12" s="57">
        <f t="shared" si="1"/>
        <v>0</v>
      </c>
      <c r="G12" s="57">
        <f t="shared" si="1"/>
        <v>0</v>
      </c>
      <c r="H12" s="57">
        <f t="shared" si="1"/>
        <v>0</v>
      </c>
      <c r="I12" s="57">
        <f t="shared" si="1"/>
        <v>0</v>
      </c>
      <c r="J12" s="57">
        <f t="shared" si="1"/>
        <v>0</v>
      </c>
      <c r="K12" s="57">
        <f t="shared" si="1"/>
        <v>0</v>
      </c>
      <c r="L12" s="57">
        <f t="shared" si="1"/>
        <v>0</v>
      </c>
      <c r="M12" s="57">
        <f t="shared" si="1"/>
        <v>0</v>
      </c>
      <c r="N12" s="57">
        <f t="shared" si="1"/>
        <v>0</v>
      </c>
      <c r="O12" s="57">
        <f t="shared" si="1"/>
        <v>0</v>
      </c>
      <c r="P12" s="57">
        <f t="shared" si="1"/>
        <v>0</v>
      </c>
      <c r="Q12" s="57">
        <f t="shared" si="1"/>
        <v>0</v>
      </c>
      <c r="R12" s="58"/>
      <c r="S12" s="3" t="str">
        <f t="shared" si="2"/>
        <v>E5110</v>
      </c>
      <c r="T12" s="50" t="s">
        <v>320</v>
      </c>
      <c r="U12" s="111">
        <v>0</v>
      </c>
      <c r="V12" s="111">
        <v>0</v>
      </c>
      <c r="W12" s="111">
        <v>0</v>
      </c>
      <c r="X12" s="111">
        <v>0</v>
      </c>
      <c r="Y12" s="111">
        <v>0</v>
      </c>
      <c r="Z12" s="111">
        <v>0</v>
      </c>
      <c r="AA12" s="111">
        <v>0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</row>
    <row r="13" spans="1:32">
      <c r="A13">
        <v>13</v>
      </c>
      <c r="B13" s="4" t="str">
        <f t="shared" si="3"/>
        <v>E5120</v>
      </c>
      <c r="C13" t="s">
        <v>321</v>
      </c>
      <c r="D13" s="55" t="s">
        <v>407</v>
      </c>
      <c r="E13" s="56" t="s">
        <v>418</v>
      </c>
      <c r="F13" s="57">
        <f t="shared" si="1"/>
        <v>0</v>
      </c>
      <c r="G13" s="57">
        <f t="shared" si="1"/>
        <v>0</v>
      </c>
      <c r="H13" s="57">
        <f t="shared" si="1"/>
        <v>0</v>
      </c>
      <c r="I13" s="57">
        <f t="shared" si="1"/>
        <v>0</v>
      </c>
      <c r="J13" s="57">
        <f t="shared" si="1"/>
        <v>0</v>
      </c>
      <c r="K13" s="57">
        <f t="shared" si="1"/>
        <v>0</v>
      </c>
      <c r="L13" s="57">
        <f t="shared" si="1"/>
        <v>0</v>
      </c>
      <c r="M13" s="57">
        <f t="shared" si="1"/>
        <v>0</v>
      </c>
      <c r="N13" s="57">
        <f t="shared" si="1"/>
        <v>0</v>
      </c>
      <c r="O13" s="57">
        <f t="shared" si="1"/>
        <v>0</v>
      </c>
      <c r="P13" s="57">
        <f t="shared" si="1"/>
        <v>0</v>
      </c>
      <c r="Q13" s="57">
        <f t="shared" si="1"/>
        <v>0</v>
      </c>
      <c r="R13" s="58"/>
      <c r="S13" s="3" t="str">
        <f t="shared" si="2"/>
        <v>E5120</v>
      </c>
      <c r="T13" s="50" t="s">
        <v>321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>
      <c r="A14">
        <v>14</v>
      </c>
      <c r="B14" s="4" t="str">
        <f t="shared" si="3"/>
        <v>E5150</v>
      </c>
      <c r="C14" t="s">
        <v>419</v>
      </c>
      <c r="D14" s="55" t="s">
        <v>407</v>
      </c>
      <c r="E14" s="56" t="s">
        <v>420</v>
      </c>
      <c r="F14" s="57">
        <f t="shared" si="1"/>
        <v>1380687.3592401994</v>
      </c>
      <c r="G14" s="57">
        <f t="shared" si="1"/>
        <v>1235244.6996572514</v>
      </c>
      <c r="H14" s="57">
        <f t="shared" si="1"/>
        <v>1207969.2624719671</v>
      </c>
      <c r="I14" s="57">
        <f t="shared" si="1"/>
        <v>1021585.4661842071</v>
      </c>
      <c r="J14" s="57">
        <f t="shared" si="1"/>
        <v>872612.10906521336</v>
      </c>
      <c r="K14" s="57">
        <f t="shared" si="1"/>
        <v>757786.54196815973</v>
      </c>
      <c r="L14" s="57">
        <f t="shared" si="1"/>
        <v>760139.18398139114</v>
      </c>
      <c r="M14" s="57">
        <f t="shared" si="1"/>
        <v>669656.89190784749</v>
      </c>
      <c r="N14" s="57">
        <f t="shared" si="1"/>
        <v>818748.4782365741</v>
      </c>
      <c r="O14" s="57">
        <f t="shared" si="1"/>
        <v>984855.96505517885</v>
      </c>
      <c r="P14" s="57">
        <f t="shared" si="1"/>
        <v>1264324.8124166208</v>
      </c>
      <c r="Q14" s="57">
        <f t="shared" si="1"/>
        <v>1355489.7589159219</v>
      </c>
      <c r="R14" s="58"/>
      <c r="S14" s="3" t="str">
        <f t="shared" si="2"/>
        <v>E5150</v>
      </c>
      <c r="T14" s="50" t="s">
        <v>419</v>
      </c>
      <c r="U14" s="111">
        <v>1380687.3592401994</v>
      </c>
      <c r="V14" s="111">
        <v>1235244.6996572514</v>
      </c>
      <c r="W14" s="111">
        <v>1207969.2624719671</v>
      </c>
      <c r="X14" s="111">
        <v>1021585.4661842071</v>
      </c>
      <c r="Y14" s="111">
        <v>872612.10906521336</v>
      </c>
      <c r="Z14" s="111">
        <v>757786.54196815973</v>
      </c>
      <c r="AA14" s="111">
        <v>760139.18398139114</v>
      </c>
      <c r="AB14" s="111">
        <v>669656.89190784749</v>
      </c>
      <c r="AC14" s="111">
        <v>818748.4782365741</v>
      </c>
      <c r="AD14" s="111">
        <v>984855.96505517885</v>
      </c>
      <c r="AE14" s="111">
        <v>1264324.8124166208</v>
      </c>
      <c r="AF14" s="111">
        <v>1355489.7589159219</v>
      </c>
    </row>
    <row r="15" spans="1:32">
      <c r="A15">
        <v>15</v>
      </c>
      <c r="B15" s="4" t="str">
        <f t="shared" si="3"/>
        <v>E5130</v>
      </c>
      <c r="C15" t="s">
        <v>421</v>
      </c>
      <c r="D15" s="55" t="s">
        <v>407</v>
      </c>
      <c r="E15" s="56" t="s">
        <v>422</v>
      </c>
      <c r="F15" s="57">
        <f t="shared" ref="F15:Q24" si="4">VLOOKUP($C15,$T:$AF,F$2,FALSE)</f>
        <v>2257116.0001020995</v>
      </c>
      <c r="G15" s="57">
        <f t="shared" si="4"/>
        <v>1868760.3284278896</v>
      </c>
      <c r="H15" s="57">
        <f t="shared" si="4"/>
        <v>1727517.0266823077</v>
      </c>
      <c r="I15" s="57">
        <f t="shared" si="4"/>
        <v>1462075.2170894844</v>
      </c>
      <c r="J15" s="57">
        <f t="shared" si="4"/>
        <v>1282319.325408384</v>
      </c>
      <c r="K15" s="57">
        <f t="shared" si="4"/>
        <v>1032342.4975324949</v>
      </c>
      <c r="L15" s="57">
        <f t="shared" si="4"/>
        <v>996419.52066202171</v>
      </c>
      <c r="M15" s="57">
        <f t="shared" si="4"/>
        <v>941292.56362981093</v>
      </c>
      <c r="N15" s="57">
        <f t="shared" si="4"/>
        <v>1192756.4236684947</v>
      </c>
      <c r="O15" s="57">
        <f t="shared" si="4"/>
        <v>1654901.5177640168</v>
      </c>
      <c r="P15" s="57">
        <f t="shared" si="4"/>
        <v>1910204.0290932632</v>
      </c>
      <c r="Q15" s="57">
        <f t="shared" si="4"/>
        <v>2215295.5499397316</v>
      </c>
      <c r="R15" s="58"/>
      <c r="S15" s="3" t="str">
        <f t="shared" si="2"/>
        <v>E5130</v>
      </c>
      <c r="T15" s="50" t="s">
        <v>421</v>
      </c>
      <c r="U15" s="111">
        <v>2257116.0001020995</v>
      </c>
      <c r="V15" s="111">
        <v>1868760.3284278896</v>
      </c>
      <c r="W15" s="111">
        <v>1727517.0266823077</v>
      </c>
      <c r="X15" s="111">
        <v>1462075.2170894844</v>
      </c>
      <c r="Y15" s="111">
        <v>1282319.325408384</v>
      </c>
      <c r="Z15" s="111">
        <v>1032342.4975324949</v>
      </c>
      <c r="AA15" s="111">
        <v>996419.52066202171</v>
      </c>
      <c r="AB15" s="111">
        <v>941292.56362981093</v>
      </c>
      <c r="AC15" s="111">
        <v>1192756.4236684947</v>
      </c>
      <c r="AD15" s="111">
        <v>1654901.5177640168</v>
      </c>
      <c r="AE15" s="111">
        <v>1910204.0290932632</v>
      </c>
      <c r="AF15" s="111">
        <v>2215295.5499397316</v>
      </c>
    </row>
    <row r="16" spans="1:32">
      <c r="A16">
        <v>16</v>
      </c>
      <c r="B16" s="4" t="str">
        <f t="shared" si="3"/>
        <v>E5140</v>
      </c>
      <c r="C16" t="s">
        <v>423</v>
      </c>
      <c r="D16" s="55" t="s">
        <v>407</v>
      </c>
      <c r="E16" s="56" t="s">
        <v>424</v>
      </c>
      <c r="F16" s="57">
        <f t="shared" si="4"/>
        <v>3029489.2570452476</v>
      </c>
      <c r="G16" s="57">
        <f t="shared" si="4"/>
        <v>2754845.1190877734</v>
      </c>
      <c r="H16" s="57">
        <f t="shared" si="4"/>
        <v>2824499.0755503979</v>
      </c>
      <c r="I16" s="57">
        <f t="shared" si="4"/>
        <v>2615055.7068853616</v>
      </c>
      <c r="J16" s="57">
        <f t="shared" si="4"/>
        <v>2300875.0329951341</v>
      </c>
      <c r="K16" s="57">
        <f t="shared" si="4"/>
        <v>1953797.0569019767</v>
      </c>
      <c r="L16" s="57">
        <f t="shared" si="4"/>
        <v>1895929.5165684675</v>
      </c>
      <c r="M16" s="57">
        <f t="shared" si="4"/>
        <v>1751357.4938299942</v>
      </c>
      <c r="N16" s="57">
        <f t="shared" si="4"/>
        <v>2078392.1077935835</v>
      </c>
      <c r="O16" s="57">
        <f t="shared" si="4"/>
        <v>2495076.2575692018</v>
      </c>
      <c r="P16" s="57">
        <f t="shared" si="4"/>
        <v>2926195.3032459649</v>
      </c>
      <c r="Q16" s="57">
        <f t="shared" si="4"/>
        <v>3035962.6311977156</v>
      </c>
      <c r="R16" s="58"/>
      <c r="S16" s="3" t="str">
        <f t="shared" si="2"/>
        <v>E5140</v>
      </c>
      <c r="T16" s="50" t="s">
        <v>423</v>
      </c>
      <c r="U16" s="111">
        <v>3029489.2570452476</v>
      </c>
      <c r="V16" s="111">
        <v>2754845.1190877734</v>
      </c>
      <c r="W16" s="111">
        <v>2824499.0755503979</v>
      </c>
      <c r="X16" s="111">
        <v>2615055.7068853616</v>
      </c>
      <c r="Y16" s="111">
        <v>2300875.0329951341</v>
      </c>
      <c r="Z16" s="111">
        <v>1953797.0569019767</v>
      </c>
      <c r="AA16" s="111">
        <v>1895929.5165684675</v>
      </c>
      <c r="AB16" s="111">
        <v>1751357.4938299942</v>
      </c>
      <c r="AC16" s="111">
        <v>2078392.1077935835</v>
      </c>
      <c r="AD16" s="111">
        <v>2495076.2575692018</v>
      </c>
      <c r="AE16" s="111">
        <v>2926195.3032459649</v>
      </c>
      <c r="AF16" s="111">
        <v>3035962.6311977156</v>
      </c>
    </row>
    <row r="17" spans="1:32">
      <c r="A17">
        <v>17</v>
      </c>
      <c r="B17" s="4" t="str">
        <f t="shared" si="3"/>
        <v>E5160</v>
      </c>
      <c r="C17" t="s">
        <v>425</v>
      </c>
      <c r="D17" s="55" t="s">
        <v>407</v>
      </c>
      <c r="E17" s="56" t="s">
        <v>426</v>
      </c>
      <c r="F17" s="57">
        <f t="shared" si="4"/>
        <v>2549737.4423878733</v>
      </c>
      <c r="G17" s="57">
        <f t="shared" si="4"/>
        <v>2016894.776894005</v>
      </c>
      <c r="H17" s="57">
        <f t="shared" si="4"/>
        <v>1850604.8695742099</v>
      </c>
      <c r="I17" s="57">
        <f t="shared" si="4"/>
        <v>1324301.1043841643</v>
      </c>
      <c r="J17" s="57">
        <f t="shared" si="4"/>
        <v>1263474.1385259526</v>
      </c>
      <c r="K17" s="57">
        <f t="shared" si="4"/>
        <v>983094.85708494834</v>
      </c>
      <c r="L17" s="57">
        <f t="shared" si="4"/>
        <v>1017873.687300463</v>
      </c>
      <c r="M17" s="57">
        <f t="shared" si="4"/>
        <v>1027918.6955305443</v>
      </c>
      <c r="N17" s="57">
        <f t="shared" si="4"/>
        <v>1246047.2499465947</v>
      </c>
      <c r="O17" s="57">
        <f t="shared" si="4"/>
        <v>1893798.4049635602</v>
      </c>
      <c r="P17" s="57">
        <f t="shared" si="4"/>
        <v>2010115.9404798816</v>
      </c>
      <c r="Q17" s="57">
        <f t="shared" si="4"/>
        <v>2416138.8329277909</v>
      </c>
      <c r="R17" s="58"/>
      <c r="S17" s="3" t="str">
        <f t="shared" si="2"/>
        <v>E5160</v>
      </c>
      <c r="T17" s="50" t="s">
        <v>425</v>
      </c>
      <c r="U17" s="111">
        <v>2549737.4423878733</v>
      </c>
      <c r="V17" s="111">
        <v>2016894.776894005</v>
      </c>
      <c r="W17" s="111">
        <v>1850604.8695742099</v>
      </c>
      <c r="X17" s="111">
        <v>1324301.1043841643</v>
      </c>
      <c r="Y17" s="111">
        <v>1263474.1385259526</v>
      </c>
      <c r="Z17" s="111">
        <v>983094.85708494834</v>
      </c>
      <c r="AA17" s="111">
        <v>1017873.687300463</v>
      </c>
      <c r="AB17" s="111">
        <v>1027918.6955305443</v>
      </c>
      <c r="AC17" s="111">
        <v>1246047.2499465947</v>
      </c>
      <c r="AD17" s="111">
        <v>1893798.4049635602</v>
      </c>
      <c r="AE17" s="111">
        <v>2010115.9404798816</v>
      </c>
      <c r="AF17" s="111">
        <v>2416138.8329277909</v>
      </c>
    </row>
    <row r="18" spans="1:32">
      <c r="A18">
        <v>18</v>
      </c>
      <c r="B18" s="4" t="str">
        <f t="shared" si="3"/>
        <v>E5170</v>
      </c>
      <c r="C18" t="s">
        <v>427</v>
      </c>
      <c r="D18" s="55" t="s">
        <v>407</v>
      </c>
      <c r="E18" s="56" t="s">
        <v>428</v>
      </c>
      <c r="F18" s="57">
        <f t="shared" si="4"/>
        <v>7827604.5788215762</v>
      </c>
      <c r="G18" s="57">
        <f t="shared" si="4"/>
        <v>6400398.0560782319</v>
      </c>
      <c r="H18" s="57">
        <f t="shared" si="4"/>
        <v>6014719.9861763138</v>
      </c>
      <c r="I18" s="57">
        <f t="shared" si="4"/>
        <v>4581691.2873686356</v>
      </c>
      <c r="J18" s="57">
        <f t="shared" si="4"/>
        <v>4388767.0733174291</v>
      </c>
      <c r="K18" s="57">
        <f t="shared" si="4"/>
        <v>3301726.9552951329</v>
      </c>
      <c r="L18" s="57">
        <f t="shared" si="4"/>
        <v>3228379.8535114164</v>
      </c>
      <c r="M18" s="57">
        <f t="shared" si="4"/>
        <v>3219562.3214460211</v>
      </c>
      <c r="N18" s="57">
        <f t="shared" si="4"/>
        <v>4062879.0781015093</v>
      </c>
      <c r="O18" s="57">
        <f t="shared" si="4"/>
        <v>6081733.2298733164</v>
      </c>
      <c r="P18" s="57">
        <f t="shared" si="4"/>
        <v>6228578.7279698756</v>
      </c>
      <c r="Q18" s="57">
        <f t="shared" si="4"/>
        <v>7515463.9437065832</v>
      </c>
      <c r="R18" s="58"/>
      <c r="S18" s="3" t="str">
        <f t="shared" si="2"/>
        <v>E5170</v>
      </c>
      <c r="T18" s="50" t="s">
        <v>427</v>
      </c>
      <c r="U18" s="111">
        <v>7827604.5788215762</v>
      </c>
      <c r="V18" s="111">
        <v>6400398.0560782319</v>
      </c>
      <c r="W18" s="111">
        <v>6014719.9861763138</v>
      </c>
      <c r="X18" s="111">
        <v>4581691.2873686356</v>
      </c>
      <c r="Y18" s="111">
        <v>4388767.0733174291</v>
      </c>
      <c r="Z18" s="111">
        <v>3301726.9552951329</v>
      </c>
      <c r="AA18" s="111">
        <v>3228379.8535114164</v>
      </c>
      <c r="AB18" s="111">
        <v>3219562.3214460211</v>
      </c>
      <c r="AC18" s="111">
        <v>4062879.0781015093</v>
      </c>
      <c r="AD18" s="111">
        <v>6081733.2298733164</v>
      </c>
      <c r="AE18" s="111">
        <v>6228578.7279698756</v>
      </c>
      <c r="AF18" s="111">
        <v>7515463.9437065832</v>
      </c>
    </row>
    <row r="19" spans="1:32">
      <c r="A19">
        <v>19</v>
      </c>
      <c r="B19" s="4" t="str">
        <f t="shared" si="3"/>
        <v>E5180</v>
      </c>
      <c r="C19" t="s">
        <v>429</v>
      </c>
      <c r="D19" s="55" t="s">
        <v>407</v>
      </c>
      <c r="E19" s="56" t="s">
        <v>430</v>
      </c>
      <c r="F19" s="57">
        <f t="shared" si="4"/>
        <v>2857728.937831067</v>
      </c>
      <c r="G19" s="57">
        <f t="shared" si="4"/>
        <v>2431163.4053773689</v>
      </c>
      <c r="H19" s="57">
        <f t="shared" si="4"/>
        <v>2330782.6666765381</v>
      </c>
      <c r="I19" s="57">
        <f t="shared" si="4"/>
        <v>1936440.2253607833</v>
      </c>
      <c r="J19" s="57">
        <f t="shared" si="4"/>
        <v>1779917.2387845952</v>
      </c>
      <c r="K19" s="57">
        <f t="shared" si="4"/>
        <v>1375988.4296659669</v>
      </c>
      <c r="L19" s="57">
        <f t="shared" si="4"/>
        <v>1366768.1678656386</v>
      </c>
      <c r="M19" s="57">
        <f t="shared" si="4"/>
        <v>1256595.0822872501</v>
      </c>
      <c r="N19" s="57">
        <f t="shared" si="4"/>
        <v>1613777.1139469969</v>
      </c>
      <c r="O19" s="57">
        <f t="shared" si="4"/>
        <v>2208287.5912637245</v>
      </c>
      <c r="P19" s="57">
        <f t="shared" si="4"/>
        <v>2313114.335859051</v>
      </c>
      <c r="Q19" s="57">
        <f t="shared" si="4"/>
        <v>2894694.9073343421</v>
      </c>
      <c r="R19" s="58"/>
      <c r="S19" s="3" t="str">
        <f t="shared" si="2"/>
        <v>E5180</v>
      </c>
      <c r="T19" s="50" t="s">
        <v>429</v>
      </c>
      <c r="U19" s="111">
        <v>2857728.937831067</v>
      </c>
      <c r="V19" s="111">
        <v>2431163.4053773689</v>
      </c>
      <c r="W19" s="111">
        <v>2330782.6666765381</v>
      </c>
      <c r="X19" s="111">
        <v>1936440.2253607833</v>
      </c>
      <c r="Y19" s="111">
        <v>1779917.2387845952</v>
      </c>
      <c r="Z19" s="111">
        <v>1375988.4296659669</v>
      </c>
      <c r="AA19" s="111">
        <v>1366768.1678656386</v>
      </c>
      <c r="AB19" s="111">
        <v>1256595.0822872501</v>
      </c>
      <c r="AC19" s="111">
        <v>1613777.1139469969</v>
      </c>
      <c r="AD19" s="111">
        <v>2208287.5912637245</v>
      </c>
      <c r="AE19" s="111">
        <v>2313114.335859051</v>
      </c>
      <c r="AF19" s="111">
        <v>2894694.9073343421</v>
      </c>
    </row>
    <row r="20" spans="1:32">
      <c r="A20">
        <v>20</v>
      </c>
      <c r="B20" s="4" t="str">
        <f t="shared" si="3"/>
        <v>E5210</v>
      </c>
      <c r="C20" t="s">
        <v>250</v>
      </c>
      <c r="D20" s="55" t="s">
        <v>407</v>
      </c>
      <c r="E20" s="56" t="s">
        <v>431</v>
      </c>
      <c r="F20" s="57">
        <f t="shared" si="4"/>
        <v>1050366.1511236264</v>
      </c>
      <c r="G20" s="57">
        <f t="shared" si="4"/>
        <v>968141.54113453988</v>
      </c>
      <c r="H20" s="57">
        <f t="shared" si="4"/>
        <v>1085117.4807030507</v>
      </c>
      <c r="I20" s="57">
        <f t="shared" si="4"/>
        <v>974255.82871461392</v>
      </c>
      <c r="J20" s="57">
        <f t="shared" si="4"/>
        <v>939841.24576951738</v>
      </c>
      <c r="K20" s="57">
        <f t="shared" si="4"/>
        <v>682203.05890451046</v>
      </c>
      <c r="L20" s="57">
        <f t="shared" si="4"/>
        <v>607482.66513020999</v>
      </c>
      <c r="M20" s="57">
        <f t="shared" si="4"/>
        <v>599905.30755274172</v>
      </c>
      <c r="N20" s="57">
        <f t="shared" si="4"/>
        <v>733533.54571961961</v>
      </c>
      <c r="O20" s="57">
        <f t="shared" si="4"/>
        <v>998369.80085065286</v>
      </c>
      <c r="P20" s="57">
        <f t="shared" si="4"/>
        <v>953268.48681484011</v>
      </c>
      <c r="Q20" s="57">
        <f t="shared" si="4"/>
        <v>1007514.8875820806</v>
      </c>
      <c r="R20" s="58"/>
      <c r="S20" s="3" t="str">
        <f t="shared" si="2"/>
        <v>E5210</v>
      </c>
      <c r="T20" s="50" t="s">
        <v>250</v>
      </c>
      <c r="U20" s="111">
        <v>1050366.1511236264</v>
      </c>
      <c r="V20" s="111">
        <v>968141.54113453988</v>
      </c>
      <c r="W20" s="111">
        <v>1085117.4807030507</v>
      </c>
      <c r="X20" s="111">
        <v>974255.82871461392</v>
      </c>
      <c r="Y20" s="111">
        <v>939841.24576951738</v>
      </c>
      <c r="Z20" s="111">
        <v>682203.05890451046</v>
      </c>
      <c r="AA20" s="111">
        <v>607482.66513020999</v>
      </c>
      <c r="AB20" s="111">
        <v>599905.30755274172</v>
      </c>
      <c r="AC20" s="111">
        <v>733533.54571961961</v>
      </c>
      <c r="AD20" s="111">
        <v>998369.80085065286</v>
      </c>
      <c r="AE20" s="111">
        <v>953268.48681484011</v>
      </c>
      <c r="AF20" s="111">
        <v>1007514.8875820806</v>
      </c>
    </row>
    <row r="21" spans="1:32">
      <c r="A21">
        <v>21</v>
      </c>
      <c r="B21" s="4" t="str">
        <f t="shared" si="3"/>
        <v>E5270</v>
      </c>
      <c r="C21" t="s">
        <v>315</v>
      </c>
      <c r="D21" s="55" t="s">
        <v>407</v>
      </c>
      <c r="E21" s="56" t="s">
        <v>432</v>
      </c>
      <c r="F21" s="57">
        <f t="shared" si="4"/>
        <v>6571409.9131763792</v>
      </c>
      <c r="G21" s="57">
        <f t="shared" si="4"/>
        <v>5607142.4830984203</v>
      </c>
      <c r="H21" s="57">
        <f t="shared" si="4"/>
        <v>5476380.9975045389</v>
      </c>
      <c r="I21" s="57">
        <f t="shared" si="4"/>
        <v>4752726.1503509786</v>
      </c>
      <c r="J21" s="57">
        <f t="shared" si="4"/>
        <v>3981472.4932129318</v>
      </c>
      <c r="K21" s="57">
        <f t="shared" si="4"/>
        <v>3173781.4292594665</v>
      </c>
      <c r="L21" s="57">
        <f t="shared" si="4"/>
        <v>3134470.1578242346</v>
      </c>
      <c r="M21" s="57">
        <f t="shared" si="4"/>
        <v>2844262.1863364736</v>
      </c>
      <c r="N21" s="57">
        <f t="shared" si="4"/>
        <v>3639137.4225491048</v>
      </c>
      <c r="O21" s="57">
        <f t="shared" si="4"/>
        <v>4894277.7988808323</v>
      </c>
      <c r="P21" s="57">
        <f t="shared" si="4"/>
        <v>5392794.744630062</v>
      </c>
      <c r="Q21" s="57">
        <f t="shared" si="4"/>
        <v>6699641.3424384147</v>
      </c>
      <c r="R21" s="58"/>
      <c r="S21" s="3" t="str">
        <f t="shared" si="2"/>
        <v>E5270</v>
      </c>
      <c r="T21" s="50" t="s">
        <v>315</v>
      </c>
      <c r="U21" s="111">
        <v>6571409.9131763792</v>
      </c>
      <c r="V21" s="111">
        <v>5607142.4830984203</v>
      </c>
      <c r="W21" s="111">
        <v>5476380.9975045389</v>
      </c>
      <c r="X21" s="111">
        <v>4752726.1503509786</v>
      </c>
      <c r="Y21" s="111">
        <v>3981472.4932129318</v>
      </c>
      <c r="Z21" s="111">
        <v>3173781.4292594665</v>
      </c>
      <c r="AA21" s="111">
        <v>3134470.1578242346</v>
      </c>
      <c r="AB21" s="111">
        <v>2844262.1863364736</v>
      </c>
      <c r="AC21" s="111">
        <v>3639137.4225491048</v>
      </c>
      <c r="AD21" s="111">
        <v>4894277.7988808323</v>
      </c>
      <c r="AE21" s="111">
        <v>5392794.744630062</v>
      </c>
      <c r="AF21" s="111">
        <v>6699641.3424384147</v>
      </c>
    </row>
    <row r="22" spans="1:32">
      <c r="A22">
        <v>22</v>
      </c>
      <c r="B22" s="4" t="str">
        <f t="shared" si="3"/>
        <v>E5280</v>
      </c>
      <c r="C22" t="s">
        <v>314</v>
      </c>
      <c r="D22" s="55" t="s">
        <v>407</v>
      </c>
      <c r="E22" s="56" t="s">
        <v>433</v>
      </c>
      <c r="F22" s="57">
        <f t="shared" si="4"/>
        <v>1084040.9832952823</v>
      </c>
      <c r="G22" s="57">
        <f t="shared" si="4"/>
        <v>924972.3166206656</v>
      </c>
      <c r="H22" s="57">
        <f t="shared" si="4"/>
        <v>903401.48002803151</v>
      </c>
      <c r="I22" s="57">
        <f t="shared" si="4"/>
        <v>784025.04141905159</v>
      </c>
      <c r="J22" s="57">
        <f t="shared" si="4"/>
        <v>656796.54952759319</v>
      </c>
      <c r="K22" s="57">
        <f t="shared" si="4"/>
        <v>523557.22543500899</v>
      </c>
      <c r="L22" s="57">
        <f t="shared" si="4"/>
        <v>517072.31125307846</v>
      </c>
      <c r="M22" s="57">
        <f t="shared" si="4"/>
        <v>469198.66786021687</v>
      </c>
      <c r="N22" s="57">
        <f t="shared" si="4"/>
        <v>600323.8516557453</v>
      </c>
      <c r="O22" s="57">
        <f t="shared" si="4"/>
        <v>807375.85810630326</v>
      </c>
      <c r="P22" s="57">
        <f t="shared" si="4"/>
        <v>889612.82204546803</v>
      </c>
      <c r="Q22" s="57">
        <f t="shared" si="4"/>
        <v>1105194.4536316632</v>
      </c>
      <c r="R22" s="58"/>
      <c r="S22" s="3" t="str">
        <f t="shared" si="2"/>
        <v>E5280</v>
      </c>
      <c r="T22" s="50" t="s">
        <v>314</v>
      </c>
      <c r="U22" s="111">
        <v>1084040.9832952823</v>
      </c>
      <c r="V22" s="111">
        <v>924972.3166206656</v>
      </c>
      <c r="W22" s="111">
        <v>903401.48002803151</v>
      </c>
      <c r="X22" s="111">
        <v>784025.04141905159</v>
      </c>
      <c r="Y22" s="111">
        <v>656796.54952759319</v>
      </c>
      <c r="Z22" s="111">
        <v>523557.22543500899</v>
      </c>
      <c r="AA22" s="111">
        <v>517072.31125307846</v>
      </c>
      <c r="AB22" s="111">
        <v>469198.66786021687</v>
      </c>
      <c r="AC22" s="111">
        <v>600323.8516557453</v>
      </c>
      <c r="AD22" s="111">
        <v>807375.85810630326</v>
      </c>
      <c r="AE22" s="111">
        <v>889612.82204546803</v>
      </c>
      <c r="AF22" s="111">
        <v>1105194.4536316632</v>
      </c>
    </row>
    <row r="23" spans="1:32">
      <c r="A23">
        <v>23</v>
      </c>
      <c r="B23" s="4" t="str">
        <f t="shared" si="3"/>
        <v>E5300</v>
      </c>
      <c r="C23" t="s">
        <v>260</v>
      </c>
      <c r="D23" s="55" t="s">
        <v>407</v>
      </c>
      <c r="E23" s="56" t="s">
        <v>434</v>
      </c>
      <c r="F23" s="57">
        <f t="shared" si="4"/>
        <v>2444447.1303538587</v>
      </c>
      <c r="G23" s="57">
        <f t="shared" si="4"/>
        <v>1957403.5163964615</v>
      </c>
      <c r="H23" s="57">
        <f t="shared" si="4"/>
        <v>1857850.1346622349</v>
      </c>
      <c r="I23" s="57">
        <f t="shared" si="4"/>
        <v>1368469.6654461429</v>
      </c>
      <c r="J23" s="57">
        <f t="shared" si="4"/>
        <v>1337743.982310971</v>
      </c>
      <c r="K23" s="57">
        <f t="shared" si="4"/>
        <v>1064375.3424988315</v>
      </c>
      <c r="L23" s="57">
        <f t="shared" si="4"/>
        <v>1111675.1149537454</v>
      </c>
      <c r="M23" s="57">
        <f t="shared" si="4"/>
        <v>1097391.8967547053</v>
      </c>
      <c r="N23" s="57">
        <f t="shared" si="4"/>
        <v>1299833.9561915777</v>
      </c>
      <c r="O23" s="57">
        <f t="shared" si="4"/>
        <v>1856865.0851312664</v>
      </c>
      <c r="P23" s="57">
        <f t="shared" si="4"/>
        <v>1921368.4344412552</v>
      </c>
      <c r="Q23" s="57">
        <f t="shared" si="4"/>
        <v>2317375.7408589483</v>
      </c>
      <c r="R23" s="58"/>
      <c r="S23" s="3" t="str">
        <f t="shared" si="2"/>
        <v>E5300</v>
      </c>
      <c r="T23" s="50" t="s">
        <v>260</v>
      </c>
      <c r="U23" s="111">
        <v>2444447.1303538587</v>
      </c>
      <c r="V23" s="111">
        <v>1957403.5163964615</v>
      </c>
      <c r="W23" s="111">
        <v>1857850.1346622349</v>
      </c>
      <c r="X23" s="111">
        <v>1368469.6654461429</v>
      </c>
      <c r="Y23" s="111">
        <v>1337743.982310971</v>
      </c>
      <c r="Z23" s="111">
        <v>1064375.3424988315</v>
      </c>
      <c r="AA23" s="111">
        <v>1111675.1149537454</v>
      </c>
      <c r="AB23" s="111">
        <v>1097391.8967547053</v>
      </c>
      <c r="AC23" s="111">
        <v>1299833.9561915777</v>
      </c>
      <c r="AD23" s="111">
        <v>1856865.0851312664</v>
      </c>
      <c r="AE23" s="111">
        <v>1921368.4344412552</v>
      </c>
      <c r="AF23" s="111">
        <v>2317375.7408589483</v>
      </c>
    </row>
    <row r="24" spans="1:32">
      <c r="A24">
        <v>24</v>
      </c>
      <c r="B24" s="4" t="str">
        <f t="shared" si="3"/>
        <v>E5310</v>
      </c>
      <c r="C24" t="s">
        <v>216</v>
      </c>
      <c r="D24" s="55" t="s">
        <v>407</v>
      </c>
      <c r="E24" s="56" t="s">
        <v>435</v>
      </c>
      <c r="F24" s="57">
        <f t="shared" si="4"/>
        <v>6717089.5381433871</v>
      </c>
      <c r="G24" s="57">
        <f t="shared" si="4"/>
        <v>5408221.5068068029</v>
      </c>
      <c r="H24" s="57">
        <f t="shared" si="4"/>
        <v>5146528.5859204922</v>
      </c>
      <c r="I24" s="57">
        <f t="shared" si="4"/>
        <v>3924099.1253881594</v>
      </c>
      <c r="J24" s="57">
        <f t="shared" si="4"/>
        <v>3777321.6019313014</v>
      </c>
      <c r="K24" s="57">
        <f t="shared" si="4"/>
        <v>3004087.7912696432</v>
      </c>
      <c r="L24" s="57">
        <f t="shared" si="4"/>
        <v>3023682.4636851493</v>
      </c>
      <c r="M24" s="57">
        <f t="shared" si="4"/>
        <v>2997794.0963408165</v>
      </c>
      <c r="N24" s="57">
        <f t="shared" si="4"/>
        <v>3592839.3711972265</v>
      </c>
      <c r="O24" s="57">
        <f t="shared" si="4"/>
        <v>5189675.8648277139</v>
      </c>
      <c r="P24" s="57">
        <f t="shared" si="4"/>
        <v>5289501.725645747</v>
      </c>
      <c r="Q24" s="57">
        <f t="shared" si="4"/>
        <v>6407867.3726416267</v>
      </c>
      <c r="R24" s="58"/>
      <c r="S24" s="3" t="str">
        <f t="shared" si="2"/>
        <v>E5310</v>
      </c>
      <c r="T24" s="50" t="s">
        <v>216</v>
      </c>
      <c r="U24" s="111">
        <v>6717089.5381433871</v>
      </c>
      <c r="V24" s="111">
        <v>5408221.5068068029</v>
      </c>
      <c r="W24" s="111">
        <v>5146528.5859204922</v>
      </c>
      <c r="X24" s="111">
        <v>3924099.1253881594</v>
      </c>
      <c r="Y24" s="111">
        <v>3777321.6019313014</v>
      </c>
      <c r="Z24" s="111">
        <v>3004087.7912696432</v>
      </c>
      <c r="AA24" s="111">
        <v>3023682.4636851493</v>
      </c>
      <c r="AB24" s="111">
        <v>2997794.0963408165</v>
      </c>
      <c r="AC24" s="111">
        <v>3592839.3711972265</v>
      </c>
      <c r="AD24" s="111">
        <v>5189675.8648277139</v>
      </c>
      <c r="AE24" s="111">
        <v>5289501.725645747</v>
      </c>
      <c r="AF24" s="111">
        <v>6407867.3726416267</v>
      </c>
    </row>
    <row r="25" spans="1:32">
      <c r="A25">
        <v>25</v>
      </c>
      <c r="B25" s="4" t="str">
        <f t="shared" si="3"/>
        <v>E5320</v>
      </c>
      <c r="C25" t="s">
        <v>262</v>
      </c>
      <c r="D25" s="55" t="s">
        <v>407</v>
      </c>
      <c r="E25" s="56" t="s">
        <v>436</v>
      </c>
      <c r="F25" s="57">
        <f t="shared" ref="F25:Q34" si="5">VLOOKUP($C25,$T:$AF,F$2,FALSE)</f>
        <v>6301013.2835112987</v>
      </c>
      <c r="G25" s="57">
        <f t="shared" si="5"/>
        <v>5189152.5553090982</v>
      </c>
      <c r="H25" s="57">
        <f t="shared" si="5"/>
        <v>4959367.6189116212</v>
      </c>
      <c r="I25" s="57">
        <f t="shared" si="5"/>
        <v>3884760.758778777</v>
      </c>
      <c r="J25" s="57">
        <f t="shared" si="5"/>
        <v>3683313.5201368155</v>
      </c>
      <c r="K25" s="57">
        <f t="shared" si="5"/>
        <v>2885018.3441899847</v>
      </c>
      <c r="L25" s="57">
        <f t="shared" si="5"/>
        <v>2830623.1644134652</v>
      </c>
      <c r="M25" s="57">
        <f t="shared" si="5"/>
        <v>2784410.9248550311</v>
      </c>
      <c r="N25" s="57">
        <f t="shared" si="5"/>
        <v>3496693.3568676868</v>
      </c>
      <c r="O25" s="57">
        <f t="shared" si="5"/>
        <v>4983219.0973933935</v>
      </c>
      <c r="P25" s="57">
        <f t="shared" si="5"/>
        <v>5093684.4866653681</v>
      </c>
      <c r="Q25" s="57">
        <f t="shared" si="5"/>
        <v>6125108.6297082305</v>
      </c>
      <c r="R25" s="58"/>
      <c r="S25" s="3" t="str">
        <f t="shared" si="2"/>
        <v>E5320</v>
      </c>
      <c r="T25" s="50" t="s">
        <v>262</v>
      </c>
      <c r="U25" s="111">
        <v>6301013.2835112987</v>
      </c>
      <c r="V25" s="111">
        <v>5189152.5553090982</v>
      </c>
      <c r="W25" s="111">
        <v>4959367.6189116212</v>
      </c>
      <c r="X25" s="111">
        <v>3884760.758778777</v>
      </c>
      <c r="Y25" s="111">
        <v>3683313.5201368155</v>
      </c>
      <c r="Z25" s="111">
        <v>2885018.3441899847</v>
      </c>
      <c r="AA25" s="111">
        <v>2830623.1644134652</v>
      </c>
      <c r="AB25" s="111">
        <v>2784410.9248550311</v>
      </c>
      <c r="AC25" s="111">
        <v>3496693.3568676868</v>
      </c>
      <c r="AD25" s="111">
        <v>4983219.0973933935</v>
      </c>
      <c r="AE25" s="111">
        <v>5093684.4866653681</v>
      </c>
      <c r="AF25" s="111">
        <v>6125108.6297082305</v>
      </c>
    </row>
    <row r="26" spans="1:32">
      <c r="A26">
        <v>26</v>
      </c>
      <c r="B26" s="4" t="str">
        <f t="shared" si="3"/>
        <v>E5290</v>
      </c>
      <c r="C26" t="s">
        <v>437</v>
      </c>
      <c r="D26" s="55" t="s">
        <v>407</v>
      </c>
      <c r="E26" s="56" t="s">
        <v>438</v>
      </c>
      <c r="F26" s="57">
        <f t="shared" si="5"/>
        <v>11416415.938142782</v>
      </c>
      <c r="G26" s="57">
        <f t="shared" si="5"/>
        <v>9313570.1823754311</v>
      </c>
      <c r="H26" s="57">
        <f t="shared" si="5"/>
        <v>8823192.6408571377</v>
      </c>
      <c r="I26" s="57">
        <f t="shared" si="5"/>
        <v>6824871.4613520475</v>
      </c>
      <c r="J26" s="57">
        <f t="shared" si="5"/>
        <v>6593106.0491222003</v>
      </c>
      <c r="K26" s="57">
        <f t="shared" si="5"/>
        <v>5586623.5299011497</v>
      </c>
      <c r="L26" s="57">
        <f t="shared" si="5"/>
        <v>5704489.169656937</v>
      </c>
      <c r="M26" s="57">
        <f t="shared" si="5"/>
        <v>5663903.3025659742</v>
      </c>
      <c r="N26" s="57">
        <f t="shared" si="5"/>
        <v>6438306.5812496785</v>
      </c>
      <c r="O26" s="57">
        <f t="shared" si="5"/>
        <v>8951358.5369338579</v>
      </c>
      <c r="P26" s="57">
        <f t="shared" si="5"/>
        <v>9274493.8299151771</v>
      </c>
      <c r="Q26" s="57">
        <f t="shared" si="5"/>
        <v>10984924.088017825</v>
      </c>
      <c r="R26" s="58"/>
      <c r="S26" s="3" t="str">
        <f t="shared" si="2"/>
        <v>E5290</v>
      </c>
      <c r="T26" s="50" t="s">
        <v>437</v>
      </c>
      <c r="U26" s="111">
        <v>11416415.938142782</v>
      </c>
      <c r="V26" s="111">
        <v>9313570.1823754311</v>
      </c>
      <c r="W26" s="111">
        <v>8823192.6408571377</v>
      </c>
      <c r="X26" s="111">
        <v>6824871.4613520475</v>
      </c>
      <c r="Y26" s="111">
        <v>6593106.0491222003</v>
      </c>
      <c r="Z26" s="111">
        <v>5586623.5299011497</v>
      </c>
      <c r="AA26" s="111">
        <v>5704489.169656937</v>
      </c>
      <c r="AB26" s="111">
        <v>5663903.3025659742</v>
      </c>
      <c r="AC26" s="111">
        <v>6438306.5812496785</v>
      </c>
      <c r="AD26" s="111">
        <v>8951358.5369338579</v>
      </c>
      <c r="AE26" s="111">
        <v>9274493.8299151771</v>
      </c>
      <c r="AF26" s="111">
        <v>10984924.088017825</v>
      </c>
    </row>
    <row r="27" spans="1:32">
      <c r="A27">
        <v>27</v>
      </c>
      <c r="B27" s="4" t="str">
        <f t="shared" si="3"/>
        <v>E5360</v>
      </c>
      <c r="C27" t="s">
        <v>263</v>
      </c>
      <c r="D27" s="55" t="s">
        <v>407</v>
      </c>
      <c r="E27" s="56" t="s">
        <v>439</v>
      </c>
      <c r="F27" s="57">
        <f t="shared" si="5"/>
        <v>3383185.4371166769</v>
      </c>
      <c r="G27" s="57">
        <f t="shared" si="5"/>
        <v>3132088.1496959566</v>
      </c>
      <c r="H27" s="57">
        <f t="shared" si="5"/>
        <v>3497950.7689040815</v>
      </c>
      <c r="I27" s="57">
        <f t="shared" si="5"/>
        <v>3098778.7721513002</v>
      </c>
      <c r="J27" s="57">
        <f t="shared" si="5"/>
        <v>2916951.2767303418</v>
      </c>
      <c r="K27" s="57">
        <f t="shared" si="5"/>
        <v>2087929.8946387453</v>
      </c>
      <c r="L27" s="57">
        <f t="shared" si="5"/>
        <v>1820404.3956678666</v>
      </c>
      <c r="M27" s="57">
        <f t="shared" si="5"/>
        <v>1789023.2502572478</v>
      </c>
      <c r="N27" s="57">
        <f t="shared" si="5"/>
        <v>2259730.8197438833</v>
      </c>
      <c r="O27" s="57">
        <f t="shared" si="5"/>
        <v>3023647.1711264453</v>
      </c>
      <c r="P27" s="57">
        <f t="shared" si="5"/>
        <v>3032834.9827170055</v>
      </c>
      <c r="Q27" s="57">
        <f t="shared" si="5"/>
        <v>3221796.6892906376</v>
      </c>
      <c r="R27" s="58"/>
      <c r="S27" s="3" t="str">
        <f t="shared" si="2"/>
        <v>E5360</v>
      </c>
      <c r="T27" s="50" t="s">
        <v>263</v>
      </c>
      <c r="U27" s="111">
        <v>3383185.4371166769</v>
      </c>
      <c r="V27" s="111">
        <v>3132088.1496959566</v>
      </c>
      <c r="W27" s="111">
        <v>3497950.7689040815</v>
      </c>
      <c r="X27" s="111">
        <v>3098778.7721513002</v>
      </c>
      <c r="Y27" s="111">
        <v>2916951.2767303418</v>
      </c>
      <c r="Z27" s="111">
        <v>2087929.8946387453</v>
      </c>
      <c r="AA27" s="111">
        <v>1820404.3956678666</v>
      </c>
      <c r="AB27" s="111">
        <v>1789023.2502572478</v>
      </c>
      <c r="AC27" s="111">
        <v>2259730.8197438833</v>
      </c>
      <c r="AD27" s="111">
        <v>3023647.1711264453</v>
      </c>
      <c r="AE27" s="111">
        <v>3032834.9827170055</v>
      </c>
      <c r="AF27" s="111">
        <v>3221796.6892906376</v>
      </c>
    </row>
    <row r="28" spans="1:32">
      <c r="A28">
        <v>28</v>
      </c>
      <c r="B28" s="4" t="s">
        <v>440</v>
      </c>
      <c r="C28" s="4" t="s">
        <v>265</v>
      </c>
      <c r="D28" s="55" t="s">
        <v>407</v>
      </c>
      <c r="E28" s="56" t="s">
        <v>441</v>
      </c>
      <c r="F28" s="57">
        <f t="shared" si="5"/>
        <v>1245239.4148945706</v>
      </c>
      <c r="G28" s="57">
        <f t="shared" si="5"/>
        <v>1005171.086847482</v>
      </c>
      <c r="H28" s="57">
        <f t="shared" si="5"/>
        <v>903491.24535932299</v>
      </c>
      <c r="I28" s="57">
        <f t="shared" si="5"/>
        <v>708729.94585583673</v>
      </c>
      <c r="J28" s="57">
        <f t="shared" si="5"/>
        <v>592763.29428958241</v>
      </c>
      <c r="K28" s="57">
        <f t="shared" si="5"/>
        <v>425324.88814199105</v>
      </c>
      <c r="L28" s="57">
        <f t="shared" si="5"/>
        <v>392709.17350779526</v>
      </c>
      <c r="M28" s="57">
        <f t="shared" si="5"/>
        <v>363003.37107896234</v>
      </c>
      <c r="N28" s="57">
        <f t="shared" si="5"/>
        <v>560921.74250597623</v>
      </c>
      <c r="O28" s="57">
        <f t="shared" si="5"/>
        <v>872208.14368648105</v>
      </c>
      <c r="P28" s="57">
        <f t="shared" si="5"/>
        <v>1018847.3294762833</v>
      </c>
      <c r="Q28" s="57">
        <f t="shared" si="5"/>
        <v>1211590.3643557157</v>
      </c>
      <c r="R28" s="58"/>
      <c r="S28" s="3" t="str">
        <f t="shared" si="2"/>
        <v>BEV2</v>
      </c>
      <c r="T28" s="50" t="s">
        <v>265</v>
      </c>
      <c r="U28" s="111">
        <v>1245239.4148945706</v>
      </c>
      <c r="V28" s="111">
        <v>1005171.086847482</v>
      </c>
      <c r="W28" s="111">
        <v>903491.24535932299</v>
      </c>
      <c r="X28" s="111">
        <v>708729.94585583673</v>
      </c>
      <c r="Y28" s="111">
        <v>592763.29428958241</v>
      </c>
      <c r="Z28" s="111">
        <v>425324.88814199105</v>
      </c>
      <c r="AA28" s="111">
        <v>392709.17350779526</v>
      </c>
      <c r="AB28" s="111">
        <v>363003.37107896234</v>
      </c>
      <c r="AC28" s="111">
        <v>560921.74250597623</v>
      </c>
      <c r="AD28" s="111">
        <v>872208.14368648105</v>
      </c>
      <c r="AE28" s="111">
        <v>1018847.3294762833</v>
      </c>
      <c r="AF28" s="111">
        <v>1211590.3643557157</v>
      </c>
    </row>
    <row r="29" spans="1:32">
      <c r="A29">
        <v>29</v>
      </c>
      <c r="B29" s="4" t="s">
        <v>442</v>
      </c>
      <c r="C29" s="4" t="s">
        <v>266</v>
      </c>
      <c r="D29" s="55" t="s">
        <v>407</v>
      </c>
      <c r="E29" s="56" t="s">
        <v>443</v>
      </c>
      <c r="F29" s="57">
        <f t="shared" si="5"/>
        <v>1801984.5972185379</v>
      </c>
      <c r="G29" s="57">
        <f t="shared" si="5"/>
        <v>1484756.0279659706</v>
      </c>
      <c r="H29" s="57">
        <f t="shared" si="5"/>
        <v>1378550.2401245811</v>
      </c>
      <c r="I29" s="57">
        <f t="shared" si="5"/>
        <v>1142852.4582071621</v>
      </c>
      <c r="J29" s="57">
        <f t="shared" si="5"/>
        <v>991647.47462304391</v>
      </c>
      <c r="K29" s="57">
        <f t="shared" si="5"/>
        <v>743924.26409492409</v>
      </c>
      <c r="L29" s="57">
        <f t="shared" si="5"/>
        <v>669505.25785352336</v>
      </c>
      <c r="M29" s="57">
        <f t="shared" si="5"/>
        <v>613462.47529697022</v>
      </c>
      <c r="N29" s="57">
        <f t="shared" si="5"/>
        <v>884935.13633399305</v>
      </c>
      <c r="O29" s="57">
        <f t="shared" si="5"/>
        <v>1261067.9626171398</v>
      </c>
      <c r="P29" s="57">
        <f t="shared" si="5"/>
        <v>1473484.788271988</v>
      </c>
      <c r="Q29" s="57">
        <f t="shared" si="5"/>
        <v>1753829.3173921665</v>
      </c>
      <c r="R29" s="58"/>
      <c r="S29" s="3" t="str">
        <f t="shared" si="2"/>
        <v>BEV3</v>
      </c>
      <c r="T29" s="50" t="s">
        <v>266</v>
      </c>
      <c r="U29" s="111">
        <v>1801984.5972185379</v>
      </c>
      <c r="V29" s="111">
        <v>1484756.0279659706</v>
      </c>
      <c r="W29" s="111">
        <v>1378550.2401245811</v>
      </c>
      <c r="X29" s="111">
        <v>1142852.4582071621</v>
      </c>
      <c r="Y29" s="111">
        <v>991647.47462304391</v>
      </c>
      <c r="Z29" s="111">
        <v>743924.26409492409</v>
      </c>
      <c r="AA29" s="111">
        <v>669505.25785352336</v>
      </c>
      <c r="AB29" s="111">
        <v>613462.47529697022</v>
      </c>
      <c r="AC29" s="111">
        <v>884935.13633399305</v>
      </c>
      <c r="AD29" s="111">
        <v>1261067.9626171398</v>
      </c>
      <c r="AE29" s="111">
        <v>1473484.788271988</v>
      </c>
      <c r="AF29" s="111">
        <v>1753829.3173921665</v>
      </c>
    </row>
    <row r="30" spans="1:32">
      <c r="A30">
        <v>30</v>
      </c>
      <c r="B30" s="4" t="s">
        <v>444</v>
      </c>
      <c r="C30" s="4" t="s">
        <v>269</v>
      </c>
      <c r="D30" s="55" t="s">
        <v>407</v>
      </c>
      <c r="E30" s="56" t="s">
        <v>445</v>
      </c>
      <c r="F30" s="57">
        <f t="shared" si="5"/>
        <v>8675724.2064135708</v>
      </c>
      <c r="G30" s="57">
        <f t="shared" si="5"/>
        <v>7141381.4778976608</v>
      </c>
      <c r="H30" s="57">
        <f t="shared" si="5"/>
        <v>7057633.2250991706</v>
      </c>
      <c r="I30" s="57">
        <f t="shared" si="5"/>
        <v>5859072.845721228</v>
      </c>
      <c r="J30" s="57">
        <f t="shared" si="5"/>
        <v>4980494.609804688</v>
      </c>
      <c r="K30" s="57">
        <f t="shared" si="5"/>
        <v>3869040.043326193</v>
      </c>
      <c r="L30" s="57">
        <f t="shared" si="5"/>
        <v>3757059.9653962408</v>
      </c>
      <c r="M30" s="57">
        <f t="shared" si="5"/>
        <v>3553500.381097381</v>
      </c>
      <c r="N30" s="57">
        <f t="shared" si="5"/>
        <v>4912299.6639757119</v>
      </c>
      <c r="O30" s="57">
        <f t="shared" si="5"/>
        <v>7001550.4824862219</v>
      </c>
      <c r="P30" s="57">
        <f t="shared" si="5"/>
        <v>7246065.4049662538</v>
      </c>
      <c r="Q30" s="57">
        <f t="shared" si="5"/>
        <v>8858512.4045594875</v>
      </c>
      <c r="R30" s="58"/>
      <c r="S30" s="3" t="str">
        <f t="shared" si="2"/>
        <v>BEV4</v>
      </c>
      <c r="T30" s="50" t="s">
        <v>269</v>
      </c>
      <c r="U30" s="111">
        <v>8675724.2064135708</v>
      </c>
      <c r="V30" s="111">
        <v>7141381.4778976608</v>
      </c>
      <c r="W30" s="111">
        <v>7057633.2250991706</v>
      </c>
      <c r="X30" s="111">
        <v>5859072.845721228</v>
      </c>
      <c r="Y30" s="111">
        <v>4980494.609804688</v>
      </c>
      <c r="Z30" s="111">
        <v>3869040.043326193</v>
      </c>
      <c r="AA30" s="111">
        <v>3757059.9653962408</v>
      </c>
      <c r="AB30" s="111">
        <v>3553500.381097381</v>
      </c>
      <c r="AC30" s="111">
        <v>4912299.6639757119</v>
      </c>
      <c r="AD30" s="111">
        <v>7001550.4824862219</v>
      </c>
      <c r="AE30" s="111">
        <v>7246065.4049662538</v>
      </c>
      <c r="AF30" s="111">
        <v>8858512.4045594875</v>
      </c>
    </row>
    <row r="31" spans="1:32">
      <c r="A31">
        <v>31</v>
      </c>
      <c r="B31" s="4" t="s">
        <v>446</v>
      </c>
      <c r="C31" s="4" t="s">
        <v>270</v>
      </c>
      <c r="D31" s="55" t="s">
        <v>407</v>
      </c>
      <c r="E31" s="56" t="s">
        <v>447</v>
      </c>
      <c r="F31" s="57">
        <f t="shared" si="5"/>
        <v>1705078.4410589091</v>
      </c>
      <c r="G31" s="57">
        <f t="shared" si="5"/>
        <v>1518515.7610888025</v>
      </c>
      <c r="H31" s="57">
        <f t="shared" si="5"/>
        <v>1699040.6392458142</v>
      </c>
      <c r="I31" s="57">
        <f t="shared" si="5"/>
        <v>1610635.4311166282</v>
      </c>
      <c r="J31" s="57">
        <f t="shared" si="5"/>
        <v>1441930.9120381693</v>
      </c>
      <c r="K31" s="57">
        <f t="shared" si="5"/>
        <v>865161.67499977152</v>
      </c>
      <c r="L31" s="57">
        <f t="shared" si="5"/>
        <v>795382.96788587281</v>
      </c>
      <c r="M31" s="57">
        <f t="shared" si="5"/>
        <v>687708.83555233851</v>
      </c>
      <c r="N31" s="57">
        <f t="shared" si="5"/>
        <v>1023897.4323440534</v>
      </c>
      <c r="O31" s="57">
        <f t="shared" si="5"/>
        <v>1682939.8344108933</v>
      </c>
      <c r="P31" s="57">
        <f t="shared" si="5"/>
        <v>1690977.1487908815</v>
      </c>
      <c r="Q31" s="57">
        <f t="shared" si="5"/>
        <v>1666839.0295759721</v>
      </c>
      <c r="R31" s="58"/>
      <c r="S31" s="3" t="str">
        <f t="shared" si="2"/>
        <v>BEV5</v>
      </c>
      <c r="T31" s="50" t="s">
        <v>270</v>
      </c>
      <c r="U31" s="111">
        <v>1705078.4410589091</v>
      </c>
      <c r="V31" s="111">
        <v>1518515.7610888025</v>
      </c>
      <c r="W31" s="111">
        <v>1699040.6392458142</v>
      </c>
      <c r="X31" s="111">
        <v>1610635.4311166282</v>
      </c>
      <c r="Y31" s="111">
        <v>1441930.9120381693</v>
      </c>
      <c r="Z31" s="111">
        <v>865161.67499977152</v>
      </c>
      <c r="AA31" s="111">
        <v>795382.96788587281</v>
      </c>
      <c r="AB31" s="111">
        <v>687708.83555233851</v>
      </c>
      <c r="AC31" s="111">
        <v>1023897.4323440534</v>
      </c>
      <c r="AD31" s="111">
        <v>1682939.8344108933</v>
      </c>
      <c r="AE31" s="111">
        <v>1690977.1487908815</v>
      </c>
      <c r="AF31" s="111">
        <v>1666839.0295759721</v>
      </c>
    </row>
    <row r="32" spans="1:32">
      <c r="A32">
        <v>32</v>
      </c>
      <c r="B32" s="4" t="s">
        <v>448</v>
      </c>
      <c r="C32" s="4" t="s">
        <v>271</v>
      </c>
      <c r="D32" s="55" t="s">
        <v>407</v>
      </c>
      <c r="E32" s="56" t="s">
        <v>449</v>
      </c>
      <c r="F32" s="57">
        <f t="shared" si="5"/>
        <v>5565403.991289096</v>
      </c>
      <c r="G32" s="57">
        <f t="shared" si="5"/>
        <v>4691137.8335087877</v>
      </c>
      <c r="H32" s="57">
        <f t="shared" si="5"/>
        <v>4779059.4177697627</v>
      </c>
      <c r="I32" s="57">
        <f t="shared" si="5"/>
        <v>3934139.7237095432</v>
      </c>
      <c r="J32" s="57">
        <f t="shared" si="5"/>
        <v>3235987.7687920919</v>
      </c>
      <c r="K32" s="57">
        <f t="shared" si="5"/>
        <v>2499601.8740779581</v>
      </c>
      <c r="L32" s="57">
        <f t="shared" si="5"/>
        <v>2403736.0732782227</v>
      </c>
      <c r="M32" s="57">
        <f t="shared" si="5"/>
        <v>2181604.8378207851</v>
      </c>
      <c r="N32" s="57">
        <f t="shared" si="5"/>
        <v>3201823.1990724411</v>
      </c>
      <c r="O32" s="57">
        <f t="shared" si="5"/>
        <v>4562851.6819245229</v>
      </c>
      <c r="P32" s="57">
        <f t="shared" si="5"/>
        <v>4613431.3727858393</v>
      </c>
      <c r="Q32" s="57">
        <f t="shared" si="5"/>
        <v>5799382.2259709295</v>
      </c>
      <c r="R32" s="58"/>
      <c r="S32" s="3" t="str">
        <f t="shared" si="2"/>
        <v>BEV6</v>
      </c>
      <c r="T32" s="50" t="s">
        <v>271</v>
      </c>
      <c r="U32" s="111">
        <v>5565403.991289096</v>
      </c>
      <c r="V32" s="111">
        <v>4691137.8335087877</v>
      </c>
      <c r="W32" s="111">
        <v>4779059.4177697627</v>
      </c>
      <c r="X32" s="111">
        <v>3934139.7237095432</v>
      </c>
      <c r="Y32" s="111">
        <v>3235987.7687920919</v>
      </c>
      <c r="Z32" s="111">
        <v>2499601.8740779581</v>
      </c>
      <c r="AA32" s="111">
        <v>2403736.0732782227</v>
      </c>
      <c r="AB32" s="111">
        <v>2181604.8378207851</v>
      </c>
      <c r="AC32" s="111">
        <v>3201823.1990724411</v>
      </c>
      <c r="AD32" s="111">
        <v>4562851.6819245229</v>
      </c>
      <c r="AE32" s="111">
        <v>4613431.3727858393</v>
      </c>
      <c r="AF32" s="111">
        <v>5799382.2259709295</v>
      </c>
    </row>
    <row r="33" spans="1:32">
      <c r="A33">
        <v>33</v>
      </c>
      <c r="B33" s="4" t="s">
        <v>450</v>
      </c>
      <c r="C33" s="4" t="s">
        <v>267</v>
      </c>
      <c r="D33" s="55" t="s">
        <v>407</v>
      </c>
      <c r="E33" s="56" t="s">
        <v>451</v>
      </c>
      <c r="F33" s="57">
        <f t="shared" si="5"/>
        <v>2427105.0058476902</v>
      </c>
      <c r="G33" s="57">
        <f t="shared" si="5"/>
        <v>1985014.1182448205</v>
      </c>
      <c r="H33" s="57">
        <f t="shared" si="5"/>
        <v>1981875.1168762827</v>
      </c>
      <c r="I33" s="57">
        <f t="shared" si="5"/>
        <v>1572532.4371737198</v>
      </c>
      <c r="J33" s="57">
        <f t="shared" si="5"/>
        <v>1324219.316939323</v>
      </c>
      <c r="K33" s="57">
        <f t="shared" si="5"/>
        <v>994058.2760297152</v>
      </c>
      <c r="L33" s="57">
        <f t="shared" si="5"/>
        <v>976557.14288814203</v>
      </c>
      <c r="M33" s="57">
        <f t="shared" si="5"/>
        <v>901220.0465573353</v>
      </c>
      <c r="N33" s="57">
        <f t="shared" si="5"/>
        <v>1331700.7357883547</v>
      </c>
      <c r="O33" s="57">
        <f t="shared" si="5"/>
        <v>1963349.6013851012</v>
      </c>
      <c r="P33" s="57">
        <f t="shared" si="5"/>
        <v>1979496.1807058142</v>
      </c>
      <c r="Q33" s="57">
        <f t="shared" si="5"/>
        <v>2501207.0678124167</v>
      </c>
      <c r="R33" s="58"/>
      <c r="S33" s="3" t="str">
        <f t="shared" si="2"/>
        <v>BEV7</v>
      </c>
      <c r="T33" s="50" t="s">
        <v>267</v>
      </c>
      <c r="U33" s="111">
        <v>2427105.0058476902</v>
      </c>
      <c r="V33" s="111">
        <v>1985014.1182448205</v>
      </c>
      <c r="W33" s="111">
        <v>1981875.1168762827</v>
      </c>
      <c r="X33" s="111">
        <v>1572532.4371737198</v>
      </c>
      <c r="Y33" s="111">
        <v>1324219.316939323</v>
      </c>
      <c r="Z33" s="111">
        <v>994058.2760297152</v>
      </c>
      <c r="AA33" s="111">
        <v>976557.14288814203</v>
      </c>
      <c r="AB33" s="111">
        <v>901220.0465573353</v>
      </c>
      <c r="AC33" s="111">
        <v>1331700.7357883547</v>
      </c>
      <c r="AD33" s="111">
        <v>1963349.6013851012</v>
      </c>
      <c r="AE33" s="111">
        <v>1979496.1807058142</v>
      </c>
      <c r="AF33" s="111">
        <v>2501207.0678124167</v>
      </c>
    </row>
    <row r="34" spans="1:32">
      <c r="A34">
        <v>34</v>
      </c>
      <c r="B34" s="4" t="s">
        <v>452</v>
      </c>
      <c r="C34" s="4" t="s">
        <v>272</v>
      </c>
      <c r="D34" s="55" t="s">
        <v>407</v>
      </c>
      <c r="E34" s="56" t="s">
        <v>453</v>
      </c>
      <c r="F34" s="57">
        <f t="shared" si="5"/>
        <v>2750878.6620253208</v>
      </c>
      <c r="G34" s="57">
        <f t="shared" si="5"/>
        <v>2286715.4141694289</v>
      </c>
      <c r="H34" s="57">
        <f t="shared" si="5"/>
        <v>2222969.3138712756</v>
      </c>
      <c r="I34" s="57">
        <f t="shared" si="5"/>
        <v>1808485.0897115518</v>
      </c>
      <c r="J34" s="57">
        <f t="shared" si="5"/>
        <v>1603456.1585182627</v>
      </c>
      <c r="K34" s="57">
        <f t="shared" si="5"/>
        <v>1243102.451730832</v>
      </c>
      <c r="L34" s="57">
        <f t="shared" si="5"/>
        <v>1257397.3313221657</v>
      </c>
      <c r="M34" s="57">
        <f t="shared" si="5"/>
        <v>1167829.164283176</v>
      </c>
      <c r="N34" s="57">
        <f t="shared" si="5"/>
        <v>1534658.6552888337</v>
      </c>
      <c r="O34" s="57">
        <f t="shared" si="5"/>
        <v>2145614.9877921478</v>
      </c>
      <c r="P34" s="57">
        <f t="shared" si="5"/>
        <v>2232686.2327261223</v>
      </c>
      <c r="Q34" s="57">
        <f t="shared" si="5"/>
        <v>2804483.852904717</v>
      </c>
      <c r="R34" s="58"/>
      <c r="S34" s="3" t="str">
        <f t="shared" si="2"/>
        <v>BEV8</v>
      </c>
      <c r="T34" s="50" t="s">
        <v>272</v>
      </c>
      <c r="U34" s="111">
        <v>2750878.6620253208</v>
      </c>
      <c r="V34" s="111">
        <v>2286715.4141694289</v>
      </c>
      <c r="W34" s="111">
        <v>2222969.3138712756</v>
      </c>
      <c r="X34" s="111">
        <v>1808485.0897115518</v>
      </c>
      <c r="Y34" s="111">
        <v>1603456.1585182627</v>
      </c>
      <c r="Z34" s="111">
        <v>1243102.451730832</v>
      </c>
      <c r="AA34" s="111">
        <v>1257397.3313221657</v>
      </c>
      <c r="AB34" s="111">
        <v>1167829.164283176</v>
      </c>
      <c r="AC34" s="111">
        <v>1534658.6552888337</v>
      </c>
      <c r="AD34" s="111">
        <v>2145614.9877921478</v>
      </c>
      <c r="AE34" s="111">
        <v>2232686.2327261223</v>
      </c>
      <c r="AF34" s="111">
        <v>2804483.852904717</v>
      </c>
    </row>
    <row r="35" spans="1:32">
      <c r="A35">
        <v>35</v>
      </c>
      <c r="B35" s="4" t="s">
        <v>454</v>
      </c>
      <c r="C35" s="4" t="s">
        <v>268</v>
      </c>
      <c r="D35" s="55" t="s">
        <v>407</v>
      </c>
      <c r="E35" s="56" t="s">
        <v>455</v>
      </c>
      <c r="F35" s="57">
        <f t="shared" ref="F35:Q44" si="6">VLOOKUP($C35,$T:$AF,F$2,FALSE)</f>
        <v>4711545.1372855967</v>
      </c>
      <c r="G35" s="57">
        <f t="shared" si="6"/>
        <v>3992604.7503094124</v>
      </c>
      <c r="H35" s="57">
        <f t="shared" si="6"/>
        <v>3826012.4807693125</v>
      </c>
      <c r="I35" s="57">
        <f t="shared" si="6"/>
        <v>3210415.6801436841</v>
      </c>
      <c r="J35" s="57">
        <f t="shared" si="6"/>
        <v>2847139.8955932041</v>
      </c>
      <c r="K35" s="57">
        <f t="shared" si="6"/>
        <v>2212164.8302085875</v>
      </c>
      <c r="L35" s="57">
        <f t="shared" si="6"/>
        <v>2096830.4690584601</v>
      </c>
      <c r="M35" s="57">
        <f t="shared" si="6"/>
        <v>1891003.9597060271</v>
      </c>
      <c r="N35" s="57">
        <f t="shared" si="6"/>
        <v>2526000.0742137055</v>
      </c>
      <c r="O35" s="57">
        <f t="shared" si="6"/>
        <v>3438292.7771054255</v>
      </c>
      <c r="P35" s="57">
        <f t="shared" si="6"/>
        <v>3879776.4588704654</v>
      </c>
      <c r="Q35" s="57">
        <f t="shared" si="6"/>
        <v>4724708.4605581351</v>
      </c>
      <c r="R35" s="58"/>
      <c r="S35" s="3" t="str">
        <f t="shared" si="2"/>
        <v>BEV9</v>
      </c>
      <c r="T35" s="50" t="s">
        <v>268</v>
      </c>
      <c r="U35" s="111">
        <v>4711545.1372855967</v>
      </c>
      <c r="V35" s="111">
        <v>3992604.7503094124</v>
      </c>
      <c r="W35" s="111">
        <v>3826012.4807693125</v>
      </c>
      <c r="X35" s="111">
        <v>3210415.6801436841</v>
      </c>
      <c r="Y35" s="111">
        <v>2847139.8955932041</v>
      </c>
      <c r="Z35" s="111">
        <v>2212164.8302085875</v>
      </c>
      <c r="AA35" s="111">
        <v>2096830.4690584601</v>
      </c>
      <c r="AB35" s="111">
        <v>1891003.9597060271</v>
      </c>
      <c r="AC35" s="111">
        <v>2526000.0742137055</v>
      </c>
      <c r="AD35" s="111">
        <v>3438292.7771054255</v>
      </c>
      <c r="AE35" s="111">
        <v>3879776.4588704654</v>
      </c>
      <c r="AF35" s="111">
        <v>4724708.4605581351</v>
      </c>
    </row>
    <row r="36" spans="1:32">
      <c r="A36">
        <v>36</v>
      </c>
      <c r="B36" s="4" t="s">
        <v>456</v>
      </c>
      <c r="C36" s="4" t="s">
        <v>273</v>
      </c>
      <c r="D36" s="55" t="s">
        <v>407</v>
      </c>
      <c r="E36" s="56" t="s">
        <v>457</v>
      </c>
      <c r="F36" s="57">
        <f t="shared" si="6"/>
        <v>9465884.5336712115</v>
      </c>
      <c r="G36" s="57">
        <f t="shared" si="6"/>
        <v>8148681.7456942294</v>
      </c>
      <c r="H36" s="57">
        <f t="shared" si="6"/>
        <v>7576714.4902650574</v>
      </c>
      <c r="I36" s="57">
        <f t="shared" si="6"/>
        <v>6334454.1254950669</v>
      </c>
      <c r="J36" s="57">
        <f t="shared" si="6"/>
        <v>5295769.9976538112</v>
      </c>
      <c r="K36" s="57">
        <f t="shared" si="6"/>
        <v>4041026.8135048347</v>
      </c>
      <c r="L36" s="57">
        <f t="shared" si="6"/>
        <v>3759918.0158007164</v>
      </c>
      <c r="M36" s="57">
        <f t="shared" si="6"/>
        <v>3430635.1965301791</v>
      </c>
      <c r="N36" s="57">
        <f t="shared" si="6"/>
        <v>4773714.0379236229</v>
      </c>
      <c r="O36" s="57">
        <f t="shared" si="6"/>
        <v>6922955.9001804851</v>
      </c>
      <c r="P36" s="57">
        <f t="shared" si="6"/>
        <v>7876586.2835574672</v>
      </c>
      <c r="Q36" s="57">
        <f t="shared" si="6"/>
        <v>9612499.5115945879</v>
      </c>
      <c r="R36" s="58"/>
      <c r="S36" s="3" t="str">
        <f t="shared" si="2"/>
        <v>BEV10</v>
      </c>
      <c r="T36" s="50" t="s">
        <v>273</v>
      </c>
      <c r="U36" s="111">
        <v>9465884.5336712115</v>
      </c>
      <c r="V36" s="111">
        <v>8148681.7456942294</v>
      </c>
      <c r="W36" s="111">
        <v>7576714.4902650574</v>
      </c>
      <c r="X36" s="111">
        <v>6334454.1254950669</v>
      </c>
      <c r="Y36" s="111">
        <v>5295769.9976538112</v>
      </c>
      <c r="Z36" s="111">
        <v>4041026.8135048347</v>
      </c>
      <c r="AA36" s="111">
        <v>3759918.0158007164</v>
      </c>
      <c r="AB36" s="111">
        <v>3430635.1965301791</v>
      </c>
      <c r="AC36" s="111">
        <v>4773714.0379236229</v>
      </c>
      <c r="AD36" s="111">
        <v>6922955.9001804851</v>
      </c>
      <c r="AE36" s="111">
        <v>7876586.2835574672</v>
      </c>
      <c r="AF36" s="111">
        <v>9612499.5115945879</v>
      </c>
    </row>
    <row r="37" spans="1:32">
      <c r="A37">
        <v>37</v>
      </c>
      <c r="B37" s="4" t="s">
        <v>458</v>
      </c>
      <c r="C37" s="4" t="s">
        <v>274</v>
      </c>
      <c r="D37" s="55" t="s">
        <v>407</v>
      </c>
      <c r="E37" s="56" t="s">
        <v>459</v>
      </c>
      <c r="F37" s="57">
        <f t="shared" si="6"/>
        <v>4779312.1123774508</v>
      </c>
      <c r="G37" s="57">
        <f t="shared" si="6"/>
        <v>4254152.3418153282</v>
      </c>
      <c r="H37" s="57">
        <f t="shared" si="6"/>
        <v>4267492.8918993529</v>
      </c>
      <c r="I37" s="57">
        <f t="shared" si="6"/>
        <v>3691609.359974388</v>
      </c>
      <c r="J37" s="57">
        <f t="shared" si="6"/>
        <v>3173587.7444029469</v>
      </c>
      <c r="K37" s="57">
        <f t="shared" si="6"/>
        <v>2587658.1162422448</v>
      </c>
      <c r="L37" s="57">
        <f t="shared" si="6"/>
        <v>2542054.8757452285</v>
      </c>
      <c r="M37" s="57">
        <f t="shared" si="6"/>
        <v>2257518.0887675742</v>
      </c>
      <c r="N37" s="57">
        <f t="shared" si="6"/>
        <v>2855460.7373453276</v>
      </c>
      <c r="O37" s="57">
        <f t="shared" si="6"/>
        <v>3658514.7685508379</v>
      </c>
      <c r="P37" s="57">
        <f t="shared" si="6"/>
        <v>4491659.1966867326</v>
      </c>
      <c r="Q37" s="57">
        <f t="shared" si="6"/>
        <v>4729865.1707380414</v>
      </c>
      <c r="R37" s="58"/>
      <c r="S37" s="3" t="str">
        <f t="shared" ref="S37:S68" si="7">VLOOKUP(T37,C:C,1,FALSE)</f>
        <v>BEV11</v>
      </c>
      <c r="T37" s="50" t="s">
        <v>274</v>
      </c>
      <c r="U37" s="111">
        <v>4779312.1123774508</v>
      </c>
      <c r="V37" s="111">
        <v>4254152.3418153282</v>
      </c>
      <c r="W37" s="111">
        <v>4267492.8918993529</v>
      </c>
      <c r="X37" s="111">
        <v>3691609.359974388</v>
      </c>
      <c r="Y37" s="111">
        <v>3173587.7444029469</v>
      </c>
      <c r="Z37" s="111">
        <v>2587658.1162422448</v>
      </c>
      <c r="AA37" s="111">
        <v>2542054.8757452285</v>
      </c>
      <c r="AB37" s="111">
        <v>2257518.0887675742</v>
      </c>
      <c r="AC37" s="111">
        <v>2855460.7373453276</v>
      </c>
      <c r="AD37" s="111">
        <v>3658514.7685508379</v>
      </c>
      <c r="AE37" s="111">
        <v>4491659.1966867326</v>
      </c>
      <c r="AF37" s="111">
        <v>4729865.1707380414</v>
      </c>
    </row>
    <row r="38" spans="1:32">
      <c r="A38">
        <v>38</v>
      </c>
      <c r="B38" s="4" t="s">
        <v>460</v>
      </c>
      <c r="C38" s="4" t="s">
        <v>275</v>
      </c>
      <c r="D38" s="55" t="s">
        <v>407</v>
      </c>
      <c r="E38" s="56" t="s">
        <v>461</v>
      </c>
      <c r="F38" s="57">
        <f t="shared" si="6"/>
        <v>2207150.9261205378</v>
      </c>
      <c r="G38" s="57">
        <f t="shared" si="6"/>
        <v>1829226.4555675862</v>
      </c>
      <c r="H38" s="57">
        <f t="shared" si="6"/>
        <v>1783953.9636232925</v>
      </c>
      <c r="I38" s="57">
        <f t="shared" si="6"/>
        <v>1472224.6612031762</v>
      </c>
      <c r="J38" s="57">
        <f t="shared" si="6"/>
        <v>1282670.335787846</v>
      </c>
      <c r="K38" s="57">
        <f t="shared" si="6"/>
        <v>981298.56984841102</v>
      </c>
      <c r="L38" s="57">
        <f t="shared" si="6"/>
        <v>973600.03801566432</v>
      </c>
      <c r="M38" s="57">
        <f t="shared" si="6"/>
        <v>902612.16043548111</v>
      </c>
      <c r="N38" s="57">
        <f t="shared" si="6"/>
        <v>1223326.7182235268</v>
      </c>
      <c r="O38" s="57">
        <f t="shared" si="6"/>
        <v>1724433.3585752931</v>
      </c>
      <c r="P38" s="57">
        <f t="shared" si="6"/>
        <v>1813072.1627358173</v>
      </c>
      <c r="Q38" s="57">
        <f t="shared" si="6"/>
        <v>2250289.713265419</v>
      </c>
      <c r="R38" s="58"/>
      <c r="S38" s="3" t="str">
        <f t="shared" si="7"/>
        <v>BEV12</v>
      </c>
      <c r="T38" s="50" t="s">
        <v>275</v>
      </c>
      <c r="U38" s="111">
        <v>2207150.9261205378</v>
      </c>
      <c r="V38" s="111">
        <v>1829226.4555675862</v>
      </c>
      <c r="W38" s="111">
        <v>1783953.9636232925</v>
      </c>
      <c r="X38" s="111">
        <v>1472224.6612031762</v>
      </c>
      <c r="Y38" s="111">
        <v>1282670.335787846</v>
      </c>
      <c r="Z38" s="111">
        <v>981298.56984841102</v>
      </c>
      <c r="AA38" s="111">
        <v>973600.03801566432</v>
      </c>
      <c r="AB38" s="111">
        <v>902612.16043548111</v>
      </c>
      <c r="AC38" s="111">
        <v>1223326.7182235268</v>
      </c>
      <c r="AD38" s="111">
        <v>1724433.3585752931</v>
      </c>
      <c r="AE38" s="111">
        <v>1813072.1627358173</v>
      </c>
      <c r="AF38" s="111">
        <v>2250289.713265419</v>
      </c>
    </row>
    <row r="39" spans="1:32">
      <c r="A39">
        <v>39</v>
      </c>
      <c r="B39" s="4" t="s">
        <v>462</v>
      </c>
      <c r="C39" s="4" t="s">
        <v>276</v>
      </c>
      <c r="D39" s="55" t="s">
        <v>407</v>
      </c>
      <c r="E39" s="56" t="s">
        <v>463</v>
      </c>
      <c r="F39" s="57">
        <f t="shared" si="6"/>
        <v>2888157.5800849721</v>
      </c>
      <c r="G39" s="57">
        <f t="shared" si="6"/>
        <v>2375791.341411747</v>
      </c>
      <c r="H39" s="57">
        <f t="shared" si="6"/>
        <v>2346146.1263232371</v>
      </c>
      <c r="I39" s="57">
        <f t="shared" si="6"/>
        <v>1945243.6542782935</v>
      </c>
      <c r="J39" s="57">
        <f t="shared" si="6"/>
        <v>1650367.6234198539</v>
      </c>
      <c r="K39" s="57">
        <f t="shared" si="6"/>
        <v>1278642.9595611813</v>
      </c>
      <c r="L39" s="57">
        <f t="shared" si="6"/>
        <v>1240554.0852097617</v>
      </c>
      <c r="M39" s="57">
        <f t="shared" si="6"/>
        <v>1172367.7919252303</v>
      </c>
      <c r="N39" s="57">
        <f t="shared" si="6"/>
        <v>1628103.3237613642</v>
      </c>
      <c r="O39" s="57">
        <f t="shared" si="6"/>
        <v>2327360.1067448459</v>
      </c>
      <c r="P39" s="57">
        <f t="shared" si="6"/>
        <v>2409844.1384750684</v>
      </c>
      <c r="Q39" s="57">
        <f t="shared" si="6"/>
        <v>2949386.0883404701</v>
      </c>
      <c r="R39" s="58"/>
      <c r="S39" s="3" t="str">
        <f t="shared" si="7"/>
        <v>BEV13</v>
      </c>
      <c r="T39" s="50" t="s">
        <v>276</v>
      </c>
      <c r="U39" s="111">
        <v>2888157.5800849721</v>
      </c>
      <c r="V39" s="111">
        <v>2375791.341411747</v>
      </c>
      <c r="W39" s="111">
        <v>2346146.1263232371</v>
      </c>
      <c r="X39" s="111">
        <v>1945243.6542782935</v>
      </c>
      <c r="Y39" s="111">
        <v>1650367.6234198539</v>
      </c>
      <c r="Z39" s="111">
        <v>1278642.9595611813</v>
      </c>
      <c r="AA39" s="111">
        <v>1240554.0852097617</v>
      </c>
      <c r="AB39" s="111">
        <v>1172367.7919252303</v>
      </c>
      <c r="AC39" s="111">
        <v>1628103.3237613642</v>
      </c>
      <c r="AD39" s="111">
        <v>2327360.1067448459</v>
      </c>
      <c r="AE39" s="111">
        <v>2409844.1384750684</v>
      </c>
      <c r="AF39" s="111">
        <v>2949386.0883404701</v>
      </c>
    </row>
    <row r="40" spans="1:32">
      <c r="A40">
        <v>40</v>
      </c>
      <c r="B40" s="4" t="str">
        <f t="shared" si="3"/>
        <v>E5570</v>
      </c>
      <c r="C40" t="s">
        <v>277</v>
      </c>
      <c r="D40" s="55" t="s">
        <v>407</v>
      </c>
      <c r="E40" s="56" t="s">
        <v>464</v>
      </c>
      <c r="F40" s="57">
        <f t="shared" si="6"/>
        <v>3917435.6181482235</v>
      </c>
      <c r="G40" s="57">
        <f t="shared" si="6"/>
        <v>3348328.374171413</v>
      </c>
      <c r="H40" s="57">
        <f t="shared" si="6"/>
        <v>3253711.0110298432</v>
      </c>
      <c r="I40" s="57">
        <f t="shared" si="6"/>
        <v>2789492.142414229</v>
      </c>
      <c r="J40" s="57">
        <f t="shared" si="6"/>
        <v>2374513.8782628616</v>
      </c>
      <c r="K40" s="57">
        <f t="shared" si="6"/>
        <v>1852400.202263494</v>
      </c>
      <c r="L40" s="57">
        <f t="shared" si="6"/>
        <v>1834534.5368784161</v>
      </c>
      <c r="M40" s="57">
        <f t="shared" si="6"/>
        <v>1669252.3987302929</v>
      </c>
      <c r="N40" s="57">
        <f t="shared" si="6"/>
        <v>2202448.8447862891</v>
      </c>
      <c r="O40" s="57">
        <f t="shared" si="6"/>
        <v>3039969.1883985</v>
      </c>
      <c r="P40" s="57">
        <f t="shared" si="6"/>
        <v>3358949.2642216468</v>
      </c>
      <c r="Q40" s="57">
        <f t="shared" si="6"/>
        <v>4025604.5567268385</v>
      </c>
      <c r="R40" s="58"/>
      <c r="S40" s="3" t="str">
        <f t="shared" si="7"/>
        <v>E5570</v>
      </c>
      <c r="T40" s="50" t="s">
        <v>277</v>
      </c>
      <c r="U40" s="111">
        <v>3917435.6181482235</v>
      </c>
      <c r="V40" s="111">
        <v>3348328.374171413</v>
      </c>
      <c r="W40" s="111">
        <v>3253711.0110298432</v>
      </c>
      <c r="X40" s="111">
        <v>2789492.142414229</v>
      </c>
      <c r="Y40" s="111">
        <v>2374513.8782628616</v>
      </c>
      <c r="Z40" s="111">
        <v>1852400.202263494</v>
      </c>
      <c r="AA40" s="111">
        <v>1834534.5368784161</v>
      </c>
      <c r="AB40" s="111">
        <v>1669252.3987302929</v>
      </c>
      <c r="AC40" s="111">
        <v>2202448.8447862891</v>
      </c>
      <c r="AD40" s="111">
        <v>3039969.1883985</v>
      </c>
      <c r="AE40" s="111">
        <v>3358949.2642216468</v>
      </c>
      <c r="AF40" s="111">
        <v>4025604.5567268385</v>
      </c>
    </row>
    <row r="41" spans="1:32">
      <c r="A41">
        <v>41</v>
      </c>
      <c r="B41" s="4" t="str">
        <f t="shared" si="3"/>
        <v>E5560</v>
      </c>
      <c r="C41" t="s">
        <v>264</v>
      </c>
      <c r="D41" s="55" t="s">
        <v>407</v>
      </c>
      <c r="E41" s="56" t="s">
        <v>466</v>
      </c>
      <c r="F41" s="57">
        <f t="shared" si="6"/>
        <v>3917473.295707135</v>
      </c>
      <c r="G41" s="57">
        <f t="shared" si="6"/>
        <v>3140709.3508238574</v>
      </c>
      <c r="H41" s="57">
        <f t="shared" si="6"/>
        <v>2828122.5568972304</v>
      </c>
      <c r="I41" s="57">
        <f t="shared" si="6"/>
        <v>1997393.1375383355</v>
      </c>
      <c r="J41" s="57">
        <f t="shared" si="6"/>
        <v>2007099.1754380921</v>
      </c>
      <c r="K41" s="57">
        <f t="shared" si="6"/>
        <v>1667158.5567875679</v>
      </c>
      <c r="L41" s="57">
        <f t="shared" si="6"/>
        <v>1811686.8608456862</v>
      </c>
      <c r="M41" s="57">
        <f t="shared" si="6"/>
        <v>1645440.5633566242</v>
      </c>
      <c r="N41" s="57">
        <f t="shared" si="6"/>
        <v>1743366.5369608216</v>
      </c>
      <c r="O41" s="57">
        <f t="shared" si="6"/>
        <v>2685209.0730908439</v>
      </c>
      <c r="P41" s="57">
        <f t="shared" si="6"/>
        <v>2944347.8541356227</v>
      </c>
      <c r="Q41" s="57">
        <f t="shared" si="6"/>
        <v>3617063.3195426897</v>
      </c>
      <c r="R41" s="58"/>
      <c r="S41" s="3" t="str">
        <f t="shared" si="7"/>
        <v>E5560</v>
      </c>
      <c r="T41" s="50" t="s">
        <v>264</v>
      </c>
      <c r="U41" s="111">
        <v>3917473.295707135</v>
      </c>
      <c r="V41" s="111">
        <v>3140709.3508238574</v>
      </c>
      <c r="W41" s="111">
        <v>2828122.5568972304</v>
      </c>
      <c r="X41" s="111">
        <v>1997393.1375383355</v>
      </c>
      <c r="Y41" s="111">
        <v>2007099.1754380921</v>
      </c>
      <c r="Z41" s="111">
        <v>1667158.5567875679</v>
      </c>
      <c r="AA41" s="111">
        <v>1811686.8608456862</v>
      </c>
      <c r="AB41" s="111">
        <v>1645440.5633566242</v>
      </c>
      <c r="AC41" s="111">
        <v>1743366.5369608216</v>
      </c>
      <c r="AD41" s="111">
        <v>2685209.0730908439</v>
      </c>
      <c r="AE41" s="111">
        <v>2944347.8541356227</v>
      </c>
      <c r="AF41" s="111">
        <v>3617063.3195426897</v>
      </c>
    </row>
    <row r="42" spans="1:32">
      <c r="A42">
        <v>42</v>
      </c>
      <c r="B42" s="4" t="str">
        <f t="shared" si="3"/>
        <v>E5700</v>
      </c>
      <c r="C42" t="s">
        <v>468</v>
      </c>
      <c r="D42" s="55" t="s">
        <v>407</v>
      </c>
      <c r="E42" s="56" t="s">
        <v>469</v>
      </c>
      <c r="F42" s="57">
        <f t="shared" si="6"/>
        <v>6013001.5640992662</v>
      </c>
      <c r="G42" s="57">
        <f t="shared" si="6"/>
        <v>4977170.6908618612</v>
      </c>
      <c r="H42" s="57">
        <f t="shared" si="6"/>
        <v>4864098.2751881536</v>
      </c>
      <c r="I42" s="57">
        <f t="shared" si="6"/>
        <v>3941622.7795093553</v>
      </c>
      <c r="J42" s="57">
        <f t="shared" si="6"/>
        <v>3780916.1489901766</v>
      </c>
      <c r="K42" s="57">
        <f t="shared" si="6"/>
        <v>3146608.7144311015</v>
      </c>
      <c r="L42" s="57">
        <f t="shared" si="6"/>
        <v>3071371.0034020641</v>
      </c>
      <c r="M42" s="57">
        <f t="shared" si="6"/>
        <v>3044595.7148893042</v>
      </c>
      <c r="N42" s="57">
        <f t="shared" si="6"/>
        <v>3617728.1604034011</v>
      </c>
      <c r="O42" s="57">
        <f t="shared" si="6"/>
        <v>4894524.7394071985</v>
      </c>
      <c r="P42" s="57">
        <f t="shared" si="6"/>
        <v>4962774.1786543131</v>
      </c>
      <c r="Q42" s="57">
        <f t="shared" si="6"/>
        <v>5830442.7787849996</v>
      </c>
      <c r="R42" s="58"/>
      <c r="S42" s="3" t="str">
        <f t="shared" si="7"/>
        <v>E5700</v>
      </c>
      <c r="T42" s="50" t="s">
        <v>468</v>
      </c>
      <c r="U42" s="111">
        <v>6013001.5640992662</v>
      </c>
      <c r="V42" s="111">
        <v>4977170.6908618612</v>
      </c>
      <c r="W42" s="111">
        <v>4864098.2751881536</v>
      </c>
      <c r="X42" s="111">
        <v>3941622.7795093553</v>
      </c>
      <c r="Y42" s="111">
        <v>3780916.1489901766</v>
      </c>
      <c r="Z42" s="111">
        <v>3146608.7144311015</v>
      </c>
      <c r="AA42" s="111">
        <v>3071371.0034020641</v>
      </c>
      <c r="AB42" s="111">
        <v>3044595.7148893042</v>
      </c>
      <c r="AC42" s="111">
        <v>3617728.1604034011</v>
      </c>
      <c r="AD42" s="111">
        <v>4894524.7394071985</v>
      </c>
      <c r="AE42" s="111">
        <v>4962774.1786543131</v>
      </c>
      <c r="AF42" s="111">
        <v>5830442.7787849996</v>
      </c>
    </row>
    <row r="43" spans="1:32">
      <c r="A43">
        <v>43</v>
      </c>
      <c r="B43" s="4" t="str">
        <f t="shared" si="3"/>
        <v>E5600</v>
      </c>
      <c r="C43" t="s">
        <v>471</v>
      </c>
      <c r="D43" s="55" t="s">
        <v>407</v>
      </c>
      <c r="E43" s="56" t="s">
        <v>472</v>
      </c>
      <c r="F43" s="57">
        <f t="shared" si="6"/>
        <v>8819434.337221453</v>
      </c>
      <c r="G43" s="57">
        <f t="shared" si="6"/>
        <v>7222650.4756442215</v>
      </c>
      <c r="H43" s="57">
        <f t="shared" si="6"/>
        <v>6928297.7629543794</v>
      </c>
      <c r="I43" s="57">
        <f t="shared" si="6"/>
        <v>5535210.6775090145</v>
      </c>
      <c r="J43" s="57">
        <f t="shared" si="6"/>
        <v>5235557.6146691237</v>
      </c>
      <c r="K43" s="57">
        <f t="shared" si="6"/>
        <v>4312773.9835340222</v>
      </c>
      <c r="L43" s="57">
        <f t="shared" si="6"/>
        <v>4199891.8680300796</v>
      </c>
      <c r="M43" s="57">
        <f t="shared" si="6"/>
        <v>4168949.3061797046</v>
      </c>
      <c r="N43" s="57">
        <f t="shared" si="6"/>
        <v>5086044.4571003364</v>
      </c>
      <c r="O43" s="57">
        <f t="shared" si="6"/>
        <v>7097571.777782904</v>
      </c>
      <c r="P43" s="57">
        <f t="shared" si="6"/>
        <v>7284316.7828651601</v>
      </c>
      <c r="Q43" s="57">
        <f t="shared" si="6"/>
        <v>8555512.4861447196</v>
      </c>
      <c r="R43" s="58"/>
      <c r="S43" s="3" t="str">
        <f t="shared" si="7"/>
        <v>E5600</v>
      </c>
      <c r="T43" s="50" t="s">
        <v>471</v>
      </c>
      <c r="U43" s="111">
        <v>8819434.337221453</v>
      </c>
      <c r="V43" s="111">
        <v>7222650.4756442215</v>
      </c>
      <c r="W43" s="111">
        <v>6928297.7629543794</v>
      </c>
      <c r="X43" s="111">
        <v>5535210.6775090145</v>
      </c>
      <c r="Y43" s="111">
        <v>5235557.6146691237</v>
      </c>
      <c r="Z43" s="111">
        <v>4312773.9835340222</v>
      </c>
      <c r="AA43" s="111">
        <v>4199891.8680300796</v>
      </c>
      <c r="AB43" s="111">
        <v>4168949.3061797046</v>
      </c>
      <c r="AC43" s="111">
        <v>5086044.4571003364</v>
      </c>
      <c r="AD43" s="111">
        <v>7097571.777782904</v>
      </c>
      <c r="AE43" s="111">
        <v>7284316.7828651601</v>
      </c>
      <c r="AF43" s="111">
        <v>8555512.4861447196</v>
      </c>
    </row>
    <row r="44" spans="1:32">
      <c r="A44">
        <v>44</v>
      </c>
      <c r="B44" s="4" t="str">
        <f t="shared" si="3"/>
        <v>E5770</v>
      </c>
      <c r="C44" t="s">
        <v>474</v>
      </c>
      <c r="D44" s="55" t="s">
        <v>407</v>
      </c>
      <c r="E44" s="56" t="s">
        <v>475</v>
      </c>
      <c r="F44" s="57">
        <f t="shared" si="6"/>
        <v>2915344.5743065053</v>
      </c>
      <c r="G44" s="57">
        <f t="shared" si="6"/>
        <v>2618482.848174287</v>
      </c>
      <c r="H44" s="57">
        <f t="shared" si="6"/>
        <v>2611752.8287644805</v>
      </c>
      <c r="I44" s="57">
        <f t="shared" si="6"/>
        <v>2304139.7588389073</v>
      </c>
      <c r="J44" s="57">
        <f t="shared" si="6"/>
        <v>1931130.2977220987</v>
      </c>
      <c r="K44" s="57">
        <f t="shared" si="6"/>
        <v>1648011.0089807843</v>
      </c>
      <c r="L44" s="57">
        <f t="shared" si="6"/>
        <v>1504921.5836782181</v>
      </c>
      <c r="M44" s="57">
        <f t="shared" si="6"/>
        <v>1428859.7208642331</v>
      </c>
      <c r="N44" s="57">
        <f t="shared" si="6"/>
        <v>1823782.4439040925</v>
      </c>
      <c r="O44" s="57">
        <f t="shared" si="6"/>
        <v>2412418.2917347266</v>
      </c>
      <c r="P44" s="57">
        <f t="shared" si="6"/>
        <v>2575094.2812658115</v>
      </c>
      <c r="Q44" s="57">
        <f t="shared" si="6"/>
        <v>2994684.9656900591</v>
      </c>
      <c r="R44" s="58"/>
      <c r="S44" s="3" t="str">
        <f t="shared" si="7"/>
        <v>E5770</v>
      </c>
      <c r="T44" s="50" t="s">
        <v>474</v>
      </c>
      <c r="U44" s="111">
        <v>2915344.5743065053</v>
      </c>
      <c r="V44" s="111">
        <v>2618482.848174287</v>
      </c>
      <c r="W44" s="111">
        <v>2611752.8287644805</v>
      </c>
      <c r="X44" s="111">
        <v>2304139.7588389073</v>
      </c>
      <c r="Y44" s="111">
        <v>1931130.2977220987</v>
      </c>
      <c r="Z44" s="111">
        <v>1648011.0089807843</v>
      </c>
      <c r="AA44" s="111">
        <v>1504921.5836782181</v>
      </c>
      <c r="AB44" s="111">
        <v>1428859.7208642331</v>
      </c>
      <c r="AC44" s="111">
        <v>1823782.4439040925</v>
      </c>
      <c r="AD44" s="111">
        <v>2412418.2917347266</v>
      </c>
      <c r="AE44" s="111">
        <v>2575094.2812658115</v>
      </c>
      <c r="AF44" s="111">
        <v>2994684.9656900591</v>
      </c>
    </row>
    <row r="45" spans="1:32">
      <c r="A45">
        <v>45</v>
      </c>
      <c r="B45" s="4" t="str">
        <f t="shared" si="3"/>
        <v>E5630</v>
      </c>
      <c r="C45" t="s">
        <v>467</v>
      </c>
      <c r="D45" s="55" t="s">
        <v>407</v>
      </c>
      <c r="E45" s="492" t="s">
        <v>477</v>
      </c>
      <c r="F45" s="57">
        <f t="shared" ref="F45:Q54" si="8">VLOOKUP($C45,$T:$AF,F$2,FALSE)</f>
        <v>7895548.7797735604</v>
      </c>
      <c r="G45" s="57">
        <f t="shared" si="8"/>
        <v>6409838.6924088253</v>
      </c>
      <c r="H45" s="57">
        <f t="shared" si="8"/>
        <v>6134961.2993348977</v>
      </c>
      <c r="I45" s="57">
        <f t="shared" si="8"/>
        <v>4866475.9078029953</v>
      </c>
      <c r="J45" s="57">
        <f t="shared" si="8"/>
        <v>4522775.8287416399</v>
      </c>
      <c r="K45" s="57">
        <f t="shared" si="8"/>
        <v>3644117.7108725547</v>
      </c>
      <c r="L45" s="57">
        <f t="shared" si="8"/>
        <v>3517689.4893341279</v>
      </c>
      <c r="M45" s="57">
        <f t="shared" si="8"/>
        <v>3517689.4893341279</v>
      </c>
      <c r="N45" s="57">
        <f t="shared" si="8"/>
        <v>4465007.1275027432</v>
      </c>
      <c r="O45" s="57">
        <f t="shared" si="8"/>
        <v>6398037.589515388</v>
      </c>
      <c r="P45" s="57">
        <f t="shared" si="8"/>
        <v>6557214.3484170604</v>
      </c>
      <c r="Q45" s="57">
        <f t="shared" si="8"/>
        <v>7640904.4219706487</v>
      </c>
      <c r="R45" s="58"/>
      <c r="S45" s="3" t="str">
        <f t="shared" si="7"/>
        <v>E5630</v>
      </c>
      <c r="T45" s="50" t="s">
        <v>467</v>
      </c>
      <c r="U45" s="111">
        <v>7895548.7797735604</v>
      </c>
      <c r="V45" s="111">
        <v>6409838.6924088253</v>
      </c>
      <c r="W45" s="111">
        <v>6134961.2993348977</v>
      </c>
      <c r="X45" s="111">
        <v>4866475.9078029953</v>
      </c>
      <c r="Y45" s="111">
        <v>4522775.8287416399</v>
      </c>
      <c r="Z45" s="111">
        <v>3644117.7108725547</v>
      </c>
      <c r="AA45" s="111">
        <v>3517689.4893341279</v>
      </c>
      <c r="AB45" s="111">
        <v>3517689.4893341279</v>
      </c>
      <c r="AC45" s="111">
        <v>4465007.1275027432</v>
      </c>
      <c r="AD45" s="111">
        <v>6398037.589515388</v>
      </c>
      <c r="AE45" s="111">
        <v>6557214.3484170604</v>
      </c>
      <c r="AF45" s="111">
        <v>7640904.4219706487</v>
      </c>
    </row>
    <row r="46" spans="1:32">
      <c r="A46">
        <v>46</v>
      </c>
      <c r="B46" s="4" t="str">
        <f t="shared" si="3"/>
        <v>E5690</v>
      </c>
      <c r="C46" t="s">
        <v>473</v>
      </c>
      <c r="D46" s="55" t="s">
        <v>407</v>
      </c>
      <c r="E46" s="492" t="s">
        <v>478</v>
      </c>
      <c r="F46" s="57">
        <f t="shared" si="8"/>
        <v>3221106.5958923837</v>
      </c>
      <c r="G46" s="57">
        <f t="shared" si="8"/>
        <v>2711826.6934335493</v>
      </c>
      <c r="H46" s="57">
        <f t="shared" si="8"/>
        <v>2700411.3571018744</v>
      </c>
      <c r="I46" s="57">
        <f t="shared" si="8"/>
        <v>2247618.4292791616</v>
      </c>
      <c r="J46" s="57">
        <f t="shared" si="8"/>
        <v>2154097.6563782534</v>
      </c>
      <c r="K46" s="57">
        <f t="shared" si="8"/>
        <v>1804460.3579362095</v>
      </c>
      <c r="L46" s="57">
        <f t="shared" si="8"/>
        <v>1781989.4967997957</v>
      </c>
      <c r="M46" s="57">
        <f t="shared" si="8"/>
        <v>1762775.6503499614</v>
      </c>
      <c r="N46" s="57">
        <f t="shared" si="8"/>
        <v>2062917.5827613997</v>
      </c>
      <c r="O46" s="57">
        <f t="shared" si="8"/>
        <v>2713220.5880684303</v>
      </c>
      <c r="P46" s="57">
        <f t="shared" si="8"/>
        <v>2718047.7665509102</v>
      </c>
      <c r="Q46" s="57">
        <f t="shared" si="8"/>
        <v>3142329.8254480627</v>
      </c>
      <c r="R46" s="58"/>
      <c r="S46" s="3" t="str">
        <f t="shared" si="7"/>
        <v>E5690</v>
      </c>
      <c r="T46" s="50" t="s">
        <v>473</v>
      </c>
      <c r="U46" s="111">
        <v>3221106.5958923837</v>
      </c>
      <c r="V46" s="111">
        <v>2711826.6934335493</v>
      </c>
      <c r="W46" s="111">
        <v>2700411.3571018744</v>
      </c>
      <c r="X46" s="111">
        <v>2247618.4292791616</v>
      </c>
      <c r="Y46" s="111">
        <v>2154097.6563782534</v>
      </c>
      <c r="Z46" s="111">
        <v>1804460.3579362095</v>
      </c>
      <c r="AA46" s="111">
        <v>1781989.4967997957</v>
      </c>
      <c r="AB46" s="111">
        <v>1762775.6503499614</v>
      </c>
      <c r="AC46" s="111">
        <v>2062917.5827613997</v>
      </c>
      <c r="AD46" s="111">
        <v>2713220.5880684303</v>
      </c>
      <c r="AE46" s="111">
        <v>2718047.7665509102</v>
      </c>
      <c r="AF46" s="111">
        <v>3142329.8254480627</v>
      </c>
    </row>
    <row r="47" spans="1:32">
      <c r="A47">
        <v>47</v>
      </c>
      <c r="B47" s="4" t="str">
        <f t="shared" si="3"/>
        <v>E5640</v>
      </c>
      <c r="C47" t="s">
        <v>470</v>
      </c>
      <c r="D47" s="55" t="s">
        <v>407</v>
      </c>
      <c r="E47" s="492" t="s">
        <v>479</v>
      </c>
      <c r="F47" s="57">
        <f t="shared" si="8"/>
        <v>6797573.2965344666</v>
      </c>
      <c r="G47" s="57">
        <f t="shared" si="8"/>
        <v>5612442.5356217874</v>
      </c>
      <c r="H47" s="57">
        <f t="shared" si="8"/>
        <v>5421629.0256158914</v>
      </c>
      <c r="I47" s="57">
        <f t="shared" si="8"/>
        <v>4382730.7234479124</v>
      </c>
      <c r="J47" s="57">
        <f t="shared" si="8"/>
        <v>4227483.7262394987</v>
      </c>
      <c r="K47" s="57">
        <f t="shared" si="8"/>
        <v>3612716.0781841814</v>
      </c>
      <c r="L47" s="57">
        <f t="shared" si="8"/>
        <v>3606129.7070645029</v>
      </c>
      <c r="M47" s="57">
        <f t="shared" si="8"/>
        <v>3576244.9446192123</v>
      </c>
      <c r="N47" s="57">
        <f t="shared" si="8"/>
        <v>4123649.1135391435</v>
      </c>
      <c r="O47" s="57">
        <f t="shared" si="8"/>
        <v>5527470.892609627</v>
      </c>
      <c r="P47" s="57">
        <f t="shared" si="8"/>
        <v>5663678.4040666055</v>
      </c>
      <c r="Q47" s="57">
        <f t="shared" si="8"/>
        <v>6609548.3328161826</v>
      </c>
      <c r="R47" s="58"/>
      <c r="S47" s="3" t="str">
        <f t="shared" si="7"/>
        <v>E5640</v>
      </c>
      <c r="T47" s="50" t="s">
        <v>470</v>
      </c>
      <c r="U47" s="111">
        <v>6797573.2965344666</v>
      </c>
      <c r="V47" s="111">
        <v>5612442.5356217874</v>
      </c>
      <c r="W47" s="111">
        <v>5421629.0256158914</v>
      </c>
      <c r="X47" s="111">
        <v>4382730.7234479124</v>
      </c>
      <c r="Y47" s="111">
        <v>4227483.7262394987</v>
      </c>
      <c r="Z47" s="111">
        <v>3612716.0781841814</v>
      </c>
      <c r="AA47" s="111">
        <v>3606129.7070645029</v>
      </c>
      <c r="AB47" s="111">
        <v>3576244.9446192123</v>
      </c>
      <c r="AC47" s="111">
        <v>4123649.1135391435</v>
      </c>
      <c r="AD47" s="111">
        <v>5527470.892609627</v>
      </c>
      <c r="AE47" s="111">
        <v>5663678.4040666055</v>
      </c>
      <c r="AF47" s="111">
        <v>6609548.3328161826</v>
      </c>
    </row>
    <row r="48" spans="1:32">
      <c r="A48">
        <v>48</v>
      </c>
      <c r="B48" s="4" t="str">
        <f t="shared" si="3"/>
        <v>E5620</v>
      </c>
      <c r="C48" s="102" t="s">
        <v>465</v>
      </c>
      <c r="D48" s="55" t="s">
        <v>407</v>
      </c>
      <c r="E48" s="492" t="s">
        <v>480</v>
      </c>
      <c r="F48" s="57">
        <f t="shared" si="8"/>
        <v>8874750.5252606366</v>
      </c>
      <c r="G48" s="57">
        <f t="shared" si="8"/>
        <v>7213936.7498536594</v>
      </c>
      <c r="H48" s="57">
        <f t="shared" si="8"/>
        <v>6920148.7093920596</v>
      </c>
      <c r="I48" s="57">
        <f t="shared" si="8"/>
        <v>5541886.1797163757</v>
      </c>
      <c r="J48" s="57">
        <f t="shared" si="8"/>
        <v>5220939.1168512581</v>
      </c>
      <c r="K48" s="57">
        <f t="shared" si="8"/>
        <v>4345661.9594843425</v>
      </c>
      <c r="L48" s="57">
        <f t="shared" si="8"/>
        <v>4265772.2016053768</v>
      </c>
      <c r="M48" s="57">
        <f t="shared" si="8"/>
        <v>4281095.7350050444</v>
      </c>
      <c r="N48" s="57">
        <f t="shared" si="8"/>
        <v>5218938.594088994</v>
      </c>
      <c r="O48" s="57">
        <f t="shared" si="8"/>
        <v>7291318.7406284278</v>
      </c>
      <c r="P48" s="57">
        <f t="shared" si="8"/>
        <v>7469685.5429002326</v>
      </c>
      <c r="Q48" s="57">
        <f t="shared" si="8"/>
        <v>8617655.6871106755</v>
      </c>
      <c r="R48" s="58"/>
      <c r="S48" s="3" t="str">
        <f t="shared" si="7"/>
        <v>E5620</v>
      </c>
      <c r="T48" s="50" t="s">
        <v>465</v>
      </c>
      <c r="U48" s="111">
        <v>8874750.5252606366</v>
      </c>
      <c r="V48" s="111">
        <v>7213936.7498536594</v>
      </c>
      <c r="W48" s="111">
        <v>6920148.7093920596</v>
      </c>
      <c r="X48" s="111">
        <v>5541886.1797163757</v>
      </c>
      <c r="Y48" s="111">
        <v>5220939.1168512581</v>
      </c>
      <c r="Z48" s="111">
        <v>4345661.9594843425</v>
      </c>
      <c r="AA48" s="111">
        <v>4265772.2016053768</v>
      </c>
      <c r="AB48" s="111">
        <v>4281095.7350050444</v>
      </c>
      <c r="AC48" s="111">
        <v>5218938.594088994</v>
      </c>
      <c r="AD48" s="111">
        <v>7291318.7406284278</v>
      </c>
      <c r="AE48" s="111">
        <v>7469685.5429002326</v>
      </c>
      <c r="AF48" s="111">
        <v>8617655.6871106755</v>
      </c>
    </row>
    <row r="49" spans="1:32">
      <c r="A49">
        <v>49</v>
      </c>
      <c r="B49" s="4" t="str">
        <f t="shared" si="3"/>
        <v>E5810</v>
      </c>
      <c r="C49" s="102" t="s">
        <v>481</v>
      </c>
      <c r="D49" s="55" t="s">
        <v>407</v>
      </c>
      <c r="E49" s="492" t="s">
        <v>482</v>
      </c>
      <c r="F49" s="57">
        <f t="shared" si="8"/>
        <v>5970350.5270810211</v>
      </c>
      <c r="G49" s="57">
        <f t="shared" si="8"/>
        <v>4863016.7675366551</v>
      </c>
      <c r="H49" s="57">
        <f t="shared" si="8"/>
        <v>4840523.6761614671</v>
      </c>
      <c r="I49" s="57">
        <f t="shared" si="8"/>
        <v>3893653.4648236129</v>
      </c>
      <c r="J49" s="57">
        <f t="shared" si="8"/>
        <v>3333148.7004957288</v>
      </c>
      <c r="K49" s="57">
        <f t="shared" si="8"/>
        <v>2548058.8603779543</v>
      </c>
      <c r="L49" s="57">
        <f t="shared" si="8"/>
        <v>2518884.4613043312</v>
      </c>
      <c r="M49" s="57">
        <f t="shared" si="8"/>
        <v>2369555.7253972571</v>
      </c>
      <c r="N49" s="57">
        <f t="shared" si="8"/>
        <v>3349689.6885583475</v>
      </c>
      <c r="O49" s="57">
        <f t="shared" si="8"/>
        <v>4874333.9559894847</v>
      </c>
      <c r="P49" s="57">
        <f t="shared" si="8"/>
        <v>4931138.2611591211</v>
      </c>
      <c r="Q49" s="57">
        <f t="shared" si="8"/>
        <v>6123905.5479665957</v>
      </c>
      <c r="R49" s="58"/>
      <c r="S49" s="3" t="str">
        <f t="shared" si="7"/>
        <v>E5810</v>
      </c>
      <c r="T49" s="50" t="s">
        <v>481</v>
      </c>
      <c r="U49" s="111">
        <v>5970350.5270810211</v>
      </c>
      <c r="V49" s="111">
        <v>4863016.7675366551</v>
      </c>
      <c r="W49" s="111">
        <v>4840523.6761614671</v>
      </c>
      <c r="X49" s="111">
        <v>3893653.4648236129</v>
      </c>
      <c r="Y49" s="111">
        <v>3333148.7004957288</v>
      </c>
      <c r="Z49" s="111">
        <v>2548058.8603779543</v>
      </c>
      <c r="AA49" s="111">
        <v>2518884.4613043312</v>
      </c>
      <c r="AB49" s="111">
        <v>2369555.7253972571</v>
      </c>
      <c r="AC49" s="111">
        <v>3349689.6885583475</v>
      </c>
      <c r="AD49" s="111">
        <v>4874333.9559894847</v>
      </c>
      <c r="AE49" s="111">
        <v>4931138.2611591211</v>
      </c>
      <c r="AF49" s="111">
        <v>6123905.5479665957</v>
      </c>
    </row>
    <row r="50" spans="1:32">
      <c r="A50">
        <v>50</v>
      </c>
      <c r="B50" s="4" t="s">
        <v>817</v>
      </c>
      <c r="C50" s="102" t="s">
        <v>817</v>
      </c>
      <c r="D50" s="55" t="s">
        <v>407</v>
      </c>
      <c r="E50" s="492" t="s">
        <v>818</v>
      </c>
      <c r="F50" s="57">
        <f t="shared" si="8"/>
        <v>5139437.0590742342</v>
      </c>
      <c r="G50" s="57">
        <f t="shared" si="8"/>
        <v>4288577.391174118</v>
      </c>
      <c r="H50" s="57">
        <f t="shared" si="8"/>
        <v>4224949.6052256105</v>
      </c>
      <c r="I50" s="57">
        <f t="shared" si="8"/>
        <v>3464359.6906659938</v>
      </c>
      <c r="J50" s="57">
        <f t="shared" si="8"/>
        <v>3359168.5483754468</v>
      </c>
      <c r="K50" s="57">
        <f t="shared" si="8"/>
        <v>2815047.946611484</v>
      </c>
      <c r="L50" s="57">
        <f t="shared" si="8"/>
        <v>2795565.9545361325</v>
      </c>
      <c r="M50" s="57">
        <f t="shared" si="8"/>
        <v>2775685.7924959445</v>
      </c>
      <c r="N50" s="57">
        <f t="shared" si="8"/>
        <v>3220026.0862365942</v>
      </c>
      <c r="O50" s="57">
        <f t="shared" si="8"/>
        <v>4248805.7996738357</v>
      </c>
      <c r="P50" s="57">
        <f t="shared" si="8"/>
        <v>4285859.289810515</v>
      </c>
      <c r="Q50" s="57">
        <f t="shared" si="8"/>
        <v>4993317.8680788558</v>
      </c>
      <c r="R50" s="58"/>
      <c r="S50" s="3" t="str">
        <f t="shared" si="7"/>
        <v>E5660</v>
      </c>
      <c r="T50" s="50" t="s">
        <v>817</v>
      </c>
      <c r="U50" s="111">
        <v>5139437.0590742342</v>
      </c>
      <c r="V50" s="111">
        <v>4288577.391174118</v>
      </c>
      <c r="W50" s="111">
        <v>4224949.6052256105</v>
      </c>
      <c r="X50" s="111">
        <v>3464359.6906659938</v>
      </c>
      <c r="Y50" s="111">
        <v>3359168.5483754468</v>
      </c>
      <c r="Z50" s="111">
        <v>2815047.946611484</v>
      </c>
      <c r="AA50" s="111">
        <v>2795565.9545361325</v>
      </c>
      <c r="AB50" s="111">
        <v>2775685.7924959445</v>
      </c>
      <c r="AC50" s="111">
        <v>3220026.0862365942</v>
      </c>
      <c r="AD50" s="111">
        <v>4248805.7996738357</v>
      </c>
      <c r="AE50" s="111">
        <v>4285859.289810515</v>
      </c>
      <c r="AF50" s="111">
        <v>4993317.8680788558</v>
      </c>
    </row>
    <row r="51" spans="1:32">
      <c r="A51">
        <v>51</v>
      </c>
      <c r="B51" s="4" t="s">
        <v>820</v>
      </c>
      <c r="C51" s="102" t="s">
        <v>820</v>
      </c>
      <c r="D51" s="55" t="s">
        <v>407</v>
      </c>
      <c r="E51" s="492" t="s">
        <v>819</v>
      </c>
      <c r="F51" s="57">
        <f t="shared" si="8"/>
        <v>3764640.0020414367</v>
      </c>
      <c r="G51" s="57">
        <f t="shared" si="8"/>
        <v>3121144.8122203145</v>
      </c>
      <c r="H51" s="57">
        <f t="shared" si="8"/>
        <v>3075963.6255291882</v>
      </c>
      <c r="I51" s="57">
        <f t="shared" si="8"/>
        <v>2554388.7015257995</v>
      </c>
      <c r="J51" s="57">
        <f t="shared" si="8"/>
        <v>2429995.8615138242</v>
      </c>
      <c r="K51" s="57">
        <f t="shared" si="8"/>
        <v>2061646.6954503634</v>
      </c>
      <c r="L51" s="57">
        <f t="shared" si="8"/>
        <v>2025598.6869339577</v>
      </c>
      <c r="M51" s="57">
        <f t="shared" si="8"/>
        <v>2028935.2972852772</v>
      </c>
      <c r="N51" s="57">
        <f t="shared" si="8"/>
        <v>2392294.0180068817</v>
      </c>
      <c r="O51" s="57">
        <f t="shared" si="8"/>
        <v>3191410.3436848265</v>
      </c>
      <c r="P51" s="57">
        <f t="shared" si="8"/>
        <v>3219558.1199500444</v>
      </c>
      <c r="Q51" s="57">
        <f t="shared" si="8"/>
        <v>3669212.9459937117</v>
      </c>
      <c r="R51" s="58"/>
      <c r="S51" s="3" t="str">
        <f t="shared" si="7"/>
        <v>E5590</v>
      </c>
      <c r="T51" s="50" t="s">
        <v>820</v>
      </c>
      <c r="U51" s="111">
        <v>3764640.0020414367</v>
      </c>
      <c r="V51" s="111">
        <v>3121144.8122203145</v>
      </c>
      <c r="W51" s="111">
        <v>3075963.6255291882</v>
      </c>
      <c r="X51" s="111">
        <v>2554388.7015257995</v>
      </c>
      <c r="Y51" s="111">
        <v>2429995.8615138242</v>
      </c>
      <c r="Z51" s="111">
        <v>2061646.6954503634</v>
      </c>
      <c r="AA51" s="111">
        <v>2025598.6869339577</v>
      </c>
      <c r="AB51" s="111">
        <v>2028935.2972852772</v>
      </c>
      <c r="AC51" s="111">
        <v>2392294.0180068817</v>
      </c>
      <c r="AD51" s="111">
        <v>3191410.3436848265</v>
      </c>
      <c r="AE51" s="111">
        <v>3219558.1199500444</v>
      </c>
      <c r="AF51" s="111">
        <v>3669212.9459937117</v>
      </c>
    </row>
    <row r="52" spans="1:32">
      <c r="A52">
        <v>52</v>
      </c>
      <c r="B52" s="4" t="s">
        <v>822</v>
      </c>
      <c r="C52" s="102" t="s">
        <v>822</v>
      </c>
      <c r="D52" s="55" t="s">
        <v>407</v>
      </c>
      <c r="E52" s="492" t="s">
        <v>821</v>
      </c>
      <c r="F52" s="57">
        <f t="shared" si="8"/>
        <v>6921661.7280365238</v>
      </c>
      <c r="G52" s="57">
        <f t="shared" si="8"/>
        <v>5682893.8473297302</v>
      </c>
      <c r="H52" s="57">
        <f t="shared" si="8"/>
        <v>5466827.2743051546</v>
      </c>
      <c r="I52" s="57">
        <f t="shared" si="8"/>
        <v>4420020.2741387608</v>
      </c>
      <c r="J52" s="57">
        <f t="shared" si="8"/>
        <v>4204642.1317984862</v>
      </c>
      <c r="K52" s="57">
        <f t="shared" si="8"/>
        <v>3526418.9083912559</v>
      </c>
      <c r="L52" s="57">
        <f t="shared" si="8"/>
        <v>3469917.5172656579</v>
      </c>
      <c r="M52" s="57">
        <f t="shared" si="8"/>
        <v>3456631.3578708507</v>
      </c>
      <c r="N52" s="57">
        <f t="shared" si="8"/>
        <v>4123010.3237967831</v>
      </c>
      <c r="O52" s="57">
        <f t="shared" si="8"/>
        <v>5646190.4261350483</v>
      </c>
      <c r="P52" s="57">
        <f t="shared" si="8"/>
        <v>5797066.4075424699</v>
      </c>
      <c r="Q52" s="57">
        <f t="shared" si="8"/>
        <v>6723697.9530538982</v>
      </c>
      <c r="R52" s="58"/>
      <c r="S52" s="3" t="str">
        <f t="shared" si="7"/>
        <v>E5650</v>
      </c>
      <c r="T52" s="50" t="s">
        <v>822</v>
      </c>
      <c r="U52" s="111">
        <v>6921661.7280365238</v>
      </c>
      <c r="V52" s="111">
        <v>5682893.8473297302</v>
      </c>
      <c r="W52" s="111">
        <v>5466827.2743051546</v>
      </c>
      <c r="X52" s="111">
        <v>4420020.2741387608</v>
      </c>
      <c r="Y52" s="111">
        <v>4204642.1317984862</v>
      </c>
      <c r="Z52" s="111">
        <v>3526418.9083912559</v>
      </c>
      <c r="AA52" s="111">
        <v>3469917.5172656579</v>
      </c>
      <c r="AB52" s="111">
        <v>3456631.3578708507</v>
      </c>
      <c r="AC52" s="111">
        <v>4123010.3237967831</v>
      </c>
      <c r="AD52" s="111">
        <v>5646190.4261350483</v>
      </c>
      <c r="AE52" s="111">
        <v>5797066.4075424699</v>
      </c>
      <c r="AF52" s="111">
        <v>6723697.9530538982</v>
      </c>
    </row>
    <row r="53" spans="1:32">
      <c r="A53">
        <v>53</v>
      </c>
      <c r="B53" s="4" t="s">
        <v>824</v>
      </c>
      <c r="C53" s="102" t="s">
        <v>824</v>
      </c>
      <c r="D53" s="55" t="s">
        <v>407</v>
      </c>
      <c r="E53" s="492" t="s">
        <v>823</v>
      </c>
      <c r="F53" s="57">
        <f t="shared" si="8"/>
        <v>5446283.5731436796</v>
      </c>
      <c r="G53" s="57">
        <f t="shared" si="8"/>
        <v>4439874.4407348521</v>
      </c>
      <c r="H53" s="57">
        <f t="shared" si="8"/>
        <v>4279039.118457743</v>
      </c>
      <c r="I53" s="57">
        <f t="shared" si="8"/>
        <v>3415653.0513870381</v>
      </c>
      <c r="J53" s="57">
        <f t="shared" si="8"/>
        <v>3160037.6301449146</v>
      </c>
      <c r="K53" s="57">
        <f t="shared" si="8"/>
        <v>2543408.0732170707</v>
      </c>
      <c r="L53" s="57">
        <f t="shared" si="8"/>
        <v>2436393.1345482911</v>
      </c>
      <c r="M53" s="57">
        <f t="shared" si="8"/>
        <v>2441099.7654139595</v>
      </c>
      <c r="N53" s="57">
        <f t="shared" si="8"/>
        <v>3112758.5811609132</v>
      </c>
      <c r="O53" s="57">
        <f t="shared" si="8"/>
        <v>4467304.3530845074</v>
      </c>
      <c r="P53" s="57">
        <f t="shared" si="8"/>
        <v>4537273.5520364083</v>
      </c>
      <c r="Q53" s="57">
        <f t="shared" si="8"/>
        <v>5279198.177412427</v>
      </c>
      <c r="R53" s="58"/>
      <c r="S53" s="3" t="str">
        <f t="shared" si="7"/>
        <v>E5720</v>
      </c>
      <c r="T53" s="50" t="s">
        <v>824</v>
      </c>
      <c r="U53" s="111">
        <v>5446283.5731436796</v>
      </c>
      <c r="V53" s="111">
        <v>4439874.4407348521</v>
      </c>
      <c r="W53" s="111">
        <v>4279039.118457743</v>
      </c>
      <c r="X53" s="111">
        <v>3415653.0513870381</v>
      </c>
      <c r="Y53" s="111">
        <v>3160037.6301449146</v>
      </c>
      <c r="Z53" s="111">
        <v>2543408.0732170707</v>
      </c>
      <c r="AA53" s="111">
        <v>2436393.1345482911</v>
      </c>
      <c r="AB53" s="111">
        <v>2441099.7654139595</v>
      </c>
      <c r="AC53" s="111">
        <v>3112758.5811609132</v>
      </c>
      <c r="AD53" s="111">
        <v>4467304.3530845074</v>
      </c>
      <c r="AE53" s="111">
        <v>4537273.5520364083</v>
      </c>
      <c r="AF53" s="111">
        <v>5279198.177412427</v>
      </c>
    </row>
    <row r="54" spans="1:32">
      <c r="A54">
        <v>54</v>
      </c>
      <c r="B54" s="4" t="s">
        <v>826</v>
      </c>
      <c r="C54" s="102" t="s">
        <v>826</v>
      </c>
      <c r="D54" s="55" t="s">
        <v>407</v>
      </c>
      <c r="E54" s="492" t="s">
        <v>825</v>
      </c>
      <c r="F54" s="57">
        <f t="shared" si="8"/>
        <v>6207006.7478122488</v>
      </c>
      <c r="G54" s="57">
        <f t="shared" si="8"/>
        <v>5524969.2154408563</v>
      </c>
      <c r="H54" s="57">
        <f t="shared" si="8"/>
        <v>5542294.9063444948</v>
      </c>
      <c r="I54" s="57">
        <f t="shared" si="8"/>
        <v>4794381.2140466133</v>
      </c>
      <c r="J54" s="57">
        <f t="shared" si="8"/>
        <v>4121614.1739871455</v>
      </c>
      <c r="K54" s="57">
        <f t="shared" si="8"/>
        <v>3360653.3766544405</v>
      </c>
      <c r="L54" s="57">
        <f t="shared" si="8"/>
        <v>3301427.3594303261</v>
      </c>
      <c r="M54" s="57">
        <f t="shared" si="8"/>
        <v>2931892.6407838464</v>
      </c>
      <c r="N54" s="57">
        <f t="shared" si="8"/>
        <v>3708455.034546535</v>
      </c>
      <c r="O54" s="57">
        <f t="shared" si="8"/>
        <v>4751400.4780218471</v>
      </c>
      <c r="P54" s="57">
        <f t="shared" si="8"/>
        <v>5833425.038407634</v>
      </c>
      <c r="Q54" s="57">
        <f t="shared" si="8"/>
        <v>6142788.8241450265</v>
      </c>
      <c r="R54" s="58"/>
      <c r="S54" s="3" t="str">
        <f t="shared" si="7"/>
        <v>E5710</v>
      </c>
      <c r="T54" s="50" t="s">
        <v>826</v>
      </c>
      <c r="U54" s="111">
        <v>6207006.7478122488</v>
      </c>
      <c r="V54" s="111">
        <v>5524969.2154408563</v>
      </c>
      <c r="W54" s="111">
        <v>5542294.9063444948</v>
      </c>
      <c r="X54" s="111">
        <v>4794381.2140466133</v>
      </c>
      <c r="Y54" s="111">
        <v>4121614.1739871455</v>
      </c>
      <c r="Z54" s="111">
        <v>3360653.3766544405</v>
      </c>
      <c r="AA54" s="111">
        <v>3301427.3594303261</v>
      </c>
      <c r="AB54" s="111">
        <v>2931892.6407838464</v>
      </c>
      <c r="AC54" s="111">
        <v>3708455.034546535</v>
      </c>
      <c r="AD54" s="111">
        <v>4751400.4780218471</v>
      </c>
      <c r="AE54" s="111">
        <v>5833425.038407634</v>
      </c>
      <c r="AF54" s="111">
        <v>6142788.8241450265</v>
      </c>
    </row>
    <row r="55" spans="1:32">
      <c r="A55">
        <v>55</v>
      </c>
      <c r="B55" s="4" t="str">
        <f t="shared" si="3"/>
        <v>E6190</v>
      </c>
      <c r="C55" s="494" t="s">
        <v>375</v>
      </c>
      <c r="D55" s="55" t="s">
        <v>407</v>
      </c>
      <c r="E55" s="492" t="s">
        <v>483</v>
      </c>
      <c r="F55" s="57">
        <f t="shared" ref="F55:Q64" si="9">VLOOKUP($C55,$T:$AF,F$2,FALSE)</f>
        <v>2736752.7023868919</v>
      </c>
      <c r="G55" s="57">
        <f t="shared" si="9"/>
        <v>0</v>
      </c>
      <c r="H55" s="57">
        <f t="shared" si="9"/>
        <v>0</v>
      </c>
      <c r="I55" s="57">
        <f t="shared" si="9"/>
        <v>0</v>
      </c>
      <c r="J55" s="57">
        <f t="shared" si="9"/>
        <v>0</v>
      </c>
      <c r="K55" s="57">
        <f t="shared" si="9"/>
        <v>0</v>
      </c>
      <c r="L55" s="57">
        <f t="shared" si="9"/>
        <v>0</v>
      </c>
      <c r="M55" s="57">
        <f t="shared" si="9"/>
        <v>0</v>
      </c>
      <c r="N55" s="57">
        <f t="shared" si="9"/>
        <v>0</v>
      </c>
      <c r="O55" s="57">
        <f t="shared" si="9"/>
        <v>0</v>
      </c>
      <c r="P55" s="57">
        <f t="shared" si="9"/>
        <v>0</v>
      </c>
      <c r="Q55" s="57">
        <f t="shared" si="9"/>
        <v>0</v>
      </c>
      <c r="R55" s="58"/>
      <c r="S55" s="3" t="str">
        <f t="shared" si="7"/>
        <v>E6190</v>
      </c>
      <c r="T55" s="50" t="s">
        <v>375</v>
      </c>
      <c r="U55" s="111">
        <v>2736752.7023868919</v>
      </c>
      <c r="V55" s="111">
        <v>0</v>
      </c>
      <c r="W55" s="111">
        <v>0</v>
      </c>
      <c r="X55" s="111">
        <v>0</v>
      </c>
      <c r="Y55" s="111">
        <v>0</v>
      </c>
      <c r="Z55" s="111">
        <v>0</v>
      </c>
      <c r="AA55" s="111">
        <v>0</v>
      </c>
      <c r="AB55" s="111">
        <v>0</v>
      </c>
      <c r="AC55" s="111">
        <v>0</v>
      </c>
      <c r="AD55" s="111">
        <v>0</v>
      </c>
      <c r="AE55" s="111">
        <v>0</v>
      </c>
      <c r="AF55" s="111">
        <v>0</v>
      </c>
    </row>
    <row r="56" spans="1:32">
      <c r="A56">
        <v>56</v>
      </c>
      <c r="B56" s="4" t="str">
        <f t="shared" si="3"/>
        <v>E6200</v>
      </c>
      <c r="C56" s="494" t="s">
        <v>380</v>
      </c>
      <c r="D56" s="55" t="s">
        <v>407</v>
      </c>
      <c r="E56" s="492" t="s">
        <v>484</v>
      </c>
      <c r="F56" s="57">
        <f t="shared" si="9"/>
        <v>0</v>
      </c>
      <c r="G56" s="57">
        <f t="shared" si="9"/>
        <v>0</v>
      </c>
      <c r="H56" s="57">
        <f t="shared" si="9"/>
        <v>0</v>
      </c>
      <c r="I56" s="57">
        <f t="shared" si="9"/>
        <v>0</v>
      </c>
      <c r="J56" s="57">
        <f t="shared" si="9"/>
        <v>0</v>
      </c>
      <c r="K56" s="57">
        <f t="shared" si="9"/>
        <v>0</v>
      </c>
      <c r="L56" s="57">
        <f t="shared" si="9"/>
        <v>0</v>
      </c>
      <c r="M56" s="57">
        <f t="shared" si="9"/>
        <v>0</v>
      </c>
      <c r="N56" s="57">
        <f t="shared" si="9"/>
        <v>0</v>
      </c>
      <c r="O56" s="57">
        <f t="shared" si="9"/>
        <v>0</v>
      </c>
      <c r="P56" s="57">
        <f t="shared" si="9"/>
        <v>0</v>
      </c>
      <c r="Q56" s="57">
        <f t="shared" si="9"/>
        <v>0</v>
      </c>
      <c r="R56" s="58"/>
      <c r="S56" s="3" t="str">
        <f t="shared" si="7"/>
        <v>E6200</v>
      </c>
      <c r="T56" s="50" t="s">
        <v>380</v>
      </c>
      <c r="U56" s="111">
        <v>0</v>
      </c>
      <c r="V56" s="111">
        <v>0</v>
      </c>
      <c r="W56" s="111">
        <v>0</v>
      </c>
      <c r="X56" s="111">
        <v>0</v>
      </c>
      <c r="Y56" s="111">
        <v>0</v>
      </c>
      <c r="Z56" s="111">
        <v>0</v>
      </c>
      <c r="AA56" s="111">
        <v>0</v>
      </c>
      <c r="AB56" s="111">
        <v>0</v>
      </c>
      <c r="AC56" s="111">
        <v>0</v>
      </c>
      <c r="AD56" s="111">
        <v>0</v>
      </c>
      <c r="AE56" s="111">
        <v>0</v>
      </c>
      <c r="AF56" s="111">
        <v>0</v>
      </c>
    </row>
    <row r="57" spans="1:32">
      <c r="A57">
        <v>57</v>
      </c>
      <c r="B57" s="4" t="str">
        <f t="shared" si="3"/>
        <v>E6150</v>
      </c>
      <c r="C57" s="494" t="s">
        <v>376</v>
      </c>
      <c r="D57" s="55" t="s">
        <v>407</v>
      </c>
      <c r="E57" s="492" t="s">
        <v>485</v>
      </c>
      <c r="F57" s="57">
        <f t="shared" si="9"/>
        <v>2155643.5111576738</v>
      </c>
      <c r="G57" s="57">
        <f t="shared" si="9"/>
        <v>1776950.2598288935</v>
      </c>
      <c r="H57" s="57">
        <f t="shared" si="9"/>
        <v>1614904.8568296942</v>
      </c>
      <c r="I57" s="57">
        <f t="shared" si="9"/>
        <v>1293725.2694653736</v>
      </c>
      <c r="J57" s="57">
        <f t="shared" si="9"/>
        <v>1212515.7244284386</v>
      </c>
      <c r="K57" s="57">
        <f t="shared" si="9"/>
        <v>906941.65977775888</v>
      </c>
      <c r="L57" s="57">
        <f t="shared" si="9"/>
        <v>922253.0019547235</v>
      </c>
      <c r="M57" s="57">
        <f t="shared" si="9"/>
        <v>919540.26623066992</v>
      </c>
      <c r="N57" s="57">
        <f t="shared" si="9"/>
        <v>1152838.0270225999</v>
      </c>
      <c r="O57" s="57">
        <f t="shared" si="9"/>
        <v>1674585.0427588688</v>
      </c>
      <c r="P57" s="57">
        <f t="shared" si="9"/>
        <v>1806957.3669354783</v>
      </c>
      <c r="Q57" s="57">
        <f t="shared" si="9"/>
        <v>2065671.1096432358</v>
      </c>
      <c r="R57" s="58"/>
      <c r="S57" s="3" t="str">
        <f t="shared" si="7"/>
        <v>E6150</v>
      </c>
      <c r="T57" s="50" t="s">
        <v>376</v>
      </c>
      <c r="U57" s="111">
        <v>2155643.5111576738</v>
      </c>
      <c r="V57" s="111">
        <v>1776950.2598288935</v>
      </c>
      <c r="W57" s="111">
        <v>1614904.8568296942</v>
      </c>
      <c r="X57" s="111">
        <v>1293725.2694653736</v>
      </c>
      <c r="Y57" s="111">
        <v>1212515.7244284386</v>
      </c>
      <c r="Z57" s="111">
        <v>906941.65977775888</v>
      </c>
      <c r="AA57" s="111">
        <v>922253.0019547235</v>
      </c>
      <c r="AB57" s="111">
        <v>919540.26623066992</v>
      </c>
      <c r="AC57" s="111">
        <v>1152838.0270225999</v>
      </c>
      <c r="AD57" s="111">
        <v>1674585.0427588688</v>
      </c>
      <c r="AE57" s="111">
        <v>1806957.3669354783</v>
      </c>
      <c r="AF57" s="111">
        <v>2065671.1096432358</v>
      </c>
    </row>
    <row r="58" spans="1:32">
      <c r="A58">
        <v>58</v>
      </c>
      <c r="B58" s="4" t="str">
        <f t="shared" si="3"/>
        <v>E6340</v>
      </c>
      <c r="C58" s="494" t="s">
        <v>387</v>
      </c>
      <c r="D58" s="55" t="s">
        <v>407</v>
      </c>
      <c r="E58" s="492" t="s">
        <v>486</v>
      </c>
      <c r="F58" s="57">
        <f t="shared" si="9"/>
        <v>3576606.8987938818</v>
      </c>
      <c r="G58" s="57">
        <f t="shared" si="9"/>
        <v>2910100.5820259415</v>
      </c>
      <c r="H58" s="57">
        <f t="shared" si="9"/>
        <v>2669130.8474123515</v>
      </c>
      <c r="I58" s="57">
        <f t="shared" si="9"/>
        <v>2039959.0638230543</v>
      </c>
      <c r="J58" s="57">
        <f t="shared" si="9"/>
        <v>1966926.0265304688</v>
      </c>
      <c r="K58" s="57">
        <f t="shared" si="9"/>
        <v>1470449.3027129895</v>
      </c>
      <c r="L58" s="57">
        <f t="shared" si="9"/>
        <v>1460393.4217723489</v>
      </c>
      <c r="M58" s="57">
        <f t="shared" si="9"/>
        <v>1485498.5362938885</v>
      </c>
      <c r="N58" s="57">
        <f t="shared" si="9"/>
        <v>1827732.7162073839</v>
      </c>
      <c r="O58" s="57">
        <f t="shared" si="9"/>
        <v>2763644.2197287353</v>
      </c>
      <c r="P58" s="57">
        <f t="shared" si="9"/>
        <v>2910301.4590953989</v>
      </c>
      <c r="Q58" s="57">
        <f t="shared" si="9"/>
        <v>3389056.9256035555</v>
      </c>
      <c r="R58" s="58"/>
      <c r="S58" s="3" t="str">
        <f t="shared" si="7"/>
        <v>E6340</v>
      </c>
      <c r="T58" s="50" t="s">
        <v>387</v>
      </c>
      <c r="U58" s="111">
        <v>3576606.8987938818</v>
      </c>
      <c r="V58" s="111">
        <v>2910100.5820259415</v>
      </c>
      <c r="W58" s="111">
        <v>2669130.8474123515</v>
      </c>
      <c r="X58" s="111">
        <v>2039959.0638230543</v>
      </c>
      <c r="Y58" s="111">
        <v>1966926.0265304688</v>
      </c>
      <c r="Z58" s="111">
        <v>1470449.3027129895</v>
      </c>
      <c r="AA58" s="111">
        <v>1460393.4217723489</v>
      </c>
      <c r="AB58" s="111">
        <v>1485498.5362938885</v>
      </c>
      <c r="AC58" s="111">
        <v>1827732.7162073839</v>
      </c>
      <c r="AD58" s="111">
        <v>2763644.2197287353</v>
      </c>
      <c r="AE58" s="111">
        <v>2910301.4590953989</v>
      </c>
      <c r="AF58" s="111">
        <v>3389056.9256035555</v>
      </c>
    </row>
    <row r="59" spans="1:32">
      <c r="A59">
        <v>59</v>
      </c>
      <c r="B59" s="4" t="str">
        <f t="shared" si="3"/>
        <v>E6370</v>
      </c>
      <c r="C59" s="494" t="s">
        <v>386</v>
      </c>
      <c r="D59" s="55" t="s">
        <v>407</v>
      </c>
      <c r="E59" s="492" t="s">
        <v>487</v>
      </c>
      <c r="F59" s="57">
        <f t="shared" si="9"/>
        <v>4463898.7526325621</v>
      </c>
      <c r="G59" s="57">
        <f t="shared" si="9"/>
        <v>3641113.3168753139</v>
      </c>
      <c r="H59" s="57">
        <f t="shared" si="9"/>
        <v>3444517.6199379652</v>
      </c>
      <c r="I59" s="57">
        <f t="shared" si="9"/>
        <v>2677985.4095294578</v>
      </c>
      <c r="J59" s="57">
        <f t="shared" si="9"/>
        <v>2583571.4711463717</v>
      </c>
      <c r="K59" s="57">
        <f t="shared" si="9"/>
        <v>2021724.2301935523</v>
      </c>
      <c r="L59" s="57">
        <f t="shared" si="9"/>
        <v>2008156.5021360153</v>
      </c>
      <c r="M59" s="57">
        <f t="shared" si="9"/>
        <v>2040365.8120503617</v>
      </c>
      <c r="N59" s="57">
        <f t="shared" si="9"/>
        <v>2447999.1425734861</v>
      </c>
      <c r="O59" s="57">
        <f t="shared" si="9"/>
        <v>3554203.3780246591</v>
      </c>
      <c r="P59" s="57">
        <f t="shared" si="9"/>
        <v>3640052.5042683589</v>
      </c>
      <c r="Q59" s="57">
        <f t="shared" si="9"/>
        <v>4271513.4150360581</v>
      </c>
      <c r="R59" s="58"/>
      <c r="S59" s="3" t="str">
        <f t="shared" si="7"/>
        <v>E6370</v>
      </c>
      <c r="T59" s="50" t="s">
        <v>386</v>
      </c>
      <c r="U59" s="111">
        <v>4463898.7526325621</v>
      </c>
      <c r="V59" s="111">
        <v>3641113.3168753139</v>
      </c>
      <c r="W59" s="111">
        <v>3444517.6199379652</v>
      </c>
      <c r="X59" s="111">
        <v>2677985.4095294578</v>
      </c>
      <c r="Y59" s="111">
        <v>2583571.4711463717</v>
      </c>
      <c r="Z59" s="111">
        <v>2021724.2301935523</v>
      </c>
      <c r="AA59" s="111">
        <v>2008156.5021360153</v>
      </c>
      <c r="AB59" s="111">
        <v>2040365.8120503617</v>
      </c>
      <c r="AC59" s="111">
        <v>2447999.1425734861</v>
      </c>
      <c r="AD59" s="111">
        <v>3554203.3780246591</v>
      </c>
      <c r="AE59" s="111">
        <v>3640052.5042683589</v>
      </c>
      <c r="AF59" s="111">
        <v>4271513.4150360581</v>
      </c>
    </row>
    <row r="60" spans="1:32">
      <c r="A60">
        <v>60</v>
      </c>
      <c r="B60" s="4" t="str">
        <f t="shared" si="3"/>
        <v>E6250</v>
      </c>
      <c r="C60" s="494" t="s">
        <v>382</v>
      </c>
      <c r="D60" s="55" t="s">
        <v>407</v>
      </c>
      <c r="E60" s="492" t="s">
        <v>488</v>
      </c>
      <c r="F60" s="57">
        <f t="shared" si="9"/>
        <v>2310907.0997009515</v>
      </c>
      <c r="G60" s="57">
        <f t="shared" si="9"/>
        <v>1880169.2397180772</v>
      </c>
      <c r="H60" s="57">
        <f t="shared" si="9"/>
        <v>1760489.8452366083</v>
      </c>
      <c r="I60" s="57">
        <f t="shared" si="9"/>
        <v>1337884.3699964392</v>
      </c>
      <c r="J60" s="57">
        <f t="shared" si="9"/>
        <v>0</v>
      </c>
      <c r="K60" s="57">
        <f t="shared" si="9"/>
        <v>0</v>
      </c>
      <c r="L60" s="57">
        <f t="shared" si="9"/>
        <v>0</v>
      </c>
      <c r="M60" s="57">
        <f t="shared" si="9"/>
        <v>0</v>
      </c>
      <c r="N60" s="57">
        <f t="shared" si="9"/>
        <v>0</v>
      </c>
      <c r="O60" s="57">
        <f t="shared" si="9"/>
        <v>0</v>
      </c>
      <c r="P60" s="57">
        <f t="shared" si="9"/>
        <v>0</v>
      </c>
      <c r="Q60" s="57">
        <f t="shared" si="9"/>
        <v>0</v>
      </c>
      <c r="R60" s="58"/>
      <c r="S60" s="3" t="str">
        <f t="shared" si="7"/>
        <v>E6250</v>
      </c>
      <c r="T60" s="50" t="s">
        <v>382</v>
      </c>
      <c r="U60" s="111">
        <v>2310907.0997009515</v>
      </c>
      <c r="V60" s="111">
        <v>1880169.2397180772</v>
      </c>
      <c r="W60" s="111">
        <v>1760489.8452366083</v>
      </c>
      <c r="X60" s="111">
        <v>1337884.3699964392</v>
      </c>
      <c r="Y60" s="111">
        <v>0</v>
      </c>
      <c r="Z60" s="111">
        <v>0</v>
      </c>
      <c r="AA60" s="111">
        <v>0</v>
      </c>
      <c r="AB60" s="111">
        <v>0</v>
      </c>
      <c r="AC60" s="111">
        <v>0</v>
      </c>
      <c r="AD60" s="111">
        <v>0</v>
      </c>
      <c r="AE60" s="111">
        <v>0</v>
      </c>
      <c r="AF60" s="111">
        <v>0</v>
      </c>
    </row>
    <row r="61" spans="1:32">
      <c r="A61">
        <v>61</v>
      </c>
      <c r="B61" s="4" t="str">
        <f t="shared" si="3"/>
        <v>E6260</v>
      </c>
      <c r="C61" s="494" t="s">
        <v>383</v>
      </c>
      <c r="D61" s="55" t="s">
        <v>407</v>
      </c>
      <c r="E61" s="492" t="s">
        <v>489</v>
      </c>
      <c r="F61" s="57">
        <f t="shared" si="9"/>
        <v>2445329.8392554671</v>
      </c>
      <c r="G61" s="57">
        <f t="shared" si="9"/>
        <v>2037611.8218602098</v>
      </c>
      <c r="H61" s="57">
        <f t="shared" si="9"/>
        <v>1952131.6133720085</v>
      </c>
      <c r="I61" s="57">
        <f t="shared" si="9"/>
        <v>1556519.7551361467</v>
      </c>
      <c r="J61" s="57">
        <f t="shared" si="9"/>
        <v>1493468.0553841095</v>
      </c>
      <c r="K61" s="57">
        <f t="shared" si="9"/>
        <v>1186281.6572840551</v>
      </c>
      <c r="L61" s="57">
        <f t="shared" si="9"/>
        <v>1176180.7940936568</v>
      </c>
      <c r="M61" s="57">
        <f t="shared" si="9"/>
        <v>1146502.5638709106</v>
      </c>
      <c r="N61" s="57">
        <f t="shared" si="9"/>
        <v>1395682.8945741663</v>
      </c>
      <c r="O61" s="57">
        <f t="shared" si="9"/>
        <v>1954290.0301154808</v>
      </c>
      <c r="P61" s="57">
        <f t="shared" si="9"/>
        <v>1995687.9360862295</v>
      </c>
      <c r="Q61" s="57">
        <f t="shared" si="9"/>
        <v>2388131.7955534454</v>
      </c>
      <c r="R61" s="58"/>
      <c r="S61" s="3" t="str">
        <f t="shared" si="7"/>
        <v>E6260</v>
      </c>
      <c r="T61" s="50" t="s">
        <v>383</v>
      </c>
      <c r="U61" s="111">
        <v>2445329.8392554671</v>
      </c>
      <c r="V61" s="111">
        <v>2037611.8218602098</v>
      </c>
      <c r="W61" s="111">
        <v>1952131.6133720085</v>
      </c>
      <c r="X61" s="111">
        <v>1556519.7551361467</v>
      </c>
      <c r="Y61" s="111">
        <v>1493468.0553841095</v>
      </c>
      <c r="Z61" s="111">
        <v>1186281.6572840551</v>
      </c>
      <c r="AA61" s="111">
        <v>1176180.7940936568</v>
      </c>
      <c r="AB61" s="111">
        <v>1146502.5638709106</v>
      </c>
      <c r="AC61" s="111">
        <v>1395682.8945741663</v>
      </c>
      <c r="AD61" s="111">
        <v>1954290.0301154808</v>
      </c>
      <c r="AE61" s="111">
        <v>1995687.9360862295</v>
      </c>
      <c r="AF61" s="111">
        <v>2388131.7955534454</v>
      </c>
    </row>
    <row r="62" spans="1:32">
      <c r="A62">
        <v>62</v>
      </c>
      <c r="B62" s="4" t="str">
        <f t="shared" si="3"/>
        <v>E6120</v>
      </c>
      <c r="C62" s="494" t="s">
        <v>378</v>
      </c>
      <c r="D62" s="55" t="s">
        <v>407</v>
      </c>
      <c r="E62" s="492" t="s">
        <v>490</v>
      </c>
      <c r="F62" s="57">
        <f t="shared" si="9"/>
        <v>934351.59399757581</v>
      </c>
      <c r="G62" s="57">
        <f t="shared" si="9"/>
        <v>877078.55451491394</v>
      </c>
      <c r="H62" s="57">
        <f t="shared" si="9"/>
        <v>851228.73978949222</v>
      </c>
      <c r="I62" s="57">
        <f t="shared" si="9"/>
        <v>807179.90027923661</v>
      </c>
      <c r="J62" s="57">
        <f t="shared" si="9"/>
        <v>723853.43082314834</v>
      </c>
      <c r="K62" s="57">
        <f t="shared" si="9"/>
        <v>643596.28373605979</v>
      </c>
      <c r="L62" s="57">
        <f t="shared" si="9"/>
        <v>680996.32373744587</v>
      </c>
      <c r="M62" s="57">
        <f t="shared" si="9"/>
        <v>594285.43265707081</v>
      </c>
      <c r="N62" s="57">
        <f t="shared" si="9"/>
        <v>581673.71190780529</v>
      </c>
      <c r="O62" s="57">
        <f t="shared" si="9"/>
        <v>674019.58537465695</v>
      </c>
      <c r="P62" s="57">
        <f t="shared" si="9"/>
        <v>849426.14087234507</v>
      </c>
      <c r="Q62" s="57">
        <f t="shared" si="9"/>
        <v>855813.45357075322</v>
      </c>
      <c r="R62" s="58"/>
      <c r="S62" s="3" t="str">
        <f t="shared" si="7"/>
        <v>E6120</v>
      </c>
      <c r="T62" s="50" t="s">
        <v>378</v>
      </c>
      <c r="U62" s="111">
        <v>934351.59399757581</v>
      </c>
      <c r="V62" s="111">
        <v>877078.55451491394</v>
      </c>
      <c r="W62" s="111">
        <v>851228.73978949222</v>
      </c>
      <c r="X62" s="111">
        <v>807179.90027923661</v>
      </c>
      <c r="Y62" s="111">
        <v>723853.43082314834</v>
      </c>
      <c r="Z62" s="111">
        <v>643596.28373605979</v>
      </c>
      <c r="AA62" s="111">
        <v>680996.32373744587</v>
      </c>
      <c r="AB62" s="111">
        <v>594285.43265707081</v>
      </c>
      <c r="AC62" s="111">
        <v>581673.71190780529</v>
      </c>
      <c r="AD62" s="111">
        <v>674019.58537465695</v>
      </c>
      <c r="AE62" s="111">
        <v>849426.14087234507</v>
      </c>
      <c r="AF62" s="111">
        <v>855813.45357075322</v>
      </c>
    </row>
    <row r="63" spans="1:32">
      <c r="A63">
        <v>63</v>
      </c>
      <c r="B63" s="4" t="str">
        <f t="shared" si="3"/>
        <v>E6130</v>
      </c>
      <c r="C63" s="494" t="s">
        <v>373</v>
      </c>
      <c r="D63" s="55" t="s">
        <v>407</v>
      </c>
      <c r="E63" s="492" t="s">
        <v>491</v>
      </c>
      <c r="F63" s="57">
        <f t="shared" si="9"/>
        <v>2306863.9325598166</v>
      </c>
      <c r="G63" s="57">
        <f t="shared" si="9"/>
        <v>1980572.0796700176</v>
      </c>
      <c r="H63" s="57">
        <f t="shared" si="9"/>
        <v>2039326.7076426111</v>
      </c>
      <c r="I63" s="57">
        <f t="shared" si="9"/>
        <v>1722108.5871712591</v>
      </c>
      <c r="J63" s="57">
        <f t="shared" si="9"/>
        <v>1481635.7088976731</v>
      </c>
      <c r="K63" s="57">
        <f t="shared" si="9"/>
        <v>1205362.2611589106</v>
      </c>
      <c r="L63" s="57">
        <f t="shared" si="9"/>
        <v>1173829.9944568465</v>
      </c>
      <c r="M63" s="57">
        <f t="shared" si="9"/>
        <v>1083915.4219588989</v>
      </c>
      <c r="N63" s="57">
        <f t="shared" si="9"/>
        <v>1452525.0183321722</v>
      </c>
      <c r="O63" s="57">
        <f t="shared" si="9"/>
        <v>1946102.3962797082</v>
      </c>
      <c r="P63" s="57">
        <f t="shared" si="9"/>
        <v>1952722.6500197444</v>
      </c>
      <c r="Q63" s="57">
        <f t="shared" si="9"/>
        <v>2400088.2439227202</v>
      </c>
      <c r="R63" s="58"/>
      <c r="S63" s="3" t="str">
        <f t="shared" si="7"/>
        <v>E6130</v>
      </c>
      <c r="T63" s="50" t="s">
        <v>373</v>
      </c>
      <c r="U63" s="111">
        <v>2306863.9325598166</v>
      </c>
      <c r="V63" s="111">
        <v>1980572.0796700176</v>
      </c>
      <c r="W63" s="111">
        <v>2039326.7076426111</v>
      </c>
      <c r="X63" s="111">
        <v>1722108.5871712591</v>
      </c>
      <c r="Y63" s="111">
        <v>1481635.7088976731</v>
      </c>
      <c r="Z63" s="111">
        <v>1205362.2611589106</v>
      </c>
      <c r="AA63" s="111">
        <v>1173829.9944568465</v>
      </c>
      <c r="AB63" s="111">
        <v>1083915.4219588989</v>
      </c>
      <c r="AC63" s="111">
        <v>1452525.0183321722</v>
      </c>
      <c r="AD63" s="111">
        <v>1946102.3962797082</v>
      </c>
      <c r="AE63" s="111">
        <v>1952722.6500197444</v>
      </c>
      <c r="AF63" s="111">
        <v>2400088.2439227202</v>
      </c>
    </row>
    <row r="64" spans="1:32">
      <c r="A64">
        <v>64</v>
      </c>
      <c r="B64" s="4" t="str">
        <f t="shared" si="3"/>
        <v>E6210</v>
      </c>
      <c r="C64" s="494" t="s">
        <v>374</v>
      </c>
      <c r="D64" s="55" t="s">
        <v>407</v>
      </c>
      <c r="E64" s="492" t="s">
        <v>492</v>
      </c>
      <c r="F64" s="57">
        <f t="shared" si="9"/>
        <v>1809755.4956422045</v>
      </c>
      <c r="G64" s="57">
        <f t="shared" si="9"/>
        <v>1512766.1059254992</v>
      </c>
      <c r="H64" s="57">
        <f t="shared" si="9"/>
        <v>1487366.086760683</v>
      </c>
      <c r="I64" s="57">
        <f t="shared" si="9"/>
        <v>1237485.2186346117</v>
      </c>
      <c r="J64" s="57">
        <f t="shared" si="9"/>
        <v>1092135.5562071863</v>
      </c>
      <c r="K64" s="57">
        <f t="shared" si="9"/>
        <v>844560.88846857881</v>
      </c>
      <c r="L64" s="57">
        <f t="shared" si="9"/>
        <v>848432.54419353942</v>
      </c>
      <c r="M64" s="57">
        <f t="shared" si="9"/>
        <v>782785.60737805534</v>
      </c>
      <c r="N64" s="57">
        <f t="shared" si="9"/>
        <v>1038629.8267344155</v>
      </c>
      <c r="O64" s="57">
        <f t="shared" si="9"/>
        <v>1423967.3327128524</v>
      </c>
      <c r="P64" s="57">
        <f t="shared" si="9"/>
        <v>1488556.468364181</v>
      </c>
      <c r="Q64" s="57">
        <f t="shared" si="9"/>
        <v>1846176.0564781921</v>
      </c>
      <c r="R64" s="58"/>
      <c r="S64" s="3" t="str">
        <f t="shared" si="7"/>
        <v>E6210</v>
      </c>
      <c r="T64" s="50" t="s">
        <v>374</v>
      </c>
      <c r="U64" s="111">
        <v>1809755.4956422045</v>
      </c>
      <c r="V64" s="111">
        <v>1512766.1059254992</v>
      </c>
      <c r="W64" s="111">
        <v>1487366.086760683</v>
      </c>
      <c r="X64" s="111">
        <v>1237485.2186346117</v>
      </c>
      <c r="Y64" s="111">
        <v>1092135.5562071863</v>
      </c>
      <c r="Z64" s="111">
        <v>844560.88846857881</v>
      </c>
      <c r="AA64" s="111">
        <v>848432.54419353942</v>
      </c>
      <c r="AB64" s="111">
        <v>782785.60737805534</v>
      </c>
      <c r="AC64" s="111">
        <v>1038629.8267344155</v>
      </c>
      <c r="AD64" s="111">
        <v>1423967.3327128524</v>
      </c>
      <c r="AE64" s="111">
        <v>1488556.468364181</v>
      </c>
      <c r="AF64" s="111">
        <v>1846176.0564781921</v>
      </c>
    </row>
    <row r="65" spans="1:33">
      <c r="A65">
        <v>65</v>
      </c>
      <c r="B65" s="4" t="str">
        <f t="shared" si="3"/>
        <v>E6160</v>
      </c>
      <c r="C65" s="494" t="s">
        <v>377</v>
      </c>
      <c r="D65" s="55" t="s">
        <v>407</v>
      </c>
      <c r="E65" s="492" t="s">
        <v>493</v>
      </c>
      <c r="F65" s="57">
        <f t="shared" ref="F65:Q74" si="10">VLOOKUP($C65,$T:$AF,F$2,FALSE)</f>
        <v>2022133.2825099453</v>
      </c>
      <c r="G65" s="57">
        <f t="shared" si="10"/>
        <v>1768176.8432202579</v>
      </c>
      <c r="H65" s="57">
        <f t="shared" si="10"/>
        <v>1836645.0816918903</v>
      </c>
      <c r="I65" s="57">
        <f t="shared" si="10"/>
        <v>1593574.1236142449</v>
      </c>
      <c r="J65" s="57">
        <f t="shared" si="10"/>
        <v>1360525.635741801</v>
      </c>
      <c r="K65" s="57">
        <f t="shared" si="10"/>
        <v>1121294.3506153664</v>
      </c>
      <c r="L65" s="57">
        <f t="shared" si="10"/>
        <v>1087748.8698328962</v>
      </c>
      <c r="M65" s="57">
        <f t="shared" si="10"/>
        <v>1006411.7978164228</v>
      </c>
      <c r="N65" s="57">
        <f t="shared" si="10"/>
        <v>1321437.3031972081</v>
      </c>
      <c r="O65" s="57">
        <f t="shared" si="10"/>
        <v>1709679.8961051998</v>
      </c>
      <c r="P65" s="57">
        <f t="shared" si="10"/>
        <v>1726522.7995499042</v>
      </c>
      <c r="Q65" s="57">
        <f t="shared" si="10"/>
        <v>2096030.9881834493</v>
      </c>
      <c r="R65" s="58"/>
      <c r="S65" s="3" t="str">
        <f t="shared" si="7"/>
        <v>E6160</v>
      </c>
      <c r="T65" s="50" t="s">
        <v>377</v>
      </c>
      <c r="U65" s="111">
        <v>2022133.2825099453</v>
      </c>
      <c r="V65" s="111">
        <v>1768176.8432202579</v>
      </c>
      <c r="W65" s="111">
        <v>1836645.0816918903</v>
      </c>
      <c r="X65" s="111">
        <v>1593574.1236142449</v>
      </c>
      <c r="Y65" s="111">
        <v>1360525.635741801</v>
      </c>
      <c r="Z65" s="111">
        <v>1121294.3506153664</v>
      </c>
      <c r="AA65" s="111">
        <v>1087748.8698328962</v>
      </c>
      <c r="AB65" s="111">
        <v>1006411.7978164228</v>
      </c>
      <c r="AC65" s="111">
        <v>1321437.3031972081</v>
      </c>
      <c r="AD65" s="111">
        <v>1709679.8961051998</v>
      </c>
      <c r="AE65" s="111">
        <v>1726522.7995499042</v>
      </c>
      <c r="AF65" s="111">
        <v>2096030.9881834493</v>
      </c>
    </row>
    <row r="66" spans="1:33">
      <c r="A66">
        <v>66</v>
      </c>
      <c r="B66" s="4" t="str">
        <f t="shared" si="3"/>
        <v>E6170</v>
      </c>
      <c r="C66" s="494" t="s">
        <v>379</v>
      </c>
      <c r="D66" s="55" t="s">
        <v>407</v>
      </c>
      <c r="E66" s="492" t="s">
        <v>494</v>
      </c>
      <c r="F66" s="57">
        <f t="shared" si="10"/>
        <v>1972327.5153472449</v>
      </c>
      <c r="G66" s="57">
        <f t="shared" si="10"/>
        <v>1640682.3232426171</v>
      </c>
      <c r="H66" s="57">
        <f t="shared" si="10"/>
        <v>1663028.1231747314</v>
      </c>
      <c r="I66" s="57">
        <f t="shared" si="10"/>
        <v>1278781.1312665953</v>
      </c>
      <c r="J66" s="57">
        <f t="shared" si="10"/>
        <v>1159350.4482580984</v>
      </c>
      <c r="K66" s="57">
        <f t="shared" si="10"/>
        <v>910384.83289734845</v>
      </c>
      <c r="L66" s="57">
        <f t="shared" si="10"/>
        <v>963176.52317915985</v>
      </c>
      <c r="M66" s="57">
        <f t="shared" si="10"/>
        <v>905267.05788125785</v>
      </c>
      <c r="N66" s="57">
        <f t="shared" si="10"/>
        <v>1168870.4431918082</v>
      </c>
      <c r="O66" s="57">
        <f t="shared" si="10"/>
        <v>1606914.3002116485</v>
      </c>
      <c r="P66" s="57">
        <f t="shared" si="10"/>
        <v>1577234.2644973414</v>
      </c>
      <c r="Q66" s="57">
        <f t="shared" si="10"/>
        <v>2002404.5244554577</v>
      </c>
      <c r="R66" s="58"/>
      <c r="S66" s="3" t="str">
        <f t="shared" si="7"/>
        <v>E6170</v>
      </c>
      <c r="T66" s="50" t="s">
        <v>379</v>
      </c>
      <c r="U66" s="111">
        <v>1972327.5153472449</v>
      </c>
      <c r="V66" s="111">
        <v>1640682.3232426171</v>
      </c>
      <c r="W66" s="111">
        <v>1663028.1231747314</v>
      </c>
      <c r="X66" s="111">
        <v>1278781.1312665953</v>
      </c>
      <c r="Y66" s="111">
        <v>1159350.4482580984</v>
      </c>
      <c r="Z66" s="111">
        <v>910384.83289734845</v>
      </c>
      <c r="AA66" s="111">
        <v>963176.52317915985</v>
      </c>
      <c r="AB66" s="111">
        <v>905267.05788125785</v>
      </c>
      <c r="AC66" s="111">
        <v>1168870.4431918082</v>
      </c>
      <c r="AD66" s="111">
        <v>1606914.3002116485</v>
      </c>
      <c r="AE66" s="111">
        <v>1577234.2644973414</v>
      </c>
      <c r="AF66" s="111">
        <v>2002404.5244554577</v>
      </c>
    </row>
    <row r="67" spans="1:33">
      <c r="A67">
        <v>67</v>
      </c>
      <c r="B67" s="4" t="str">
        <f t="shared" si="3"/>
        <v>E6330</v>
      </c>
      <c r="C67" s="494" t="s">
        <v>384</v>
      </c>
      <c r="D67" s="55" t="s">
        <v>407</v>
      </c>
      <c r="E67" s="492" t="s">
        <v>495</v>
      </c>
      <c r="F67" s="57">
        <f t="shared" si="10"/>
        <v>2318949.8525851569</v>
      </c>
      <c r="G67" s="57">
        <f t="shared" si="10"/>
        <v>1954763.598253971</v>
      </c>
      <c r="H67" s="57">
        <f t="shared" si="10"/>
        <v>2010325.9572123289</v>
      </c>
      <c r="I67" s="57">
        <f t="shared" si="10"/>
        <v>1605660.6490464422</v>
      </c>
      <c r="J67" s="57">
        <f t="shared" si="10"/>
        <v>1479072.4407191623</v>
      </c>
      <c r="K67" s="57">
        <f t="shared" si="10"/>
        <v>1207128.0447150059</v>
      </c>
      <c r="L67" s="57">
        <f t="shared" si="10"/>
        <v>1264564.5010560043</v>
      </c>
      <c r="M67" s="57">
        <f t="shared" si="10"/>
        <v>1206279.4929515379</v>
      </c>
      <c r="N67" s="57">
        <f t="shared" si="10"/>
        <v>1485453.5990160787</v>
      </c>
      <c r="O67" s="57">
        <f t="shared" si="10"/>
        <v>1946785.743459099</v>
      </c>
      <c r="P67" s="57">
        <f t="shared" si="10"/>
        <v>1905253.6045067331</v>
      </c>
      <c r="Q67" s="57">
        <f t="shared" si="10"/>
        <v>2350481.0864777369</v>
      </c>
      <c r="R67" s="58"/>
      <c r="S67" s="3" t="str">
        <f t="shared" si="7"/>
        <v>E6330</v>
      </c>
      <c r="T67" s="50" t="s">
        <v>384</v>
      </c>
      <c r="U67" s="111">
        <v>2318949.8525851569</v>
      </c>
      <c r="V67" s="111">
        <v>1954763.598253971</v>
      </c>
      <c r="W67" s="111">
        <v>2010325.9572123289</v>
      </c>
      <c r="X67" s="111">
        <v>1605660.6490464422</v>
      </c>
      <c r="Y67" s="111">
        <v>1479072.4407191623</v>
      </c>
      <c r="Z67" s="111">
        <v>1207128.0447150059</v>
      </c>
      <c r="AA67" s="111">
        <v>1264564.5010560043</v>
      </c>
      <c r="AB67" s="111">
        <v>1206279.4929515379</v>
      </c>
      <c r="AC67" s="111">
        <v>1485453.5990160787</v>
      </c>
      <c r="AD67" s="111">
        <v>1946785.743459099</v>
      </c>
      <c r="AE67" s="111">
        <v>1905253.6045067331</v>
      </c>
      <c r="AF67" s="111">
        <v>2350481.0864777369</v>
      </c>
    </row>
    <row r="68" spans="1:33">
      <c r="A68">
        <v>68</v>
      </c>
      <c r="B68" s="4" t="str">
        <f t="shared" si="3"/>
        <v>E6140</v>
      </c>
      <c r="C68" s="494" t="s">
        <v>381</v>
      </c>
      <c r="D68" s="55" t="s">
        <v>407</v>
      </c>
      <c r="E68" s="492" t="s">
        <v>496</v>
      </c>
      <c r="F68" s="57">
        <f t="shared" si="10"/>
        <v>2450779.0627046893</v>
      </c>
      <c r="G68" s="57">
        <f t="shared" si="10"/>
        <v>2235982.2427850808</v>
      </c>
      <c r="H68" s="57">
        <f t="shared" si="10"/>
        <v>2239902.6746391817</v>
      </c>
      <c r="I68" s="57">
        <f t="shared" si="10"/>
        <v>1663562.9755846942</v>
      </c>
      <c r="J68" s="57">
        <f t="shared" si="10"/>
        <v>1462295.9936476245</v>
      </c>
      <c r="K68" s="57">
        <f t="shared" si="10"/>
        <v>1217705.8156846215</v>
      </c>
      <c r="L68" s="57">
        <f t="shared" si="10"/>
        <v>0</v>
      </c>
      <c r="M68" s="57">
        <f t="shared" si="10"/>
        <v>0</v>
      </c>
      <c r="N68" s="57">
        <f t="shared" si="10"/>
        <v>0</v>
      </c>
      <c r="O68" s="57">
        <f t="shared" si="10"/>
        <v>0</v>
      </c>
      <c r="P68" s="57">
        <f t="shared" si="10"/>
        <v>0</v>
      </c>
      <c r="Q68" s="57">
        <f t="shared" si="10"/>
        <v>0</v>
      </c>
      <c r="R68" s="58"/>
      <c r="S68" s="3" t="str">
        <f t="shared" si="7"/>
        <v>E6140</v>
      </c>
      <c r="T68" s="50" t="s">
        <v>381</v>
      </c>
      <c r="U68" s="111">
        <v>2450779.0627046893</v>
      </c>
      <c r="V68" s="111">
        <v>2235982.2427850808</v>
      </c>
      <c r="W68" s="111">
        <v>2239902.6746391817</v>
      </c>
      <c r="X68" s="111">
        <v>1663562.9755846942</v>
      </c>
      <c r="Y68" s="111">
        <v>1462295.9936476245</v>
      </c>
      <c r="Z68" s="111">
        <v>1217705.8156846215</v>
      </c>
      <c r="AA68" s="111">
        <v>0</v>
      </c>
      <c r="AB68" s="111">
        <v>0</v>
      </c>
      <c r="AC68" s="111">
        <v>0</v>
      </c>
      <c r="AD68" s="111">
        <v>0</v>
      </c>
      <c r="AE68" s="111">
        <v>0</v>
      </c>
      <c r="AF68" s="111">
        <v>0</v>
      </c>
    </row>
    <row r="69" spans="1:33">
      <c r="A69">
        <v>69</v>
      </c>
      <c r="B69" s="4" t="str">
        <f t="shared" si="3"/>
        <v>E6350</v>
      </c>
      <c r="C69" s="494" t="s">
        <v>385</v>
      </c>
      <c r="D69" s="55" t="s">
        <v>407</v>
      </c>
      <c r="E69" s="492" t="s">
        <v>497</v>
      </c>
      <c r="F69" s="57">
        <f t="shared" si="10"/>
        <v>2485544.9450271698</v>
      </c>
      <c r="G69" s="57">
        <f t="shared" si="10"/>
        <v>2086157.3163466984</v>
      </c>
      <c r="H69" s="57">
        <f t="shared" si="10"/>
        <v>2139951.2056182339</v>
      </c>
      <c r="I69" s="57">
        <f t="shared" si="10"/>
        <v>1679322.8789119711</v>
      </c>
      <c r="J69" s="57">
        <f t="shared" si="10"/>
        <v>1527506.6041340434</v>
      </c>
      <c r="K69" s="57">
        <f t="shared" si="10"/>
        <v>1223693.7298239344</v>
      </c>
      <c r="L69" s="57">
        <f t="shared" si="10"/>
        <v>1283075.5890774068</v>
      </c>
      <c r="M69" s="57">
        <f t="shared" si="10"/>
        <v>1216909.6990956331</v>
      </c>
      <c r="N69" s="57">
        <f t="shared" si="10"/>
        <v>1543322.0759902226</v>
      </c>
      <c r="O69" s="57">
        <f t="shared" si="10"/>
        <v>2058474.2005993549</v>
      </c>
      <c r="P69" s="57">
        <f t="shared" si="10"/>
        <v>2017472.7352037891</v>
      </c>
      <c r="Q69" s="57">
        <f t="shared" si="10"/>
        <v>2521635.4304717742</v>
      </c>
      <c r="R69" s="58"/>
      <c r="S69" s="3" t="str">
        <f t="shared" ref="S69:S81" si="11">VLOOKUP(T69,C:C,1,FALSE)</f>
        <v>E6350</v>
      </c>
      <c r="T69" s="50" t="s">
        <v>385</v>
      </c>
      <c r="U69" s="111">
        <v>2485544.9450271698</v>
      </c>
      <c r="V69" s="111">
        <v>2086157.3163466984</v>
      </c>
      <c r="W69" s="111">
        <v>2139951.2056182339</v>
      </c>
      <c r="X69" s="111">
        <v>1679322.8789119711</v>
      </c>
      <c r="Y69" s="111">
        <v>1527506.6041340434</v>
      </c>
      <c r="Z69" s="111">
        <v>1223693.7298239344</v>
      </c>
      <c r="AA69" s="111">
        <v>1283075.5890774068</v>
      </c>
      <c r="AB69" s="111">
        <v>1216909.6990956331</v>
      </c>
      <c r="AC69" s="111">
        <v>1543322.0759902226</v>
      </c>
      <c r="AD69" s="111">
        <v>2058474.2005993549</v>
      </c>
      <c r="AE69" s="111">
        <v>2017472.7352037891</v>
      </c>
      <c r="AF69" s="111">
        <v>2521635.4304717742</v>
      </c>
    </row>
    <row r="70" spans="1:33">
      <c r="A70">
        <v>70</v>
      </c>
      <c r="B70" s="4" t="s">
        <v>816</v>
      </c>
      <c r="C70" s="495" t="s">
        <v>816</v>
      </c>
      <c r="D70" s="55" t="s">
        <v>407</v>
      </c>
      <c r="E70" s="492" t="s">
        <v>828</v>
      </c>
      <c r="F70" s="57">
        <f t="shared" si="10"/>
        <v>2659368.2685807357</v>
      </c>
      <c r="G70" s="57">
        <f t="shared" si="10"/>
        <v>2240842.259266749</v>
      </c>
      <c r="H70" s="57">
        <f t="shared" si="10"/>
        <v>2185567.2663969225</v>
      </c>
      <c r="I70" s="57">
        <f t="shared" si="10"/>
        <v>1784592.7494586171</v>
      </c>
      <c r="J70" s="57">
        <f t="shared" si="10"/>
        <v>1730432.8158634566</v>
      </c>
      <c r="K70" s="57">
        <f t="shared" si="10"/>
        <v>1408428.0843225881</v>
      </c>
      <c r="L70" s="57">
        <f t="shared" si="10"/>
        <v>1401023.08085733</v>
      </c>
      <c r="M70" s="57">
        <f t="shared" si="10"/>
        <v>1365337.0262316666</v>
      </c>
      <c r="N70" s="57">
        <f t="shared" si="10"/>
        <v>1609793.0674956879</v>
      </c>
      <c r="O70" s="57">
        <f t="shared" si="10"/>
        <v>2171292.8445466571</v>
      </c>
      <c r="P70" s="57">
        <f t="shared" si="10"/>
        <v>2194761.0001436649</v>
      </c>
      <c r="Q70" s="57">
        <f t="shared" si="10"/>
        <v>2601172.548729653</v>
      </c>
      <c r="R70" s="58"/>
      <c r="S70" s="3" t="str">
        <f t="shared" si="11"/>
        <v>E6360</v>
      </c>
      <c r="T70" s="50" t="s">
        <v>816</v>
      </c>
      <c r="U70" s="111">
        <v>2659368.2685807357</v>
      </c>
      <c r="V70" s="111">
        <v>2240842.259266749</v>
      </c>
      <c r="W70" s="111">
        <v>2185567.2663969225</v>
      </c>
      <c r="X70" s="111">
        <v>1784592.7494586171</v>
      </c>
      <c r="Y70" s="111">
        <v>1730432.8158634566</v>
      </c>
      <c r="Z70" s="111">
        <v>1408428.0843225881</v>
      </c>
      <c r="AA70" s="111">
        <v>1401023.08085733</v>
      </c>
      <c r="AB70" s="111">
        <v>1365337.0262316666</v>
      </c>
      <c r="AC70" s="111">
        <v>1609793.0674956879</v>
      </c>
      <c r="AD70" s="111">
        <v>2171292.8445466571</v>
      </c>
      <c r="AE70" s="111">
        <v>2194761.0001436649</v>
      </c>
      <c r="AF70" s="111">
        <v>2601172.548729653</v>
      </c>
    </row>
    <row r="71" spans="1:33">
      <c r="A71">
        <v>71</v>
      </c>
      <c r="B71" s="4" t="str">
        <f t="shared" si="3"/>
        <v>E5550</v>
      </c>
      <c r="C71" s="495" t="s">
        <v>499</v>
      </c>
      <c r="D71" s="55" t="s">
        <v>407</v>
      </c>
      <c r="E71" s="492" t="s">
        <v>500</v>
      </c>
      <c r="F71" s="57">
        <f t="shared" si="10"/>
        <v>833360.25429324375</v>
      </c>
      <c r="G71" s="57">
        <f t="shared" si="10"/>
        <v>944200.30694759474</v>
      </c>
      <c r="H71" s="57">
        <f t="shared" si="10"/>
        <v>1336848.7412620788</v>
      </c>
      <c r="I71" s="57">
        <f t="shared" si="10"/>
        <v>1366177.2153715042</v>
      </c>
      <c r="J71" s="57">
        <f t="shared" si="10"/>
        <v>1545286.8933775616</v>
      </c>
      <c r="K71" s="57">
        <f t="shared" si="10"/>
        <v>1663777.8523213279</v>
      </c>
      <c r="L71" s="57">
        <f t="shared" si="10"/>
        <v>1780895.5716746862</v>
      </c>
      <c r="M71" s="57">
        <f t="shared" si="10"/>
        <v>1646121.9147303693</v>
      </c>
      <c r="N71" s="57">
        <f t="shared" si="10"/>
        <v>1328609.3037196314</v>
      </c>
      <c r="O71" s="57">
        <f t="shared" si="10"/>
        <v>1044250.6199630264</v>
      </c>
      <c r="P71" s="57">
        <f t="shared" si="10"/>
        <v>747336.60280840681</v>
      </c>
      <c r="Q71" s="57">
        <f t="shared" si="10"/>
        <v>725757.12353056867</v>
      </c>
      <c r="R71" s="58"/>
      <c r="S71" s="3" t="str">
        <f t="shared" si="11"/>
        <v>E5550</v>
      </c>
      <c r="T71" s="50" t="s">
        <v>499</v>
      </c>
      <c r="U71" s="111">
        <v>833360.25429324375</v>
      </c>
      <c r="V71" s="111">
        <v>944200.30694759474</v>
      </c>
      <c r="W71" s="111">
        <v>1336848.7412620788</v>
      </c>
      <c r="X71" s="111">
        <v>1366177.2153715042</v>
      </c>
      <c r="Y71" s="111">
        <v>1545286.8933775616</v>
      </c>
      <c r="Z71" s="111">
        <v>1663777.8523213279</v>
      </c>
      <c r="AA71" s="111">
        <v>1780895.5716746862</v>
      </c>
      <c r="AB71" s="111">
        <v>1646121.9147303693</v>
      </c>
      <c r="AC71" s="111">
        <v>1328609.3037196314</v>
      </c>
      <c r="AD71" s="111">
        <v>1044250.6199630264</v>
      </c>
      <c r="AE71" s="111">
        <v>747336.60280840681</v>
      </c>
      <c r="AF71" s="111">
        <v>725757.12353056867</v>
      </c>
    </row>
    <row r="72" spans="1:33">
      <c r="A72">
        <v>72</v>
      </c>
      <c r="B72" s="4" t="str">
        <f t="shared" si="3"/>
        <v>E5250</v>
      </c>
      <c r="C72" s="495" t="s">
        <v>501</v>
      </c>
      <c r="D72" s="55" t="s">
        <v>407</v>
      </c>
      <c r="E72" s="492" t="s">
        <v>502</v>
      </c>
      <c r="F72" s="57">
        <f t="shared" si="10"/>
        <v>251019.18558678569</v>
      </c>
      <c r="G72" s="57">
        <f t="shared" si="10"/>
        <v>335771.26700412954</v>
      </c>
      <c r="H72" s="57">
        <f t="shared" si="10"/>
        <v>526169.17213267623</v>
      </c>
      <c r="I72" s="57">
        <f t="shared" si="10"/>
        <v>582474.37437058752</v>
      </c>
      <c r="J72" s="57">
        <f t="shared" si="10"/>
        <v>636719.63018516055</v>
      </c>
      <c r="K72" s="57">
        <f t="shared" si="10"/>
        <v>668992.12415079272</v>
      </c>
      <c r="L72" s="57">
        <f t="shared" si="10"/>
        <v>704795.95484214742</v>
      </c>
      <c r="M72" s="57">
        <f t="shared" si="10"/>
        <v>668403.56802983885</v>
      </c>
      <c r="N72" s="57">
        <f t="shared" si="10"/>
        <v>563542.48581324099</v>
      </c>
      <c r="O72" s="57">
        <f t="shared" si="10"/>
        <v>444948.42744105507</v>
      </c>
      <c r="P72" s="57">
        <f t="shared" si="10"/>
        <v>271422.46444651665</v>
      </c>
      <c r="Q72" s="57">
        <f t="shared" si="10"/>
        <v>236795.74599706943</v>
      </c>
      <c r="R72" s="58"/>
      <c r="S72" s="3" t="str">
        <f t="shared" si="11"/>
        <v>E5250</v>
      </c>
      <c r="T72" s="50" t="s">
        <v>501</v>
      </c>
      <c r="U72" s="111">
        <v>251019.18558678569</v>
      </c>
      <c r="V72" s="111">
        <v>335771.26700412954</v>
      </c>
      <c r="W72" s="111">
        <v>526169.17213267623</v>
      </c>
      <c r="X72" s="111">
        <v>582474.37437058752</v>
      </c>
      <c r="Y72" s="111">
        <v>636719.63018516055</v>
      </c>
      <c r="Z72" s="111">
        <v>668992.12415079272</v>
      </c>
      <c r="AA72" s="111">
        <v>704795.95484214742</v>
      </c>
      <c r="AB72" s="111">
        <v>668403.56802983885</v>
      </c>
      <c r="AC72" s="111">
        <v>563542.48581324099</v>
      </c>
      <c r="AD72" s="111">
        <v>444948.42744105507</v>
      </c>
      <c r="AE72" s="111">
        <v>271422.46444651665</v>
      </c>
      <c r="AF72" s="111">
        <v>236795.74599706943</v>
      </c>
    </row>
    <row r="73" spans="1:33">
      <c r="A73">
        <v>73</v>
      </c>
      <c r="B73" s="4" t="str">
        <f t="shared" si="3"/>
        <v>E5020</v>
      </c>
      <c r="C73" s="495" t="s">
        <v>830</v>
      </c>
      <c r="D73" s="55" t="s">
        <v>407</v>
      </c>
      <c r="E73" s="492" t="s">
        <v>831</v>
      </c>
      <c r="F73" s="57">
        <f t="shared" si="10"/>
        <v>0</v>
      </c>
      <c r="G73" s="57">
        <f t="shared" si="10"/>
        <v>0</v>
      </c>
      <c r="H73" s="57">
        <f t="shared" si="10"/>
        <v>0</v>
      </c>
      <c r="I73" s="57">
        <f t="shared" si="10"/>
        <v>0</v>
      </c>
      <c r="J73" s="57">
        <f t="shared" si="10"/>
        <v>0</v>
      </c>
      <c r="K73" s="57">
        <f t="shared" si="10"/>
        <v>0</v>
      </c>
      <c r="L73" s="57">
        <f t="shared" si="10"/>
        <v>0</v>
      </c>
      <c r="M73" s="57">
        <f t="shared" si="10"/>
        <v>0</v>
      </c>
      <c r="N73" s="57">
        <f t="shared" si="10"/>
        <v>0</v>
      </c>
      <c r="O73" s="57">
        <f t="shared" si="10"/>
        <v>0</v>
      </c>
      <c r="P73" s="57">
        <f t="shared" si="10"/>
        <v>0</v>
      </c>
      <c r="Q73" s="57">
        <f t="shared" si="10"/>
        <v>0</v>
      </c>
      <c r="S73" s="3" t="str">
        <f t="shared" si="11"/>
        <v>E5020</v>
      </c>
      <c r="T73" s="50" t="s">
        <v>830</v>
      </c>
      <c r="U73" s="111">
        <v>0</v>
      </c>
      <c r="V73" s="111">
        <v>0</v>
      </c>
      <c r="W73" s="111">
        <v>0</v>
      </c>
      <c r="X73" s="111">
        <v>0</v>
      </c>
      <c r="Y73" s="111">
        <v>0</v>
      </c>
      <c r="Z73" s="111">
        <v>0</v>
      </c>
      <c r="AA73" s="111">
        <v>0</v>
      </c>
      <c r="AB73" s="111">
        <v>0</v>
      </c>
      <c r="AC73" s="111">
        <v>0</v>
      </c>
      <c r="AD73" s="111">
        <v>0</v>
      </c>
      <c r="AE73" s="111">
        <v>0</v>
      </c>
      <c r="AF73" s="111">
        <v>0</v>
      </c>
    </row>
    <row r="74" spans="1:33">
      <c r="A74">
        <v>74</v>
      </c>
      <c r="B74" t="s">
        <v>1858</v>
      </c>
      <c r="C74" s="495" t="s">
        <v>1858</v>
      </c>
      <c r="D74" s="55" t="s">
        <v>407</v>
      </c>
      <c r="E74" s="493" t="s">
        <v>3029</v>
      </c>
      <c r="F74" s="57">
        <f t="shared" si="10"/>
        <v>10650977.048044747</v>
      </c>
      <c r="G74" s="57">
        <f t="shared" si="10"/>
        <v>9540597.9794908948</v>
      </c>
      <c r="H74" s="57">
        <f t="shared" si="10"/>
        <v>9405860.5752347764</v>
      </c>
      <c r="I74" s="57">
        <f t="shared" si="10"/>
        <v>8039723.307061336</v>
      </c>
      <c r="J74" s="57">
        <f t="shared" si="10"/>
        <v>6988286.9463305324</v>
      </c>
      <c r="K74" s="57">
        <f t="shared" si="10"/>
        <v>6138009.5191210601</v>
      </c>
      <c r="L74" s="57">
        <f t="shared" si="10"/>
        <v>6177475.0257075941</v>
      </c>
      <c r="M74" s="57">
        <f t="shared" si="10"/>
        <v>5525192.5233734567</v>
      </c>
      <c r="N74" s="57">
        <f t="shared" si="10"/>
        <v>6577481.1928047379</v>
      </c>
      <c r="O74" s="57">
        <f t="shared" si="10"/>
        <v>7797447.5188462976</v>
      </c>
      <c r="P74" s="57">
        <f t="shared" si="10"/>
        <v>9789619.6077290699</v>
      </c>
      <c r="Q74" s="57">
        <f t="shared" si="10"/>
        <v>10469328.756255496</v>
      </c>
      <c r="S74" s="3" t="e">
        <f t="shared" si="11"/>
        <v>#N/A</v>
      </c>
      <c r="T74" s="50" t="s">
        <v>476</v>
      </c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</row>
    <row r="75" spans="1:33">
      <c r="A75">
        <v>75</v>
      </c>
      <c r="B75" t="s">
        <v>2074</v>
      </c>
      <c r="C75" s="495" t="s">
        <v>2074</v>
      </c>
      <c r="D75" s="55" t="s">
        <v>407</v>
      </c>
      <c r="E75" s="493" t="s">
        <v>3027</v>
      </c>
      <c r="F75" s="57">
        <f t="shared" ref="F75:Q80" si="12">VLOOKUP($C75,$T:$AF,F$2,FALSE)</f>
        <v>3366311.1533764317</v>
      </c>
      <c r="G75" s="57">
        <f t="shared" si="12"/>
        <v>2838548.6813597688</v>
      </c>
      <c r="H75" s="57">
        <f t="shared" si="12"/>
        <v>2897301.1339248247</v>
      </c>
      <c r="I75" s="57">
        <f t="shared" si="12"/>
        <v>2388571.7837949824</v>
      </c>
      <c r="J75" s="57">
        <f t="shared" si="12"/>
        <v>2231803.7708506333</v>
      </c>
      <c r="K75" s="57">
        <f t="shared" si="12"/>
        <v>1850908.9747721169</v>
      </c>
      <c r="L75" s="57">
        <f t="shared" si="12"/>
        <v>1807210.4306087294</v>
      </c>
      <c r="M75" s="57">
        <f t="shared" si="12"/>
        <v>1795918.0545384665</v>
      </c>
      <c r="N75" s="57">
        <f t="shared" si="12"/>
        <v>2145239.2929905965</v>
      </c>
      <c r="O75" s="57">
        <f t="shared" si="12"/>
        <v>2881491.8074264564</v>
      </c>
      <c r="P75" s="57">
        <f t="shared" si="12"/>
        <v>2830067.2611227003</v>
      </c>
      <c r="Q75" s="57">
        <f t="shared" si="12"/>
        <v>3288017.3459559386</v>
      </c>
      <c r="S75" s="3" t="str">
        <f t="shared" si="11"/>
        <v>E6010</v>
      </c>
      <c r="T75" s="50" t="s">
        <v>1858</v>
      </c>
      <c r="U75" s="111">
        <v>10650977.048044747</v>
      </c>
      <c r="V75" s="111">
        <v>9540597.9794908948</v>
      </c>
      <c r="W75" s="111">
        <v>9405860.5752347764</v>
      </c>
      <c r="X75" s="111">
        <v>8039723.307061336</v>
      </c>
      <c r="Y75" s="111">
        <v>6988286.9463305324</v>
      </c>
      <c r="Z75" s="111">
        <v>6138009.5191210601</v>
      </c>
      <c r="AA75" s="111">
        <v>6177475.0257075941</v>
      </c>
      <c r="AB75" s="111">
        <v>5525192.5233734567</v>
      </c>
      <c r="AC75" s="111">
        <v>6577481.1928047379</v>
      </c>
      <c r="AD75" s="111">
        <v>7797447.5188462976</v>
      </c>
      <c r="AE75" s="111">
        <v>9789619.6077290699</v>
      </c>
      <c r="AF75" s="111">
        <v>10469328.756255496</v>
      </c>
    </row>
    <row r="76" spans="1:33">
      <c r="A76">
        <v>76</v>
      </c>
      <c r="B76" t="s">
        <v>1833</v>
      </c>
      <c r="C76" s="495" t="s">
        <v>1833</v>
      </c>
      <c r="D76" s="55" t="s">
        <v>407</v>
      </c>
      <c r="E76" s="493" t="s">
        <v>3030</v>
      </c>
      <c r="F76" s="57">
        <f t="shared" si="12"/>
        <v>5168947.0343771195</v>
      </c>
      <c r="G76" s="57">
        <f t="shared" si="12"/>
        <v>4256411.2140246732</v>
      </c>
      <c r="H76" s="57">
        <f t="shared" si="12"/>
        <v>4123926.4837819966</v>
      </c>
      <c r="I76" s="57">
        <f t="shared" si="12"/>
        <v>3314249.5382281211</v>
      </c>
      <c r="J76" s="57">
        <f t="shared" si="12"/>
        <v>3153473.0665799067</v>
      </c>
      <c r="K76" s="57">
        <f t="shared" si="12"/>
        <v>2596815.407686451</v>
      </c>
      <c r="L76" s="57">
        <f t="shared" si="12"/>
        <v>2520192.7742854478</v>
      </c>
      <c r="M76" s="57">
        <f t="shared" si="12"/>
        <v>2497498.4293397423</v>
      </c>
      <c r="N76" s="57">
        <f t="shared" si="12"/>
        <v>3027694.2149505448</v>
      </c>
      <c r="O76" s="57">
        <f t="shared" si="12"/>
        <v>4174718.5891366717</v>
      </c>
      <c r="P76" s="57">
        <f t="shared" si="12"/>
        <v>4255489.6511836639</v>
      </c>
      <c r="Q76" s="57">
        <f t="shared" si="12"/>
        <v>5012247.9859424839</v>
      </c>
      <c r="S76" s="3" t="str">
        <f t="shared" si="11"/>
        <v>E6280</v>
      </c>
      <c r="T76" s="50" t="s">
        <v>2074</v>
      </c>
      <c r="U76" s="111">
        <v>3366311.1533764317</v>
      </c>
      <c r="V76" s="111">
        <v>2838548.6813597688</v>
      </c>
      <c r="W76" s="111">
        <v>2897301.1339248247</v>
      </c>
      <c r="X76" s="111">
        <v>2388571.7837949824</v>
      </c>
      <c r="Y76" s="111">
        <v>2231803.7708506333</v>
      </c>
      <c r="Z76" s="111">
        <v>1850908.9747721169</v>
      </c>
      <c r="AA76" s="111">
        <v>1807210.4306087294</v>
      </c>
      <c r="AB76" s="111">
        <v>1795918.0545384665</v>
      </c>
      <c r="AC76" s="111">
        <v>2145239.2929905965</v>
      </c>
      <c r="AD76" s="111">
        <v>2881491.8074264564</v>
      </c>
      <c r="AE76" s="111">
        <v>2830067.2611227003</v>
      </c>
      <c r="AF76" s="111">
        <v>3288017.3459559386</v>
      </c>
    </row>
    <row r="77" spans="1:33">
      <c r="A77">
        <v>77</v>
      </c>
      <c r="B77" s="4" t="s">
        <v>1808</v>
      </c>
      <c r="C77" s="495" t="s">
        <v>1808</v>
      </c>
      <c r="D77" s="55" t="s">
        <v>407</v>
      </c>
      <c r="E77" s="493" t="s">
        <v>3162</v>
      </c>
      <c r="F77" s="57">
        <f t="shared" si="12"/>
        <v>4537429.7807607418</v>
      </c>
      <c r="G77" s="57">
        <f t="shared" si="12"/>
        <v>3740490.7962713703</v>
      </c>
      <c r="H77" s="57">
        <f t="shared" si="12"/>
        <v>3833289.1114665638</v>
      </c>
      <c r="I77" s="57">
        <f t="shared" si="12"/>
        <v>2767426.3551477157</v>
      </c>
      <c r="J77" s="57">
        <f t="shared" si="12"/>
        <v>2945499.6961834724</v>
      </c>
      <c r="K77" s="57">
        <f t="shared" si="12"/>
        <v>2401260.1084847813</v>
      </c>
      <c r="L77" s="57">
        <f t="shared" si="12"/>
        <v>2503450.7045820151</v>
      </c>
      <c r="M77" s="57">
        <f t="shared" si="12"/>
        <v>2609579.3768871669</v>
      </c>
      <c r="N77" s="57">
        <f t="shared" si="12"/>
        <v>2631676.9173604809</v>
      </c>
      <c r="O77" s="57">
        <f t="shared" si="12"/>
        <v>3544434.5511925435</v>
      </c>
      <c r="P77" s="57">
        <f t="shared" si="12"/>
        <v>4049901.3068744815</v>
      </c>
      <c r="Q77" s="57">
        <f t="shared" si="12"/>
        <v>4658324.1813866114</v>
      </c>
      <c r="S77" s="3" t="str">
        <f t="shared" si="11"/>
        <v>E5930</v>
      </c>
      <c r="T77" s="50" t="s">
        <v>1833</v>
      </c>
      <c r="U77" s="111">
        <v>5168947.0343771195</v>
      </c>
      <c r="V77" s="111">
        <v>4256411.2140246732</v>
      </c>
      <c r="W77" s="111">
        <v>4123926.4837819966</v>
      </c>
      <c r="X77" s="111">
        <v>3314249.5382281211</v>
      </c>
      <c r="Y77" s="111">
        <v>3153473.0665799067</v>
      </c>
      <c r="Z77" s="111">
        <v>2596815.407686451</v>
      </c>
      <c r="AA77" s="111">
        <v>2520192.7742854478</v>
      </c>
      <c r="AB77" s="111">
        <v>2497498.4293397423</v>
      </c>
      <c r="AC77" s="111">
        <v>3027694.2149505448</v>
      </c>
      <c r="AD77" s="111">
        <v>4174718.5891366717</v>
      </c>
      <c r="AE77" s="111">
        <v>4255489.6511836639</v>
      </c>
      <c r="AF77" s="111">
        <v>5012247.9859424839</v>
      </c>
    </row>
    <row r="78" spans="1:33">
      <c r="A78">
        <v>78</v>
      </c>
      <c r="B78" s="4" t="s">
        <v>3241</v>
      </c>
      <c r="C78" s="495" t="s">
        <v>3241</v>
      </c>
      <c r="D78" s="55" t="s">
        <v>407</v>
      </c>
      <c r="E78" s="493" t="s">
        <v>3150</v>
      </c>
      <c r="F78" s="57">
        <f t="shared" si="12"/>
        <v>469981.92</v>
      </c>
      <c r="G78" s="57">
        <f t="shared" si="12"/>
        <v>750048.72</v>
      </c>
      <c r="H78" s="57">
        <f t="shared" si="12"/>
        <v>1480045.32</v>
      </c>
      <c r="I78" s="57">
        <f t="shared" si="12"/>
        <v>1691006.8800000001</v>
      </c>
      <c r="J78" s="57">
        <f t="shared" si="12"/>
        <v>1925997.84</v>
      </c>
      <c r="K78" s="57">
        <f t="shared" si="12"/>
        <v>2128010.52</v>
      </c>
      <c r="L78" s="57">
        <f t="shared" si="12"/>
        <v>2343943.6800000002</v>
      </c>
      <c r="M78" s="57">
        <f t="shared" si="12"/>
        <v>2090060.6400000001</v>
      </c>
      <c r="N78" s="57">
        <f t="shared" si="12"/>
        <v>1578980.1600000001</v>
      </c>
      <c r="O78" s="57">
        <f t="shared" si="12"/>
        <v>1065082.44</v>
      </c>
      <c r="P78" s="57">
        <f t="shared" si="12"/>
        <v>586980.24</v>
      </c>
      <c r="Q78" s="57">
        <f t="shared" si="12"/>
        <v>461861.63999999996</v>
      </c>
      <c r="S78" s="3" t="str">
        <f t="shared" si="11"/>
        <v>E5880</v>
      </c>
      <c r="T78" s="50" t="s">
        <v>1808</v>
      </c>
      <c r="U78" s="111">
        <v>4537429.7807607418</v>
      </c>
      <c r="V78" s="111">
        <v>3740490.7962713703</v>
      </c>
      <c r="W78" s="111">
        <v>3833289.1114665638</v>
      </c>
      <c r="X78" s="111">
        <v>2767426.3551477157</v>
      </c>
      <c r="Y78" s="111">
        <v>2945499.6961834724</v>
      </c>
      <c r="Z78" s="111">
        <v>2401260.1084847813</v>
      </c>
      <c r="AA78" s="111">
        <v>2503450.7045820151</v>
      </c>
      <c r="AB78" s="111">
        <v>2609579.3768871669</v>
      </c>
      <c r="AC78" s="111">
        <v>2631676.9173604809</v>
      </c>
      <c r="AD78" s="111">
        <v>3544434.5511925435</v>
      </c>
      <c r="AE78" s="111">
        <v>4049901.3068744815</v>
      </c>
      <c r="AF78" s="111">
        <v>4658324.1813866114</v>
      </c>
      <c r="AG78" s="171"/>
    </row>
    <row r="79" spans="1:33">
      <c r="A79">
        <v>79</v>
      </c>
      <c r="B79" s="4" t="s">
        <v>2269</v>
      </c>
      <c r="C79" s="495" t="s">
        <v>2269</v>
      </c>
      <c r="D79" s="55" t="s">
        <v>407</v>
      </c>
      <c r="E79" s="493" t="s">
        <v>3151</v>
      </c>
      <c r="F79" s="57">
        <f t="shared" si="12"/>
        <v>965985.15599999996</v>
      </c>
      <c r="G79" s="57">
        <f t="shared" si="12"/>
        <v>1335097.7280000001</v>
      </c>
      <c r="H79" s="57">
        <f t="shared" si="12"/>
        <v>2048016.2039999999</v>
      </c>
      <c r="I79" s="57">
        <f t="shared" si="12"/>
        <v>2188000.8360000001</v>
      </c>
      <c r="J79" s="57">
        <f t="shared" si="12"/>
        <v>2600203.14</v>
      </c>
      <c r="K79" s="57">
        <f t="shared" si="12"/>
        <v>2776209.8760000002</v>
      </c>
      <c r="L79" s="57">
        <f t="shared" si="12"/>
        <v>2963160.0359999998</v>
      </c>
      <c r="M79" s="57">
        <f t="shared" si="12"/>
        <v>2650132.5120000001</v>
      </c>
      <c r="N79" s="57">
        <f t="shared" si="12"/>
        <v>1957960.9439999999</v>
      </c>
      <c r="O79" s="57">
        <f t="shared" si="12"/>
        <v>1485113.8320000002</v>
      </c>
      <c r="P79" s="57">
        <f t="shared" si="12"/>
        <v>985136.14799999993</v>
      </c>
      <c r="Q79" s="57">
        <f t="shared" si="12"/>
        <v>843783.58799999999</v>
      </c>
      <c r="S79" s="3" t="str">
        <f t="shared" si="11"/>
        <v>E6720</v>
      </c>
      <c r="T79" s="50" t="s">
        <v>3241</v>
      </c>
      <c r="U79" s="111">
        <v>469981.92</v>
      </c>
      <c r="V79" s="111">
        <v>750048.72</v>
      </c>
      <c r="W79" s="111">
        <v>1480045.32</v>
      </c>
      <c r="X79" s="111">
        <v>1691006.8800000001</v>
      </c>
      <c r="Y79" s="111">
        <v>1925997.84</v>
      </c>
      <c r="Z79" s="111">
        <v>2128010.52</v>
      </c>
      <c r="AA79" s="111">
        <v>2343943.6800000002</v>
      </c>
      <c r="AB79" s="111">
        <v>2090060.6400000001</v>
      </c>
      <c r="AC79" s="111">
        <v>1578980.1600000001</v>
      </c>
      <c r="AD79" s="111">
        <v>1065082.44</v>
      </c>
      <c r="AE79" s="111">
        <v>586980.24</v>
      </c>
      <c r="AF79" s="111">
        <v>461861.63999999996</v>
      </c>
    </row>
    <row r="80" spans="1:33">
      <c r="A80">
        <v>80</v>
      </c>
      <c r="B80" s="4" t="s">
        <v>2089</v>
      </c>
      <c r="C80" s="495" t="s">
        <v>2089</v>
      </c>
      <c r="D80" s="55" t="s">
        <v>407</v>
      </c>
      <c r="E80" s="493" t="s">
        <v>3143</v>
      </c>
      <c r="F80" s="57">
        <f t="shared" si="12"/>
        <v>3705431.6469643875</v>
      </c>
      <c r="G80" s="57">
        <f t="shared" si="12"/>
        <v>3277094.9986763862</v>
      </c>
      <c r="H80" s="57">
        <f t="shared" si="12"/>
        <v>3185926.9914196124</v>
      </c>
      <c r="I80" s="57">
        <f t="shared" si="12"/>
        <v>2417460.1729367794</v>
      </c>
      <c r="J80" s="57">
        <f t="shared" si="12"/>
        <v>2326469.9806335564</v>
      </c>
      <c r="K80" s="57">
        <f t="shared" si="12"/>
        <v>1801962.610175987</v>
      </c>
      <c r="L80" s="57">
        <f t="shared" si="12"/>
        <v>1839683.7442551958</v>
      </c>
      <c r="M80" s="57">
        <f t="shared" si="12"/>
        <v>1825319.5602309161</v>
      </c>
      <c r="N80" s="57">
        <f t="shared" si="12"/>
        <v>2029009.3899145976</v>
      </c>
      <c r="O80" s="57">
        <f t="shared" si="12"/>
        <v>2848368.6668490446</v>
      </c>
      <c r="P80" s="57">
        <f t="shared" si="12"/>
        <v>3337231.3112656451</v>
      </c>
      <c r="Q80" s="57">
        <f t="shared" si="12"/>
        <v>3616852.5121479984</v>
      </c>
      <c r="S80" s="3" t="str">
        <f t="shared" si="11"/>
        <v>E6040</v>
      </c>
      <c r="T80" s="50" t="s">
        <v>2269</v>
      </c>
      <c r="U80" s="111">
        <v>965985.15599999996</v>
      </c>
      <c r="V80" s="111">
        <v>1335097.7280000001</v>
      </c>
      <c r="W80" s="111">
        <v>2048016.2039999999</v>
      </c>
      <c r="X80" s="111">
        <v>2188000.8360000001</v>
      </c>
      <c r="Y80" s="111">
        <v>2600203.14</v>
      </c>
      <c r="Z80" s="111">
        <v>2776209.8760000002</v>
      </c>
      <c r="AA80" s="111">
        <v>2963160.0359999998</v>
      </c>
      <c r="AB80" s="111">
        <v>2650132.5120000001</v>
      </c>
      <c r="AC80" s="111">
        <v>1957960.9439999999</v>
      </c>
      <c r="AD80" s="111">
        <v>1485113.8320000002</v>
      </c>
      <c r="AE80" s="111">
        <v>985136.14799999993</v>
      </c>
      <c r="AF80" s="111">
        <v>843783.58799999999</v>
      </c>
    </row>
    <row r="81" spans="1:33">
      <c r="A81">
        <v>81</v>
      </c>
      <c r="B81" s="4" t="s">
        <v>3333</v>
      </c>
      <c r="C81" s="4" t="s">
        <v>3333</v>
      </c>
      <c r="D81" s="55" t="s">
        <v>407</v>
      </c>
      <c r="E81" s="741" t="s">
        <v>3157</v>
      </c>
      <c r="F81" s="57">
        <f t="shared" ref="F81:Q86" si="13">VLOOKUP($C81,$T:$AF,F$2,FALSE)</f>
        <v>0</v>
      </c>
      <c r="G81" s="57">
        <f t="shared" si="13"/>
        <v>0</v>
      </c>
      <c r="H81" s="57">
        <f t="shared" si="13"/>
        <v>0</v>
      </c>
      <c r="I81" s="57">
        <f t="shared" si="13"/>
        <v>0</v>
      </c>
      <c r="J81" s="57">
        <f t="shared" si="13"/>
        <v>0</v>
      </c>
      <c r="K81" s="57">
        <f t="shared" si="13"/>
        <v>0</v>
      </c>
      <c r="L81" s="57">
        <f t="shared" si="13"/>
        <v>0</v>
      </c>
      <c r="M81" s="57">
        <f t="shared" si="13"/>
        <v>0</v>
      </c>
      <c r="N81" s="57">
        <f t="shared" si="13"/>
        <v>0</v>
      </c>
      <c r="O81" s="57">
        <f t="shared" si="13"/>
        <v>0</v>
      </c>
      <c r="P81" s="57">
        <f t="shared" si="13"/>
        <v>0</v>
      </c>
      <c r="Q81" s="57">
        <f t="shared" si="13"/>
        <v>0</v>
      </c>
      <c r="S81" s="3" t="str">
        <f t="shared" si="11"/>
        <v>E6310</v>
      </c>
      <c r="T81" s="50" t="s">
        <v>2089</v>
      </c>
      <c r="U81" s="111">
        <v>3705431.6469643875</v>
      </c>
      <c r="V81" s="111">
        <v>3277094.9986763862</v>
      </c>
      <c r="W81" s="111">
        <v>3185926.9914196124</v>
      </c>
      <c r="X81" s="111">
        <v>2417460.1729367794</v>
      </c>
      <c r="Y81" s="111">
        <v>2326469.9806335564</v>
      </c>
      <c r="Z81" s="111">
        <v>1801962.610175987</v>
      </c>
      <c r="AA81" s="111">
        <v>1839683.7442551958</v>
      </c>
      <c r="AB81" s="111">
        <v>1825319.5602309161</v>
      </c>
      <c r="AC81" s="111">
        <v>2029009.3899145976</v>
      </c>
      <c r="AD81" s="111">
        <v>2848368.6668490446</v>
      </c>
      <c r="AE81" s="111">
        <v>3337231.3112656451</v>
      </c>
      <c r="AF81" s="111">
        <v>3616852.5121479984</v>
      </c>
      <c r="AG81" s="111"/>
    </row>
    <row r="82" spans="1:33">
      <c r="A82">
        <v>82</v>
      </c>
      <c r="B82" s="4" t="s">
        <v>1813</v>
      </c>
      <c r="C82" s="4" t="s">
        <v>1813</v>
      </c>
      <c r="D82" s="55" t="s">
        <v>407</v>
      </c>
      <c r="E82" s="741" t="s">
        <v>3395</v>
      </c>
      <c r="F82" s="57">
        <f t="shared" si="13"/>
        <v>2698910.2781550814</v>
      </c>
      <c r="G82" s="57">
        <f t="shared" si="13"/>
        <v>2373059.7661503367</v>
      </c>
      <c r="H82" s="57">
        <f t="shared" si="13"/>
        <v>2919360.1075939429</v>
      </c>
      <c r="I82" s="57">
        <f t="shared" si="13"/>
        <v>1756013.797054722</v>
      </c>
      <c r="J82" s="57">
        <f t="shared" si="13"/>
        <v>1629984.9423875767</v>
      </c>
      <c r="K82" s="57">
        <f t="shared" si="13"/>
        <v>1674151.3322593453</v>
      </c>
      <c r="L82" s="57">
        <f t="shared" si="13"/>
        <v>1640238.4228265935</v>
      </c>
      <c r="M82" s="57">
        <f t="shared" si="13"/>
        <v>1294183.4580097755</v>
      </c>
      <c r="N82" s="57">
        <f t="shared" si="13"/>
        <v>1620816.6961047826</v>
      </c>
      <c r="O82" s="57">
        <f t="shared" si="13"/>
        <v>2101645.0425823503</v>
      </c>
      <c r="P82" s="57">
        <f t="shared" si="13"/>
        <v>2222381.7783132298</v>
      </c>
      <c r="Q82" s="57">
        <f t="shared" si="13"/>
        <v>2506657.5199235156</v>
      </c>
      <c r="S82" s="3" t="str">
        <f t="shared" ref="S82:S86" si="14">VLOOKUP(T82,C:C,1,FALSE)</f>
        <v>E6571</v>
      </c>
      <c r="T82" s="50" t="s">
        <v>3333</v>
      </c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</row>
    <row r="83" spans="1:33">
      <c r="A83">
        <v>83</v>
      </c>
      <c r="B83" s="4" t="s">
        <v>3400</v>
      </c>
      <c r="C83" s="4" t="s">
        <v>3400</v>
      </c>
      <c r="D83" s="55" t="s">
        <v>407</v>
      </c>
      <c r="E83" s="741" t="s">
        <v>3396</v>
      </c>
      <c r="F83" s="57">
        <f t="shared" si="13"/>
        <v>0</v>
      </c>
      <c r="G83" s="57">
        <f t="shared" si="13"/>
        <v>0</v>
      </c>
      <c r="H83" s="57">
        <f t="shared" si="13"/>
        <v>0</v>
      </c>
      <c r="I83" s="57">
        <f t="shared" si="13"/>
        <v>0</v>
      </c>
      <c r="J83" s="57">
        <f t="shared" si="13"/>
        <v>0</v>
      </c>
      <c r="K83" s="57">
        <f t="shared" si="13"/>
        <v>0</v>
      </c>
      <c r="L83" s="57">
        <f t="shared" si="13"/>
        <v>0</v>
      </c>
      <c r="M83" s="57">
        <f t="shared" si="13"/>
        <v>2238222.3371251291</v>
      </c>
      <c r="N83" s="57">
        <f t="shared" si="13"/>
        <v>2660528.4384694933</v>
      </c>
      <c r="O83" s="57">
        <f t="shared" si="13"/>
        <v>3631832.4715615301</v>
      </c>
      <c r="P83" s="57">
        <f t="shared" si="13"/>
        <v>4223061.0134436404</v>
      </c>
      <c r="Q83" s="57">
        <f t="shared" si="13"/>
        <v>5067673.216132368</v>
      </c>
      <c r="S83" s="3" t="str">
        <f t="shared" si="14"/>
        <v>E5890</v>
      </c>
      <c r="T83" s="50" t="s">
        <v>1813</v>
      </c>
      <c r="U83" s="111">
        <v>2698910.2781550814</v>
      </c>
      <c r="V83" s="111">
        <v>2373059.7661503367</v>
      </c>
      <c r="W83" s="111">
        <v>2919360.1075939429</v>
      </c>
      <c r="X83" s="111">
        <v>1756013.797054722</v>
      </c>
      <c r="Y83" s="111">
        <v>1629984.9423875767</v>
      </c>
      <c r="Z83" s="111">
        <v>1674151.3322593453</v>
      </c>
      <c r="AA83" s="111">
        <v>1640238.4228265935</v>
      </c>
      <c r="AB83" s="111">
        <v>1294183.4580097755</v>
      </c>
      <c r="AC83" s="111">
        <v>1620816.6961047826</v>
      </c>
      <c r="AD83" s="111">
        <v>2101645.0425823503</v>
      </c>
      <c r="AE83" s="111">
        <v>2222381.7783132298</v>
      </c>
      <c r="AF83" s="111">
        <v>2506657.5199235156</v>
      </c>
    </row>
    <row r="84" spans="1:33">
      <c r="A84">
        <v>84</v>
      </c>
      <c r="B84" s="4" t="s">
        <v>3401</v>
      </c>
      <c r="C84" s="4" t="s">
        <v>3401</v>
      </c>
      <c r="D84" s="55" t="s">
        <v>407</v>
      </c>
      <c r="E84" s="741" t="s">
        <v>3397</v>
      </c>
      <c r="F84" s="57">
        <f t="shared" si="13"/>
        <v>0</v>
      </c>
      <c r="G84" s="57">
        <f t="shared" si="13"/>
        <v>0</v>
      </c>
      <c r="H84" s="57">
        <f t="shared" si="13"/>
        <v>0</v>
      </c>
      <c r="I84" s="57">
        <f t="shared" si="13"/>
        <v>0</v>
      </c>
      <c r="J84" s="57">
        <f t="shared" si="13"/>
        <v>0</v>
      </c>
      <c r="K84" s="57">
        <f t="shared" si="13"/>
        <v>0</v>
      </c>
      <c r="L84" s="57">
        <f t="shared" si="13"/>
        <v>2373741.4684591522</v>
      </c>
      <c r="M84" s="57">
        <f t="shared" si="13"/>
        <v>2210035.1602895553</v>
      </c>
      <c r="N84" s="57">
        <f t="shared" si="13"/>
        <v>2619300.9307135474</v>
      </c>
      <c r="O84" s="57">
        <f t="shared" si="13"/>
        <v>3519685.625646329</v>
      </c>
      <c r="P84" s="57">
        <f t="shared" si="13"/>
        <v>4051731.1271975185</v>
      </c>
      <c r="Q84" s="57">
        <f t="shared" si="13"/>
        <v>4870262.6680455012</v>
      </c>
      <c r="S84" s="3" t="str">
        <f t="shared" si="14"/>
        <v>E6730</v>
      </c>
      <c r="T84" s="50" t="s">
        <v>3400</v>
      </c>
      <c r="U84" s="111">
        <v>0</v>
      </c>
      <c r="V84" s="111">
        <v>0</v>
      </c>
      <c r="W84" s="111">
        <v>0</v>
      </c>
      <c r="X84" s="111">
        <v>0</v>
      </c>
      <c r="Y84" s="111">
        <v>0</v>
      </c>
      <c r="Z84" s="111">
        <v>0</v>
      </c>
      <c r="AA84" s="111">
        <v>0</v>
      </c>
      <c r="AB84" s="111">
        <v>2238222.3371251291</v>
      </c>
      <c r="AC84" s="111">
        <v>2660528.4384694933</v>
      </c>
      <c r="AD84" s="111">
        <v>3631832.4715615301</v>
      </c>
      <c r="AE84" s="111">
        <v>4223061.0134436404</v>
      </c>
      <c r="AF84" s="111">
        <v>5067673.216132368</v>
      </c>
    </row>
    <row r="85" spans="1:33">
      <c r="A85">
        <v>85</v>
      </c>
      <c r="B85" s="4" t="s">
        <v>2079</v>
      </c>
      <c r="C85" s="4" t="s">
        <v>2079</v>
      </c>
      <c r="D85" s="55" t="s">
        <v>407</v>
      </c>
      <c r="E85" s="741" t="s">
        <v>3398</v>
      </c>
      <c r="F85" s="57">
        <f t="shared" si="13"/>
        <v>0</v>
      </c>
      <c r="G85" s="57">
        <f t="shared" si="13"/>
        <v>0</v>
      </c>
      <c r="H85" s="57">
        <f t="shared" si="13"/>
        <v>0</v>
      </c>
      <c r="I85" s="57">
        <f t="shared" si="13"/>
        <v>0</v>
      </c>
      <c r="J85" s="57">
        <f t="shared" si="13"/>
        <v>0</v>
      </c>
      <c r="K85" s="57">
        <f t="shared" si="13"/>
        <v>3011714.5811789036</v>
      </c>
      <c r="L85" s="57">
        <f t="shared" si="13"/>
        <v>3234804.550155119</v>
      </c>
      <c r="M85" s="57">
        <f t="shared" si="13"/>
        <v>2955942.0889348499</v>
      </c>
      <c r="N85" s="57">
        <f t="shared" si="13"/>
        <v>3513667.0113753877</v>
      </c>
      <c r="O85" s="57">
        <f t="shared" si="13"/>
        <v>4796434.3329886245</v>
      </c>
      <c r="P85" s="57">
        <f t="shared" si="13"/>
        <v>5577249.2244053781</v>
      </c>
      <c r="Q85" s="57">
        <f t="shared" si="13"/>
        <v>6692699.0692864526</v>
      </c>
      <c r="S85" s="3" t="str">
        <f t="shared" si="14"/>
        <v>E6740</v>
      </c>
      <c r="T85" s="50" t="s">
        <v>3401</v>
      </c>
      <c r="U85" s="111">
        <v>0</v>
      </c>
      <c r="V85" s="111">
        <v>0</v>
      </c>
      <c r="W85" s="111">
        <v>0</v>
      </c>
      <c r="X85" s="111">
        <v>0</v>
      </c>
      <c r="Y85" s="111">
        <v>0</v>
      </c>
      <c r="Z85" s="111">
        <v>0</v>
      </c>
      <c r="AA85" s="111">
        <v>2373741.4684591522</v>
      </c>
      <c r="AB85" s="111">
        <v>2210035.1602895553</v>
      </c>
      <c r="AC85" s="111">
        <v>2619300.9307135474</v>
      </c>
      <c r="AD85" s="111">
        <v>3519685.625646329</v>
      </c>
      <c r="AE85" s="111">
        <v>4051731.1271975185</v>
      </c>
      <c r="AF85" s="111">
        <v>4870262.6680455012</v>
      </c>
    </row>
    <row r="86" spans="1:33">
      <c r="A86">
        <v>86</v>
      </c>
      <c r="B86" s="4" t="s">
        <v>3402</v>
      </c>
      <c r="C86" s="4" t="s">
        <v>3402</v>
      </c>
      <c r="D86" s="55" t="s">
        <v>407</v>
      </c>
      <c r="E86" s="741" t="s">
        <v>3399</v>
      </c>
      <c r="F86" s="57">
        <f t="shared" si="13"/>
        <v>0</v>
      </c>
      <c r="G86" s="57">
        <f t="shared" si="13"/>
        <v>0</v>
      </c>
      <c r="H86" s="57">
        <f t="shared" si="13"/>
        <v>0</v>
      </c>
      <c r="I86" s="57">
        <f t="shared" si="13"/>
        <v>0</v>
      </c>
      <c r="J86" s="57">
        <f t="shared" si="13"/>
        <v>0</v>
      </c>
      <c r="K86" s="57">
        <f t="shared" si="13"/>
        <v>0</v>
      </c>
      <c r="L86" s="57">
        <f t="shared" si="13"/>
        <v>0</v>
      </c>
      <c r="M86" s="57">
        <f t="shared" si="13"/>
        <v>0</v>
      </c>
      <c r="N86" s="57">
        <f t="shared" si="13"/>
        <v>0</v>
      </c>
      <c r="O86" s="57">
        <f t="shared" si="13"/>
        <v>0</v>
      </c>
      <c r="P86" s="57">
        <f t="shared" si="13"/>
        <v>5066168.5625646329</v>
      </c>
      <c r="Q86" s="57">
        <f t="shared" si="13"/>
        <v>6079402.2750775591</v>
      </c>
      <c r="S86" s="3" t="str">
        <f t="shared" si="14"/>
        <v>E6290</v>
      </c>
      <c r="T86" s="50" t="s">
        <v>2079</v>
      </c>
      <c r="U86" s="111">
        <v>0</v>
      </c>
      <c r="V86" s="111">
        <v>0</v>
      </c>
      <c r="W86" s="111">
        <v>0</v>
      </c>
      <c r="X86" s="111">
        <v>0</v>
      </c>
      <c r="Y86" s="111">
        <v>0</v>
      </c>
      <c r="Z86" s="111">
        <v>3011714.5811789036</v>
      </c>
      <c r="AA86" s="111">
        <v>3234804.550155119</v>
      </c>
      <c r="AB86" s="111">
        <v>2955942.0889348499</v>
      </c>
      <c r="AC86" s="111">
        <v>3513667.0113753877</v>
      </c>
      <c r="AD86" s="111">
        <v>4796434.3329886245</v>
      </c>
      <c r="AE86" s="111">
        <v>5577249.2244053781</v>
      </c>
      <c r="AF86" s="111">
        <v>6692699.0692864526</v>
      </c>
    </row>
    <row r="87" spans="1:33"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T87" s="50" t="s">
        <v>3402</v>
      </c>
      <c r="U87" s="111">
        <v>0</v>
      </c>
      <c r="V87" s="111">
        <v>0</v>
      </c>
      <c r="W87" s="111">
        <v>0</v>
      </c>
      <c r="X87" s="111">
        <v>0</v>
      </c>
      <c r="Y87" s="111">
        <v>0</v>
      </c>
      <c r="Z87" s="111">
        <v>0</v>
      </c>
      <c r="AA87" s="111">
        <v>0</v>
      </c>
      <c r="AB87" s="111">
        <v>0</v>
      </c>
      <c r="AC87" s="111">
        <v>0</v>
      </c>
      <c r="AD87" s="111">
        <v>0</v>
      </c>
      <c r="AE87" s="111">
        <v>5066168.5625646329</v>
      </c>
      <c r="AF87" s="111">
        <v>6079402.2750775591</v>
      </c>
    </row>
    <row r="88" spans="1:33">
      <c r="E88" s="488" t="s">
        <v>503</v>
      </c>
      <c r="F88" s="489">
        <f t="shared" ref="F88:Q88" si="15">SUM(F5:F87)</f>
        <v>274945342.31903827</v>
      </c>
      <c r="G88" s="489">
        <f t="shared" si="15"/>
        <v>229910951.28852659</v>
      </c>
      <c r="H88" s="489">
        <f t="shared" si="15"/>
        <v>227160668.0364902</v>
      </c>
      <c r="I88" s="489">
        <f t="shared" si="15"/>
        <v>186063355.64293155</v>
      </c>
      <c r="J88" s="489">
        <f t="shared" si="15"/>
        <v>169485393.34958887</v>
      </c>
      <c r="K88" s="489">
        <f t="shared" si="15"/>
        <v>140749194.41638532</v>
      </c>
      <c r="L88" s="489">
        <f t="shared" si="15"/>
        <v>140215525.41498077</v>
      </c>
      <c r="M88" s="489">
        <f t="shared" si="15"/>
        <v>135868034.28704709</v>
      </c>
      <c r="N88" s="489">
        <f t="shared" si="15"/>
        <v>165771509.95361328</v>
      </c>
      <c r="O88" s="489">
        <f t="shared" si="15"/>
        <v>226063405.31717318</v>
      </c>
      <c r="P88" s="489">
        <f t="shared" si="15"/>
        <v>244696367.73426673</v>
      </c>
      <c r="Q88" s="489">
        <f t="shared" si="15"/>
        <v>286123403.81377172</v>
      </c>
      <c r="T88" s="50" t="s">
        <v>498</v>
      </c>
      <c r="U88" s="111">
        <v>274945342.31903827</v>
      </c>
      <c r="V88" s="111">
        <v>229910951.28852659</v>
      </c>
      <c r="W88" s="111">
        <v>227160668.0364902</v>
      </c>
      <c r="X88" s="111">
        <v>186063355.64293155</v>
      </c>
      <c r="Y88" s="111">
        <v>169485393.34958887</v>
      </c>
      <c r="Z88" s="111">
        <v>140749194.41638532</v>
      </c>
      <c r="AA88" s="111">
        <v>140215525.41498077</v>
      </c>
      <c r="AB88" s="111">
        <v>135868034.28704709</v>
      </c>
      <c r="AC88" s="111">
        <v>165771509.95361328</v>
      </c>
      <c r="AD88" s="111">
        <v>226063405.31717318</v>
      </c>
      <c r="AE88" s="111">
        <v>244696367.73426673</v>
      </c>
      <c r="AF88" s="111">
        <v>286123403.81377172</v>
      </c>
      <c r="AG88" s="111">
        <f>SUM(U88:AF88)-'1-EO_Calcul Reporting'!R119</f>
        <v>0</v>
      </c>
    </row>
    <row r="89" spans="1:33">
      <c r="E89" s="488" t="s">
        <v>504</v>
      </c>
      <c r="F89" s="490">
        <f>F88-U88</f>
        <v>0</v>
      </c>
      <c r="G89" s="490">
        <f>G88-V88</f>
        <v>0</v>
      </c>
      <c r="H89" s="490">
        <f t="shared" ref="H89:Q89" si="16">H88-W88</f>
        <v>0</v>
      </c>
      <c r="I89" s="490">
        <f t="shared" si="16"/>
        <v>0</v>
      </c>
      <c r="J89" s="490">
        <f t="shared" si="16"/>
        <v>0</v>
      </c>
      <c r="K89" s="490">
        <f t="shared" si="16"/>
        <v>0</v>
      </c>
      <c r="L89" s="490">
        <f t="shared" si="16"/>
        <v>0</v>
      </c>
      <c r="M89" s="490">
        <f t="shared" si="16"/>
        <v>0</v>
      </c>
      <c r="N89" s="490">
        <f t="shared" si="16"/>
        <v>0</v>
      </c>
      <c r="O89" s="490">
        <f t="shared" si="16"/>
        <v>0</v>
      </c>
      <c r="P89" s="490">
        <f t="shared" si="16"/>
        <v>0</v>
      </c>
      <c r="Q89" s="490">
        <f t="shared" si="16"/>
        <v>0</v>
      </c>
    </row>
    <row r="91" spans="1:33">
      <c r="R91" s="63"/>
      <c r="S91" s="63" t="s">
        <v>511</v>
      </c>
      <c r="T91" s="63" t="s">
        <v>505</v>
      </c>
      <c r="U91" s="63" t="s">
        <v>3014</v>
      </c>
      <c r="V91" s="63" t="s">
        <v>3015</v>
      </c>
      <c r="W91" s="63" t="s">
        <v>3016</v>
      </c>
      <c r="X91" s="63" t="s">
        <v>3017</v>
      </c>
      <c r="Y91" s="63" t="s">
        <v>3018</v>
      </c>
      <c r="Z91" s="63" t="s">
        <v>3019</v>
      </c>
      <c r="AA91" s="63" t="s">
        <v>3020</v>
      </c>
      <c r="AB91" s="63" t="s">
        <v>3021</v>
      </c>
      <c r="AC91" s="63" t="s">
        <v>3022</v>
      </c>
      <c r="AD91" s="63" t="s">
        <v>3023</v>
      </c>
      <c r="AE91" s="63" t="s">
        <v>3024</v>
      </c>
      <c r="AF91" s="63" t="s">
        <v>3025</v>
      </c>
    </row>
    <row r="92" spans="1:33">
      <c r="F92" s="61"/>
      <c r="G92" s="61"/>
      <c r="H92" s="61"/>
      <c r="I92" s="61"/>
      <c r="J92" s="61"/>
      <c r="K92" s="61"/>
      <c r="L92" s="61"/>
      <c r="M92" s="61"/>
      <c r="R92" s="63"/>
      <c r="S92" s="63" t="s">
        <v>512</v>
      </c>
      <c r="T92" s="63" t="s">
        <v>513</v>
      </c>
      <c r="U92" s="63" t="s">
        <v>3071</v>
      </c>
      <c r="V92" s="63" t="s">
        <v>3072</v>
      </c>
      <c r="W92" s="63" t="s">
        <v>3073</v>
      </c>
      <c r="X92" s="63" t="s">
        <v>3074</v>
      </c>
      <c r="Y92" s="63" t="s">
        <v>3075</v>
      </c>
      <c r="Z92" s="63" t="s">
        <v>3076</v>
      </c>
      <c r="AA92" s="63" t="s">
        <v>3077</v>
      </c>
      <c r="AB92" s="63" t="s">
        <v>3078</v>
      </c>
      <c r="AC92" s="63" t="s">
        <v>3079</v>
      </c>
      <c r="AD92" s="63" t="s">
        <v>3080</v>
      </c>
      <c r="AE92" s="63" t="s">
        <v>3081</v>
      </c>
      <c r="AF92" s="63" t="s">
        <v>3043</v>
      </c>
    </row>
    <row r="93" spans="1:33">
      <c r="F93" s="61"/>
      <c r="R93" s="63"/>
      <c r="S93" s="161" t="s">
        <v>236</v>
      </c>
      <c r="T93" s="63" t="s">
        <v>2630</v>
      </c>
      <c r="U93" s="63" t="s">
        <v>3032</v>
      </c>
      <c r="V93" s="63" t="s">
        <v>3033</v>
      </c>
      <c r="W93" s="63" t="s">
        <v>3034</v>
      </c>
      <c r="X93" s="63" t="s">
        <v>3035</v>
      </c>
      <c r="Y93" s="63" t="s">
        <v>3036</v>
      </c>
      <c r="Z93" s="63" t="s">
        <v>3037</v>
      </c>
      <c r="AA93" s="63" t="s">
        <v>3038</v>
      </c>
      <c r="AB93" s="63" t="s">
        <v>3039</v>
      </c>
      <c r="AC93" s="63" t="s">
        <v>3040</v>
      </c>
      <c r="AD93" s="63" t="s">
        <v>3041</v>
      </c>
      <c r="AE93" s="63" t="s">
        <v>3042</v>
      </c>
      <c r="AF93" s="63" t="s">
        <v>3031</v>
      </c>
    </row>
    <row r="94" spans="1:33">
      <c r="R94" s="63" t="s">
        <v>515</v>
      </c>
      <c r="S94" s="63" t="s">
        <v>516</v>
      </c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</row>
    <row r="95" spans="1:33">
      <c r="Q95" s="63"/>
      <c r="R95" s="63" t="s">
        <v>517</v>
      </c>
      <c r="S95" s="63" t="s">
        <v>506</v>
      </c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</row>
    <row r="96" spans="1:33">
      <c r="Q96" s="63"/>
      <c r="R96" s="63" t="s">
        <v>518</v>
      </c>
      <c r="S96" s="63" t="s">
        <v>507</v>
      </c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</row>
    <row r="97" spans="6:32">
      <c r="Q97" s="63"/>
      <c r="R97" s="63" t="s">
        <v>519</v>
      </c>
      <c r="S97" s="63" t="s">
        <v>508</v>
      </c>
      <c r="T97" s="63"/>
      <c r="U97" s="24" t="s">
        <v>235</v>
      </c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</row>
    <row r="98" spans="6:32">
      <c r="Q98" s="63"/>
      <c r="R98" s="63" t="s">
        <v>520</v>
      </c>
      <c r="S98" s="63" t="s">
        <v>509</v>
      </c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</row>
    <row r="99" spans="6:32" ht="16.5" thickBot="1">
      <c r="Q99" s="63"/>
      <c r="R99" s="64"/>
      <c r="S99" s="80"/>
      <c r="T99" s="163" t="s">
        <v>2629</v>
      </c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</row>
    <row r="100" spans="6:32" ht="39" thickBot="1">
      <c r="Q100" s="63"/>
      <c r="R100" s="65"/>
      <c r="S100" s="65"/>
      <c r="T100" s="83" t="s">
        <v>843</v>
      </c>
      <c r="U100" s="85" t="s">
        <v>522</v>
      </c>
      <c r="V100" s="86" t="s">
        <v>522</v>
      </c>
      <c r="W100" s="86" t="s">
        <v>522</v>
      </c>
      <c r="X100" s="86" t="s">
        <v>522</v>
      </c>
      <c r="Y100" s="86" t="s">
        <v>522</v>
      </c>
      <c r="Z100" s="86" t="s">
        <v>522</v>
      </c>
      <c r="AA100" s="86" t="s">
        <v>522</v>
      </c>
      <c r="AB100" s="86" t="s">
        <v>522</v>
      </c>
      <c r="AC100" s="86" t="s">
        <v>522</v>
      </c>
      <c r="AD100" s="86" t="s">
        <v>522</v>
      </c>
      <c r="AE100" s="86" t="s">
        <v>522</v>
      </c>
      <c r="AF100" s="87" t="s">
        <v>522</v>
      </c>
    </row>
    <row r="101" spans="6:32" ht="26.25" thickBot="1">
      <c r="Q101" s="64"/>
      <c r="R101" s="65"/>
      <c r="S101" s="89" t="s">
        <v>524</v>
      </c>
      <c r="T101" s="89" t="s">
        <v>278</v>
      </c>
      <c r="U101" s="85" t="str">
        <f>_xll.LVDESC("accounts",$S$93,'1-EO_Calcul Reporting'!$DR$7)</f>
        <v>Électricité en KWh vendue</v>
      </c>
      <c r="V101" s="85" t="str">
        <f>_xll.LVDESC("accounts",$S$93,'1-EO_Calcul Reporting'!$DR$7)</f>
        <v>Électricité en KWh vendue</v>
      </c>
      <c r="W101" s="85" t="str">
        <f>_xll.LVDESC("accounts",$S$93,'1-EO_Calcul Reporting'!$DR$7)</f>
        <v>Électricité en KWh vendue</v>
      </c>
      <c r="X101" s="85" t="str">
        <f>_xll.LVDESC("accounts",$S$93,'1-EO_Calcul Reporting'!$DR$7)</f>
        <v>Électricité en KWh vendue</v>
      </c>
      <c r="Y101" s="85" t="str">
        <f>_xll.LVDESC("accounts",$S$93,'1-EO_Calcul Reporting'!$DR$7)</f>
        <v>Électricité en KWh vendue</v>
      </c>
      <c r="Z101" s="85" t="str">
        <f>_xll.LVDESC("accounts",$S$93,'1-EO_Calcul Reporting'!$DR$7)</f>
        <v>Électricité en KWh vendue</v>
      </c>
      <c r="AA101" s="85" t="str">
        <f>_xll.LVDESC("accounts",$S$93,'1-EO_Calcul Reporting'!$DR$7)</f>
        <v>Électricité en KWh vendue</v>
      </c>
      <c r="AB101" s="85" t="str">
        <f>_xll.LVDESC("accounts",$S$93,'1-EO_Calcul Reporting'!$DR$7)</f>
        <v>Électricité en KWh vendue</v>
      </c>
      <c r="AC101" s="85" t="str">
        <f>_xll.LVDESC("accounts",$S$93,'1-EO_Calcul Reporting'!$DR$7)</f>
        <v>Électricité en KWh vendue</v>
      </c>
      <c r="AD101" s="85" t="str">
        <f>_xll.LVDESC("accounts",$S$93,'1-EO_Calcul Reporting'!$DR$7)</f>
        <v>Électricité en KWh vendue</v>
      </c>
      <c r="AE101" s="85" t="str">
        <f>_xll.LVDESC("accounts",$S$93,'1-EO_Calcul Reporting'!$DR$7)</f>
        <v>Électricité en KWh vendue</v>
      </c>
      <c r="AF101" s="85" t="str">
        <f>_xll.LVDESC("accounts",$S$93,'1-EO_Calcul Reporting'!$DR$7)</f>
        <v>Électricité en KWh vendue</v>
      </c>
    </row>
    <row r="102" spans="6:32">
      <c r="Q102" s="65"/>
      <c r="R102" s="65"/>
      <c r="S102" t="s">
        <v>406</v>
      </c>
      <c r="T102" s="68" t="str">
        <f>_xll.LVDESC("entities",$S102,$U$97)</f>
        <v>Boralex Avignonet SAS</v>
      </c>
      <c r="U102" s="172">
        <f>_xll.LVCELL($S$93,U$93,$S102,$T$92,$S$94,$S$95,$S$96,$S$97,$S$98,$T$93)-U5</f>
        <v>-31953.48765109852</v>
      </c>
      <c r="V102" s="172">
        <f>_xll.LVCELL($S$93,V$93,$S102,$T$92,$S$94,$S$95,$S$96,$S$97,$S$98,$T$93)-V5</f>
        <v>118834.1698785685</v>
      </c>
      <c r="W102" s="172">
        <f>_xll.LVCELL($S$93,W$93,$S102,$T$92,$S$94,$S$95,$S$96,$S$97,$S$98,$T$93)-W5</f>
        <v>-32988.752070930088</v>
      </c>
      <c r="X102" s="172">
        <f>_xll.LVCELL($S$93,X$93,$S102,$T$92,$S$94,$S$95,$S$96,$S$97,$S$98,$T$93)-X5</f>
        <v>21428.236967128934</v>
      </c>
      <c r="Y102" s="172">
        <f>_xll.LVCELL($S$93,Y$93,$S102,$T$92,$S$94,$S$95,$S$96,$S$97,$S$98,$T$93)-Y5</f>
        <v>-28661.56396998046</v>
      </c>
      <c r="Z102" s="172">
        <f>_xll.LVCELL($S$93,Z$93,$S102,$T$92,$S$94,$S$95,$S$96,$S$97,$S$98,$T$93)-Z5</f>
        <v>14803.754587105941</v>
      </c>
      <c r="AA102" s="172">
        <f>_xll.LVCELL($S$93,AA$93,$S102,$T$92,$S$94,$S$95,$S$96,$S$97,$S$98,$T$93)-AA5</f>
        <v>-18762.651623921469</v>
      </c>
      <c r="AB102" s="172">
        <f>_xll.LVCELL($S$93,AB$93,$S102,$T$92,$S$94,$S$95,$S$96,$S$97,$S$98,$T$93)-AB5</f>
        <v>-18537.285697793122</v>
      </c>
      <c r="AC102" s="172">
        <f>_xll.LVCELL($S$93,AC$93,$S102,$T$92,$S$94,$S$95,$S$96,$S$97,$S$98,$T$93)-AC5</f>
        <v>15968.275732685579</v>
      </c>
      <c r="AD102" s="172">
        <f>_xll.LVCELL($S$93,AD$93,$S102,$T$92,$S$94,$S$95,$S$96,$S$97,$S$98,$T$93)-AD5</f>
        <v>-30405.11457180162</v>
      </c>
      <c r="AE102" s="172">
        <f>_xll.LVCELL($S$93,AE$93,$S102,$T$92,$S$94,$S$95,$S$96,$S$97,$S$98,$T$93)-AE5</f>
        <v>20952.181523369858</v>
      </c>
      <c r="AF102" s="172">
        <f>_xll.LVCELL($S$93,AF$93,$S102,$T$92,$S$94,$S$95,$S$96,$S$97,$S$98,$T$93)-AF5</f>
        <v>-30677.763103336561</v>
      </c>
    </row>
    <row r="103" spans="6:32">
      <c r="F103">
        <v>2254892.7453027139</v>
      </c>
      <c r="G103">
        <v>2124356.7327766181</v>
      </c>
      <c r="H103">
        <v>1993281.315240084</v>
      </c>
      <c r="I103">
        <v>1739221.5553235912</v>
      </c>
      <c r="J103">
        <v>1430648.1256550634</v>
      </c>
      <c r="K103">
        <v>1202540.3157281913</v>
      </c>
      <c r="L103">
        <v>1133255.2332737676</v>
      </c>
      <c r="M103">
        <v>1046382.3991193746</v>
      </c>
      <c r="N103">
        <v>1449301.8017004852</v>
      </c>
      <c r="O103">
        <v>1879402.2750906388</v>
      </c>
      <c r="P103">
        <v>1948687.3575450622</v>
      </c>
      <c r="Q103" s="65">
        <v>2318030.1432444137</v>
      </c>
      <c r="R103" s="65"/>
      <c r="S103" t="s">
        <v>409</v>
      </c>
      <c r="T103" s="68" t="str">
        <f>_xll.LVDESC("entities",$S103,$U$97)</f>
        <v>Boralex Chépy SAS</v>
      </c>
      <c r="U103" s="172">
        <f>_xll.LVCELL($S$93,U$93,$S103,$T$92,$S$94,$S$95,$S$96,$S$97,$S$98,$T$93)-U6</f>
        <v>3820.1719520728802</v>
      </c>
      <c r="V103" s="172">
        <f>_xll.LVCELL($S$93,V$93,$S103,$T$92,$S$94,$S$95,$S$96,$S$97,$S$98,$T$93)-V6</f>
        <v>64113.845529450104</v>
      </c>
      <c r="W103" s="172">
        <f>_xll.LVCELL($S$93,W$93,$S103,$T$92,$S$94,$S$95,$S$96,$S$97,$S$98,$T$93)-W6</f>
        <v>2644.7743246132741</v>
      </c>
      <c r="X103" s="172">
        <f>_xll.LVCELL($S$93,X$93,$S103,$T$92,$S$94,$S$95,$S$96,$S$97,$S$98,$T$93)-X6</f>
        <v>15133.684177385294</v>
      </c>
      <c r="Y103" s="172">
        <f>_xll.LVCELL($S$93,Y$93,$S103,$T$92,$S$94,$S$95,$S$96,$S$97,$S$98,$T$93)-Y6</f>
        <v>1634.3092861424084</v>
      </c>
      <c r="Z103" s="172">
        <f>_xll.LVCELL($S$93,Z$93,$S103,$T$92,$S$94,$S$95,$S$96,$S$97,$S$98,$T$93)-Z6</f>
        <v>10715.425977751147</v>
      </c>
      <c r="AA103" s="172">
        <f>_xll.LVCELL($S$93,AA$93,$S103,$T$92,$S$94,$S$95,$S$96,$S$97,$S$98,$T$93)-AA6</f>
        <v>1215.3546454910538</v>
      </c>
      <c r="AB103" s="172">
        <f>_xll.LVCELL($S$93,AB$93,$S103,$T$92,$S$94,$S$95,$S$96,$S$97,$S$98,$T$93)-AB6</f>
        <v>1228.2241500281962</v>
      </c>
      <c r="AC103" s="172">
        <f>_xll.LVCELL($S$93,AC$93,$S103,$T$92,$S$94,$S$95,$S$96,$S$97,$S$98,$T$93)-AC6</f>
        <v>13955.055156368646</v>
      </c>
      <c r="AD103" s="172">
        <f>_xll.LVCELL($S$93,AD$93,$S103,$T$92,$S$94,$S$95,$S$96,$S$97,$S$98,$T$93)-AD6</f>
        <v>2694.7538082185201</v>
      </c>
      <c r="AE103" s="172">
        <f>_xll.LVCELL($S$93,AE$93,$S103,$T$92,$S$94,$S$95,$S$96,$S$97,$S$98,$T$93)-AE6</f>
        <v>23453.099908075063</v>
      </c>
      <c r="AF103" s="172">
        <f>_xll.LVCELL($S$93,AF$93,$S103,$T$92,$S$94,$S$95,$S$96,$S$97,$S$98,$T$93)-AF6</f>
        <v>3583.5179394908482</v>
      </c>
    </row>
    <row r="104" spans="6:32">
      <c r="F104" t="s">
        <v>3106</v>
      </c>
      <c r="G104" t="s">
        <v>3107</v>
      </c>
      <c r="H104" t="s">
        <v>3108</v>
      </c>
      <c r="I104" t="s">
        <v>3109</v>
      </c>
      <c r="J104" t="s">
        <v>3110</v>
      </c>
      <c r="K104" t="s">
        <v>3111</v>
      </c>
      <c r="L104" t="s">
        <v>3112</v>
      </c>
      <c r="M104" t="s">
        <v>3113</v>
      </c>
      <c r="N104" t="s">
        <v>3114</v>
      </c>
      <c r="O104" t="s">
        <v>3115</v>
      </c>
      <c r="P104" t="s">
        <v>3116</v>
      </c>
      <c r="Q104" t="s">
        <v>3117</v>
      </c>
      <c r="R104" s="65"/>
      <c r="S104" t="s">
        <v>411</v>
      </c>
      <c r="T104" s="68" t="str">
        <f>_xll.LVDESC("entities",$S104,$U$97)</f>
        <v>Boralex Nibas SAS</v>
      </c>
      <c r="U104" s="172">
        <f>_xll.LVCELL($S$93,U$93,$S104,$T$92,$S$94,$S$95,$S$96,$S$97,$S$98,$T$93)-U7</f>
        <v>-44344.876150895376</v>
      </c>
      <c r="V104" s="172">
        <f>_xll.LVCELL($S$93,V$93,$S104,$T$92,$S$94,$S$95,$S$96,$S$97,$S$98,$T$93)-V7</f>
        <v>141047.88830236485</v>
      </c>
      <c r="W104" s="172">
        <f>_xll.LVCELL($S$93,W$93,$S104,$T$92,$S$94,$S$95,$S$96,$S$97,$S$98,$T$93)-W7</f>
        <v>-32091.368188515538</v>
      </c>
      <c r="X104" s="172">
        <f>_xll.LVCELL($S$93,X$93,$S104,$T$92,$S$94,$S$95,$S$96,$S$97,$S$98,$T$93)-X7</f>
        <v>15848.618627868127</v>
      </c>
      <c r="Y104" s="172">
        <f>_xll.LVCELL($S$93,Y$93,$S104,$T$92,$S$94,$S$95,$S$96,$S$97,$S$98,$T$93)-Y7</f>
        <v>-21652.37992426753</v>
      </c>
      <c r="Z104" s="172">
        <f>_xll.LVCELL($S$93,Z$93,$S104,$T$92,$S$94,$S$95,$S$96,$S$97,$S$98,$T$93)-Z7</f>
        <v>11334.256872110651</v>
      </c>
      <c r="AA104" s="172">
        <f>_xll.LVCELL($S$93,AA$93,$S104,$T$92,$S$94,$S$95,$S$96,$S$97,$S$98,$T$93)-AA7</f>
        <v>-17648.993989890441</v>
      </c>
      <c r="AB104" s="172">
        <f>_xll.LVCELL($S$93,AB$93,$S104,$T$92,$S$94,$S$95,$S$96,$S$97,$S$98,$T$93)-AB7</f>
        <v>-17712.4921793252</v>
      </c>
      <c r="AC104" s="172">
        <f>_xll.LVCELL($S$93,AC$93,$S104,$T$92,$S$94,$S$95,$S$96,$S$97,$S$98,$T$93)-AC7</f>
        <v>14800.856077424251</v>
      </c>
      <c r="AD104" s="172">
        <f>_xll.LVCELL($S$93,AD$93,$S104,$T$92,$S$94,$S$95,$S$96,$S$97,$S$98,$T$93)-AD7</f>
        <v>-32653.20929493662</v>
      </c>
      <c r="AE104" s="172">
        <f>_xll.LVCELL($S$93,AE$93,$S104,$T$92,$S$94,$S$95,$S$96,$S$97,$S$98,$T$93)-AE7</f>
        <v>24958.170027878368</v>
      </c>
      <c r="AF104" s="172">
        <f>_xll.LVCELL($S$93,AF$93,$S104,$T$92,$S$94,$S$95,$S$96,$S$97,$S$98,$T$93)-AF7</f>
        <v>-41884.731959928758</v>
      </c>
    </row>
    <row r="105" spans="6:32">
      <c r="Q105" s="65"/>
      <c r="R105" s="65"/>
      <c r="S105" t="s">
        <v>316</v>
      </c>
      <c r="T105" s="68" t="str">
        <f>_xll.LVDESC("entities",$S105,$U$97)</f>
        <v>Boralex Bessadous SAS</v>
      </c>
      <c r="U105" s="172">
        <f>_xll.LVCELL($S$93,U$93,$S105,$T$92,$S$94,$S$95,$S$96,$S$97,$S$98,$T$93)-U8</f>
        <v>-65974.414304884151</v>
      </c>
      <c r="V105" s="172">
        <f>_xll.LVCELL($S$93,V$93,$S105,$T$92,$S$94,$S$95,$S$96,$S$97,$S$98,$T$93)-V8</f>
        <v>123750.7801456179</v>
      </c>
      <c r="W105" s="172">
        <f>_xll.LVCELL($S$93,W$93,$S105,$T$92,$S$94,$S$95,$S$96,$S$97,$S$98,$T$93)-W8</f>
        <v>-57699.281001406955</v>
      </c>
      <c r="X105" s="172">
        <f>_xll.LVCELL($S$93,X$93,$S105,$T$92,$S$94,$S$95,$S$96,$S$97,$S$98,$T$93)-X8</f>
        <v>3988.3510889438912</v>
      </c>
      <c r="Y105" s="172">
        <f>_xll.LVCELL($S$93,Y$93,$S105,$T$92,$S$94,$S$95,$S$96,$S$97,$S$98,$T$93)-Y8</f>
        <v>-41977.327724801609</v>
      </c>
      <c r="Z105" s="172">
        <f>_xll.LVCELL($S$93,Z$93,$S105,$T$92,$S$94,$S$95,$S$96,$S$97,$S$98,$T$93)-Z8</f>
        <v>1543.8991316892207</v>
      </c>
      <c r="AA105" s="172">
        <f>_xll.LVCELL($S$93,AA$93,$S105,$T$92,$S$94,$S$95,$S$96,$S$97,$S$98,$T$93)-AA8</f>
        <v>-24785.226290232036</v>
      </c>
      <c r="AB105" s="172">
        <f>_xll.LVCELL($S$93,AB$93,$S105,$T$92,$S$94,$S$95,$S$96,$S$97,$S$98,$T$93)-AB8</f>
        <v>-22725.282896305085</v>
      </c>
      <c r="AC105" s="172">
        <f>_xll.LVCELL($S$93,AC$93,$S105,$T$92,$S$94,$S$95,$S$96,$S$97,$S$98,$T$93)-AC8</f>
        <v>2141.6079072628636</v>
      </c>
      <c r="AD105" s="172">
        <f>_xll.LVCELL($S$93,AD$93,$S105,$T$92,$S$94,$S$95,$S$96,$S$97,$S$98,$T$93)-AD8</f>
        <v>-54693.265229939949</v>
      </c>
      <c r="AE105" s="172">
        <f>_xll.LVCELL($S$93,AE$93,$S105,$T$92,$S$94,$S$95,$S$96,$S$97,$S$98,$T$93)-AE8</f>
        <v>5025.9053037031554</v>
      </c>
      <c r="AF105" s="172">
        <f>_xll.LVCELL($S$93,AF$93,$S105,$T$92,$S$94,$S$95,$S$96,$S$97,$S$98,$T$93)-AF8</f>
        <v>-67510.281918386929</v>
      </c>
    </row>
    <row r="106" spans="6:32">
      <c r="Q106" s="65"/>
      <c r="R106" s="65"/>
      <c r="S106" t="s">
        <v>317</v>
      </c>
      <c r="T106" s="68" t="str">
        <f>_xll.LVDESC("entities",$S106,$U$97)</f>
        <v>Boralex Mercoeur SAS</v>
      </c>
      <c r="U106" s="172">
        <f>_xll.LVCELL($S$93,U$93,$S106,$T$92,$S$94,$S$95,$S$96,$S$97,$S$98,$T$93)-U9</f>
        <v>-43934.664162325207</v>
      </c>
      <c r="V106" s="172">
        <f>_xll.LVCELL($S$93,V$93,$S106,$T$92,$S$94,$S$95,$S$96,$S$97,$S$98,$T$93)-V9</f>
        <v>82410.217947089812</v>
      </c>
      <c r="W106" s="172">
        <f>_xll.LVCELL($S$93,W$93,$S106,$T$92,$S$94,$S$95,$S$96,$S$97,$S$98,$T$93)-W9</f>
        <v>-38423.796564471908</v>
      </c>
      <c r="X106" s="172">
        <f>_xll.LVCELL($S$93,X$93,$S106,$T$92,$S$94,$S$95,$S$96,$S$97,$S$98,$T$93)-X9</f>
        <v>2656.1641825626139</v>
      </c>
      <c r="Y106" s="172">
        <f>_xll.LVCELL($S$93,Y$93,$S106,$T$92,$S$94,$S$95,$S$96,$S$97,$S$98,$T$93)-Y9</f>
        <v>-27953.94812855171</v>
      </c>
      <c r="Z106" s="172">
        <f>_xll.LVCELL($S$93,Z$93,$S106,$T$92,$S$94,$S$95,$S$96,$S$97,$S$98,$T$93)-Z9</f>
        <v>1028.3506462550722</v>
      </c>
      <c r="AA106" s="172">
        <f>_xll.LVCELL($S$93,AA$93,$S106,$T$92,$S$94,$S$95,$S$96,$S$97,$S$98,$T$93)-AA9</f>
        <v>-16505.341568114934</v>
      </c>
      <c r="AB106" s="172">
        <f>_xll.LVCELL($S$93,AB$93,$S106,$T$92,$S$94,$S$95,$S$96,$S$97,$S$98,$T$93)-AB9</f>
        <v>-15133.807186608668</v>
      </c>
      <c r="AC106" s="172">
        <f>_xll.LVCELL($S$93,AC$93,$S106,$T$92,$S$94,$S$95,$S$96,$S$97,$S$98,$T$93)-AC9</f>
        <v>1426.5583232563222</v>
      </c>
      <c r="AD106" s="172">
        <f>_xll.LVCELL($S$93,AD$93,$S106,$T$92,$S$94,$S$95,$S$96,$S$97,$S$98,$T$93)-AD9</f>
        <v>-36421.820171782514</v>
      </c>
      <c r="AE106" s="172">
        <f>_xll.LVCELL($S$93,AE$93,$S106,$T$92,$S$94,$S$95,$S$96,$S$97,$S$98,$T$93)-AE9</f>
        <v>3346.6971459302586</v>
      </c>
      <c r="AF106" s="172">
        <f>_xll.LVCELL($S$93,AF$93,$S106,$T$92,$S$94,$S$95,$S$96,$S$97,$S$98,$T$93)-AF9</f>
        <v>-44957.88243049779</v>
      </c>
    </row>
    <row r="107" spans="6:32">
      <c r="Q107" s="65"/>
      <c r="R107" s="65"/>
      <c r="S107" t="s">
        <v>318</v>
      </c>
      <c r="T107" s="68" t="str">
        <f>_xll.LVDESC("entities",$S107,$U$97)</f>
        <v>Boralex Monteil SAS</v>
      </c>
      <c r="U107" s="172">
        <f>_xll.LVCELL($S$93,U$93,$S107,$T$92,$S$94,$S$95,$S$96,$S$97,$S$98,$T$93)-U10</f>
        <v>-57063.012590443483</v>
      </c>
      <c r="V107" s="172">
        <f>_xll.LVCELL($S$93,V$93,$S107,$T$92,$S$94,$S$95,$S$96,$S$97,$S$98,$T$93)-V10</f>
        <v>107036.47143257852</v>
      </c>
      <c r="W107" s="172">
        <f>_xll.LVCELL($S$93,W$93,$S107,$T$92,$S$94,$S$95,$S$96,$S$97,$S$98,$T$93)-W10</f>
        <v>-49906.018504037056</v>
      </c>
      <c r="X107" s="172">
        <f>_xll.LVCELL($S$93,X$93,$S107,$T$92,$S$94,$S$95,$S$96,$S$97,$S$98,$T$93)-X10</f>
        <v>3450.0388940207195</v>
      </c>
      <c r="Y107" s="172">
        <f>_xll.LVCELL($S$93,Y$93,$S107,$T$92,$S$94,$S$95,$S$96,$S$97,$S$98,$T$93)-Y10</f>
        <v>-36307.529739865568</v>
      </c>
      <c r="Z107" s="172">
        <f>_xll.LVCELL($S$93,Z$93,$S107,$T$92,$S$94,$S$95,$S$96,$S$97,$S$98,$T$93)-Z10</f>
        <v>1334.7075076909969</v>
      </c>
      <c r="AA107" s="172">
        <f>_xll.LVCELL($S$93,AA$93,$S107,$T$92,$S$94,$S$95,$S$96,$S$97,$S$98,$T$93)-AA10</f>
        <v>-21437.766515454976</v>
      </c>
      <c r="AB107" s="172">
        <f>_xll.LVCELL($S$93,AB$93,$S107,$T$92,$S$94,$S$95,$S$96,$S$97,$S$98,$T$93)-AB10</f>
        <v>-19656.278191900812</v>
      </c>
      <c r="AC107" s="172">
        <f>_xll.LVCELL($S$93,AC$93,$S107,$T$92,$S$94,$S$95,$S$96,$S$97,$S$98,$T$93)-AC10</f>
        <v>1851.8496807676274</v>
      </c>
      <c r="AD107" s="172">
        <f>_xll.LVCELL($S$93,AD$93,$S107,$T$92,$S$94,$S$95,$S$96,$S$97,$S$98,$T$93)-AD10</f>
        <v>-47306.387999179307</v>
      </c>
      <c r="AE107" s="172">
        <f>_xll.LVCELL($S$93,AE$93,$S107,$T$92,$S$94,$S$95,$S$96,$S$97,$S$98,$T$93)-AE10</f>
        <v>4347.6605812332127</v>
      </c>
      <c r="AF107" s="172">
        <f>_xll.LVCELL($S$93,AF$93,$S107,$T$92,$S$94,$S$95,$S$96,$S$97,$S$98,$T$93)-AF10</f>
        <v>-58392.368635061663</v>
      </c>
    </row>
    <row r="108" spans="6:32">
      <c r="Q108" s="65"/>
      <c r="R108" s="65"/>
      <c r="S108" t="s">
        <v>319</v>
      </c>
      <c r="T108" s="68" t="str">
        <f>_xll.LVDESC("entities",$S108,$U$97)</f>
        <v>Boralex Verseilles SAS</v>
      </c>
      <c r="U108" s="172">
        <f>_xll.LVCELL($S$93,U$93,$S108,$T$92,$S$94,$S$95,$S$96,$S$97,$S$98,$T$93)-U11</f>
        <v>-69079.04297868209</v>
      </c>
      <c r="V108" s="172">
        <f>_xll.LVCELL($S$93,V$93,$S108,$T$92,$S$94,$S$95,$S$96,$S$97,$S$98,$T$93)-V11</f>
        <v>129575.2166082724</v>
      </c>
      <c r="W108" s="172">
        <f>_xll.LVCELL($S$93,W$93,$S108,$T$92,$S$94,$S$95,$S$96,$S$97,$S$98,$T$93)-W11</f>
        <v>-60414.349802490789</v>
      </c>
      <c r="X108" s="172">
        <f>_xll.LVCELL($S$93,X$93,$S108,$T$92,$S$94,$S$95,$S$96,$S$97,$S$98,$T$93)-X11</f>
        <v>4176.9611224085093</v>
      </c>
      <c r="Y108" s="172">
        <f>_xll.LVCELL($S$93,Y$93,$S108,$T$92,$S$94,$S$95,$S$96,$S$97,$S$98,$T$93)-Y11</f>
        <v>-43952.83276772825</v>
      </c>
      <c r="Z108" s="172">
        <f>_xll.LVCELL($S$93,Z$93,$S108,$T$92,$S$94,$S$95,$S$96,$S$97,$S$98,$T$93)-Z11</f>
        <v>1616.3859231051756</v>
      </c>
      <c r="AA108" s="172">
        <f>_xll.LVCELL($S$93,AA$93,$S108,$T$92,$S$94,$S$95,$S$96,$S$97,$S$98,$T$93)-AA11</f>
        <v>-25951.64980168303</v>
      </c>
      <c r="AB108" s="172">
        <f>_xll.LVCELL($S$93,AB$93,$S108,$T$92,$S$94,$S$95,$S$96,$S$97,$S$98,$T$93)-AB11</f>
        <v>-23794.934357815073</v>
      </c>
      <c r="AC108" s="172">
        <f>_xll.LVCELL($S$93,AC$93,$S108,$T$92,$S$94,$S$95,$S$96,$S$97,$S$98,$T$93)-AC11</f>
        <v>2242.0549674767535</v>
      </c>
      <c r="AD108" s="172">
        <f>_xll.LVCELL($S$93,AD$93,$S108,$T$92,$S$94,$S$95,$S$96,$S$97,$S$98,$T$93)-AD11</f>
        <v>-57267.355138486717</v>
      </c>
      <c r="AE108" s="172">
        <f>_xll.LVCELL($S$93,AE$93,$S108,$T$92,$S$94,$S$95,$S$96,$S$97,$S$98,$T$93)-AE11</f>
        <v>5263.2321130880155</v>
      </c>
      <c r="AF108" s="172">
        <f>_xll.LVCELL($S$93,AF$93,$S108,$T$92,$S$94,$S$95,$S$96,$S$97,$S$98,$T$93)-AF11</f>
        <v>-70688.371711403597</v>
      </c>
    </row>
    <row r="109" spans="6:32">
      <c r="Q109" s="65"/>
      <c r="R109" s="65"/>
      <c r="S109" t="s">
        <v>320</v>
      </c>
      <c r="T109" s="68" t="str">
        <f>_xll.LVDESC("entities",$S109,$U$97)</f>
        <v>Boralex Bel Air SAS</v>
      </c>
      <c r="U109" s="172">
        <f>_xll.LVCELL($S$93,U$93,$S109,$T$92,$S$94,$S$95,$S$96,$S$97,$S$98,$T$93)-U12</f>
        <v>2975433</v>
      </c>
      <c r="V109" s="172">
        <f>_xll.LVCELL($S$93,V$93,$S109,$T$92,$S$94,$S$95,$S$96,$S$97,$S$98,$T$93)-V12</f>
        <v>2923983</v>
      </c>
      <c r="W109" s="172">
        <f>_xll.LVCELL($S$93,W$93,$S109,$T$92,$S$94,$S$95,$S$96,$S$97,$S$98,$T$93)-W12</f>
        <v>2622767</v>
      </c>
      <c r="X109" s="172">
        <f>_xll.LVCELL($S$93,X$93,$S109,$T$92,$S$94,$S$95,$S$96,$S$97,$S$98,$T$93)-X12</f>
        <v>0</v>
      </c>
      <c r="Y109" s="172">
        <f>_xll.LVCELL($S$93,Y$93,$S109,$T$92,$S$94,$S$95,$S$96,$S$97,$S$98,$T$93)-Y12</f>
        <v>0</v>
      </c>
      <c r="Z109" s="172">
        <f>_xll.LVCELL($S$93,Z$93,$S109,$T$92,$S$94,$S$95,$S$96,$S$97,$S$98,$T$93)-Z12</f>
        <v>0</v>
      </c>
      <c r="AA109" s="172">
        <f>_xll.LVCELL($S$93,AA$93,$S109,$T$92,$S$94,$S$95,$S$96,$S$97,$S$98,$T$93)-AA12</f>
        <v>0</v>
      </c>
      <c r="AB109" s="172">
        <f>_xll.LVCELL($S$93,AB$93,$S109,$T$92,$S$94,$S$95,$S$96,$S$97,$S$98,$T$93)-AB12</f>
        <v>0</v>
      </c>
      <c r="AC109" s="172">
        <f>_xll.LVCELL($S$93,AC$93,$S109,$T$92,$S$94,$S$95,$S$96,$S$97,$S$98,$T$93)-AC12</f>
        <v>0</v>
      </c>
      <c r="AD109" s="172">
        <f>_xll.LVCELL($S$93,AD$93,$S109,$T$92,$S$94,$S$95,$S$96,$S$97,$S$98,$T$93)-AD12</f>
        <v>0</v>
      </c>
      <c r="AE109" s="172">
        <f>_xll.LVCELL($S$93,AE$93,$S109,$T$92,$S$94,$S$95,$S$96,$S$97,$S$98,$T$93)-AE12</f>
        <v>0</v>
      </c>
      <c r="AF109" s="172">
        <f>_xll.LVCELL($S$93,AF$93,$S109,$T$92,$S$94,$S$95,$S$96,$S$97,$S$98,$T$93)-AF12</f>
        <v>0</v>
      </c>
    </row>
    <row r="110" spans="6:32">
      <c r="Q110" s="65"/>
      <c r="R110" s="65"/>
      <c r="S110" t="s">
        <v>321</v>
      </c>
      <c r="T110" s="68" t="str">
        <f>_xll.LVDESC("entities",$S110,$U$97)</f>
        <v>Boralex Le Courbil SAS</v>
      </c>
      <c r="U110" s="172">
        <f>_xll.LVCELL($S$93,U$93,$S110,$T$92,$S$94,$S$95,$S$96,$S$97,$S$98,$T$93)-U13</f>
        <v>2898155</v>
      </c>
      <c r="V110" s="172">
        <f>_xll.LVCELL($S$93,V$93,$S110,$T$92,$S$94,$S$95,$S$96,$S$97,$S$98,$T$93)-V13</f>
        <v>2848042</v>
      </c>
      <c r="W110" s="172">
        <f>_xll.LVCELL($S$93,W$93,$S110,$T$92,$S$94,$S$95,$S$96,$S$97,$S$98,$T$93)-W13</f>
        <v>2554649</v>
      </c>
      <c r="X110" s="183">
        <f>_xll.LVCELL($S$93,X$93,$S110,$T$92,$S$94,$S$95,$S$96,$S$97,$S$98,$T$93)-X13</f>
        <v>0</v>
      </c>
      <c r="Y110" s="183">
        <f>_xll.LVCELL($S$93,Y$93,$S110,$T$92,$S$94,$S$95,$S$96,$S$97,$S$98,$T$93)-Y13</f>
        <v>0</v>
      </c>
      <c r="Z110" s="183">
        <f>_xll.LVCELL($S$93,Z$93,$S110,$T$92,$S$94,$S$95,$S$96,$S$97,$S$98,$T$93)-Z13</f>
        <v>0</v>
      </c>
      <c r="AA110" s="183">
        <f>_xll.LVCELL($S$93,AA$93,$S110,$T$92,$S$94,$S$95,$S$96,$S$97,$S$98,$T$93)-AA13</f>
        <v>0</v>
      </c>
      <c r="AB110" s="183">
        <f>_xll.LVCELL($S$93,AB$93,$S110,$T$92,$S$94,$S$95,$S$96,$S$97,$S$98,$T$93)-AB13</f>
        <v>0</v>
      </c>
      <c r="AC110" s="183">
        <f>_xll.LVCELL($S$93,AC$93,$S110,$T$92,$S$94,$S$95,$S$96,$S$97,$S$98,$T$93)-AC13</f>
        <v>0</v>
      </c>
      <c r="AD110" s="183">
        <f>_xll.LVCELL($S$93,AD$93,$S110,$T$92,$S$94,$S$95,$S$96,$S$97,$S$98,$T$93)-AD13</f>
        <v>0</v>
      </c>
      <c r="AE110" s="183">
        <f>_xll.LVCELL($S$93,AE$93,$S110,$T$92,$S$94,$S$95,$S$96,$S$97,$S$98,$T$93)-AE13</f>
        <v>0</v>
      </c>
      <c r="AF110" s="183">
        <f>_xll.LVCELL($S$93,AF$93,$S110,$T$92,$S$94,$S$95,$S$96,$S$97,$S$98,$T$93)-AF13</f>
        <v>0</v>
      </c>
    </row>
    <row r="111" spans="6:32">
      <c r="Q111" s="65"/>
      <c r="R111" s="65"/>
      <c r="S111" t="s">
        <v>419</v>
      </c>
      <c r="T111" s="68" t="str">
        <f>_xll.LVDESC("entities",$S111,$U$97)</f>
        <v>Boralex Cham Longe II SAS</v>
      </c>
      <c r="U111" s="172">
        <f>_xll.LVCELL($S$93,U$93,$S111,$T$92,$S$94,$S$95,$S$96,$S$97,$S$98,$T$93)-U14</f>
        <v>-41247.359240199439</v>
      </c>
      <c r="V111" s="172">
        <f>_xll.LVCELL($S$93,V$93,$S111,$T$92,$S$94,$S$95,$S$96,$S$97,$S$98,$T$93)-V14</f>
        <v>79735.30034274864</v>
      </c>
      <c r="W111" s="172">
        <f>_xll.LVCELL($S$93,W$93,$S111,$T$92,$S$94,$S$95,$S$96,$S$97,$S$98,$T$93)-W14</f>
        <v>-36188.262471967144</v>
      </c>
      <c r="X111" s="183">
        <f>_xll.LVCELL($S$93,X$93,$S111,$T$92,$S$94,$S$95,$S$96,$S$97,$S$98,$T$93)-X14</f>
        <v>2326.5338157928782</v>
      </c>
      <c r="Y111" s="183">
        <f>_xll.LVCELL($S$93,Y$93,$S111,$T$92,$S$94,$S$95,$S$96,$S$97,$S$98,$T$93)-Y14</f>
        <v>-26365.109065213357</v>
      </c>
      <c r="Z111" s="183">
        <f>_xll.LVCELL($S$93,Z$93,$S111,$T$92,$S$94,$S$95,$S$96,$S$97,$S$98,$T$93)-Z14</f>
        <v>1517.4580318402732</v>
      </c>
      <c r="AA111" s="183">
        <f>_xll.LVCELL($S$93,AA$93,$S111,$T$92,$S$94,$S$95,$S$96,$S$97,$S$98,$T$93)-AA14</f>
        <v>-23071.183981391136</v>
      </c>
      <c r="AB111" s="183">
        <f>_xll.LVCELL($S$93,AB$93,$S111,$T$92,$S$94,$S$95,$S$96,$S$97,$S$98,$T$93)-AB14</f>
        <v>-20420.891907847486</v>
      </c>
      <c r="AC111" s="183">
        <f>_xll.LVCELL($S$93,AC$93,$S111,$T$92,$S$94,$S$95,$S$96,$S$97,$S$98,$T$93)-AC14</f>
        <v>1704.5217634259025</v>
      </c>
      <c r="AD111" s="183">
        <f>_xll.LVCELL($S$93,AD$93,$S111,$T$92,$S$94,$S$95,$S$96,$S$97,$S$98,$T$93)-AD14</f>
        <v>-29652.965055178851</v>
      </c>
      <c r="AE111" s="183">
        <f>_xll.LVCELL($S$93,AE$93,$S111,$T$92,$S$94,$S$95,$S$96,$S$97,$S$98,$T$93)-AE14</f>
        <v>3070.1875833792146</v>
      </c>
      <c r="AF111" s="183">
        <f>_xll.LVCELL($S$93,AF$93,$S111,$T$92,$S$94,$S$95,$S$96,$S$97,$S$98,$T$93)-AF14</f>
        <v>-40509.758915921906</v>
      </c>
    </row>
    <row r="112" spans="6:32">
      <c r="Q112" s="65"/>
      <c r="R112" s="65"/>
      <c r="S112" t="s">
        <v>421</v>
      </c>
      <c r="T112" s="68" t="str">
        <f>_xll.LVDESC("entities",$S112,$U$97)</f>
        <v>Boralex Plouguin SAS</v>
      </c>
      <c r="U112" s="172">
        <f>_xll.LVCELL($S$93,U$93,$S112,$T$92,$S$94,$S$95,$S$96,$S$97,$S$98,$T$93)-U15</f>
        <v>-43528.000102099497</v>
      </c>
      <c r="V112" s="172">
        <f>_xll.LVCELL($S$93,V$93,$S112,$T$92,$S$94,$S$95,$S$96,$S$97,$S$98,$T$93)-V15</f>
        <v>142270.67157211038</v>
      </c>
      <c r="W112" s="172">
        <f>_xll.LVCELL($S$93,W$93,$S112,$T$92,$S$94,$S$95,$S$96,$S$97,$S$98,$T$93)-W15</f>
        <v>-33563.026682307711</v>
      </c>
      <c r="X112" s="172">
        <f>_xll.LVCELL($S$93,X$93,$S112,$T$92,$S$94,$S$95,$S$96,$S$97,$S$98,$T$93)-X15</f>
        <v>19250.782910515554</v>
      </c>
      <c r="Y112" s="172">
        <f>_xll.LVCELL($S$93,Y$93,$S112,$T$92,$S$94,$S$95,$S$96,$S$97,$S$98,$T$93)-Y15</f>
        <v>-25185.325408383971</v>
      </c>
      <c r="Z112" s="172">
        <f>_xll.LVCELL($S$93,Z$93,$S112,$T$92,$S$94,$S$95,$S$96,$S$97,$S$98,$T$93)-Z15</f>
        <v>13281.502467505052</v>
      </c>
      <c r="AA112" s="172">
        <f>_xll.LVCELL($S$93,AA$93,$S112,$T$92,$S$94,$S$95,$S$96,$S$97,$S$98,$T$93)-AA15</f>
        <v>-19805.520662021707</v>
      </c>
      <c r="AB112" s="172">
        <f>_xll.LVCELL($S$93,AB$93,$S112,$T$92,$S$94,$S$95,$S$96,$S$97,$S$98,$T$93)-AB15</f>
        <v>-18768.563629810931</v>
      </c>
      <c r="AC112" s="172">
        <f>_xll.LVCELL($S$93,AC$93,$S112,$T$92,$S$94,$S$95,$S$96,$S$97,$S$98,$T$93)-AC15</f>
        <v>15509.576331505319</v>
      </c>
      <c r="AD112" s="172">
        <f>_xll.LVCELL($S$93,AD$93,$S112,$T$92,$S$94,$S$95,$S$96,$S$97,$S$98,$T$93)-AD15</f>
        <v>-32196.517764016753</v>
      </c>
      <c r="AE112" s="172">
        <f>_xll.LVCELL($S$93,AE$93,$S112,$T$92,$S$94,$S$95,$S$96,$S$97,$S$98,$T$93)-AE15</f>
        <v>25474.970906736795</v>
      </c>
      <c r="AF112" s="172">
        <f>_xll.LVCELL($S$93,AF$93,$S112,$T$92,$S$94,$S$95,$S$96,$S$97,$S$98,$T$93)-AF15</f>
        <v>-42741.549939731602</v>
      </c>
    </row>
    <row r="113" spans="17:32">
      <c r="Q113" s="65"/>
      <c r="R113" s="65"/>
      <c r="S113" t="s">
        <v>423</v>
      </c>
      <c r="T113" s="68" t="str">
        <f>_xll.LVDESC("entities",$S113,$U$97)</f>
        <v>Boralex La Citadelle SAS</v>
      </c>
      <c r="U113" s="172">
        <f>_xll.LVCELL($S$93,U$93,$S113,$T$92,$S$94,$S$95,$S$96,$S$97,$S$98,$T$93)-U16</f>
        <v>-64640.257045247592</v>
      </c>
      <c r="V113" s="172">
        <f>_xll.LVCELL($S$93,V$93,$S113,$T$92,$S$94,$S$95,$S$96,$S$97,$S$98,$T$93)-V16</f>
        <v>203664.88091222662</v>
      </c>
      <c r="W113" s="172">
        <f>_xll.LVCELL($S$93,W$93,$S113,$T$92,$S$94,$S$95,$S$96,$S$97,$S$98,$T$93)-W16</f>
        <v>-60379.075550397858</v>
      </c>
      <c r="X113" s="172">
        <f>_xll.LVCELL($S$93,X$93,$S113,$T$92,$S$94,$S$95,$S$96,$S$97,$S$98,$T$93)-X16</f>
        <v>29332.293114638422</v>
      </c>
      <c r="Y113" s="172">
        <f>_xll.LVCELL($S$93,Y$93,$S113,$T$92,$S$94,$S$95,$S$96,$S$97,$S$98,$T$93)-Y16</f>
        <v>-49493.032995134126</v>
      </c>
      <c r="Z113" s="172">
        <f>_xll.LVCELL($S$93,Z$93,$S113,$T$92,$S$94,$S$95,$S$96,$S$97,$S$98,$T$93)-Z16</f>
        <v>21495.943098023301</v>
      </c>
      <c r="AA113" s="172">
        <f>_xll.LVCELL($S$93,AA$93,$S113,$T$92,$S$94,$S$95,$S$96,$S$97,$S$98,$T$93)-AA16</f>
        <v>-41073.516568467487</v>
      </c>
      <c r="AB113" s="172">
        <f>_xll.LVCELL($S$93,AB$93,$S113,$T$92,$S$94,$S$95,$S$96,$S$97,$S$98,$T$93)-AB16</f>
        <v>-38068.49382999423</v>
      </c>
      <c r="AC113" s="172">
        <f>_xll.LVCELL($S$93,AC$93,$S113,$T$92,$S$94,$S$95,$S$96,$S$97,$S$98,$T$93)-AC16</f>
        <v>22971.892206416465</v>
      </c>
      <c r="AD113" s="172">
        <f>_xll.LVCELL($S$93,AD$93,$S113,$T$92,$S$94,$S$95,$S$96,$S$97,$S$98,$T$93)-AD16</f>
        <v>-53530.257569201756</v>
      </c>
      <c r="AE113" s="172">
        <f>_xll.LVCELL($S$93,AE$93,$S113,$T$92,$S$94,$S$95,$S$96,$S$97,$S$98,$T$93)-AE16</f>
        <v>33018.696754035074</v>
      </c>
      <c r="AF113" s="172">
        <f>_xll.LVCELL($S$93,AF$93,$S113,$T$92,$S$94,$S$95,$S$96,$S$97,$S$98,$T$93)-AF16</f>
        <v>-64774.631197715644</v>
      </c>
    </row>
    <row r="114" spans="17:32">
      <c r="Q114" s="65"/>
      <c r="R114" s="65"/>
      <c r="S114" t="s">
        <v>425</v>
      </c>
      <c r="T114" s="68" t="str">
        <f>_xll.LVDESC("entities",$S114,$U$97)</f>
        <v>Boralex Chasse Marée SAS</v>
      </c>
      <c r="U114" s="172">
        <f>_xll.LVCELL($S$93,U$93,$S114,$T$92,$S$94,$S$95,$S$96,$S$97,$S$98,$T$93)-U17</f>
        <v>-48228.442387873307</v>
      </c>
      <c r="V114" s="172">
        <f>_xll.LVCELL($S$93,V$93,$S114,$T$92,$S$94,$S$95,$S$96,$S$97,$S$98,$T$93)-V17</f>
        <v>154350.22310599498</v>
      </c>
      <c r="W114" s="172">
        <f>_xll.LVCELL($S$93,W$93,$S114,$T$92,$S$94,$S$95,$S$96,$S$97,$S$98,$T$93)-W17</f>
        <v>-35256.869574209908</v>
      </c>
      <c r="X114" s="172">
        <f>_xll.LVCELL($S$93,X$93,$S114,$T$92,$S$94,$S$95,$S$96,$S$97,$S$98,$T$93)-X17</f>
        <v>17832.895615835674</v>
      </c>
      <c r="Y114" s="172">
        <f>_xll.LVCELL($S$93,Y$93,$S114,$T$92,$S$94,$S$95,$S$96,$S$97,$S$98,$T$93)-Y17</f>
        <v>-24363.138525952585</v>
      </c>
      <c r="Z114" s="172">
        <f>_xll.LVCELL($S$93,Z$93,$S114,$T$92,$S$94,$S$95,$S$96,$S$97,$S$98,$T$93)-Z17</f>
        <v>13001.142915051663</v>
      </c>
      <c r="AA114" s="172">
        <f>_xll.LVCELL($S$93,AA$93,$S114,$T$92,$S$94,$S$95,$S$96,$S$97,$S$98,$T$93)-AA17</f>
        <v>-19805.687300462974</v>
      </c>
      <c r="AB114" s="172">
        <f>_xll.LVCELL($S$93,AB$93,$S114,$T$92,$S$94,$S$95,$S$96,$S$97,$S$98,$T$93)-AB17</f>
        <v>-19991.695530544268</v>
      </c>
      <c r="AC114" s="172">
        <f>_xll.LVCELL($S$93,AC$93,$S114,$T$92,$S$94,$S$95,$S$96,$S$97,$S$98,$T$93)-AC17</f>
        <v>16724.750053405296</v>
      </c>
      <c r="AD114" s="172">
        <f>_xll.LVCELL($S$93,AD$93,$S114,$T$92,$S$94,$S$95,$S$96,$S$97,$S$98,$T$93)-AD17</f>
        <v>-36058.40496356017</v>
      </c>
      <c r="AE114" s="172">
        <f>_xll.LVCELL($S$93,AE$93,$S114,$T$92,$S$94,$S$95,$S$96,$S$97,$S$98,$T$93)-AE17</f>
        <v>27544.059520118404</v>
      </c>
      <c r="AF114" s="172">
        <f>_xll.LVCELL($S$93,AF$93,$S114,$T$92,$S$94,$S$95,$S$96,$S$97,$S$98,$T$93)-AF17</f>
        <v>-45749.832927790936</v>
      </c>
    </row>
    <row r="115" spans="17:32">
      <c r="Q115" s="65"/>
      <c r="R115" s="65"/>
      <c r="S115" t="s">
        <v>427</v>
      </c>
      <c r="T115" s="68" t="str">
        <f>_xll.LVDESC("entities",$S115,$U$97)</f>
        <v>Boralex Ronchois SAS</v>
      </c>
      <c r="U115" s="172">
        <f>_xll.LVCELL($S$93,U$93,$S115,$T$92,$S$94,$S$95,$S$96,$S$97,$S$98,$T$93)-U18</f>
        <v>-69339.5788215762</v>
      </c>
      <c r="V115" s="172">
        <f>_xll.LVCELL($S$93,V$93,$S115,$T$92,$S$94,$S$95,$S$96,$S$97,$S$98,$T$93)-V18</f>
        <v>560487.94392176811</v>
      </c>
      <c r="W115" s="172">
        <f>_xll.LVCELL($S$93,W$93,$S115,$T$92,$S$94,$S$95,$S$96,$S$97,$S$98,$T$93)-W18</f>
        <v>-54053.986176313832</v>
      </c>
      <c r="X115" s="172">
        <f>_xll.LVCELL($S$93,X$93,$S115,$T$92,$S$94,$S$95,$S$96,$S$97,$S$98,$T$93)-X18</f>
        <v>109464.71263136435</v>
      </c>
      <c r="Y115" s="172">
        <f>_xll.LVCELL($S$93,Y$93,$S115,$T$92,$S$94,$S$95,$S$96,$S$97,$S$98,$T$93)-Y18</f>
        <v>-40344.073317429051</v>
      </c>
      <c r="Z115" s="172">
        <f>_xll.LVCELL($S$93,Z$93,$S115,$T$92,$S$94,$S$95,$S$96,$S$97,$S$98,$T$93)-Z18</f>
        <v>77951.044704867061</v>
      </c>
      <c r="AA115" s="172">
        <f>_xll.LVCELL($S$93,AA$93,$S115,$T$92,$S$94,$S$95,$S$96,$S$97,$S$98,$T$93)-AA18</f>
        <v>-30559.853511416353</v>
      </c>
      <c r="AB115" s="172">
        <f>_xll.LVCELL($S$93,AB$93,$S115,$T$92,$S$94,$S$95,$S$96,$S$97,$S$98,$T$93)-AB18</f>
        <v>-30485.321446021087</v>
      </c>
      <c r="AC115" s="172">
        <f>_xll.LVCELL($S$93,AC$93,$S115,$T$92,$S$94,$S$95,$S$96,$S$97,$S$98,$T$93)-AC18</f>
        <v>96690.921898490749</v>
      </c>
      <c r="AD115" s="172">
        <f>_xll.LVCELL($S$93,AD$93,$S115,$T$92,$S$94,$S$95,$S$96,$S$97,$S$98,$T$93)-AD18</f>
        <v>-54619.229873316363</v>
      </c>
      <c r="AE115" s="172">
        <f>_xll.LVCELL($S$93,AE$93,$S115,$T$92,$S$94,$S$95,$S$96,$S$97,$S$98,$T$93)-AE18</f>
        <v>150011.27203012444</v>
      </c>
      <c r="AF115" s="172">
        <f>_xll.LVCELL($S$93,AF$93,$S115,$T$92,$S$94,$S$95,$S$96,$S$97,$S$98,$T$93)-AF18</f>
        <v>-66707.943706583232</v>
      </c>
    </row>
    <row r="116" spans="17:32">
      <c r="Q116" s="65"/>
      <c r="R116" s="65"/>
      <c r="S116" t="s">
        <v>429</v>
      </c>
      <c r="T116" s="68" t="str">
        <f>_xll.LVDESC("entities",$S116,$U$97)</f>
        <v>Boralex Le Grand Camp SAS</v>
      </c>
      <c r="U116" s="172">
        <f>_xll.LVCELL($S$93,U$93,$S116,$T$92,$S$94,$S$95,$S$96,$S$97,$S$98,$T$93)-U19</f>
        <v>-50478.937831067014</v>
      </c>
      <c r="V116" s="172">
        <f>_xll.LVCELL($S$93,V$93,$S116,$T$92,$S$94,$S$95,$S$96,$S$97,$S$98,$T$93)-V19</f>
        <v>189448.59462263109</v>
      </c>
      <c r="W116" s="172">
        <f>_xll.LVCELL($S$93,W$93,$S116,$T$92,$S$94,$S$95,$S$96,$S$97,$S$98,$T$93)-W19</f>
        <v>-41416.666676538065</v>
      </c>
      <c r="X116" s="172">
        <f>_xll.LVCELL($S$93,X$93,$S116,$T$92,$S$94,$S$95,$S$96,$S$97,$S$98,$T$93)-X19</f>
        <v>28803.774639216717</v>
      </c>
      <c r="Y116" s="172">
        <f>_xll.LVCELL($S$93,Y$93,$S116,$T$92,$S$94,$S$95,$S$96,$S$97,$S$98,$T$93)-Y19</f>
        <v>-31942.23878459516</v>
      </c>
      <c r="Z116" s="172">
        <f>_xll.LVCELL($S$93,Z$93,$S116,$T$92,$S$94,$S$95,$S$96,$S$97,$S$98,$T$93)-Z19</f>
        <v>20081.570334033109</v>
      </c>
      <c r="AA116" s="172">
        <f>_xll.LVCELL($S$93,AA$93,$S116,$T$92,$S$94,$S$95,$S$96,$S$97,$S$98,$T$93)-AA19</f>
        <v>-24837.167865638621</v>
      </c>
      <c r="AB116" s="172">
        <f>_xll.LVCELL($S$93,AB$93,$S116,$T$92,$S$94,$S$95,$S$96,$S$97,$S$98,$T$93)-AB19</f>
        <v>-22942.082287250087</v>
      </c>
      <c r="AC116" s="172">
        <f>_xll.LVCELL($S$93,AC$93,$S116,$T$92,$S$94,$S$95,$S$96,$S$97,$S$98,$T$93)-AC19</f>
        <v>23782.886053003138</v>
      </c>
      <c r="AD116" s="172">
        <f>_xll.LVCELL($S$93,AD$93,$S116,$T$92,$S$94,$S$95,$S$96,$S$97,$S$98,$T$93)-AD19</f>
        <v>-39309.591263724491</v>
      </c>
      <c r="AE116" s="172">
        <f>_xll.LVCELL($S$93,AE$93,$S116,$T$92,$S$94,$S$95,$S$96,$S$97,$S$98,$T$93)-AE19</f>
        <v>34665.664140949026</v>
      </c>
      <c r="AF116" s="172">
        <f>_xll.LVCELL($S$93,AF$93,$S116,$T$92,$S$94,$S$95,$S$96,$S$97,$S$98,$T$93)-AF19</f>
        <v>-51114.907334342133</v>
      </c>
    </row>
    <row r="117" spans="17:32">
      <c r="Q117" s="65"/>
      <c r="R117" s="65"/>
      <c r="S117" t="s">
        <v>250</v>
      </c>
      <c r="T117" s="68" t="str">
        <f>_xll.LVDESC("entities",$S117,$U$97)</f>
        <v>Boralex Avignonet ll SAS</v>
      </c>
      <c r="U117" s="172">
        <f>_xll.LVCELL($S$93,U$93,$S117,$T$92,$S$94,$S$95,$S$96,$S$97,$S$98,$T$93)-U20</f>
        <v>-19924.15112362639</v>
      </c>
      <c r="V117" s="172">
        <f>_xll.LVCELL($S$93,V$93,$S117,$T$92,$S$94,$S$95,$S$96,$S$97,$S$98,$T$93)-V20</f>
        <v>74096.458865460125</v>
      </c>
      <c r="W117" s="172">
        <f>_xll.LVCELL($S$93,W$93,$S117,$T$92,$S$94,$S$95,$S$96,$S$97,$S$98,$T$93)-W20</f>
        <v>-20569.480703050736</v>
      </c>
      <c r="X117" s="172">
        <f>_xll.LVCELL($S$93,X$93,$S117,$T$92,$S$94,$S$95,$S$96,$S$97,$S$98,$T$93)-X20</f>
        <v>13361.171285386081</v>
      </c>
      <c r="Y117" s="172">
        <f>_xll.LVCELL($S$93,Y$93,$S117,$T$92,$S$94,$S$95,$S$96,$S$97,$S$98,$T$93)-Y20</f>
        <v>-17871.24576951738</v>
      </c>
      <c r="Z117" s="172">
        <f>_xll.LVCELL($S$93,Z$93,$S117,$T$92,$S$94,$S$95,$S$96,$S$97,$S$98,$T$93)-Z20</f>
        <v>9230.9410954895429</v>
      </c>
      <c r="AA117" s="172">
        <f>_xll.LVCELL($S$93,AA$93,$S117,$T$92,$S$94,$S$95,$S$96,$S$97,$S$98,$T$93)-AA20</f>
        <v>-11699.665130209993</v>
      </c>
      <c r="AB117" s="172">
        <f>_xll.LVCELL($S$93,AB$93,$S117,$T$92,$S$94,$S$95,$S$96,$S$97,$S$98,$T$93)-AB20</f>
        <v>-11558.307552741724</v>
      </c>
      <c r="AC117" s="172">
        <f>_xll.LVCELL($S$93,AC$93,$S117,$T$92,$S$94,$S$95,$S$96,$S$97,$S$98,$T$93)-AC20</f>
        <v>9956.4542803803924</v>
      </c>
      <c r="AD117" s="172">
        <f>_xll.LVCELL($S$93,AD$93,$S117,$T$92,$S$94,$S$95,$S$96,$S$97,$S$98,$T$93)-AD20</f>
        <v>-18958.800850652857</v>
      </c>
      <c r="AE117" s="172">
        <f>_xll.LVCELL($S$93,AE$93,$S117,$T$92,$S$94,$S$95,$S$96,$S$97,$S$98,$T$93)-AE20</f>
        <v>13064.513185159885</v>
      </c>
      <c r="AF117" s="172">
        <f>_xll.LVCELL($S$93,AF$93,$S117,$T$92,$S$94,$S$95,$S$96,$S$97,$S$98,$T$93)-AF20</f>
        <v>-19127.887582080555</v>
      </c>
    </row>
    <row r="118" spans="17:32">
      <c r="Q118" s="65"/>
      <c r="R118" s="65"/>
      <c r="S118" t="s">
        <v>315</v>
      </c>
      <c r="T118" s="68" t="str">
        <f>_xll.LVDESC("entities",$S118,$U$97)</f>
        <v>Boralex Ménétréols SAS</v>
      </c>
      <c r="U118" s="172">
        <f>_xll.LVCELL($S$93,U$93,$S118,$T$92,$S$94,$S$95,$S$96,$S$97,$S$98,$T$93)-U21</f>
        <v>-321499.91317637917</v>
      </c>
      <c r="V118" s="172">
        <f>_xll.LVCELL($S$93,V$93,$S118,$T$92,$S$94,$S$95,$S$96,$S$97,$S$98,$T$93)-V21</f>
        <v>244585.51690157969</v>
      </c>
      <c r="W118" s="172">
        <f>_xll.LVCELL($S$93,W$93,$S118,$T$92,$S$94,$S$95,$S$96,$S$97,$S$98,$T$93)-W21</f>
        <v>-268487.99750453886</v>
      </c>
      <c r="X118" s="172">
        <f>_xll.LVCELL($S$93,X$93,$S118,$T$92,$S$94,$S$95,$S$96,$S$97,$S$98,$T$93)-X21</f>
        <v>-82700.150350978598</v>
      </c>
      <c r="Y118" s="172">
        <f>_xll.LVCELL($S$93,Y$93,$S118,$T$92,$S$94,$S$95,$S$96,$S$97,$S$98,$T$93)-Y21</f>
        <v>-196118.49321293179</v>
      </c>
      <c r="Z118" s="172">
        <f>_xll.LVCELL($S$93,Z$93,$S118,$T$92,$S$94,$S$95,$S$96,$S$97,$S$98,$T$93)-Z21</f>
        <v>-56346.429259466473</v>
      </c>
      <c r="AA118" s="172">
        <f>_xll.LVCELL($S$93,AA$93,$S118,$T$92,$S$94,$S$95,$S$96,$S$97,$S$98,$T$93)-AA21</f>
        <v>-155114.15782423457</v>
      </c>
      <c r="AB118" s="172">
        <f>_xll.LVCELL($S$93,AB$93,$S118,$T$92,$S$94,$S$95,$S$96,$S$97,$S$98,$T$93)-AB21</f>
        <v>-141065.18633647356</v>
      </c>
      <c r="AC118" s="172">
        <f>_xll.LVCELL($S$93,AC$93,$S118,$T$92,$S$94,$S$95,$S$96,$S$97,$S$98,$T$93)-AC21</f>
        <v>-64113.422549104784</v>
      </c>
      <c r="AD118" s="172">
        <f>_xll.LVCELL($S$93,AD$93,$S118,$T$92,$S$94,$S$95,$S$96,$S$97,$S$98,$T$93)-AD21</f>
        <v>-240307.79888083227</v>
      </c>
      <c r="AE118" s="172">
        <f>_xll.LVCELL($S$93,AE$93,$S118,$T$92,$S$94,$S$95,$S$96,$S$97,$S$98,$T$93)-AE21</f>
        <v>-93383.744630062021</v>
      </c>
      <c r="AF118" s="172">
        <f>_xll.LVCELL($S$93,AF$93,$S118,$T$92,$S$94,$S$95,$S$96,$S$97,$S$98,$T$93)-AF21</f>
        <v>-327707.34243841469</v>
      </c>
    </row>
    <row r="119" spans="17:32">
      <c r="Q119" s="65"/>
      <c r="R119" s="65"/>
      <c r="S119" t="s">
        <v>314</v>
      </c>
      <c r="T119" s="68" t="str">
        <f>_xll.LVDESC("entities",$S119,$U$97)</f>
        <v>Boralex St-Georges SAS</v>
      </c>
      <c r="U119" s="172">
        <f>_xll.LVCELL($S$93,U$93,$S119,$T$92,$S$94,$S$95,$S$96,$S$97,$S$98,$T$93)-U22</f>
        <v>-53035.983295282349</v>
      </c>
      <c r="V119" s="172">
        <f>_xll.LVCELL($S$93,V$93,$S119,$T$92,$S$94,$S$95,$S$96,$S$97,$S$98,$T$93)-V22</f>
        <v>40347.683379334398</v>
      </c>
      <c r="W119" s="172">
        <f>_xll.LVCELL($S$93,W$93,$S119,$T$92,$S$94,$S$95,$S$96,$S$97,$S$98,$T$93)-W22</f>
        <v>-44290.48002803151</v>
      </c>
      <c r="X119" s="172">
        <f>_xll.LVCELL($S$93,X$93,$S119,$T$92,$S$94,$S$95,$S$96,$S$97,$S$98,$T$93)-X22</f>
        <v>-13643.041419051588</v>
      </c>
      <c r="Y119" s="172">
        <f>_xll.LVCELL($S$93,Y$93,$S119,$T$92,$S$94,$S$95,$S$96,$S$97,$S$98,$T$93)-Y22</f>
        <v>-32352.54952759319</v>
      </c>
      <c r="Z119" s="172">
        <f>_xll.LVCELL($S$93,Z$93,$S119,$T$92,$S$94,$S$95,$S$96,$S$97,$S$98,$T$93)-Z22</f>
        <v>-9295.2254350089934</v>
      </c>
      <c r="AA119" s="172">
        <f>_xll.LVCELL($S$93,AA$93,$S119,$T$92,$S$94,$S$95,$S$96,$S$97,$S$98,$T$93)-AA22</f>
        <v>-25588.311253078457</v>
      </c>
      <c r="AB119" s="172">
        <f>_xll.LVCELL($S$93,AB$93,$S119,$T$92,$S$94,$S$95,$S$96,$S$97,$S$98,$T$93)-AB22</f>
        <v>-23270.667860216869</v>
      </c>
      <c r="AC119" s="172">
        <f>_xll.LVCELL($S$93,AC$93,$S119,$T$92,$S$94,$S$95,$S$96,$S$97,$S$98,$T$93)-AC22</f>
        <v>-10576.851655745297</v>
      </c>
      <c r="AD119" s="172">
        <f>_xll.LVCELL($S$93,AD$93,$S119,$T$92,$S$94,$S$95,$S$96,$S$97,$S$98,$T$93)-AD22</f>
        <v>-39641.858106303262</v>
      </c>
      <c r="AE119" s="172">
        <f>_xll.LVCELL($S$93,AE$93,$S119,$T$92,$S$94,$S$95,$S$96,$S$97,$S$98,$T$93)-AE22</f>
        <v>-15404.822045468027</v>
      </c>
      <c r="AF119" s="172">
        <f>_xll.LVCELL($S$93,AF$93,$S119,$T$92,$S$94,$S$95,$S$96,$S$97,$S$98,$T$93)-AF22</f>
        <v>-54059.453631663229</v>
      </c>
    </row>
    <row r="120" spans="17:32">
      <c r="Q120" s="65"/>
      <c r="R120" s="65"/>
      <c r="S120" t="s">
        <v>260</v>
      </c>
      <c r="T120" s="68" t="str">
        <f>_xll.LVDESC("entities",$S120,$U$97)</f>
        <v>Boralex Vron SAS</v>
      </c>
      <c r="U120" s="172">
        <f>_xll.LVCELL($S$93,U$93,$S120,$T$92,$S$94,$S$95,$S$96,$S$97,$S$98,$T$93)-U23</f>
        <v>-45318.130353858694</v>
      </c>
      <c r="V120" s="172">
        <f>_xll.LVCELL($S$93,V$93,$S120,$T$92,$S$94,$S$95,$S$96,$S$97,$S$98,$T$93)-V23</f>
        <v>150634.48360353848</v>
      </c>
      <c r="W120" s="172">
        <f>_xll.LVCELL($S$93,W$93,$S120,$T$92,$S$94,$S$95,$S$96,$S$97,$S$98,$T$93)-W23</f>
        <v>-34617.134662234923</v>
      </c>
      <c r="X120" s="172">
        <f>_xll.LVCELL($S$93,X$93,$S120,$T$92,$S$94,$S$95,$S$96,$S$97,$S$98,$T$93)-X23</f>
        <v>19093.334553857101</v>
      </c>
      <c r="Y120" s="172">
        <f>_xll.LVCELL($S$93,Y$93,$S120,$T$92,$S$94,$S$95,$S$96,$S$97,$S$98,$T$93)-Y23</f>
        <v>-25129.982310971012</v>
      </c>
      <c r="Z120" s="172">
        <f>_xll.LVCELL($S$93,Z$93,$S120,$T$92,$S$94,$S$95,$S$96,$S$97,$S$98,$T$93)-Z23</f>
        <v>14688.657501168549</v>
      </c>
      <c r="AA120" s="172">
        <f>_xll.LVCELL($S$93,AA$93,$S120,$T$92,$S$94,$S$95,$S$96,$S$97,$S$98,$T$93)-AA23</f>
        <v>-21006.114953745389</v>
      </c>
      <c r="AB120" s="172">
        <f>_xll.LVCELL($S$93,AB$93,$S120,$T$92,$S$94,$S$95,$S$96,$S$97,$S$98,$T$93)-AB23</f>
        <v>-20744.896754705347</v>
      </c>
      <c r="AC120" s="172">
        <f>_xll.LVCELL($S$93,AC$93,$S120,$T$92,$S$94,$S$95,$S$96,$S$97,$S$98,$T$93)-AC23</f>
        <v>18099.043808422284</v>
      </c>
      <c r="AD120" s="172">
        <f>_xll.LVCELL($S$93,AD$93,$S120,$T$92,$S$94,$S$95,$S$96,$S$97,$S$98,$T$93)-AD23</f>
        <v>-34600.085131266387</v>
      </c>
      <c r="AE120" s="172">
        <f>_xll.LVCELL($S$93,AE$93,$S120,$T$92,$S$94,$S$95,$S$96,$S$97,$S$98,$T$93)-AE23</f>
        <v>27100.565558744827</v>
      </c>
      <c r="AF120" s="172">
        <f>_xll.LVCELL($S$93,AF$93,$S120,$T$92,$S$94,$S$95,$S$96,$S$97,$S$98,$T$93)-AF23</f>
        <v>-43000.740858948324</v>
      </c>
    </row>
    <row r="121" spans="17:32">
      <c r="Q121" s="65"/>
      <c r="R121" s="65"/>
      <c r="S121" t="s">
        <v>216</v>
      </c>
      <c r="T121" s="68" t="str">
        <f>_xll.LVDESC("entities",$S121,$U$97)</f>
        <v>Boralex Fortel SAS</v>
      </c>
      <c r="U121" s="172">
        <f>_xll.LVCELL($S$93,U$93,$S121,$T$92,$S$94,$S$95,$S$96,$S$97,$S$98,$T$93)-U24</f>
        <v>-131129.53814338706</v>
      </c>
      <c r="V121" s="172">
        <f>_xll.LVCELL($S$93,V$93,$S121,$T$92,$S$94,$S$95,$S$96,$S$97,$S$98,$T$93)-V24</f>
        <v>410355.49319319706</v>
      </c>
      <c r="W121" s="172">
        <f>_xll.LVCELL($S$93,W$93,$S121,$T$92,$S$94,$S$95,$S$96,$S$97,$S$98,$T$93)-W24</f>
        <v>-100976.58592049219</v>
      </c>
      <c r="X121" s="172">
        <f>_xll.LVCELL($S$93,X$93,$S121,$T$92,$S$94,$S$95,$S$96,$S$97,$S$98,$T$93)-X24</f>
        <v>50783.874611840583</v>
      </c>
      <c r="Y121" s="172">
        <f>_xll.LVCELL($S$93,Y$93,$S121,$T$92,$S$94,$S$95,$S$96,$S$97,$S$98,$T$93)-Y24</f>
        <v>-74690.601931301411</v>
      </c>
      <c r="Z121" s="172">
        <f>_xll.LVCELL($S$93,Z$93,$S121,$T$92,$S$94,$S$95,$S$96,$S$97,$S$98,$T$93)-Z24</f>
        <v>38368.208730356768</v>
      </c>
      <c r="AA121" s="172">
        <f>_xll.LVCELL($S$93,AA$93,$S121,$T$92,$S$94,$S$95,$S$96,$S$97,$S$98,$T$93)-AA24</f>
        <v>-60221.463685149327</v>
      </c>
      <c r="AB121" s="172">
        <f>_xll.LVCELL($S$93,AB$93,$S121,$T$92,$S$94,$S$95,$S$96,$S$97,$S$98,$T$93)-AB24</f>
        <v>-59724.096340816468</v>
      </c>
      <c r="AC121" s="172">
        <f>_xll.LVCELL($S$93,AC$93,$S121,$T$92,$S$94,$S$95,$S$96,$S$97,$S$98,$T$93)-AC24</f>
        <v>46313.628802773543</v>
      </c>
      <c r="AD121" s="172">
        <f>_xll.LVCELL($S$93,AD$93,$S121,$T$92,$S$94,$S$95,$S$96,$S$97,$S$98,$T$93)-AD24</f>
        <v>-101804.86482771393</v>
      </c>
      <c r="AE121" s="172">
        <f>_xll.LVCELL($S$93,AE$93,$S121,$T$92,$S$94,$S$95,$S$96,$S$97,$S$98,$T$93)-AE24</f>
        <v>69210.274354252964</v>
      </c>
      <c r="AF121" s="172">
        <f>_xll.LVCELL($S$93,AF$93,$S121,$T$92,$S$94,$S$95,$S$96,$S$97,$S$98,$T$93)-AF24</f>
        <v>-125192.37264162675</v>
      </c>
    </row>
    <row r="122" spans="17:32">
      <c r="Q122" s="65"/>
      <c r="R122" s="65"/>
      <c r="S122" t="s">
        <v>262</v>
      </c>
      <c r="T122" s="68" t="str">
        <f>_xll.LVDESC("entities",$S122,$U$97)</f>
        <v>Boralex Saint-François SAS</v>
      </c>
      <c r="U122" s="172">
        <f>_xll.LVCELL($S$93,U$93,$S122,$T$92,$S$94,$S$95,$S$96,$S$97,$S$98,$T$93)-U25</f>
        <v>-137872.28351129871</v>
      </c>
      <c r="V122" s="172">
        <f>_xll.LVCELL($S$93,V$93,$S122,$T$92,$S$94,$S$95,$S$96,$S$97,$S$98,$T$93)-V25</f>
        <v>380305.44469090179</v>
      </c>
      <c r="W122" s="172">
        <f>_xll.LVCELL($S$93,W$93,$S122,$T$92,$S$94,$S$95,$S$96,$S$97,$S$98,$T$93)-W25</f>
        <v>-109037.61891162116</v>
      </c>
      <c r="X122" s="172">
        <f>_xll.LVCELL($S$93,X$93,$S122,$T$92,$S$94,$S$95,$S$96,$S$97,$S$98,$T$93)-X25</f>
        <v>40766.241221223027</v>
      </c>
      <c r="Y122" s="172">
        <f>_xll.LVCELL($S$93,Y$93,$S122,$T$92,$S$94,$S$95,$S$96,$S$97,$S$98,$T$93)-Y25</f>
        <v>-81612.520136815496</v>
      </c>
      <c r="Z122" s="172">
        <f>_xll.LVCELL($S$93,Z$93,$S122,$T$92,$S$94,$S$95,$S$96,$S$97,$S$98,$T$93)-Z25</f>
        <v>29644.655810015276</v>
      </c>
      <c r="AA122" s="172">
        <f>_xll.LVCELL($S$93,AA$93,$S122,$T$92,$S$94,$S$95,$S$96,$S$97,$S$98,$T$93)-AA25</f>
        <v>-63287.164413465187</v>
      </c>
      <c r="AB122" s="172">
        <f>_xll.LVCELL($S$93,AB$93,$S122,$T$92,$S$94,$S$95,$S$96,$S$97,$S$98,$T$93)-AB25</f>
        <v>-62293.924855031073</v>
      </c>
      <c r="AC122" s="172">
        <f>_xll.LVCELL($S$93,AC$93,$S122,$T$92,$S$94,$S$95,$S$96,$S$97,$S$98,$T$93)-AC25</f>
        <v>36449.643132313155</v>
      </c>
      <c r="AD122" s="172">
        <f>_xll.LVCELL($S$93,AD$93,$S122,$T$92,$S$94,$S$95,$S$96,$S$97,$S$98,$T$93)-AD25</f>
        <v>-109551.09739339352</v>
      </c>
      <c r="AE122" s="172">
        <f>_xll.LVCELL($S$93,AE$93,$S122,$T$92,$S$94,$S$95,$S$96,$S$97,$S$98,$T$93)-AE25</f>
        <v>54215.51333463192</v>
      </c>
      <c r="AF122" s="172">
        <f>_xll.LVCELL($S$93,AF$93,$S122,$T$92,$S$94,$S$95,$S$96,$S$97,$S$98,$T$93)-AF25</f>
        <v>-134092.6297082305</v>
      </c>
    </row>
    <row r="123" spans="17:32">
      <c r="Q123" s="65"/>
      <c r="R123" s="65"/>
      <c r="S123" t="s">
        <v>437</v>
      </c>
      <c r="T123" s="68" t="str">
        <f>_xll.LVDESC("entities",$S123,$U$97)</f>
        <v>Boralex Saint-Patrick SAS</v>
      </c>
      <c r="U123" s="172">
        <f>_xll.LVCELL($S$93,U$93,$S123,$T$92,$S$94,$S$95,$S$96,$S$97,$S$98,$T$93)-U26</f>
        <v>-312707.93814278208</v>
      </c>
      <c r="V123" s="172">
        <f>_xll.LVCELL($S$93,V$93,$S123,$T$92,$S$94,$S$95,$S$96,$S$97,$S$98,$T$93)-V26</f>
        <v>626357.81762456894</v>
      </c>
      <c r="W123" s="172">
        <f>_xll.LVCELL($S$93,W$93,$S123,$T$92,$S$94,$S$95,$S$96,$S$97,$S$98,$T$93)-W26</f>
        <v>-242393.64085713774</v>
      </c>
      <c r="X123" s="172">
        <f>_xll.LVCELL($S$93,X$93,$S123,$T$92,$S$94,$S$95,$S$96,$S$97,$S$98,$T$93)-X26</f>
        <v>33117.53864795249</v>
      </c>
      <c r="Y123" s="172">
        <f>_xll.LVCELL($S$93,Y$93,$S123,$T$92,$S$94,$S$95,$S$96,$S$97,$S$98,$T$93)-Y26</f>
        <v>-181925.04912220035</v>
      </c>
      <c r="Z123" s="172">
        <f>_xll.LVCELL($S$93,Z$93,$S123,$T$92,$S$94,$S$95,$S$96,$S$97,$S$98,$T$93)-Z26</f>
        <v>26536.470098850317</v>
      </c>
      <c r="AA123" s="172">
        <f>_xll.LVCELL($S$93,AA$93,$S123,$T$92,$S$94,$S$95,$S$96,$S$97,$S$98,$T$93)-AA26</f>
        <v>-157831.16965693701</v>
      </c>
      <c r="AB123" s="172">
        <f>_xll.LVCELL($S$93,AB$93,$S123,$T$92,$S$94,$S$95,$S$96,$S$97,$S$98,$T$93)-AB26</f>
        <v>-156730.30256597418</v>
      </c>
      <c r="AC123" s="172">
        <f>_xll.LVCELL($S$93,AC$93,$S123,$T$92,$S$94,$S$95,$S$96,$S$97,$S$98,$T$93)-AC26</f>
        <v>31063.418750321493</v>
      </c>
      <c r="AD123" s="172">
        <f>_xll.LVCELL($S$93,AD$93,$S123,$T$92,$S$94,$S$95,$S$96,$S$97,$S$98,$T$93)-AD26</f>
        <v>-245868.53693385795</v>
      </c>
      <c r="AE123" s="172">
        <f>_xll.LVCELL($S$93,AE$93,$S123,$T$92,$S$94,$S$95,$S$96,$S$97,$S$98,$T$93)-AE26</f>
        <v>46136.170084822923</v>
      </c>
      <c r="AF123" s="172">
        <f>_xll.LVCELL($S$93,AF$93,$S123,$T$92,$S$94,$S$95,$S$96,$S$97,$S$98,$T$93)-AF26</f>
        <v>-301008.08801782504</v>
      </c>
    </row>
    <row r="124" spans="17:32">
      <c r="Q124" s="65"/>
      <c r="R124" s="65"/>
      <c r="S124" t="s">
        <v>263</v>
      </c>
      <c r="T124" s="68" t="str">
        <f>_xll.LVDESC("entities",$S124,$U$97)</f>
        <v>Laur Éole Énergie SAS (Calmont)</v>
      </c>
      <c r="U124" s="172">
        <f>_xll.LVCELL($S$93,U$93,$S124,$T$92,$S$94,$S$95,$S$96,$S$97,$S$98,$T$93)-U27</f>
        <v>-41404.437116676942</v>
      </c>
      <c r="V124" s="172">
        <f>_xll.LVCELL($S$93,V$93,$S124,$T$92,$S$94,$S$95,$S$96,$S$97,$S$98,$T$93)-V27</f>
        <v>262857.85030404339</v>
      </c>
      <c r="W124" s="172">
        <f>_xll.LVCELL($S$93,W$93,$S124,$T$92,$S$94,$S$95,$S$96,$S$97,$S$98,$T$93)-W27</f>
        <v>-42750.768904081546</v>
      </c>
      <c r="X124" s="172">
        <f>_xll.LVCELL($S$93,X$93,$S124,$T$92,$S$94,$S$95,$S$96,$S$97,$S$98,$T$93)-X27</f>
        <v>64012.227848699782</v>
      </c>
      <c r="Y124" s="172">
        <f>_xll.LVCELL($S$93,Y$93,$S124,$T$92,$S$94,$S$95,$S$96,$S$97,$S$98,$T$93)-Y27</f>
        <v>-35937.276730341837</v>
      </c>
      <c r="Z124" s="172">
        <f>_xll.LVCELL($S$93,Z$93,$S124,$T$92,$S$94,$S$95,$S$96,$S$97,$S$98,$T$93)-Z27</f>
        <v>42566.105361254653</v>
      </c>
      <c r="AA124" s="172">
        <f>_xll.LVCELL($S$93,AA$93,$S124,$T$92,$S$94,$S$95,$S$96,$S$97,$S$98,$T$93)-AA27</f>
        <v>-23078.395667866571</v>
      </c>
      <c r="AB124" s="172">
        <f>_xll.LVCELL($S$93,AB$93,$S124,$T$92,$S$94,$S$95,$S$96,$S$97,$S$98,$T$93)-AB27</f>
        <v>-22710.250257247826</v>
      </c>
      <c r="AC124" s="172">
        <f>_xll.LVCELL($S$93,AC$93,$S124,$T$92,$S$94,$S$95,$S$96,$S$97,$S$98,$T$93)-AC27</f>
        <v>46211.18025611667</v>
      </c>
      <c r="AD124" s="172">
        <f>_xll.LVCELL($S$93,AD$93,$S124,$T$92,$S$94,$S$95,$S$96,$S$97,$S$98,$T$93)-AD27</f>
        <v>-37188.17112644529</v>
      </c>
      <c r="AE124" s="172">
        <f>_xll.LVCELL($S$93,AE$93,$S124,$T$92,$S$94,$S$95,$S$96,$S$97,$S$98,$T$93)-AE27</f>
        <v>62613.017282994464</v>
      </c>
      <c r="AF124" s="172">
        <f>_xll.LVCELL($S$93,AF$93,$S124,$T$92,$S$94,$S$95,$S$96,$S$97,$S$98,$T$93)-AF27</f>
        <v>-39511.689290637616</v>
      </c>
    </row>
    <row r="125" spans="17:32">
      <c r="Q125" s="65"/>
      <c r="R125" s="65"/>
      <c r="S125" s="4" t="s">
        <v>265</v>
      </c>
      <c r="T125" s="68" t="str">
        <f>_xll.LVDESC("entities",$S125,$U$97)</f>
        <v>Coat Conval</v>
      </c>
      <c r="U125" s="172">
        <f>_xll.LVCELL($S$93,U$93,$S125,$T$92,$S$94,$S$95,$S$96,$S$97,$S$98,$T$93)-U28</f>
        <v>-24235.414894570597</v>
      </c>
      <c r="V125" s="172">
        <f>_xll.LVCELL($S$93,V$93,$S125,$T$92,$S$94,$S$95,$S$96,$S$97,$S$98,$T$93)-V28</f>
        <v>76285.913152517984</v>
      </c>
      <c r="W125" s="172">
        <f>_xll.LVCELL($S$93,W$93,$S125,$T$92,$S$94,$S$95,$S$96,$S$97,$S$98,$T$93)-W28</f>
        <v>-17812.245359322987</v>
      </c>
      <c r="X125" s="172">
        <f>_xll.LVCELL($S$93,X$93,$S125,$T$92,$S$94,$S$95,$S$96,$S$97,$S$98,$T$93)-X28</f>
        <v>9028.0541441632668</v>
      </c>
      <c r="Y125" s="172">
        <f>_xll.LVCELL($S$93,Y$93,$S125,$T$92,$S$94,$S$95,$S$96,$S$97,$S$98,$T$93)-Y28</f>
        <v>-11972.294289582409</v>
      </c>
      <c r="Z125" s="172">
        <f>_xll.LVCELL($S$93,Z$93,$S125,$T$92,$S$94,$S$95,$S$96,$S$97,$S$98,$T$93)-Z28</f>
        <v>5086.1118580089533</v>
      </c>
      <c r="AA125" s="172">
        <f>_xll.LVCELL($S$93,AA$93,$S125,$T$92,$S$94,$S$95,$S$96,$S$97,$S$98,$T$93)-AA28</f>
        <v>-8212.1735077952617</v>
      </c>
      <c r="AB125" s="172">
        <f>_xll.LVCELL($S$93,AB$93,$S125,$T$92,$S$94,$S$95,$S$96,$S$97,$S$98,$T$93)-AB28</f>
        <v>-7654.3710789623437</v>
      </c>
      <c r="AC125" s="172">
        <f>_xll.LVCELL($S$93,AC$93,$S125,$T$92,$S$94,$S$95,$S$96,$S$97,$S$98,$T$93)-AC28</f>
        <v>6972.2574940237682</v>
      </c>
      <c r="AD125" s="172">
        <f>_xll.LVCELL($S$93,AD$93,$S125,$T$92,$S$94,$S$95,$S$96,$S$97,$S$98,$T$93)-AD28</f>
        <v>-17224.143686481053</v>
      </c>
      <c r="AE125" s="172">
        <f>_xll.LVCELL($S$93,AE$93,$S125,$T$92,$S$94,$S$95,$S$96,$S$97,$S$98,$T$93)-AE28</f>
        <v>13342.670523716719</v>
      </c>
      <c r="AF125" s="172">
        <f>_xll.LVCELL($S$93,AF$93,$S125,$T$92,$S$94,$S$95,$S$96,$S$97,$S$98,$T$93)-AF28</f>
        <v>-23603.36435571569</v>
      </c>
    </row>
    <row r="126" spans="17:32">
      <c r="Q126" s="65"/>
      <c r="R126" s="65"/>
      <c r="S126" s="4" t="s">
        <v>266</v>
      </c>
      <c r="T126" s="68" t="str">
        <f>_xll.LVDESC("entities",$S126,$U$97)</f>
        <v>Leign Ar Gasprenn</v>
      </c>
      <c r="U126" s="172">
        <f>_xll.LVCELL($S$93,U$93,$S126,$T$92,$S$94,$S$95,$S$96,$S$97,$S$98,$T$93)-U29</f>
        <v>-34989.597218537936</v>
      </c>
      <c r="V126" s="172">
        <f>_xll.LVCELL($S$93,V$93,$S126,$T$92,$S$94,$S$95,$S$96,$S$97,$S$98,$T$93)-V29</f>
        <v>112781.97203402943</v>
      </c>
      <c r="W126" s="172">
        <f>_xll.LVCELL($S$93,W$93,$S126,$T$92,$S$94,$S$95,$S$96,$S$97,$S$98,$T$93)-W29</f>
        <v>-27050.240124581149</v>
      </c>
      <c r="X126" s="172">
        <f>_xll.LVCELL($S$93,X$93,$S126,$T$92,$S$94,$S$95,$S$96,$S$97,$S$98,$T$93)-X29</f>
        <v>14750.541792837903</v>
      </c>
      <c r="Y126" s="172">
        <f>_xll.LVCELL($S$93,Y$93,$S126,$T$92,$S$94,$S$95,$S$96,$S$97,$S$98,$T$93)-Y29</f>
        <v>-19795.474623043905</v>
      </c>
      <c r="Z126" s="172">
        <f>_xll.LVCELL($S$93,Z$93,$S126,$T$92,$S$94,$S$95,$S$96,$S$97,$S$98,$T$93)-Z29</f>
        <v>9181.7359050759114</v>
      </c>
      <c r="AA126" s="172">
        <f>_xll.LVCELL($S$93,AA$93,$S126,$T$92,$S$94,$S$95,$S$96,$S$97,$S$98,$T$93)-AA29</f>
        <v>-13755.257853523362</v>
      </c>
      <c r="AB126" s="172">
        <f>_xll.LVCELL($S$93,AB$93,$S126,$T$92,$S$94,$S$95,$S$96,$S$97,$S$98,$T$93)-AB29</f>
        <v>-12704.475296970224</v>
      </c>
      <c r="AC126" s="172">
        <f>_xll.LVCELL($S$93,AC$93,$S126,$T$92,$S$94,$S$95,$S$96,$S$97,$S$98,$T$93)-AC29</f>
        <v>11149.863666006946</v>
      </c>
      <c r="AD126" s="172">
        <f>_xll.LVCELL($S$93,AD$93,$S126,$T$92,$S$94,$S$95,$S$96,$S$97,$S$98,$T$93)-AD29</f>
        <v>-24846.962617139798</v>
      </c>
      <c r="AE126" s="172">
        <f>_xll.LVCELL($S$93,AE$93,$S126,$T$92,$S$94,$S$95,$S$96,$S$97,$S$98,$T$93)-AE29</f>
        <v>19365.211728011956</v>
      </c>
      <c r="AF126" s="172">
        <f>_xll.LVCELL($S$93,AF$93,$S126,$T$92,$S$94,$S$95,$S$96,$S$97,$S$98,$T$93)-AF29</f>
        <v>-34086.317392166471</v>
      </c>
    </row>
    <row r="127" spans="17:32">
      <c r="Q127" s="65"/>
      <c r="R127" s="65"/>
      <c r="S127" s="4" t="s">
        <v>269</v>
      </c>
      <c r="T127" s="68" t="str">
        <f>_xll.LVDESC("entities",$S127,$U$97)</f>
        <v>Vallée de l'Arce</v>
      </c>
      <c r="U127" s="172">
        <f>_xll.LVCELL($S$93,U$93,$S127,$T$92,$S$94,$S$95,$S$96,$S$97,$S$98,$T$93)-U30</f>
        <v>-169792.91641357169</v>
      </c>
      <c r="V127" s="172">
        <f>_xll.LVCELL($S$93,V$93,$S127,$T$92,$S$94,$S$95,$S$96,$S$97,$S$98,$T$93)-V30</f>
        <v>541464.98210233916</v>
      </c>
      <c r="W127" s="172">
        <f>_xll.LVCELL($S$93,W$93,$S127,$T$92,$S$94,$S$95,$S$96,$S$97,$S$98,$T$93)-W30</f>
        <v>-138788.77509917039</v>
      </c>
      <c r="X127" s="172">
        <f>_xll.LVCELL($S$93,X$93,$S127,$T$92,$S$94,$S$95,$S$96,$S$97,$S$98,$T$93)-X30</f>
        <v>19683.414278771728</v>
      </c>
      <c r="Y127" s="172">
        <f>_xll.LVCELL($S$93,Y$93,$S127,$T$92,$S$94,$S$95,$S$96,$S$97,$S$98,$T$93)-Y30</f>
        <v>-145094.1198046878</v>
      </c>
      <c r="Z127" s="172">
        <f>_xll.LVCELL($S$93,Z$93,$S127,$T$92,$S$94,$S$95,$S$96,$S$97,$S$98,$T$93)-Z30</f>
        <v>11800.916673806962</v>
      </c>
      <c r="AA127" s="172">
        <f>_xll.LVCELL($S$93,AA$93,$S127,$T$92,$S$94,$S$95,$S$96,$S$97,$S$98,$T$93)-AA30</f>
        <v>-110318.16539624101</v>
      </c>
      <c r="AB127" s="172">
        <f>_xll.LVCELL($S$93,AB$93,$S127,$T$92,$S$94,$S$95,$S$96,$S$97,$S$98,$T$93)-AB30</f>
        <v>-104532.02109738113</v>
      </c>
      <c r="AC127" s="172">
        <f>_xll.LVCELL($S$93,AC$93,$S127,$T$92,$S$94,$S$95,$S$96,$S$97,$S$98,$T$93)-AC30</f>
        <v>15933.256024288014</v>
      </c>
      <c r="AD127" s="172">
        <f>_xll.LVCELL($S$93,AD$93,$S127,$T$92,$S$94,$S$95,$S$96,$S$97,$S$98,$T$93)-AD30</f>
        <v>-202542.33248622157</v>
      </c>
      <c r="AE127" s="172">
        <f>_xll.LVCELL($S$93,AE$93,$S127,$T$92,$S$94,$S$95,$S$96,$S$97,$S$98,$T$93)-AE30</f>
        <v>25177.265033746138</v>
      </c>
      <c r="AF127" s="172">
        <f>_xll.LVCELL($S$93,AF$93,$S127,$T$92,$S$94,$S$95,$S$96,$S$97,$S$98,$T$93)-AF30</f>
        <v>-255326.20455948822</v>
      </c>
    </row>
    <row r="128" spans="17:32">
      <c r="Q128" s="65"/>
      <c r="R128" s="65"/>
      <c r="S128" s="4" t="s">
        <v>270</v>
      </c>
      <c r="T128" s="68" t="str">
        <f>_xll.LVDESC("entities",$S128,$U$97)</f>
        <v>La Bouleste</v>
      </c>
      <c r="U128" s="172">
        <f>_xll.LVCELL($S$93,U$93,$S128,$T$92,$S$94,$S$95,$S$96,$S$97,$S$98,$T$93)-U31</f>
        <v>-70108.441058909055</v>
      </c>
      <c r="V128" s="172">
        <f>_xll.LVCELL($S$93,V$93,$S128,$T$92,$S$94,$S$95,$S$96,$S$97,$S$98,$T$93)-V31</f>
        <v>79284.238911197521</v>
      </c>
      <c r="W128" s="172">
        <f>_xll.LVCELL($S$93,W$93,$S128,$T$92,$S$94,$S$95,$S$96,$S$97,$S$98,$T$93)-W31</f>
        <v>-69863.639245814178</v>
      </c>
      <c r="X128" s="172">
        <f>_xll.LVCELL($S$93,X$93,$S128,$T$92,$S$94,$S$95,$S$96,$S$97,$S$98,$T$93)-X31</f>
        <v>-14766.431116628228</v>
      </c>
      <c r="Y128" s="172">
        <f>_xll.LVCELL($S$93,Y$93,$S128,$T$92,$S$94,$S$95,$S$96,$S$97,$S$98,$T$93)-Y31</f>
        <v>-59422.912038169336</v>
      </c>
      <c r="Z128" s="172">
        <f>_xll.LVCELL($S$93,Z$93,$S128,$T$92,$S$94,$S$95,$S$96,$S$97,$S$98,$T$93)-Z31</f>
        <v>-8334.6749997715233</v>
      </c>
      <c r="AA128" s="172">
        <f>_xll.LVCELL($S$93,AA$93,$S128,$T$92,$S$94,$S$95,$S$96,$S$97,$S$98,$T$93)-AA31</f>
        <v>-33168.967885872815</v>
      </c>
      <c r="AB128" s="172">
        <f>_xll.LVCELL($S$93,AB$93,$S128,$T$92,$S$94,$S$95,$S$96,$S$97,$S$98,$T$93)-AB31</f>
        <v>-28796.835552338511</v>
      </c>
      <c r="AC128" s="172">
        <f>_xll.LVCELL($S$93,AC$93,$S128,$T$92,$S$94,$S$95,$S$96,$S$97,$S$98,$T$93)-AC31</f>
        <v>-9704.4323440534063</v>
      </c>
      <c r="AD128" s="172">
        <f>_xll.LVCELL($S$93,AD$93,$S128,$T$92,$S$94,$S$95,$S$96,$S$97,$S$98,$T$93)-AD31</f>
        <v>-69209.834410893265</v>
      </c>
      <c r="AE128" s="172">
        <f>_xll.LVCELL($S$93,AE$93,$S128,$T$92,$S$94,$S$95,$S$96,$S$97,$S$98,$T$93)-AE31</f>
        <v>-15459.148790881503</v>
      </c>
      <c r="AF128" s="172">
        <f>_xll.LVCELL($S$93,AF$93,$S128,$T$92,$S$94,$S$95,$S$96,$S$97,$S$98,$T$93)-AF31</f>
        <v>-68556.029575972119</v>
      </c>
    </row>
    <row r="129" spans="17:32">
      <c r="Q129" s="65"/>
      <c r="R129" s="65"/>
      <c r="S129" s="4" t="s">
        <v>271</v>
      </c>
      <c r="T129" s="68" t="str">
        <f>_xll.LVDESC("entities",$S129,$U$97)</f>
        <v>Haut de Conge</v>
      </c>
      <c r="U129" s="172">
        <f>_xll.LVCELL($S$93,U$93,$S129,$T$92,$S$94,$S$95,$S$96,$S$97,$S$98,$T$93)-U32</f>
        <v>129869.05871090386</v>
      </c>
      <c r="V129" s="172">
        <f>_xll.LVCELL($S$93,V$93,$S129,$T$92,$S$94,$S$95,$S$96,$S$97,$S$98,$T$93)-V32</f>
        <v>576574.68649121188</v>
      </c>
      <c r="W129" s="172">
        <f>_xll.LVCELL($S$93,W$93,$S129,$T$92,$S$94,$S$95,$S$96,$S$97,$S$98,$T$93)-W32</f>
        <v>111126.24223023746</v>
      </c>
      <c r="X129" s="172">
        <f>_xll.LVCELL($S$93,X$93,$S129,$T$92,$S$94,$S$95,$S$96,$S$97,$S$98,$T$93)-X32</f>
        <v>185716.37629045686</v>
      </c>
      <c r="Y129" s="172">
        <f>_xll.LVCELL($S$93,Y$93,$S129,$T$92,$S$94,$S$95,$S$96,$S$97,$S$98,$T$93)-Y32</f>
        <v>42882.161207908299</v>
      </c>
      <c r="Z129" s="172">
        <f>_xll.LVCELL($S$93,Z$93,$S129,$T$92,$S$94,$S$95,$S$96,$S$97,$S$98,$T$93)-Z32</f>
        <v>116991.44592204178</v>
      </c>
      <c r="AA129" s="172">
        <f>_xll.LVCELL($S$93,AA$93,$S129,$T$92,$S$94,$S$95,$S$96,$S$97,$S$98,$T$93)-AA32</f>
        <v>31144.156721777283</v>
      </c>
      <c r="AB129" s="172">
        <f>_xll.LVCELL($S$93,AB$93,$S129,$T$92,$S$94,$S$95,$S$96,$S$97,$S$98,$T$93)-AB32</f>
        <v>28011.242179214954</v>
      </c>
      <c r="AC129" s="172">
        <f>_xll.LVCELL($S$93,AC$93,$S129,$T$92,$S$94,$S$95,$S$96,$S$97,$S$98,$T$93)-AC32</f>
        <v>150633.02092755912</v>
      </c>
      <c r="AD129" s="172">
        <f>_xll.LVCELL($S$93,AD$93,$S129,$T$92,$S$94,$S$95,$S$96,$S$97,$S$98,$T$93)-AD32</f>
        <v>61596.128075476736</v>
      </c>
      <c r="AE129" s="172">
        <f>_xll.LVCELL($S$93,AE$93,$S129,$T$92,$S$94,$S$95,$S$96,$S$97,$S$98,$T$93)-AE32</f>
        <v>218259.45721416082</v>
      </c>
      <c r="AF129" s="172">
        <f>_xll.LVCELL($S$93,AF$93,$S129,$T$92,$S$94,$S$95,$S$96,$S$97,$S$98,$T$93)-AF32</f>
        <v>79036.034029070288</v>
      </c>
    </row>
    <row r="130" spans="17:32">
      <c r="Q130" s="65"/>
      <c r="R130" s="65"/>
      <c r="S130" s="4" t="s">
        <v>267</v>
      </c>
      <c r="T130" s="68" t="str">
        <f>_xll.LVDESC("entities",$S130,$U$97)</f>
        <v>Les Éparmonts</v>
      </c>
      <c r="U130" s="172">
        <f>_xll.LVCELL($S$93,U$93,$S130,$T$92,$S$94,$S$95,$S$96,$S$97,$S$98,$T$93)-U33</f>
        <v>-35079.005847690161</v>
      </c>
      <c r="V130" s="172">
        <f>_xll.LVCELL($S$93,V$93,$S130,$T$92,$S$94,$S$95,$S$96,$S$97,$S$98,$T$93)-V33</f>
        <v>161644.88175517949</v>
      </c>
      <c r="W130" s="172">
        <f>_xll.LVCELL($S$93,W$93,$S130,$T$92,$S$94,$S$95,$S$96,$S$97,$S$98,$T$93)-W33</f>
        <v>-28831.116876282729</v>
      </c>
      <c r="X130" s="172">
        <f>_xll.LVCELL($S$93,X$93,$S130,$T$92,$S$94,$S$95,$S$96,$S$97,$S$98,$T$93)-X33</f>
        <v>28595.562826280249</v>
      </c>
      <c r="Y130" s="172">
        <f>_xll.LVCELL($S$93,Y$93,$S130,$T$92,$S$94,$S$95,$S$96,$S$97,$S$98,$T$93)-Y33</f>
        <v>-19602.316939322976</v>
      </c>
      <c r="Z130" s="172">
        <f>_xll.LVCELL($S$93,Z$93,$S130,$T$92,$S$94,$S$95,$S$96,$S$97,$S$98,$T$93)-Z33</f>
        <v>17700.723970284802</v>
      </c>
      <c r="AA130" s="172">
        <f>_xll.LVCELL($S$93,AA$93,$S130,$T$92,$S$94,$S$95,$S$96,$S$97,$S$98,$T$93)-AA33</f>
        <v>-14724.142888142029</v>
      </c>
      <c r="AB130" s="172">
        <f>_xll.LVCELL($S$93,AB$93,$S130,$T$92,$S$94,$S$95,$S$96,$S$97,$S$98,$T$93)-AB33</f>
        <v>-13667.046557335299</v>
      </c>
      <c r="AC130" s="172">
        <f>_xll.LVCELL($S$93,AC$93,$S130,$T$92,$S$94,$S$95,$S$96,$S$97,$S$98,$T$93)-AC33</f>
        <v>24059.26421164535</v>
      </c>
      <c r="AD130" s="172">
        <f>_xll.LVCELL($S$93,AD$93,$S130,$T$92,$S$94,$S$95,$S$96,$S$97,$S$98,$T$93)-AD33</f>
        <v>-28571.60138510121</v>
      </c>
      <c r="AE130" s="172">
        <f>_xll.LVCELL($S$93,AE$93,$S130,$T$92,$S$94,$S$95,$S$96,$S$97,$S$98,$T$93)-AE33</f>
        <v>36258.819294185843</v>
      </c>
      <c r="AF130" s="172">
        <f>_xll.LVCELL($S$93,AF$93,$S130,$T$92,$S$94,$S$95,$S$96,$S$97,$S$98,$T$93)-AF33</f>
        <v>-36119.067812416703</v>
      </c>
    </row>
    <row r="131" spans="17:32">
      <c r="Q131" s="65"/>
      <c r="R131" s="65"/>
      <c r="S131" s="4" t="s">
        <v>272</v>
      </c>
      <c r="T131" s="68" t="str">
        <f>_xll.LVDESC("entities",$S131,$U$97)</f>
        <v>Charmoy</v>
      </c>
      <c r="U131" s="172">
        <f>_xll.LVCELL($S$93,U$93,$S131,$T$92,$S$94,$S$95,$S$96,$S$97,$S$98,$T$93)-U34</f>
        <v>-7521.6620253208093</v>
      </c>
      <c r="V131" s="172">
        <f>_xll.LVCELL($S$93,V$93,$S131,$T$92,$S$94,$S$95,$S$96,$S$97,$S$98,$T$93)-V34</f>
        <v>215640.58583057113</v>
      </c>
      <c r="W131" s="172">
        <f>_xll.LVCELL($S$93,W$93,$S131,$T$92,$S$94,$S$95,$S$96,$S$97,$S$98,$T$93)-W34</f>
        <v>-6294.3138712756336</v>
      </c>
      <c r="X131" s="172">
        <f>_xll.LVCELL($S$93,X$93,$S131,$T$92,$S$94,$S$95,$S$96,$S$97,$S$98,$T$93)-X34</f>
        <v>54810.910288448213</v>
      </c>
      <c r="Y131" s="172">
        <f>_xll.LVCELL($S$93,Y$93,$S131,$T$92,$S$94,$S$95,$S$96,$S$97,$S$98,$T$93)-Y34</f>
        <v>-4855.1585182626732</v>
      </c>
      <c r="Z131" s="172">
        <f>_xll.LVCELL($S$93,Z$93,$S131,$T$92,$S$94,$S$95,$S$96,$S$97,$S$98,$T$93)-Z34</f>
        <v>37323.548269168008</v>
      </c>
      <c r="AA131" s="172">
        <f>_xll.LVCELL($S$93,AA$93,$S131,$T$92,$S$94,$S$95,$S$96,$S$97,$S$98,$T$93)-AA34</f>
        <v>-4050.3313221656717</v>
      </c>
      <c r="AB131" s="172">
        <f>_xll.LVCELL($S$93,AB$93,$S131,$T$92,$S$94,$S$95,$S$96,$S$97,$S$98,$T$93)-AB34</f>
        <v>-3842.1642831759527</v>
      </c>
      <c r="AC131" s="172">
        <f>_xll.LVCELL($S$93,AC$93,$S131,$T$92,$S$94,$S$95,$S$96,$S$97,$S$98,$T$93)-AC34</f>
        <v>46341.344711166341</v>
      </c>
      <c r="AD131" s="172">
        <f>_xll.LVCELL($S$93,AD$93,$S131,$T$92,$S$94,$S$95,$S$96,$S$97,$S$98,$T$93)-AD34</f>
        <v>-6114.9877921477892</v>
      </c>
      <c r="AE131" s="172">
        <f>_xll.LVCELL($S$93,AE$93,$S131,$T$92,$S$94,$S$95,$S$96,$S$97,$S$98,$T$93)-AE34</f>
        <v>67932.767273877747</v>
      </c>
      <c r="AF131" s="172">
        <f>_xll.LVCELL($S$93,AF$93,$S131,$T$92,$S$94,$S$95,$S$96,$S$97,$S$98,$T$93)-AF34</f>
        <v>-7646.8529047169723</v>
      </c>
    </row>
    <row r="132" spans="17:32">
      <c r="Q132" s="65"/>
      <c r="R132" s="65"/>
      <c r="S132" s="4" t="s">
        <v>268</v>
      </c>
      <c r="T132" s="68" t="str">
        <f>_xll.LVDESC("entities",$S132,$U$97)</f>
        <v>Pannecé</v>
      </c>
      <c r="U132" s="172">
        <f>_xll.LVCELL($S$93,U$93,$S132,$T$92,$S$94,$S$95,$S$96,$S$97,$S$98,$T$93)-U35</f>
        <v>-85669.137285596691</v>
      </c>
      <c r="V132" s="172">
        <f>_xll.LVCELL($S$93,V$93,$S132,$T$92,$S$94,$S$95,$S$96,$S$97,$S$98,$T$93)-V35</f>
        <v>308803.24969058763</v>
      </c>
      <c r="W132" s="172">
        <f>_xll.LVCELL($S$93,W$93,$S132,$T$92,$S$94,$S$95,$S$96,$S$97,$S$98,$T$93)-W35</f>
        <v>-70085.480769312475</v>
      </c>
      <c r="X132" s="172">
        <f>_xll.LVCELL($S$93,X$93,$S132,$T$92,$S$94,$S$95,$S$96,$S$97,$S$98,$T$93)-X35</f>
        <v>45878.319856315851</v>
      </c>
      <c r="Y132" s="172">
        <f>_xll.LVCELL($S$93,Y$93,$S132,$T$92,$S$94,$S$95,$S$96,$S$97,$S$98,$T$93)-Y35</f>
        <v>-52858.89559320407</v>
      </c>
      <c r="Z132" s="172">
        <f>_xll.LVCELL($S$93,Z$93,$S132,$T$92,$S$94,$S$95,$S$96,$S$97,$S$98,$T$93)-Z35</f>
        <v>30757.16979141254</v>
      </c>
      <c r="AA132" s="172">
        <f>_xll.LVCELL($S$93,AA$93,$S132,$T$92,$S$94,$S$95,$S$96,$S$97,$S$98,$T$93)-AA35</f>
        <v>-39654.46905846009</v>
      </c>
      <c r="AB132" s="172">
        <f>_xll.LVCELL($S$93,AB$93,$S132,$T$92,$S$94,$S$95,$S$96,$S$97,$S$98,$T$93)-AB35</f>
        <v>-36031.959706027061</v>
      </c>
      <c r="AC132" s="172">
        <f>_xll.LVCELL($S$93,AC$93,$S132,$T$92,$S$94,$S$95,$S$96,$S$97,$S$98,$T$93)-AC35</f>
        <v>35510.925786294509</v>
      </c>
      <c r="AD132" s="172">
        <f>_xll.LVCELL($S$93,AD$93,$S132,$T$92,$S$94,$S$95,$S$96,$S$97,$S$98,$T$93)-AD35</f>
        <v>-63261.777105425484</v>
      </c>
      <c r="AE132" s="172">
        <f>_xll.LVCELL($S$93,AE$93,$S132,$T$92,$S$94,$S$95,$S$96,$S$97,$S$98,$T$93)-AE35</f>
        <v>56018.541129534598</v>
      </c>
      <c r="AF132" s="172">
        <f>_xll.LVCELL($S$93,AF$93,$S132,$T$92,$S$94,$S$95,$S$96,$S$97,$S$98,$T$93)-AF35</f>
        <v>-85901.460558135062</v>
      </c>
    </row>
    <row r="133" spans="17:32">
      <c r="Q133" s="65"/>
      <c r="R133" s="65"/>
      <c r="S133" s="4" t="s">
        <v>273</v>
      </c>
      <c r="T133" s="68" t="str">
        <f>_xll.LVDESC("entities",$S133,$U$97)</f>
        <v>Coulonges</v>
      </c>
      <c r="U133" s="172">
        <f>_xll.LVCELL($S$93,U$93,$S133,$T$92,$S$94,$S$95,$S$96,$S$97,$S$98,$T$93)-U36</f>
        <v>-201216.32367121056</v>
      </c>
      <c r="V133" s="172">
        <f>_xll.LVCELL($S$93,V$93,$S133,$T$92,$S$94,$S$95,$S$96,$S$97,$S$98,$T$93)-V36</f>
        <v>602786.32430577092</v>
      </c>
      <c r="W133" s="172">
        <f>_xll.LVCELL($S$93,W$93,$S133,$T$92,$S$94,$S$95,$S$96,$S$97,$S$98,$T$93)-W36</f>
        <v>-162391.74026505742</v>
      </c>
      <c r="X133" s="172">
        <f>_xll.LVCELL($S$93,X$93,$S133,$T$92,$S$94,$S$95,$S$96,$S$97,$S$98,$T$93)-X36</f>
        <v>7972.6145049333572</v>
      </c>
      <c r="Y133" s="172">
        <f>_xll.LVCELL($S$93,Y$93,$S133,$T$92,$S$94,$S$95,$S$96,$S$97,$S$98,$T$93)-Y36</f>
        <v>-165644.4576538112</v>
      </c>
      <c r="Z133" s="172">
        <f>_xll.LVCELL($S$93,Z$93,$S133,$T$92,$S$94,$S$95,$S$96,$S$97,$S$98,$T$93)-Z36</f>
        <v>2690.3464951654896</v>
      </c>
      <c r="AA133" s="172">
        <f>_xll.LVCELL($S$93,AA$93,$S133,$T$92,$S$94,$S$95,$S$96,$S$97,$S$98,$T$93)-AA36</f>
        <v>-119524.14580071624</v>
      </c>
      <c r="AB133" s="172">
        <f>_xll.LVCELL($S$93,AB$93,$S133,$T$92,$S$94,$S$95,$S$96,$S$97,$S$98,$T$93)-AB36</f>
        <v>-109636.06653017923</v>
      </c>
      <c r="AC133" s="172">
        <f>_xll.LVCELL($S$93,AC$93,$S133,$T$92,$S$94,$S$95,$S$96,$S$97,$S$98,$T$93)-AC36</f>
        <v>4377.8820763770491</v>
      </c>
      <c r="AD133" s="172">
        <f>_xll.LVCELL($S$93,AD$93,$S133,$T$92,$S$94,$S$95,$S$96,$S$97,$S$98,$T$93)-AD36</f>
        <v>-214507.45018048491</v>
      </c>
      <c r="AE133" s="172">
        <f>_xll.LVCELL($S$93,AE$93,$S133,$T$92,$S$94,$S$95,$S$96,$S$97,$S$98,$T$93)-AE36</f>
        <v>11524.48644253239</v>
      </c>
      <c r="AF133" s="172">
        <f>_xll.LVCELL($S$93,AF$93,$S133,$T$92,$S$94,$S$95,$S$96,$S$97,$S$98,$T$93)-AF36</f>
        <v>-295272.13159458712</v>
      </c>
    </row>
    <row r="134" spans="17:32">
      <c r="Q134" s="65"/>
      <c r="R134" s="65"/>
      <c r="S134" s="4" t="s">
        <v>274</v>
      </c>
      <c r="T134" s="68" t="str">
        <f>_xll.LVDESC("entities",$S134,$U$97)</f>
        <v>Sources de la Loire</v>
      </c>
      <c r="U134" s="172">
        <f>_xll.LVCELL($S$93,U$93,$S134,$T$92,$S$94,$S$95,$S$96,$S$97,$S$98,$T$93)-U37</f>
        <v>-294375.0023774486</v>
      </c>
      <c r="V134" s="172">
        <f>_xll.LVCELL($S$93,V$93,$S134,$T$92,$S$94,$S$95,$S$96,$S$97,$S$98,$T$93)-V37</f>
        <v>126522.86818467174</v>
      </c>
      <c r="W134" s="172">
        <f>_xll.LVCELL($S$93,W$93,$S134,$T$92,$S$94,$S$95,$S$96,$S$97,$S$98,$T$93)-W37</f>
        <v>-263137.95189935295</v>
      </c>
      <c r="X134" s="172">
        <f>_xll.LVCELL($S$93,X$93,$S134,$T$92,$S$94,$S$95,$S$96,$S$97,$S$98,$T$93)-X37</f>
        <v>-112447.44997438788</v>
      </c>
      <c r="Y134" s="172">
        <f>_xll.LVCELL($S$93,Y$93,$S134,$T$92,$S$94,$S$95,$S$96,$S$97,$S$98,$T$93)-Y37</f>
        <v>-196375.36440294702</v>
      </c>
      <c r="Z134" s="172">
        <f>_xll.LVCELL($S$93,Z$93,$S134,$T$92,$S$94,$S$95,$S$96,$S$97,$S$98,$T$93)-Z37</f>
        <v>-79624.25624224497</v>
      </c>
      <c r="AA134" s="172">
        <f>_xll.LVCELL($S$93,AA$93,$S134,$T$92,$S$94,$S$95,$S$96,$S$97,$S$98,$T$93)-AA37</f>
        <v>-157832.00574522838</v>
      </c>
      <c r="AB134" s="172">
        <f>_xll.LVCELL($S$93,AB$93,$S134,$T$92,$S$94,$S$95,$S$96,$S$97,$S$98,$T$93)-AB37</f>
        <v>-140466.31876757415</v>
      </c>
      <c r="AC134" s="172">
        <f>_xll.LVCELL($S$93,AC$93,$S134,$T$92,$S$94,$S$95,$S$96,$S$97,$S$98,$T$93)-AC37</f>
        <v>-87586.687345327809</v>
      </c>
      <c r="AD134" s="172">
        <f>_xll.LVCELL($S$93,AD$93,$S134,$T$92,$S$94,$S$95,$S$96,$S$97,$S$98,$T$93)-AD37</f>
        <v>-321425.04855083767</v>
      </c>
      <c r="AE134" s="172">
        <f>_xll.LVCELL($S$93,AE$93,$S134,$T$92,$S$94,$S$95,$S$96,$S$97,$S$98,$T$93)-AE37</f>
        <v>-257352.7466867324</v>
      </c>
      <c r="AF134" s="172">
        <f>_xll.LVCELL($S$93,AF$93,$S134,$T$92,$S$94,$S$95,$S$96,$S$97,$S$98,$T$93)-AF37</f>
        <v>-414785.45073804166</v>
      </c>
    </row>
    <row r="135" spans="17:32">
      <c r="Q135" s="65"/>
      <c r="R135" s="65"/>
      <c r="S135" s="4" t="s">
        <v>275</v>
      </c>
      <c r="T135" s="68" t="str">
        <f>_xll.LVDESC("entities",$S135,$U$97)</f>
        <v>Pays d'Othe</v>
      </c>
      <c r="U135" s="172">
        <f>_xll.LVCELL($S$93,U$93,$S135,$T$92,$S$94,$S$95,$S$96,$S$97,$S$98,$T$93)-U38</f>
        <v>-20134.926120537799</v>
      </c>
      <c r="V135" s="172">
        <f>_xll.LVCELL($S$93,V$93,$S135,$T$92,$S$94,$S$95,$S$96,$S$97,$S$98,$T$93)-V38</f>
        <v>159666.54443241376</v>
      </c>
      <c r="W135" s="172">
        <f>_xll.LVCELL($S$93,W$93,$S135,$T$92,$S$94,$S$95,$S$96,$S$97,$S$98,$T$93)-W38</f>
        <v>-16459.963623292511</v>
      </c>
      <c r="X135" s="172">
        <f>_xll.LVCELL($S$93,X$93,$S135,$T$92,$S$94,$S$95,$S$96,$S$97,$S$98,$T$93)-X38</f>
        <v>34894.338796823751</v>
      </c>
      <c r="Y135" s="172">
        <f>_xll.LVCELL($S$93,Y$93,$S135,$T$92,$S$94,$S$95,$S$96,$S$97,$S$98,$T$93)-Y38</f>
        <v>-12107.335787846008</v>
      </c>
      <c r="Z135" s="172">
        <f>_xll.LVCELL($S$93,Z$93,$S135,$T$92,$S$94,$S$95,$S$96,$S$97,$S$98,$T$93)-Z38</f>
        <v>22936.430151588982</v>
      </c>
      <c r="AA135" s="172">
        <f>_xll.LVCELL($S$93,AA$93,$S135,$T$92,$S$94,$S$95,$S$96,$S$97,$S$98,$T$93)-AA38</f>
        <v>-9423.0380156643223</v>
      </c>
      <c r="AB135" s="172">
        <f>_xll.LVCELL($S$93,AB$93,$S135,$T$92,$S$94,$S$95,$S$96,$S$97,$S$98,$T$93)-AB38</f>
        <v>-8806.1604354811134</v>
      </c>
      <c r="AC135" s="172">
        <f>_xll.LVCELL($S$93,AC$93,$S135,$T$92,$S$94,$S$95,$S$96,$S$97,$S$98,$T$93)-AC38</f>
        <v>28831.281776473159</v>
      </c>
      <c r="AD135" s="172">
        <f>_xll.LVCELL($S$93,AD$93,$S135,$T$92,$S$94,$S$95,$S$96,$S$97,$S$98,$T$93)-AD38</f>
        <v>-15943.358575293096</v>
      </c>
      <c r="AE135" s="172">
        <f>_xll.LVCELL($S$93,AE$93,$S135,$T$92,$S$94,$S$95,$S$96,$S$97,$S$98,$T$93)-AE38</f>
        <v>43197.837264182745</v>
      </c>
      <c r="AF135" s="172">
        <f>_xll.LVCELL($S$93,AF$93,$S135,$T$92,$S$94,$S$95,$S$96,$S$97,$S$98,$T$93)-AF38</f>
        <v>-20509.713265419006</v>
      </c>
    </row>
    <row r="136" spans="17:32">
      <c r="Q136" s="65"/>
      <c r="R136" s="65"/>
      <c r="S136" s="4" t="s">
        <v>276</v>
      </c>
      <c r="T136" s="68" t="str">
        <f>_xll.LVDESC("entities",$S136,$U$97)</f>
        <v>Comes de l'Arce</v>
      </c>
      <c r="U136" s="172">
        <f>_xll.LVCELL($S$93,U$93,$S136,$T$92,$S$94,$S$95,$S$96,$S$97,$S$98,$T$93)-U39</f>
        <v>89979.419915027916</v>
      </c>
      <c r="V136" s="172">
        <f>_xll.LVCELL($S$93,V$93,$S136,$T$92,$S$94,$S$95,$S$96,$S$97,$S$98,$T$93)-V39</f>
        <v>312370.65858825296</v>
      </c>
      <c r="W136" s="172">
        <f>_xll.LVCELL($S$93,W$93,$S136,$T$92,$S$94,$S$95,$S$96,$S$97,$S$98,$T$93)-W39</f>
        <v>72855.873676762916</v>
      </c>
      <c r="X136" s="172">
        <f>_xll.LVCELL($S$93,X$93,$S136,$T$92,$S$94,$S$95,$S$96,$S$97,$S$98,$T$93)-X39</f>
        <v>127081.34572170652</v>
      </c>
      <c r="Y136" s="172">
        <f>_xll.LVCELL($S$93,Y$93,$S136,$T$92,$S$94,$S$95,$S$96,$S$97,$S$98,$T$93)-Y39</f>
        <v>50875.376580146141</v>
      </c>
      <c r="Z136" s="172">
        <f>_xll.LVCELL($S$93,Z$93,$S136,$T$92,$S$94,$S$95,$S$96,$S$97,$S$98,$T$93)-Z39</f>
        <v>83100.040438818745</v>
      </c>
      <c r="AA136" s="172">
        <f>_xll.LVCELL($S$93,AA$93,$S136,$T$92,$S$94,$S$95,$S$96,$S$97,$S$98,$T$93)-AA39</f>
        <v>37928.914790238254</v>
      </c>
      <c r="AB136" s="172">
        <f>_xll.LVCELL($S$93,AB$93,$S136,$T$92,$S$94,$S$95,$S$96,$S$97,$S$98,$T$93)-AB39</f>
        <v>35775.208074769704</v>
      </c>
      <c r="AC136" s="172">
        <f>_xll.LVCELL($S$93,AC$93,$S136,$T$92,$S$94,$S$95,$S$96,$S$97,$S$98,$T$93)-AC39</f>
        <v>106156.67623863579</v>
      </c>
      <c r="AD136" s="172">
        <f>_xll.LVCELL($S$93,AD$93,$S136,$T$92,$S$94,$S$95,$S$96,$S$97,$S$98,$T$93)-AD39</f>
        <v>72262.893255154137</v>
      </c>
      <c r="AE136" s="172">
        <f>_xll.LVCELL($S$93,AE$93,$S136,$T$92,$S$94,$S$95,$S$96,$S$97,$S$98,$T$93)-AE39</f>
        <v>157734.86152493162</v>
      </c>
      <c r="AF136" s="172">
        <f>_xll.LVCELL($S$93,AF$93,$S136,$T$92,$S$94,$S$95,$S$96,$S$97,$S$98,$T$93)-AF39</f>
        <v>91913.911659529898</v>
      </c>
    </row>
    <row r="137" spans="17:32">
      <c r="Q137" s="65"/>
      <c r="R137" s="65"/>
      <c r="S137" t="s">
        <v>277</v>
      </c>
      <c r="T137" s="68" t="str">
        <f>_xll.LVDESC("entities",$S137,$U$97)</f>
        <v>Boralex Plateau de Savernat SAS</v>
      </c>
      <c r="U137" s="172">
        <f>_xll.LVCELL($S$93,U$93,$S137,$T$92,$S$94,$S$95,$S$96,$S$97,$S$98,$T$93)-U40</f>
        <v>90296.381851776503</v>
      </c>
      <c r="V137" s="172">
        <f>_xll.LVCELL($S$93,V$93,$S137,$T$92,$S$94,$S$95,$S$96,$S$97,$S$98,$T$93)-V40</f>
        <v>410518.62582858698</v>
      </c>
      <c r="W137" s="172">
        <f>_xll.LVCELL($S$93,W$93,$S137,$T$92,$S$94,$S$95,$S$96,$S$97,$S$98,$T$93)-W40</f>
        <v>74679.988970156759</v>
      </c>
      <c r="X137" s="172">
        <f>_xll.LVCELL($S$93,X$93,$S137,$T$92,$S$94,$S$95,$S$96,$S$97,$S$98,$T$93)-X40</f>
        <v>158928.85758577101</v>
      </c>
      <c r="Y137" s="172">
        <f>_xll.LVCELL($S$93,Y$93,$S137,$T$92,$S$94,$S$95,$S$96,$S$97,$S$98,$T$93)-Y40</f>
        <v>53995.121737138368</v>
      </c>
      <c r="Z137" s="172">
        <f>_xll.LVCELL($S$93,Z$93,$S137,$T$92,$S$94,$S$95,$S$96,$S$97,$S$98,$T$93)-Z40</f>
        <v>104910.79773650598</v>
      </c>
      <c r="AA137" s="172">
        <f>_xll.LVCELL($S$93,AA$93,$S137,$T$92,$S$94,$S$95,$S$96,$S$97,$S$98,$T$93)-AA40</f>
        <v>41290.463121583918</v>
      </c>
      <c r="AB137" s="172">
        <f>_xll.LVCELL($S$93,AB$93,$S137,$T$92,$S$94,$S$95,$S$96,$S$97,$S$98,$T$93)-AB40</f>
        <v>37401.601269707084</v>
      </c>
      <c r="AC137" s="172">
        <f>_xll.LVCELL($S$93,AC$93,$S137,$T$92,$S$94,$S$95,$S$96,$S$97,$S$98,$T$93)-AC40</f>
        <v>125089.15521371085</v>
      </c>
      <c r="AD137" s="172">
        <f>_xll.LVCELL($S$93,AD$93,$S137,$T$92,$S$94,$S$95,$S$96,$S$97,$S$98,$T$93)-AD40</f>
        <v>69651.811601500027</v>
      </c>
      <c r="AE137" s="172">
        <f>_xll.LVCELL($S$93,AE$93,$S137,$T$92,$S$94,$S$95,$S$96,$S$97,$S$98,$T$93)-AE40</f>
        <v>191755.73577835318</v>
      </c>
      <c r="AF137" s="172">
        <f>_xll.LVCELL($S$93,AF$93,$S137,$T$92,$S$94,$S$95,$S$96,$S$97,$S$98,$T$93)-AF40</f>
        <v>92841.443273161538</v>
      </c>
    </row>
    <row r="138" spans="17:32">
      <c r="Q138" s="65"/>
      <c r="R138" s="65"/>
      <c r="S138" t="s">
        <v>264</v>
      </c>
      <c r="T138" s="68" t="str">
        <f>_xll.LVDESC("entities",$S138,$U$97)</f>
        <v>Ferme Éolienne Touvent SAS</v>
      </c>
      <c r="U138" s="172">
        <f>_xll.LVCELL($S$93,U$93,$S138,$T$92,$S$94,$S$95,$S$96,$S$97,$S$98,$T$93)-U41</f>
        <v>-90062.295707134996</v>
      </c>
      <c r="V138" s="172">
        <f>_xll.LVCELL($S$93,V$93,$S138,$T$92,$S$94,$S$95,$S$96,$S$97,$S$98,$T$93)-V41</f>
        <v>226328.64917614264</v>
      </c>
      <c r="W138" s="172">
        <f>_xll.LVCELL($S$93,W$93,$S138,$T$92,$S$94,$S$95,$S$96,$S$97,$S$98,$T$93)-W41</f>
        <v>-65414.556897230446</v>
      </c>
      <c r="X138" s="172">
        <f>_xll.LVCELL($S$93,X$93,$S138,$T$92,$S$94,$S$95,$S$96,$S$97,$S$98,$T$93)-X41</f>
        <v>18455.862461664481</v>
      </c>
      <c r="Y138" s="172">
        <f>_xll.LVCELL($S$93,Y$93,$S138,$T$92,$S$94,$S$95,$S$96,$S$97,$S$98,$T$93)-Y41</f>
        <v>-46837.17543809209</v>
      </c>
      <c r="Z138" s="172">
        <f>_xll.LVCELL($S$93,Z$93,$S138,$T$92,$S$94,$S$95,$S$96,$S$97,$S$98,$T$93)-Z41</f>
        <v>15168.443212432088</v>
      </c>
      <c r="AA138" s="172">
        <f>_xll.LVCELL($S$93,AA$93,$S138,$T$92,$S$94,$S$95,$S$96,$S$97,$S$98,$T$93)-AA41</f>
        <v>-42415.860845686169</v>
      </c>
      <c r="AB138" s="172">
        <f>_xll.LVCELL($S$93,AB$93,$S138,$T$92,$S$94,$S$95,$S$96,$S$97,$S$98,$T$93)-AB41</f>
        <v>-38654.563356624218</v>
      </c>
      <c r="AC138" s="172">
        <f>_xll.LVCELL($S$93,AC$93,$S138,$T$92,$S$94,$S$95,$S$96,$S$97,$S$98,$T$93)-AC41</f>
        <v>15927.463039178401</v>
      </c>
      <c r="AD138" s="172">
        <f>_xll.LVCELL($S$93,AD$93,$S138,$T$92,$S$94,$S$95,$S$96,$S$97,$S$98,$T$93)-AD41</f>
        <v>-62181.073090843856</v>
      </c>
      <c r="AE138" s="172">
        <f>_xll.LVCELL($S$93,AE$93,$S138,$T$92,$S$94,$S$95,$S$96,$S$97,$S$98,$T$93)-AE41</f>
        <v>27880.145864377264</v>
      </c>
      <c r="AF138" s="172">
        <f>_xll.LVCELL($S$93,AF$93,$S138,$T$92,$S$94,$S$95,$S$96,$S$97,$S$98,$T$93)-AF41</f>
        <v>-83265.319542689715</v>
      </c>
    </row>
    <row r="139" spans="17:32">
      <c r="Q139" s="65"/>
      <c r="R139" s="65"/>
      <c r="S139" t="s">
        <v>468</v>
      </c>
      <c r="T139" s="68" t="str">
        <f>_xll.LVDESC("entities",$S139,$U$97)</f>
        <v>Conora 6 SARL (Hauts de Combles)</v>
      </c>
      <c r="U139" s="172">
        <f>_xll.LVCELL($S$93,U$93,$S139,$T$92,$S$94,$S$95,$S$96,$S$97,$S$98,$T$93)-U42</f>
        <v>1449795.4359007338</v>
      </c>
      <c r="V139" s="172">
        <f>_xll.LVCELL($S$93,V$93,$S139,$T$92,$S$94,$S$95,$S$96,$S$97,$S$98,$T$93)-V42</f>
        <v>1801164.3091381388</v>
      </c>
      <c r="W139" s="172">
        <f>_xll.LVCELL($S$93,W$93,$S139,$T$92,$S$94,$S$95,$S$96,$S$97,$S$98,$T$93)-W42</f>
        <v>1172356.7248118464</v>
      </c>
      <c r="X139" s="172">
        <f>_xll.LVCELL($S$93,X$93,$S139,$T$92,$S$94,$S$95,$S$96,$S$97,$S$98,$T$93)-X42</f>
        <v>1112711.2204906447</v>
      </c>
      <c r="Y139" s="172">
        <f>_xll.LVCELL($S$93,Y$93,$S139,$T$92,$S$94,$S$95,$S$96,$S$97,$S$98,$T$93)-Y42</f>
        <v>910788.85100982338</v>
      </c>
      <c r="Z139" s="172">
        <f>_xll.LVCELL($S$93,Z$93,$S139,$T$92,$S$94,$S$95,$S$96,$S$97,$S$98,$T$93)-Z42</f>
        <v>887831.28556889854</v>
      </c>
      <c r="AA139" s="172">
        <f>_xll.LVCELL($S$93,AA$93,$S139,$T$92,$S$94,$S$95,$S$96,$S$97,$S$98,$T$93)-AA42</f>
        <v>739446.99659793591</v>
      </c>
      <c r="AB139" s="172">
        <f>_xll.LVCELL($S$93,AB$93,$S139,$T$92,$S$94,$S$95,$S$96,$S$97,$S$98,$T$93)-AB42</f>
        <v>732981.28511069575</v>
      </c>
      <c r="AC139" s="172">
        <f>_xll.LVCELL($S$93,AC$93,$S139,$T$92,$S$94,$S$95,$S$96,$S$97,$S$98,$T$93)-AC42</f>
        <v>1021093.8395965989</v>
      </c>
      <c r="AD139" s="172">
        <f>_xll.LVCELL($S$93,AD$93,$S139,$T$92,$S$94,$S$95,$S$96,$S$97,$S$98,$T$93)-AD42</f>
        <v>1179704.2605928015</v>
      </c>
      <c r="AE139" s="172">
        <f>_xll.LVCELL($S$93,AE$93,$S139,$T$92,$S$94,$S$95,$S$96,$S$97,$S$98,$T$93)-AE42</f>
        <v>1401558.8213456869</v>
      </c>
      <c r="AF139" s="172">
        <f>_xll.LVCELL($S$93,AF$93,$S139,$T$92,$S$94,$S$95,$S$96,$S$97,$S$98,$T$93)-AF42</f>
        <v>1405711.2212150004</v>
      </c>
    </row>
    <row r="140" spans="17:32">
      <c r="Q140" s="65"/>
      <c r="R140" s="65"/>
      <c r="S140" t="s">
        <v>471</v>
      </c>
      <c r="T140" s="68" t="str">
        <f>_xll.LVDESC("entities",$S140,$U$97)</f>
        <v>Vents du Sud Artois SAS (Inter deux Bos)</v>
      </c>
      <c r="U140" s="172">
        <f>_xll.LVCELL($S$93,U$93,$S140,$T$92,$S$94,$S$95,$S$96,$S$97,$S$98,$T$93)-U43</f>
        <v>1891062.662778547</v>
      </c>
      <c r="V140" s="172">
        <f>_xll.LVCELL($S$93,V$93,$S140,$T$92,$S$94,$S$95,$S$96,$S$97,$S$98,$T$93)-V43</f>
        <v>2402161.5243557785</v>
      </c>
      <c r="W140" s="172">
        <f>_xll.LVCELL($S$93,W$93,$S140,$T$92,$S$94,$S$95,$S$96,$S$97,$S$98,$T$93)-W43</f>
        <v>1484793.2370456206</v>
      </c>
      <c r="X140" s="172">
        <f>_xll.LVCELL($S$93,X$93,$S140,$T$92,$S$94,$S$95,$S$96,$S$97,$S$98,$T$93)-X43</f>
        <v>1409663.3224909855</v>
      </c>
      <c r="Y140" s="172">
        <f>_xll.LVCELL($S$93,Y$93,$S140,$T$92,$S$94,$S$95,$S$96,$S$97,$S$98,$T$93)-Y43</f>
        <v>1121145.3853308763</v>
      </c>
      <c r="Z140" s="172">
        <f>_xll.LVCELL($S$93,Z$93,$S140,$T$92,$S$94,$S$95,$S$96,$S$97,$S$98,$T$93)-Z43</f>
        <v>1097548.0164659778</v>
      </c>
      <c r="AA140" s="172">
        <f>_xll.LVCELL($S$93,AA$93,$S140,$T$92,$S$94,$S$95,$S$96,$S$97,$S$98,$T$93)-AA43</f>
        <v>898655.13196992036</v>
      </c>
      <c r="AB140" s="172">
        <f>_xll.LVCELL($S$93,AB$93,$S140,$T$92,$S$94,$S$95,$S$96,$S$97,$S$98,$T$93)-AB43</f>
        <v>892007.69382029539</v>
      </c>
      <c r="AC140" s="172">
        <f>_xll.LVCELL($S$93,AC$93,$S140,$T$92,$S$94,$S$95,$S$96,$S$97,$S$98,$T$93)-AC43</f>
        <v>1294980.5428996636</v>
      </c>
      <c r="AD140" s="172">
        <f>_xll.LVCELL($S$93,AD$93,$S140,$T$92,$S$94,$S$95,$S$96,$S$97,$S$98,$T$93)-AD43</f>
        <v>1521158.222217096</v>
      </c>
      <c r="AE140" s="172">
        <f>_xll.LVCELL($S$93,AE$93,$S140,$T$92,$S$94,$S$95,$S$96,$S$97,$S$98,$T$93)-AE43</f>
        <v>1856249.2171348399</v>
      </c>
      <c r="AF140" s="172">
        <f>_xll.LVCELL($S$93,AF$93,$S140,$T$92,$S$94,$S$95,$S$96,$S$97,$S$98,$T$93)-AF43</f>
        <v>1834364.5138552804</v>
      </c>
    </row>
    <row r="141" spans="17:32">
      <c r="Q141" s="65"/>
      <c r="R141" s="65"/>
      <c r="S141" t="s">
        <v>474</v>
      </c>
      <c r="T141" s="68" t="str">
        <f>_xll.LVDESC("entities",$S141,$U$97)</f>
        <v>Boralex Le Pelon SAS</v>
      </c>
      <c r="U141" s="172">
        <f>_xll.LVCELL($S$93,U$93,$S141,$T$92,$S$94,$S$95,$S$96,$S$97,$S$98,$T$93)-U44</f>
        <v>149768.42569349473</v>
      </c>
      <c r="V141" s="172">
        <f>_xll.LVCELL($S$93,V$93,$S141,$T$92,$S$94,$S$95,$S$96,$S$97,$S$98,$T$93)-V44</f>
        <v>402485.15182571299</v>
      </c>
      <c r="W141" s="172">
        <f>_xll.LVCELL($S$93,W$93,$S141,$T$92,$S$94,$S$95,$S$96,$S$97,$S$98,$T$93)-W44</f>
        <v>133996.17123551946</v>
      </c>
      <c r="X141" s="172">
        <f>_xll.LVCELL($S$93,X$93,$S141,$T$92,$S$94,$S$95,$S$96,$S$97,$S$98,$T$93)-X44</f>
        <v>198810.24116109265</v>
      </c>
      <c r="Y141" s="172">
        <f>_xll.LVCELL($S$93,Y$93,$S141,$T$92,$S$94,$S$95,$S$96,$S$97,$S$98,$T$93)-Y44</f>
        <v>98636.70227790135</v>
      </c>
      <c r="Z141" s="172">
        <f>_xll.LVCELL($S$93,Z$93,$S141,$T$92,$S$94,$S$95,$S$96,$S$97,$S$98,$T$93)-Z44</f>
        <v>141714.99101921567</v>
      </c>
      <c r="AA141" s="172">
        <f>_xll.LVCELL($S$93,AA$93,$S141,$T$92,$S$94,$S$95,$S$96,$S$97,$S$98,$T$93)-AA44</f>
        <v>76493.41632178193</v>
      </c>
      <c r="AB141" s="172">
        <f>_xll.LVCELL($S$93,AB$93,$S141,$T$92,$S$94,$S$95,$S$96,$S$97,$S$98,$T$93)-AB44</f>
        <v>72542.279135766905</v>
      </c>
      <c r="AC141" s="172">
        <f>_xll.LVCELL($S$93,AC$93,$S141,$T$92,$S$94,$S$95,$S$96,$S$97,$S$98,$T$93)-AC44</f>
        <v>157010.55609590746</v>
      </c>
      <c r="AD141" s="172">
        <f>_xll.LVCELL($S$93,AD$93,$S141,$T$92,$S$94,$S$95,$S$96,$S$97,$S$98,$T$93)-AD44</f>
        <v>123640.70826527337</v>
      </c>
      <c r="AE141" s="172">
        <f>_xll.LVCELL($S$93,AE$93,$S141,$T$92,$S$94,$S$95,$S$96,$S$97,$S$98,$T$93)-AE44</f>
        <v>222387.71873418847</v>
      </c>
      <c r="AF141" s="172">
        <f>_xll.LVCELL($S$93,AF$93,$S141,$T$92,$S$94,$S$95,$S$96,$S$97,$S$98,$T$93)-AF44</f>
        <v>153891.03430994088</v>
      </c>
    </row>
    <row r="142" spans="17:32">
      <c r="Q142" s="65"/>
      <c r="R142" s="65"/>
      <c r="S142" t="s">
        <v>467</v>
      </c>
      <c r="T142" s="68" t="str">
        <f>_xll.LVDESC("entities",$S142,$U$97)</f>
        <v>Vents du Caudrésis SAS (Monts de Bagny)</v>
      </c>
      <c r="U142" s="172">
        <f>_xll.LVCELL($S$93,U$93,$S142,$T$92,$S$94,$S$95,$S$96,$S$97,$S$98,$T$93)-U45</f>
        <v>58459.220226439647</v>
      </c>
      <c r="V142" s="172">
        <f>_xll.LVCELL($S$93,V$93,$S142,$T$92,$S$94,$S$95,$S$96,$S$97,$S$98,$T$93)-V45</f>
        <v>675728.30759117473</v>
      </c>
      <c r="W142" s="172">
        <f>_xll.LVCELL($S$93,W$93,$S142,$T$92,$S$94,$S$95,$S$96,$S$97,$S$98,$T$93)-W45</f>
        <v>44776.70066510234</v>
      </c>
      <c r="X142" s="172">
        <f>_xll.LVCELL($S$93,X$93,$S142,$T$92,$S$94,$S$95,$S$96,$S$97,$S$98,$T$93)-X45</f>
        <v>198396.09219700471</v>
      </c>
      <c r="Y142" s="172">
        <f>_xll.LVCELL($S$93,Y$93,$S142,$T$92,$S$94,$S$95,$S$96,$S$97,$S$98,$T$93)-Y45</f>
        <v>32248.171258360147</v>
      </c>
      <c r="Z142" s="172">
        <f>_xll.LVCELL($S$93,Z$93,$S142,$T$92,$S$94,$S$95,$S$96,$S$97,$S$98,$T$93)-Z45</f>
        <v>147834.28912744531</v>
      </c>
      <c r="AA142" s="172">
        <f>_xll.LVCELL($S$93,AA$93,$S142,$T$92,$S$94,$S$95,$S$96,$S$97,$S$98,$T$93)-AA45</f>
        <v>24437.510665872134</v>
      </c>
      <c r="AB142" s="172">
        <f>_xll.LVCELL($S$93,AB$93,$S142,$T$92,$S$94,$S$95,$S$96,$S$97,$S$98,$T$93)-AB45</f>
        <v>24437.510665872134</v>
      </c>
      <c r="AC142" s="172">
        <f>_xll.LVCELL($S$93,AC$93,$S142,$T$92,$S$94,$S$95,$S$96,$S$97,$S$98,$T$93)-AC45</f>
        <v>181789.87249725685</v>
      </c>
      <c r="AD142" s="172">
        <f>_xll.LVCELL($S$93,AD$93,$S142,$T$92,$S$94,$S$95,$S$96,$S$97,$S$98,$T$93)-AD45</f>
        <v>46821.410484611988</v>
      </c>
      <c r="AE142" s="172">
        <f>_xll.LVCELL($S$93,AE$93,$S142,$T$92,$S$94,$S$95,$S$96,$S$97,$S$98,$T$93)-AE45</f>
        <v>268330.65158293955</v>
      </c>
      <c r="AF142" s="172">
        <f>_xll.LVCELL($S$93,AF$93,$S142,$T$92,$S$94,$S$95,$S$96,$S$97,$S$98,$T$93)-AF45</f>
        <v>56479.578029351309</v>
      </c>
    </row>
    <row r="143" spans="17:32">
      <c r="Q143" s="65"/>
      <c r="R143" s="65"/>
      <c r="S143" t="s">
        <v>473</v>
      </c>
      <c r="T143" s="68" t="str">
        <f>_xll.LVDESC("entities",$S143,$U$97)</f>
        <v>Conora 5 SARL (Voie des Monts)</v>
      </c>
      <c r="U143" s="172">
        <f>_xll.LVCELL($S$93,U$93,$S143,$T$92,$S$94,$S$95,$S$96,$S$97,$S$98,$T$93)-U46</f>
        <v>-63918.595892383717</v>
      </c>
      <c r="V143" s="172">
        <f>_xll.LVCELL($S$93,V$93,$S143,$T$92,$S$94,$S$95,$S$96,$S$97,$S$98,$T$93)-V46</f>
        <v>204871.30656645074</v>
      </c>
      <c r="W143" s="172">
        <f>_xll.LVCELL($S$93,W$93,$S143,$T$92,$S$94,$S$95,$S$96,$S$97,$S$98,$T$93)-W46</f>
        <v>-53715.357101874426</v>
      </c>
      <c r="X143" s="172">
        <f>_xll.LVCELL($S$93,X$93,$S143,$T$92,$S$94,$S$95,$S$96,$S$97,$S$98,$T$93)-X46</f>
        <v>28609.570720838383</v>
      </c>
      <c r="Y143" s="172">
        <f>_xll.LVCELL($S$93,Y$93,$S143,$T$92,$S$94,$S$95,$S$96,$S$97,$S$98,$T$93)-Y46</f>
        <v>-43010.656378253363</v>
      </c>
      <c r="Z143" s="172">
        <f>_xll.LVCELL($S$93,Z$93,$S143,$T$92,$S$94,$S$95,$S$96,$S$97,$S$98,$T$93)-Z46</f>
        <v>22809.642063790467</v>
      </c>
      <c r="AA143" s="172">
        <f>_xll.LVCELL($S$93,AA$93,$S143,$T$92,$S$94,$S$95,$S$96,$S$97,$S$98,$T$93)-AA46</f>
        <v>-35719.496799795656</v>
      </c>
      <c r="AB143" s="172">
        <f>_xll.LVCELL($S$93,AB$93,$S143,$T$92,$S$94,$S$95,$S$96,$S$97,$S$98,$T$93)-AB46</f>
        <v>-35343.650349961361</v>
      </c>
      <c r="AC143" s="172">
        <f>_xll.LVCELL($S$93,AC$93,$S143,$T$92,$S$94,$S$95,$S$96,$S$97,$S$98,$T$93)-AC46</f>
        <v>26192.417238600319</v>
      </c>
      <c r="AD143" s="172">
        <f>_xll.LVCELL($S$93,AD$93,$S143,$T$92,$S$94,$S$95,$S$96,$S$97,$S$98,$T$93)-AD46</f>
        <v>-53966.588068430312</v>
      </c>
      <c r="AE143" s="172">
        <f>_xll.LVCELL($S$93,AE$93,$S143,$T$92,$S$94,$S$95,$S$96,$S$97,$S$98,$T$93)-AE46</f>
        <v>34765.233449089807</v>
      </c>
      <c r="AF143" s="172">
        <f>_xll.LVCELL($S$93,AF$93,$S143,$T$92,$S$94,$S$95,$S$96,$S$97,$S$98,$T$93)-AF46</f>
        <v>-62374.825448062737</v>
      </c>
    </row>
    <row r="144" spans="17:32">
      <c r="Q144" s="65"/>
      <c r="R144" s="65"/>
      <c r="S144" t="s">
        <v>470</v>
      </c>
      <c r="T144" s="68" t="str">
        <f>_xll.LVDESC("entities",$S144,$U$97)</f>
        <v>Vents de l'Artois SAS</v>
      </c>
      <c r="U144" s="172">
        <f>_xll.LVCELL($S$93,U$93,$S144,$T$92,$S$94,$S$95,$S$96,$S$97,$S$98,$T$93)-U47</f>
        <v>-7789.2965344665572</v>
      </c>
      <c r="V144" s="172">
        <f>_xll.LVCELL($S$93,V$93,$S144,$T$92,$S$94,$S$95,$S$96,$S$97,$S$98,$T$93)-V47</f>
        <v>539127.46437821258</v>
      </c>
      <c r="W144" s="172">
        <f>_xll.LVCELL($S$93,W$93,$S144,$T$92,$S$94,$S$95,$S$96,$S$97,$S$98,$T$93)-W47</f>
        <v>-6556.0256158914417</v>
      </c>
      <c r="X144" s="172">
        <f>_xll.LVCELL($S$93,X$93,$S144,$T$92,$S$94,$S$95,$S$96,$S$97,$S$98,$T$93)-X47</f>
        <v>140336.27655208763</v>
      </c>
      <c r="Y144" s="172">
        <f>_xll.LVCELL($S$93,Y$93,$S144,$T$92,$S$94,$S$95,$S$96,$S$97,$S$98,$T$93)-Y47</f>
        <v>-5484.7262394987047</v>
      </c>
      <c r="Z144" s="172">
        <f>_xll.LVCELL($S$93,Z$93,$S144,$T$92,$S$94,$S$95,$S$96,$S$97,$S$98,$T$93)-Z47</f>
        <v>115381.92181581864</v>
      </c>
      <c r="AA144" s="172">
        <f>_xll.LVCELL($S$93,AA$93,$S144,$T$92,$S$94,$S$95,$S$96,$S$97,$S$98,$T$93)-AA47</f>
        <v>-4927.7070645028725</v>
      </c>
      <c r="AB144" s="172">
        <f>_xll.LVCELL($S$93,AB$93,$S144,$T$92,$S$94,$S$95,$S$96,$S$97,$S$98,$T$93)-AB47</f>
        <v>-4900.9446192122996</v>
      </c>
      <c r="AC144" s="172">
        <f>_xll.LVCELL($S$93,AC$93,$S144,$T$92,$S$94,$S$95,$S$96,$S$97,$S$98,$T$93)-AC47</f>
        <v>131939.88646085653</v>
      </c>
      <c r="AD144" s="172">
        <f>_xll.LVCELL($S$93,AD$93,$S144,$T$92,$S$94,$S$95,$S$96,$S$97,$S$98,$T$93)-AD47</f>
        <v>-6650.8926096269861</v>
      </c>
      <c r="AE144" s="172">
        <f>_xll.LVCELL($S$93,AE$93,$S144,$T$92,$S$94,$S$95,$S$96,$S$97,$S$98,$T$93)-AE47</f>
        <v>181847.59593339451</v>
      </c>
      <c r="AF144" s="172">
        <f>_xll.LVCELL($S$93,AF$93,$S144,$T$92,$S$94,$S$95,$S$96,$S$97,$S$98,$T$93)-AF47</f>
        <v>-7621.3328161826357</v>
      </c>
    </row>
    <row r="145" spans="17:32">
      <c r="Q145" s="65"/>
      <c r="R145" s="65"/>
      <c r="S145" t="s">
        <v>465</v>
      </c>
      <c r="T145" s="68" t="str">
        <f>_xll.LVDESC("entities",$S145,$U$97)</f>
        <v>Vents de l'Est Cambrésis SAS (Chemin de Grès)</v>
      </c>
      <c r="U145" s="172">
        <f>_xll.LVCELL($S$93,U$93,$S145,$T$92,$S$94,$S$95,$S$96,$S$97,$S$98,$T$93)-U48</f>
        <v>-545503.52526063658</v>
      </c>
      <c r="V145" s="172">
        <f>_xll.LVCELL($S$93,V$93,$S145,$T$92,$S$94,$S$95,$S$96,$S$97,$S$98,$T$93)-V48</f>
        <v>215399.25014634058</v>
      </c>
      <c r="W145" s="172">
        <f>_xll.LVCELL($S$93,W$93,$S145,$T$92,$S$94,$S$95,$S$96,$S$97,$S$98,$T$93)-W48</f>
        <v>-425887.70939205959</v>
      </c>
      <c r="X145" s="172">
        <f>_xll.LVCELL($S$93,X$93,$S145,$T$92,$S$94,$S$95,$S$96,$S$97,$S$98,$T$93)-X48</f>
        <v>-168118.17971637566</v>
      </c>
      <c r="Y145" s="172">
        <f>_xll.LVCELL($S$93,Y$93,$S145,$T$92,$S$94,$S$95,$S$96,$S$97,$S$98,$T$93)-Y48</f>
        <v>-321901.11685125809</v>
      </c>
      <c r="Z145" s="172">
        <f>_xll.LVCELL($S$93,Z$93,$S145,$T$92,$S$94,$S$95,$S$96,$S$97,$S$98,$T$93)-Z48</f>
        <v>-132345.95948434249</v>
      </c>
      <c r="AA145" s="172">
        <f>_xll.LVCELL($S$93,AA$93,$S145,$T$92,$S$94,$S$95,$S$96,$S$97,$S$98,$T$93)-AA48</f>
        <v>-263448.20160537679</v>
      </c>
      <c r="AB145" s="172">
        <f>_xll.LVCELL($S$93,AB$93,$S145,$T$92,$S$94,$S$95,$S$96,$S$97,$S$98,$T$93)-AB48</f>
        <v>-264385.73500504438</v>
      </c>
      <c r="AC145" s="172">
        <f>_xll.LVCELL($S$93,AC$93,$S145,$T$92,$S$94,$S$95,$S$96,$S$97,$S$98,$T$93)-AC48</f>
        <v>-158460.59408899397</v>
      </c>
      <c r="AD145" s="172">
        <f>_xll.LVCELL($S$93,AD$93,$S145,$T$92,$S$94,$S$95,$S$96,$S$97,$S$98,$T$93)-AD48</f>
        <v>-448602.74062842783</v>
      </c>
      <c r="AE145" s="172">
        <f>_xll.LVCELL($S$93,AE$93,$S145,$T$92,$S$94,$S$95,$S$96,$S$97,$S$98,$T$93)-AE48</f>
        <v>-225765.5429002326</v>
      </c>
      <c r="AF145" s="172">
        <f>_xll.LVCELL($S$93,AF$93,$S145,$T$92,$S$94,$S$95,$S$96,$S$97,$S$98,$T$93)-AF48</f>
        <v>-529769.6871106755</v>
      </c>
    </row>
    <row r="146" spans="17:32">
      <c r="Q146" s="65"/>
      <c r="R146" s="65"/>
      <c r="S146" t="s">
        <v>481</v>
      </c>
      <c r="T146" s="68" t="str">
        <f>_xll.LVDESC("entities",$S146,$U$97)</f>
        <v>Boralex les Côteaux du Blaiseron SAS</v>
      </c>
      <c r="U146" s="172">
        <f>_xll.LVCELL($S$93,U$93,$S146,$T$92,$S$94,$S$95,$S$96,$S$97,$S$98,$T$93)-U49</f>
        <v>-374536.3370810207</v>
      </c>
      <c r="V146" s="172">
        <f>_xll.LVCELL($S$93,V$93,$S146,$T$92,$S$94,$S$95,$S$96,$S$97,$S$98,$T$93)-V49</f>
        <v>138402.25246334448</v>
      </c>
      <c r="W146" s="172">
        <f>_xll.LVCELL($S$93,W$93,$S146,$T$92,$S$94,$S$95,$S$96,$S$97,$S$98,$T$93)-W49</f>
        <v>-304053.77616146673</v>
      </c>
      <c r="X146" s="172">
        <f>_xll.LVCELL($S$93,X$93,$S146,$T$92,$S$94,$S$95,$S$96,$S$97,$S$98,$T$93)-X49</f>
        <v>-123292.89482361311</v>
      </c>
      <c r="Y146" s="172">
        <f>_xll.LVCELL($S$93,Y$93,$S146,$T$92,$S$94,$S$95,$S$96,$S$97,$S$98,$T$93)-Y49</f>
        <v>-210018.43049572874</v>
      </c>
      <c r="Z146" s="172">
        <f>_xll.LVCELL($S$93,Z$93,$S146,$T$92,$S$94,$S$95,$S$96,$S$97,$S$98,$T$93)-Z49</f>
        <v>-81405.040377954487</v>
      </c>
      <c r="AA146" s="172">
        <f>_xll.LVCELL($S$93,AA$93,$S146,$T$92,$S$94,$S$95,$S$96,$S$97,$S$98,$T$93)-AA49</f>
        <v>-159221.77130433125</v>
      </c>
      <c r="AB146" s="172">
        <f>_xll.LVCELL($S$93,AB$93,$S146,$T$92,$S$94,$S$95,$S$96,$S$97,$S$98,$T$93)-AB49</f>
        <v>-149906.11539725726</v>
      </c>
      <c r="AC146" s="172">
        <f>_xll.LVCELL($S$93,AC$93,$S146,$T$92,$S$94,$S$95,$S$96,$S$97,$S$98,$T$93)-AC49</f>
        <v>-102530.86855834769</v>
      </c>
      <c r="AD146" s="172">
        <f>_xll.LVCELL($S$93,AD$93,$S146,$T$92,$S$94,$S$95,$S$96,$S$97,$S$98,$T$93)-AD49</f>
        <v>-300770.40598948486</v>
      </c>
      <c r="AE146" s="172">
        <f>_xll.LVCELL($S$93,AE$93,$S146,$T$92,$S$94,$S$95,$S$96,$S$97,$S$98,$T$93)-AE49</f>
        <v>-149952.04115912132</v>
      </c>
      <c r="AF146" s="172">
        <f>_xll.LVCELL($S$93,AF$93,$S146,$T$92,$S$94,$S$95,$S$96,$S$97,$S$98,$T$93)-AF49</f>
        <v>-377340.01796659548</v>
      </c>
    </row>
    <row r="147" spans="17:32">
      <c r="Q147" s="65"/>
      <c r="R147" s="65"/>
      <c r="S147" s="17" t="s">
        <v>817</v>
      </c>
      <c r="T147" s="68" t="str">
        <f>_xll.LVDESC("entities",$S147,$U$97)</f>
        <v>Vents du Santerre SAS</v>
      </c>
      <c r="U147" s="172">
        <f>_xll.LVCELL($S$93,U$93,$S147,$T$92,$S$94,$S$95,$S$96,$S$97,$S$98,$T$93)-U50</f>
        <v>-5139437.0590742342</v>
      </c>
      <c r="V147" s="172">
        <f>_xll.LVCELL($S$93,V$93,$S147,$T$92,$S$94,$S$95,$S$96,$S$97,$S$98,$T$93)-V50</f>
        <v>-4288577.391174118</v>
      </c>
      <c r="W147" s="172">
        <f>_xll.LVCELL($S$93,W$93,$S147,$T$92,$S$94,$S$95,$S$96,$S$97,$S$98,$T$93)-W50</f>
        <v>-4224949.6052256105</v>
      </c>
      <c r="X147" s="172">
        <f>_xll.LVCELL($S$93,X$93,$S147,$T$92,$S$94,$S$95,$S$96,$S$97,$S$98,$T$93)-X50</f>
        <v>-3464359.6906659938</v>
      </c>
      <c r="Y147" s="172">
        <f>_xll.LVCELL($S$93,Y$93,$S147,$T$92,$S$94,$S$95,$S$96,$S$97,$S$98,$T$93)-Y50</f>
        <v>-3359168.5483754468</v>
      </c>
      <c r="Z147" s="172">
        <f>_xll.LVCELL($S$93,Z$93,$S147,$T$92,$S$94,$S$95,$S$96,$S$97,$S$98,$T$93)-Z50</f>
        <v>50488.053388515953</v>
      </c>
      <c r="AA147" s="172">
        <f>_xll.LVCELL($S$93,AA$93,$S147,$T$92,$S$94,$S$95,$S$96,$S$97,$S$98,$T$93)-AA50</f>
        <v>-41705.954536132514</v>
      </c>
      <c r="AB147" s="172">
        <f>_xll.LVCELL($S$93,AB$93,$S147,$T$92,$S$94,$S$95,$S$96,$S$97,$S$98,$T$93)-AB50</f>
        <v>-41418.792495944537</v>
      </c>
      <c r="AC147" s="172">
        <f>_xll.LVCELL($S$93,AC$93,$S147,$T$92,$S$94,$S$95,$S$96,$S$97,$S$98,$T$93)-AC50</f>
        <v>57930.913763405755</v>
      </c>
      <c r="AD147" s="172">
        <f>_xll.LVCELL($S$93,AD$93,$S147,$T$92,$S$94,$S$95,$S$96,$S$97,$S$98,$T$93)-AD50</f>
        <v>-62740.799673835747</v>
      </c>
      <c r="AE147" s="172">
        <f>_xll.LVCELL($S$93,AE$93,$S147,$T$92,$S$94,$S$95,$S$96,$S$97,$S$98,$T$93)-AE50</f>
        <v>77517.710189484991</v>
      </c>
      <c r="AF147" s="172">
        <f>_xll.LVCELL($S$93,AF$93,$S147,$T$92,$S$94,$S$95,$S$96,$S$97,$S$98,$T$93)-AF50</f>
        <v>-73516.868078855798</v>
      </c>
    </row>
    <row r="148" spans="17:32">
      <c r="Q148" s="65"/>
      <c r="R148" s="65"/>
      <c r="S148" s="17" t="s">
        <v>820</v>
      </c>
      <c r="T148" s="68" t="str">
        <f>_xll.LVDESC("entities",$S148,$U$97)</f>
        <v>Vents du Catésis SAS</v>
      </c>
      <c r="U148" s="172">
        <f>_xll.LVCELL($S$93,U$93,$S148,$T$92,$S$94,$S$95,$S$96,$S$97,$S$98,$T$93)-U51</f>
        <v>-151682.00204143673</v>
      </c>
      <c r="V148" s="172">
        <f>_xll.LVCELL($S$93,V$93,$S148,$T$92,$S$94,$S$95,$S$96,$S$97,$S$98,$T$93)-V51</f>
        <v>165757.18777968548</v>
      </c>
      <c r="W148" s="172">
        <f>_xll.LVCELL($S$93,W$93,$S148,$T$92,$S$94,$S$95,$S$96,$S$97,$S$98,$T$93)-W51</f>
        <v>-124085.6255291882</v>
      </c>
      <c r="X148" s="172">
        <f>_xll.LVCELL($S$93,X$93,$S148,$T$92,$S$94,$S$95,$S$96,$S$97,$S$98,$T$93)-X51</f>
        <v>-21450.701525799464</v>
      </c>
      <c r="Y148" s="172">
        <f>_xll.LVCELL($S$93,Y$93,$S148,$T$92,$S$94,$S$95,$S$96,$S$97,$S$98,$T$93)-Y51</f>
        <v>-98199.861513824202</v>
      </c>
      <c r="Z148" s="172">
        <f>_xll.LVCELL($S$93,Z$93,$S148,$T$92,$S$94,$S$95,$S$96,$S$97,$S$98,$T$93)-Z51</f>
        <v>-17471.695450363448</v>
      </c>
      <c r="AA148" s="172">
        <f>_xll.LVCELL($S$93,AA$93,$S148,$T$92,$S$94,$S$95,$S$96,$S$97,$S$98,$T$93)-AA51</f>
        <v>-81994.686933957739</v>
      </c>
      <c r="AB148" s="172">
        <f>_xll.LVCELL($S$93,AB$93,$S148,$T$92,$S$94,$S$95,$S$96,$S$97,$S$98,$T$93)-AB51</f>
        <v>-82128.297285277164</v>
      </c>
      <c r="AC148" s="172">
        <f>_xll.LVCELL($S$93,AC$93,$S148,$T$92,$S$94,$S$95,$S$96,$S$97,$S$98,$T$93)-AC51</f>
        <v>-20141.018006881699</v>
      </c>
      <c r="AD148" s="172">
        <f>_xll.LVCELL($S$93,AD$93,$S148,$T$92,$S$94,$S$95,$S$96,$S$97,$S$98,$T$93)-AD51</f>
        <v>-128711.34368482651</v>
      </c>
      <c r="AE148" s="172">
        <f>_xll.LVCELL($S$93,AE$93,$S148,$T$92,$S$94,$S$95,$S$96,$S$97,$S$98,$T$93)-AE51</f>
        <v>-26821.119950044435</v>
      </c>
      <c r="AF148" s="172">
        <f>_xll.LVCELL($S$93,AF$93,$S148,$T$92,$S$94,$S$95,$S$96,$S$97,$S$98,$T$93)-AF51</f>
        <v>-147857.94599371171</v>
      </c>
    </row>
    <row r="149" spans="17:32">
      <c r="Q149" s="65"/>
      <c r="R149" s="65"/>
      <c r="S149" s="17" t="s">
        <v>822</v>
      </c>
      <c r="T149" s="68" t="str">
        <f>_xll.LVDESC("entities",$S149,$U$97)</f>
        <v>Vents du Cambrésis SAS (Seuil de Cambrésis)</v>
      </c>
      <c r="U149" s="172">
        <f>_xll.LVCELL($S$93,U$93,$S149,$T$92,$S$94,$S$95,$S$96,$S$97,$S$98,$T$93)-U52</f>
        <v>1578845.2719634762</v>
      </c>
      <c r="V149" s="172">
        <f>_xll.LVCELL($S$93,V$93,$S149,$T$92,$S$94,$S$95,$S$96,$S$97,$S$98,$T$93)-V52</f>
        <v>1975427.1526702698</v>
      </c>
      <c r="W149" s="172">
        <f>_xll.LVCELL($S$93,W$93,$S149,$T$92,$S$94,$S$95,$S$96,$S$97,$S$98,$T$93)-W52</f>
        <v>1246481.7256948454</v>
      </c>
      <c r="X149" s="172">
        <f>_xll.LVCELL($S$93,X$93,$S149,$T$92,$S$94,$S$95,$S$96,$S$97,$S$98,$T$93)-X52</f>
        <v>1188327.7258612392</v>
      </c>
      <c r="Y149" s="172">
        <f>_xll.LVCELL($S$93,Y$93,$S149,$T$92,$S$94,$S$95,$S$96,$S$97,$S$98,$T$93)-Y52</f>
        <v>958129.86820151377</v>
      </c>
      <c r="Z149" s="172">
        <f>_xll.LVCELL($S$93,Z$93,$S149,$T$92,$S$94,$S$95,$S$96,$S$97,$S$98,$T$93)-Z52</f>
        <v>947589.09160874411</v>
      </c>
      <c r="AA149" s="172">
        <f>_xll.LVCELL($S$93,AA$93,$S149,$T$92,$S$94,$S$95,$S$96,$S$97,$S$98,$T$93)-AA52</f>
        <v>790279.48273434211</v>
      </c>
      <c r="AB149" s="172">
        <f>_xll.LVCELL($S$93,AB$93,$S149,$T$92,$S$94,$S$95,$S$96,$S$97,$S$98,$T$93)-AB52</f>
        <v>787243.64212914929</v>
      </c>
      <c r="AC149" s="172">
        <f>_xll.LVCELL($S$93,AC$93,$S149,$T$92,$S$94,$S$95,$S$96,$S$97,$S$98,$T$93)-AC52</f>
        <v>1108311.6762032169</v>
      </c>
      <c r="AD149" s="172">
        <f>_xll.LVCELL($S$93,AD$93,$S149,$T$92,$S$94,$S$95,$S$96,$S$97,$S$98,$T$93)-AD52</f>
        <v>1287458.5738649517</v>
      </c>
      <c r="AE149" s="172">
        <f>_xll.LVCELL($S$93,AE$93,$S149,$T$92,$S$94,$S$95,$S$96,$S$97,$S$98,$T$93)-AE52</f>
        <v>1559307.5924575301</v>
      </c>
      <c r="AF149" s="172">
        <f>_xll.LVCELL($S$93,AF$93,$S149,$T$92,$S$94,$S$95,$S$96,$S$97,$S$98,$T$93)-AF52</f>
        <v>1533620.0469461018</v>
      </c>
    </row>
    <row r="150" spans="17:32">
      <c r="Q150" s="65"/>
      <c r="R150" s="65"/>
      <c r="S150" s="17" t="s">
        <v>824</v>
      </c>
      <c r="T150" s="68" t="str">
        <f>_xll.LVDESC("entities",$S150,$U$97)</f>
        <v>Vent Énergie Renouvelable SARL (Basse Thiérache Nord)</v>
      </c>
      <c r="U150" s="172">
        <f>_xll.LVCELL($S$93,U$93,$S150,$T$92,$S$94,$S$95,$S$96,$S$97,$S$98,$T$93)-U53</f>
        <v>804884.42685632035</v>
      </c>
      <c r="V150" s="172">
        <f>_xll.LVCELL($S$93,V$93,$S150,$T$92,$S$94,$S$95,$S$96,$S$97,$S$98,$T$93)-V53</f>
        <v>1151982.5592651479</v>
      </c>
      <c r="W150" s="172">
        <f>_xll.LVCELL($S$93,W$93,$S150,$T$92,$S$94,$S$95,$S$96,$S$97,$S$98,$T$93)-W53</f>
        <v>631890.88154225703</v>
      </c>
      <c r="X150" s="172">
        <f>_xll.LVCELL($S$93,X$93,$S150,$T$92,$S$94,$S$95,$S$96,$S$97,$S$98,$T$93)-X53</f>
        <v>634660.94861296192</v>
      </c>
      <c r="Y150" s="172">
        <f>_xll.LVCELL($S$93,Y$93,$S150,$T$92,$S$94,$S$95,$S$96,$S$97,$S$98,$T$93)-Y53</f>
        <v>466047.36985508539</v>
      </c>
      <c r="Z150" s="172">
        <f>_xll.LVCELL($S$93,Z$93,$S150,$T$92,$S$94,$S$95,$S$96,$S$97,$S$98,$T$93)-Z53</f>
        <v>472003.92678292934</v>
      </c>
      <c r="AA150" s="172">
        <f>_xll.LVCELL($S$93,AA$93,$S150,$T$92,$S$94,$S$95,$S$96,$S$97,$S$98,$T$93)-AA53</f>
        <v>358798.8654517089</v>
      </c>
      <c r="AB150" s="172">
        <f>_xll.LVCELL($S$93,AB$93,$S150,$T$92,$S$94,$S$95,$S$96,$S$97,$S$98,$T$93)-AB53</f>
        <v>359496.23458604049</v>
      </c>
      <c r="AC150" s="172">
        <f>_xll.LVCELL($S$93,AC$93,$S150,$T$92,$S$94,$S$95,$S$96,$S$97,$S$98,$T$93)-AC53</f>
        <v>578176.41883908678</v>
      </c>
      <c r="AD150" s="172">
        <f>_xll.LVCELL($S$93,AD$93,$S150,$T$92,$S$94,$S$95,$S$96,$S$97,$S$98,$T$93)-AD53</f>
        <v>659792.6469154926</v>
      </c>
      <c r="AE150" s="172">
        <f>_xll.LVCELL($S$93,AE$93,$S150,$T$92,$S$94,$S$95,$S$96,$S$97,$S$98,$T$93)-AE53</f>
        <v>843820.44796359167</v>
      </c>
      <c r="AF150" s="172">
        <f>_xll.LVCELL($S$93,AF$93,$S150,$T$92,$S$94,$S$95,$S$96,$S$97,$S$98,$T$93)-AF53</f>
        <v>780120.82258757297</v>
      </c>
    </row>
    <row r="151" spans="17:32">
      <c r="Q151" s="65"/>
      <c r="R151" s="65"/>
      <c r="S151" s="17" t="s">
        <v>826</v>
      </c>
      <c r="T151" s="68" t="str">
        <f>_xll.LVDESC("entities",$S151,$U$97)</f>
        <v>Anémode SARL (Sources de l'Ancre)</v>
      </c>
      <c r="U151" s="172">
        <f>_xll.LVCELL($S$93,U$93,$S151,$T$92,$S$94,$S$95,$S$96,$S$97,$S$98,$T$93)-U54</f>
        <v>600523.25218775123</v>
      </c>
      <c r="V151" s="172">
        <f>_xll.LVCELL($S$93,V$93,$S151,$T$92,$S$94,$S$95,$S$96,$S$97,$S$98,$T$93)-V54</f>
        <v>629846.78455914371</v>
      </c>
      <c r="W151" s="172">
        <f>_xll.LVCELL($S$93,W$93,$S151,$T$92,$S$94,$S$95,$S$96,$S$97,$S$98,$T$93)-W54</f>
        <v>-119758.90634449478</v>
      </c>
      <c r="X151" s="172">
        <f>_xll.LVCELL($S$93,X$93,$S151,$T$92,$S$94,$S$95,$S$96,$S$97,$S$98,$T$93)-X54</f>
        <v>-305064.21404661331</v>
      </c>
      <c r="Y151" s="172">
        <f>_xll.LVCELL($S$93,Y$93,$S151,$T$92,$S$94,$S$95,$S$96,$S$97,$S$98,$T$93)-Y54</f>
        <v>60226.826012854464</v>
      </c>
      <c r="Z151" s="172">
        <f>_xll.LVCELL($S$93,Z$93,$S151,$T$92,$S$94,$S$95,$S$96,$S$97,$S$98,$T$93)-Z54</f>
        <v>248039.62334555946</v>
      </c>
      <c r="AA151" s="172">
        <f>_xll.LVCELL($S$93,AA$93,$S151,$T$92,$S$94,$S$95,$S$96,$S$97,$S$98,$T$93)-AA54</f>
        <v>144087.64056967385</v>
      </c>
      <c r="AB151" s="172">
        <f>_xll.LVCELL($S$93,AB$93,$S151,$T$92,$S$94,$S$95,$S$96,$S$97,$S$98,$T$93)-AB54</f>
        <v>474513.35921615362</v>
      </c>
      <c r="AC151" s="172">
        <f>_xll.LVCELL($S$93,AC$93,$S151,$T$92,$S$94,$S$95,$S$96,$S$97,$S$98,$T$93)-AC54</f>
        <v>434276.965453465</v>
      </c>
      <c r="AD151" s="172">
        <f>_xll.LVCELL($S$93,AD$93,$S151,$T$92,$S$94,$S$95,$S$96,$S$97,$S$98,$T$93)-AD54</f>
        <v>718335.52197815292</v>
      </c>
      <c r="AE151" s="172">
        <f>_xll.LVCELL($S$93,AE$93,$S151,$T$92,$S$94,$S$95,$S$96,$S$97,$S$98,$T$93)-AE54</f>
        <v>-72395.038407634012</v>
      </c>
      <c r="AF151" s="172">
        <f>_xll.LVCELL($S$93,AF$93,$S151,$T$92,$S$94,$S$95,$S$96,$S$97,$S$98,$T$93)-AF54</f>
        <v>457059.1758549735</v>
      </c>
    </row>
    <row r="152" spans="17:32">
      <c r="Q152" s="65"/>
      <c r="R152" s="65"/>
      <c r="S152" s="59" t="s">
        <v>375</v>
      </c>
      <c r="T152" s="68" t="str">
        <f>_xll.LVDESC("entities",$S152,$U$97)</f>
        <v>Ferme Éolienne des Evits et Josaphats SAS (EEJ)</v>
      </c>
      <c r="U152" s="172">
        <f>_xll.LVCELL($S$93,U$93,$S152,$T$92,$S$94,$S$95,$S$96,$S$97,$S$98,$T$93)-U55</f>
        <v>-79795.702386891935</v>
      </c>
      <c r="V152" s="172">
        <f>_xll.LVCELL($S$93,V$93,$S152,$T$92,$S$94,$S$95,$S$96,$S$97,$S$98,$T$93)-V55</f>
        <v>2486817</v>
      </c>
      <c r="W152" s="172">
        <f>_xll.LVCELL($S$93,W$93,$S152,$T$92,$S$94,$S$95,$S$96,$S$97,$S$98,$T$93)-W55</f>
        <v>2179935</v>
      </c>
      <c r="X152" s="172">
        <f>_xll.LVCELL($S$93,X$93,$S152,$T$92,$S$94,$S$95,$S$96,$S$97,$S$98,$T$93)-X55</f>
        <v>1886917</v>
      </c>
      <c r="Y152" s="172">
        <f>_xll.LVCELL($S$93,Y$93,$S152,$T$92,$S$94,$S$95,$S$96,$S$97,$S$98,$T$93)-Y55</f>
        <v>1703544</v>
      </c>
      <c r="Z152" s="172">
        <f>_xll.LVCELL($S$93,Z$93,$S152,$T$92,$S$94,$S$95,$S$96,$S$97,$S$98,$T$93)-Z55</f>
        <v>1381538</v>
      </c>
      <c r="AA152" s="172">
        <f>_xll.LVCELL($S$93,AA$93,$S152,$T$92,$S$94,$S$95,$S$96,$S$97,$S$98,$T$93)-AA55</f>
        <v>1337428</v>
      </c>
      <c r="AB152" s="172">
        <f>_xll.LVCELL($S$93,AB$93,$S152,$T$92,$S$94,$S$95,$S$96,$S$97,$S$98,$T$93)-AB55</f>
        <v>1247317</v>
      </c>
      <c r="AC152" s="172">
        <f>_xll.LVCELL($S$93,AC$93,$S152,$T$92,$S$94,$S$95,$S$96,$S$97,$S$98,$T$93)-AC55</f>
        <v>1602720</v>
      </c>
      <c r="AD152" s="172">
        <f>_xll.LVCELL($S$93,AD$93,$S152,$T$92,$S$94,$S$95,$S$96,$S$97,$S$98,$T$93)-AD55</f>
        <v>2091084</v>
      </c>
      <c r="AE152" s="172">
        <f>_xll.LVCELL($S$93,AE$93,$S152,$T$92,$S$94,$S$95,$S$96,$S$97,$S$98,$T$93)-AE55</f>
        <v>2248621</v>
      </c>
      <c r="AF152" s="172">
        <f>_xll.LVCELL($S$93,AF$93,$S152,$T$92,$S$94,$S$95,$S$96,$S$97,$S$98,$T$93)-AF55</f>
        <v>2677122</v>
      </c>
    </row>
    <row r="153" spans="17:32">
      <c r="Q153" s="65"/>
      <c r="R153" s="65"/>
      <c r="S153" s="59" t="s">
        <v>380</v>
      </c>
      <c r="T153" s="68" t="str">
        <f>_xll.LVDESC("entities",$S153,$U$97)</f>
        <v>Ferme Éolienne La Remise Reclainville SAS (RCL)</v>
      </c>
      <c r="U153" s="172">
        <f>_xll.LVCELL($S$93,U$93,$S153,$T$92,$S$94,$S$95,$S$96,$S$97,$S$98,$T$93)-U56</f>
        <v>2684902</v>
      </c>
      <c r="V153" s="172">
        <f>_xll.LVCELL($S$93,V$93,$S153,$T$92,$S$94,$S$95,$S$96,$S$97,$S$98,$T$93)-V56</f>
        <v>2516794</v>
      </c>
      <c r="W153" s="172">
        <f>_xll.LVCELL($S$93,W$93,$S153,$T$92,$S$94,$S$95,$S$96,$S$97,$S$98,$T$93)-W56</f>
        <v>2209981</v>
      </c>
      <c r="X153" s="172">
        <f>_xll.LVCELL($S$93,X$93,$S153,$T$92,$S$94,$S$95,$S$96,$S$97,$S$98,$T$93)-X56</f>
        <v>1915952</v>
      </c>
      <c r="Y153" s="172">
        <f>_xll.LVCELL($S$93,Y$93,$S153,$T$92,$S$94,$S$95,$S$96,$S$97,$S$98,$T$93)-Y56</f>
        <v>1728028</v>
      </c>
      <c r="Z153" s="172">
        <f>_xll.LVCELL($S$93,Z$93,$S153,$T$92,$S$94,$S$95,$S$96,$S$97,$S$98,$T$93)-Z56</f>
        <v>1403957</v>
      </c>
      <c r="AA153" s="172">
        <f>_xll.LVCELL($S$93,AA$93,$S153,$T$92,$S$94,$S$95,$S$96,$S$97,$S$98,$T$93)-AA56</f>
        <v>1357935</v>
      </c>
      <c r="AB153" s="172">
        <f>_xll.LVCELL($S$93,AB$93,$S153,$T$92,$S$94,$S$95,$S$96,$S$97,$S$98,$T$93)-AB56</f>
        <v>1263334</v>
      </c>
      <c r="AC153" s="172">
        <f>_xll.LVCELL($S$93,AC$93,$S153,$T$92,$S$94,$S$95,$S$96,$S$97,$S$98,$T$93)-AC56</f>
        <v>1624479</v>
      </c>
      <c r="AD153" s="172">
        <f>_xll.LVCELL($S$93,AD$93,$S153,$T$92,$S$94,$S$95,$S$96,$S$97,$S$98,$T$93)-AD56</f>
        <v>2114102</v>
      </c>
      <c r="AE153" s="172">
        <f>_xll.LVCELL($S$93,AE$93,$S153,$T$92,$S$94,$S$95,$S$96,$S$97,$S$98,$T$93)-AE56</f>
        <v>2272622</v>
      </c>
      <c r="AF153" s="172">
        <f>_xll.LVCELL($S$93,AF$93,$S153,$T$92,$S$94,$S$95,$S$96,$S$97,$S$98,$T$93)-AF56</f>
        <v>2707913</v>
      </c>
    </row>
    <row r="154" spans="17:32">
      <c r="Q154" s="65"/>
      <c r="R154" s="65"/>
      <c r="S154" s="59" t="s">
        <v>376</v>
      </c>
      <c r="T154" s="68" t="str">
        <f>_xll.LVDESC("entities",$S154,$U$97)</f>
        <v>Société du Parc Éolien les Vaux des Roques SAS (FIR)</v>
      </c>
      <c r="U154" s="172">
        <f>_xll.LVCELL($S$93,U$93,$S154,$T$92,$S$94,$S$95,$S$96,$S$97,$S$98,$T$93)-U57</f>
        <v>-63304.511157673784</v>
      </c>
      <c r="V154" s="172">
        <f>_xll.LVCELL($S$93,V$93,$S154,$T$92,$S$94,$S$95,$S$96,$S$97,$S$98,$T$93)-V57</f>
        <v>115627.74017110653</v>
      </c>
      <c r="W154" s="172">
        <f>_xll.LVCELL($S$93,W$93,$S154,$T$92,$S$94,$S$95,$S$96,$S$97,$S$98,$T$93)-W57</f>
        <v>-47653.856829694239</v>
      </c>
      <c r="X154" s="172">
        <f>_xll.LVCELL($S$93,X$93,$S154,$T$92,$S$94,$S$95,$S$96,$S$97,$S$98,$T$93)-X57</f>
        <v>3518.7305346264038</v>
      </c>
      <c r="Y154" s="172">
        <f>_xll.LVCELL($S$93,Y$93,$S154,$T$92,$S$94,$S$95,$S$96,$S$97,$S$98,$T$93)-Y57</f>
        <v>-36006.724428438582</v>
      </c>
      <c r="Z154" s="172">
        <f>_xll.LVCELL($S$93,Z$93,$S154,$T$92,$S$94,$S$95,$S$96,$S$97,$S$98,$T$93)-Z57</f>
        <v>2193.3402222411241</v>
      </c>
      <c r="AA154" s="172">
        <f>_xll.LVCELL($S$93,AA$93,$S154,$T$92,$S$94,$S$95,$S$96,$S$97,$S$98,$T$93)-AA57</f>
        <v>-27606.001954723499</v>
      </c>
      <c r="AB154" s="172">
        <f>_xll.LVCELL($S$93,AB$93,$S154,$T$92,$S$94,$S$95,$S$96,$S$97,$S$98,$T$93)-AB57</f>
        <v>-27527.26623066992</v>
      </c>
      <c r="AC154" s="172">
        <f>_xll.LVCELL($S$93,AC$93,$S154,$T$92,$S$94,$S$95,$S$96,$S$97,$S$98,$T$93)-AC57</f>
        <v>3035.9729774000589</v>
      </c>
      <c r="AD154" s="172">
        <f>_xll.LVCELL($S$93,AD$93,$S154,$T$92,$S$94,$S$95,$S$96,$S$97,$S$98,$T$93)-AD57</f>
        <v>-49381.042758868774</v>
      </c>
      <c r="AE154" s="172">
        <f>_xll.LVCELL($S$93,AE$93,$S154,$T$92,$S$94,$S$95,$S$96,$S$97,$S$98,$T$93)-AE57</f>
        <v>5276.6330645217095</v>
      </c>
      <c r="AF154" s="172">
        <f>_xll.LVCELL($S$93,AF$93,$S154,$T$92,$S$94,$S$95,$S$96,$S$97,$S$98,$T$93)-AF57</f>
        <v>-60700.109643235803</v>
      </c>
    </row>
    <row r="155" spans="17:32">
      <c r="Q155" s="65"/>
      <c r="R155" s="65"/>
      <c r="S155" s="59" t="s">
        <v>387</v>
      </c>
      <c r="T155" s="68" t="str">
        <f>_xll.LVDESC("entities",$S155,$U$97)</f>
        <v>Parc Éolien de la Plaine du Beaunay SAS (PDB)</v>
      </c>
      <c r="U155" s="172">
        <f>_xll.LVCELL($S$93,U$93,$S155,$T$92,$S$94,$S$95,$S$96,$S$97,$S$98,$T$93)-U58</f>
        <v>-88996.898793881759</v>
      </c>
      <c r="V155" s="172">
        <f>_xll.LVCELL($S$93,V$93,$S155,$T$92,$S$94,$S$95,$S$96,$S$97,$S$98,$T$93)-V58</f>
        <v>203665.41797405854</v>
      </c>
      <c r="W155" s="172">
        <f>_xll.LVCELL($S$93,W$93,$S155,$T$92,$S$94,$S$95,$S$96,$S$97,$S$98,$T$93)-W58</f>
        <v>-66789.847412351519</v>
      </c>
      <c r="X155" s="172">
        <f>_xll.LVCELL($S$93,X$93,$S155,$T$92,$S$94,$S$95,$S$96,$S$97,$S$98,$T$93)-X58</f>
        <v>14940.936176945688</v>
      </c>
      <c r="Y155" s="172">
        <f>_xll.LVCELL($S$93,Y$93,$S155,$T$92,$S$94,$S$95,$S$96,$S$97,$S$98,$T$93)-Y58</f>
        <v>-49607.026530468836</v>
      </c>
      <c r="Z155" s="172">
        <f>_xll.LVCELL($S$93,Z$93,$S155,$T$92,$S$94,$S$95,$S$96,$S$97,$S$98,$T$93)-Z58</f>
        <v>10357.697287010495</v>
      </c>
      <c r="AA155" s="172">
        <f>_xll.LVCELL($S$93,AA$93,$S155,$T$92,$S$94,$S$95,$S$96,$S$97,$S$98,$T$93)-AA58</f>
        <v>-37211.421772348927</v>
      </c>
      <c r="AB155" s="172">
        <f>_xll.LVCELL($S$93,AB$93,$S155,$T$92,$S$94,$S$95,$S$96,$S$97,$S$98,$T$93)-AB58</f>
        <v>-37825.536293888465</v>
      </c>
      <c r="AC155" s="172">
        <f>_xll.LVCELL($S$93,AC$93,$S155,$T$92,$S$94,$S$95,$S$96,$S$97,$S$98,$T$93)-AC58</f>
        <v>13233.283792616101</v>
      </c>
      <c r="AD155" s="172">
        <f>_xll.LVCELL($S$93,AD$93,$S155,$T$92,$S$94,$S$95,$S$96,$S$97,$S$98,$T$93)-AD58</f>
        <v>-69103.219728735276</v>
      </c>
      <c r="AE155" s="172">
        <f>_xll.LVCELL($S$93,AE$93,$S155,$T$92,$S$94,$S$95,$S$96,$S$97,$S$98,$T$93)-AE58</f>
        <v>21944.540904601105</v>
      </c>
      <c r="AF155" s="172">
        <f>_xll.LVCELL($S$93,AF$93,$S155,$T$92,$S$94,$S$95,$S$96,$S$97,$S$98,$T$93)-AF58</f>
        <v>-84406.925603555515</v>
      </c>
    </row>
    <row r="156" spans="17:32">
      <c r="Q156" s="65"/>
      <c r="R156" s="65"/>
      <c r="S156" s="59" t="s">
        <v>386</v>
      </c>
      <c r="T156" s="68" t="str">
        <f>_xll.LVDESC("entities",$S156,$U$97)</f>
        <v>Parc Éolien du Val aux Moines SAS (VAM)</v>
      </c>
      <c r="U156" s="172">
        <f>_xll.LVCELL($S$93,U$93,$S156,$T$92,$S$94,$S$95,$S$96,$S$97,$S$98,$T$93)-U59</f>
        <v>-119476.75263256207</v>
      </c>
      <c r="V156" s="172">
        <f>_xll.LVCELL($S$93,V$93,$S156,$T$92,$S$94,$S$95,$S$96,$S$97,$S$98,$T$93)-V59</f>
        <v>247351.68312468613</v>
      </c>
      <c r="W156" s="172">
        <f>_xll.LVCELL($S$93,W$93,$S156,$T$92,$S$94,$S$95,$S$96,$S$97,$S$98,$T$93)-W59</f>
        <v>-92522.619937965181</v>
      </c>
      <c r="X156" s="172">
        <f>_xll.LVCELL($S$93,X$93,$S156,$T$92,$S$94,$S$95,$S$96,$S$97,$S$98,$T$93)-X59</f>
        <v>14650.5904705422</v>
      </c>
      <c r="Y156" s="172">
        <f>_xll.LVCELL($S$93,Y$93,$S156,$T$92,$S$94,$S$95,$S$96,$S$97,$S$98,$T$93)-Y59</f>
        <v>-69758.471146371681</v>
      </c>
      <c r="Z156" s="172">
        <f>_xll.LVCELL($S$93,Z$93,$S156,$T$92,$S$94,$S$95,$S$96,$S$97,$S$98,$T$93)-Z59</f>
        <v>10705.769806447672</v>
      </c>
      <c r="AA156" s="172">
        <f>_xll.LVCELL($S$93,AA$93,$S156,$T$92,$S$94,$S$95,$S$96,$S$97,$S$98,$T$93)-AA59</f>
        <v>-54544.502136015333</v>
      </c>
      <c r="AB156" s="172">
        <f>_xll.LVCELL($S$93,AB$93,$S156,$T$92,$S$94,$S$95,$S$96,$S$97,$S$98,$T$93)-AB59</f>
        <v>-55395.812050361652</v>
      </c>
      <c r="AC156" s="172">
        <f>_xll.LVCELL($S$93,AC$93,$S156,$T$92,$S$94,$S$95,$S$96,$S$97,$S$98,$T$93)-AC59</f>
        <v>13267.857426513918</v>
      </c>
      <c r="AD156" s="172">
        <f>_xll.LVCELL($S$93,AD$93,$S156,$T$92,$S$94,$S$95,$S$96,$S$97,$S$98,$T$93)-AD59</f>
        <v>-95423.37802465912</v>
      </c>
      <c r="AE156" s="172">
        <f>_xll.LVCELL($S$93,AE$93,$S156,$T$92,$S$94,$S$95,$S$96,$S$97,$S$98,$T$93)-AE59</f>
        <v>20433.495731641073</v>
      </c>
      <c r="AF156" s="172">
        <f>_xll.LVCELL($S$93,AF$93,$S156,$T$92,$S$94,$S$95,$S$96,$S$97,$S$98,$T$93)-AF59</f>
        <v>-114389.41503605805</v>
      </c>
    </row>
    <row r="157" spans="17:32">
      <c r="Q157" s="65"/>
      <c r="R157" s="65"/>
      <c r="S157" s="59" t="s">
        <v>382</v>
      </c>
      <c r="T157" s="68" t="str">
        <f>_xll.LVDESC("entities",$S157,$U$97)</f>
        <v>SECEB SCS (Bougainville) (BGV)</v>
      </c>
      <c r="U157" s="172">
        <f>_xll.LVCELL($S$93,U$93,$S157,$T$92,$S$94,$S$95,$S$96,$S$97,$S$98,$T$93)-U60</f>
        <v>-43734.099700951483</v>
      </c>
      <c r="V157" s="172">
        <f>_xll.LVCELL($S$93,V$93,$S157,$T$92,$S$94,$S$95,$S$96,$S$97,$S$98,$T$93)-V60</f>
        <v>143889.76028192276</v>
      </c>
      <c r="W157" s="172">
        <f>_xll.LVCELL($S$93,W$93,$S157,$T$92,$S$94,$S$95,$S$96,$S$97,$S$98,$T$93)-W60</f>
        <v>-33515.845236608293</v>
      </c>
      <c r="X157" s="172">
        <f>_xll.LVCELL($S$93,X$93,$S157,$T$92,$S$94,$S$95,$S$96,$S$97,$S$98,$T$93)-X60</f>
        <v>18096.6300035608</v>
      </c>
      <c r="Y157" s="172">
        <f>_xll.LVCELL($S$93,Y$93,$S157,$T$92,$S$94,$S$95,$S$96,$S$97,$S$98,$T$93)-Y60</f>
        <v>1250470</v>
      </c>
      <c r="Z157" s="172">
        <f>_xll.LVCELL($S$93,Z$93,$S157,$T$92,$S$94,$S$95,$S$96,$S$97,$S$98,$T$93)-Z60</f>
        <v>1019511</v>
      </c>
      <c r="AA157" s="172">
        <f>_xll.LVCELL($S$93,AA$93,$S157,$T$92,$S$94,$S$95,$S$96,$S$97,$S$98,$T$93)-AA60</f>
        <v>1002007</v>
      </c>
      <c r="AB157" s="172">
        <f>_xll.LVCELL($S$93,AB$93,$S157,$T$92,$S$94,$S$95,$S$96,$S$97,$S$98,$T$93)-AB60</f>
        <v>1001521</v>
      </c>
      <c r="AC157" s="172">
        <f>_xll.LVCELL($S$93,AC$93,$S157,$T$92,$S$94,$S$95,$S$96,$S$97,$S$98,$T$93)-AC60</f>
        <v>1249011</v>
      </c>
      <c r="AD157" s="172">
        <f>_xll.LVCELL($S$93,AD$93,$S157,$T$92,$S$94,$S$95,$S$96,$S$97,$S$98,$T$93)-AD60</f>
        <v>1752257</v>
      </c>
      <c r="AE157" s="172">
        <f>_xll.LVCELL($S$93,AE$93,$S157,$T$92,$S$94,$S$95,$S$96,$S$97,$S$98,$T$93)-AE60</f>
        <v>1875759</v>
      </c>
      <c r="AF157" s="172">
        <f>_xll.LVCELL($S$93,AF$93,$S157,$T$92,$S$94,$S$95,$S$96,$S$97,$S$98,$T$93)-AF60</f>
        <v>2175276</v>
      </c>
    </row>
    <row r="158" spans="17:32">
      <c r="Q158" s="65"/>
      <c r="R158" s="65"/>
      <c r="S158" s="59" t="s">
        <v>383</v>
      </c>
      <c r="T158" s="68" t="str">
        <f>_xll.LVDESC("entities",$S158,$U$97)</f>
        <v>SECE.STA SAS (St-André) (STA)</v>
      </c>
      <c r="U158" s="172">
        <f>_xll.LVCELL($S$93,U$93,$S158,$T$92,$S$94,$S$95,$S$96,$S$97,$S$98,$T$93)-U61</f>
        <v>-95789.839255467057</v>
      </c>
      <c r="V158" s="172">
        <f>_xll.LVCELL($S$93,V$93,$S158,$T$92,$S$94,$S$95,$S$96,$S$97,$S$98,$T$93)-V61</f>
        <v>110689.17813979019</v>
      </c>
      <c r="W158" s="172">
        <f>_xll.LVCELL($S$93,W$93,$S158,$T$92,$S$94,$S$95,$S$96,$S$97,$S$98,$T$93)-W61</f>
        <v>-76644.613372008549</v>
      </c>
      <c r="X158" s="172">
        <f>_xll.LVCELL($S$93,X$93,$S158,$T$92,$S$94,$S$95,$S$96,$S$97,$S$98,$T$93)-X61</f>
        <v>-11416.755136146676</v>
      </c>
      <c r="Y158" s="172">
        <f>_xll.LVCELL($S$93,Y$93,$S158,$T$92,$S$94,$S$95,$S$96,$S$97,$S$98,$T$93)-Y61</f>
        <v>-58839.055384109495</v>
      </c>
      <c r="Z158" s="172">
        <f>_xll.LVCELL($S$93,Z$93,$S158,$T$92,$S$94,$S$95,$S$96,$S$97,$S$98,$T$93)-Z61</f>
        <v>-8906.657284055138</v>
      </c>
      <c r="AA158" s="172">
        <f>_xll.LVCELL($S$93,AA$93,$S158,$T$92,$S$94,$S$95,$S$96,$S$97,$S$98,$T$93)-AA61</f>
        <v>-46521.794093656819</v>
      </c>
      <c r="AB158" s="172">
        <f>_xll.LVCELL($S$93,AB$93,$S158,$T$92,$S$94,$S$95,$S$96,$S$97,$S$98,$T$93)-AB61</f>
        <v>-45370.563870910555</v>
      </c>
      <c r="AC158" s="172">
        <f>_xll.LVCELL($S$93,AC$93,$S158,$T$92,$S$94,$S$95,$S$96,$S$97,$S$98,$T$93)-AC61</f>
        <v>-10326.894574166276</v>
      </c>
      <c r="AD158" s="172">
        <f>_xll.LVCELL($S$93,AD$93,$S158,$T$92,$S$94,$S$95,$S$96,$S$97,$S$98,$T$93)-AD61</f>
        <v>-76728.030115480768</v>
      </c>
      <c r="AE158" s="172">
        <f>_xll.LVCELL($S$93,AE$93,$S158,$T$92,$S$94,$S$95,$S$96,$S$97,$S$98,$T$93)-AE61</f>
        <v>-14394.936086229514</v>
      </c>
      <c r="AF158" s="172">
        <f>_xll.LVCELL($S$93,AF$93,$S158,$T$92,$S$94,$S$95,$S$96,$S$97,$S$98,$T$93)-AF61</f>
        <v>-93569.79555344535</v>
      </c>
    </row>
    <row r="159" spans="17:32">
      <c r="Q159" s="65"/>
      <c r="R159" s="65"/>
      <c r="S159" s="59" t="s">
        <v>378</v>
      </c>
      <c r="T159" s="68" t="str">
        <f>_xll.LVDESC("entities",$S159,$U$97)</f>
        <v>Société du Parc Éolien du Fond de la Plaine SAS (LUC)</v>
      </c>
      <c r="U159" s="172">
        <f>_xll.LVCELL($S$93,U$93,$S159,$T$92,$S$94,$S$95,$S$96,$S$97,$S$98,$T$93)-U62</f>
        <v>-22585.593997575808</v>
      </c>
      <c r="V159" s="172">
        <f>_xll.LVCELL($S$93,V$93,$S159,$T$92,$S$94,$S$95,$S$96,$S$97,$S$98,$T$93)-V62</f>
        <v>62131.445485086064</v>
      </c>
      <c r="W159" s="172">
        <f>_xll.LVCELL($S$93,W$93,$S159,$T$92,$S$94,$S$95,$S$96,$S$97,$S$98,$T$93)-W62</f>
        <v>-20628.739789492218</v>
      </c>
      <c r="X159" s="172">
        <f>_xll.LVCELL($S$93,X$93,$S159,$T$92,$S$94,$S$95,$S$96,$S$97,$S$98,$T$93)-X62</f>
        <v>6681.0997207633918</v>
      </c>
      <c r="Y159" s="172">
        <f>_xll.LVCELL($S$93,Y$93,$S159,$T$92,$S$94,$S$95,$S$96,$S$97,$S$98,$T$93)-Y62</f>
        <v>-17629.430823148345</v>
      </c>
      <c r="Z159" s="172">
        <f>_xll.LVCELL($S$93,Z$93,$S159,$T$92,$S$94,$S$95,$S$96,$S$97,$S$98,$T$93)-Z62</f>
        <v>5207.7162639402086</v>
      </c>
      <c r="AA159" s="172">
        <f>_xll.LVCELL($S$93,AA$93,$S159,$T$92,$S$94,$S$95,$S$96,$S$97,$S$98,$T$93)-AA62</f>
        <v>-16620.323737445869</v>
      </c>
      <c r="AB159" s="172">
        <f>_xll.LVCELL($S$93,AB$93,$S159,$T$92,$S$94,$S$95,$S$96,$S$97,$S$98,$T$93)-AB62</f>
        <v>-14578.432657070807</v>
      </c>
      <c r="AC159" s="172">
        <f>_xll.LVCELL($S$93,AC$93,$S159,$T$92,$S$94,$S$95,$S$96,$S$97,$S$98,$T$93)-AC62</f>
        <v>4650.2880921947071</v>
      </c>
      <c r="AD159" s="172">
        <f>_xll.LVCELL($S$93,AD$93,$S159,$T$92,$S$94,$S$95,$S$96,$S$97,$S$98,$T$93)-AD62</f>
        <v>-16456.585374656948</v>
      </c>
      <c r="AE159" s="172">
        <f>_xll.LVCELL($S$93,AE$93,$S159,$T$92,$S$94,$S$95,$S$96,$S$97,$S$98,$T$93)-AE62</f>
        <v>7061.8591276549269</v>
      </c>
      <c r="AF159" s="172">
        <f>_xll.LVCELL($S$93,AF$93,$S159,$T$92,$S$94,$S$95,$S$96,$S$97,$S$98,$T$93)-AF62</f>
        <v>-20736.45357075322</v>
      </c>
    </row>
    <row r="160" spans="17:32">
      <c r="Q160" s="65"/>
      <c r="R160" s="65"/>
      <c r="S160" s="59" t="s">
        <v>373</v>
      </c>
      <c r="T160" s="68" t="str">
        <f>_xll.LVDESC("entities",$S160,$U$97)</f>
        <v>Centrale Éolienne du Bassigny SARL (BAS)</v>
      </c>
      <c r="U160" s="172">
        <f>_xll.LVCELL($S$93,U$93,$S160,$T$92,$S$94,$S$95,$S$96,$S$97,$S$98,$T$93)-U63</f>
        <v>-51971.182559816632</v>
      </c>
      <c r="V160" s="172">
        <f>_xll.LVCELL($S$93,V$93,$S160,$T$92,$S$94,$S$95,$S$96,$S$97,$S$98,$T$93)-V63</f>
        <v>143784.6503299824</v>
      </c>
      <c r="W160" s="172">
        <f>_xll.LVCELL($S$93,W$93,$S160,$T$92,$S$94,$S$95,$S$96,$S$97,$S$98,$T$93)-W63</f>
        <v>-46045.387642611051</v>
      </c>
      <c r="X160" s="172">
        <f>_xll.LVCELL($S$93,X$93,$S160,$T$92,$S$94,$S$95,$S$96,$S$97,$S$98,$T$93)-X63</f>
        <v>17112.972828740953</v>
      </c>
      <c r="Y160" s="172">
        <f>_xll.LVCELL($S$93,Y$93,$S160,$T$92,$S$94,$S$95,$S$96,$S$97,$S$98,$T$93)-Y63</f>
        <v>-50987.578897673171</v>
      </c>
      <c r="Z160" s="172">
        <f>_xll.LVCELL($S$93,Z$93,$S160,$T$92,$S$94,$S$95,$S$96,$S$97,$S$98,$T$93)-Z63</f>
        <v>-2821.9411589105148</v>
      </c>
      <c r="AA160" s="172">
        <f>_xll.LVCELL($S$93,AA$93,$S160,$T$92,$S$94,$S$95,$S$96,$S$97,$S$98,$T$93)-AA63</f>
        <v>-40574.764456846518</v>
      </c>
      <c r="AB160" s="172">
        <f>_xll.LVCELL($S$93,AB$93,$S160,$T$92,$S$94,$S$95,$S$96,$S$97,$S$98,$T$93)-AB63</f>
        <v>-37533.021958898869</v>
      </c>
      <c r="AC160" s="172">
        <f>_xll.LVCELL($S$93,AC$93,$S160,$T$92,$S$94,$S$95,$S$96,$S$97,$S$98,$T$93)-AC63</f>
        <v>-3223.2183321721386</v>
      </c>
      <c r="AD160" s="172">
        <f>_xll.LVCELL($S$93,AD$93,$S160,$T$92,$S$94,$S$95,$S$96,$S$97,$S$98,$T$93)-AD63</f>
        <v>-66700.116279708222</v>
      </c>
      <c r="AE160" s="172">
        <f>_xll.LVCELL($S$93,AE$93,$S160,$T$92,$S$94,$S$95,$S$96,$S$97,$S$98,$T$93)-AE63</f>
        <v>-4035.2900197443087</v>
      </c>
      <c r="AF160" s="172">
        <f>_xll.LVCELL($S$93,AF$93,$S160,$T$92,$S$94,$S$95,$S$96,$S$97,$S$98,$T$93)-AF63</f>
        <v>-82058.103922720067</v>
      </c>
    </row>
    <row r="161" spans="17:32">
      <c r="Q161" s="65"/>
      <c r="R161" s="65"/>
      <c r="S161" s="59" t="s">
        <v>374</v>
      </c>
      <c r="T161" s="68" t="str">
        <f>_xll.LVDESC("entities",$S161,$U$97)</f>
        <v>Centrale Éolienne des Clérimois SAS (CLE)</v>
      </c>
      <c r="U161" s="172">
        <f>_xll.LVCELL($S$93,U$93,$S161,$T$92,$S$94,$S$95,$S$96,$S$97,$S$98,$T$93)-U64</f>
        <v>-54255.495642204536</v>
      </c>
      <c r="V161" s="172">
        <f>_xll.LVCELL($S$93,V$93,$S161,$T$92,$S$94,$S$95,$S$96,$S$97,$S$98,$T$93)-V64</f>
        <v>97432.894074500771</v>
      </c>
      <c r="W161" s="172">
        <f>_xll.LVCELL($S$93,W$93,$S161,$T$92,$S$94,$S$95,$S$96,$S$97,$S$98,$T$93)-W64</f>
        <v>-44721.086760682985</v>
      </c>
      <c r="X161" s="172">
        <f>_xll.LVCELL($S$93,X$93,$S161,$T$92,$S$94,$S$95,$S$96,$S$97,$S$98,$T$93)-X64</f>
        <v>2697.7813653883059</v>
      </c>
      <c r="Y161" s="172">
        <f>_xll.LVCELL($S$93,Y$93,$S161,$T$92,$S$94,$S$95,$S$96,$S$97,$S$98,$T$93)-Y64</f>
        <v>-33032.55620718631</v>
      </c>
      <c r="Z161" s="172">
        <f>_xll.LVCELL($S$93,Z$93,$S161,$T$92,$S$94,$S$95,$S$96,$S$97,$S$98,$T$93)-Z64</f>
        <v>1608.1115314211929</v>
      </c>
      <c r="AA161" s="172">
        <f>_xll.LVCELL($S$93,AA$93,$S161,$T$92,$S$94,$S$95,$S$96,$S$97,$S$98,$T$93)-AA64</f>
        <v>-25825.544193539419</v>
      </c>
      <c r="AB161" s="172">
        <f>_xll.LVCELL($S$93,AB$93,$S161,$T$92,$S$94,$S$95,$S$96,$S$97,$S$98,$T$93)-AB64</f>
        <v>-23884.607378055342</v>
      </c>
      <c r="AC161" s="172">
        <f>_xll.LVCELL($S$93,AC$93,$S161,$T$92,$S$94,$S$95,$S$96,$S$97,$S$98,$T$93)-AC64</f>
        <v>2146.1732655845117</v>
      </c>
      <c r="AD161" s="172">
        <f>_xll.LVCELL($S$93,AD$93,$S161,$T$92,$S$94,$S$95,$S$96,$S$97,$S$98,$T$93)-AD64</f>
        <v>-42846.332712852396</v>
      </c>
      <c r="AE161" s="172">
        <f>_xll.LVCELL($S$93,AE$93,$S161,$T$92,$S$94,$S$95,$S$96,$S$97,$S$98,$T$93)-AE64</f>
        <v>3394.531635819003</v>
      </c>
      <c r="AF161" s="172">
        <f>_xll.LVCELL($S$93,AF$93,$S161,$T$92,$S$94,$S$95,$S$96,$S$97,$S$98,$T$93)-AF64</f>
        <v>-55332.056478192098</v>
      </c>
    </row>
    <row r="162" spans="17:32">
      <c r="Q162" s="65"/>
      <c r="R162" s="65"/>
      <c r="S162" s="59" t="s">
        <v>377</v>
      </c>
      <c r="T162" s="68" t="str">
        <f>_xll.LVDESC("entities",$S162,$U$97)</f>
        <v>Centrale Éolienne du Plateau de Langres SARL (LNG)</v>
      </c>
      <c r="U162" s="172">
        <f>_xll.LVCELL($S$93,U$93,$S162,$T$92,$S$94,$S$95,$S$96,$S$97,$S$98,$T$93)-U65</f>
        <v>-41712.282509945333</v>
      </c>
      <c r="V162" s="172">
        <f>_xll.LVCELL($S$93,V$93,$S162,$T$92,$S$94,$S$95,$S$96,$S$97,$S$98,$T$93)-V65</f>
        <v>132065.1567797421</v>
      </c>
      <c r="W162" s="172">
        <f>_xll.LVCELL($S$93,W$93,$S162,$T$92,$S$94,$S$95,$S$96,$S$97,$S$98,$T$93)-W65</f>
        <v>-37963.081691890256</v>
      </c>
      <c r="X162" s="172">
        <f>_xll.LVCELL($S$93,X$93,$S162,$T$92,$S$94,$S$95,$S$96,$S$97,$S$98,$T$93)-X65</f>
        <v>18995.876385755138</v>
      </c>
      <c r="Y162" s="172">
        <f>_xll.LVCELL($S$93,Y$93,$S162,$T$92,$S$94,$S$95,$S$96,$S$97,$S$98,$T$93)-Y65</f>
        <v>-28338.635741801001</v>
      </c>
      <c r="Z162" s="172">
        <f>_xll.LVCELL($S$93,Z$93,$S162,$T$92,$S$94,$S$95,$S$96,$S$97,$S$98,$T$93)-Z65</f>
        <v>13118.649384633638</v>
      </c>
      <c r="AA162" s="172">
        <f>_xll.LVCELL($S$93,AA$93,$S162,$T$92,$S$94,$S$95,$S$96,$S$97,$S$98,$T$93)-AA65</f>
        <v>-22824.869832896162</v>
      </c>
      <c r="AB162" s="172">
        <f>_xll.LVCELL($S$93,AB$93,$S162,$T$92,$S$94,$S$95,$S$96,$S$97,$S$98,$T$93)-AB65</f>
        <v>-21179.797816422768</v>
      </c>
      <c r="AC162" s="172">
        <f>_xll.LVCELL($S$93,AC$93,$S162,$T$92,$S$94,$S$95,$S$96,$S$97,$S$98,$T$93)-AC65</f>
        <v>15609.696802791907</v>
      </c>
      <c r="AD162" s="172">
        <f>_xll.LVCELL($S$93,AD$93,$S162,$T$92,$S$94,$S$95,$S$96,$S$97,$S$98,$T$93)-AD65</f>
        <v>-35395.896105199819</v>
      </c>
      <c r="AE162" s="172">
        <f>_xll.LVCELL($S$93,AE$93,$S162,$T$92,$S$94,$S$95,$S$96,$S$97,$S$98,$T$93)-AE65</f>
        <v>20650.200450095814</v>
      </c>
      <c r="AF162" s="172">
        <f>_xll.LVCELL($S$93,AF$93,$S162,$T$92,$S$94,$S$95,$S$96,$S$97,$S$98,$T$93)-AF65</f>
        <v>-43205.988183449255</v>
      </c>
    </row>
    <row r="163" spans="17:32">
      <c r="Q163" s="65"/>
      <c r="R163" s="65"/>
      <c r="S163" s="59" t="s">
        <v>379</v>
      </c>
      <c r="T163" s="68" t="str">
        <f>_xll.LVDESC("entities",$S163,$U$97)</f>
        <v>Les Moulins de Boulay SAS (MDB)</v>
      </c>
      <c r="U163" s="172">
        <f>_xll.LVCELL($S$93,U$93,$S163,$T$92,$S$94,$S$95,$S$96,$S$97,$S$98,$T$93)-U66</f>
        <v>-21912.515347244916</v>
      </c>
      <c r="V163" s="172">
        <f>_xll.LVCELL($S$93,V$93,$S163,$T$92,$S$94,$S$95,$S$96,$S$97,$S$98,$T$93)-V66</f>
        <v>139661.67675738293</v>
      </c>
      <c r="W163" s="172">
        <f>_xll.LVCELL($S$93,W$93,$S163,$T$92,$S$94,$S$95,$S$96,$S$97,$S$98,$T$93)-W66</f>
        <v>-18564.123174731387</v>
      </c>
      <c r="X163" s="172">
        <f>_xll.LVCELL($S$93,X$93,$S163,$T$92,$S$94,$S$95,$S$96,$S$97,$S$98,$T$93)-X66</f>
        <v>27758.86873340467</v>
      </c>
      <c r="Y163" s="172">
        <f>_xll.LVCELL($S$93,Y$93,$S163,$T$92,$S$94,$S$95,$S$96,$S$97,$S$98,$T$93)-Y66</f>
        <v>-13112.448258098448</v>
      </c>
      <c r="Z163" s="172">
        <f>_xll.LVCELL($S$93,Z$93,$S163,$T$92,$S$94,$S$95,$S$96,$S$97,$S$98,$T$93)-Z66</f>
        <v>19599.167102651554</v>
      </c>
      <c r="AA163" s="172">
        <f>_xll.LVCELL($S$93,AA$93,$S163,$T$92,$S$94,$S$95,$S$96,$S$97,$S$98,$T$93)-AA66</f>
        <v>-10989.523179159849</v>
      </c>
      <c r="AB163" s="172">
        <f>_xll.LVCELL($S$93,AB$93,$S163,$T$92,$S$94,$S$95,$S$96,$S$97,$S$98,$T$93)-AB66</f>
        <v>-10363.057881257846</v>
      </c>
      <c r="AC163" s="172">
        <f>_xll.LVCELL($S$93,AC$93,$S163,$T$92,$S$94,$S$95,$S$96,$S$97,$S$98,$T$93)-AC66</f>
        <v>25324.556808191817</v>
      </c>
      <c r="AD163" s="172">
        <f>_xll.LVCELL($S$93,AD$93,$S163,$T$92,$S$94,$S$95,$S$96,$S$97,$S$98,$T$93)-AD66</f>
        <v>-17957.300211648457</v>
      </c>
      <c r="AE163" s="172">
        <f>_xll.LVCELL($S$93,AE$93,$S163,$T$92,$S$94,$S$95,$S$96,$S$97,$S$98,$T$93)-AE66</f>
        <v>34369.735502658645</v>
      </c>
      <c r="AF163" s="172">
        <f>_xll.LVCELL($S$93,AF$93,$S163,$T$92,$S$94,$S$95,$S$96,$S$97,$S$98,$T$93)-AF66</f>
        <v>-22237.524455457693</v>
      </c>
    </row>
    <row r="164" spans="17:32">
      <c r="Q164" s="65"/>
      <c r="R164" s="65"/>
      <c r="S164" s="59" t="s">
        <v>384</v>
      </c>
      <c r="T164" s="68" t="str">
        <f>_xll.LVDESC("entities",$S164,$U$97)</f>
        <v>Parc Éolien de Morlange SAS (MOR)</v>
      </c>
      <c r="U164" s="172">
        <f>_xll.LVCELL($S$93,U$93,$S164,$T$92,$S$94,$S$95,$S$96,$S$97,$S$98,$T$93)-U67</f>
        <v>-187692.85258515691</v>
      </c>
      <c r="V164" s="172">
        <f>_xll.LVCELL($S$93,V$93,$S164,$T$92,$S$94,$S$95,$S$96,$S$97,$S$98,$T$93)-V67</f>
        <v>16632.401746029034</v>
      </c>
      <c r="W164" s="172">
        <f>_xll.LVCELL($S$93,W$93,$S164,$T$92,$S$94,$S$95,$S$96,$S$97,$S$98,$T$93)-W67</f>
        <v>-162777.95721232891</v>
      </c>
      <c r="X164" s="172">
        <f>_xll.LVCELL($S$93,X$93,$S164,$T$92,$S$94,$S$95,$S$96,$S$97,$S$98,$T$93)-X67</f>
        <v>-80908.649046442239</v>
      </c>
      <c r="Y164" s="172">
        <f>_xll.LVCELL($S$93,Y$93,$S164,$T$92,$S$94,$S$95,$S$96,$S$97,$S$98,$T$93)-Y67</f>
        <v>-119891.44071916235</v>
      </c>
      <c r="Z164" s="172">
        <f>_xll.LVCELL($S$93,Z$93,$S164,$T$92,$S$94,$S$95,$S$96,$S$97,$S$98,$T$93)-Z67</f>
        <v>-60948.044715005904</v>
      </c>
      <c r="AA164" s="172">
        <f>_xll.LVCELL($S$93,AA$93,$S164,$T$92,$S$94,$S$95,$S$96,$S$97,$S$98,$T$93)-AA67</f>
        <v>-102574.50105600432</v>
      </c>
      <c r="AB164" s="172">
        <f>_xll.LVCELL($S$93,AB$93,$S164,$T$92,$S$94,$S$95,$S$96,$S$97,$S$98,$T$93)-AB67</f>
        <v>-97869.492951537948</v>
      </c>
      <c r="AC164" s="172">
        <f>_xll.LVCELL($S$93,AC$93,$S164,$T$92,$S$94,$S$95,$S$96,$S$97,$S$98,$T$93)-AC67</f>
        <v>-106368.59901607875</v>
      </c>
      <c r="AD164" s="172">
        <f>_xll.LVCELL($S$93,AD$93,$S164,$T$92,$S$94,$S$95,$S$96,$S$97,$S$98,$T$93)-AD67</f>
        <v>-197577.74345909897</v>
      </c>
      <c r="AE164" s="172">
        <f>_xll.LVCELL($S$93,AE$93,$S164,$T$92,$S$94,$S$95,$S$96,$S$97,$S$98,$T$93)-AE67</f>
        <v>-136293.60450673313</v>
      </c>
      <c r="AF164" s="172">
        <f>_xll.LVCELL($S$93,AF$93,$S164,$T$92,$S$94,$S$95,$S$96,$S$97,$S$98,$T$93)-AF67</f>
        <v>-238449.08647773694</v>
      </c>
    </row>
    <row r="165" spans="17:32">
      <c r="Q165" s="65"/>
      <c r="R165" s="65"/>
      <c r="S165" s="59" t="s">
        <v>381</v>
      </c>
      <c r="T165" s="68" t="str">
        <f>_xll.LVDESC("entities",$S165,$U$97)</f>
        <v>Renardières - Maurienne SAS (REN)</v>
      </c>
      <c r="U165" s="172">
        <f>_xll.LVCELL($S$93,U$93,$S165,$T$92,$S$94,$S$95,$S$96,$S$97,$S$98,$T$93)-U68</f>
        <v>-88811.062704689335</v>
      </c>
      <c r="V165" s="172">
        <f>_xll.LVCELL($S$93,V$93,$S165,$T$92,$S$94,$S$95,$S$96,$S$97,$S$98,$T$93)-V68</f>
        <v>-30619.242785080802</v>
      </c>
      <c r="W165" s="172">
        <f>_xll.LVCELL($S$93,W$93,$S165,$T$92,$S$94,$S$95,$S$96,$S$97,$S$98,$T$93)-W68</f>
        <v>-199058.6746391817</v>
      </c>
      <c r="X165" s="172">
        <f>_xll.LVCELL($S$93,X$93,$S165,$T$92,$S$94,$S$95,$S$96,$S$97,$S$98,$T$93)-X68</f>
        <v>114388.02441530582</v>
      </c>
      <c r="Y165" s="172">
        <f>_xll.LVCELL($S$93,Y$93,$S165,$T$92,$S$94,$S$95,$S$96,$S$97,$S$98,$T$93)-Y68</f>
        <v>86119.006352375494</v>
      </c>
      <c r="Z165" s="172">
        <f>_xll.LVCELL($S$93,Z$93,$S165,$T$92,$S$94,$S$95,$S$96,$S$97,$S$98,$T$93)-Z68</f>
        <v>100042.18431537854</v>
      </c>
      <c r="AA165" s="172">
        <f>_xll.LVCELL($S$93,AA$93,$S165,$T$92,$S$94,$S$95,$S$96,$S$97,$S$98,$T$93)-AA68</f>
        <v>1253296</v>
      </c>
      <c r="AB165" s="172">
        <f>_xll.LVCELL($S$93,AB$93,$S165,$T$92,$S$94,$S$95,$S$96,$S$97,$S$98,$T$93)-AB68</f>
        <v>1206372</v>
      </c>
      <c r="AC165" s="172">
        <f>_xll.LVCELL($S$93,AC$93,$S165,$T$92,$S$94,$S$95,$S$96,$S$97,$S$98,$T$93)-AC68</f>
        <v>1533150</v>
      </c>
      <c r="AD165" s="172">
        <f>_xll.LVCELL($S$93,AD$93,$S165,$T$92,$S$94,$S$95,$S$96,$S$97,$S$98,$T$93)-AD68</f>
        <v>1936817</v>
      </c>
      <c r="AE165" s="172">
        <f>_xll.LVCELL($S$93,AE$93,$S165,$T$92,$S$94,$S$95,$S$96,$S$97,$S$98,$T$93)-AE68</f>
        <v>2030667</v>
      </c>
      <c r="AF165" s="172">
        <f>_xll.LVCELL($S$93,AF$93,$S165,$T$92,$S$94,$S$95,$S$96,$S$97,$S$98,$T$93)-AF68</f>
        <v>2387410</v>
      </c>
    </row>
    <row r="166" spans="17:32">
      <c r="Q166" s="65"/>
      <c r="R166" s="65"/>
      <c r="S166" s="59" t="s">
        <v>385</v>
      </c>
      <c r="T166" s="68" t="str">
        <f>_xll.LVDESC("entities",$S166,$U$97)</f>
        <v>Parc Éolien de Zondrange SAS (ZON)</v>
      </c>
      <c r="U166" s="172">
        <f>_xll.LVCELL($S$93,U$93,$S166,$T$92,$S$94,$S$95,$S$96,$S$97,$S$98,$T$93)-U69</f>
        <v>-102954.94502716977</v>
      </c>
      <c r="V166" s="172">
        <f>_xll.LVCELL($S$93,V$93,$S166,$T$92,$S$94,$S$95,$S$96,$S$97,$S$98,$T$93)-V69</f>
        <v>108202.68365330156</v>
      </c>
      <c r="W166" s="172">
        <f>_xll.LVCELL($S$93,W$93,$S166,$T$92,$S$94,$S$95,$S$96,$S$97,$S$98,$T$93)-W69</f>
        <v>-88730.205618233886</v>
      </c>
      <c r="X166" s="172">
        <f>_xll.LVCELL($S$93,X$93,$S166,$T$92,$S$94,$S$95,$S$96,$S$97,$S$98,$T$93)-X69</f>
        <v>-16095.878911971115</v>
      </c>
      <c r="Y166" s="172">
        <f>_xll.LVCELL($S$93,Y$93,$S166,$T$92,$S$94,$S$95,$S$96,$S$97,$S$98,$T$93)-Y69</f>
        <v>-63520.604134043446</v>
      </c>
      <c r="Z166" s="172">
        <f>_xll.LVCELL($S$93,Z$93,$S166,$T$92,$S$94,$S$95,$S$96,$S$97,$S$98,$T$93)-Z69</f>
        <v>-11903.72982393438</v>
      </c>
      <c r="AA166" s="172">
        <f>_xll.LVCELL($S$93,AA$93,$S166,$T$92,$S$94,$S$95,$S$96,$S$97,$S$98,$T$93)-AA69</f>
        <v>-53458.589077406796</v>
      </c>
      <c r="AB166" s="172">
        <f>_xll.LVCELL($S$93,AB$93,$S166,$T$92,$S$94,$S$95,$S$96,$S$97,$S$98,$T$93)-AB69</f>
        <v>-50735.699095633114</v>
      </c>
      <c r="AC166" s="172">
        <f>_xll.LVCELL($S$93,AC$93,$S166,$T$92,$S$94,$S$95,$S$96,$S$97,$S$98,$T$93)-AC69</f>
        <v>-14845.075990222627</v>
      </c>
      <c r="AD166" s="172">
        <f>_xll.LVCELL($S$93,AD$93,$S166,$T$92,$S$94,$S$95,$S$96,$S$97,$S$98,$T$93)-AD69</f>
        <v>-85376.200599354925</v>
      </c>
      <c r="AE166" s="172">
        <f>_xll.LVCELL($S$93,AE$93,$S166,$T$92,$S$94,$S$95,$S$96,$S$97,$S$98,$T$93)-AE69</f>
        <v>-19207.735203789081</v>
      </c>
      <c r="AF166" s="172">
        <f>_xll.LVCELL($S$93,AF$93,$S166,$T$92,$S$94,$S$95,$S$96,$S$97,$S$98,$T$93)-AF69</f>
        <v>-104440.43047177419</v>
      </c>
    </row>
    <row r="167" spans="17:32">
      <c r="Q167" s="65"/>
      <c r="R167" s="65"/>
      <c r="S167" s="17" t="s">
        <v>816</v>
      </c>
      <c r="T167" s="68" t="str">
        <f>_xll.LVDESC("entities",$S167,$U$97)</f>
        <v>Parc Éolien de Noyers Bucamps SAS (NOB)</v>
      </c>
      <c r="U167" s="172">
        <f>_xll.LVCELL($S$93,U$93,$S167,$T$92,$S$94,$S$95,$S$96,$S$97,$S$98,$T$93)-U70</f>
        <v>312681.73141926434</v>
      </c>
      <c r="V167" s="172">
        <f>_xll.LVCELL($S$93,V$93,$S167,$T$92,$S$94,$S$95,$S$96,$S$97,$S$98,$T$93)-V70</f>
        <v>507185.74073325098</v>
      </c>
      <c r="W167" s="172">
        <f>_xll.LVCELL($S$93,W$93,$S167,$T$92,$S$94,$S$95,$S$96,$S$97,$S$98,$T$93)-W70</f>
        <v>256808.73360307747</v>
      </c>
      <c r="X167" s="172">
        <f>_xll.LVCELL($S$93,X$93,$S167,$T$92,$S$94,$S$95,$S$96,$S$97,$S$98,$T$93)-X70</f>
        <v>276025.25054138293</v>
      </c>
      <c r="Y167" s="172">
        <f>_xll.LVCELL($S$93,Y$93,$S167,$T$92,$S$94,$S$95,$S$96,$S$97,$S$98,$T$93)-Y70</f>
        <v>203137.18413654342</v>
      </c>
      <c r="Z167" s="172">
        <f>_xll.LVCELL($S$93,Z$93,$S167,$T$92,$S$94,$S$95,$S$96,$S$97,$S$98,$T$93)-Z70</f>
        <v>217648.91567741195</v>
      </c>
      <c r="AA167" s="172">
        <f>_xll.LVCELL($S$93,AA$93,$S167,$T$92,$S$94,$S$95,$S$96,$S$97,$S$98,$T$93)-AA70</f>
        <v>164291.91914267</v>
      </c>
      <c r="AB167" s="172">
        <f>_xll.LVCELL($S$93,AB$93,$S167,$T$92,$S$94,$S$95,$S$96,$S$97,$S$98,$T$93)-AB70</f>
        <v>160083.97376833344</v>
      </c>
      <c r="AC167" s="172">
        <f>_xll.LVCELL($S$93,AC$93,$S167,$T$92,$S$94,$S$95,$S$96,$S$97,$S$98,$T$93)-AC70</f>
        <v>248898.93250431214</v>
      </c>
      <c r="AD167" s="172">
        <f>_xll.LVCELL($S$93,AD$93,$S167,$T$92,$S$94,$S$95,$S$96,$S$97,$S$98,$T$93)-AD70</f>
        <v>255126.15545334294</v>
      </c>
      <c r="AE167" s="172">
        <f>_xll.LVCELL($S$93,AE$93,$S167,$T$92,$S$94,$S$95,$S$96,$S$97,$S$98,$T$93)-AE70</f>
        <v>339678.99985633511</v>
      </c>
      <c r="AF167" s="172">
        <f>_xll.LVCELL($S$93,AF$93,$S167,$T$92,$S$94,$S$95,$S$96,$S$97,$S$98,$T$93)-AF70</f>
        <v>305819.451270347</v>
      </c>
    </row>
    <row r="168" spans="17:32">
      <c r="Q168" s="65"/>
      <c r="R168" s="65"/>
      <c r="S168" s="60" t="s">
        <v>499</v>
      </c>
      <c r="T168" s="68" t="str">
        <f>_xll.LVDESC("entities",$S168,$U$97)</f>
        <v>Boralex Solaire les Cigalettes SAS (Montfort)</v>
      </c>
      <c r="U168" s="172">
        <f>_xll.LVCELL($S$93,U$93,$S168,$T$92,$S$94,$S$95,$S$96,$S$97,$S$98,$T$93)-U71</f>
        <v>16239.74570675625</v>
      </c>
      <c r="V168" s="172">
        <f>_xll.LVCELL($S$93,V$93,$S168,$T$92,$S$94,$S$95,$S$96,$S$97,$S$98,$T$93)-V71</f>
        <v>18399.693052405259</v>
      </c>
      <c r="W168" s="172">
        <f>_xll.LVCELL($S$93,W$93,$S168,$T$92,$S$94,$S$95,$S$96,$S$97,$S$98,$T$93)-W71</f>
        <v>26051.258737921249</v>
      </c>
      <c r="X168" s="172">
        <f>_xll.LVCELL($S$93,X$93,$S168,$T$92,$S$94,$S$95,$S$96,$S$97,$S$98,$T$93)-X71</f>
        <v>26622.784628495807</v>
      </c>
      <c r="Y168" s="172">
        <f>_xll.LVCELL($S$93,Y$93,$S168,$T$92,$S$94,$S$95,$S$96,$S$97,$S$98,$T$93)-Y71</f>
        <v>30113.106622438412</v>
      </c>
      <c r="Z168" s="172">
        <f>_xll.LVCELL($S$93,Z$93,$S168,$T$92,$S$94,$S$95,$S$96,$S$97,$S$98,$T$93)-Z71</f>
        <v>32422.147678672103</v>
      </c>
      <c r="AA168" s="172">
        <f>_xll.LVCELL($S$93,AA$93,$S168,$T$92,$S$94,$S$95,$S$96,$S$97,$S$98,$T$93)-AA71</f>
        <v>34704.428325313842</v>
      </c>
      <c r="AB168" s="172">
        <f>_xll.LVCELL($S$93,AB$93,$S168,$T$92,$S$94,$S$95,$S$96,$S$97,$S$98,$T$93)-AB71</f>
        <v>32078.085269630654</v>
      </c>
      <c r="AC168" s="172">
        <f>_xll.LVCELL($S$93,AC$93,$S168,$T$92,$S$94,$S$95,$S$96,$S$97,$S$98,$T$93)-AC71</f>
        <v>25890.696280368604</v>
      </c>
      <c r="AD168" s="172">
        <f>_xll.LVCELL($S$93,AD$93,$S168,$T$92,$S$94,$S$95,$S$96,$S$97,$S$98,$T$93)-AD71</f>
        <v>20349.380036973627</v>
      </c>
      <c r="AE168" s="172">
        <f>_xll.LVCELL($S$93,AE$93,$S168,$T$92,$S$94,$S$95,$S$96,$S$97,$S$98,$T$93)-AE71</f>
        <v>14563.397191593191</v>
      </c>
      <c r="AF168" s="172">
        <f>_xll.LVCELL($S$93,AF$93,$S168,$T$92,$S$94,$S$95,$S$96,$S$97,$S$98,$T$93)-AF71</f>
        <v>14142.876469431329</v>
      </c>
    </row>
    <row r="169" spans="17:32">
      <c r="Q169" s="65"/>
      <c r="R169" s="65"/>
      <c r="S169" s="60" t="s">
        <v>501</v>
      </c>
      <c r="T169" s="68" t="str">
        <f>_xll.LVDESC("entities",$S169,$U$97)</f>
        <v>Boralex Solaire Lauragais SAS</v>
      </c>
      <c r="U169" s="172">
        <f>_xll.LVCELL($S$93,U$93,$S169,$T$92,$S$94,$S$95,$S$96,$S$97,$S$98,$T$93)-U72</f>
        <v>4880.8144132143061</v>
      </c>
      <c r="V169" s="172">
        <f>_xll.LVCELL($S$93,V$93,$S169,$T$92,$S$94,$S$95,$S$96,$S$97,$S$98,$T$93)-V72</f>
        <v>6528.7329958704649</v>
      </c>
      <c r="W169" s="172">
        <f>_xll.LVCELL($S$93,W$93,$S169,$T$92,$S$94,$S$95,$S$96,$S$97,$S$98,$T$93)-W72</f>
        <v>10230.827867323766</v>
      </c>
      <c r="X169" s="172">
        <f>_xll.LVCELL($S$93,X$93,$S169,$T$92,$S$94,$S$95,$S$96,$S$97,$S$98,$T$93)-X72</f>
        <v>11325.625629412476</v>
      </c>
      <c r="Y169" s="172">
        <f>_xll.LVCELL($S$93,Y$93,$S169,$T$92,$S$94,$S$95,$S$96,$S$97,$S$98,$T$93)-Y72</f>
        <v>12380.369814839447</v>
      </c>
      <c r="Z169" s="172">
        <f>_xll.LVCELL($S$93,Z$93,$S169,$T$92,$S$94,$S$95,$S$96,$S$97,$S$98,$T$93)-Z72</f>
        <v>13007.875849207281</v>
      </c>
      <c r="AA169" s="172">
        <f>_xll.LVCELL($S$93,AA$93,$S169,$T$92,$S$94,$S$95,$S$96,$S$97,$S$98,$T$93)-AA72</f>
        <v>13704.045157852583</v>
      </c>
      <c r="AB169" s="172">
        <f>_xll.LVCELL($S$93,AB$93,$S169,$T$92,$S$94,$S$95,$S$96,$S$97,$S$98,$T$93)-AB72</f>
        <v>12996.431970161153</v>
      </c>
      <c r="AC169" s="172">
        <f>_xll.LVCELL($S$93,AC$93,$S169,$T$92,$S$94,$S$95,$S$96,$S$97,$S$98,$T$93)-AC72</f>
        <v>10957.514186759014</v>
      </c>
      <c r="AD169" s="172">
        <f>_xll.LVCELL($S$93,AD$93,$S169,$T$92,$S$94,$S$95,$S$96,$S$97,$S$98,$T$93)-AD72</f>
        <v>8651.5725589449285</v>
      </c>
      <c r="AE169" s="172">
        <f>_xll.LVCELL($S$93,AE$93,$S169,$T$92,$S$94,$S$95,$S$96,$S$97,$S$98,$T$93)-AE72</f>
        <v>5277.5355534833507</v>
      </c>
      <c r="AF169" s="172">
        <f>_xll.LVCELL($S$93,AF$93,$S169,$T$92,$S$94,$S$95,$S$96,$S$97,$S$98,$T$93)-AF72</f>
        <v>4604.2540029305674</v>
      </c>
    </row>
    <row r="170" spans="17:32">
      <c r="Q170" s="65"/>
      <c r="R170" s="65"/>
      <c r="S170" t="s">
        <v>830</v>
      </c>
      <c r="T170" s="68" t="str">
        <f>_xll.LVDESC("entities",$S170,$U$97)</f>
        <v>Boralex Blendecques SAS</v>
      </c>
      <c r="U170" s="172">
        <f>_xll.LVCELL($S$93,U$93,$S170,$T$92,$S$94,$S$95,$S$96,$S$97,$S$98,$T$93)-U73</f>
        <v>7200000</v>
      </c>
      <c r="V170" s="172">
        <f>_xll.LVCELL($S$93,V$93,$S170,$T$92,$S$94,$S$95,$S$96,$S$97,$S$98,$T$93)-V73</f>
        <v>6450000</v>
      </c>
      <c r="W170" s="172">
        <f>_xll.LVCELL($S$93,W$93,$S170,$T$92,$S$94,$S$95,$S$96,$S$97,$S$98,$T$93)-W73</f>
        <v>7100000</v>
      </c>
      <c r="X170" s="172">
        <f>_xll.LVCELL($S$93,X$93,$S170,$T$92,$S$94,$S$95,$S$96,$S$97,$S$98,$T$93)-X73</f>
        <v>0</v>
      </c>
      <c r="Y170" s="172">
        <f>_xll.LVCELL($S$93,Y$93,$S170,$T$92,$S$94,$S$95,$S$96,$S$97,$S$98,$T$93)-Y73</f>
        <v>0</v>
      </c>
      <c r="Z170" s="172">
        <f>_xll.LVCELL($S$93,Z$93,$S170,$T$92,$S$94,$S$95,$S$96,$S$97,$S$98,$T$93)-Z73</f>
        <v>0</v>
      </c>
      <c r="AA170" s="172">
        <f>_xll.LVCELL($S$93,AA$93,$S170,$T$92,$S$94,$S$95,$S$96,$S$97,$S$98,$T$93)-AA73</f>
        <v>0</v>
      </c>
      <c r="AB170" s="172">
        <f>_xll.LVCELL($S$93,AB$93,$S170,$T$92,$S$94,$S$95,$S$96,$S$97,$S$98,$T$93)-AB73</f>
        <v>0</v>
      </c>
      <c r="AC170" s="172">
        <f>_xll.LVCELL($S$93,AC$93,$S170,$T$92,$S$94,$S$95,$S$96,$S$97,$S$98,$T$93)-AC73</f>
        <v>0</v>
      </c>
      <c r="AD170" s="172">
        <f>_xll.LVCELL($S$93,AD$93,$S170,$T$92,$S$94,$S$95,$S$96,$S$97,$S$98,$T$93)-AD73</f>
        <v>0</v>
      </c>
      <c r="AE170" s="172">
        <f>_xll.LVCELL($S$93,AE$93,$S170,$T$92,$S$94,$S$95,$S$96,$S$97,$S$98,$T$93)-AE73</f>
        <v>6900000</v>
      </c>
      <c r="AF170" s="172">
        <f>_xll.LVCELL($S$93,AF$93,$S170,$T$92,$S$94,$S$95,$S$96,$S$97,$S$98,$T$93)-AF73</f>
        <v>7100000</v>
      </c>
    </row>
    <row r="171" spans="17:32">
      <c r="Q171" s="65"/>
      <c r="R171" s="65"/>
      <c r="S171" t="s">
        <v>1858</v>
      </c>
      <c r="T171" s="68" t="str">
        <f>_xll.LVDESC("entities",$S171,$U$97)</f>
        <v>Boralex Cham Longe SARL</v>
      </c>
      <c r="U171" s="172">
        <f>_xll.LVCELL($S$93,U$93,$S171,$T$92,$S$94,$S$95,$S$96,$S$97,$S$98,$T$93)-U74</f>
        <v>0</v>
      </c>
      <c r="V171" s="172">
        <f>_xll.LVCELL($S$93,V$93,$S171,$T$92,$S$94,$S$95,$S$96,$S$97,$S$98,$T$93)-V74</f>
        <v>0</v>
      </c>
      <c r="W171" s="172">
        <f>_xll.LVCELL($S$93,W$93,$S171,$T$92,$S$94,$S$95,$S$96,$S$97,$S$98,$T$93)-W74</f>
        <v>0</v>
      </c>
      <c r="X171" s="172">
        <f>_xll.LVCELL($S$93,X$93,$S171,$T$92,$S$94,$S$95,$S$96,$S$97,$S$98,$T$93)-X74</f>
        <v>0</v>
      </c>
      <c r="Y171" s="172">
        <f>_xll.LVCELL($S$93,Y$93,$S171,$T$92,$S$94,$S$95,$S$96,$S$97,$S$98,$T$93)-Y74</f>
        <v>0</v>
      </c>
      <c r="Z171" s="172">
        <f>_xll.LVCELL($S$93,Z$93,$S171,$T$92,$S$94,$S$95,$S$96,$S$97,$S$98,$T$93)-Z74</f>
        <v>0</v>
      </c>
      <c r="AA171" s="172">
        <f>_xll.LVCELL($S$93,AA$93,$S171,$T$92,$S$94,$S$95,$S$96,$S$97,$S$98,$T$93)-AA74</f>
        <v>0</v>
      </c>
      <c r="AB171" s="172">
        <f>_xll.LVCELL($S$93,AB$93,$S171,$T$92,$S$94,$S$95,$S$96,$S$97,$S$98,$T$93)-AB74</f>
        <v>0</v>
      </c>
      <c r="AC171" s="172">
        <f>_xll.LVCELL($S$93,AC$93,$S171,$T$92,$S$94,$S$95,$S$96,$S$97,$S$98,$T$93)-AC74</f>
        <v>0</v>
      </c>
      <c r="AD171" s="172">
        <f>_xll.LVCELL($S$93,AD$93,$S171,$T$92,$S$94,$S$95,$S$96,$S$97,$S$98,$T$93)-AD74</f>
        <v>0</v>
      </c>
      <c r="AE171" s="172">
        <f>_xll.LVCELL($S$93,AE$93,$S171,$T$92,$S$94,$S$95,$S$96,$S$97,$S$98,$T$93)-AE74</f>
        <v>0</v>
      </c>
      <c r="AF171" s="172">
        <f>_xll.LVCELL($S$93,AF$93,$S171,$T$92,$S$94,$S$95,$S$96,$S$97,$S$98,$T$93)-AF74</f>
        <v>10264952</v>
      </c>
    </row>
    <row r="172" spans="17:32">
      <c r="Q172" s="65"/>
      <c r="R172" s="65"/>
      <c r="S172" t="s">
        <v>2074</v>
      </c>
      <c r="T172" s="68" t="str">
        <f>_xll.LVDESC("entities",$S172,$U$97)</f>
        <v>Parc Éolien des Blanches Fosses SAS (PBF-N Lislet)</v>
      </c>
      <c r="U172" s="172">
        <f>_xll.LVCELL($S$93,U$93,$S172,$T$92,$S$94,$S$95,$S$96,$S$97,$S$98,$T$93)-U75</f>
        <v>-10650977.048044747</v>
      </c>
      <c r="V172" s="172">
        <f>_xll.LVCELL($S$93,V$93,$S172,$T$92,$S$94,$S$95,$S$96,$S$97,$S$98,$T$93)-V75</f>
        <v>-9540597.9794908948</v>
      </c>
      <c r="W172" s="172">
        <f>_xll.LVCELL($S$93,W$93,$S172,$T$92,$S$94,$S$95,$S$96,$S$97,$S$98,$T$93)-W75</f>
        <v>-9405860.5752347764</v>
      </c>
      <c r="X172" s="172">
        <f>_xll.LVCELL($S$93,X$93,$S172,$T$92,$S$94,$S$95,$S$96,$S$97,$S$98,$T$93)-X75</f>
        <v>-8039723.307061336</v>
      </c>
      <c r="Y172" s="172">
        <f>_xll.LVCELL($S$93,Y$93,$S172,$T$92,$S$94,$S$95,$S$96,$S$97,$S$98,$T$93)-Y75</f>
        <v>-6988286.9463305324</v>
      </c>
      <c r="Z172" s="172">
        <f>_xll.LVCELL($S$93,Z$93,$S172,$T$92,$S$94,$S$95,$S$96,$S$97,$S$98,$T$93)-Z75</f>
        <v>-6138009.5191210601</v>
      </c>
      <c r="AA172" s="172">
        <f>_xll.LVCELL($S$93,AA$93,$S172,$T$92,$S$94,$S$95,$S$96,$S$97,$S$98,$T$93)-AA75</f>
        <v>-6177475.0257075941</v>
      </c>
      <c r="AB172" s="172">
        <f>_xll.LVCELL($S$93,AB$93,$S172,$T$92,$S$94,$S$95,$S$96,$S$97,$S$98,$T$93)-AB75</f>
        <v>-5525192.5233734567</v>
      </c>
      <c r="AC172" s="172">
        <f>_xll.LVCELL($S$93,AC$93,$S172,$T$92,$S$94,$S$95,$S$96,$S$97,$S$98,$T$93)-AC75</f>
        <v>-6577481.1928047379</v>
      </c>
      <c r="AD172" s="172">
        <f>_xll.LVCELL($S$93,AD$93,$S172,$T$92,$S$94,$S$95,$S$96,$S$97,$S$98,$T$93)-AD75</f>
        <v>-7797447.5188462976</v>
      </c>
      <c r="AE172" s="172">
        <f>_xll.LVCELL($S$93,AE$93,$S172,$T$92,$S$94,$S$95,$S$96,$S$97,$S$98,$T$93)-AE75</f>
        <v>-6893935.6077290699</v>
      </c>
      <c r="AF172" s="172">
        <f>_xll.LVCELL($S$93,AF$93,$S172,$T$92,$S$94,$S$95,$S$96,$S$97,$S$98,$T$93)-AF75</f>
        <v>-7213482.7562554963</v>
      </c>
    </row>
    <row r="173" spans="17:32">
      <c r="Q173" s="65"/>
      <c r="R173" s="65"/>
      <c r="S173" t="s">
        <v>1833</v>
      </c>
      <c r="T173" s="68" t="str">
        <f>_xll.LVDESC("entities",$S173,$U$97)</f>
        <v>Les Vents du Bapalmois SAS (XSB)</v>
      </c>
      <c r="U173" s="172">
        <f>_xll.LVCELL($S$93,U$93,$S173,$T$92,$S$94,$S$95,$S$96,$S$97,$S$98,$T$93)-U76</f>
        <v>-3366311.1533764317</v>
      </c>
      <c r="V173" s="172">
        <f>_xll.LVCELL($S$93,V$93,$S173,$T$92,$S$94,$S$95,$S$96,$S$97,$S$98,$T$93)-V76</f>
        <v>-2838548.6813597688</v>
      </c>
      <c r="W173" s="172">
        <f>_xll.LVCELL($S$93,W$93,$S173,$T$92,$S$94,$S$95,$S$96,$S$97,$S$98,$T$93)-W76</f>
        <v>-2897301.1339248247</v>
      </c>
      <c r="X173" s="172">
        <f>_xll.LVCELL($S$93,X$93,$S173,$T$92,$S$94,$S$95,$S$96,$S$97,$S$98,$T$93)-X76</f>
        <v>-2388571.7837949824</v>
      </c>
      <c r="Y173" s="172">
        <f>_xll.LVCELL($S$93,Y$93,$S173,$T$92,$S$94,$S$95,$S$96,$S$97,$S$98,$T$93)-Y76</f>
        <v>-2231803.7708506333</v>
      </c>
      <c r="Z173" s="172">
        <f>_xll.LVCELL($S$93,Z$93,$S173,$T$92,$S$94,$S$95,$S$96,$S$97,$S$98,$T$93)-Z76</f>
        <v>-1850908.9747721169</v>
      </c>
      <c r="AA173" s="172">
        <f>_xll.LVCELL($S$93,AA$93,$S173,$T$92,$S$94,$S$95,$S$96,$S$97,$S$98,$T$93)-AA76</f>
        <v>-1807210.4306087294</v>
      </c>
      <c r="AB173" s="172">
        <f>_xll.LVCELL($S$93,AB$93,$S173,$T$92,$S$94,$S$95,$S$96,$S$97,$S$98,$T$93)-AB76</f>
        <v>-1795918.0545384665</v>
      </c>
      <c r="AC173" s="172">
        <f>_xll.LVCELL($S$93,AC$93,$S173,$T$92,$S$94,$S$95,$S$96,$S$97,$S$98,$T$93)-AC76</f>
        <v>-2145239.2929905965</v>
      </c>
      <c r="AD173" s="172">
        <f>_xll.LVCELL($S$93,AD$93,$S173,$T$92,$S$94,$S$95,$S$96,$S$97,$S$98,$T$93)-AD76</f>
        <v>-2881491.8074264564</v>
      </c>
      <c r="AE173" s="172">
        <f>_xll.LVCELL($S$93,AE$93,$S173,$T$92,$S$94,$S$95,$S$96,$S$97,$S$98,$T$93)-AE76</f>
        <v>-2830067.2611227003</v>
      </c>
      <c r="AF173" s="172">
        <f>_xll.LVCELL($S$93,AF$93,$S173,$T$92,$S$94,$S$95,$S$96,$S$97,$S$98,$T$93)-AF76</f>
        <v>1584777.7940440611</v>
      </c>
    </row>
    <row r="174" spans="17:32">
      <c r="Q174" s="65"/>
      <c r="R174" s="65"/>
      <c r="S174" s="64" t="s">
        <v>3086</v>
      </c>
      <c r="T174" s="68" t="str">
        <f>_xll.LVDESC("entities",$S174,$U$97)</f>
        <v>LVDESC: Symbole non valide toteurecoc</v>
      </c>
      <c r="U174" s="172" t="e">
        <f>_xll.LVCELL($S$93,U$93,$S174,$T$92,$S$94,$S$95,$S$96,$S$97,$S$98,$T$93)-U77</f>
        <v>#VALUE!</v>
      </c>
      <c r="V174" s="172" t="e">
        <f>_xll.LVCELL($S$93,V$93,$S174,$T$92,$S$94,$S$95,$S$96,$S$97,$S$98,$T$93)-V77</f>
        <v>#VALUE!</v>
      </c>
      <c r="W174" s="172" t="e">
        <f>_xll.LVCELL($S$93,W$93,$S174,$T$92,$S$94,$S$95,$S$96,$S$97,$S$98,$T$93)-W77</f>
        <v>#VALUE!</v>
      </c>
      <c r="X174" s="172" t="e">
        <f>_xll.LVCELL($S$93,X$93,$S174,$T$92,$S$94,$S$95,$S$96,$S$97,$S$98,$T$93)-X77</f>
        <v>#VALUE!</v>
      </c>
      <c r="Y174" s="172" t="e">
        <f>_xll.LVCELL($S$93,Y$93,$S174,$T$92,$S$94,$S$95,$S$96,$S$97,$S$98,$T$93)-Y77</f>
        <v>#VALUE!</v>
      </c>
      <c r="Z174" s="172" t="e">
        <f>_xll.LVCELL($S$93,Z$93,$S174,$T$92,$S$94,$S$95,$S$96,$S$97,$S$98,$T$93)-Z77</f>
        <v>#VALUE!</v>
      </c>
      <c r="AA174" s="172" t="e">
        <f>_xll.LVCELL($S$93,AA$93,$S174,$T$92,$S$94,$S$95,$S$96,$S$97,$S$98,$T$93)-AA77</f>
        <v>#VALUE!</v>
      </c>
      <c r="AB174" s="172" t="e">
        <f>_xll.LVCELL($S$93,AB$93,$S174,$T$92,$S$94,$S$95,$S$96,$S$97,$S$98,$T$93)-AB77</f>
        <v>#VALUE!</v>
      </c>
      <c r="AC174" s="172" t="e">
        <f>_xll.LVCELL($S$93,AC$93,$S174,$T$92,$S$94,$S$95,$S$96,$S$97,$S$98,$T$93)-AC77</f>
        <v>#VALUE!</v>
      </c>
      <c r="AD174" s="172" t="e">
        <f>_xll.LVCELL($S$93,AD$93,$S174,$T$92,$S$94,$S$95,$S$96,$S$97,$S$98,$T$93)-AD77</f>
        <v>#VALUE!</v>
      </c>
      <c r="AE174" s="172" t="e">
        <f>_xll.LVCELL($S$93,AE$93,$S174,$T$92,$S$94,$S$95,$S$96,$S$97,$S$98,$T$93)-AE77</f>
        <v>#VALUE!</v>
      </c>
      <c r="AF174" s="172" t="e">
        <f>_xll.LVCELL($S$93,AF$93,$S174,$T$92,$S$94,$S$95,$S$96,$S$97,$S$98,$T$93)-AF77</f>
        <v>#VALUE!</v>
      </c>
    </row>
    <row r="175" spans="17:32">
      <c r="Q175" s="65"/>
      <c r="R175" s="65"/>
      <c r="S175" s="64"/>
      <c r="T175" s="68"/>
      <c r="U175" s="173"/>
      <c r="V175" s="173"/>
      <c r="W175" s="173"/>
      <c r="X175" s="173"/>
      <c r="Y175" s="173"/>
      <c r="Z175" s="173"/>
      <c r="AA175" s="173"/>
      <c r="AB175" s="173"/>
      <c r="AC175" s="173"/>
      <c r="AD175" s="173"/>
      <c r="AE175" s="173"/>
      <c r="AF175" s="173"/>
    </row>
    <row r="176" spans="17:32">
      <c r="Q176" s="65"/>
      <c r="R176" s="65"/>
      <c r="S176" s="64"/>
      <c r="T176" s="68"/>
      <c r="U176" s="173"/>
      <c r="V176" s="173"/>
      <c r="W176" s="173"/>
      <c r="X176" s="173"/>
      <c r="Y176" s="173"/>
      <c r="Z176" s="173"/>
      <c r="AA176" s="173"/>
      <c r="AB176" s="173"/>
      <c r="AC176" s="173"/>
      <c r="AD176" s="173"/>
      <c r="AE176" s="173"/>
      <c r="AF176" s="173"/>
    </row>
    <row r="177" spans="17:32">
      <c r="Q177" s="65"/>
      <c r="R177" s="65"/>
      <c r="S177" s="64"/>
      <c r="T177" s="68"/>
      <c r="U177" s="173"/>
      <c r="V177" s="173"/>
      <c r="W177" s="173"/>
      <c r="X177" s="173"/>
      <c r="Y177" s="173"/>
      <c r="Z177" s="173"/>
      <c r="AA177" s="173"/>
      <c r="AB177" s="173"/>
      <c r="AC177" s="173"/>
      <c r="AD177" s="173"/>
      <c r="AE177" s="173"/>
      <c r="AF177" s="173"/>
    </row>
    <row r="178" spans="17:32">
      <c r="Q178" s="65"/>
      <c r="R178" s="65"/>
      <c r="S178" s="64"/>
      <c r="T178" s="68"/>
      <c r="U178" s="173"/>
      <c r="V178" s="173"/>
      <c r="W178" s="173"/>
      <c r="X178" s="173"/>
      <c r="Y178" s="173"/>
      <c r="Z178" s="173"/>
      <c r="AA178" s="173"/>
      <c r="AB178" s="173"/>
      <c r="AC178" s="173"/>
      <c r="AD178" s="173"/>
      <c r="AE178" s="173"/>
      <c r="AF178" s="173"/>
    </row>
    <row r="179" spans="17:32">
      <c r="Q179" s="65"/>
      <c r="R179" s="65"/>
      <c r="S179" s="64"/>
      <c r="T179" s="68"/>
      <c r="U179" s="173"/>
      <c r="V179" s="173"/>
      <c r="W179" s="173"/>
      <c r="X179" s="173"/>
      <c r="Y179" s="173"/>
      <c r="Z179" s="173"/>
      <c r="AA179" s="173"/>
      <c r="AB179" s="173"/>
      <c r="AC179" s="173"/>
      <c r="AD179" s="173"/>
      <c r="AE179" s="173"/>
      <c r="AF179" s="173"/>
    </row>
    <row r="180" spans="17:32">
      <c r="Q180" s="65"/>
      <c r="R180" s="65"/>
      <c r="S180" s="64"/>
      <c r="T180" s="68"/>
      <c r="U180" s="173"/>
      <c r="V180" s="173"/>
      <c r="W180" s="173"/>
      <c r="X180" s="173"/>
      <c r="Y180" s="173"/>
      <c r="Z180" s="173"/>
      <c r="AA180" s="173"/>
      <c r="AB180" s="173"/>
      <c r="AC180" s="173"/>
      <c r="AD180" s="173"/>
      <c r="AE180" s="173"/>
      <c r="AF180" s="173"/>
    </row>
    <row r="181" spans="17:32">
      <c r="Q181" s="65"/>
      <c r="R181" s="65"/>
      <c r="S181" s="64"/>
      <c r="T181" s="68"/>
      <c r="U181" s="173"/>
      <c r="V181" s="173"/>
      <c r="W181" s="173"/>
      <c r="X181" s="173"/>
      <c r="Y181" s="173"/>
      <c r="Z181" s="173"/>
      <c r="AA181" s="173"/>
      <c r="AB181" s="173"/>
      <c r="AC181" s="173"/>
      <c r="AD181" s="173"/>
      <c r="AE181" s="173"/>
      <c r="AF181" s="173"/>
    </row>
    <row r="182" spans="17:32">
      <c r="Q182" s="65"/>
      <c r="R182" s="65"/>
      <c r="S182" s="64"/>
      <c r="T182" s="68"/>
      <c r="U182" s="173"/>
      <c r="V182" s="173"/>
      <c r="W182" s="173"/>
      <c r="X182" s="173"/>
      <c r="Y182" s="173"/>
      <c r="Z182" s="173"/>
      <c r="AA182" s="173"/>
      <c r="AB182" s="173"/>
      <c r="AC182" s="173"/>
      <c r="AD182" s="173"/>
      <c r="AE182" s="173"/>
      <c r="AF182" s="173"/>
    </row>
    <row r="183" spans="17:32">
      <c r="Q183" s="65"/>
      <c r="R183" s="65"/>
      <c r="S183" s="64"/>
      <c r="T183" s="68"/>
      <c r="U183" s="173"/>
      <c r="V183" s="173"/>
      <c r="W183" s="173"/>
      <c r="X183" s="173"/>
      <c r="Y183" s="173"/>
      <c r="Z183" s="173"/>
      <c r="AA183" s="173"/>
      <c r="AB183" s="173"/>
      <c r="AC183" s="173"/>
      <c r="AD183" s="173"/>
      <c r="AE183" s="173"/>
      <c r="AF183" s="173"/>
    </row>
    <row r="184" spans="17:32">
      <c r="Q184" s="65"/>
      <c r="R184" s="65"/>
      <c r="S184" s="64"/>
      <c r="T184" s="68"/>
      <c r="U184" s="173"/>
      <c r="V184" s="173"/>
      <c r="W184" s="173"/>
      <c r="X184" s="173"/>
      <c r="Y184" s="173"/>
      <c r="Z184" s="173"/>
      <c r="AA184" s="173"/>
      <c r="AB184" s="173"/>
      <c r="AC184" s="173"/>
      <c r="AD184" s="173"/>
      <c r="AE184" s="173"/>
      <c r="AF184" s="173"/>
    </row>
    <row r="185" spans="17:32">
      <c r="Q185" s="65"/>
      <c r="R185" s="65"/>
      <c r="S185" s="107"/>
      <c r="T185" s="68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3"/>
      <c r="AF185" s="173"/>
    </row>
    <row r="186" spans="17:32">
      <c r="Q186" s="65"/>
      <c r="R186" s="65"/>
      <c r="S186" s="107"/>
      <c r="T186" s="68"/>
      <c r="U186" s="174"/>
      <c r="V186" s="174"/>
      <c r="W186" s="174"/>
      <c r="X186" s="174"/>
      <c r="Y186" s="174"/>
      <c r="Z186" s="174"/>
      <c r="AA186" s="173"/>
      <c r="AB186" s="173"/>
      <c r="AC186" s="173"/>
      <c r="AD186" s="173"/>
      <c r="AE186" s="173"/>
      <c r="AF186" s="173"/>
    </row>
    <row r="187" spans="17:32">
      <c r="Q187" s="65"/>
      <c r="R187" s="65"/>
      <c r="S187" s="107"/>
      <c r="T187" s="68"/>
      <c r="U187" s="174"/>
      <c r="V187" s="174"/>
      <c r="W187" s="174"/>
      <c r="X187" s="174"/>
      <c r="Y187" s="174"/>
      <c r="Z187" s="174"/>
      <c r="AA187" s="174"/>
      <c r="AB187" s="174"/>
      <c r="AC187" s="173"/>
      <c r="AD187" s="173"/>
      <c r="AE187" s="173"/>
      <c r="AF187" s="173"/>
    </row>
    <row r="188" spans="17:32">
      <c r="Q188" s="65"/>
      <c r="R188" s="65"/>
      <c r="S188" s="107"/>
      <c r="T188" s="128"/>
      <c r="U188" s="174"/>
      <c r="V188" s="174"/>
      <c r="W188" s="174"/>
      <c r="X188" s="174"/>
      <c r="Y188" s="174"/>
      <c r="Z188" s="174"/>
      <c r="AA188" s="173"/>
      <c r="AB188" s="173"/>
      <c r="AC188" s="173"/>
      <c r="AD188" s="173"/>
      <c r="AE188" s="173"/>
      <c r="AF188" s="173"/>
    </row>
    <row r="189" spans="17:32">
      <c r="Q189" s="65"/>
      <c r="R189" s="65"/>
      <c r="S189" s="107"/>
      <c r="T189" s="128"/>
      <c r="U189" s="174"/>
      <c r="V189" s="174"/>
      <c r="W189" s="174"/>
      <c r="X189" s="174"/>
      <c r="Y189" s="174"/>
      <c r="Z189" s="174"/>
      <c r="AA189" s="173"/>
      <c r="AB189" s="173"/>
      <c r="AC189" s="173"/>
      <c r="AD189" s="173"/>
      <c r="AE189" s="173"/>
      <c r="AF189" s="173"/>
    </row>
    <row r="190" spans="17:32">
      <c r="Q190" s="65"/>
      <c r="R190" s="65"/>
      <c r="S190" s="107"/>
      <c r="T190" s="129"/>
      <c r="U190" s="174"/>
      <c r="V190" s="173"/>
      <c r="W190" s="173"/>
      <c r="X190" s="173"/>
      <c r="Y190" s="173"/>
      <c r="Z190" s="173"/>
      <c r="AA190" s="173"/>
      <c r="AB190" s="173"/>
      <c r="AC190" s="173"/>
      <c r="AD190" s="173"/>
      <c r="AE190" s="173"/>
      <c r="AF190" s="173"/>
    </row>
    <row r="191" spans="17:32">
      <c r="Q191" s="65"/>
      <c r="R191" s="65"/>
      <c r="S191" s="107"/>
      <c r="T191" s="129"/>
      <c r="U191" s="174"/>
      <c r="V191" s="173"/>
      <c r="W191" s="173"/>
      <c r="X191" s="173"/>
      <c r="Y191" s="173"/>
      <c r="Z191" s="173"/>
      <c r="AA191" s="173"/>
      <c r="AB191" s="173"/>
      <c r="AC191" s="173"/>
      <c r="AD191" s="173"/>
      <c r="AE191" s="173"/>
      <c r="AF191" s="173"/>
    </row>
    <row r="192" spans="17:32">
      <c r="Q192" s="65"/>
      <c r="R192" s="65"/>
      <c r="S192" s="64"/>
      <c r="T192" s="68"/>
      <c r="U192" s="173"/>
      <c r="V192" s="173"/>
      <c r="W192" s="173"/>
      <c r="X192" s="173"/>
      <c r="Y192" s="173"/>
      <c r="Z192" s="173"/>
      <c r="AA192" s="173"/>
      <c r="AB192" s="173"/>
      <c r="AC192" s="173"/>
      <c r="AD192" s="173"/>
      <c r="AE192" s="173"/>
      <c r="AF192" s="173"/>
    </row>
    <row r="193" spans="17:32">
      <c r="Q193" s="65"/>
      <c r="R193" s="65"/>
      <c r="S193" s="64"/>
      <c r="T193" s="68"/>
      <c r="U193" s="173"/>
      <c r="V193" s="173"/>
      <c r="W193" s="173"/>
      <c r="X193" s="173"/>
      <c r="Y193" s="173"/>
      <c r="Z193" s="173"/>
      <c r="AA193" s="173"/>
      <c r="AB193" s="173"/>
      <c r="AC193" s="173"/>
      <c r="AD193" s="173"/>
      <c r="AE193" s="173"/>
      <c r="AF193" s="173"/>
    </row>
    <row r="194" spans="17:32">
      <c r="Q194" s="65"/>
      <c r="R194" s="65"/>
      <c r="S194" s="64"/>
      <c r="T194" s="68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</row>
    <row r="195" spans="17:32">
      <c r="Q195" s="65"/>
      <c r="R195" s="65"/>
      <c r="S195" s="64"/>
      <c r="T195" s="68">
        <v>0</v>
      </c>
      <c r="U195" s="116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8"/>
    </row>
    <row r="196" spans="17:32">
      <c r="Q196" s="65"/>
      <c r="R196" s="65"/>
      <c r="S196" s="64"/>
      <c r="T196" s="68">
        <v>0</v>
      </c>
      <c r="U196" s="116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8"/>
    </row>
    <row r="197" spans="17:32">
      <c r="Q197" s="65"/>
      <c r="R197" s="65"/>
      <c r="S197" s="64"/>
      <c r="T197" s="68">
        <v>0</v>
      </c>
      <c r="U197" s="116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8"/>
    </row>
    <row r="198" spans="17:32">
      <c r="Q198" s="65"/>
      <c r="R198" s="65"/>
      <c r="S198" s="110"/>
      <c r="T198" s="68">
        <v>0</v>
      </c>
      <c r="U198" s="116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8"/>
    </row>
    <row r="199" spans="17:32">
      <c r="Q199" s="65"/>
      <c r="R199" s="65"/>
      <c r="S199" s="4"/>
      <c r="T199" s="68">
        <v>0</v>
      </c>
      <c r="U199" s="116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8"/>
    </row>
    <row r="200" spans="17:32">
      <c r="Q200" s="65"/>
      <c r="R200" s="65"/>
      <c r="S200" s="64"/>
      <c r="T200" s="68">
        <v>0</v>
      </c>
      <c r="U200" s="116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8"/>
    </row>
    <row r="201" spans="17:32">
      <c r="Q201" s="65"/>
      <c r="R201" s="65"/>
      <c r="S201" s="64"/>
      <c r="T201" s="68">
        <v>0</v>
      </c>
      <c r="U201" s="116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8"/>
    </row>
    <row r="202" spans="17:32">
      <c r="Q202" s="65"/>
      <c r="R202" s="65"/>
      <c r="S202" s="64"/>
      <c r="T202" s="68">
        <v>0</v>
      </c>
      <c r="U202" s="116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8"/>
    </row>
    <row r="203" spans="17:32">
      <c r="Q203" s="65"/>
      <c r="R203" s="65"/>
      <c r="S203" s="64"/>
      <c r="T203" s="68">
        <v>0</v>
      </c>
      <c r="U203" s="116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8"/>
    </row>
    <row r="204" spans="17:32" ht="15.75" thickBot="1">
      <c r="Q204" s="65"/>
      <c r="R204" s="64"/>
      <c r="S204" s="64"/>
      <c r="T204" s="68">
        <v>0</v>
      </c>
      <c r="U204" s="176"/>
      <c r="V204" s="177"/>
      <c r="W204" s="177"/>
      <c r="X204" s="177"/>
      <c r="Y204" s="177"/>
      <c r="Z204" s="177"/>
      <c r="AA204" s="177"/>
      <c r="AB204" s="177"/>
      <c r="AC204" s="177"/>
      <c r="AD204" s="177"/>
      <c r="AE204" s="177"/>
      <c r="AF204" s="178"/>
    </row>
    <row r="205" spans="17:32" ht="15.75" thickBot="1">
      <c r="Q205" s="65"/>
      <c r="R205" s="64"/>
      <c r="S205" s="64"/>
      <c r="T205" s="90" t="s">
        <v>571</v>
      </c>
      <c r="U205" s="179" t="e">
        <f t="shared" ref="U205:AF205" si="17">SUM(U102:U204)</f>
        <v>#VALUE!</v>
      </c>
      <c r="V205" s="179" t="e">
        <f t="shared" si="17"/>
        <v>#VALUE!</v>
      </c>
      <c r="W205" s="179" t="e">
        <f t="shared" si="17"/>
        <v>#VALUE!</v>
      </c>
      <c r="X205" s="179" t="e">
        <f t="shared" si="17"/>
        <v>#VALUE!</v>
      </c>
      <c r="Y205" s="179" t="e">
        <f t="shared" si="17"/>
        <v>#VALUE!</v>
      </c>
      <c r="Z205" s="179" t="e">
        <f t="shared" si="17"/>
        <v>#VALUE!</v>
      </c>
      <c r="AA205" s="179" t="e">
        <f t="shared" si="17"/>
        <v>#VALUE!</v>
      </c>
      <c r="AB205" s="179" t="e">
        <f t="shared" si="17"/>
        <v>#VALUE!</v>
      </c>
      <c r="AC205" s="179" t="e">
        <f t="shared" si="17"/>
        <v>#VALUE!</v>
      </c>
      <c r="AD205" s="179" t="e">
        <f t="shared" si="17"/>
        <v>#VALUE!</v>
      </c>
      <c r="AE205" s="179" t="e">
        <f t="shared" si="17"/>
        <v>#VALUE!</v>
      </c>
      <c r="AF205" s="180" t="e">
        <f t="shared" si="17"/>
        <v>#VALUE!</v>
      </c>
    </row>
    <row r="206" spans="17:32" ht="15.75" thickBot="1">
      <c r="Q206" s="64"/>
      <c r="R206" s="64"/>
      <c r="S206" s="64"/>
      <c r="T206" s="90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</row>
    <row r="207" spans="17:32"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</row>
    <row r="208" spans="17:32">
      <c r="Q208" s="64"/>
      <c r="R208" s="64"/>
      <c r="S208" s="64"/>
      <c r="T208" s="95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</row>
    <row r="209" spans="17:32"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</row>
    <row r="210" spans="17:32">
      <c r="Q210" s="64"/>
      <c r="R210" s="64"/>
      <c r="S210" s="64"/>
      <c r="T210" s="97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</row>
    <row r="211" spans="17:32">
      <c r="Q211" s="64"/>
    </row>
    <row r="212" spans="17:32">
      <c r="Q212" s="64"/>
    </row>
  </sheetData>
  <pageMargins left="0.7" right="0.7" top="0.75" bottom="0.75" header="0.3" footer="0.3"/>
  <pageSetup paperSize="9" orientation="portrait" r:id="rId2"/>
  <customProperties>
    <customPr name="Longview.RefreshTimestamp" r:id="rId3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63445-B1DC-4B61-89C8-56D57B6E988E}">
  <sheetPr>
    <tabColor rgb="FF92D050"/>
  </sheetPr>
  <dimension ref="A1:GC138"/>
  <sheetViews>
    <sheetView topLeftCell="CA9" zoomScale="80" zoomScaleNormal="80" workbookViewId="0">
      <pane ySplit="3" topLeftCell="A12" activePane="bottomLeft" state="frozen"/>
      <selection activeCell="FG9" sqref="FG9"/>
      <selection pane="bottomLeft" activeCell="CJ17" sqref="CJ17"/>
    </sheetView>
  </sheetViews>
  <sheetFormatPr baseColWidth="10" defaultColWidth="11.42578125" defaultRowHeight="12.75" outlineLevelRow="1" outlineLevelCol="2"/>
  <cols>
    <col min="1" max="1" width="7.140625" style="64" customWidth="1"/>
    <col min="2" max="2" width="16.42578125" style="64" customWidth="1"/>
    <col min="3" max="3" width="16.7109375" style="64" customWidth="1"/>
    <col min="4" max="4" width="44.42578125" style="64" customWidth="1"/>
    <col min="5" max="5" width="11.5703125" style="154" customWidth="1" outlineLevel="1"/>
    <col min="6" max="6" width="17" style="64" customWidth="1" outlineLevel="2"/>
    <col min="7" max="7" width="17" style="64" customWidth="1" outlineLevel="2" collapsed="1"/>
    <col min="8" max="9" width="17" style="64" customWidth="1" outlineLevel="2"/>
    <col min="10" max="10" width="17" style="64" customWidth="1" outlineLevel="2" collapsed="1"/>
    <col min="11" max="17" width="17" style="64" customWidth="1" outlineLevel="2"/>
    <col min="18" max="18" width="20.85546875" style="64" customWidth="1" outlineLevel="1"/>
    <col min="19" max="19" width="82" style="64" customWidth="1" outlineLevel="1"/>
    <col min="20" max="20" width="15.28515625" style="64" customWidth="1" outlineLevel="1"/>
    <col min="21" max="21" width="9.28515625" style="64" customWidth="1" outlineLevel="1"/>
    <col min="22" max="22" width="5.7109375" style="64" customWidth="1" outlineLevel="1"/>
    <col min="23" max="23" width="14.28515625" style="64" customWidth="1" outlineLevel="1"/>
    <col min="24" max="24" width="51" style="64" customWidth="1" outlineLevel="1"/>
    <col min="25" max="25" width="12.42578125" style="64" customWidth="1" outlineLevel="1"/>
    <col min="26" max="26" width="12.42578125" style="64" customWidth="1" outlineLevel="1" collapsed="1"/>
    <col min="27" max="27" width="12.28515625" style="64" customWidth="1" outlineLevel="1" collapsed="1"/>
    <col min="28" max="28" width="12.28515625" style="64" customWidth="1" outlineLevel="1"/>
    <col min="29" max="29" width="15.42578125" style="64" customWidth="1" outlineLevel="1"/>
    <col min="30" max="30" width="12.7109375" style="64" customWidth="1" outlineLevel="1"/>
    <col min="31" max="35" width="12.140625" style="64" customWidth="1" outlineLevel="1"/>
    <col min="36" max="36" width="12.5703125" style="64" customWidth="1" outlineLevel="1"/>
    <col min="37" max="37" width="60.140625" style="64" customWidth="1" outlineLevel="1"/>
    <col min="38" max="42" width="8.85546875" style="64" customWidth="1" outlineLevel="1"/>
    <col min="43" max="43" width="52.42578125" style="64" customWidth="1" outlineLevel="1"/>
    <col min="44" max="55" width="8.85546875" style="64" customWidth="1" outlineLevel="1"/>
    <col min="56" max="56" width="21.7109375" style="64" customWidth="1" outlineLevel="1"/>
    <col min="57" max="61" width="8.85546875" style="64" customWidth="1" outlineLevel="1"/>
    <col min="62" max="62" width="50.7109375" style="64" customWidth="1" outlineLevel="1"/>
    <col min="63" max="63" width="10.140625" style="64" customWidth="1" outlineLevel="1"/>
    <col min="64" max="64" width="13.7109375" style="64" customWidth="1" outlineLevel="1"/>
    <col min="65" max="72" width="10.140625" style="64" customWidth="1" outlineLevel="1"/>
    <col min="73" max="74" width="9.85546875" style="64" customWidth="1" outlineLevel="1"/>
    <col min="75" max="75" width="50.140625" style="64" customWidth="1" outlineLevel="1"/>
    <col min="76" max="79" width="8.85546875" style="64" customWidth="1" outlineLevel="1"/>
    <col min="80" max="80" width="14.28515625" style="64" customWidth="1" outlineLevel="1"/>
    <col min="81" max="81" width="50.7109375" style="64" customWidth="1" outlineLevel="1"/>
    <col min="82" max="82" width="12.7109375" style="64" customWidth="1" outlineLevel="1"/>
    <col min="83" max="83" width="12.7109375" style="64" customWidth="1" outlineLevel="1" collapsed="1"/>
    <col min="84" max="84" width="13.28515625" style="64" customWidth="1" outlineLevel="1" collapsed="1"/>
    <col min="85" max="85" width="12.140625" style="64" customWidth="1" outlineLevel="1"/>
    <col min="86" max="86" width="15.7109375" style="64" customWidth="1" outlineLevel="1"/>
    <col min="87" max="87" width="13" style="64" customWidth="1" outlineLevel="1"/>
    <col min="88" max="88" width="12.7109375" style="64" customWidth="1" outlineLevel="1"/>
    <col min="89" max="91" width="12.28515625" style="64" customWidth="1" outlineLevel="1"/>
    <col min="92" max="92" width="14.28515625" style="64" customWidth="1" outlineLevel="1"/>
    <col min="93" max="93" width="12.7109375" style="64" customWidth="1" outlineLevel="1"/>
    <col min="94" max="94" width="60.140625" style="64" customWidth="1" outlineLevel="1"/>
    <col min="95" max="95" width="8.85546875" style="64" customWidth="1" outlineLevel="1"/>
    <col min="96" max="96" width="11.5703125" style="64" customWidth="1" outlineLevel="1"/>
    <col min="97" max="97" width="7.5703125" style="64" customWidth="1" outlineLevel="1"/>
    <col min="98" max="98" width="6.28515625" style="64" customWidth="1" outlineLevel="1"/>
    <col min="99" max="99" width="14.28515625" style="64" customWidth="1" outlineLevel="1"/>
    <col min="100" max="100" width="52" style="64" customWidth="1" outlineLevel="1"/>
    <col min="101" max="111" width="15.42578125" style="64" customWidth="1" outlineLevel="2"/>
    <col min="112" max="112" width="18.140625" style="64" customWidth="1" outlineLevel="2" collapsed="1"/>
    <col min="113" max="113" width="19.85546875" style="64" customWidth="1" outlineLevel="1"/>
    <col min="114" max="114" width="18.42578125" style="64" customWidth="1" outlineLevel="1"/>
    <col min="115" max="115" width="17.42578125" style="64" customWidth="1" outlineLevel="1"/>
    <col min="116" max="116" width="13" style="64" customWidth="1" outlineLevel="1"/>
    <col min="117" max="117" width="14.85546875" style="64" customWidth="1" outlineLevel="1"/>
    <col min="118" max="118" width="11.42578125" style="64" customWidth="1" outlineLevel="1"/>
    <col min="119" max="119" width="11.42578125" style="64" customWidth="1"/>
    <col min="120" max="120" width="17.7109375" style="64" customWidth="1"/>
    <col min="121" max="121" width="44.28515625" style="64" customWidth="1"/>
    <col min="122" max="137" width="11.42578125" style="64" bestFit="1"/>
    <col min="138" max="138" width="34" style="64" customWidth="1"/>
    <col min="139" max="150" width="18.85546875" style="64" bestFit="1" customWidth="1"/>
    <col min="151" max="151" width="11.42578125" style="64" bestFit="1"/>
    <col min="152" max="152" width="11.42578125" style="64" customWidth="1" outlineLevel="1"/>
    <col min="153" max="153" width="11.42578125" style="64" bestFit="1"/>
    <col min="154" max="154" width="17.7109375" style="64" customWidth="1"/>
    <col min="155" max="155" width="38.5703125" style="64" customWidth="1"/>
    <col min="156" max="167" width="12.85546875" style="64" bestFit="1" customWidth="1"/>
    <col min="168" max="168" width="11.85546875" style="64" bestFit="1" customWidth="1"/>
    <col min="169" max="169" width="11.42578125" style="64" customWidth="1" outlineLevel="1"/>
    <col min="170" max="170" width="11.42578125" style="64"/>
    <col min="171" max="171" width="17.7109375" style="64" customWidth="1"/>
    <col min="172" max="172" width="40.28515625" style="64" customWidth="1"/>
    <col min="173" max="184" width="12.85546875" style="64" bestFit="1" customWidth="1"/>
    <col min="185" max="16384" width="11.42578125" style="64"/>
  </cols>
  <sheetData>
    <row r="1" spans="1:184" hidden="1" outlineLevel="1">
      <c r="C1" s="64" t="s">
        <v>511</v>
      </c>
      <c r="D1" s="64" t="s">
        <v>505</v>
      </c>
      <c r="E1" s="154" t="s">
        <v>2597</v>
      </c>
      <c r="F1" s="64" t="s">
        <v>3380</v>
      </c>
      <c r="G1" s="64" t="s">
        <v>3381</v>
      </c>
      <c r="H1" s="64" t="s">
        <v>3382</v>
      </c>
      <c r="I1" s="64" t="s">
        <v>3383</v>
      </c>
      <c r="J1" s="64" t="s">
        <v>3384</v>
      </c>
      <c r="K1" s="64" t="s">
        <v>3385</v>
      </c>
      <c r="L1" s="64" t="s">
        <v>3386</v>
      </c>
      <c r="M1" s="64" t="s">
        <v>3387</v>
      </c>
      <c r="N1" s="64" t="s">
        <v>3388</v>
      </c>
      <c r="O1" s="64" t="s">
        <v>3389</v>
      </c>
      <c r="P1" s="64" t="s">
        <v>3390</v>
      </c>
      <c r="Q1" s="64" t="s">
        <v>3391</v>
      </c>
      <c r="DP1" s="64" t="s">
        <v>511</v>
      </c>
      <c r="DQ1" s="64" t="s">
        <v>505</v>
      </c>
      <c r="DR1" s="64" t="s">
        <v>3380</v>
      </c>
      <c r="DS1" s="64" t="s">
        <v>3381</v>
      </c>
      <c r="DT1" s="64" t="s">
        <v>3382</v>
      </c>
      <c r="DU1" s="64" t="s">
        <v>3383</v>
      </c>
      <c r="DV1" s="64" t="s">
        <v>3384</v>
      </c>
      <c r="DW1" s="64" t="s">
        <v>3385</v>
      </c>
      <c r="DX1" s="64" t="s">
        <v>3386</v>
      </c>
      <c r="DY1" s="64" t="s">
        <v>3387</v>
      </c>
      <c r="DZ1" s="64" t="s">
        <v>3388</v>
      </c>
      <c r="EA1" s="64" t="s">
        <v>3389</v>
      </c>
      <c r="EB1" s="64" t="s">
        <v>3390</v>
      </c>
      <c r="EC1" s="64" t="s">
        <v>3391</v>
      </c>
      <c r="EG1" s="64" t="s">
        <v>511</v>
      </c>
      <c r="EH1" s="64" t="s">
        <v>505</v>
      </c>
      <c r="EI1" s="64" t="s">
        <v>3380</v>
      </c>
      <c r="EJ1" s="64" t="s">
        <v>3381</v>
      </c>
      <c r="EK1" s="64" t="s">
        <v>3382</v>
      </c>
      <c r="EL1" s="64" t="s">
        <v>3383</v>
      </c>
      <c r="EM1" s="64" t="s">
        <v>3384</v>
      </c>
      <c r="EN1" s="64" t="s">
        <v>3385</v>
      </c>
      <c r="EO1" s="64" t="s">
        <v>3386</v>
      </c>
      <c r="EP1" s="64" t="s">
        <v>3387</v>
      </c>
      <c r="EQ1" s="64" t="s">
        <v>3388</v>
      </c>
      <c r="ER1" s="64" t="s">
        <v>3389</v>
      </c>
      <c r="ES1" s="64" t="s">
        <v>3390</v>
      </c>
      <c r="ET1" s="64" t="s">
        <v>3391</v>
      </c>
      <c r="EX1" s="64" t="s">
        <v>511</v>
      </c>
      <c r="EY1" s="64" t="s">
        <v>505</v>
      </c>
      <c r="EZ1" s="64" t="s">
        <v>3380</v>
      </c>
      <c r="FA1" s="64" t="s">
        <v>3381</v>
      </c>
      <c r="FB1" s="64" t="s">
        <v>3382</v>
      </c>
      <c r="FC1" s="64" t="s">
        <v>3383</v>
      </c>
      <c r="FD1" s="64" t="s">
        <v>3384</v>
      </c>
      <c r="FE1" s="64" t="s">
        <v>3385</v>
      </c>
      <c r="FF1" s="64" t="s">
        <v>3386</v>
      </c>
      <c r="FG1" s="64" t="s">
        <v>3387</v>
      </c>
      <c r="FH1" s="64" t="s">
        <v>3388</v>
      </c>
      <c r="FI1" s="64" t="s">
        <v>3389</v>
      </c>
      <c r="FJ1" s="64" t="s">
        <v>3390</v>
      </c>
      <c r="FK1" s="64" t="s">
        <v>3391</v>
      </c>
      <c r="FO1" s="64" t="s">
        <v>511</v>
      </c>
      <c r="FP1" s="64" t="s">
        <v>505</v>
      </c>
      <c r="FQ1" s="64" t="s">
        <v>3380</v>
      </c>
      <c r="FR1" s="64" t="s">
        <v>3381</v>
      </c>
      <c r="FS1" s="64" t="s">
        <v>3382</v>
      </c>
      <c r="FT1" s="64" t="s">
        <v>3383</v>
      </c>
      <c r="FU1" s="64" t="s">
        <v>3384</v>
      </c>
      <c r="FV1" s="64" t="s">
        <v>3385</v>
      </c>
      <c r="FW1" s="64" t="s">
        <v>3386</v>
      </c>
      <c r="FX1" s="64" t="s">
        <v>3387</v>
      </c>
      <c r="FY1" s="64" t="s">
        <v>3388</v>
      </c>
      <c r="FZ1" s="64" t="s">
        <v>3389</v>
      </c>
      <c r="GA1" s="64" t="s">
        <v>3390</v>
      </c>
      <c r="GB1" s="64" t="s">
        <v>3391</v>
      </c>
    </row>
    <row r="2" spans="1:184" hidden="1" outlineLevel="1">
      <c r="C2" s="64" t="s">
        <v>512</v>
      </c>
      <c r="D2" s="64" t="s">
        <v>513</v>
      </c>
      <c r="E2" s="154" t="s">
        <v>3353</v>
      </c>
      <c r="F2" s="64" t="s">
        <v>3368</v>
      </c>
      <c r="G2" s="64" t="s">
        <v>3369</v>
      </c>
      <c r="H2" s="64" t="s">
        <v>3370</v>
      </c>
      <c r="I2" s="64" t="s">
        <v>3371</v>
      </c>
      <c r="J2" s="64" t="s">
        <v>3372</v>
      </c>
      <c r="K2" s="64" t="s">
        <v>3373</v>
      </c>
      <c r="L2" s="64" t="s">
        <v>3374</v>
      </c>
      <c r="M2" s="64" t="s">
        <v>3375</v>
      </c>
      <c r="N2" s="64" t="s">
        <v>3376</v>
      </c>
      <c r="O2" s="64" t="s">
        <v>3377</v>
      </c>
      <c r="P2" s="64" t="s">
        <v>3378</v>
      </c>
      <c r="Q2" s="64" t="s">
        <v>3379</v>
      </c>
      <c r="BK2" s="108"/>
      <c r="BL2" s="64" t="s">
        <v>3414</v>
      </c>
      <c r="DP2" s="64" t="s">
        <v>512</v>
      </c>
      <c r="DQ2" s="290" t="s">
        <v>513</v>
      </c>
      <c r="DR2" s="64" t="s">
        <v>3368</v>
      </c>
      <c r="DS2" s="64" t="s">
        <v>3369</v>
      </c>
      <c r="DT2" s="64" t="s">
        <v>3370</v>
      </c>
      <c r="DU2" s="64" t="s">
        <v>3371</v>
      </c>
      <c r="DV2" s="64" t="s">
        <v>3372</v>
      </c>
      <c r="DW2" s="64" t="s">
        <v>3373</v>
      </c>
      <c r="DX2" s="64" t="s">
        <v>3374</v>
      </c>
      <c r="DY2" s="64" t="s">
        <v>3375</v>
      </c>
      <c r="DZ2" s="64" t="s">
        <v>3376</v>
      </c>
      <c r="EA2" s="64" t="s">
        <v>3377</v>
      </c>
      <c r="EB2" s="64" t="s">
        <v>3378</v>
      </c>
      <c r="EC2" s="64" t="s">
        <v>3379</v>
      </c>
      <c r="EG2" s="64" t="s">
        <v>512</v>
      </c>
      <c r="EH2" s="64" t="s">
        <v>513</v>
      </c>
      <c r="EI2" s="64" t="s">
        <v>3368</v>
      </c>
      <c r="EJ2" s="64" t="s">
        <v>3369</v>
      </c>
      <c r="EK2" s="64" t="s">
        <v>3370</v>
      </c>
      <c r="EL2" s="64" t="s">
        <v>3371</v>
      </c>
      <c r="EM2" s="64" t="s">
        <v>3372</v>
      </c>
      <c r="EN2" s="64" t="s">
        <v>3373</v>
      </c>
      <c r="EO2" s="64" t="s">
        <v>3374</v>
      </c>
      <c r="EP2" s="64" t="s">
        <v>3375</v>
      </c>
      <c r="EQ2" s="64" t="s">
        <v>3376</v>
      </c>
      <c r="ER2" s="64" t="s">
        <v>3377</v>
      </c>
      <c r="ES2" s="64" t="s">
        <v>3378</v>
      </c>
      <c r="ET2" s="64" t="s">
        <v>3379</v>
      </c>
      <c r="EX2" s="64" t="s">
        <v>512</v>
      </c>
      <c r="EY2" s="64" t="s">
        <v>513</v>
      </c>
      <c r="EZ2" s="64" t="s">
        <v>3368</v>
      </c>
      <c r="FA2" s="64" t="s">
        <v>3369</v>
      </c>
      <c r="FB2" s="64" t="s">
        <v>3370</v>
      </c>
      <c r="FC2" s="64" t="s">
        <v>3371</v>
      </c>
      <c r="FD2" s="64" t="s">
        <v>3372</v>
      </c>
      <c r="FE2" s="64" t="s">
        <v>3373</v>
      </c>
      <c r="FF2" s="64" t="s">
        <v>3374</v>
      </c>
      <c r="FG2" s="64" t="s">
        <v>3375</v>
      </c>
      <c r="FH2" s="64" t="s">
        <v>3376</v>
      </c>
      <c r="FI2" s="64" t="s">
        <v>3377</v>
      </c>
      <c r="FJ2" s="64" t="s">
        <v>3378</v>
      </c>
      <c r="FK2" s="64" t="s">
        <v>3379</v>
      </c>
      <c r="FO2" s="64" t="s">
        <v>512</v>
      </c>
      <c r="FP2" s="64" t="s">
        <v>513</v>
      </c>
      <c r="FQ2" s="64" t="s">
        <v>3368</v>
      </c>
      <c r="FR2" s="64" t="s">
        <v>3369</v>
      </c>
      <c r="FS2" s="64" t="s">
        <v>3370</v>
      </c>
      <c r="FT2" s="64" t="s">
        <v>3371</v>
      </c>
      <c r="FU2" s="64" t="s">
        <v>3372</v>
      </c>
      <c r="FV2" s="64" t="s">
        <v>3373</v>
      </c>
      <c r="FW2" s="64" t="s">
        <v>3374</v>
      </c>
      <c r="FX2" s="64" t="s">
        <v>3375</v>
      </c>
      <c r="FY2" s="64" t="s">
        <v>3376</v>
      </c>
      <c r="FZ2" s="64" t="s">
        <v>3377</v>
      </c>
      <c r="GA2" s="64" t="s">
        <v>3378</v>
      </c>
      <c r="GB2" s="64" t="s">
        <v>3379</v>
      </c>
    </row>
    <row r="3" spans="1:184" hidden="1" outlineLevel="1">
      <c r="C3" s="64" t="s">
        <v>514</v>
      </c>
      <c r="D3" s="64" t="s">
        <v>510</v>
      </c>
      <c r="F3" s="64" t="s">
        <v>3356</v>
      </c>
      <c r="G3" s="64" t="s">
        <v>3357</v>
      </c>
      <c r="H3" s="64" t="s">
        <v>3358</v>
      </c>
      <c r="I3" s="64" t="s">
        <v>3359</v>
      </c>
      <c r="J3" s="64" t="s">
        <v>3360</v>
      </c>
      <c r="K3" s="64" t="s">
        <v>3361</v>
      </c>
      <c r="L3" s="64" t="s">
        <v>3362</v>
      </c>
      <c r="M3" s="64" t="s">
        <v>3363</v>
      </c>
      <c r="N3" s="64" t="s">
        <v>3364</v>
      </c>
      <c r="O3" s="64" t="s">
        <v>3365</v>
      </c>
      <c r="P3" s="64" t="s">
        <v>3366</v>
      </c>
      <c r="Q3" s="64" t="s">
        <v>3367</v>
      </c>
      <c r="BK3" s="569"/>
      <c r="BL3" s="64" t="s">
        <v>3407</v>
      </c>
      <c r="DP3" s="161" t="s">
        <v>2600</v>
      </c>
      <c r="DQ3" s="290" t="s">
        <v>2630</v>
      </c>
      <c r="DR3" s="64" t="s">
        <v>3356</v>
      </c>
      <c r="DS3" s="64" t="s">
        <v>3357</v>
      </c>
      <c r="DT3" s="64" t="s">
        <v>3358</v>
      </c>
      <c r="DU3" s="64" t="s">
        <v>3359</v>
      </c>
      <c r="DV3" s="64" t="s">
        <v>3360</v>
      </c>
      <c r="DW3" s="64" t="s">
        <v>3361</v>
      </c>
      <c r="DX3" s="64" t="s">
        <v>3362</v>
      </c>
      <c r="DY3" s="64" t="s">
        <v>3363</v>
      </c>
      <c r="DZ3" s="64" t="s">
        <v>3364</v>
      </c>
      <c r="EA3" s="64" t="s">
        <v>3365</v>
      </c>
      <c r="EB3" s="64" t="s">
        <v>3366</v>
      </c>
      <c r="EC3" s="64" t="s">
        <v>3367</v>
      </c>
      <c r="EG3" s="161" t="s">
        <v>511</v>
      </c>
      <c r="EH3" s="64" t="s">
        <v>2630</v>
      </c>
      <c r="EI3" s="64" t="s">
        <v>3356</v>
      </c>
      <c r="EJ3" s="64" t="s">
        <v>3357</v>
      </c>
      <c r="EK3" s="64" t="s">
        <v>3358</v>
      </c>
      <c r="EL3" s="64" t="s">
        <v>3359</v>
      </c>
      <c r="EM3" s="64" t="s">
        <v>3360</v>
      </c>
      <c r="EN3" s="64" t="s">
        <v>3361</v>
      </c>
      <c r="EO3" s="64" t="s">
        <v>3362</v>
      </c>
      <c r="EP3" s="64" t="s">
        <v>3363</v>
      </c>
      <c r="EQ3" s="64" t="s">
        <v>3364</v>
      </c>
      <c r="ER3" s="64" t="s">
        <v>3365</v>
      </c>
      <c r="ES3" s="64" t="s">
        <v>3366</v>
      </c>
      <c r="ET3" s="64" t="s">
        <v>3367</v>
      </c>
      <c r="EX3" s="161" t="s">
        <v>514</v>
      </c>
      <c r="EY3" s="64" t="s">
        <v>2630</v>
      </c>
      <c r="EZ3" s="64" t="s">
        <v>3356</v>
      </c>
      <c r="FA3" s="64" t="s">
        <v>3357</v>
      </c>
      <c r="FB3" s="64" t="s">
        <v>3358</v>
      </c>
      <c r="FC3" s="64" t="s">
        <v>3359</v>
      </c>
      <c r="FD3" s="64" t="s">
        <v>3360</v>
      </c>
      <c r="FE3" s="64" t="s">
        <v>3361</v>
      </c>
      <c r="FF3" s="64" t="s">
        <v>3362</v>
      </c>
      <c r="FG3" s="64" t="s">
        <v>3363</v>
      </c>
      <c r="FH3" s="64" t="s">
        <v>3364</v>
      </c>
      <c r="FI3" s="64" t="s">
        <v>3365</v>
      </c>
      <c r="FJ3" s="64" t="s">
        <v>3366</v>
      </c>
      <c r="FK3" s="64" t="s">
        <v>3367</v>
      </c>
      <c r="FO3" s="161" t="s">
        <v>3145</v>
      </c>
      <c r="FP3" s="64" t="s">
        <v>2630</v>
      </c>
      <c r="FQ3" s="64" t="s">
        <v>3356</v>
      </c>
      <c r="FR3" s="64" t="s">
        <v>3357</v>
      </c>
      <c r="FS3" s="64" t="s">
        <v>3358</v>
      </c>
      <c r="FT3" s="64" t="s">
        <v>3359</v>
      </c>
      <c r="FU3" s="64" t="s">
        <v>3360</v>
      </c>
      <c r="FV3" s="64" t="s">
        <v>3361</v>
      </c>
      <c r="FW3" s="64" t="s">
        <v>3362</v>
      </c>
      <c r="FX3" s="64" t="s">
        <v>3363</v>
      </c>
      <c r="FY3" s="64" t="s">
        <v>3364</v>
      </c>
      <c r="FZ3" s="64" t="s">
        <v>3365</v>
      </c>
      <c r="GA3" s="64" t="s">
        <v>3366</v>
      </c>
      <c r="GB3" s="64" t="s">
        <v>3367</v>
      </c>
    </row>
    <row r="4" spans="1:184" ht="15" hidden="1" outlineLevel="1">
      <c r="B4" s="64" t="s">
        <v>515</v>
      </c>
      <c r="C4" s="64" t="s">
        <v>516</v>
      </c>
      <c r="D4" s="64" t="s">
        <v>585</v>
      </c>
      <c r="E4" s="353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354"/>
      <c r="BK4" s="97"/>
      <c r="BL4" s="64" t="s">
        <v>3415</v>
      </c>
      <c r="CC4" s="547" t="s">
        <v>3334</v>
      </c>
      <c r="CD4" s="547" t="s">
        <v>3335</v>
      </c>
      <c r="CV4" s="81"/>
      <c r="DO4" s="64" t="s">
        <v>515</v>
      </c>
      <c r="DP4" s="290" t="s">
        <v>516</v>
      </c>
      <c r="EF4" s="64" t="s">
        <v>515</v>
      </c>
      <c r="EG4" s="64" t="s">
        <v>516</v>
      </c>
      <c r="EW4" s="64" t="s">
        <v>515</v>
      </c>
      <c r="EX4" s="64" t="s">
        <v>516</v>
      </c>
      <c r="FN4" s="64" t="s">
        <v>515</v>
      </c>
      <c r="FO4" s="64" t="s">
        <v>516</v>
      </c>
    </row>
    <row r="5" spans="1:184" hidden="1" outlineLevel="1">
      <c r="B5" s="64" t="s">
        <v>517</v>
      </c>
      <c r="C5" s="64" t="s">
        <v>506</v>
      </c>
      <c r="D5" s="64" t="s">
        <v>3405</v>
      </c>
      <c r="E5" s="353"/>
      <c r="F5" s="159"/>
      <c r="G5" s="159"/>
      <c r="H5" s="159"/>
      <c r="I5" s="159"/>
      <c r="J5" s="159"/>
      <c r="K5" s="159"/>
      <c r="L5" s="159"/>
      <c r="M5" s="159"/>
      <c r="N5" s="159"/>
      <c r="O5" s="159"/>
      <c r="P5" s="159"/>
      <c r="Q5" s="159"/>
      <c r="R5" s="354"/>
      <c r="BK5" s="570"/>
      <c r="BL5" s="64" t="s">
        <v>3416</v>
      </c>
      <c r="DO5" s="64" t="s">
        <v>517</v>
      </c>
      <c r="DP5" s="290" t="s">
        <v>506</v>
      </c>
      <c r="EF5" s="64" t="s">
        <v>517</v>
      </c>
      <c r="EG5" s="64" t="s">
        <v>506</v>
      </c>
      <c r="EW5" s="64" t="s">
        <v>517</v>
      </c>
      <c r="EX5" s="64" t="s">
        <v>506</v>
      </c>
      <c r="FN5" s="64" t="s">
        <v>517</v>
      </c>
      <c r="FO5" s="64" t="s">
        <v>506</v>
      </c>
    </row>
    <row r="6" spans="1:184" hidden="1" outlineLevel="1">
      <c r="B6" s="64" t="s">
        <v>518</v>
      </c>
      <c r="C6" s="64" t="s">
        <v>507</v>
      </c>
      <c r="E6" s="353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354"/>
      <c r="BK6" s="571"/>
      <c r="BL6" s="64" t="s">
        <v>3451</v>
      </c>
      <c r="DO6" s="64" t="s">
        <v>518</v>
      </c>
      <c r="DP6" s="290" t="s">
        <v>507</v>
      </c>
      <c r="EF6" s="64" t="s">
        <v>518</v>
      </c>
      <c r="EG6" s="64" t="s">
        <v>507</v>
      </c>
      <c r="EW6" s="64" t="s">
        <v>518</v>
      </c>
      <c r="EX6" s="64" t="s">
        <v>507</v>
      </c>
      <c r="FN6" s="64" t="s">
        <v>518</v>
      </c>
      <c r="FO6" s="64" t="s">
        <v>507</v>
      </c>
    </row>
    <row r="7" spans="1:184" ht="15" hidden="1" outlineLevel="1">
      <c r="B7" s="64" t="s">
        <v>519</v>
      </c>
      <c r="C7" s="64" t="s">
        <v>508</v>
      </c>
      <c r="E7" s="355"/>
      <c r="F7" s="354"/>
      <c r="G7" s="354"/>
      <c r="H7" s="354"/>
      <c r="I7" s="354"/>
      <c r="J7" s="354"/>
      <c r="K7" s="354"/>
      <c r="L7" s="354"/>
      <c r="M7" s="354"/>
      <c r="N7" s="354"/>
      <c r="O7" s="354"/>
      <c r="P7" s="354"/>
      <c r="Q7" s="354"/>
      <c r="R7" s="354"/>
      <c r="CC7" s="64" t="s">
        <v>3339</v>
      </c>
      <c r="CD7" s="551">
        <v>46.878572353058466</v>
      </c>
      <c r="CE7" s="551">
        <v>47.101255303501901</v>
      </c>
      <c r="CF7" s="551">
        <v>19.77039497028402</v>
      </c>
      <c r="CG7" s="551">
        <v>20.147990522435467</v>
      </c>
      <c r="CH7" s="551">
        <v>31.38937904450972</v>
      </c>
      <c r="CI7" s="551">
        <v>28.598119073737255</v>
      </c>
      <c r="CJ7" s="551">
        <v>13.905718561574965</v>
      </c>
      <c r="CK7" s="551">
        <v>45.579983599531374</v>
      </c>
      <c r="CL7" s="551">
        <v>18.628277664069948</v>
      </c>
      <c r="CM7" s="551">
        <v>27.430948118491568</v>
      </c>
      <c r="CN7" s="551">
        <v>26.6816846483196</v>
      </c>
      <c r="CO7" s="551">
        <v>47.895378886084544</v>
      </c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O7" s="64" t="s">
        <v>519</v>
      </c>
      <c r="DP7" s="290" t="s">
        <v>508</v>
      </c>
      <c r="DR7" s="24" t="s">
        <v>235</v>
      </c>
      <c r="EF7" s="64" t="s">
        <v>519</v>
      </c>
      <c r="EG7" s="64" t="s">
        <v>508</v>
      </c>
      <c r="EI7" s="24" t="s">
        <v>235</v>
      </c>
      <c r="EW7" s="64" t="s">
        <v>519</v>
      </c>
      <c r="EX7" s="64" t="s">
        <v>508</v>
      </c>
      <c r="EZ7" s="24" t="s">
        <v>235</v>
      </c>
      <c r="FN7" s="64" t="s">
        <v>519</v>
      </c>
      <c r="FO7" s="64" t="s">
        <v>508</v>
      </c>
      <c r="FQ7" s="24" t="s">
        <v>235</v>
      </c>
    </row>
    <row r="8" spans="1:184" hidden="1" outlineLevel="1">
      <c r="B8" s="64" t="s">
        <v>520</v>
      </c>
      <c r="C8" s="64" t="s">
        <v>509</v>
      </c>
      <c r="AL8" s="64" t="s">
        <v>3156</v>
      </c>
      <c r="AQ8" s="64" t="s">
        <v>3353</v>
      </c>
      <c r="BJ8" s="64" t="s">
        <v>2597</v>
      </c>
      <c r="DO8" s="64" t="s">
        <v>520</v>
      </c>
      <c r="DP8" s="290" t="s">
        <v>509</v>
      </c>
      <c r="EF8" s="64" t="s">
        <v>520</v>
      </c>
      <c r="EG8" s="64" t="s">
        <v>509</v>
      </c>
      <c r="EW8" s="64" t="s">
        <v>520</v>
      </c>
      <c r="EX8" s="64" t="s">
        <v>509</v>
      </c>
      <c r="FN8" s="64" t="s">
        <v>520</v>
      </c>
      <c r="FO8" s="64" t="s">
        <v>509</v>
      </c>
    </row>
    <row r="9" spans="1:184" ht="35.25" customHeight="1" collapsed="1" thickBot="1">
      <c r="C9" s="80"/>
      <c r="Y9" s="64" t="s">
        <v>3028</v>
      </c>
      <c r="Z9" s="64" t="s">
        <v>3028</v>
      </c>
      <c r="AA9" s="64" t="s">
        <v>3028</v>
      </c>
      <c r="AB9" s="64" t="s">
        <v>3028</v>
      </c>
      <c r="AC9" s="64" t="s">
        <v>3028</v>
      </c>
      <c r="AD9" s="64" t="s">
        <v>3028</v>
      </c>
      <c r="AE9" s="64" t="s">
        <v>3028</v>
      </c>
      <c r="AI9" s="64" t="s">
        <v>2568</v>
      </c>
      <c r="AL9" s="410">
        <v>2.3E-2</v>
      </c>
      <c r="AM9" s="559"/>
      <c r="AN9" s="559"/>
      <c r="AO9" s="559"/>
      <c r="AP9" s="559"/>
      <c r="AQ9" s="559" t="s">
        <v>3403</v>
      </c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9"/>
      <c r="BD9" s="559"/>
      <c r="BE9" s="559"/>
      <c r="BF9" s="559"/>
      <c r="BG9" s="559"/>
      <c r="BH9" s="559"/>
      <c r="BI9" s="559"/>
      <c r="BJ9" s="559" t="s">
        <v>3404</v>
      </c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9"/>
      <c r="BV9" s="559"/>
      <c r="BW9" s="559"/>
      <c r="BX9" s="410">
        <v>2.3E-2</v>
      </c>
      <c r="BY9" s="559"/>
      <c r="BZ9" s="559"/>
      <c r="CA9" s="559"/>
      <c r="CD9" s="338">
        <f>CD12/1000</f>
        <v>7.6939999999999995E-2</v>
      </c>
      <c r="CE9" s="338">
        <f t="shared" ref="CE9:CO9" si="0">CE12/1000</f>
        <v>7.8150000000000011E-2</v>
      </c>
      <c r="CF9" s="338">
        <f t="shared" si="0"/>
        <v>7.5620000000000007E-2</v>
      </c>
      <c r="CG9" s="338">
        <f t="shared" si="0"/>
        <v>5.5020000000000006E-2</v>
      </c>
      <c r="CH9" s="338">
        <f t="shared" si="0"/>
        <v>5.0169999999999999E-2</v>
      </c>
      <c r="CI9" s="338">
        <f t="shared" si="0"/>
        <v>5.2319999999999998E-2</v>
      </c>
      <c r="CJ9" s="338">
        <f t="shared" si="0"/>
        <v>5.5060000000000005E-2</v>
      </c>
      <c r="CK9" s="338">
        <f t="shared" si="0"/>
        <v>4.7189999999999996E-2</v>
      </c>
      <c r="CL9" s="338">
        <f t="shared" si="0"/>
        <v>3.9990000000000005E-2</v>
      </c>
      <c r="CM9" s="338">
        <f t="shared" si="0"/>
        <v>3.9460000000000002E-2</v>
      </c>
      <c r="CN9" s="338">
        <f t="shared" si="0"/>
        <v>5.9229999999999998E-2</v>
      </c>
      <c r="CO9" s="338">
        <f t="shared" si="0"/>
        <v>6.3380000000000006E-2</v>
      </c>
      <c r="CQ9" s="356">
        <v>4.0000000000000001E-3</v>
      </c>
      <c r="DP9" s="80"/>
      <c r="DQ9" s="163" t="s">
        <v>2601</v>
      </c>
      <c r="DR9" s="162"/>
      <c r="DS9" s="162"/>
      <c r="DT9" s="162"/>
      <c r="DU9" s="162"/>
      <c r="DV9" s="162"/>
      <c r="DW9" s="162"/>
      <c r="DX9" s="162"/>
      <c r="DY9" s="162"/>
      <c r="DZ9" s="162"/>
      <c r="EA9" s="162"/>
      <c r="EB9" s="162"/>
      <c r="EC9" s="162"/>
      <c r="EG9" s="80"/>
      <c r="EH9" s="163" t="s">
        <v>2647</v>
      </c>
      <c r="EI9" s="162"/>
      <c r="EJ9" s="162"/>
      <c r="EK9" s="162"/>
      <c r="EL9" s="162"/>
      <c r="EM9" s="162"/>
      <c r="EN9" s="162"/>
      <c r="EO9" s="162"/>
      <c r="EP9" s="162"/>
      <c r="EQ9" s="162"/>
      <c r="ER9" s="162"/>
      <c r="ES9" s="162"/>
      <c r="ET9" s="162"/>
      <c r="EX9" s="80"/>
      <c r="EY9" s="163" t="s">
        <v>3082</v>
      </c>
      <c r="EZ9" s="162"/>
      <c r="FA9" s="162"/>
      <c r="FB9" s="162"/>
      <c r="FC9" s="162"/>
      <c r="FD9" s="162"/>
      <c r="FE9" s="162"/>
      <c r="FF9" s="162"/>
      <c r="FG9" s="162"/>
      <c r="FH9" s="162"/>
      <c r="FI9" s="162"/>
      <c r="FJ9" s="162"/>
      <c r="FK9" s="162"/>
      <c r="FO9" s="80"/>
      <c r="FP9" s="163" t="s">
        <v>3155</v>
      </c>
      <c r="FQ9" s="162"/>
      <c r="FR9" s="162"/>
      <c r="FS9" s="162"/>
      <c r="FT9" s="162"/>
      <c r="FU9" s="162"/>
      <c r="FV9" s="162"/>
      <c r="FW9" s="162"/>
      <c r="FX9" s="162"/>
      <c r="FY9" s="162"/>
      <c r="FZ9" s="162"/>
      <c r="GA9" s="162"/>
      <c r="GB9" s="162"/>
    </row>
    <row r="10" spans="1:184" s="65" customFormat="1" ht="38.25" customHeight="1" thickBot="1">
      <c r="D10" s="83" t="s">
        <v>3394</v>
      </c>
      <c r="E10" s="155" t="s">
        <v>521</v>
      </c>
      <c r="F10" s="85" t="s">
        <v>522</v>
      </c>
      <c r="G10" s="86" t="s">
        <v>522</v>
      </c>
      <c r="H10" s="86" t="s">
        <v>522</v>
      </c>
      <c r="I10" s="86" t="s">
        <v>522</v>
      </c>
      <c r="J10" s="86" t="s">
        <v>522</v>
      </c>
      <c r="K10" s="86" t="s">
        <v>522</v>
      </c>
      <c r="L10" s="86" t="s">
        <v>522</v>
      </c>
      <c r="M10" s="86" t="s">
        <v>522</v>
      </c>
      <c r="N10" s="86" t="s">
        <v>522</v>
      </c>
      <c r="O10" s="86" t="s">
        <v>522</v>
      </c>
      <c r="P10" s="86" t="s">
        <v>522</v>
      </c>
      <c r="Q10" s="87" t="s">
        <v>522</v>
      </c>
      <c r="R10" s="83" t="str">
        <f>+D10</f>
        <v>Production B2022 - A saisir dans Longview</v>
      </c>
      <c r="X10" s="75" t="s">
        <v>3147</v>
      </c>
      <c r="Y10" s="76" t="s">
        <v>522</v>
      </c>
      <c r="Z10" s="77" t="s">
        <v>522</v>
      </c>
      <c r="AA10" s="77" t="s">
        <v>522</v>
      </c>
      <c r="AB10" s="77" t="s">
        <v>522</v>
      </c>
      <c r="AC10" s="77" t="s">
        <v>522</v>
      </c>
      <c r="AD10" s="77" t="s">
        <v>522</v>
      </c>
      <c r="AE10" s="77" t="s">
        <v>522</v>
      </c>
      <c r="AF10" s="77" t="s">
        <v>522</v>
      </c>
      <c r="AG10" s="77" t="s">
        <v>522</v>
      </c>
      <c r="AH10" s="77" t="s">
        <v>522</v>
      </c>
      <c r="AI10" s="77" t="s">
        <v>522</v>
      </c>
      <c r="AJ10" s="78" t="s">
        <v>522</v>
      </c>
      <c r="AK10" s="83"/>
      <c r="AQ10" s="75" t="s">
        <v>3392</v>
      </c>
      <c r="AR10" s="76" t="s">
        <v>522</v>
      </c>
      <c r="AS10" s="77" t="s">
        <v>522</v>
      </c>
      <c r="AT10" s="77" t="s">
        <v>522</v>
      </c>
      <c r="AU10" s="77" t="s">
        <v>522</v>
      </c>
      <c r="AV10" s="77" t="s">
        <v>522</v>
      </c>
      <c r="AW10" s="77" t="s">
        <v>522</v>
      </c>
      <c r="AX10" s="77" t="s">
        <v>522</v>
      </c>
      <c r="AY10" s="77" t="s">
        <v>522</v>
      </c>
      <c r="AZ10" s="77" t="s">
        <v>522</v>
      </c>
      <c r="BA10" s="77" t="s">
        <v>522</v>
      </c>
      <c r="BB10" s="77" t="s">
        <v>522</v>
      </c>
      <c r="BC10" s="78" t="s">
        <v>522</v>
      </c>
      <c r="BD10" s="83"/>
      <c r="BJ10" s="75" t="s">
        <v>3392</v>
      </c>
      <c r="BK10" s="76" t="s">
        <v>522</v>
      </c>
      <c r="BL10" s="77" t="s">
        <v>522</v>
      </c>
      <c r="BM10" s="77" t="s">
        <v>522</v>
      </c>
      <c r="BN10" s="77" t="s">
        <v>522</v>
      </c>
      <c r="BO10" s="77" t="s">
        <v>522</v>
      </c>
      <c r="BP10" s="77" t="s">
        <v>522</v>
      </c>
      <c r="BQ10" s="77" t="s">
        <v>522</v>
      </c>
      <c r="BR10" s="77" t="s">
        <v>522</v>
      </c>
      <c r="BS10" s="77" t="s">
        <v>522</v>
      </c>
      <c r="BT10" s="77" t="s">
        <v>522</v>
      </c>
      <c r="BU10" s="77" t="s">
        <v>522</v>
      </c>
      <c r="BV10" s="78" t="s">
        <v>522</v>
      </c>
      <c r="BW10" s="83"/>
      <c r="CC10" s="75" t="s">
        <v>3392</v>
      </c>
      <c r="CD10" s="76" t="s">
        <v>522</v>
      </c>
      <c r="CE10" s="77" t="s">
        <v>522</v>
      </c>
      <c r="CF10" s="77" t="s">
        <v>522</v>
      </c>
      <c r="CG10" s="77" t="s">
        <v>522</v>
      </c>
      <c r="CH10" s="77" t="s">
        <v>522</v>
      </c>
      <c r="CI10" s="77" t="s">
        <v>522</v>
      </c>
      <c r="CJ10" s="77" t="s">
        <v>522</v>
      </c>
      <c r="CK10" s="77" t="s">
        <v>522</v>
      </c>
      <c r="CL10" s="77" t="s">
        <v>522</v>
      </c>
      <c r="CM10" s="77" t="s">
        <v>522</v>
      </c>
      <c r="CN10" s="77" t="s">
        <v>522</v>
      </c>
      <c r="CO10" s="78" t="s">
        <v>522</v>
      </c>
      <c r="CP10" s="83"/>
      <c r="CV10" s="75" t="s">
        <v>3393</v>
      </c>
      <c r="CW10" s="76" t="s">
        <v>522</v>
      </c>
      <c r="CX10" s="77" t="s">
        <v>522</v>
      </c>
      <c r="CY10" s="77" t="s">
        <v>522</v>
      </c>
      <c r="CZ10" s="77" t="s">
        <v>522</v>
      </c>
      <c r="DA10" s="77" t="s">
        <v>522</v>
      </c>
      <c r="DB10" s="77" t="s">
        <v>522</v>
      </c>
      <c r="DC10" s="77" t="s">
        <v>522</v>
      </c>
      <c r="DD10" s="77" t="s">
        <v>522</v>
      </c>
      <c r="DE10" s="77" t="s">
        <v>522</v>
      </c>
      <c r="DF10" s="77" t="s">
        <v>522</v>
      </c>
      <c r="DG10" s="77" t="s">
        <v>522</v>
      </c>
      <c r="DH10" s="78" t="s">
        <v>522</v>
      </c>
      <c r="DI10" s="83">
        <f>AK10</f>
        <v>0</v>
      </c>
      <c r="DJ10" s="65" t="s">
        <v>2596</v>
      </c>
      <c r="DK10" s="65" t="s">
        <v>2599</v>
      </c>
      <c r="DQ10" s="83" t="s">
        <v>3355</v>
      </c>
      <c r="DR10" s="85" t="s">
        <v>3090</v>
      </c>
      <c r="DS10" s="86" t="s">
        <v>3091</v>
      </c>
      <c r="DT10" s="86" t="s">
        <v>3092</v>
      </c>
      <c r="DU10" s="86" t="s">
        <v>3093</v>
      </c>
      <c r="DV10" s="86" t="s">
        <v>3094</v>
      </c>
      <c r="DW10" s="86" t="s">
        <v>3095</v>
      </c>
      <c r="DX10" s="86" t="s">
        <v>3096</v>
      </c>
      <c r="DY10" s="86" t="s">
        <v>3097</v>
      </c>
      <c r="DZ10" s="86" t="s">
        <v>3098</v>
      </c>
      <c r="EA10" s="86" t="s">
        <v>3099</v>
      </c>
      <c r="EB10" s="86" t="s">
        <v>3100</v>
      </c>
      <c r="EC10" s="87" t="s">
        <v>3101</v>
      </c>
      <c r="EH10" s="83" t="s">
        <v>843</v>
      </c>
      <c r="EI10" s="85" t="s">
        <v>3090</v>
      </c>
      <c r="EJ10" s="86" t="s">
        <v>3091</v>
      </c>
      <c r="EK10" s="86" t="s">
        <v>3092</v>
      </c>
      <c r="EL10" s="86" t="s">
        <v>3093</v>
      </c>
      <c r="EM10" s="330" t="s">
        <v>3094</v>
      </c>
      <c r="EN10" s="84" t="s">
        <v>3095</v>
      </c>
      <c r="EO10" s="326" t="s">
        <v>3096</v>
      </c>
      <c r="EP10" s="86" t="s">
        <v>3097</v>
      </c>
      <c r="EQ10" s="86" t="s">
        <v>3098</v>
      </c>
      <c r="ER10" s="86" t="s">
        <v>3099</v>
      </c>
      <c r="ES10" s="86" t="s">
        <v>3100</v>
      </c>
      <c r="ET10" s="87" t="s">
        <v>3101</v>
      </c>
      <c r="EY10" s="83" t="s">
        <v>843</v>
      </c>
      <c r="EZ10" s="85" t="s">
        <v>3090</v>
      </c>
      <c r="FA10" s="86" t="s">
        <v>3091</v>
      </c>
      <c r="FB10" s="86" t="s">
        <v>3092</v>
      </c>
      <c r="FC10" s="86" t="s">
        <v>3093</v>
      </c>
      <c r="FD10" s="86" t="s">
        <v>3094</v>
      </c>
      <c r="FE10" s="86" t="s">
        <v>3095</v>
      </c>
      <c r="FF10" s="86" t="s">
        <v>3096</v>
      </c>
      <c r="FG10" s="86" t="s">
        <v>3097</v>
      </c>
      <c r="FH10" s="86" t="s">
        <v>3098</v>
      </c>
      <c r="FI10" s="86" t="s">
        <v>3099</v>
      </c>
      <c r="FJ10" s="86" t="s">
        <v>3100</v>
      </c>
      <c r="FK10" s="87" t="s">
        <v>3101</v>
      </c>
      <c r="FP10" s="83" t="s">
        <v>843</v>
      </c>
      <c r="FQ10" s="85" t="s">
        <v>3090</v>
      </c>
      <c r="FR10" s="86" t="s">
        <v>3091</v>
      </c>
      <c r="FS10" s="86" t="s">
        <v>3092</v>
      </c>
      <c r="FT10" s="86" t="s">
        <v>3093</v>
      </c>
      <c r="FU10" s="86" t="s">
        <v>3094</v>
      </c>
      <c r="FV10" s="86" t="s">
        <v>3095</v>
      </c>
      <c r="FW10" s="86" t="s">
        <v>3096</v>
      </c>
      <c r="FX10" s="86" t="s">
        <v>3097</v>
      </c>
      <c r="FY10" s="86" t="s">
        <v>3098</v>
      </c>
      <c r="FZ10" s="86" t="s">
        <v>3099</v>
      </c>
      <c r="GA10" s="86" t="s">
        <v>3100</v>
      </c>
      <c r="GB10" s="87" t="s">
        <v>3101</v>
      </c>
    </row>
    <row r="11" spans="1:184" ht="39" thickBot="1">
      <c r="A11" s="88" t="s">
        <v>523</v>
      </c>
      <c r="B11" s="88" t="s">
        <v>829</v>
      </c>
      <c r="C11" s="89" t="s">
        <v>524</v>
      </c>
      <c r="D11" s="89" t="s">
        <v>278</v>
      </c>
      <c r="E11" s="155" t="s">
        <v>525</v>
      </c>
      <c r="F11" s="85" t="s">
        <v>2572</v>
      </c>
      <c r="G11" s="86" t="s">
        <v>2573</v>
      </c>
      <c r="H11" s="86" t="s">
        <v>2574</v>
      </c>
      <c r="I11" s="86" t="s">
        <v>2575</v>
      </c>
      <c r="J11" s="86" t="s">
        <v>2576</v>
      </c>
      <c r="K11" s="86" t="s">
        <v>2577</v>
      </c>
      <c r="L11" s="86" t="s">
        <v>2578</v>
      </c>
      <c r="M11" s="86" t="s">
        <v>2579</v>
      </c>
      <c r="N11" s="86" t="s">
        <v>2580</v>
      </c>
      <c r="O11" s="86" t="s">
        <v>2581</v>
      </c>
      <c r="P11" s="86" t="s">
        <v>2582</v>
      </c>
      <c r="Q11" s="87" t="s">
        <v>2583</v>
      </c>
      <c r="R11" s="84" t="s">
        <v>3148</v>
      </c>
      <c r="S11" s="84" t="s">
        <v>3570</v>
      </c>
      <c r="T11" s="170"/>
      <c r="W11" s="88" t="s">
        <v>829</v>
      </c>
      <c r="X11" s="79" t="s">
        <v>278</v>
      </c>
      <c r="Y11" s="76" t="s">
        <v>573</v>
      </c>
      <c r="Z11" s="77" t="s">
        <v>574</v>
      </c>
      <c r="AA11" s="77" t="s">
        <v>575</v>
      </c>
      <c r="AB11" s="77" t="s">
        <v>576</v>
      </c>
      <c r="AC11" s="77" t="s">
        <v>577</v>
      </c>
      <c r="AD11" s="77" t="s">
        <v>578</v>
      </c>
      <c r="AE11" s="77" t="s">
        <v>579</v>
      </c>
      <c r="AF11" s="77" t="s">
        <v>580</v>
      </c>
      <c r="AG11" s="77" t="s">
        <v>581</v>
      </c>
      <c r="AH11" s="77" t="s">
        <v>582</v>
      </c>
      <c r="AI11" s="131" t="s">
        <v>583</v>
      </c>
      <c r="AJ11" s="78" t="s">
        <v>584</v>
      </c>
      <c r="AK11" s="84"/>
      <c r="AP11" s="88" t="s">
        <v>829</v>
      </c>
      <c r="AQ11" s="79" t="s">
        <v>278</v>
      </c>
      <c r="AR11" s="77" t="s">
        <v>573</v>
      </c>
      <c r="AS11" s="77" t="s">
        <v>574</v>
      </c>
      <c r="AT11" s="77" t="s">
        <v>575</v>
      </c>
      <c r="AU11" s="77" t="s">
        <v>576</v>
      </c>
      <c r="AV11" s="77" t="s">
        <v>577</v>
      </c>
      <c r="AW11" s="77" t="s">
        <v>578</v>
      </c>
      <c r="AX11" s="77" t="s">
        <v>579</v>
      </c>
      <c r="AY11" s="77" t="s">
        <v>580</v>
      </c>
      <c r="AZ11" s="77" t="s">
        <v>581</v>
      </c>
      <c r="BA11" s="77" t="s">
        <v>582</v>
      </c>
      <c r="BB11" s="77" t="s">
        <v>583</v>
      </c>
      <c r="BC11" s="77" t="s">
        <v>584</v>
      </c>
      <c r="BD11" s="84" t="s">
        <v>3026</v>
      </c>
      <c r="BI11" s="88" t="s">
        <v>829</v>
      </c>
      <c r="BJ11" s="79" t="s">
        <v>278</v>
      </c>
      <c r="BK11" s="77" t="s">
        <v>573</v>
      </c>
      <c r="BL11" s="77" t="s">
        <v>574</v>
      </c>
      <c r="BM11" s="77" t="s">
        <v>575</v>
      </c>
      <c r="BN11" s="77" t="s">
        <v>576</v>
      </c>
      <c r="BO11" s="77" t="s">
        <v>577</v>
      </c>
      <c r="BP11" s="77" t="s">
        <v>578</v>
      </c>
      <c r="BQ11" s="77" t="s">
        <v>579</v>
      </c>
      <c r="BR11" s="77" t="s">
        <v>580</v>
      </c>
      <c r="BS11" s="77" t="s">
        <v>581</v>
      </c>
      <c r="BT11" s="77" t="s">
        <v>582</v>
      </c>
      <c r="BU11" s="77" t="s">
        <v>583</v>
      </c>
      <c r="BV11" s="77" t="s">
        <v>584</v>
      </c>
      <c r="BW11" s="84" t="s">
        <v>3026</v>
      </c>
      <c r="CB11" s="88" t="s">
        <v>829</v>
      </c>
      <c r="CC11" s="79" t="s">
        <v>278</v>
      </c>
      <c r="CD11" s="77" t="s">
        <v>573</v>
      </c>
      <c r="CE11" s="77" t="s">
        <v>574</v>
      </c>
      <c r="CF11" s="77" t="s">
        <v>575</v>
      </c>
      <c r="CG11" s="77" t="s">
        <v>576</v>
      </c>
      <c r="CH11" s="77" t="s">
        <v>577</v>
      </c>
      <c r="CI11" s="77" t="s">
        <v>578</v>
      </c>
      <c r="CJ11" s="77" t="s">
        <v>579</v>
      </c>
      <c r="CK11" s="77" t="s">
        <v>580</v>
      </c>
      <c r="CL11" s="77" t="s">
        <v>581</v>
      </c>
      <c r="CM11" s="77" t="s">
        <v>582</v>
      </c>
      <c r="CN11" s="77" t="s">
        <v>583</v>
      </c>
      <c r="CO11" s="77" t="s">
        <v>584</v>
      </c>
      <c r="CP11" s="84" t="s">
        <v>3026</v>
      </c>
      <c r="CU11" s="88" t="s">
        <v>829</v>
      </c>
      <c r="CV11" s="79" t="s">
        <v>278</v>
      </c>
      <c r="CW11" s="76" t="s">
        <v>573</v>
      </c>
      <c r="CX11" s="77" t="s">
        <v>574</v>
      </c>
      <c r="CY11" s="77" t="s">
        <v>575</v>
      </c>
      <c r="CZ11" s="77" t="s">
        <v>576</v>
      </c>
      <c r="DA11" s="77" t="s">
        <v>577</v>
      </c>
      <c r="DB11" s="77" t="s">
        <v>578</v>
      </c>
      <c r="DC11" s="77" t="s">
        <v>579</v>
      </c>
      <c r="DD11" s="77" t="s">
        <v>580</v>
      </c>
      <c r="DE11" s="77" t="s">
        <v>581</v>
      </c>
      <c r="DF11" s="77" t="s">
        <v>582</v>
      </c>
      <c r="DG11" s="131" t="s">
        <v>583</v>
      </c>
      <c r="DH11" s="78" t="s">
        <v>584</v>
      </c>
      <c r="DI11" s="84" t="s">
        <v>3569</v>
      </c>
      <c r="DM11" s="170" t="s">
        <v>3571</v>
      </c>
      <c r="DN11" s="88" t="s">
        <v>523</v>
      </c>
      <c r="DO11" s="88" t="s">
        <v>829</v>
      </c>
      <c r="DP11" s="89" t="s">
        <v>524</v>
      </c>
      <c r="DQ11" s="89" t="s">
        <v>278</v>
      </c>
      <c r="DR11" s="85" t="str">
        <f>_xll.LVDESC("accounts",$DP$3,$DR$7)</f>
        <v>Taux de disponibilité</v>
      </c>
      <c r="DS11" s="85" t="str">
        <f>_xll.LVDESC("accounts",$DP$3,$DR$7)</f>
        <v>Taux de disponibilité</v>
      </c>
      <c r="DT11" s="85" t="str">
        <f>_xll.LVDESC("accounts",$DP$3,$DR$7)</f>
        <v>Taux de disponibilité</v>
      </c>
      <c r="DU11" s="85" t="str">
        <f>_xll.LVDESC("accounts",$DP$3,$DR$7)</f>
        <v>Taux de disponibilité</v>
      </c>
      <c r="DV11" s="85" t="str">
        <f>_xll.LVDESC("accounts",$DP$3,$DR$7)</f>
        <v>Taux de disponibilité</v>
      </c>
      <c r="DW11" s="85" t="str">
        <f>_xll.LVDESC("accounts",$DP$3,$DR$7)</f>
        <v>Taux de disponibilité</v>
      </c>
      <c r="DX11" s="85" t="str">
        <f>_xll.LVDESC("accounts",$DP$3,$DR$7)</f>
        <v>Taux de disponibilité</v>
      </c>
      <c r="DY11" s="85" t="str">
        <f>_xll.LVDESC("accounts",$DP$3,$DR$7)</f>
        <v>Taux de disponibilité</v>
      </c>
      <c r="DZ11" s="85" t="str">
        <f>_xll.LVDESC("accounts",$DP$3,$DR$7)</f>
        <v>Taux de disponibilité</v>
      </c>
      <c r="EA11" s="85" t="str">
        <f>_xll.LVDESC("accounts",$DP$3,$DR$7)</f>
        <v>Taux de disponibilité</v>
      </c>
      <c r="EB11" s="85" t="str">
        <f>_xll.LVDESC("accounts",$DP$3,$DR$7)</f>
        <v>Taux de disponibilité</v>
      </c>
      <c r="EC11" s="85" t="str">
        <f>_xll.LVDESC("accounts",$DP$3,$DR$7)</f>
        <v>Taux de disponibilité</v>
      </c>
      <c r="EE11" s="88" t="s">
        <v>523</v>
      </c>
      <c r="EF11" s="88" t="s">
        <v>829</v>
      </c>
      <c r="EG11" s="89" t="s">
        <v>524</v>
      </c>
      <c r="EH11" s="89" t="s">
        <v>278</v>
      </c>
      <c r="EI11" s="324" t="str">
        <f>_xll.LVDESC("accounts",$EG$3,$DR$7)</f>
        <v>Electricité Total</v>
      </c>
      <c r="EJ11" s="84" t="str">
        <f>_xll.LVDESC("accounts",$EG$3,$DR$7)</f>
        <v>Electricité Total</v>
      </c>
      <c r="EK11" s="326" t="str">
        <f>_xll.LVDESC("accounts",$EG$3,$DR$7)</f>
        <v>Electricité Total</v>
      </c>
      <c r="EL11" s="85" t="str">
        <f>_xll.LVDESC("accounts",$EG$3,$DR$7)</f>
        <v>Electricité Total</v>
      </c>
      <c r="EM11" s="324" t="str">
        <f>_xll.LVDESC("accounts",$EG$3,$DR$7)</f>
        <v>Electricité Total</v>
      </c>
      <c r="EN11" s="84" t="str">
        <f>_xll.LVDESC("accounts",$EG$3,$DR$7)</f>
        <v>Electricité Total</v>
      </c>
      <c r="EO11" s="333" t="str">
        <f>_xll.LVDESC("accounts",$EG$3,$DR$7)</f>
        <v>Electricité Total</v>
      </c>
      <c r="EP11" s="84" t="str">
        <f>_xll.LVDESC("accounts",$EG$3,$DR$7)</f>
        <v>Electricité Total</v>
      </c>
      <c r="EQ11" s="333" t="str">
        <f>_xll.LVDESC("accounts",$EG$3,$DR$7)</f>
        <v>Electricité Total</v>
      </c>
      <c r="ER11" s="84" t="str">
        <f>_xll.LVDESC("accounts",$EG$3,$DR$7)</f>
        <v>Electricité Total</v>
      </c>
      <c r="ES11" s="333" t="str">
        <f>_xll.LVDESC("accounts",$EG$3,$DR$7)</f>
        <v>Electricité Total</v>
      </c>
      <c r="ET11" s="84" t="str">
        <f>_xll.LVDESC("accounts",$EG$3,$DR$7)</f>
        <v>Electricité Total</v>
      </c>
      <c r="EV11" s="88" t="s">
        <v>523</v>
      </c>
      <c r="EW11" s="88" t="s">
        <v>829</v>
      </c>
      <c r="EX11" s="89" t="s">
        <v>524</v>
      </c>
      <c r="EY11" s="89" t="s">
        <v>278</v>
      </c>
      <c r="EZ11" s="85" t="s">
        <v>3083</v>
      </c>
      <c r="FA11" s="85" t="s">
        <v>3083</v>
      </c>
      <c r="FB11" s="85" t="s">
        <v>3083</v>
      </c>
      <c r="FC11" s="85" t="s">
        <v>3083</v>
      </c>
      <c r="FD11" s="85" t="s">
        <v>3083</v>
      </c>
      <c r="FE11" s="85" t="s">
        <v>3083</v>
      </c>
      <c r="FF11" s="85" t="s">
        <v>3083</v>
      </c>
      <c r="FG11" s="85" t="s">
        <v>3083</v>
      </c>
      <c r="FH11" s="85" t="s">
        <v>3083</v>
      </c>
      <c r="FI11" s="85" t="s">
        <v>3083</v>
      </c>
      <c r="FJ11" s="85" t="s">
        <v>3083</v>
      </c>
      <c r="FK11" s="85" t="s">
        <v>3083</v>
      </c>
      <c r="FM11" s="88" t="s">
        <v>523</v>
      </c>
      <c r="FN11" s="88" t="s">
        <v>829</v>
      </c>
      <c r="FO11" s="89" t="s">
        <v>524</v>
      </c>
      <c r="FP11" s="89" t="s">
        <v>278</v>
      </c>
      <c r="FQ11" s="85" t="s">
        <v>3083</v>
      </c>
      <c r="FR11" s="85" t="s">
        <v>3083</v>
      </c>
      <c r="FS11" s="85" t="s">
        <v>3083</v>
      </c>
      <c r="FT11" s="85" t="s">
        <v>3083</v>
      </c>
      <c r="FU11" s="85" t="s">
        <v>3083</v>
      </c>
      <c r="FV11" s="85" t="s">
        <v>3083</v>
      </c>
      <c r="FW11" s="85" t="s">
        <v>3083</v>
      </c>
      <c r="FX11" s="85" t="s">
        <v>3083</v>
      </c>
      <c r="FY11" s="85" t="s">
        <v>3083</v>
      </c>
      <c r="FZ11" s="85" t="s">
        <v>3083</v>
      </c>
      <c r="GA11" s="85" t="s">
        <v>3083</v>
      </c>
      <c r="GB11" s="85" t="s">
        <v>3083</v>
      </c>
    </row>
    <row r="12" spans="1:184" ht="15">
      <c r="B12" s="64" t="s">
        <v>406</v>
      </c>
      <c r="C12" s="64" t="s">
        <v>406</v>
      </c>
      <c r="D12" s="66" t="s">
        <v>3271</v>
      </c>
      <c r="E12" s="357">
        <f>_xll.LVCELL($C$3,Q$3,$C12,$D$2,$C$4,$C$5,$C$6,$C$7,$C$8,$D$3)/1000</f>
        <v>8</v>
      </c>
      <c r="F12" s="103">
        <f>'distribution mensuelle Prod B22'!$D$36</f>
        <v>1684549.4876510985</v>
      </c>
      <c r="G12" s="103">
        <f>'distribution mensuelle Prod B22'!$D$37</f>
        <v>1552679.8301214315</v>
      </c>
      <c r="H12" s="103">
        <f>'distribution mensuelle Prod B22'!$D$38</f>
        <v>1740282.7520709301</v>
      </c>
      <c r="I12" s="103">
        <f>'distribution mensuelle Prod B22'!$D$39</f>
        <v>1562485.7630328711</v>
      </c>
      <c r="J12" s="103">
        <f>'distribution mensuelle Prod B22'!$D$40</f>
        <v>1507292.5639699805</v>
      </c>
      <c r="K12" s="103">
        <f>'distribution mensuelle Prod B22'!$D$41</f>
        <v>1094099.2454128941</v>
      </c>
      <c r="L12" s="103">
        <f>'distribution mensuelle Prod B22'!$D$42</f>
        <v>974264.65162392147</v>
      </c>
      <c r="M12" s="103">
        <f>'distribution mensuelle Prod B22'!$D$43</f>
        <v>962112.28569779312</v>
      </c>
      <c r="N12" s="103">
        <f>'distribution mensuelle Prod B22'!$D$44</f>
        <v>1176421.7242673144</v>
      </c>
      <c r="O12" s="103">
        <f>'distribution mensuelle Prod B22'!$D$45</f>
        <v>1601159.1145718016</v>
      </c>
      <c r="P12" s="103">
        <f>'distribution mensuelle Prod B22'!$D$46</f>
        <v>1528826.8184766301</v>
      </c>
      <c r="Q12" s="103">
        <f>'distribution mensuelle Prod B22'!$D$47</f>
        <v>1615825.7631033366</v>
      </c>
      <c r="R12" s="67">
        <f t="shared" ref="R12:R43" si="1">SUM(F12:Q12)</f>
        <v>17000000.000000004</v>
      </c>
      <c r="S12" s="358"/>
      <c r="W12" s="113" t="str">
        <f t="shared" ref="W12:W43" si="2">B12</f>
        <v>E5030</v>
      </c>
      <c r="X12" s="359" t="str">
        <f t="shared" ref="X12:X43" si="3">+D12</f>
        <v>Avignonet</v>
      </c>
      <c r="Y12" s="299" cm="1">
        <f t="array" ref="Y12">_xll.LVCELL($D$4,F$1,$B12,$D$2,$C$4,$C$5,$C$6,$C$7,$C$8,$D$3)*1000</f>
        <v>62.085822999999998</v>
      </c>
      <c r="Z12" s="299" cm="1">
        <f t="array" ref="Z12">_xll.LVCELL($D$4,G$1,$B12,$D$2,$C$4,$C$5,$C$6,$C$7,$C$8,$D$3)*1000</f>
        <v>54.206973999999995</v>
      </c>
      <c r="AA12" s="299" cm="1">
        <f t="array" ref="AA12">_xll.LVCELL($D$4,H$1,$B12,$D$2,$C$4,$C$5,$C$6,$C$7,$C$8,$D$3)*1000</f>
        <v>50.963589108910888</v>
      </c>
      <c r="AB12" s="299" cm="1">
        <f t="array" ref="AB12">_xll.LVCELL($D$4,I$1,$B12,$D$2,$C$4,$C$5,$C$6,$C$7,$C$8,$D$3)*1000</f>
        <v>57.437260768957408</v>
      </c>
      <c r="AC12" s="299" cm="1">
        <f t="array" ref="AC12">_xll.LVCELL($D$4,J$1,$B12,$D$2,$C$4,$C$5,$C$6,$C$7,$C$8,$D$3)*1000</f>
        <v>57.330968503534464</v>
      </c>
      <c r="AD12" s="299" cm="1">
        <f t="array" ref="AD12">_xll.LVCELL($D$4,K$1,$B12,$D$2,$C$4,$C$5,$C$6,$C$7,$C$8,$D$3)*1000</f>
        <v>72.451378640776696</v>
      </c>
      <c r="AE12" s="299" cm="1">
        <f t="array" ref="AE12">_xll.LVCELL($D$4,L$1,$B12,$D$2,$C$4,$C$5,$C$6,$C$7,$C$8,$D$3)*1000</f>
        <v>74.342394328226348</v>
      </c>
      <c r="AF12" s="360"/>
      <c r="AG12" s="360"/>
      <c r="AH12" s="360"/>
      <c r="AI12" s="360"/>
      <c r="AJ12" s="562"/>
      <c r="AK12" s="413" t="s">
        <v>3406</v>
      </c>
      <c r="AL12" s="134">
        <f t="shared" ref="AL12:AL43" si="4">$AL$9</f>
        <v>2.3E-2</v>
      </c>
      <c r="AM12" s="134"/>
      <c r="AN12" s="134"/>
      <c r="AO12" s="134"/>
      <c r="AP12" s="113" t="str">
        <f>W12</f>
        <v>E5030</v>
      </c>
      <c r="AQ12" s="566" t="str">
        <f>X12</f>
        <v>Avignonet</v>
      </c>
      <c r="AR12" s="377"/>
      <c r="AS12" s="377"/>
      <c r="AT12" s="377"/>
      <c r="AU12" s="377"/>
      <c r="AV12" s="377"/>
      <c r="AW12" s="377"/>
      <c r="AX12" s="377"/>
      <c r="AY12" s="377"/>
      <c r="AZ12" s="377"/>
      <c r="BA12" s="377"/>
      <c r="BB12" s="377"/>
      <c r="BC12" s="377"/>
      <c r="BD12" s="413"/>
      <c r="BE12" s="134"/>
      <c r="BF12" s="134"/>
      <c r="BG12" s="134"/>
      <c r="BH12" s="134"/>
      <c r="BI12" s="113" t="str">
        <f>AP12</f>
        <v>E5030</v>
      </c>
      <c r="BJ12" s="566" t="str">
        <f>AQ12</f>
        <v>Avignonet</v>
      </c>
      <c r="BK12" s="411">
        <v>76.94</v>
      </c>
      <c r="BL12" s="411">
        <v>78.150000000000006</v>
      </c>
      <c r="BM12" s="411">
        <v>75.62</v>
      </c>
      <c r="BN12" s="411">
        <v>55.02</v>
      </c>
      <c r="BO12" s="411">
        <v>50.17</v>
      </c>
      <c r="BP12" s="411">
        <v>52.32</v>
      </c>
      <c r="BQ12" s="411">
        <v>55.06</v>
      </c>
      <c r="BR12" s="411">
        <v>47.19</v>
      </c>
      <c r="BS12" s="411">
        <v>39.99</v>
      </c>
      <c r="BT12" s="411">
        <v>39.46</v>
      </c>
      <c r="BU12" s="411">
        <v>59.23</v>
      </c>
      <c r="BV12" s="411">
        <v>63.38</v>
      </c>
      <c r="BW12" s="413" t="s">
        <v>3413</v>
      </c>
      <c r="BX12" s="134"/>
      <c r="BY12" s="134"/>
      <c r="BZ12" s="134"/>
      <c r="CA12" s="134"/>
      <c r="CB12" s="113" t="str">
        <f t="shared" ref="CB12:CB43" si="5">B12</f>
        <v>E5030</v>
      </c>
      <c r="CC12" s="302" t="str">
        <f t="shared" ref="CC12:CC43" si="6">+D12</f>
        <v>Avignonet</v>
      </c>
      <c r="CD12" s="411">
        <f>BK12+AR12</f>
        <v>76.94</v>
      </c>
      <c r="CE12" s="411">
        <f t="shared" ref="CE12:CE75" si="7">BL12+AS12</f>
        <v>78.150000000000006</v>
      </c>
      <c r="CF12" s="411">
        <f t="shared" ref="CF12:CF75" si="8">BM12+AT12</f>
        <v>75.62</v>
      </c>
      <c r="CG12" s="411">
        <f t="shared" ref="CG12:CG75" si="9">BN12+AU12</f>
        <v>55.02</v>
      </c>
      <c r="CH12" s="411">
        <f t="shared" ref="CH12:CH75" si="10">BO12+AV12</f>
        <v>50.17</v>
      </c>
      <c r="CI12" s="411">
        <f t="shared" ref="CI12:CI75" si="11">BP12+AW12</f>
        <v>52.32</v>
      </c>
      <c r="CJ12" s="411">
        <f t="shared" ref="CJ12:CJ75" si="12">BQ12+AX12</f>
        <v>55.06</v>
      </c>
      <c r="CK12" s="411">
        <f t="shared" ref="CK12:CK75" si="13">BR12+AY12</f>
        <v>47.19</v>
      </c>
      <c r="CL12" s="411">
        <f t="shared" ref="CL12:CL75" si="14">BS12+AZ12</f>
        <v>39.99</v>
      </c>
      <c r="CM12" s="411">
        <f t="shared" ref="CM12:CM75" si="15">BT12+BA12</f>
        <v>39.46</v>
      </c>
      <c r="CN12" s="411">
        <f t="shared" ref="CN12:CN75" si="16">BU12+BB12</f>
        <v>59.23</v>
      </c>
      <c r="CO12" s="411">
        <f t="shared" ref="CO12:CO75" si="17">BV12+BC12</f>
        <v>63.38</v>
      </c>
      <c r="CP12" s="413"/>
      <c r="CQ12" s="134">
        <f t="shared" ref="CQ12:CQ43" si="18">$CQ$9</f>
        <v>4.0000000000000001E-3</v>
      </c>
      <c r="CU12" s="113" t="str">
        <f t="shared" ref="CU12:CU43" si="19">CB12</f>
        <v>E5030</v>
      </c>
      <c r="CV12" s="66" t="str">
        <f t="shared" ref="CV12:CV43" si="20">CC12</f>
        <v>Avignonet</v>
      </c>
      <c r="CW12" s="361">
        <f t="shared" ref="CW12:CW43" si="21">F12*(CD12/1000)</f>
        <v>129609.23757987551</v>
      </c>
      <c r="CX12" s="362">
        <f t="shared" ref="CX12:CX43" si="22">G12*(CE12/1000)</f>
        <v>121341.92872398988</v>
      </c>
      <c r="CY12" s="362">
        <f t="shared" ref="CY12:CY43" si="23">H12*(CF12/1000)</f>
        <v>131600.18171160374</v>
      </c>
      <c r="CZ12" s="362">
        <f t="shared" ref="CZ12:CZ43" si="24">I12*(CG12/1000)</f>
        <v>85967.966682068582</v>
      </c>
      <c r="DA12" s="362">
        <f t="shared" ref="DA12:DA43" si="25">J12*(CH12/1000)</f>
        <v>75620.86793437392</v>
      </c>
      <c r="DB12" s="362">
        <f t="shared" ref="DB12:DB43" si="26">K12*(CI12/1000)</f>
        <v>57243.272520002618</v>
      </c>
      <c r="DC12" s="362">
        <f t="shared" ref="DC12:DC43" si="27">L12*(CJ12/1000)</f>
        <v>53643.011718413123</v>
      </c>
      <c r="DD12" s="362">
        <f t="shared" ref="DD12:DD43" si="28">M12*(CK12/1000)</f>
        <v>45402.078762078854</v>
      </c>
      <c r="DE12" s="362">
        <f t="shared" ref="DE12:DE43" si="29">N12*(CL12/1000)</f>
        <v>47045.104753449908</v>
      </c>
      <c r="DF12" s="362">
        <f t="shared" ref="DF12:DF43" si="30">O12*(CM12/1000)</f>
        <v>63181.738661003292</v>
      </c>
      <c r="DG12" s="362">
        <f t="shared" ref="DG12:DG43" si="31">P12*(CN12/1000)</f>
        <v>90552.412458370804</v>
      </c>
      <c r="DH12" s="363">
        <f t="shared" ref="DH12:DH43" si="32">Q12*(CO12/1000)</f>
        <v>102411.03686548948</v>
      </c>
      <c r="DI12" s="132">
        <f t="shared" ref="DI12:DI43" si="33">SUM(CW12:DH12)</f>
        <v>1003618.8383707198</v>
      </c>
      <c r="DJ12" s="364">
        <f>_xll.LVCELL($E$1,Q$2,$C12,$D$2,$C$4,$C$5,$C$6,$C$7,$C$8,$D$3)+_xll.LVCELL($E$2,Q$2,$C12,$D$2,$C$4,$C$5,$C$6,$C$7,$C$8,$D$3)</f>
        <v>1003618.89292</v>
      </c>
      <c r="DK12" s="82">
        <f>DI12-DJ12</f>
        <v>-5.4549280204810202E-2</v>
      </c>
      <c r="DL12" s="301"/>
      <c r="DM12" s="518">
        <f t="shared" ref="DM12:DM43" si="34">+DI12/R12*1000</f>
        <v>59.036402257101152</v>
      </c>
      <c r="DO12" s="64" t="str">
        <f t="shared" ref="DO12:DO43" si="35">B12</f>
        <v>E5030</v>
      </c>
      <c r="DP12" s="64" t="str">
        <f t="shared" ref="DP12:DP43" si="36">C12</f>
        <v>E5030</v>
      </c>
      <c r="DQ12" s="66" t="str">
        <f t="shared" ref="DQ12:DQ43" si="37">D12</f>
        <v>Avignonet</v>
      </c>
      <c r="DR12" s="365">
        <f>_xll.LVCELL($DP$3,DR$3,$DP12,$DQ$2,$DP$4,$DP$5,$DP$6,$DP$7,$DP$8,$DQ$3)/100</f>
        <v>0.97</v>
      </c>
      <c r="DS12" s="365">
        <f>_xll.LVCELL($DP$3,DS$3,$DP12,$DQ$2,$DP$4,$DP$5,$DP$6,$DP$7,$DP$8,$DQ$3)/100</f>
        <v>0.97</v>
      </c>
      <c r="DT12" s="365">
        <f>_xll.LVCELL($DP$3,DT$3,$DP12,$DQ$2,$DP$4,$DP$5,$DP$6,$DP$7,$DP$8,$DQ$3)/100</f>
        <v>0.97</v>
      </c>
      <c r="DU12" s="365">
        <f>_xll.LVCELL($DP$3,DU$3,$DP12,$DQ$2,$DP$4,$DP$5,$DP$6,$DP$7,$DP$8,$DQ$3)/100</f>
        <v>0.97</v>
      </c>
      <c r="DV12" s="365">
        <f>_xll.LVCELL($DP$3,DV$3,$DP12,$DQ$2,$DP$4,$DP$5,$DP$6,$DP$7,$DP$8,$DQ$3)/100</f>
        <v>0.97</v>
      </c>
      <c r="DW12" s="365">
        <f>_xll.LVCELL($DP$3,DW$3,$DP12,$DQ$2,$DP$4,$DP$5,$DP$6,$DP$7,$DP$8,$DQ$3)/100</f>
        <v>0.97</v>
      </c>
      <c r="DX12" s="365">
        <f>_xll.LVCELL($DP$3,DX$3,$DP12,$DQ$2,$DP$4,$DP$5,$DP$6,$DP$7,$DP$8,$DQ$3)/100</f>
        <v>0.97</v>
      </c>
      <c r="DY12" s="365">
        <f>_xll.LVCELL($DP$3,DY$3,$DP12,$DQ$2,$DP$4,$DP$5,$DP$6,$DP$7,$DP$8,$DQ$3)/100</f>
        <v>0.97</v>
      </c>
      <c r="DZ12" s="365">
        <f>_xll.LVCELL($DP$3,DZ$3,$DP12,$DQ$2,$DP$4,$DP$5,$DP$6,$DP$7,$DP$8,$DQ$3)/100</f>
        <v>0.97</v>
      </c>
      <c r="EA12" s="365">
        <f>_xll.LVCELL($DP$3,EA$3,$DP12,$DQ$2,$DP$4,$DP$5,$DP$6,$DP$7,$DP$8,$DQ$3)/100</f>
        <v>0.97</v>
      </c>
      <c r="EB12" s="365">
        <f>_xll.LVCELL($DP$3,EB$3,$DP12,$DQ$2,$DP$4,$DP$5,$DP$6,$DP$7,$DP$8,$DQ$3)/100</f>
        <v>0.97</v>
      </c>
      <c r="EC12" s="365">
        <f>_xll.LVCELL($DP$3,EC$3,$DP12,$DQ$2,$DP$4,$DP$5,$DP$6,$DP$7,$DP$8,$DQ$3)/100</f>
        <v>0.97</v>
      </c>
      <c r="ED12" s="582">
        <f>SUM(DR12:EC12)</f>
        <v>11.64</v>
      </c>
      <c r="EF12" s="64" t="s">
        <v>406</v>
      </c>
      <c r="EG12" s="64" t="s">
        <v>406</v>
      </c>
      <c r="EH12" s="66" t="s">
        <v>526</v>
      </c>
      <c r="EI12" s="366" t="e">
        <f ca="1">_xll.LVCELL($EG$3,EI$3,$DP12,$DQ$2,$DP$4,$DP$5,$DP$6,$DP$7,$DP$8,$DQ$3)-CW12</f>
        <v>#NAME?</v>
      </c>
      <c r="EJ12" s="367" t="e">
        <f ca="1">_xll.LVCELL($EG$3,EJ$3,$DP12,$DQ$2,$DP$4,$DP$5,$DP$6,$DP$7,$DP$8,$DQ$3)-CX12</f>
        <v>#NAME?</v>
      </c>
      <c r="EK12" s="368" t="e">
        <f ca="1">_xll.LVCELL($EG$3,EK$3,$DP12,$DQ$2,$DP$4,$DP$5,$DP$6,$DP$7,$DP$8,$DQ$3)-CY12</f>
        <v>#NAME?</v>
      </c>
      <c r="EL12" s="369" t="e">
        <f ca="1">_xll.LVCELL($EG$3,EL$3,$DP12,$DQ$2,$DP$4,$DP$5,$DP$6,$DP$7,$DP$8,$DQ$3)-CZ12</f>
        <v>#NAME?</v>
      </c>
      <c r="EM12" s="368" t="e">
        <f ca="1">_xll.LVCELL($EG$3,EM$3,$DP12,$DQ$2,$DP$4,$DP$5,$DP$6,$DP$7,$DP$8,$DQ$3)-DA12</f>
        <v>#NAME?</v>
      </c>
      <c r="EN12" s="367" t="e">
        <f ca="1">_xll.LVCELL($EG$3,EN$3,$DP12,$DQ$2,$DP$4,$DP$5,$DP$6,$DP$7,$DP$8,$DQ$3)-DB12</f>
        <v>#NAME?</v>
      </c>
      <c r="EO12" s="368" t="e">
        <f ca="1">_xll.LVCELL($EG$3,EO$3,$DP12,$DQ$2,$DP$4,$DP$5,$DP$6,$DP$7,$DP$8,$DQ$3)-DC12</f>
        <v>#NAME?</v>
      </c>
      <c r="EP12" s="367" t="e">
        <f ca="1">_xll.LVCELL($EG$3,EP$3,$DP12,$DQ$2,$DP$4,$DP$5,$DP$6,$DP$7,$DP$8,$DQ$3)-DD12</f>
        <v>#NAME?</v>
      </c>
      <c r="EQ12" s="368" t="e">
        <f ca="1">_xll.LVCELL($EG$3,EQ$3,$DP12,$DQ$2,$DP$4,$DP$5,$DP$6,$DP$7,$DP$8,$DQ$3)-DE12</f>
        <v>#NAME?</v>
      </c>
      <c r="ER12" s="367" t="e">
        <f ca="1">_xll.LVCELL($EG$3,ER$3,$DP12,$DQ$2,$DP$4,$DP$5,$DP$6,$DP$7,$DP$8,$DQ$3)-DF12</f>
        <v>#NAME?</v>
      </c>
      <c r="ES12" s="368" t="e">
        <f ca="1">_xll.LVCELL($EG$3,ES$3,$DP12,$DQ$2,$DP$4,$DP$5,$DP$6,$DP$7,$DP$8,$DQ$3)-DG12</f>
        <v>#NAME?</v>
      </c>
      <c r="ET12" s="367" t="e">
        <f ca="1">_xll.LVCELL($EG$3,ET$3,$DP12,$DQ$2,$DP$4,$DP$5,$DP$6,$DP$7,$DP$8,$DQ$3)-DH12</f>
        <v>#NAME?</v>
      </c>
      <c r="EW12" s="64" t="s">
        <v>406</v>
      </c>
      <c r="EX12" s="64" t="s">
        <v>406</v>
      </c>
      <c r="EY12" s="66" t="s">
        <v>526</v>
      </c>
      <c r="EZ12" s="364">
        <f>_xll.LVCELL($EX$3,EZ$3,$DP12,$DQ$2,$DP$4,$DP$5,$DP$6,$DP$7,$DP$8,$DQ$3)</f>
        <v>8000</v>
      </c>
      <c r="FA12" s="364">
        <f>_xll.LVCELL($EX$3,FA$3,$DP12,$DQ$2,$DP$4,$DP$5,$DP$6,$DP$7,$DP$8,$DQ$3)</f>
        <v>8000</v>
      </c>
      <c r="FB12" s="364">
        <f>_xll.LVCELL($EX$3,FB$3,$DP12,$DQ$2,$DP$4,$DP$5,$DP$6,$DP$7,$DP$8,$DQ$3)</f>
        <v>8000</v>
      </c>
      <c r="FC12" s="364">
        <f>_xll.LVCELL($EX$3,FC$3,$DP12,$DQ$2,$DP$4,$DP$5,$DP$6,$DP$7,$DP$8,$DQ$3)</f>
        <v>8000</v>
      </c>
      <c r="FD12" s="364">
        <f>_xll.LVCELL($EX$3,FD$3,$DP12,$DQ$2,$DP$4,$DP$5,$DP$6,$DP$7,$DP$8,$DQ$3)</f>
        <v>8000</v>
      </c>
      <c r="FE12" s="364">
        <f>_xll.LVCELL($EX$3,FE$3,$DP12,$DQ$2,$DP$4,$DP$5,$DP$6,$DP$7,$DP$8,$DQ$3)</f>
        <v>8000</v>
      </c>
      <c r="FF12" s="364">
        <f>_xll.LVCELL($EX$3,FF$3,$DP12,$DQ$2,$DP$4,$DP$5,$DP$6,$DP$7,$DP$8,$DQ$3)</f>
        <v>8000</v>
      </c>
      <c r="FG12" s="364">
        <f>_xll.LVCELL($EX$3,FG$3,$DP12,$DQ$2,$DP$4,$DP$5,$DP$6,$DP$7,$DP$8,$DQ$3)</f>
        <v>8000</v>
      </c>
      <c r="FH12" s="364">
        <f>_xll.LVCELL($EX$3,FH$3,$DP12,$DQ$2,$DP$4,$DP$5,$DP$6,$DP$7,$DP$8,$DQ$3)</f>
        <v>8000</v>
      </c>
      <c r="FI12" s="364">
        <f>_xll.LVCELL($EX$3,FI$3,$DP12,$DQ$2,$DP$4,$DP$5,$DP$6,$DP$7,$DP$8,$DQ$3)</f>
        <v>8000</v>
      </c>
      <c r="FJ12" s="364">
        <f>_xll.LVCELL($EX$3,FJ$3,$DP12,$DQ$2,$DP$4,$DP$5,$DP$6,$DP$7,$DP$8,$DQ$3)</f>
        <v>8000</v>
      </c>
      <c r="FK12" s="276">
        <f>_xll.LVCELL($EX$3,FK$3,$DP12,$DQ$2,$DP$4,$DP$5,$DP$6,$DP$7,$DP$8,$DQ$3)</f>
        <v>8000</v>
      </c>
      <c r="FN12" s="64" t="s">
        <v>406</v>
      </c>
      <c r="FO12" s="64" t="s">
        <v>406</v>
      </c>
      <c r="FP12" s="66" t="s">
        <v>526</v>
      </c>
      <c r="FQ12" s="364">
        <f>_xll.LVCELL($FO$3,FQ$3,$DP12,$DQ$2,$DP$4,$DP$5,$DP$6,$DP$7,$DP$8,$DQ$3)</f>
        <v>10</v>
      </c>
      <c r="FR12" s="364">
        <f>_xll.LVCELL($FO$3,FR$3,$DP12,$DQ$2,$DP$4,$DP$5,$DP$6,$DP$7,$DP$8,$DQ$3)</f>
        <v>10</v>
      </c>
      <c r="FS12" s="364">
        <f>_xll.LVCELL($FO$3,FS$3,$DP12,$DQ$2,$DP$4,$DP$5,$DP$6,$DP$7,$DP$8,$DQ$3)</f>
        <v>10</v>
      </c>
      <c r="FT12" s="364">
        <f>_xll.LVCELL($FO$3,FT$3,$DP12,$DQ$2,$DP$4,$DP$5,$DP$6,$DP$7,$DP$8,$DQ$3)</f>
        <v>10</v>
      </c>
      <c r="FU12" s="364">
        <f>_xll.LVCELL($FO$3,FU$3,$DP12,$DQ$2,$DP$4,$DP$5,$DP$6,$DP$7,$DP$8,$DQ$3)</f>
        <v>10</v>
      </c>
      <c r="FV12" s="364">
        <f>_xll.LVCELL($FO$3,FV$3,$DP12,$DQ$2,$DP$4,$DP$5,$DP$6,$DP$7,$DP$8,$DQ$3)</f>
        <v>10</v>
      </c>
      <c r="FW12" s="364">
        <f>_xll.LVCELL($FO$3,FW$3,$DP12,$DQ$2,$DP$4,$DP$5,$DP$6,$DP$7,$DP$8,$DQ$3)</f>
        <v>10</v>
      </c>
      <c r="FX12" s="364">
        <f>_xll.LVCELL($FO$3,FX$3,$DP12,$DQ$2,$DP$4,$DP$5,$DP$6,$DP$7,$DP$8,$DQ$3)</f>
        <v>10</v>
      </c>
      <c r="FY12" s="364">
        <f>_xll.LVCELL($FO$3,FY$3,$DP12,$DQ$2,$DP$4,$DP$5,$DP$6,$DP$7,$DP$8,$DQ$3)</f>
        <v>10</v>
      </c>
      <c r="FZ12" s="364">
        <f>_xll.LVCELL($FO$3,FZ$3,$DP12,$DQ$2,$DP$4,$DP$5,$DP$6,$DP$7,$DP$8,$DQ$3)</f>
        <v>10</v>
      </c>
      <c r="GA12" s="364">
        <f>_xll.LVCELL($FO$3,GA$3,$DP12,$DQ$2,$DP$4,$DP$5,$DP$6,$DP$7,$DP$8,$DQ$3)</f>
        <v>10</v>
      </c>
      <c r="GB12" s="172">
        <f>_xll.LVCELL($FO$3,GB$3,$DP12,$DQ$2,$DP$4,$DP$5,$DP$6,$DP$7,$DP$8,$DQ$3)</f>
        <v>10</v>
      </c>
    </row>
    <row r="13" spans="1:184" ht="15">
      <c r="B13" s="64" t="s">
        <v>250</v>
      </c>
      <c r="C13" s="64" t="s">
        <v>250</v>
      </c>
      <c r="D13" s="66" t="s">
        <v>527</v>
      </c>
      <c r="E13" s="357">
        <f>_xll.LVCELL($C$3,Q$3,$C13,$D$2,$C$4,$C$5,$C$6,$C$7,$C$8,$D$3)/1000</f>
        <v>4.5999999999999996</v>
      </c>
      <c r="F13" s="103">
        <f>'distribution mensuelle Prod B22'!$E$36</f>
        <v>1050366.1511236264</v>
      </c>
      <c r="G13" s="103">
        <f>'distribution mensuelle Prod B22'!$E$37</f>
        <v>968141.54113453988</v>
      </c>
      <c r="H13" s="103">
        <f>'distribution mensuelle Prod B22'!$E$38</f>
        <v>1085117.4807030507</v>
      </c>
      <c r="I13" s="103">
        <f>'distribution mensuelle Prod B22'!$E$39</f>
        <v>974255.82871461392</v>
      </c>
      <c r="J13" s="103">
        <f>'distribution mensuelle Prod B22'!$E$40</f>
        <v>939841.24576951738</v>
      </c>
      <c r="K13" s="103">
        <f>'distribution mensuelle Prod B22'!$E$41</f>
        <v>682203.05890451046</v>
      </c>
      <c r="L13" s="103">
        <f>'distribution mensuelle Prod B22'!$E$42</f>
        <v>607482.66513020999</v>
      </c>
      <c r="M13" s="103">
        <f>'distribution mensuelle Prod B22'!$E$43</f>
        <v>599905.30755274172</v>
      </c>
      <c r="N13" s="103">
        <f>'distribution mensuelle Prod B22'!$E$44</f>
        <v>733533.54571961961</v>
      </c>
      <c r="O13" s="103">
        <f>'distribution mensuelle Prod B22'!$E$45</f>
        <v>998369.80085065286</v>
      </c>
      <c r="P13" s="103">
        <f>'distribution mensuelle Prod B22'!$E$46</f>
        <v>953268.48681484011</v>
      </c>
      <c r="Q13" s="103">
        <f>'distribution mensuelle Prod B22'!$E$47</f>
        <v>1007514.8875820806</v>
      </c>
      <c r="R13" s="67">
        <f t="shared" si="1"/>
        <v>10600000.000000004</v>
      </c>
      <c r="S13" s="358"/>
      <c r="W13" s="113" t="str">
        <f t="shared" si="2"/>
        <v>E5210</v>
      </c>
      <c r="X13" s="359" t="str">
        <f t="shared" si="3"/>
        <v>Avignonet II</v>
      </c>
      <c r="Y13" s="299" cm="1">
        <f t="array" ref="Y13">_xll.LVCELL($D$4,F$1,$B13,$D$2,$C$4,$C$5,$C$6,$C$7,$C$8,$D$3)*1000</f>
        <v>93.139981999999989</v>
      </c>
      <c r="Z13" s="299" cm="1">
        <f t="array" ref="Z13">_xll.LVCELL($D$4,G$1,$B13,$D$2,$C$4,$C$5,$C$6,$C$7,$C$8,$D$3)*1000</f>
        <v>93.139954000000003</v>
      </c>
      <c r="AA13" s="299" cm="1">
        <f t="array" ref="AA13">_xll.LVCELL($D$4,H$1,$B13,$D$2,$C$4,$C$5,$C$6,$C$7,$C$8,$D$3)*1000</f>
        <v>93.14</v>
      </c>
      <c r="AB13" s="299" cm="1">
        <f t="array" ref="AB13">_xll.LVCELL($D$4,I$1,$B13,$D$2,$C$4,$C$5,$C$6,$C$7,$C$8,$D$3)*1000</f>
        <v>93.140002549614223</v>
      </c>
      <c r="AC13" s="299" cm="1">
        <f t="array" ref="AC13">_xll.LVCELL($D$4,J$1,$B13,$D$2,$C$4,$C$5,$C$6,$C$7,$C$8,$D$3)*1000</f>
        <v>93.140045742607398</v>
      </c>
      <c r="AD13" s="299" cm="1">
        <f t="array" ref="AD13">_xll.LVCELL($D$4,K$1,$B13,$D$2,$C$4,$C$5,$C$6,$C$7,$C$8,$D$3)*1000</f>
        <v>93.139957746478856</v>
      </c>
      <c r="AE13" s="299" cm="1">
        <f t="array" ref="AE13">_xll.LVCELL($D$4,L$1,$B13,$D$2,$C$4,$C$5,$C$6,$C$7,$C$8,$D$3)*1000</f>
        <v>93.139996627310921</v>
      </c>
      <c r="AF13" s="299">
        <f>$AD$13</f>
        <v>93.139957746478856</v>
      </c>
      <c r="AG13" s="299">
        <f>AF13</f>
        <v>93.139957746478856</v>
      </c>
      <c r="AH13" s="299">
        <f>AG13</f>
        <v>93.139957746478856</v>
      </c>
      <c r="AI13" s="299">
        <f>$AH13+($AH13*$AL$9)</f>
        <v>95.282176774647866</v>
      </c>
      <c r="AJ13" s="370">
        <f>AI13</f>
        <v>95.282176774647866</v>
      </c>
      <c r="AK13" s="130"/>
      <c r="AL13" s="134">
        <f t="shared" si="4"/>
        <v>2.3E-2</v>
      </c>
      <c r="AM13" s="134"/>
      <c r="AN13" s="134"/>
      <c r="AO13" s="134"/>
      <c r="AP13" s="113" t="str">
        <f t="shared" ref="AP13:AP76" si="38">W13</f>
        <v>E5210</v>
      </c>
      <c r="AQ13" s="567" t="str">
        <f t="shared" ref="AQ13:AQ76" si="39">X13</f>
        <v>Avignonet II</v>
      </c>
      <c r="AR13" s="377"/>
      <c r="AS13" s="377"/>
      <c r="AT13" s="377"/>
      <c r="AU13" s="377"/>
      <c r="AV13" s="377"/>
      <c r="AW13" s="377"/>
      <c r="AX13" s="377"/>
      <c r="AY13" s="377"/>
      <c r="AZ13" s="377"/>
      <c r="BA13" s="377"/>
      <c r="BB13" s="377"/>
      <c r="BC13" s="378"/>
      <c r="BD13" s="413"/>
      <c r="BE13" s="134"/>
      <c r="BF13" s="134"/>
      <c r="BG13" s="134"/>
      <c r="BH13" s="134"/>
      <c r="BI13" s="113" t="str">
        <f t="shared" ref="BI13:BI76" si="40">AP13</f>
        <v>E5210</v>
      </c>
      <c r="BJ13" s="567" t="str">
        <f t="shared" ref="BJ13:BJ76" si="41">AQ13</f>
        <v>Avignonet II</v>
      </c>
      <c r="BK13" s="299">
        <f>$AJ13</f>
        <v>95.282176774647866</v>
      </c>
      <c r="BL13" s="299">
        <f t="shared" ref="BL13:BT13" si="42">$AJ13</f>
        <v>95.282176774647866</v>
      </c>
      <c r="BM13" s="299">
        <f t="shared" si="42"/>
        <v>95.282176774647866</v>
      </c>
      <c r="BN13" s="299">
        <f t="shared" si="42"/>
        <v>95.282176774647866</v>
      </c>
      <c r="BO13" s="299">
        <f t="shared" si="42"/>
        <v>95.282176774647866</v>
      </c>
      <c r="BP13" s="299">
        <f t="shared" si="42"/>
        <v>95.282176774647866</v>
      </c>
      <c r="BQ13" s="299">
        <f t="shared" si="42"/>
        <v>95.282176774647866</v>
      </c>
      <c r="BR13" s="299">
        <f t="shared" si="42"/>
        <v>95.282176774647866</v>
      </c>
      <c r="BS13" s="299">
        <f t="shared" si="42"/>
        <v>95.282176774647866</v>
      </c>
      <c r="BT13" s="299">
        <f t="shared" si="42"/>
        <v>95.282176774647866</v>
      </c>
      <c r="BU13" s="299">
        <f>$BT13+($BT13*$BX$9)</f>
        <v>97.473666840464773</v>
      </c>
      <c r="BV13" s="370">
        <f>BU13</f>
        <v>97.473666840464773</v>
      </c>
      <c r="BW13" s="413"/>
      <c r="BX13" s="134"/>
      <c r="BY13" s="134"/>
      <c r="BZ13" s="134"/>
      <c r="CA13" s="134"/>
      <c r="CB13" s="113" t="str">
        <f t="shared" si="5"/>
        <v>E5210</v>
      </c>
      <c r="CC13" s="303" t="str">
        <f t="shared" si="6"/>
        <v>Avignonet II</v>
      </c>
      <c r="CD13" s="299">
        <f t="shared" ref="CD13:CD76" si="43">BK13+AR13</f>
        <v>95.282176774647866</v>
      </c>
      <c r="CE13" s="299">
        <f t="shared" si="7"/>
        <v>95.282176774647866</v>
      </c>
      <c r="CF13" s="299">
        <f t="shared" si="8"/>
        <v>95.282176774647866</v>
      </c>
      <c r="CG13" s="299">
        <f t="shared" si="9"/>
        <v>95.282176774647866</v>
      </c>
      <c r="CH13" s="299">
        <f t="shared" si="10"/>
        <v>95.282176774647866</v>
      </c>
      <c r="CI13" s="299">
        <f t="shared" si="11"/>
        <v>95.282176774647866</v>
      </c>
      <c r="CJ13" s="299">
        <f t="shared" si="12"/>
        <v>95.282176774647866</v>
      </c>
      <c r="CK13" s="299">
        <f t="shared" si="13"/>
        <v>95.282176774647866</v>
      </c>
      <c r="CL13" s="299">
        <f t="shared" si="14"/>
        <v>95.282176774647866</v>
      </c>
      <c r="CM13" s="299">
        <f t="shared" si="15"/>
        <v>95.282176774647866</v>
      </c>
      <c r="CN13" s="299">
        <f t="shared" si="16"/>
        <v>97.473666840464773</v>
      </c>
      <c r="CO13" s="370">
        <f t="shared" si="17"/>
        <v>97.473666840464773</v>
      </c>
      <c r="CP13" s="413"/>
      <c r="CQ13" s="134">
        <f t="shared" si="18"/>
        <v>4.0000000000000001E-3</v>
      </c>
      <c r="CU13" s="113" t="str">
        <f t="shared" si="19"/>
        <v>E5210</v>
      </c>
      <c r="CV13" s="66" t="str">
        <f t="shared" si="20"/>
        <v>Avignonet II</v>
      </c>
      <c r="CW13" s="300">
        <f t="shared" si="21"/>
        <v>100081.17328946787</v>
      </c>
      <c r="CX13" s="298">
        <f t="shared" si="22"/>
        <v>92246.633465261257</v>
      </c>
      <c r="CY13" s="298">
        <f t="shared" si="23"/>
        <v>103392.35561760863</v>
      </c>
      <c r="CZ13" s="298">
        <f t="shared" si="24"/>
        <v>92829.216095316893</v>
      </c>
      <c r="DA13" s="298">
        <f t="shared" si="25"/>
        <v>89550.119719516428</v>
      </c>
      <c r="DB13" s="298">
        <f t="shared" si="26"/>
        <v>65001.792454745082</v>
      </c>
      <c r="DC13" s="298">
        <f t="shared" si="27"/>
        <v>57882.270686470882</v>
      </c>
      <c r="DD13" s="298">
        <f t="shared" si="28"/>
        <v>57160.283562289835</v>
      </c>
      <c r="DE13" s="298">
        <f t="shared" si="29"/>
        <v>69892.672973391047</v>
      </c>
      <c r="DF13" s="298">
        <f t="shared" si="30"/>
        <v>95126.8478511219</v>
      </c>
      <c r="DG13" s="371">
        <f t="shared" si="31"/>
        <v>92918.57489330371</v>
      </c>
      <c r="DH13" s="372">
        <f t="shared" si="32"/>
        <v>98206.170488984033</v>
      </c>
      <c r="DI13" s="130">
        <f t="shared" si="33"/>
        <v>1014288.1110974776</v>
      </c>
      <c r="DJ13" s="364">
        <f>_xll.LVCELL($E$1,Q$2,$C13,$D$2,$C$4,$C$5,$C$6,$C$7,$C$8,$D$3)+_xll.LVCELL($E$2,Q$2,$C13,$D$2,$C$4,$C$5,$C$6,$C$7,$C$8,$D$3)</f>
        <v>1014288.1125366701</v>
      </c>
      <c r="DK13" s="82">
        <f t="shared" ref="DK13:DK76" si="44">DI13-DJ13</f>
        <v>-1.4391924487426877E-3</v>
      </c>
      <c r="DM13" s="518">
        <f t="shared" si="34"/>
        <v>95.687557650705401</v>
      </c>
      <c r="DO13" s="64" t="str">
        <f t="shared" si="35"/>
        <v>E5210</v>
      </c>
      <c r="DP13" s="64" t="str">
        <f t="shared" si="36"/>
        <v>E5210</v>
      </c>
      <c r="DQ13" s="66" t="str">
        <f t="shared" si="37"/>
        <v>Avignonet II</v>
      </c>
      <c r="DR13" s="365">
        <f>_xll.LVCELL($DP$3,DR$3,$DP13,$DQ$2,$DP$4,$DP$5,$DP$6,$DP$7,$DP$8,$DQ$3)/100</f>
        <v>0.97</v>
      </c>
      <c r="DS13" s="365">
        <f>_xll.LVCELL($DP$3,DS$3,$DP13,$DQ$2,$DP$4,$DP$5,$DP$6,$DP$7,$DP$8,$DQ$3)/100</f>
        <v>0.97</v>
      </c>
      <c r="DT13" s="365">
        <f>_xll.LVCELL($DP$3,DT$3,$DP13,$DQ$2,$DP$4,$DP$5,$DP$6,$DP$7,$DP$8,$DQ$3)/100</f>
        <v>0.97</v>
      </c>
      <c r="DU13" s="365">
        <f>_xll.LVCELL($DP$3,DU$3,$DP13,$DQ$2,$DP$4,$DP$5,$DP$6,$DP$7,$DP$8,$DQ$3)/100</f>
        <v>0.97</v>
      </c>
      <c r="DV13" s="365">
        <f>_xll.LVCELL($DP$3,DV$3,$DP13,$DQ$2,$DP$4,$DP$5,$DP$6,$DP$7,$DP$8,$DQ$3)/100</f>
        <v>0.97</v>
      </c>
      <c r="DW13" s="365">
        <f>_xll.LVCELL($DP$3,DW$3,$DP13,$DQ$2,$DP$4,$DP$5,$DP$6,$DP$7,$DP$8,$DQ$3)/100</f>
        <v>0.97</v>
      </c>
      <c r="DX13" s="365">
        <f>_xll.LVCELL($DP$3,DX$3,$DP13,$DQ$2,$DP$4,$DP$5,$DP$6,$DP$7,$DP$8,$DQ$3)/100</f>
        <v>0.97</v>
      </c>
      <c r="DY13" s="365">
        <f>_xll.LVCELL($DP$3,DY$3,$DP13,$DQ$2,$DP$4,$DP$5,$DP$6,$DP$7,$DP$8,$DQ$3)/100</f>
        <v>0.97</v>
      </c>
      <c r="DZ13" s="365">
        <f>_xll.LVCELL($DP$3,DZ$3,$DP13,$DQ$2,$DP$4,$DP$5,$DP$6,$DP$7,$DP$8,$DQ$3)/100</f>
        <v>0.97</v>
      </c>
      <c r="EA13" s="365">
        <f>_xll.LVCELL($DP$3,EA$3,$DP13,$DQ$2,$DP$4,$DP$5,$DP$6,$DP$7,$DP$8,$DQ$3)/100</f>
        <v>0.97</v>
      </c>
      <c r="EB13" s="365">
        <f>_xll.LVCELL($DP$3,EB$3,$DP13,$DQ$2,$DP$4,$DP$5,$DP$6,$DP$7,$DP$8,$DQ$3)/100</f>
        <v>0.97</v>
      </c>
      <c r="EC13" s="365">
        <f>_xll.LVCELL($DP$3,EC$3,$DP13,$DQ$2,$DP$4,$DP$5,$DP$6,$DP$7,$DP$8,$DQ$3)/100</f>
        <v>0.97</v>
      </c>
      <c r="ED13" s="582">
        <f t="shared" ref="ED13:ED76" si="45">SUM(DR13:EC13)</f>
        <v>11.64</v>
      </c>
      <c r="EF13" s="64" t="s">
        <v>250</v>
      </c>
      <c r="EG13" s="64" t="s">
        <v>250</v>
      </c>
      <c r="EH13" s="66" t="s">
        <v>527</v>
      </c>
      <c r="EI13" s="366" t="e">
        <f ca="1">_xll.LVCELL($EG$3,EI$3,$DP13,$DQ$2,$DP$4,$DP$5,$DP$6,$DP$7,$DP$8,$DQ$3)-CW13</f>
        <v>#NAME?</v>
      </c>
      <c r="EJ13" s="367" t="e">
        <f ca="1">_xll.LVCELL($EG$3,EJ$3,$DP13,$DQ$2,$DP$4,$DP$5,$DP$6,$DP$7,$DP$8,$DQ$3)-CX13</f>
        <v>#NAME?</v>
      </c>
      <c r="EK13" s="368" t="e">
        <f ca="1">_xll.LVCELL($EG$3,EK$3,$DP13,$DQ$2,$DP$4,$DP$5,$DP$6,$DP$7,$DP$8,$DQ$3)-CY13</f>
        <v>#NAME?</v>
      </c>
      <c r="EL13" s="367" t="e">
        <f ca="1">_xll.LVCELL($EG$3,EL$3,$DP13,$DQ$2,$DP$4,$DP$5,$DP$6,$DP$7,$DP$8,$DQ$3)-CZ13</f>
        <v>#NAME?</v>
      </c>
      <c r="EM13" s="368" t="e">
        <f ca="1">_xll.LVCELL($EG$3,EM$3,$DP13,$DQ$2,$DP$4,$DP$5,$DP$6,$DP$7,$DP$8,$DQ$3)-DA13</f>
        <v>#NAME?</v>
      </c>
      <c r="EN13" s="367" t="e">
        <f ca="1">_xll.LVCELL($EG$3,EN$3,$DP13,$DQ$2,$DP$4,$DP$5,$DP$6,$DP$7,$DP$8,$DQ$3)-DB13</f>
        <v>#NAME?</v>
      </c>
      <c r="EO13" s="368" t="e">
        <f ca="1">_xll.LVCELL($EG$3,EO$3,$DP13,$DQ$2,$DP$4,$DP$5,$DP$6,$DP$7,$DP$8,$DQ$3)-DC13</f>
        <v>#NAME?</v>
      </c>
      <c r="EP13" s="367" t="e">
        <f ca="1">_xll.LVCELL($EG$3,EP$3,$DP13,$DQ$2,$DP$4,$DP$5,$DP$6,$DP$7,$DP$8,$DQ$3)-DD13</f>
        <v>#NAME?</v>
      </c>
      <c r="EQ13" s="368" t="e">
        <f ca="1">_xll.LVCELL($EG$3,EQ$3,$DP13,$DQ$2,$DP$4,$DP$5,$DP$6,$DP$7,$DP$8,$DQ$3)-DE13</f>
        <v>#NAME?</v>
      </c>
      <c r="ER13" s="367" t="e">
        <f ca="1">_xll.LVCELL($EG$3,ER$3,$DP13,$DQ$2,$DP$4,$DP$5,$DP$6,$DP$7,$DP$8,$DQ$3)-DF13</f>
        <v>#NAME?</v>
      </c>
      <c r="ES13" s="368" t="e">
        <f ca="1">_xll.LVCELL($EG$3,ES$3,$DP13,$DQ$2,$DP$4,$DP$5,$DP$6,$DP$7,$DP$8,$DQ$3)-DG13</f>
        <v>#NAME?</v>
      </c>
      <c r="ET13" s="367" t="e">
        <f ca="1">_xll.LVCELL($EG$3,ET$3,$DP13,$DQ$2,$DP$4,$DP$5,$DP$6,$DP$7,$DP$8,$DQ$3)-DH13</f>
        <v>#NAME?</v>
      </c>
      <c r="EW13" s="64" t="s">
        <v>250</v>
      </c>
      <c r="EX13" s="64" t="s">
        <v>250</v>
      </c>
      <c r="EY13" s="66" t="s">
        <v>527</v>
      </c>
      <c r="EZ13" s="364">
        <f>_xll.LVCELL($EX$3,EZ$3,$DP13,$DQ$2,$DP$4,$DP$5,$DP$6,$DP$7,$DP$8,$DQ$3)</f>
        <v>4600</v>
      </c>
      <c r="FA13" s="364">
        <f>_xll.LVCELL($EX$3,FA$3,$DP13,$DQ$2,$DP$4,$DP$5,$DP$6,$DP$7,$DP$8,$DQ$3)</f>
        <v>4600</v>
      </c>
      <c r="FB13" s="364">
        <f>_xll.LVCELL($EX$3,FB$3,$DP13,$DQ$2,$DP$4,$DP$5,$DP$6,$DP$7,$DP$8,$DQ$3)</f>
        <v>4600</v>
      </c>
      <c r="FC13" s="364">
        <f>_xll.LVCELL($EX$3,FC$3,$DP13,$DQ$2,$DP$4,$DP$5,$DP$6,$DP$7,$DP$8,$DQ$3)</f>
        <v>4600</v>
      </c>
      <c r="FD13" s="364">
        <f>_xll.LVCELL($EX$3,FD$3,$DP13,$DQ$2,$DP$4,$DP$5,$DP$6,$DP$7,$DP$8,$DQ$3)</f>
        <v>4600</v>
      </c>
      <c r="FE13" s="364">
        <f>_xll.LVCELL($EX$3,FE$3,$DP13,$DQ$2,$DP$4,$DP$5,$DP$6,$DP$7,$DP$8,$DQ$3)</f>
        <v>4600</v>
      </c>
      <c r="FF13" s="364">
        <f>_xll.LVCELL($EX$3,FF$3,$DP13,$DQ$2,$DP$4,$DP$5,$DP$6,$DP$7,$DP$8,$DQ$3)</f>
        <v>4600</v>
      </c>
      <c r="FG13" s="364">
        <f>_xll.LVCELL($EX$3,FG$3,$DP13,$DQ$2,$DP$4,$DP$5,$DP$6,$DP$7,$DP$8,$DQ$3)</f>
        <v>4600</v>
      </c>
      <c r="FH13" s="364">
        <f>_xll.LVCELL($EX$3,FH$3,$DP13,$DQ$2,$DP$4,$DP$5,$DP$6,$DP$7,$DP$8,$DQ$3)</f>
        <v>4600</v>
      </c>
      <c r="FI13" s="364">
        <f>_xll.LVCELL($EX$3,FI$3,$DP13,$DQ$2,$DP$4,$DP$5,$DP$6,$DP$7,$DP$8,$DQ$3)</f>
        <v>4600</v>
      </c>
      <c r="FJ13" s="364">
        <f>_xll.LVCELL($EX$3,FJ$3,$DP13,$DQ$2,$DP$4,$DP$5,$DP$6,$DP$7,$DP$8,$DQ$3)</f>
        <v>4600</v>
      </c>
      <c r="FK13" s="276">
        <f>_xll.LVCELL($EX$3,FK$3,$DP13,$DQ$2,$DP$4,$DP$5,$DP$6,$DP$7,$DP$8,$DQ$3)</f>
        <v>4600</v>
      </c>
      <c r="FN13" s="64" t="s">
        <v>250</v>
      </c>
      <c r="FO13" s="64" t="s">
        <v>250</v>
      </c>
      <c r="FP13" s="66" t="s">
        <v>527</v>
      </c>
      <c r="FQ13" s="364">
        <f>_xll.LVCELL($FO$3,FQ$3,$DP13,$DQ$2,$DP$4,$DP$5,$DP$6,$DP$7,$DP$8,$DQ$3)</f>
        <v>2</v>
      </c>
      <c r="FR13" s="364">
        <f>_xll.LVCELL($FO$3,FR$3,$DP13,$DQ$2,$DP$4,$DP$5,$DP$6,$DP$7,$DP$8,$DQ$3)</f>
        <v>2</v>
      </c>
      <c r="FS13" s="364">
        <f>_xll.LVCELL($FO$3,FS$3,$DP13,$DQ$2,$DP$4,$DP$5,$DP$6,$DP$7,$DP$8,$DQ$3)</f>
        <v>2</v>
      </c>
      <c r="FT13" s="364">
        <f>_xll.LVCELL($FO$3,FT$3,$DP13,$DQ$2,$DP$4,$DP$5,$DP$6,$DP$7,$DP$8,$DQ$3)</f>
        <v>2</v>
      </c>
      <c r="FU13" s="364">
        <f>_xll.LVCELL($FO$3,FU$3,$DP13,$DQ$2,$DP$4,$DP$5,$DP$6,$DP$7,$DP$8,$DQ$3)</f>
        <v>2</v>
      </c>
      <c r="FV13" s="364">
        <f>_xll.LVCELL($FO$3,FV$3,$DP13,$DQ$2,$DP$4,$DP$5,$DP$6,$DP$7,$DP$8,$DQ$3)</f>
        <v>2</v>
      </c>
      <c r="FW13" s="364">
        <f>_xll.LVCELL($FO$3,FW$3,$DP13,$DQ$2,$DP$4,$DP$5,$DP$6,$DP$7,$DP$8,$DQ$3)</f>
        <v>2</v>
      </c>
      <c r="FX13" s="364">
        <f>_xll.LVCELL($FO$3,FX$3,$DP13,$DQ$2,$DP$4,$DP$5,$DP$6,$DP$7,$DP$8,$DQ$3)</f>
        <v>2</v>
      </c>
      <c r="FY13" s="364">
        <f>_xll.LVCELL($FO$3,FY$3,$DP13,$DQ$2,$DP$4,$DP$5,$DP$6,$DP$7,$DP$8,$DQ$3)</f>
        <v>2</v>
      </c>
      <c r="FZ13" s="364">
        <f>_xll.LVCELL($FO$3,FZ$3,$DP13,$DQ$2,$DP$4,$DP$5,$DP$6,$DP$7,$DP$8,$DQ$3)</f>
        <v>2</v>
      </c>
      <c r="GA13" s="364">
        <f>_xll.LVCELL($FO$3,GA$3,$DP13,$DQ$2,$DP$4,$DP$5,$DP$6,$DP$7,$DP$8,$DQ$3)</f>
        <v>2</v>
      </c>
      <c r="GB13" s="172">
        <f>_xll.LVCELL($FO$3,GB$3,$DP13,$DQ$2,$DP$4,$DP$5,$DP$6,$DP$7,$DP$8,$DQ$3)</f>
        <v>2</v>
      </c>
    </row>
    <row r="14" spans="1:184" ht="15">
      <c r="B14" s="64" t="s">
        <v>409</v>
      </c>
      <c r="C14" s="64" t="s">
        <v>409</v>
      </c>
      <c r="D14" s="359" t="s">
        <v>284</v>
      </c>
      <c r="E14" s="357">
        <f>_xll.LVCELL($C$3,Q$3,$C14,$D$2,$C$4,$C$5,$C$6,$C$7,$C$8,$D$3)/1000</f>
        <v>4</v>
      </c>
      <c r="F14" s="103">
        <f>'distribution mensuelle Prod B22'!$F$36</f>
        <v>794808.82804792712</v>
      </c>
      <c r="G14" s="103">
        <f>'distribution mensuelle Prod B22'!$F$37</f>
        <v>625209.1544705499</v>
      </c>
      <c r="H14" s="103">
        <f>'distribution mensuelle Prod B22'!$F$38</f>
        <v>569552.22567538673</v>
      </c>
      <c r="I14" s="103">
        <f>'distribution mensuelle Prod B22'!$F$39</f>
        <v>399272.31582261471</v>
      </c>
      <c r="J14" s="103">
        <f>'distribution mensuelle Prod B22'!$F$40</f>
        <v>376104.69071385759</v>
      </c>
      <c r="K14" s="103">
        <f>'distribution mensuelle Prod B22'!$F$41</f>
        <v>285174.57402224885</v>
      </c>
      <c r="L14" s="103">
        <f>'distribution mensuelle Prod B22'!$F$42</f>
        <v>295717.64535450895</v>
      </c>
      <c r="M14" s="103">
        <f>'distribution mensuelle Prod B22'!$F$43</f>
        <v>298310.7758499718</v>
      </c>
      <c r="N14" s="103">
        <f>'distribution mensuelle Prod B22'!$F$44</f>
        <v>368823.94484363135</v>
      </c>
      <c r="O14" s="103">
        <f>'distribution mensuelle Prod B22'!$F$45</f>
        <v>579233.24619178148</v>
      </c>
      <c r="P14" s="103">
        <f>'distribution mensuelle Prod B22'!$F$46</f>
        <v>614083.90009192494</v>
      </c>
      <c r="Q14" s="103">
        <f>'distribution mensuelle Prod B22'!$F$47</f>
        <v>749515.48206050915</v>
      </c>
      <c r="R14" s="67">
        <f t="shared" si="1"/>
        <v>5955806.7831449127</v>
      </c>
      <c r="S14" s="358"/>
      <c r="W14" s="113" t="str">
        <f t="shared" si="2"/>
        <v>E5040</v>
      </c>
      <c r="X14" s="359" t="str">
        <f t="shared" si="3"/>
        <v>Chépy</v>
      </c>
      <c r="Y14" s="299" cm="1">
        <f t="array" ref="Y14">_xll.LVCELL($D$4,F$1,$B14,$D$2,$C$4,$C$5,$C$6,$C$7,$C$8,$D$3)*1000</f>
        <v>45.900030999999998</v>
      </c>
      <c r="Z14" s="299" cm="1">
        <f t="array" ref="Z14">_xll.LVCELL($D$4,G$1,$B14,$D$2,$C$4,$C$5,$C$6,$C$7,$C$8,$D$3)*1000</f>
        <v>45.899993000000002</v>
      </c>
      <c r="AA14" s="299" cm="1">
        <f t="array" ref="AA14">_xll.LVCELL($D$4,H$1,$B14,$D$2,$C$4,$C$5,$C$6,$C$7,$C$8,$D$3)*1000</f>
        <v>45.899994471341806</v>
      </c>
      <c r="AB14" s="299" cm="1">
        <f t="array" ref="AB14">_xll.LVCELL($D$4,I$1,$B14,$D$2,$C$4,$C$5,$C$6,$C$7,$C$8,$D$3)*1000</f>
        <v>45.900006765878061</v>
      </c>
      <c r="AC14" s="299" cm="1">
        <f t="array" ref="AC14">_xll.LVCELL($D$4,J$1,$B14,$D$2,$C$4,$C$5,$C$6,$C$7,$C$8,$D$3)*1000</f>
        <v>45.900003207595589</v>
      </c>
      <c r="AD14" s="299" cm="1">
        <f t="array" ref="AD14">_xll.LVCELL($D$4,K$1,$B14,$D$2,$C$4,$C$5,$C$6,$C$7,$C$8,$D$3)*1000</f>
        <v>45.900023635074447</v>
      </c>
      <c r="AE14" s="299" cm="1">
        <f t="array" ref="AE14">_xll.LVCELL($D$4,L$1,$B14,$D$2,$C$4,$C$5,$C$6,$C$7,$C$8,$D$3)*1000</f>
        <v>44.542642857142859</v>
      </c>
      <c r="AF14" s="299">
        <f>$AD$14</f>
        <v>45.900023635074447</v>
      </c>
      <c r="AG14" s="411">
        <f t="shared" ref="AG14:AJ19" si="46">AF14</f>
        <v>45.900023635074447</v>
      </c>
      <c r="AH14" s="299">
        <f t="shared" si="46"/>
        <v>45.900023635074447</v>
      </c>
      <c r="AI14" s="411">
        <f>AH14</f>
        <v>45.900023635074447</v>
      </c>
      <c r="AJ14" s="412">
        <f>AI14</f>
        <v>45.900023635074447</v>
      </c>
      <c r="AK14" s="413" t="s">
        <v>3408</v>
      </c>
      <c r="AL14" s="134">
        <f t="shared" si="4"/>
        <v>2.3E-2</v>
      </c>
      <c r="AM14" s="134"/>
      <c r="AN14" s="134"/>
      <c r="AO14" s="134"/>
      <c r="AP14" s="113" t="str">
        <f t="shared" si="38"/>
        <v>E5040</v>
      </c>
      <c r="AQ14" s="568" t="str">
        <f t="shared" si="39"/>
        <v>Chépy</v>
      </c>
      <c r="AR14" s="377"/>
      <c r="AS14" s="377"/>
      <c r="AT14" s="377"/>
      <c r="AU14" s="377"/>
      <c r="AV14" s="377"/>
      <c r="AW14" s="377"/>
      <c r="AX14" s="377"/>
      <c r="AY14" s="377"/>
      <c r="AZ14" s="377"/>
      <c r="BA14" s="377"/>
      <c r="BB14" s="377"/>
      <c r="BC14" s="378"/>
      <c r="BD14" s="413"/>
      <c r="BE14" s="134"/>
      <c r="BF14" s="134"/>
      <c r="BG14" s="134"/>
      <c r="BH14" s="134"/>
      <c r="BI14" s="113" t="str">
        <f t="shared" si="40"/>
        <v>E5040</v>
      </c>
      <c r="BJ14" s="568" t="str">
        <f t="shared" si="41"/>
        <v>Chépy</v>
      </c>
      <c r="BK14" s="411">
        <f>$AJ14</f>
        <v>45.900023635074447</v>
      </c>
      <c r="BL14" s="411">
        <f t="shared" ref="BL14:BV14" si="47">$AJ14</f>
        <v>45.900023635074447</v>
      </c>
      <c r="BM14" s="411">
        <f t="shared" si="47"/>
        <v>45.900023635074447</v>
      </c>
      <c r="BN14" s="411">
        <f t="shared" si="47"/>
        <v>45.900023635074447</v>
      </c>
      <c r="BO14" s="411">
        <f t="shared" si="47"/>
        <v>45.900023635074447</v>
      </c>
      <c r="BP14" s="411">
        <f t="shared" si="47"/>
        <v>45.900023635074447</v>
      </c>
      <c r="BQ14" s="411">
        <f t="shared" si="47"/>
        <v>45.900023635074447</v>
      </c>
      <c r="BR14" s="411">
        <f t="shared" si="47"/>
        <v>45.900023635074447</v>
      </c>
      <c r="BS14" s="411">
        <f t="shared" si="47"/>
        <v>45.900023635074447</v>
      </c>
      <c r="BT14" s="411">
        <f t="shared" si="47"/>
        <v>45.900023635074447</v>
      </c>
      <c r="BU14" s="411">
        <f t="shared" si="47"/>
        <v>45.900023635074447</v>
      </c>
      <c r="BV14" s="412">
        <f t="shared" si="47"/>
        <v>45.900023635074447</v>
      </c>
      <c r="BW14" s="413" t="s">
        <v>3407</v>
      </c>
      <c r="BX14" s="134"/>
      <c r="BY14" s="134"/>
      <c r="BZ14" s="134"/>
      <c r="CA14" s="134"/>
      <c r="CB14" s="113" t="str">
        <f t="shared" si="5"/>
        <v>E5040</v>
      </c>
      <c r="CC14" s="373" t="str">
        <f t="shared" si="6"/>
        <v>Chépy</v>
      </c>
      <c r="CD14" s="411">
        <f t="shared" si="43"/>
        <v>45.900023635074447</v>
      </c>
      <c r="CE14" s="411">
        <f t="shared" si="7"/>
        <v>45.900023635074447</v>
      </c>
      <c r="CF14" s="411">
        <f t="shared" si="8"/>
        <v>45.900023635074447</v>
      </c>
      <c r="CG14" s="411">
        <f t="shared" si="9"/>
        <v>45.900023635074447</v>
      </c>
      <c r="CH14" s="411">
        <f t="shared" si="10"/>
        <v>45.900023635074447</v>
      </c>
      <c r="CI14" s="411">
        <f t="shared" si="11"/>
        <v>45.900023635074447</v>
      </c>
      <c r="CJ14" s="411">
        <f t="shared" si="12"/>
        <v>45.900023635074447</v>
      </c>
      <c r="CK14" s="411">
        <f t="shared" si="13"/>
        <v>45.900023635074447</v>
      </c>
      <c r="CL14" s="411">
        <f t="shared" si="14"/>
        <v>45.900023635074447</v>
      </c>
      <c r="CM14" s="411">
        <f t="shared" si="15"/>
        <v>45.900023635074447</v>
      </c>
      <c r="CN14" s="411">
        <f t="shared" si="16"/>
        <v>45.900023635074447</v>
      </c>
      <c r="CO14" s="412">
        <f t="shared" si="17"/>
        <v>45.900023635074447</v>
      </c>
      <c r="CP14" s="413"/>
      <c r="CQ14" s="134">
        <f t="shared" si="18"/>
        <v>4.0000000000000001E-3</v>
      </c>
      <c r="CU14" s="113" t="str">
        <f t="shared" si="19"/>
        <v>E5040</v>
      </c>
      <c r="CV14" s="359" t="str">
        <f t="shared" si="20"/>
        <v>Chépy</v>
      </c>
      <c r="CW14" s="374">
        <f t="shared" si="21"/>
        <v>36481.743992765681</v>
      </c>
      <c r="CX14" s="375">
        <f t="shared" si="22"/>
        <v>28697.114967063153</v>
      </c>
      <c r="CY14" s="375">
        <f t="shared" si="23"/>
        <v>26142.460619909507</v>
      </c>
      <c r="CZ14" s="375">
        <f t="shared" si="24"/>
        <v>18326.608733088924</v>
      </c>
      <c r="DA14" s="375">
        <f t="shared" si="25"/>
        <v>17263.214193028431</v>
      </c>
      <c r="DB14" s="375">
        <f t="shared" si="26"/>
        <v>13089.51968774351</v>
      </c>
      <c r="DC14" s="375">
        <f t="shared" si="27"/>
        <v>13573.446911080524</v>
      </c>
      <c r="DD14" s="375">
        <f t="shared" si="28"/>
        <v>13692.471662111102</v>
      </c>
      <c r="DE14" s="375">
        <f t="shared" si="29"/>
        <v>16929.027785504073</v>
      </c>
      <c r="DF14" s="375">
        <f t="shared" si="30"/>
        <v>26586.819690423668</v>
      </c>
      <c r="DG14" s="375">
        <f t="shared" si="31"/>
        <v>28186.465528138051</v>
      </c>
      <c r="DH14" s="376">
        <f t="shared" si="32"/>
        <v>34402.778341431593</v>
      </c>
      <c r="DI14" s="132">
        <f t="shared" si="33"/>
        <v>273371.67211228824</v>
      </c>
      <c r="DJ14" s="364">
        <f>_xll.LVCELL($E$1,Q$2,$C14,$D$2,$C$4,$C$5,$C$6,$C$7,$C$8,$D$3)+_xll.LVCELL($E$2,Q$2,$C14,$D$2,$C$4,$C$5,$C$6,$C$7,$C$8,$D$3)</f>
        <v>273371.68423936801</v>
      </c>
      <c r="DK14" s="82">
        <f t="shared" si="44"/>
        <v>-1.2127079768106341E-2</v>
      </c>
      <c r="DM14" s="518">
        <f t="shared" si="34"/>
        <v>45.900023635074454</v>
      </c>
      <c r="DO14" s="64" t="str">
        <f t="shared" si="35"/>
        <v>E5040</v>
      </c>
      <c r="DP14" s="64" t="str">
        <f t="shared" si="36"/>
        <v>E5040</v>
      </c>
      <c r="DQ14" s="359" t="str">
        <f t="shared" si="37"/>
        <v>Chépy</v>
      </c>
      <c r="DR14" s="365">
        <f>_xll.LVCELL($DP$3,DR$3,$DP14,$DQ$2,$DP$4,$DP$5,$DP$6,$DP$7,$DP$8,$DQ$3)/100</f>
        <v>0.97</v>
      </c>
      <c r="DS14" s="365">
        <f>_xll.LVCELL($DP$3,DS$3,$DP14,$DQ$2,$DP$4,$DP$5,$DP$6,$DP$7,$DP$8,$DQ$3)/100</f>
        <v>0.97</v>
      </c>
      <c r="DT14" s="365">
        <f>_xll.LVCELL($DP$3,DT$3,$DP14,$DQ$2,$DP$4,$DP$5,$DP$6,$DP$7,$DP$8,$DQ$3)/100</f>
        <v>0.97</v>
      </c>
      <c r="DU14" s="365">
        <f>_xll.LVCELL($DP$3,DU$3,$DP14,$DQ$2,$DP$4,$DP$5,$DP$6,$DP$7,$DP$8,$DQ$3)/100</f>
        <v>0.97</v>
      </c>
      <c r="DV14" s="365">
        <f>_xll.LVCELL($DP$3,DV$3,$DP14,$DQ$2,$DP$4,$DP$5,$DP$6,$DP$7,$DP$8,$DQ$3)/100</f>
        <v>0.97</v>
      </c>
      <c r="DW14" s="365">
        <f>_xll.LVCELL($DP$3,DW$3,$DP14,$DQ$2,$DP$4,$DP$5,$DP$6,$DP$7,$DP$8,$DQ$3)/100</f>
        <v>0.97</v>
      </c>
      <c r="DX14" s="365">
        <f>_xll.LVCELL($DP$3,DX$3,$DP14,$DQ$2,$DP$4,$DP$5,$DP$6,$DP$7,$DP$8,$DQ$3)/100</f>
        <v>0.97</v>
      </c>
      <c r="DY14" s="365">
        <f>_xll.LVCELL($DP$3,DY$3,$DP14,$DQ$2,$DP$4,$DP$5,$DP$6,$DP$7,$DP$8,$DQ$3)/100</f>
        <v>0.97</v>
      </c>
      <c r="DZ14" s="365">
        <f>_xll.LVCELL($DP$3,DZ$3,$DP14,$DQ$2,$DP$4,$DP$5,$DP$6,$DP$7,$DP$8,$DQ$3)/100</f>
        <v>0.97</v>
      </c>
      <c r="EA14" s="365">
        <f>_xll.LVCELL($DP$3,EA$3,$DP14,$DQ$2,$DP$4,$DP$5,$DP$6,$DP$7,$DP$8,$DQ$3)/100</f>
        <v>0.97</v>
      </c>
      <c r="EB14" s="365">
        <f>_xll.LVCELL($DP$3,EB$3,$DP14,$DQ$2,$DP$4,$DP$5,$DP$6,$DP$7,$DP$8,$DQ$3)/100</f>
        <v>0.97</v>
      </c>
      <c r="EC14" s="365">
        <f>_xll.LVCELL($DP$3,EC$3,$DP14,$DQ$2,$DP$4,$DP$5,$DP$6,$DP$7,$DP$8,$DQ$3)/100</f>
        <v>0.97</v>
      </c>
      <c r="ED14" s="582">
        <f t="shared" si="45"/>
        <v>11.64</v>
      </c>
      <c r="EF14" s="64" t="s">
        <v>409</v>
      </c>
      <c r="EG14" s="64" t="s">
        <v>409</v>
      </c>
      <c r="EH14" s="359" t="s">
        <v>284</v>
      </c>
      <c r="EI14" s="366" t="e">
        <f ca="1">_xll.LVCELL($EG$3,EI$3,$DP14,$DQ$2,$DP$4,$DP$5,$DP$6,$DP$7,$DP$8,$DQ$3)-CW14</f>
        <v>#NAME?</v>
      </c>
      <c r="EJ14" s="367" t="e">
        <f ca="1">_xll.LVCELL($EG$3,EJ$3,$DP14,$DQ$2,$DP$4,$DP$5,$DP$6,$DP$7,$DP$8,$DQ$3)-CX14</f>
        <v>#NAME?</v>
      </c>
      <c r="EK14" s="368" t="e">
        <f ca="1">_xll.LVCELL($EG$3,EK$3,$DP14,$DQ$2,$DP$4,$DP$5,$DP$6,$DP$7,$DP$8,$DQ$3)-CY14</f>
        <v>#NAME?</v>
      </c>
      <c r="EL14" s="367" t="e">
        <f ca="1">_xll.LVCELL($EG$3,EL$3,$DP14,$DQ$2,$DP$4,$DP$5,$DP$6,$DP$7,$DP$8,$DQ$3)-CZ14</f>
        <v>#NAME?</v>
      </c>
      <c r="EM14" s="368" t="e">
        <f ca="1">_xll.LVCELL($EG$3,EM$3,$DP14,$DQ$2,$DP$4,$DP$5,$DP$6,$DP$7,$DP$8,$DQ$3)-DA14</f>
        <v>#NAME?</v>
      </c>
      <c r="EN14" s="367" t="e">
        <f ca="1">_xll.LVCELL($EG$3,EN$3,$DP14,$DQ$2,$DP$4,$DP$5,$DP$6,$DP$7,$DP$8,$DQ$3)-DB14</f>
        <v>#NAME?</v>
      </c>
      <c r="EO14" s="368" t="e">
        <f ca="1">_xll.LVCELL($EG$3,EO$3,$DP14,$DQ$2,$DP$4,$DP$5,$DP$6,$DP$7,$DP$8,$DQ$3)-DC14</f>
        <v>#NAME?</v>
      </c>
      <c r="EP14" s="367" t="e">
        <f ca="1">_xll.LVCELL($EG$3,EP$3,$DP14,$DQ$2,$DP$4,$DP$5,$DP$6,$DP$7,$DP$8,$DQ$3)-DD14</f>
        <v>#NAME?</v>
      </c>
      <c r="EQ14" s="368" t="e">
        <f ca="1">_xll.LVCELL($EG$3,EQ$3,$DP14,$DQ$2,$DP$4,$DP$5,$DP$6,$DP$7,$DP$8,$DQ$3)-DE14</f>
        <v>#NAME?</v>
      </c>
      <c r="ER14" s="367" t="e">
        <f ca="1">_xll.LVCELL($EG$3,ER$3,$DP14,$DQ$2,$DP$4,$DP$5,$DP$6,$DP$7,$DP$8,$DQ$3)-DF14</f>
        <v>#NAME?</v>
      </c>
      <c r="ES14" s="368" t="e">
        <f ca="1">_xll.LVCELL($EG$3,ES$3,$DP14,$DQ$2,$DP$4,$DP$5,$DP$6,$DP$7,$DP$8,$DQ$3)-DG14</f>
        <v>#NAME?</v>
      </c>
      <c r="ET14" s="367" t="e">
        <f ca="1">_xll.LVCELL($EG$3,ET$3,$DP14,$DQ$2,$DP$4,$DP$5,$DP$6,$DP$7,$DP$8,$DQ$3)-DH14</f>
        <v>#NAME?</v>
      </c>
      <c r="EW14" s="64" t="s">
        <v>409</v>
      </c>
      <c r="EX14" s="64" t="s">
        <v>409</v>
      </c>
      <c r="EY14" s="359" t="s">
        <v>284</v>
      </c>
      <c r="EZ14" s="364">
        <f>_xll.LVCELL($EX$3,EZ$3,$DP14,$DQ$2,$DP$4,$DP$5,$DP$6,$DP$7,$DP$8,$DQ$3)</f>
        <v>4000</v>
      </c>
      <c r="FA14" s="364">
        <f>_xll.LVCELL($EX$3,FA$3,$DP14,$DQ$2,$DP$4,$DP$5,$DP$6,$DP$7,$DP$8,$DQ$3)</f>
        <v>4000</v>
      </c>
      <c r="FB14" s="364">
        <f>_xll.LVCELL($EX$3,FB$3,$DP14,$DQ$2,$DP$4,$DP$5,$DP$6,$DP$7,$DP$8,$DQ$3)</f>
        <v>4000</v>
      </c>
      <c r="FC14" s="364">
        <f>_xll.LVCELL($EX$3,FC$3,$DP14,$DQ$2,$DP$4,$DP$5,$DP$6,$DP$7,$DP$8,$DQ$3)</f>
        <v>4000</v>
      </c>
      <c r="FD14" s="364">
        <f>_xll.LVCELL($EX$3,FD$3,$DP14,$DQ$2,$DP$4,$DP$5,$DP$6,$DP$7,$DP$8,$DQ$3)</f>
        <v>4000</v>
      </c>
      <c r="FE14" s="364">
        <f>_xll.LVCELL($EX$3,FE$3,$DP14,$DQ$2,$DP$4,$DP$5,$DP$6,$DP$7,$DP$8,$DQ$3)</f>
        <v>4000</v>
      </c>
      <c r="FF14" s="364">
        <f>_xll.LVCELL($EX$3,FF$3,$DP14,$DQ$2,$DP$4,$DP$5,$DP$6,$DP$7,$DP$8,$DQ$3)</f>
        <v>4000</v>
      </c>
      <c r="FG14" s="364">
        <f>_xll.LVCELL($EX$3,FG$3,$DP14,$DQ$2,$DP$4,$DP$5,$DP$6,$DP$7,$DP$8,$DQ$3)</f>
        <v>4000</v>
      </c>
      <c r="FH14" s="364">
        <f>_xll.LVCELL($EX$3,FH$3,$DP14,$DQ$2,$DP$4,$DP$5,$DP$6,$DP$7,$DP$8,$DQ$3)</f>
        <v>4000</v>
      </c>
      <c r="FI14" s="364">
        <f>_xll.LVCELL($EX$3,FI$3,$DP14,$DQ$2,$DP$4,$DP$5,$DP$6,$DP$7,$DP$8,$DQ$3)</f>
        <v>4000</v>
      </c>
      <c r="FJ14" s="364">
        <f>_xll.LVCELL($EX$3,FJ$3,$DP14,$DQ$2,$DP$4,$DP$5,$DP$6,$DP$7,$DP$8,$DQ$3)</f>
        <v>4000</v>
      </c>
      <c r="FK14" s="276">
        <f>_xll.LVCELL($EX$3,FK$3,$DP14,$DQ$2,$DP$4,$DP$5,$DP$6,$DP$7,$DP$8,$DQ$3)</f>
        <v>4000</v>
      </c>
      <c r="FN14" s="64" t="s">
        <v>409</v>
      </c>
      <c r="FO14" s="64" t="s">
        <v>409</v>
      </c>
      <c r="FP14" s="359" t="s">
        <v>284</v>
      </c>
      <c r="FQ14" s="364">
        <f>_xll.LVCELL($FO$3,FQ$3,$DP14,$DQ$2,$DP$4,$DP$5,$DP$6,$DP$7,$DP$8,$DQ$3)</f>
        <v>2</v>
      </c>
      <c r="FR14" s="364">
        <f>_xll.LVCELL($FO$3,FR$3,$DP14,$DQ$2,$DP$4,$DP$5,$DP$6,$DP$7,$DP$8,$DQ$3)</f>
        <v>2</v>
      </c>
      <c r="FS14" s="364">
        <f>_xll.LVCELL($FO$3,FS$3,$DP14,$DQ$2,$DP$4,$DP$5,$DP$6,$DP$7,$DP$8,$DQ$3)</f>
        <v>2</v>
      </c>
      <c r="FT14" s="364">
        <f>_xll.LVCELL($FO$3,FT$3,$DP14,$DQ$2,$DP$4,$DP$5,$DP$6,$DP$7,$DP$8,$DQ$3)</f>
        <v>2</v>
      </c>
      <c r="FU14" s="364">
        <f>_xll.LVCELL($FO$3,FU$3,$DP14,$DQ$2,$DP$4,$DP$5,$DP$6,$DP$7,$DP$8,$DQ$3)</f>
        <v>2</v>
      </c>
      <c r="FV14" s="364">
        <f>_xll.LVCELL($FO$3,FV$3,$DP14,$DQ$2,$DP$4,$DP$5,$DP$6,$DP$7,$DP$8,$DQ$3)</f>
        <v>2</v>
      </c>
      <c r="FW14" s="364">
        <f>_xll.LVCELL($FO$3,FW$3,$DP14,$DQ$2,$DP$4,$DP$5,$DP$6,$DP$7,$DP$8,$DQ$3)</f>
        <v>2</v>
      </c>
      <c r="FX14" s="364">
        <f>_xll.LVCELL($FO$3,FX$3,$DP14,$DQ$2,$DP$4,$DP$5,$DP$6,$DP$7,$DP$8,$DQ$3)</f>
        <v>2</v>
      </c>
      <c r="FY14" s="364">
        <f>_xll.LVCELL($FO$3,FY$3,$DP14,$DQ$2,$DP$4,$DP$5,$DP$6,$DP$7,$DP$8,$DQ$3)</f>
        <v>2</v>
      </c>
      <c r="FZ14" s="364">
        <f>_xll.LVCELL($FO$3,FZ$3,$DP14,$DQ$2,$DP$4,$DP$5,$DP$6,$DP$7,$DP$8,$DQ$3)</f>
        <v>2</v>
      </c>
      <c r="GA14" s="364">
        <f>_xll.LVCELL($FO$3,GA$3,$DP14,$DQ$2,$DP$4,$DP$5,$DP$6,$DP$7,$DP$8,$DQ$3)</f>
        <v>2</v>
      </c>
      <c r="GB14" s="172">
        <f>_xll.LVCELL($FO$3,GB$3,$DP14,$DQ$2,$DP$4,$DP$5,$DP$6,$DP$7,$DP$8,$DQ$3)</f>
        <v>2</v>
      </c>
    </row>
    <row r="15" spans="1:184" ht="15">
      <c r="B15" s="64" t="s">
        <v>411</v>
      </c>
      <c r="C15" s="64" t="s">
        <v>411</v>
      </c>
      <c r="D15" s="359" t="s">
        <v>285</v>
      </c>
      <c r="E15" s="357">
        <f>_xll.LVCELL($C$3,Q$3,$C15,$D$2,$C$4,$C$5,$C$6,$C$7,$C$8,$D$3)/1000</f>
        <v>12</v>
      </c>
      <c r="F15" s="103">
        <f>'distribution mensuelle Prod B22'!$G$36</f>
        <v>2344355.8761508954</v>
      </c>
      <c r="G15" s="103">
        <f>'distribution mensuelle Prod B22'!$G$37</f>
        <v>1843231.1116976351</v>
      </c>
      <c r="H15" s="103">
        <f>'distribution mensuelle Prod B22'!$G$38</f>
        <v>1683338.3681885155</v>
      </c>
      <c r="I15" s="103">
        <f>'distribution mensuelle Prod B22'!$G$39</f>
        <v>1180303.3813721319</v>
      </c>
      <c r="J15" s="103">
        <f>'distribution mensuelle Prod B22'!$G$40</f>
        <v>1120249.3799242675</v>
      </c>
      <c r="K15" s="103">
        <f>'distribution mensuelle Prod B22'!$G$41</f>
        <v>861877.74312788935</v>
      </c>
      <c r="L15" s="103">
        <f>'distribution mensuelle Prod B22'!$G$42</f>
        <v>904316.99398989044</v>
      </c>
      <c r="M15" s="103">
        <f>'distribution mensuelle Prod B22'!$G$43</f>
        <v>907744.4921793252</v>
      </c>
      <c r="N15" s="103">
        <f>'distribution mensuelle Prod B22'!$G$44</f>
        <v>1106383.1439225757</v>
      </c>
      <c r="O15" s="103">
        <f>'distribution mensuelle Prod B22'!$G$45</f>
        <v>1713696.2092949366</v>
      </c>
      <c r="P15" s="103">
        <f>'distribution mensuelle Prod B22'!$G$46</f>
        <v>1822840.8299721216</v>
      </c>
      <c r="Q15" s="103">
        <f>'distribution mensuelle Prod B22'!$G$47</f>
        <v>2211662.7319599288</v>
      </c>
      <c r="R15" s="67">
        <f t="shared" si="1"/>
        <v>17700000.261780113</v>
      </c>
      <c r="S15" s="358"/>
      <c r="W15" s="113" t="str">
        <f t="shared" si="2"/>
        <v>E5050</v>
      </c>
      <c r="X15" s="359" t="str">
        <f t="shared" si="3"/>
        <v>Nibas</v>
      </c>
      <c r="Y15" s="299" cm="1">
        <f t="array" ref="Y15">_xll.LVCELL($D$4,F$1,$B15,$D$2,$C$4,$C$5,$C$6,$C$7,$C$8,$D$3)*1000</f>
        <v>45.900005</v>
      </c>
      <c r="Z15" s="299" cm="1">
        <f t="array" ref="Z15">_xll.LVCELL($D$4,G$1,$B15,$D$2,$C$4,$C$5,$C$6,$C$7,$C$8,$D$3)*1000</f>
        <v>45.899996999999999</v>
      </c>
      <c r="AA15" s="411" cm="1">
        <f t="array" ref="AA15">_xll.LVCELL($D$4,H$1,$B15,$D$2,$C$4,$C$5,$C$6,$C$7,$C$8,$D$3)*1000</f>
        <v>45.899998470820712</v>
      </c>
      <c r="AB15" s="299" cm="1">
        <f t="array" ref="AB15">_xll.LVCELL($D$4,I$1,$B15,$D$2,$C$4,$C$5,$C$6,$C$7,$C$8,$D$3)*1000</f>
        <v>45.899997167350364</v>
      </c>
      <c r="AC15" s="299" cm="1">
        <f t="array" ref="AC15">_xll.LVCELL($D$4,J$1,$B15,$D$2,$C$4,$C$5,$C$6,$C$7,$C$8,$D$3)*1000</f>
        <v>45.899996970408459</v>
      </c>
      <c r="AD15" s="299" cm="1">
        <f t="array" ref="AD15">_xll.LVCELL($D$4,K$1,$B15,$D$2,$C$4,$C$5,$C$6,$C$7,$C$8,$D$3)*1000</f>
        <v>45.900002703866321</v>
      </c>
      <c r="AE15" s="299" cm="1">
        <f t="array" ref="AE15">_xll.LVCELL($D$4,L$1,$B15,$D$2,$C$4,$C$5,$C$6,$C$7,$C$8,$D$3)*1000</f>
        <v>45.789371794871798</v>
      </c>
      <c r="AF15" s="299">
        <f>$AD$15</f>
        <v>45.900002703866321</v>
      </c>
      <c r="AG15" s="299">
        <f t="shared" si="46"/>
        <v>45.900002703866321</v>
      </c>
      <c r="AH15" s="299">
        <f t="shared" si="46"/>
        <v>45.900002703866321</v>
      </c>
      <c r="AI15" s="411">
        <f t="shared" si="46"/>
        <v>45.900002703866321</v>
      </c>
      <c r="AJ15" s="412">
        <f t="shared" si="46"/>
        <v>45.900002703866321</v>
      </c>
      <c r="AK15" s="413" t="s">
        <v>3408</v>
      </c>
      <c r="AL15" s="134">
        <f t="shared" si="4"/>
        <v>2.3E-2</v>
      </c>
      <c r="AM15" s="134"/>
      <c r="AN15" s="134"/>
      <c r="AO15" s="134"/>
      <c r="AP15" s="113" t="str">
        <f t="shared" si="38"/>
        <v>E5050</v>
      </c>
      <c r="AQ15" s="568" t="str">
        <f t="shared" si="39"/>
        <v>Nibas</v>
      </c>
      <c r="AR15" s="377"/>
      <c r="AS15" s="377"/>
      <c r="AT15" s="377"/>
      <c r="AU15" s="377"/>
      <c r="AV15" s="377"/>
      <c r="AW15" s="377"/>
      <c r="AX15" s="377"/>
      <c r="AY15" s="377"/>
      <c r="AZ15" s="377"/>
      <c r="BA15" s="377"/>
      <c r="BB15" s="377"/>
      <c r="BC15" s="378"/>
      <c r="BD15" s="413"/>
      <c r="BE15" s="134"/>
      <c r="BF15" s="134"/>
      <c r="BG15" s="134"/>
      <c r="BH15" s="134"/>
      <c r="BI15" s="113" t="str">
        <f t="shared" si="40"/>
        <v>E5050</v>
      </c>
      <c r="BJ15" s="568" t="str">
        <f t="shared" si="41"/>
        <v>Nibas</v>
      </c>
      <c r="BK15" s="411">
        <f t="shared" ref="BK15:BV19" si="48">$AJ15</f>
        <v>45.900002703866321</v>
      </c>
      <c r="BL15" s="411">
        <f t="shared" si="48"/>
        <v>45.900002703866321</v>
      </c>
      <c r="BM15" s="411">
        <f t="shared" si="48"/>
        <v>45.900002703866321</v>
      </c>
      <c r="BN15" s="411">
        <f t="shared" si="48"/>
        <v>45.900002703866321</v>
      </c>
      <c r="BO15" s="411">
        <f t="shared" si="48"/>
        <v>45.900002703866321</v>
      </c>
      <c r="BP15" s="411">
        <f t="shared" si="48"/>
        <v>45.900002703866321</v>
      </c>
      <c r="BQ15" s="411">
        <f t="shared" si="48"/>
        <v>45.900002703866321</v>
      </c>
      <c r="BR15" s="411">
        <f t="shared" si="48"/>
        <v>45.900002703866321</v>
      </c>
      <c r="BS15" s="411">
        <f t="shared" si="48"/>
        <v>45.900002703866321</v>
      </c>
      <c r="BT15" s="411">
        <f t="shared" si="48"/>
        <v>45.900002703866321</v>
      </c>
      <c r="BU15" s="411">
        <f t="shared" si="48"/>
        <v>45.900002703866321</v>
      </c>
      <c r="BV15" s="412">
        <f t="shared" si="48"/>
        <v>45.900002703866321</v>
      </c>
      <c r="BW15" s="413" t="s">
        <v>3407</v>
      </c>
      <c r="BX15" s="134"/>
      <c r="BY15" s="134"/>
      <c r="BZ15" s="134"/>
      <c r="CA15" s="134"/>
      <c r="CB15" s="113" t="str">
        <f t="shared" si="5"/>
        <v>E5050</v>
      </c>
      <c r="CC15" s="373" t="str">
        <f t="shared" si="6"/>
        <v>Nibas</v>
      </c>
      <c r="CD15" s="411">
        <f t="shared" si="43"/>
        <v>45.900002703866321</v>
      </c>
      <c r="CE15" s="411">
        <f t="shared" si="7"/>
        <v>45.900002703866321</v>
      </c>
      <c r="CF15" s="411">
        <f t="shared" si="8"/>
        <v>45.900002703866321</v>
      </c>
      <c r="CG15" s="411">
        <f t="shared" si="9"/>
        <v>45.900002703866321</v>
      </c>
      <c r="CH15" s="411">
        <f t="shared" si="10"/>
        <v>45.900002703866321</v>
      </c>
      <c r="CI15" s="411">
        <f t="shared" si="11"/>
        <v>45.900002703866321</v>
      </c>
      <c r="CJ15" s="411">
        <f t="shared" si="12"/>
        <v>45.900002703866321</v>
      </c>
      <c r="CK15" s="411">
        <f t="shared" si="13"/>
        <v>45.900002703866321</v>
      </c>
      <c r="CL15" s="411">
        <f t="shared" si="14"/>
        <v>45.900002703866321</v>
      </c>
      <c r="CM15" s="411">
        <f t="shared" si="15"/>
        <v>45.900002703866321</v>
      </c>
      <c r="CN15" s="411">
        <f t="shared" si="16"/>
        <v>45.900002703866321</v>
      </c>
      <c r="CO15" s="412">
        <f t="shared" si="17"/>
        <v>45.900002703866321</v>
      </c>
      <c r="CP15" s="413"/>
      <c r="CQ15" s="134">
        <f t="shared" si="18"/>
        <v>4.0000000000000001E-3</v>
      </c>
      <c r="CU15" s="113" t="str">
        <f t="shared" si="19"/>
        <v>E5050</v>
      </c>
      <c r="CV15" s="359" t="str">
        <f t="shared" si="20"/>
        <v>Nibas</v>
      </c>
      <c r="CW15" s="300">
        <f t="shared" si="21"/>
        <v>107605.941054151</v>
      </c>
      <c r="CX15" s="298">
        <f t="shared" si="22"/>
        <v>84604.313010771977</v>
      </c>
      <c r="CY15" s="298">
        <f t="shared" si="23"/>
        <v>77265.23565137478</v>
      </c>
      <c r="CZ15" s="298">
        <f t="shared" si="24"/>
        <v>54175.928396363415</v>
      </c>
      <c r="DA15" s="298">
        <f t="shared" si="25"/>
        <v>51419.449567528449</v>
      </c>
      <c r="DB15" s="298">
        <f t="shared" si="26"/>
        <v>39560.190739972328</v>
      </c>
      <c r="DC15" s="298">
        <f t="shared" si="27"/>
        <v>41508.152469288238</v>
      </c>
      <c r="DD15" s="298">
        <f t="shared" si="28"/>
        <v>41665.474645450791</v>
      </c>
      <c r="DE15" s="298">
        <f t="shared" si="29"/>
        <v>50782.98929755835</v>
      </c>
      <c r="DF15" s="298">
        <f t="shared" si="30"/>
        <v>78658.660640243063</v>
      </c>
      <c r="DG15" s="371">
        <f t="shared" si="31"/>
        <v>83668.399024438317</v>
      </c>
      <c r="DH15" s="376">
        <f t="shared" si="32"/>
        <v>101515.32537700111</v>
      </c>
      <c r="DI15" s="132">
        <f t="shared" si="33"/>
        <v>812430.05987414182</v>
      </c>
      <c r="DJ15" s="364">
        <f>_xll.LVCELL($E$1,Q$2,$C15,$D$2,$C$4,$C$5,$C$6,$C$7,$C$8,$D$3)+_xll.LVCELL($E$2,Q$2,$C15,$D$2,$C$4,$C$5,$C$6,$C$7,$C$8,$D$3)</f>
        <v>812430.00719999697</v>
      </c>
      <c r="DK15" s="82">
        <f t="shared" si="44"/>
        <v>5.2674144855700433E-2</v>
      </c>
      <c r="DM15" s="518">
        <f t="shared" si="34"/>
        <v>45.900002703866321</v>
      </c>
      <c r="DO15" s="64" t="str">
        <f t="shared" si="35"/>
        <v>E5050</v>
      </c>
      <c r="DP15" s="64" t="str">
        <f t="shared" si="36"/>
        <v>E5050</v>
      </c>
      <c r="DQ15" s="359" t="str">
        <f t="shared" si="37"/>
        <v>Nibas</v>
      </c>
      <c r="DR15" s="365">
        <f>_xll.LVCELL($DP$3,DR$3,$DP15,$DQ$2,$DP$4,$DP$5,$DP$6,$DP$7,$DP$8,$DQ$3)/100</f>
        <v>0.97</v>
      </c>
      <c r="DS15" s="365">
        <f>_xll.LVCELL($DP$3,DS$3,$DP15,$DQ$2,$DP$4,$DP$5,$DP$6,$DP$7,$DP$8,$DQ$3)/100</f>
        <v>0.97</v>
      </c>
      <c r="DT15" s="365">
        <f>_xll.LVCELL($DP$3,DT$3,$DP15,$DQ$2,$DP$4,$DP$5,$DP$6,$DP$7,$DP$8,$DQ$3)/100</f>
        <v>0.97</v>
      </c>
      <c r="DU15" s="365">
        <f>_xll.LVCELL($DP$3,DU$3,$DP15,$DQ$2,$DP$4,$DP$5,$DP$6,$DP$7,$DP$8,$DQ$3)/100</f>
        <v>0.97</v>
      </c>
      <c r="DV15" s="365">
        <f>_xll.LVCELL($DP$3,DV$3,$DP15,$DQ$2,$DP$4,$DP$5,$DP$6,$DP$7,$DP$8,$DQ$3)/100</f>
        <v>0.97</v>
      </c>
      <c r="DW15" s="365">
        <f>_xll.LVCELL($DP$3,DW$3,$DP15,$DQ$2,$DP$4,$DP$5,$DP$6,$DP$7,$DP$8,$DQ$3)/100</f>
        <v>0.97</v>
      </c>
      <c r="DX15" s="365">
        <f>_xll.LVCELL($DP$3,DX$3,$DP15,$DQ$2,$DP$4,$DP$5,$DP$6,$DP$7,$DP$8,$DQ$3)/100</f>
        <v>0.97</v>
      </c>
      <c r="DY15" s="365">
        <f>_xll.LVCELL($DP$3,DY$3,$DP15,$DQ$2,$DP$4,$DP$5,$DP$6,$DP$7,$DP$8,$DQ$3)/100</f>
        <v>0.97</v>
      </c>
      <c r="DZ15" s="365">
        <f>_xll.LVCELL($DP$3,DZ$3,$DP15,$DQ$2,$DP$4,$DP$5,$DP$6,$DP$7,$DP$8,$DQ$3)/100</f>
        <v>0.97</v>
      </c>
      <c r="EA15" s="365">
        <f>_xll.LVCELL($DP$3,EA$3,$DP15,$DQ$2,$DP$4,$DP$5,$DP$6,$DP$7,$DP$8,$DQ$3)/100</f>
        <v>0.97</v>
      </c>
      <c r="EB15" s="365">
        <f>_xll.LVCELL($DP$3,EB$3,$DP15,$DQ$2,$DP$4,$DP$5,$DP$6,$DP$7,$DP$8,$DQ$3)/100</f>
        <v>0.97</v>
      </c>
      <c r="EC15" s="365">
        <f>_xll.LVCELL($DP$3,EC$3,$DP15,$DQ$2,$DP$4,$DP$5,$DP$6,$DP$7,$DP$8,$DQ$3)/100</f>
        <v>0.97</v>
      </c>
      <c r="ED15" s="582">
        <f t="shared" si="45"/>
        <v>11.64</v>
      </c>
      <c r="EF15" s="64" t="s">
        <v>411</v>
      </c>
      <c r="EG15" s="64" t="s">
        <v>411</v>
      </c>
      <c r="EH15" s="359" t="s">
        <v>285</v>
      </c>
      <c r="EI15" s="366" t="e">
        <f ca="1">_xll.LVCELL($EG$3,EI$3,$DP15,$DQ$2,$DP$4,$DP$5,$DP$6,$DP$7,$DP$8,$DQ$3)-CW15</f>
        <v>#NAME?</v>
      </c>
      <c r="EJ15" s="367" t="e">
        <f ca="1">_xll.LVCELL($EG$3,EJ$3,$DP15,$DQ$2,$DP$4,$DP$5,$DP$6,$DP$7,$DP$8,$DQ$3)-CX15</f>
        <v>#NAME?</v>
      </c>
      <c r="EK15" s="368" t="e">
        <f ca="1">_xll.LVCELL($EG$3,EK$3,$DP15,$DQ$2,$DP$4,$DP$5,$DP$6,$DP$7,$DP$8,$DQ$3)-CY15</f>
        <v>#NAME?</v>
      </c>
      <c r="EL15" s="367" t="e">
        <f ca="1">_xll.LVCELL($EG$3,EL$3,$DP15,$DQ$2,$DP$4,$DP$5,$DP$6,$DP$7,$DP$8,$DQ$3)-CZ15</f>
        <v>#NAME?</v>
      </c>
      <c r="EM15" s="368" t="e">
        <f ca="1">_xll.LVCELL($EG$3,EM$3,$DP15,$DQ$2,$DP$4,$DP$5,$DP$6,$DP$7,$DP$8,$DQ$3)-DA15</f>
        <v>#NAME?</v>
      </c>
      <c r="EN15" s="367" t="e">
        <f ca="1">_xll.LVCELL($EG$3,EN$3,$DP15,$DQ$2,$DP$4,$DP$5,$DP$6,$DP$7,$DP$8,$DQ$3)-DB15</f>
        <v>#NAME?</v>
      </c>
      <c r="EO15" s="368" t="e">
        <f ca="1">_xll.LVCELL($EG$3,EO$3,$DP15,$DQ$2,$DP$4,$DP$5,$DP$6,$DP$7,$DP$8,$DQ$3)-DC15</f>
        <v>#NAME?</v>
      </c>
      <c r="EP15" s="367" t="e">
        <f ca="1">_xll.LVCELL($EG$3,EP$3,$DP15,$DQ$2,$DP$4,$DP$5,$DP$6,$DP$7,$DP$8,$DQ$3)-DD15</f>
        <v>#NAME?</v>
      </c>
      <c r="EQ15" s="368" t="e">
        <f ca="1">_xll.LVCELL($EG$3,EQ$3,$DP15,$DQ$2,$DP$4,$DP$5,$DP$6,$DP$7,$DP$8,$DQ$3)-DE15</f>
        <v>#NAME?</v>
      </c>
      <c r="ER15" s="367" t="e">
        <f ca="1">_xll.LVCELL($EG$3,ER$3,$DP15,$DQ$2,$DP$4,$DP$5,$DP$6,$DP$7,$DP$8,$DQ$3)-DF15</f>
        <v>#NAME?</v>
      </c>
      <c r="ES15" s="368" t="e">
        <f ca="1">_xll.LVCELL($EG$3,ES$3,$DP15,$DQ$2,$DP$4,$DP$5,$DP$6,$DP$7,$DP$8,$DQ$3)-DG15</f>
        <v>#NAME?</v>
      </c>
      <c r="ET15" s="367" t="e">
        <f ca="1">_xll.LVCELL($EG$3,ET$3,$DP15,$DQ$2,$DP$4,$DP$5,$DP$6,$DP$7,$DP$8,$DQ$3)-DH15</f>
        <v>#NAME?</v>
      </c>
      <c r="EW15" s="64" t="s">
        <v>411</v>
      </c>
      <c r="EX15" s="64" t="s">
        <v>411</v>
      </c>
      <c r="EY15" s="359" t="s">
        <v>285</v>
      </c>
      <c r="EZ15" s="364">
        <f>_xll.LVCELL($EX$3,EZ$3,$DP15,$DQ$2,$DP$4,$DP$5,$DP$6,$DP$7,$DP$8,$DQ$3)</f>
        <v>12000</v>
      </c>
      <c r="FA15" s="364">
        <f>_xll.LVCELL($EX$3,FA$3,$DP15,$DQ$2,$DP$4,$DP$5,$DP$6,$DP$7,$DP$8,$DQ$3)</f>
        <v>12000</v>
      </c>
      <c r="FB15" s="364">
        <f>_xll.LVCELL($EX$3,FB$3,$DP15,$DQ$2,$DP$4,$DP$5,$DP$6,$DP$7,$DP$8,$DQ$3)</f>
        <v>12000</v>
      </c>
      <c r="FC15" s="364">
        <f>_xll.LVCELL($EX$3,FC$3,$DP15,$DQ$2,$DP$4,$DP$5,$DP$6,$DP$7,$DP$8,$DQ$3)</f>
        <v>12000</v>
      </c>
      <c r="FD15" s="364">
        <f>_xll.LVCELL($EX$3,FD$3,$DP15,$DQ$2,$DP$4,$DP$5,$DP$6,$DP$7,$DP$8,$DQ$3)</f>
        <v>12000</v>
      </c>
      <c r="FE15" s="364">
        <f>_xll.LVCELL($EX$3,FE$3,$DP15,$DQ$2,$DP$4,$DP$5,$DP$6,$DP$7,$DP$8,$DQ$3)</f>
        <v>12000</v>
      </c>
      <c r="FF15" s="364">
        <f>_xll.LVCELL($EX$3,FF$3,$DP15,$DQ$2,$DP$4,$DP$5,$DP$6,$DP$7,$DP$8,$DQ$3)</f>
        <v>12000</v>
      </c>
      <c r="FG15" s="364">
        <f>_xll.LVCELL($EX$3,FG$3,$DP15,$DQ$2,$DP$4,$DP$5,$DP$6,$DP$7,$DP$8,$DQ$3)</f>
        <v>12000</v>
      </c>
      <c r="FH15" s="364">
        <f>_xll.LVCELL($EX$3,FH$3,$DP15,$DQ$2,$DP$4,$DP$5,$DP$6,$DP$7,$DP$8,$DQ$3)</f>
        <v>12000</v>
      </c>
      <c r="FI15" s="364">
        <f>_xll.LVCELL($EX$3,FI$3,$DP15,$DQ$2,$DP$4,$DP$5,$DP$6,$DP$7,$DP$8,$DQ$3)</f>
        <v>12000</v>
      </c>
      <c r="FJ15" s="364">
        <f>_xll.LVCELL($EX$3,FJ$3,$DP15,$DQ$2,$DP$4,$DP$5,$DP$6,$DP$7,$DP$8,$DQ$3)</f>
        <v>12000</v>
      </c>
      <c r="FK15" s="276">
        <f>_xll.LVCELL($EX$3,FK$3,$DP15,$DQ$2,$DP$4,$DP$5,$DP$6,$DP$7,$DP$8,$DQ$3)</f>
        <v>12000</v>
      </c>
      <c r="FN15" s="64" t="s">
        <v>411</v>
      </c>
      <c r="FO15" s="64" t="s">
        <v>411</v>
      </c>
      <c r="FP15" s="359" t="s">
        <v>285</v>
      </c>
      <c r="FQ15" s="364">
        <f>_xll.LVCELL($FO$3,FQ$3,$DP15,$DQ$2,$DP$4,$DP$5,$DP$6,$DP$7,$DP$8,$DQ$3)</f>
        <v>6</v>
      </c>
      <c r="FR15" s="364">
        <f>_xll.LVCELL($FO$3,FR$3,$DP15,$DQ$2,$DP$4,$DP$5,$DP$6,$DP$7,$DP$8,$DQ$3)</f>
        <v>6</v>
      </c>
      <c r="FS15" s="364">
        <f>_xll.LVCELL($FO$3,FS$3,$DP15,$DQ$2,$DP$4,$DP$5,$DP$6,$DP$7,$DP$8,$DQ$3)</f>
        <v>6</v>
      </c>
      <c r="FT15" s="364">
        <f>_xll.LVCELL($FO$3,FT$3,$DP15,$DQ$2,$DP$4,$DP$5,$DP$6,$DP$7,$DP$8,$DQ$3)</f>
        <v>6</v>
      </c>
      <c r="FU15" s="364">
        <f>_xll.LVCELL($FO$3,FU$3,$DP15,$DQ$2,$DP$4,$DP$5,$DP$6,$DP$7,$DP$8,$DQ$3)</f>
        <v>6</v>
      </c>
      <c r="FV15" s="364">
        <f>_xll.LVCELL($FO$3,FV$3,$DP15,$DQ$2,$DP$4,$DP$5,$DP$6,$DP$7,$DP$8,$DQ$3)</f>
        <v>6</v>
      </c>
      <c r="FW15" s="364">
        <f>_xll.LVCELL($FO$3,FW$3,$DP15,$DQ$2,$DP$4,$DP$5,$DP$6,$DP$7,$DP$8,$DQ$3)</f>
        <v>6</v>
      </c>
      <c r="FX15" s="364">
        <f>_xll.LVCELL($FO$3,FX$3,$DP15,$DQ$2,$DP$4,$DP$5,$DP$6,$DP$7,$DP$8,$DQ$3)</f>
        <v>6</v>
      </c>
      <c r="FY15" s="364">
        <f>_xll.LVCELL($FO$3,FY$3,$DP15,$DQ$2,$DP$4,$DP$5,$DP$6,$DP$7,$DP$8,$DQ$3)</f>
        <v>6</v>
      </c>
      <c r="FZ15" s="364">
        <f>_xll.LVCELL($FO$3,FZ$3,$DP15,$DQ$2,$DP$4,$DP$5,$DP$6,$DP$7,$DP$8,$DQ$3)</f>
        <v>6</v>
      </c>
      <c r="GA15" s="364">
        <f>_xll.LVCELL($FO$3,GA$3,$DP15,$DQ$2,$DP$4,$DP$5,$DP$6,$DP$7,$DP$8,$DQ$3)</f>
        <v>6</v>
      </c>
      <c r="GB15" s="172">
        <f>_xll.LVCELL($FO$3,GB$3,$DP15,$DQ$2,$DP$4,$DP$5,$DP$6,$DP$7,$DP$8,$DQ$3)</f>
        <v>6</v>
      </c>
    </row>
    <row r="16" spans="1:184" ht="15">
      <c r="B16" s="64" t="s">
        <v>316</v>
      </c>
      <c r="C16" s="64" t="s">
        <v>316</v>
      </c>
      <c r="D16" s="69" t="s">
        <v>528</v>
      </c>
      <c r="E16" s="357">
        <f>_xll.LVCELL($C$3,Q$3,$C16,$D$2,$C$4,$C$5,$C$6,$C$7,$C$8,$D$3)/1000</f>
        <v>10.5</v>
      </c>
      <c r="F16" s="103">
        <f>'distribution mensuelle Prod B22'!$H$36</f>
        <v>2210551.4143048842</v>
      </c>
      <c r="G16" s="103">
        <f>'distribution mensuelle Prod B22'!$H$37</f>
        <v>1916895.2198543821</v>
      </c>
      <c r="H16" s="103">
        <f>'distribution mensuelle Prod B22'!$H$38</f>
        <v>1926998.281001407</v>
      </c>
      <c r="I16" s="103">
        <f>'distribution mensuelle Prod B22'!$H$39</f>
        <v>1715873.6489110561</v>
      </c>
      <c r="J16" s="103">
        <f>'distribution mensuelle Prod B22'!$H$40</f>
        <v>1388247.3277248016</v>
      </c>
      <c r="K16" s="103">
        <f>'distribution mensuelle Prod B22'!$H$41</f>
        <v>946416.10086831078</v>
      </c>
      <c r="L16" s="103">
        <f>'distribution mensuelle Prod B22'!$H$42</f>
        <v>799151.22629023204</v>
      </c>
      <c r="M16" s="103">
        <f>'distribution mensuelle Prod B22'!$H$43</f>
        <v>728552.28289630509</v>
      </c>
      <c r="N16" s="103">
        <f>'distribution mensuelle Prod B22'!$H$44</f>
        <v>1134580.3920927371</v>
      </c>
      <c r="O16" s="103">
        <f>'distribution mensuelle Prod B22'!$H$45</f>
        <v>1823993.2652299399</v>
      </c>
      <c r="P16" s="103">
        <f>'distribution mensuelle Prod B22'!$H$46</f>
        <v>2042361.0946962968</v>
      </c>
      <c r="Q16" s="103">
        <f>'distribution mensuelle Prod B22'!$H$47</f>
        <v>2263211.2819183869</v>
      </c>
      <c r="R16" s="67">
        <f t="shared" si="1"/>
        <v>18896831.535788737</v>
      </c>
      <c r="S16" s="358"/>
      <c r="W16" s="113" t="str">
        <f t="shared" si="2"/>
        <v>E5070</v>
      </c>
      <c r="X16" s="359" t="str">
        <f t="shared" si="3"/>
        <v>Ally Bessadous</v>
      </c>
      <c r="Y16" s="299" cm="1">
        <f t="array" ref="Y16">_xll.LVCELL($D$4,F$1,$B16,$D$2,$C$4,$C$5,$C$6,$C$7,$C$8,$D$3)*1000</f>
        <v>18.02702</v>
      </c>
      <c r="Z16" s="299" cm="1">
        <f t="array" ref="Z16">_xll.LVCELL($D$4,G$1,$B16,$D$2,$C$4,$C$5,$C$6,$C$7,$C$8,$D$3)*1000</f>
        <v>47.500009000000006</v>
      </c>
      <c r="AA16" s="299" cm="1">
        <f t="array" ref="AA16">_xll.LVCELL($D$4,H$1,$B16,$D$2,$C$4,$C$5,$C$6,$C$7,$C$8,$D$3)*1000</f>
        <v>47.500021047550625</v>
      </c>
      <c r="AB16" s="299" cm="1">
        <f t="array" ref="AB16">_xll.LVCELL($D$4,I$1,$B16,$D$2,$C$4,$C$5,$C$6,$C$7,$C$8,$D$3)*1000</f>
        <v>47.499987648404421</v>
      </c>
      <c r="AC16" s="299" cm="1">
        <f t="array" ref="AC16">_xll.LVCELL($D$4,J$1,$B16,$D$2,$C$4,$C$5,$C$6,$C$7,$C$8,$D$3)*1000</f>
        <v>47.5</v>
      </c>
      <c r="AD16" s="299" cm="1">
        <f t="array" ref="AD16">_xll.LVCELL($D$4,K$1,$B16,$D$2,$C$4,$C$5,$C$6,$C$7,$C$8,$D$3)*1000</f>
        <v>47.500005608436879</v>
      </c>
      <c r="AE16" s="299" cm="1">
        <f t="array" ref="AE16">_xll.LVCELL($D$4,L$1,$B16,$D$2,$C$4,$C$5,$C$6,$C$7,$C$8,$D$3)*1000</f>
        <v>41.513027057649253</v>
      </c>
      <c r="AF16" s="299">
        <f>$AD$16</f>
        <v>47.500005608436879</v>
      </c>
      <c r="AG16" s="299">
        <f t="shared" si="46"/>
        <v>47.500005608436879</v>
      </c>
      <c r="AH16" s="299">
        <f t="shared" si="46"/>
        <v>47.500005608436879</v>
      </c>
      <c r="AI16" s="411">
        <f t="shared" si="46"/>
        <v>47.500005608436879</v>
      </c>
      <c r="AJ16" s="412">
        <f t="shared" si="46"/>
        <v>47.500005608436879</v>
      </c>
      <c r="AK16" s="413" t="s">
        <v>3408</v>
      </c>
      <c r="AL16" s="134">
        <f t="shared" si="4"/>
        <v>2.3E-2</v>
      </c>
      <c r="AM16" s="134"/>
      <c r="AN16" s="134"/>
      <c r="AO16" s="134"/>
      <c r="AP16" s="113" t="str">
        <f t="shared" si="38"/>
        <v>E5070</v>
      </c>
      <c r="AQ16" s="568" t="str">
        <f t="shared" si="39"/>
        <v>Ally Bessadous</v>
      </c>
      <c r="AR16" s="377"/>
      <c r="AS16" s="377"/>
      <c r="AT16" s="377"/>
      <c r="AU16" s="377"/>
      <c r="AV16" s="377"/>
      <c r="AW16" s="377"/>
      <c r="AX16" s="377"/>
      <c r="AY16" s="377"/>
      <c r="AZ16" s="377"/>
      <c r="BA16" s="377"/>
      <c r="BB16" s="377"/>
      <c r="BC16" s="378"/>
      <c r="BD16" s="414"/>
      <c r="BE16" s="134"/>
      <c r="BF16" s="134"/>
      <c r="BG16" s="134"/>
      <c r="BH16" s="134"/>
      <c r="BI16" s="113" t="str">
        <f t="shared" si="40"/>
        <v>E5070</v>
      </c>
      <c r="BJ16" s="568" t="str">
        <f t="shared" si="41"/>
        <v>Ally Bessadous</v>
      </c>
      <c r="BK16" s="411">
        <f t="shared" si="48"/>
        <v>47.500005608436879</v>
      </c>
      <c r="BL16" s="411">
        <f t="shared" si="48"/>
        <v>47.500005608436879</v>
      </c>
      <c r="BM16" s="411">
        <f t="shared" si="48"/>
        <v>47.500005608436879</v>
      </c>
      <c r="BN16" s="411">
        <f t="shared" si="48"/>
        <v>47.500005608436879</v>
      </c>
      <c r="BO16" s="411">
        <f t="shared" si="48"/>
        <v>47.500005608436879</v>
      </c>
      <c r="BP16" s="411">
        <f t="shared" si="48"/>
        <v>47.500005608436879</v>
      </c>
      <c r="BQ16" s="411">
        <f t="shared" si="48"/>
        <v>47.500005608436879</v>
      </c>
      <c r="BR16" s="411">
        <f t="shared" si="48"/>
        <v>47.500005608436879</v>
      </c>
      <c r="BS16" s="411">
        <f t="shared" si="48"/>
        <v>47.500005608436879</v>
      </c>
      <c r="BT16" s="411">
        <f t="shared" si="48"/>
        <v>47.500005608436879</v>
      </c>
      <c r="BU16" s="411">
        <f t="shared" si="48"/>
        <v>47.500005608436879</v>
      </c>
      <c r="BV16" s="412">
        <f t="shared" si="48"/>
        <v>47.500005608436879</v>
      </c>
      <c r="BW16" s="413" t="s">
        <v>3407</v>
      </c>
      <c r="BX16" s="134"/>
      <c r="BY16" s="134"/>
      <c r="BZ16" s="134"/>
      <c r="CA16" s="134"/>
      <c r="CB16" s="113" t="str">
        <f t="shared" si="5"/>
        <v>E5070</v>
      </c>
      <c r="CC16" s="304" t="str">
        <f t="shared" si="6"/>
        <v>Ally Bessadous</v>
      </c>
      <c r="CD16" s="411">
        <f t="shared" si="43"/>
        <v>47.500005608436879</v>
      </c>
      <c r="CE16" s="411">
        <f t="shared" si="7"/>
        <v>47.500005608436879</v>
      </c>
      <c r="CF16" s="411">
        <f t="shared" si="8"/>
        <v>47.500005608436879</v>
      </c>
      <c r="CG16" s="411">
        <f t="shared" si="9"/>
        <v>47.500005608436879</v>
      </c>
      <c r="CH16" s="411">
        <f t="shared" si="10"/>
        <v>47.500005608436879</v>
      </c>
      <c r="CI16" s="411">
        <f t="shared" si="11"/>
        <v>47.500005608436879</v>
      </c>
      <c r="CJ16" s="411">
        <f t="shared" si="12"/>
        <v>47.500005608436879</v>
      </c>
      <c r="CK16" s="411">
        <f t="shared" si="13"/>
        <v>47.500005608436879</v>
      </c>
      <c r="CL16" s="411">
        <f t="shared" si="14"/>
        <v>47.500005608436879</v>
      </c>
      <c r="CM16" s="411">
        <f t="shared" si="15"/>
        <v>47.500005608436879</v>
      </c>
      <c r="CN16" s="411">
        <f t="shared" si="16"/>
        <v>47.500005608436879</v>
      </c>
      <c r="CO16" s="412">
        <f t="shared" si="17"/>
        <v>47.500005608436879</v>
      </c>
      <c r="CP16" s="414"/>
      <c r="CQ16" s="134">
        <f t="shared" si="18"/>
        <v>4.0000000000000001E-3</v>
      </c>
      <c r="CU16" s="113" t="str">
        <f t="shared" si="19"/>
        <v>E5070</v>
      </c>
      <c r="CV16" s="69" t="str">
        <f t="shared" si="20"/>
        <v>Ally Bessadous</v>
      </c>
      <c r="CW16" s="300">
        <f t="shared" si="21"/>
        <v>105001.20457722008</v>
      </c>
      <c r="CX16" s="298">
        <f t="shared" si="22"/>
        <v>91052.533693869002</v>
      </c>
      <c r="CY16" s="298">
        <f t="shared" si="23"/>
        <v>91532.429155015066</v>
      </c>
      <c r="CZ16" s="298">
        <f t="shared" si="24"/>
        <v>81504.007946644226</v>
      </c>
      <c r="DA16" s="298">
        <f t="shared" si="25"/>
        <v>65941.75585282559</v>
      </c>
      <c r="DB16" s="298">
        <f t="shared" si="26"/>
        <v>44954.77009915973</v>
      </c>
      <c r="DC16" s="298">
        <f t="shared" si="27"/>
        <v>37959.687730775237</v>
      </c>
      <c r="DD16" s="298">
        <f t="shared" si="28"/>
        <v>34606.237523613985</v>
      </c>
      <c r="DE16" s="298">
        <f t="shared" si="29"/>
        <v>53892.574987627529</v>
      </c>
      <c r="DF16" s="298">
        <f t="shared" si="30"/>
        <v>86639.690328173252</v>
      </c>
      <c r="DG16" s="371">
        <f t="shared" si="31"/>
        <v>97012.163452527384</v>
      </c>
      <c r="DH16" s="372">
        <f t="shared" si="32"/>
        <v>107502.54858420101</v>
      </c>
      <c r="DI16" s="67">
        <f t="shared" si="33"/>
        <v>897599.60393165215</v>
      </c>
      <c r="DJ16" s="364">
        <f>_xll.LVCELL($E$1,Q$2,$C16,$D$2,$C$4,$C$5,$C$6,$C$7,$C$8,$D$3)+_xll.LVCELL($E$2,Q$2,$C16,$D$2,$C$4,$C$5,$C$6,$C$7,$C$8,$D$3)</f>
        <v>897599.49088097399</v>
      </c>
      <c r="DK16" s="82">
        <f t="shared" si="44"/>
        <v>0.11305067816283554</v>
      </c>
      <c r="DM16" s="518">
        <f t="shared" si="34"/>
        <v>47.500005608436886</v>
      </c>
      <c r="DO16" s="64" t="str">
        <f t="shared" si="35"/>
        <v>E5070</v>
      </c>
      <c r="DP16" s="64" t="str">
        <f t="shared" si="36"/>
        <v>E5070</v>
      </c>
      <c r="DQ16" s="69" t="str">
        <f t="shared" si="37"/>
        <v>Ally Bessadous</v>
      </c>
      <c r="DR16" s="365">
        <f>_xll.LVCELL($DP$3,DR$3,$DP16,$DQ$2,$DP$4,$DP$5,$DP$6,$DP$7,$DP$8,$DQ$3)/100</f>
        <v>0.96999999999999986</v>
      </c>
      <c r="DS16" s="365">
        <f>_xll.LVCELL($DP$3,DS$3,$DP16,$DQ$2,$DP$4,$DP$5,$DP$6,$DP$7,$DP$8,$DQ$3)/100</f>
        <v>0.97</v>
      </c>
      <c r="DT16" s="365">
        <f>_xll.LVCELL($DP$3,DT$3,$DP16,$DQ$2,$DP$4,$DP$5,$DP$6,$DP$7,$DP$8,$DQ$3)/100</f>
        <v>0.96999999999999986</v>
      </c>
      <c r="DU16" s="365">
        <f>_xll.LVCELL($DP$3,DU$3,$DP16,$DQ$2,$DP$4,$DP$5,$DP$6,$DP$7,$DP$8,$DQ$3)/100</f>
        <v>0.97</v>
      </c>
      <c r="DV16" s="365">
        <f>_xll.LVCELL($DP$3,DV$3,$DP16,$DQ$2,$DP$4,$DP$5,$DP$6,$DP$7,$DP$8,$DQ$3)/100</f>
        <v>0.96999999999999986</v>
      </c>
      <c r="DW16" s="365">
        <f>_xll.LVCELL($DP$3,DW$3,$DP16,$DQ$2,$DP$4,$DP$5,$DP$6,$DP$7,$DP$8,$DQ$3)/100</f>
        <v>0.97</v>
      </c>
      <c r="DX16" s="365">
        <f>_xll.LVCELL($DP$3,DX$3,$DP16,$DQ$2,$DP$4,$DP$5,$DP$6,$DP$7,$DP$8,$DQ$3)/100</f>
        <v>0.96999999999999986</v>
      </c>
      <c r="DY16" s="365">
        <f>_xll.LVCELL($DP$3,DY$3,$DP16,$DQ$2,$DP$4,$DP$5,$DP$6,$DP$7,$DP$8,$DQ$3)/100</f>
        <v>0.96999999999999986</v>
      </c>
      <c r="DZ16" s="365">
        <f>_xll.LVCELL($DP$3,DZ$3,$DP16,$DQ$2,$DP$4,$DP$5,$DP$6,$DP$7,$DP$8,$DQ$3)/100</f>
        <v>0.97</v>
      </c>
      <c r="EA16" s="365">
        <f>_xll.LVCELL($DP$3,EA$3,$DP16,$DQ$2,$DP$4,$DP$5,$DP$6,$DP$7,$DP$8,$DQ$3)/100</f>
        <v>0.96999999999999986</v>
      </c>
      <c r="EB16" s="365">
        <f>_xll.LVCELL($DP$3,EB$3,$DP16,$DQ$2,$DP$4,$DP$5,$DP$6,$DP$7,$DP$8,$DQ$3)/100</f>
        <v>0.97</v>
      </c>
      <c r="EC16" s="365">
        <f>_xll.LVCELL($DP$3,EC$3,$DP16,$DQ$2,$DP$4,$DP$5,$DP$6,$DP$7,$DP$8,$DQ$3)/100</f>
        <v>0.96999999999999986</v>
      </c>
      <c r="ED16" s="582">
        <f t="shared" si="45"/>
        <v>11.64</v>
      </c>
      <c r="EF16" s="64" t="s">
        <v>316</v>
      </c>
      <c r="EG16" s="64" t="s">
        <v>316</v>
      </c>
      <c r="EH16" s="69" t="s">
        <v>528</v>
      </c>
      <c r="EI16" s="366" t="e">
        <f ca="1">_xll.LVCELL($EG$3,EI$3,$DP16,$DQ$2,$DP$4,$DP$5,$DP$6,$DP$7,$DP$8,$DQ$3)-CW16</f>
        <v>#NAME?</v>
      </c>
      <c r="EJ16" s="367" t="e">
        <f ca="1">_xll.LVCELL($EG$3,EJ$3,$DP16,$DQ$2,$DP$4,$DP$5,$DP$6,$DP$7,$DP$8,$DQ$3)-CX16</f>
        <v>#NAME?</v>
      </c>
      <c r="EK16" s="368" t="e">
        <f ca="1">_xll.LVCELL($EG$3,EK$3,$DP16,$DQ$2,$DP$4,$DP$5,$DP$6,$DP$7,$DP$8,$DQ$3)-CY16</f>
        <v>#NAME?</v>
      </c>
      <c r="EL16" s="367" t="e">
        <f ca="1">_xll.LVCELL($EG$3,EL$3,$DP16,$DQ$2,$DP$4,$DP$5,$DP$6,$DP$7,$DP$8,$DQ$3)-CZ16</f>
        <v>#NAME?</v>
      </c>
      <c r="EM16" s="368" t="e">
        <f ca="1">_xll.LVCELL($EG$3,EM$3,$DP16,$DQ$2,$DP$4,$DP$5,$DP$6,$DP$7,$DP$8,$DQ$3)-DA16</f>
        <v>#NAME?</v>
      </c>
      <c r="EN16" s="367" t="e">
        <f ca="1">_xll.LVCELL($EG$3,EN$3,$DP16,$DQ$2,$DP$4,$DP$5,$DP$6,$DP$7,$DP$8,$DQ$3)-DB16</f>
        <v>#NAME?</v>
      </c>
      <c r="EO16" s="368" t="e">
        <f ca="1">_xll.LVCELL($EG$3,EO$3,$DP16,$DQ$2,$DP$4,$DP$5,$DP$6,$DP$7,$DP$8,$DQ$3)-DC16</f>
        <v>#NAME?</v>
      </c>
      <c r="EP16" s="367" t="e">
        <f ca="1">_xll.LVCELL($EG$3,EP$3,$DP16,$DQ$2,$DP$4,$DP$5,$DP$6,$DP$7,$DP$8,$DQ$3)-DD16</f>
        <v>#NAME?</v>
      </c>
      <c r="EQ16" s="368" t="e">
        <f ca="1">_xll.LVCELL($EG$3,EQ$3,$DP16,$DQ$2,$DP$4,$DP$5,$DP$6,$DP$7,$DP$8,$DQ$3)-DE16</f>
        <v>#NAME?</v>
      </c>
      <c r="ER16" s="367" t="e">
        <f ca="1">_xll.LVCELL($EG$3,ER$3,$DP16,$DQ$2,$DP$4,$DP$5,$DP$6,$DP$7,$DP$8,$DQ$3)-DF16</f>
        <v>#NAME?</v>
      </c>
      <c r="ES16" s="368" t="e">
        <f ca="1">_xll.LVCELL($EG$3,ES$3,$DP16,$DQ$2,$DP$4,$DP$5,$DP$6,$DP$7,$DP$8,$DQ$3)-DG16</f>
        <v>#NAME?</v>
      </c>
      <c r="ET16" s="367" t="e">
        <f ca="1">_xll.LVCELL($EG$3,ET$3,$DP16,$DQ$2,$DP$4,$DP$5,$DP$6,$DP$7,$DP$8,$DQ$3)-DH16</f>
        <v>#NAME?</v>
      </c>
      <c r="EW16" s="64" t="s">
        <v>316</v>
      </c>
      <c r="EX16" s="64" t="s">
        <v>316</v>
      </c>
      <c r="EY16" s="69" t="s">
        <v>528</v>
      </c>
      <c r="EZ16" s="364">
        <f>_xll.LVCELL($EX$3,EZ$3,$DP16,$DQ$2,$DP$4,$DP$5,$DP$6,$DP$7,$DP$8,$DQ$3)</f>
        <v>10500</v>
      </c>
      <c r="FA16" s="364">
        <f>_xll.LVCELL($EX$3,FA$3,$DP16,$DQ$2,$DP$4,$DP$5,$DP$6,$DP$7,$DP$8,$DQ$3)</f>
        <v>10500</v>
      </c>
      <c r="FB16" s="364">
        <f>_xll.LVCELL($EX$3,FB$3,$DP16,$DQ$2,$DP$4,$DP$5,$DP$6,$DP$7,$DP$8,$DQ$3)</f>
        <v>10500</v>
      </c>
      <c r="FC16" s="364">
        <f>_xll.LVCELL($EX$3,FC$3,$DP16,$DQ$2,$DP$4,$DP$5,$DP$6,$DP$7,$DP$8,$DQ$3)</f>
        <v>10500</v>
      </c>
      <c r="FD16" s="364">
        <f>_xll.LVCELL($EX$3,FD$3,$DP16,$DQ$2,$DP$4,$DP$5,$DP$6,$DP$7,$DP$8,$DQ$3)</f>
        <v>10500</v>
      </c>
      <c r="FE16" s="364">
        <f>_xll.LVCELL($EX$3,FE$3,$DP16,$DQ$2,$DP$4,$DP$5,$DP$6,$DP$7,$DP$8,$DQ$3)</f>
        <v>10500</v>
      </c>
      <c r="FF16" s="364">
        <f>_xll.LVCELL($EX$3,FF$3,$DP16,$DQ$2,$DP$4,$DP$5,$DP$6,$DP$7,$DP$8,$DQ$3)</f>
        <v>10500</v>
      </c>
      <c r="FG16" s="364">
        <f>_xll.LVCELL($EX$3,FG$3,$DP16,$DQ$2,$DP$4,$DP$5,$DP$6,$DP$7,$DP$8,$DQ$3)</f>
        <v>10500</v>
      </c>
      <c r="FH16" s="364">
        <f>_xll.LVCELL($EX$3,FH$3,$DP16,$DQ$2,$DP$4,$DP$5,$DP$6,$DP$7,$DP$8,$DQ$3)</f>
        <v>10500</v>
      </c>
      <c r="FI16" s="364">
        <f>_xll.LVCELL($EX$3,FI$3,$DP16,$DQ$2,$DP$4,$DP$5,$DP$6,$DP$7,$DP$8,$DQ$3)</f>
        <v>10500</v>
      </c>
      <c r="FJ16" s="364">
        <f>_xll.LVCELL($EX$3,FJ$3,$DP16,$DQ$2,$DP$4,$DP$5,$DP$6,$DP$7,$DP$8,$DQ$3)</f>
        <v>10500</v>
      </c>
      <c r="FK16" s="276">
        <f>_xll.LVCELL($EX$3,FK$3,$DP16,$DQ$2,$DP$4,$DP$5,$DP$6,$DP$7,$DP$8,$DQ$3)</f>
        <v>10500</v>
      </c>
      <c r="FN16" s="64" t="s">
        <v>316</v>
      </c>
      <c r="FO16" s="64" t="s">
        <v>316</v>
      </c>
      <c r="FP16" s="69" t="s">
        <v>528</v>
      </c>
      <c r="FQ16" s="364">
        <f>_xll.LVCELL($FO$3,FQ$3,$DP16,$DQ$2,$DP$4,$DP$5,$DP$6,$DP$7,$DP$8,$DQ$3)</f>
        <v>7</v>
      </c>
      <c r="FR16" s="364">
        <f>_xll.LVCELL($FO$3,FR$3,$DP16,$DQ$2,$DP$4,$DP$5,$DP$6,$DP$7,$DP$8,$DQ$3)</f>
        <v>7</v>
      </c>
      <c r="FS16" s="364">
        <f>_xll.LVCELL($FO$3,FS$3,$DP16,$DQ$2,$DP$4,$DP$5,$DP$6,$DP$7,$DP$8,$DQ$3)</f>
        <v>7</v>
      </c>
      <c r="FT16" s="364">
        <f>_xll.LVCELL($FO$3,FT$3,$DP16,$DQ$2,$DP$4,$DP$5,$DP$6,$DP$7,$DP$8,$DQ$3)</f>
        <v>7</v>
      </c>
      <c r="FU16" s="364">
        <f>_xll.LVCELL($FO$3,FU$3,$DP16,$DQ$2,$DP$4,$DP$5,$DP$6,$DP$7,$DP$8,$DQ$3)</f>
        <v>7</v>
      </c>
      <c r="FV16" s="364">
        <f>_xll.LVCELL($FO$3,FV$3,$DP16,$DQ$2,$DP$4,$DP$5,$DP$6,$DP$7,$DP$8,$DQ$3)</f>
        <v>7</v>
      </c>
      <c r="FW16" s="364">
        <f>_xll.LVCELL($FO$3,FW$3,$DP16,$DQ$2,$DP$4,$DP$5,$DP$6,$DP$7,$DP$8,$DQ$3)</f>
        <v>7</v>
      </c>
      <c r="FX16" s="364">
        <f>_xll.LVCELL($FO$3,FX$3,$DP16,$DQ$2,$DP$4,$DP$5,$DP$6,$DP$7,$DP$8,$DQ$3)</f>
        <v>7</v>
      </c>
      <c r="FY16" s="364">
        <f>_xll.LVCELL($FO$3,FY$3,$DP16,$DQ$2,$DP$4,$DP$5,$DP$6,$DP$7,$DP$8,$DQ$3)</f>
        <v>7</v>
      </c>
      <c r="FZ16" s="364">
        <f>_xll.LVCELL($FO$3,FZ$3,$DP16,$DQ$2,$DP$4,$DP$5,$DP$6,$DP$7,$DP$8,$DQ$3)</f>
        <v>7</v>
      </c>
      <c r="GA16" s="364">
        <f>_xll.LVCELL($FO$3,GA$3,$DP16,$DQ$2,$DP$4,$DP$5,$DP$6,$DP$7,$DP$8,$DQ$3)</f>
        <v>7</v>
      </c>
      <c r="GB16" s="172">
        <f>_xll.LVCELL($FO$3,GB$3,$DP16,$DQ$2,$DP$4,$DP$5,$DP$6,$DP$7,$DP$8,$DQ$3)</f>
        <v>7</v>
      </c>
    </row>
    <row r="17" spans="2:184" ht="15">
      <c r="B17" s="64" t="s">
        <v>317</v>
      </c>
      <c r="C17" s="64" t="s">
        <v>317</v>
      </c>
      <c r="D17" s="69" t="s">
        <v>529</v>
      </c>
      <c r="E17" s="357">
        <f>_xll.LVCELL($C$3,Q$3,$C17,$D$2,$C$4,$C$5,$C$6,$C$7,$C$8,$D$3)/1000</f>
        <v>7.5</v>
      </c>
      <c r="F17" s="103">
        <f>'distribution mensuelle Prod B22'!$I$36</f>
        <v>1472090.6641623252</v>
      </c>
      <c r="G17" s="103">
        <f>'distribution mensuelle Prod B22'!$I$37</f>
        <v>1276533.7820529102</v>
      </c>
      <c r="H17" s="103">
        <f>'distribution mensuelle Prod B22'!$I$38</f>
        <v>1283261.7965644719</v>
      </c>
      <c r="I17" s="103">
        <f>'distribution mensuelle Prod B22'!$I$39</f>
        <v>1142665.8358174374</v>
      </c>
      <c r="J17" s="103">
        <f>'distribution mensuelle Prod B22'!$I$40</f>
        <v>924486.94812855171</v>
      </c>
      <c r="K17" s="103">
        <f>'distribution mensuelle Prod B22'!$I$41</f>
        <v>630254.64935374493</v>
      </c>
      <c r="L17" s="103">
        <f>'distribution mensuelle Prod B22'!$I$42</f>
        <v>532185.34156811493</v>
      </c>
      <c r="M17" s="103">
        <f>'distribution mensuelle Prod B22'!$I$43</f>
        <v>485170.80718660867</v>
      </c>
      <c r="N17" s="103">
        <f>'distribution mensuelle Prod B22'!$I$44</f>
        <v>755560.44167674368</v>
      </c>
      <c r="O17" s="103">
        <f>'distribution mensuelle Prod B22'!$I$45</f>
        <v>1214666.8201717825</v>
      </c>
      <c r="P17" s="103">
        <f>'distribution mensuelle Prod B22'!$I$46</f>
        <v>1360086.3028540697</v>
      </c>
      <c r="Q17" s="103">
        <f>'distribution mensuelle Prod B22'!$I$47</f>
        <v>1507158.8824304978</v>
      </c>
      <c r="R17" s="67">
        <f t="shared" si="1"/>
        <v>12584122.271967258</v>
      </c>
      <c r="S17" s="358"/>
      <c r="W17" s="113" t="str">
        <f t="shared" si="2"/>
        <v>E5080</v>
      </c>
      <c r="X17" s="359" t="str">
        <f t="shared" si="3"/>
        <v>Ally Mercoeur</v>
      </c>
      <c r="Y17" s="299" cm="1">
        <f t="array" ref="Y17">_xll.LVCELL($D$4,F$1,$B17,$D$2,$C$4,$C$5,$C$6,$C$7,$C$8,$D$3)*1000</f>
        <v>16.189540999999998</v>
      </c>
      <c r="Z17" s="299" cm="1">
        <f t="array" ref="Z17">_xll.LVCELL($D$4,G$1,$B17,$D$2,$C$4,$C$5,$C$6,$C$7,$C$8,$D$3)*1000</f>
        <v>47.499995000000006</v>
      </c>
      <c r="AA17" s="299" cm="1">
        <f t="array" ref="AA17">_xll.LVCELL($D$4,H$1,$B17,$D$2,$C$4,$C$5,$C$6,$C$7,$C$8,$D$3)*1000</f>
        <v>47.499995373309176</v>
      </c>
      <c r="AB17" s="299" cm="1">
        <f t="array" ref="AB17">_xll.LVCELL($D$4,I$1,$B17,$D$2,$C$4,$C$5,$C$6,$C$7,$C$8,$D$3)*1000</f>
        <v>47.499979930939496</v>
      </c>
      <c r="AC17" s="299" cm="1">
        <f t="array" ref="AC17">_xll.LVCELL($D$4,J$1,$B17,$D$2,$C$4,$C$5,$C$6,$C$7,$C$8,$D$3)*1000</f>
        <v>47.499991211189489</v>
      </c>
      <c r="AD17" s="299" cm="1">
        <f t="array" ref="AD17">_xll.LVCELL($D$4,K$1,$B17,$D$2,$C$4,$C$5,$C$6,$C$7,$C$8,$D$3)*1000</f>
        <v>47.963361813921566</v>
      </c>
      <c r="AE17" s="299" cm="1">
        <f t="array" ref="AE17">_xll.LVCELL($D$4,L$1,$B17,$D$2,$C$4,$C$5,$C$6,$C$7,$C$8,$D$3)*1000</f>
        <v>40.678553922214547</v>
      </c>
      <c r="AF17" s="299">
        <f>$AC$17</f>
        <v>47.499991211189489</v>
      </c>
      <c r="AG17" s="299">
        <f t="shared" si="46"/>
        <v>47.499991211189489</v>
      </c>
      <c r="AH17" s="299">
        <f t="shared" si="46"/>
        <v>47.499991211189489</v>
      </c>
      <c r="AI17" s="411">
        <f t="shared" si="46"/>
        <v>47.499991211189489</v>
      </c>
      <c r="AJ17" s="412">
        <f t="shared" si="46"/>
        <v>47.499991211189489</v>
      </c>
      <c r="AK17" s="413" t="s">
        <v>3408</v>
      </c>
      <c r="AL17" s="134">
        <f t="shared" si="4"/>
        <v>2.3E-2</v>
      </c>
      <c r="AM17" s="134"/>
      <c r="AN17" s="134"/>
      <c r="AO17" s="134"/>
      <c r="AP17" s="113" t="str">
        <f t="shared" si="38"/>
        <v>E5080</v>
      </c>
      <c r="AQ17" s="568" t="str">
        <f t="shared" si="39"/>
        <v>Ally Mercoeur</v>
      </c>
      <c r="AR17" s="377"/>
      <c r="AS17" s="377"/>
      <c r="AT17" s="377"/>
      <c r="AU17" s="377"/>
      <c r="AV17" s="377"/>
      <c r="AW17" s="377"/>
      <c r="AX17" s="377"/>
      <c r="AY17" s="377"/>
      <c r="AZ17" s="377"/>
      <c r="BA17" s="377"/>
      <c r="BB17" s="377"/>
      <c r="BC17" s="378"/>
      <c r="BD17" s="414"/>
      <c r="BE17" s="134"/>
      <c r="BF17" s="134"/>
      <c r="BG17" s="134"/>
      <c r="BH17" s="134"/>
      <c r="BI17" s="113" t="str">
        <f t="shared" si="40"/>
        <v>E5080</v>
      </c>
      <c r="BJ17" s="568" t="str">
        <f t="shared" si="41"/>
        <v>Ally Mercoeur</v>
      </c>
      <c r="BK17" s="411">
        <f t="shared" si="48"/>
        <v>47.499991211189489</v>
      </c>
      <c r="BL17" s="411">
        <f t="shared" si="48"/>
        <v>47.499991211189489</v>
      </c>
      <c r="BM17" s="411">
        <f t="shared" si="48"/>
        <v>47.499991211189489</v>
      </c>
      <c r="BN17" s="411">
        <f t="shared" si="48"/>
        <v>47.499991211189489</v>
      </c>
      <c r="BO17" s="411">
        <f t="shared" si="48"/>
        <v>47.499991211189489</v>
      </c>
      <c r="BP17" s="411">
        <f t="shared" si="48"/>
        <v>47.499991211189489</v>
      </c>
      <c r="BQ17" s="411">
        <f t="shared" si="48"/>
        <v>47.499991211189489</v>
      </c>
      <c r="BR17" s="411">
        <f t="shared" si="48"/>
        <v>47.499991211189489</v>
      </c>
      <c r="BS17" s="411">
        <f t="shared" si="48"/>
        <v>47.499991211189489</v>
      </c>
      <c r="BT17" s="411">
        <f t="shared" si="48"/>
        <v>47.499991211189489</v>
      </c>
      <c r="BU17" s="411">
        <f t="shared" si="48"/>
        <v>47.499991211189489</v>
      </c>
      <c r="BV17" s="412">
        <f t="shared" si="48"/>
        <v>47.499991211189489</v>
      </c>
      <c r="BW17" s="413" t="s">
        <v>3407</v>
      </c>
      <c r="BX17" s="134"/>
      <c r="BY17" s="134"/>
      <c r="BZ17" s="134"/>
      <c r="CA17" s="134"/>
      <c r="CB17" s="113" t="str">
        <f t="shared" si="5"/>
        <v>E5080</v>
      </c>
      <c r="CC17" s="304" t="str">
        <f t="shared" si="6"/>
        <v>Ally Mercoeur</v>
      </c>
      <c r="CD17" s="411">
        <f t="shared" si="43"/>
        <v>47.499991211189489</v>
      </c>
      <c r="CE17" s="411">
        <f t="shared" si="7"/>
        <v>47.499991211189489</v>
      </c>
      <c r="CF17" s="411">
        <f t="shared" si="8"/>
        <v>47.499991211189489</v>
      </c>
      <c r="CG17" s="411">
        <f t="shared" si="9"/>
        <v>47.499991211189489</v>
      </c>
      <c r="CH17" s="411">
        <f t="shared" si="10"/>
        <v>47.499991211189489</v>
      </c>
      <c r="CI17" s="411">
        <f t="shared" si="11"/>
        <v>47.499991211189489</v>
      </c>
      <c r="CJ17" s="411">
        <f t="shared" si="12"/>
        <v>47.499991211189489</v>
      </c>
      <c r="CK17" s="411">
        <f t="shared" si="13"/>
        <v>47.499991211189489</v>
      </c>
      <c r="CL17" s="411">
        <f t="shared" si="14"/>
        <v>47.499991211189489</v>
      </c>
      <c r="CM17" s="411">
        <f t="shared" si="15"/>
        <v>47.499991211189489</v>
      </c>
      <c r="CN17" s="411">
        <f t="shared" si="16"/>
        <v>47.499991211189489</v>
      </c>
      <c r="CO17" s="412">
        <f t="shared" si="17"/>
        <v>47.499991211189489</v>
      </c>
      <c r="CP17" s="414"/>
      <c r="CQ17" s="134">
        <f t="shared" si="18"/>
        <v>4.0000000000000001E-3</v>
      </c>
      <c r="CU17" s="113" t="str">
        <f t="shared" si="19"/>
        <v>E5080</v>
      </c>
      <c r="CV17" s="69" t="str">
        <f t="shared" si="20"/>
        <v>Ally Mercoeur</v>
      </c>
      <c r="CW17" s="300">
        <f t="shared" si="21"/>
        <v>69924.293609784538</v>
      </c>
      <c r="CX17" s="298">
        <f t="shared" si="22"/>
        <v>60635.343428299711</v>
      </c>
      <c r="CY17" s="298">
        <f t="shared" si="23"/>
        <v>60954.924058467652</v>
      </c>
      <c r="CZ17" s="298">
        <f t="shared" si="24"/>
        <v>54276.617158654764</v>
      </c>
      <c r="DA17" s="298">
        <f t="shared" si="25"/>
        <v>43913.121910965601</v>
      </c>
      <c r="DB17" s="298">
        <f t="shared" si="26"/>
        <v>29937.090305114198</v>
      </c>
      <c r="DC17" s="298">
        <f t="shared" si="27"/>
        <v>25278.799047209333</v>
      </c>
      <c r="DD17" s="298">
        <f t="shared" si="28"/>
        <v>23045.60907728962</v>
      </c>
      <c r="DE17" s="298">
        <f t="shared" si="29"/>
        <v>35889.114339167769</v>
      </c>
      <c r="DF17" s="298">
        <f t="shared" si="30"/>
        <v>57696.663282683148</v>
      </c>
      <c r="DG17" s="371">
        <f t="shared" si="31"/>
        <v>64604.087432027518</v>
      </c>
      <c r="DH17" s="372">
        <f t="shared" si="32"/>
        <v>71590.033669314813</v>
      </c>
      <c r="DI17" s="67">
        <f t="shared" si="33"/>
        <v>597745.69731897872</v>
      </c>
      <c r="DJ17" s="364">
        <f>_xll.LVCELL($E$1,Q$2,$C17,$D$2,$C$4,$C$5,$C$6,$C$7,$C$8,$D$3)+_xll.LVCELL($E$2,Q$2,$C17,$D$2,$C$4,$C$5,$C$6,$C$7,$C$8,$D$3)</f>
        <v>597745.72924289305</v>
      </c>
      <c r="DK17" s="82">
        <f t="shared" si="44"/>
        <v>-3.1923914328217506E-2</v>
      </c>
      <c r="DM17" s="518">
        <f t="shared" si="34"/>
        <v>47.499991211189496</v>
      </c>
      <c r="DO17" s="64" t="str">
        <f t="shared" si="35"/>
        <v>E5080</v>
      </c>
      <c r="DP17" s="64" t="str">
        <f t="shared" si="36"/>
        <v>E5080</v>
      </c>
      <c r="DQ17" s="69" t="str">
        <f t="shared" si="37"/>
        <v>Ally Mercoeur</v>
      </c>
      <c r="DR17" s="365">
        <f>_xll.LVCELL($DP$3,DR$3,$DP17,$DQ$2,$DP$4,$DP$5,$DP$6,$DP$7,$DP$8,$DQ$3)/100</f>
        <v>0.97</v>
      </c>
      <c r="DS17" s="365">
        <f>_xll.LVCELL($DP$3,DS$3,$DP17,$DQ$2,$DP$4,$DP$5,$DP$6,$DP$7,$DP$8,$DQ$3)/100</f>
        <v>0.97</v>
      </c>
      <c r="DT17" s="365">
        <f>_xll.LVCELL($DP$3,DT$3,$DP17,$DQ$2,$DP$4,$DP$5,$DP$6,$DP$7,$DP$8,$DQ$3)/100</f>
        <v>0.97</v>
      </c>
      <c r="DU17" s="365">
        <f>_xll.LVCELL($DP$3,DU$3,$DP17,$DQ$2,$DP$4,$DP$5,$DP$6,$DP$7,$DP$8,$DQ$3)/100</f>
        <v>0.97</v>
      </c>
      <c r="DV17" s="365">
        <f>_xll.LVCELL($DP$3,DV$3,$DP17,$DQ$2,$DP$4,$DP$5,$DP$6,$DP$7,$DP$8,$DQ$3)/100</f>
        <v>0.97</v>
      </c>
      <c r="DW17" s="365">
        <f>_xll.LVCELL($DP$3,DW$3,$DP17,$DQ$2,$DP$4,$DP$5,$DP$6,$DP$7,$DP$8,$DQ$3)/100</f>
        <v>0.97</v>
      </c>
      <c r="DX17" s="365">
        <f>_xll.LVCELL($DP$3,DX$3,$DP17,$DQ$2,$DP$4,$DP$5,$DP$6,$DP$7,$DP$8,$DQ$3)/100</f>
        <v>0.97</v>
      </c>
      <c r="DY17" s="365">
        <f>_xll.LVCELL($DP$3,DY$3,$DP17,$DQ$2,$DP$4,$DP$5,$DP$6,$DP$7,$DP$8,$DQ$3)/100</f>
        <v>0.97</v>
      </c>
      <c r="DZ17" s="365">
        <f>_xll.LVCELL($DP$3,DZ$3,$DP17,$DQ$2,$DP$4,$DP$5,$DP$6,$DP$7,$DP$8,$DQ$3)/100</f>
        <v>0.97</v>
      </c>
      <c r="EA17" s="365">
        <f>_xll.LVCELL($DP$3,EA$3,$DP17,$DQ$2,$DP$4,$DP$5,$DP$6,$DP$7,$DP$8,$DQ$3)/100</f>
        <v>0.97</v>
      </c>
      <c r="EB17" s="365">
        <f>_xll.LVCELL($DP$3,EB$3,$DP17,$DQ$2,$DP$4,$DP$5,$DP$6,$DP$7,$DP$8,$DQ$3)/100</f>
        <v>0.97</v>
      </c>
      <c r="EC17" s="365">
        <f>_xll.LVCELL($DP$3,EC$3,$DP17,$DQ$2,$DP$4,$DP$5,$DP$6,$DP$7,$DP$8,$DQ$3)/100</f>
        <v>0.97</v>
      </c>
      <c r="ED17" s="582">
        <f t="shared" si="45"/>
        <v>11.64</v>
      </c>
      <c r="EF17" s="64" t="s">
        <v>317</v>
      </c>
      <c r="EG17" s="64" t="s">
        <v>317</v>
      </c>
      <c r="EH17" s="69" t="s">
        <v>529</v>
      </c>
      <c r="EI17" s="366" t="e">
        <f ca="1">_xll.LVCELL($EG$3,EI$3,$DP17,$DQ$2,$DP$4,$DP$5,$DP$6,$DP$7,$DP$8,$DQ$3)-CW17</f>
        <v>#NAME?</v>
      </c>
      <c r="EJ17" s="367" t="e">
        <f ca="1">_xll.LVCELL($EG$3,EJ$3,$DP17,$DQ$2,$DP$4,$DP$5,$DP$6,$DP$7,$DP$8,$DQ$3)-CX17</f>
        <v>#NAME?</v>
      </c>
      <c r="EK17" s="368" t="e">
        <f ca="1">_xll.LVCELL($EG$3,EK$3,$DP17,$DQ$2,$DP$4,$DP$5,$DP$6,$DP$7,$DP$8,$DQ$3)-CY17</f>
        <v>#NAME?</v>
      </c>
      <c r="EL17" s="367" t="e">
        <f ca="1">_xll.LVCELL($EG$3,EL$3,$DP17,$DQ$2,$DP$4,$DP$5,$DP$6,$DP$7,$DP$8,$DQ$3)-CZ17</f>
        <v>#NAME?</v>
      </c>
      <c r="EM17" s="368" t="e">
        <f ca="1">_xll.LVCELL($EG$3,EM$3,$DP17,$DQ$2,$DP$4,$DP$5,$DP$6,$DP$7,$DP$8,$DQ$3)-DA17</f>
        <v>#NAME?</v>
      </c>
      <c r="EN17" s="367" t="e">
        <f ca="1">_xll.LVCELL($EG$3,EN$3,$DP17,$DQ$2,$DP$4,$DP$5,$DP$6,$DP$7,$DP$8,$DQ$3)-DB17</f>
        <v>#NAME?</v>
      </c>
      <c r="EO17" s="368" t="e">
        <f ca="1">_xll.LVCELL($EG$3,EO$3,$DP17,$DQ$2,$DP$4,$DP$5,$DP$6,$DP$7,$DP$8,$DQ$3)-DC17</f>
        <v>#NAME?</v>
      </c>
      <c r="EP17" s="367" t="e">
        <f ca="1">_xll.LVCELL($EG$3,EP$3,$DP17,$DQ$2,$DP$4,$DP$5,$DP$6,$DP$7,$DP$8,$DQ$3)-DD17</f>
        <v>#NAME?</v>
      </c>
      <c r="EQ17" s="368" t="e">
        <f ca="1">_xll.LVCELL($EG$3,EQ$3,$DP17,$DQ$2,$DP$4,$DP$5,$DP$6,$DP$7,$DP$8,$DQ$3)-DE17</f>
        <v>#NAME?</v>
      </c>
      <c r="ER17" s="367" t="e">
        <f ca="1">_xll.LVCELL($EG$3,ER$3,$DP17,$DQ$2,$DP$4,$DP$5,$DP$6,$DP$7,$DP$8,$DQ$3)-DF17</f>
        <v>#NAME?</v>
      </c>
      <c r="ES17" s="368" t="e">
        <f ca="1">_xll.LVCELL($EG$3,ES$3,$DP17,$DQ$2,$DP$4,$DP$5,$DP$6,$DP$7,$DP$8,$DQ$3)-DG17</f>
        <v>#NAME?</v>
      </c>
      <c r="ET17" s="367" t="e">
        <f ca="1">_xll.LVCELL($EG$3,ET$3,$DP17,$DQ$2,$DP$4,$DP$5,$DP$6,$DP$7,$DP$8,$DQ$3)-DH17</f>
        <v>#NAME?</v>
      </c>
      <c r="EW17" s="64" t="s">
        <v>317</v>
      </c>
      <c r="EX17" s="64" t="s">
        <v>317</v>
      </c>
      <c r="EY17" s="69" t="s">
        <v>529</v>
      </c>
      <c r="EZ17" s="364">
        <f>_xll.LVCELL($EX$3,EZ$3,$DP17,$DQ$2,$DP$4,$DP$5,$DP$6,$DP$7,$DP$8,$DQ$3)</f>
        <v>7500</v>
      </c>
      <c r="FA17" s="364">
        <f>_xll.LVCELL($EX$3,FA$3,$DP17,$DQ$2,$DP$4,$DP$5,$DP$6,$DP$7,$DP$8,$DQ$3)</f>
        <v>7500</v>
      </c>
      <c r="FB17" s="364">
        <f>_xll.LVCELL($EX$3,FB$3,$DP17,$DQ$2,$DP$4,$DP$5,$DP$6,$DP$7,$DP$8,$DQ$3)</f>
        <v>7500</v>
      </c>
      <c r="FC17" s="364">
        <f>_xll.LVCELL($EX$3,FC$3,$DP17,$DQ$2,$DP$4,$DP$5,$DP$6,$DP$7,$DP$8,$DQ$3)</f>
        <v>7500</v>
      </c>
      <c r="FD17" s="364">
        <f>_xll.LVCELL($EX$3,FD$3,$DP17,$DQ$2,$DP$4,$DP$5,$DP$6,$DP$7,$DP$8,$DQ$3)</f>
        <v>7500</v>
      </c>
      <c r="FE17" s="364">
        <f>_xll.LVCELL($EX$3,FE$3,$DP17,$DQ$2,$DP$4,$DP$5,$DP$6,$DP$7,$DP$8,$DQ$3)</f>
        <v>7500</v>
      </c>
      <c r="FF17" s="364">
        <f>_xll.LVCELL($EX$3,FF$3,$DP17,$DQ$2,$DP$4,$DP$5,$DP$6,$DP$7,$DP$8,$DQ$3)</f>
        <v>7500</v>
      </c>
      <c r="FG17" s="364">
        <f>_xll.LVCELL($EX$3,FG$3,$DP17,$DQ$2,$DP$4,$DP$5,$DP$6,$DP$7,$DP$8,$DQ$3)</f>
        <v>7500</v>
      </c>
      <c r="FH17" s="364">
        <f>_xll.LVCELL($EX$3,FH$3,$DP17,$DQ$2,$DP$4,$DP$5,$DP$6,$DP$7,$DP$8,$DQ$3)</f>
        <v>7500</v>
      </c>
      <c r="FI17" s="364">
        <f>_xll.LVCELL($EX$3,FI$3,$DP17,$DQ$2,$DP$4,$DP$5,$DP$6,$DP$7,$DP$8,$DQ$3)</f>
        <v>7500</v>
      </c>
      <c r="FJ17" s="364">
        <f>_xll.LVCELL($EX$3,FJ$3,$DP17,$DQ$2,$DP$4,$DP$5,$DP$6,$DP$7,$DP$8,$DQ$3)</f>
        <v>7500</v>
      </c>
      <c r="FK17" s="276">
        <f>_xll.LVCELL($EX$3,FK$3,$DP17,$DQ$2,$DP$4,$DP$5,$DP$6,$DP$7,$DP$8,$DQ$3)</f>
        <v>7500</v>
      </c>
      <c r="FN17" s="64" t="s">
        <v>317</v>
      </c>
      <c r="FO17" s="64" t="s">
        <v>317</v>
      </c>
      <c r="FP17" s="69" t="s">
        <v>529</v>
      </c>
      <c r="FQ17" s="364">
        <f>_xll.LVCELL($FO$3,FQ$3,$DP17,$DQ$2,$DP$4,$DP$5,$DP$6,$DP$7,$DP$8,$DQ$3)</f>
        <v>5</v>
      </c>
      <c r="FR17" s="364">
        <f>_xll.LVCELL($FO$3,FR$3,$DP17,$DQ$2,$DP$4,$DP$5,$DP$6,$DP$7,$DP$8,$DQ$3)</f>
        <v>5</v>
      </c>
      <c r="FS17" s="364">
        <f>_xll.LVCELL($FO$3,FS$3,$DP17,$DQ$2,$DP$4,$DP$5,$DP$6,$DP$7,$DP$8,$DQ$3)</f>
        <v>5</v>
      </c>
      <c r="FT17" s="364">
        <f>_xll.LVCELL($FO$3,FT$3,$DP17,$DQ$2,$DP$4,$DP$5,$DP$6,$DP$7,$DP$8,$DQ$3)</f>
        <v>5</v>
      </c>
      <c r="FU17" s="364">
        <f>_xll.LVCELL($FO$3,FU$3,$DP17,$DQ$2,$DP$4,$DP$5,$DP$6,$DP$7,$DP$8,$DQ$3)</f>
        <v>5</v>
      </c>
      <c r="FV17" s="364">
        <f>_xll.LVCELL($FO$3,FV$3,$DP17,$DQ$2,$DP$4,$DP$5,$DP$6,$DP$7,$DP$8,$DQ$3)</f>
        <v>5</v>
      </c>
      <c r="FW17" s="364">
        <f>_xll.LVCELL($FO$3,FW$3,$DP17,$DQ$2,$DP$4,$DP$5,$DP$6,$DP$7,$DP$8,$DQ$3)</f>
        <v>5</v>
      </c>
      <c r="FX17" s="364">
        <f>_xll.LVCELL($FO$3,FX$3,$DP17,$DQ$2,$DP$4,$DP$5,$DP$6,$DP$7,$DP$8,$DQ$3)</f>
        <v>5</v>
      </c>
      <c r="FY17" s="364">
        <f>_xll.LVCELL($FO$3,FY$3,$DP17,$DQ$2,$DP$4,$DP$5,$DP$6,$DP$7,$DP$8,$DQ$3)</f>
        <v>5</v>
      </c>
      <c r="FZ17" s="364">
        <f>_xll.LVCELL($FO$3,FZ$3,$DP17,$DQ$2,$DP$4,$DP$5,$DP$6,$DP$7,$DP$8,$DQ$3)</f>
        <v>5</v>
      </c>
      <c r="GA17" s="364">
        <f>_xll.LVCELL($FO$3,GA$3,$DP17,$DQ$2,$DP$4,$DP$5,$DP$6,$DP$7,$DP$8,$DQ$3)</f>
        <v>5</v>
      </c>
      <c r="GB17" s="172">
        <f>_xll.LVCELL($FO$3,GB$3,$DP17,$DQ$2,$DP$4,$DP$5,$DP$6,$DP$7,$DP$8,$DQ$3)</f>
        <v>5</v>
      </c>
    </row>
    <row r="18" spans="2:184" ht="15">
      <c r="B18" s="64" t="s">
        <v>318</v>
      </c>
      <c r="C18" s="64" t="s">
        <v>318</v>
      </c>
      <c r="D18" s="69" t="s">
        <v>530</v>
      </c>
      <c r="E18" s="357">
        <f>_xll.LVCELL($C$3,Q$3,$C18,$D$2,$C$4,$C$5,$C$6,$C$7,$C$8,$D$3)/1000</f>
        <v>10.5</v>
      </c>
      <c r="F18" s="103">
        <f>'distribution mensuelle Prod B22'!$J$36</f>
        <v>1911983.0125904435</v>
      </c>
      <c r="G18" s="103">
        <f>'distribution mensuelle Prod B22'!$J$37</f>
        <v>1657989.5285674215</v>
      </c>
      <c r="H18" s="103">
        <f>'distribution mensuelle Prod B22'!$J$38</f>
        <v>1666728.0185040371</v>
      </c>
      <c r="I18" s="103">
        <f>'distribution mensuelle Prod B22'!$J$39</f>
        <v>1484118.9611059793</v>
      </c>
      <c r="J18" s="103">
        <f>'distribution mensuelle Prod B22'!$J$40</f>
        <v>1200743.5297398656</v>
      </c>
      <c r="K18" s="103">
        <f>'distribution mensuelle Prod B22'!$J$41</f>
        <v>818588.292492309</v>
      </c>
      <c r="L18" s="103">
        <f>'distribution mensuelle Prod B22'!$J$42</f>
        <v>691213.76651545498</v>
      </c>
      <c r="M18" s="103">
        <f>'distribution mensuelle Prod B22'!$J$43</f>
        <v>630150.27819190081</v>
      </c>
      <c r="N18" s="103">
        <f>'distribution mensuelle Prod B22'!$J$44</f>
        <v>981338.15031923237</v>
      </c>
      <c r="O18" s="103">
        <f>'distribution mensuelle Prod B22'!$J$45</f>
        <v>1577635.3879991793</v>
      </c>
      <c r="P18" s="103">
        <f>'distribution mensuelle Prod B22'!$J$46</f>
        <v>1766509.3394187668</v>
      </c>
      <c r="Q18" s="103">
        <f>'distribution mensuelle Prod B22'!$J$47</f>
        <v>1957530.3686350617</v>
      </c>
      <c r="R18" s="67">
        <f t="shared" si="1"/>
        <v>16344528.634079652</v>
      </c>
      <c r="S18" s="358"/>
      <c r="W18" s="113" t="str">
        <f t="shared" si="2"/>
        <v>E5090</v>
      </c>
      <c r="X18" s="359" t="str">
        <f t="shared" si="3"/>
        <v>Ally Monteil</v>
      </c>
      <c r="Y18" s="299" cm="1">
        <f t="array" ref="Y18">_xll.LVCELL($D$4,F$1,$B18,$D$2,$C$4,$C$5,$C$6,$C$7,$C$8,$D$3)*1000</f>
        <v>17.438537</v>
      </c>
      <c r="Z18" s="299" cm="1">
        <f t="array" ref="Z18">_xll.LVCELL($D$4,G$1,$B18,$D$2,$C$4,$C$5,$C$6,$C$7,$C$8,$D$3)*1000</f>
        <v>47.499980999999998</v>
      </c>
      <c r="AA18" s="299" cm="1">
        <f t="array" ref="AA18">_xll.LVCELL($D$4,H$1,$B18,$D$2,$C$4,$C$5,$C$6,$C$7,$C$8,$D$3)*1000</f>
        <v>47.500020124611595</v>
      </c>
      <c r="AB18" s="299" cm="1">
        <f t="array" ref="AB18">_xll.LVCELL($D$4,I$1,$B18,$D$2,$C$4,$C$5,$C$6,$C$7,$C$8,$D$3)*1000</f>
        <v>47.500006118757746</v>
      </c>
      <c r="AC18" s="299" cm="1">
        <f t="array" ref="AC18">_xll.LVCELL($D$4,J$1,$B18,$D$2,$C$4,$C$5,$C$6,$C$7,$C$8,$D$3)*1000</f>
        <v>47.500001385369288</v>
      </c>
      <c r="AD18" s="299" cm="1">
        <f t="array" ref="AD18">_xll.LVCELL($D$4,K$1,$B18,$D$2,$C$4,$C$5,$C$6,$C$7,$C$8,$D$3)*1000</f>
        <v>47.500019754985502</v>
      </c>
      <c r="AE18" s="299" cm="1">
        <f t="array" ref="AE18">_xll.LVCELL($D$4,L$1,$B18,$D$2,$C$4,$C$5,$C$6,$C$7,$C$8,$D$3)*1000</f>
        <v>41.059075949367084</v>
      </c>
      <c r="AF18" s="299">
        <f>$AD$18</f>
        <v>47.500019754985502</v>
      </c>
      <c r="AG18" s="299">
        <f t="shared" si="46"/>
        <v>47.500019754985502</v>
      </c>
      <c r="AH18" s="299">
        <f t="shared" si="46"/>
        <v>47.500019754985502</v>
      </c>
      <c r="AI18" s="411">
        <f t="shared" si="46"/>
        <v>47.500019754985502</v>
      </c>
      <c r="AJ18" s="412">
        <f t="shared" si="46"/>
        <v>47.500019754985502</v>
      </c>
      <c r="AK18" s="413" t="s">
        <v>3408</v>
      </c>
      <c r="AL18" s="134">
        <f t="shared" si="4"/>
        <v>2.3E-2</v>
      </c>
      <c r="AM18" s="134"/>
      <c r="AN18" s="134"/>
      <c r="AO18" s="134"/>
      <c r="AP18" s="113" t="str">
        <f t="shared" si="38"/>
        <v>E5090</v>
      </c>
      <c r="AQ18" s="568" t="str">
        <f t="shared" si="39"/>
        <v>Ally Monteil</v>
      </c>
      <c r="AR18" s="377"/>
      <c r="AS18" s="377"/>
      <c r="AT18" s="377"/>
      <c r="AU18" s="377"/>
      <c r="AV18" s="377"/>
      <c r="AW18" s="377"/>
      <c r="AX18" s="377"/>
      <c r="AY18" s="377"/>
      <c r="AZ18" s="377"/>
      <c r="BA18" s="377"/>
      <c r="BB18" s="377"/>
      <c r="BC18" s="378"/>
      <c r="BD18" s="414"/>
      <c r="BE18" s="134"/>
      <c r="BF18" s="134"/>
      <c r="BG18" s="134"/>
      <c r="BH18" s="134"/>
      <c r="BI18" s="113" t="str">
        <f t="shared" si="40"/>
        <v>E5090</v>
      </c>
      <c r="BJ18" s="568" t="str">
        <f t="shared" si="41"/>
        <v>Ally Monteil</v>
      </c>
      <c r="BK18" s="411">
        <f t="shared" si="48"/>
        <v>47.500019754985502</v>
      </c>
      <c r="BL18" s="411">
        <f t="shared" si="48"/>
        <v>47.500019754985502</v>
      </c>
      <c r="BM18" s="411">
        <f t="shared" si="48"/>
        <v>47.500019754985502</v>
      </c>
      <c r="BN18" s="411">
        <f t="shared" si="48"/>
        <v>47.500019754985502</v>
      </c>
      <c r="BO18" s="411">
        <f t="shared" si="48"/>
        <v>47.500019754985502</v>
      </c>
      <c r="BP18" s="411">
        <f t="shared" si="48"/>
        <v>47.500019754985502</v>
      </c>
      <c r="BQ18" s="411">
        <f t="shared" si="48"/>
        <v>47.500019754985502</v>
      </c>
      <c r="BR18" s="411">
        <f t="shared" si="48"/>
        <v>47.500019754985502</v>
      </c>
      <c r="BS18" s="411">
        <f t="shared" si="48"/>
        <v>47.500019754985502</v>
      </c>
      <c r="BT18" s="411">
        <f t="shared" si="48"/>
        <v>47.500019754985502</v>
      </c>
      <c r="BU18" s="411">
        <f t="shared" si="48"/>
        <v>47.500019754985502</v>
      </c>
      <c r="BV18" s="412">
        <f t="shared" si="48"/>
        <v>47.500019754985502</v>
      </c>
      <c r="BW18" s="413" t="s">
        <v>3407</v>
      </c>
      <c r="BX18" s="134"/>
      <c r="BY18" s="134"/>
      <c r="BZ18" s="134"/>
      <c r="CA18" s="134"/>
      <c r="CB18" s="113" t="str">
        <f t="shared" si="5"/>
        <v>E5090</v>
      </c>
      <c r="CC18" s="304" t="str">
        <f t="shared" si="6"/>
        <v>Ally Monteil</v>
      </c>
      <c r="CD18" s="411">
        <f t="shared" si="43"/>
        <v>47.500019754985502</v>
      </c>
      <c r="CE18" s="411">
        <f t="shared" si="7"/>
        <v>47.500019754985502</v>
      </c>
      <c r="CF18" s="411">
        <f t="shared" si="8"/>
        <v>47.500019754985502</v>
      </c>
      <c r="CG18" s="411">
        <f t="shared" si="9"/>
        <v>47.500019754985502</v>
      </c>
      <c r="CH18" s="411">
        <f t="shared" si="10"/>
        <v>47.500019754985502</v>
      </c>
      <c r="CI18" s="411">
        <f t="shared" si="11"/>
        <v>47.500019754985502</v>
      </c>
      <c r="CJ18" s="411">
        <f t="shared" si="12"/>
        <v>47.500019754985502</v>
      </c>
      <c r="CK18" s="411">
        <f t="shared" si="13"/>
        <v>47.500019754985502</v>
      </c>
      <c r="CL18" s="411">
        <f t="shared" si="14"/>
        <v>47.500019754985502</v>
      </c>
      <c r="CM18" s="411">
        <f t="shared" si="15"/>
        <v>47.500019754985502</v>
      </c>
      <c r="CN18" s="411">
        <f t="shared" si="16"/>
        <v>47.500019754985502</v>
      </c>
      <c r="CO18" s="412">
        <f t="shared" si="17"/>
        <v>47.500019754985502</v>
      </c>
      <c r="CP18" s="414"/>
      <c r="CQ18" s="134">
        <f t="shared" si="18"/>
        <v>4.0000000000000001E-3</v>
      </c>
      <c r="CU18" s="113" t="str">
        <f t="shared" si="19"/>
        <v>E5090</v>
      </c>
      <c r="CV18" s="69" t="str">
        <f t="shared" si="20"/>
        <v>Ally Monteil</v>
      </c>
      <c r="CW18" s="300">
        <f t="shared" si="21"/>
        <v>90819.230869242761</v>
      </c>
      <c r="CX18" s="298">
        <f t="shared" si="22"/>
        <v>78754.535360511625</v>
      </c>
      <c r="CY18" s="298">
        <f t="shared" si="23"/>
        <v>79169.6138051296</v>
      </c>
      <c r="CZ18" s="298">
        <f t="shared" si="24"/>
        <v>70495.679971282574</v>
      </c>
      <c r="DA18" s="298">
        <f t="shared" si="25"/>
        <v>57035.341383314633</v>
      </c>
      <c r="DB18" s="298">
        <f t="shared" si="26"/>
        <v>38882.960064584528</v>
      </c>
      <c r="DC18" s="298">
        <f t="shared" si="27"/>
        <v>32832.667564402051</v>
      </c>
      <c r="DD18" s="298">
        <f t="shared" si="28"/>
        <v>29932.1506627249</v>
      </c>
      <c r="DE18" s="298">
        <f t="shared" si="29"/>
        <v>46613.581526484471</v>
      </c>
      <c r="DF18" s="298">
        <f t="shared" si="30"/>
        <v>74937.712096125237</v>
      </c>
      <c r="DG18" s="371">
        <f t="shared" si="31"/>
        <v>83909.228519757817</v>
      </c>
      <c r="DH18" s="372">
        <f t="shared" si="32"/>
        <v>92982.731181149487</v>
      </c>
      <c r="DI18" s="67">
        <f t="shared" si="33"/>
        <v>776365.43300470978</v>
      </c>
      <c r="DJ18" s="364">
        <f>_xll.LVCELL($E$1,Q$2,$C18,$D$2,$C$4,$C$5,$C$6,$C$7,$C$8,$D$3)+_xll.LVCELL($E$2,Q$2,$C18,$D$2,$C$4,$C$5,$C$6,$C$7,$C$8,$D$3)</f>
        <v>776365.40689056006</v>
      </c>
      <c r="DK18" s="82">
        <f t="shared" si="44"/>
        <v>2.6114149717614055E-2</v>
      </c>
      <c r="DM18" s="518">
        <f t="shared" si="34"/>
        <v>47.500019754985509</v>
      </c>
      <c r="DO18" s="64" t="str">
        <f t="shared" si="35"/>
        <v>E5090</v>
      </c>
      <c r="DP18" s="64" t="str">
        <f t="shared" si="36"/>
        <v>E5090</v>
      </c>
      <c r="DQ18" s="69" t="str">
        <f t="shared" si="37"/>
        <v>Ally Monteil</v>
      </c>
      <c r="DR18" s="365">
        <f>_xll.LVCELL($DP$3,DR$3,$DP18,$DQ$2,$DP$4,$DP$5,$DP$6,$DP$7,$DP$8,$DQ$3)/100</f>
        <v>0.96999999999999986</v>
      </c>
      <c r="DS18" s="365">
        <f>_xll.LVCELL($DP$3,DS$3,$DP18,$DQ$2,$DP$4,$DP$5,$DP$6,$DP$7,$DP$8,$DQ$3)/100</f>
        <v>0.97</v>
      </c>
      <c r="DT18" s="365">
        <f>_xll.LVCELL($DP$3,DT$3,$DP18,$DQ$2,$DP$4,$DP$5,$DP$6,$DP$7,$DP$8,$DQ$3)/100</f>
        <v>0.96999999999999986</v>
      </c>
      <c r="DU18" s="365">
        <f>_xll.LVCELL($DP$3,DU$3,$DP18,$DQ$2,$DP$4,$DP$5,$DP$6,$DP$7,$DP$8,$DQ$3)/100</f>
        <v>0.97</v>
      </c>
      <c r="DV18" s="365">
        <f>_xll.LVCELL($DP$3,DV$3,$DP18,$DQ$2,$DP$4,$DP$5,$DP$6,$DP$7,$DP$8,$DQ$3)/100</f>
        <v>0.96999999999999986</v>
      </c>
      <c r="DW18" s="365">
        <f>_xll.LVCELL($DP$3,DW$3,$DP18,$DQ$2,$DP$4,$DP$5,$DP$6,$DP$7,$DP$8,$DQ$3)/100</f>
        <v>0.97</v>
      </c>
      <c r="DX18" s="365">
        <f>_xll.LVCELL($DP$3,DX$3,$DP18,$DQ$2,$DP$4,$DP$5,$DP$6,$DP$7,$DP$8,$DQ$3)/100</f>
        <v>0.96999999999999986</v>
      </c>
      <c r="DY18" s="365">
        <f>_xll.LVCELL($DP$3,DY$3,$DP18,$DQ$2,$DP$4,$DP$5,$DP$6,$DP$7,$DP$8,$DQ$3)/100</f>
        <v>0.96999999999999986</v>
      </c>
      <c r="DZ18" s="365">
        <f>_xll.LVCELL($DP$3,DZ$3,$DP18,$DQ$2,$DP$4,$DP$5,$DP$6,$DP$7,$DP$8,$DQ$3)/100</f>
        <v>0.97</v>
      </c>
      <c r="EA18" s="365">
        <f>_xll.LVCELL($DP$3,EA$3,$DP18,$DQ$2,$DP$4,$DP$5,$DP$6,$DP$7,$DP$8,$DQ$3)/100</f>
        <v>0.96999999999999986</v>
      </c>
      <c r="EB18" s="365">
        <f>_xll.LVCELL($DP$3,EB$3,$DP18,$DQ$2,$DP$4,$DP$5,$DP$6,$DP$7,$DP$8,$DQ$3)/100</f>
        <v>0.97</v>
      </c>
      <c r="EC18" s="365">
        <f>_xll.LVCELL($DP$3,EC$3,$DP18,$DQ$2,$DP$4,$DP$5,$DP$6,$DP$7,$DP$8,$DQ$3)/100</f>
        <v>0.96999999999999986</v>
      </c>
      <c r="ED18" s="582">
        <f t="shared" si="45"/>
        <v>11.64</v>
      </c>
      <c r="EF18" s="64" t="s">
        <v>318</v>
      </c>
      <c r="EG18" s="64" t="s">
        <v>318</v>
      </c>
      <c r="EH18" s="69" t="s">
        <v>530</v>
      </c>
      <c r="EI18" s="366" t="e">
        <f ca="1">_xll.LVCELL($EG$3,EI$3,$DP18,$DQ$2,$DP$4,$DP$5,$DP$6,$DP$7,$DP$8,$DQ$3)-CW18</f>
        <v>#NAME?</v>
      </c>
      <c r="EJ18" s="367" t="e">
        <f ca="1">_xll.LVCELL($EG$3,EJ$3,$DP18,$DQ$2,$DP$4,$DP$5,$DP$6,$DP$7,$DP$8,$DQ$3)-CX18</f>
        <v>#NAME?</v>
      </c>
      <c r="EK18" s="368" t="e">
        <f ca="1">_xll.LVCELL($EG$3,EK$3,$DP18,$DQ$2,$DP$4,$DP$5,$DP$6,$DP$7,$DP$8,$DQ$3)-CY18</f>
        <v>#NAME?</v>
      </c>
      <c r="EL18" s="367" t="e">
        <f ca="1">_xll.LVCELL($EG$3,EL$3,$DP18,$DQ$2,$DP$4,$DP$5,$DP$6,$DP$7,$DP$8,$DQ$3)-CZ18</f>
        <v>#NAME?</v>
      </c>
      <c r="EM18" s="368" t="e">
        <f ca="1">_xll.LVCELL($EG$3,EM$3,$DP18,$DQ$2,$DP$4,$DP$5,$DP$6,$DP$7,$DP$8,$DQ$3)-DA18</f>
        <v>#NAME?</v>
      </c>
      <c r="EN18" s="367" t="e">
        <f ca="1">_xll.LVCELL($EG$3,EN$3,$DP18,$DQ$2,$DP$4,$DP$5,$DP$6,$DP$7,$DP$8,$DQ$3)-DB18</f>
        <v>#NAME?</v>
      </c>
      <c r="EO18" s="368" t="e">
        <f ca="1">_xll.LVCELL($EG$3,EO$3,$DP18,$DQ$2,$DP$4,$DP$5,$DP$6,$DP$7,$DP$8,$DQ$3)-DC18</f>
        <v>#NAME?</v>
      </c>
      <c r="EP18" s="367" t="e">
        <f ca="1">_xll.LVCELL($EG$3,EP$3,$DP18,$DQ$2,$DP$4,$DP$5,$DP$6,$DP$7,$DP$8,$DQ$3)-DD18</f>
        <v>#NAME?</v>
      </c>
      <c r="EQ18" s="368" t="e">
        <f ca="1">_xll.LVCELL($EG$3,EQ$3,$DP18,$DQ$2,$DP$4,$DP$5,$DP$6,$DP$7,$DP$8,$DQ$3)-DE18</f>
        <v>#NAME?</v>
      </c>
      <c r="ER18" s="367" t="e">
        <f ca="1">_xll.LVCELL($EG$3,ER$3,$DP18,$DQ$2,$DP$4,$DP$5,$DP$6,$DP$7,$DP$8,$DQ$3)-DF18</f>
        <v>#NAME?</v>
      </c>
      <c r="ES18" s="368" t="e">
        <f ca="1">_xll.LVCELL($EG$3,ES$3,$DP18,$DQ$2,$DP$4,$DP$5,$DP$6,$DP$7,$DP$8,$DQ$3)-DG18</f>
        <v>#NAME?</v>
      </c>
      <c r="ET18" s="367" t="e">
        <f ca="1">_xll.LVCELL($EG$3,ET$3,$DP18,$DQ$2,$DP$4,$DP$5,$DP$6,$DP$7,$DP$8,$DQ$3)-DH18</f>
        <v>#NAME?</v>
      </c>
      <c r="EW18" s="64" t="s">
        <v>318</v>
      </c>
      <c r="EX18" s="64" t="s">
        <v>318</v>
      </c>
      <c r="EY18" s="69" t="s">
        <v>530</v>
      </c>
      <c r="EZ18" s="364">
        <f>_xll.LVCELL($EX$3,EZ$3,$DP18,$DQ$2,$DP$4,$DP$5,$DP$6,$DP$7,$DP$8,$DQ$3)</f>
        <v>10500</v>
      </c>
      <c r="FA18" s="364">
        <f>_xll.LVCELL($EX$3,FA$3,$DP18,$DQ$2,$DP$4,$DP$5,$DP$6,$DP$7,$DP$8,$DQ$3)</f>
        <v>10500</v>
      </c>
      <c r="FB18" s="364">
        <f>_xll.LVCELL($EX$3,FB$3,$DP18,$DQ$2,$DP$4,$DP$5,$DP$6,$DP$7,$DP$8,$DQ$3)</f>
        <v>10500</v>
      </c>
      <c r="FC18" s="364">
        <f>_xll.LVCELL($EX$3,FC$3,$DP18,$DQ$2,$DP$4,$DP$5,$DP$6,$DP$7,$DP$8,$DQ$3)</f>
        <v>10500</v>
      </c>
      <c r="FD18" s="364">
        <f>_xll.LVCELL($EX$3,FD$3,$DP18,$DQ$2,$DP$4,$DP$5,$DP$6,$DP$7,$DP$8,$DQ$3)</f>
        <v>10500</v>
      </c>
      <c r="FE18" s="364">
        <f>_xll.LVCELL($EX$3,FE$3,$DP18,$DQ$2,$DP$4,$DP$5,$DP$6,$DP$7,$DP$8,$DQ$3)</f>
        <v>10500</v>
      </c>
      <c r="FF18" s="364">
        <f>_xll.LVCELL($EX$3,FF$3,$DP18,$DQ$2,$DP$4,$DP$5,$DP$6,$DP$7,$DP$8,$DQ$3)</f>
        <v>10500</v>
      </c>
      <c r="FG18" s="364">
        <f>_xll.LVCELL($EX$3,FG$3,$DP18,$DQ$2,$DP$4,$DP$5,$DP$6,$DP$7,$DP$8,$DQ$3)</f>
        <v>10500</v>
      </c>
      <c r="FH18" s="364">
        <f>_xll.LVCELL($EX$3,FH$3,$DP18,$DQ$2,$DP$4,$DP$5,$DP$6,$DP$7,$DP$8,$DQ$3)</f>
        <v>10500</v>
      </c>
      <c r="FI18" s="364">
        <f>_xll.LVCELL($EX$3,FI$3,$DP18,$DQ$2,$DP$4,$DP$5,$DP$6,$DP$7,$DP$8,$DQ$3)</f>
        <v>10500</v>
      </c>
      <c r="FJ18" s="364">
        <f>_xll.LVCELL($EX$3,FJ$3,$DP18,$DQ$2,$DP$4,$DP$5,$DP$6,$DP$7,$DP$8,$DQ$3)</f>
        <v>10500</v>
      </c>
      <c r="FK18" s="276">
        <f>_xll.LVCELL($EX$3,FK$3,$DP18,$DQ$2,$DP$4,$DP$5,$DP$6,$DP$7,$DP$8,$DQ$3)</f>
        <v>10500</v>
      </c>
      <c r="FN18" s="64" t="s">
        <v>318</v>
      </c>
      <c r="FO18" s="64" t="s">
        <v>318</v>
      </c>
      <c r="FP18" s="69" t="s">
        <v>530</v>
      </c>
      <c r="FQ18" s="364">
        <f>_xll.LVCELL($FO$3,FQ$3,$DP18,$DQ$2,$DP$4,$DP$5,$DP$6,$DP$7,$DP$8,$DQ$3)</f>
        <v>7</v>
      </c>
      <c r="FR18" s="364">
        <f>_xll.LVCELL($FO$3,FR$3,$DP18,$DQ$2,$DP$4,$DP$5,$DP$6,$DP$7,$DP$8,$DQ$3)</f>
        <v>7</v>
      </c>
      <c r="FS18" s="364">
        <f>_xll.LVCELL($FO$3,FS$3,$DP18,$DQ$2,$DP$4,$DP$5,$DP$6,$DP$7,$DP$8,$DQ$3)</f>
        <v>7</v>
      </c>
      <c r="FT18" s="364">
        <f>_xll.LVCELL($FO$3,FT$3,$DP18,$DQ$2,$DP$4,$DP$5,$DP$6,$DP$7,$DP$8,$DQ$3)</f>
        <v>7</v>
      </c>
      <c r="FU18" s="364">
        <f>_xll.LVCELL($FO$3,FU$3,$DP18,$DQ$2,$DP$4,$DP$5,$DP$6,$DP$7,$DP$8,$DQ$3)</f>
        <v>7</v>
      </c>
      <c r="FV18" s="364">
        <f>_xll.LVCELL($FO$3,FV$3,$DP18,$DQ$2,$DP$4,$DP$5,$DP$6,$DP$7,$DP$8,$DQ$3)</f>
        <v>7</v>
      </c>
      <c r="FW18" s="364">
        <f>_xll.LVCELL($FO$3,FW$3,$DP18,$DQ$2,$DP$4,$DP$5,$DP$6,$DP$7,$DP$8,$DQ$3)</f>
        <v>7</v>
      </c>
      <c r="FX18" s="364">
        <f>_xll.LVCELL($FO$3,FX$3,$DP18,$DQ$2,$DP$4,$DP$5,$DP$6,$DP$7,$DP$8,$DQ$3)</f>
        <v>7</v>
      </c>
      <c r="FY18" s="364">
        <f>_xll.LVCELL($FO$3,FY$3,$DP18,$DQ$2,$DP$4,$DP$5,$DP$6,$DP$7,$DP$8,$DQ$3)</f>
        <v>7</v>
      </c>
      <c r="FZ18" s="364">
        <f>_xll.LVCELL($FO$3,FZ$3,$DP18,$DQ$2,$DP$4,$DP$5,$DP$6,$DP$7,$DP$8,$DQ$3)</f>
        <v>7</v>
      </c>
      <c r="GA18" s="364">
        <f>_xll.LVCELL($FO$3,GA$3,$DP18,$DQ$2,$DP$4,$DP$5,$DP$6,$DP$7,$DP$8,$DQ$3)</f>
        <v>7</v>
      </c>
      <c r="GB18" s="172">
        <f>_xll.LVCELL($FO$3,GB$3,$DP18,$DQ$2,$DP$4,$DP$5,$DP$6,$DP$7,$DP$8,$DQ$3)</f>
        <v>7</v>
      </c>
    </row>
    <row r="19" spans="2:184" ht="15">
      <c r="B19" s="64" t="s">
        <v>319</v>
      </c>
      <c r="C19" s="64" t="s">
        <v>319</v>
      </c>
      <c r="D19" s="69" t="s">
        <v>531</v>
      </c>
      <c r="E19" s="357">
        <f>_xll.LVCELL($C$3,Q$3,$C19,$D$2,$C$4,$C$5,$C$6,$C$7,$C$8,$D$3)/1000</f>
        <v>10.5</v>
      </c>
      <c r="F19" s="103">
        <f>'distribution mensuelle Prod B22'!$K$36</f>
        <v>2314592.0429786821</v>
      </c>
      <c r="G19" s="103">
        <f>'distribution mensuelle Prod B22'!$K$37</f>
        <v>2007114.7833917276</v>
      </c>
      <c r="H19" s="103">
        <f>'distribution mensuelle Prod B22'!$K$38</f>
        <v>2017693.3498024908</v>
      </c>
      <c r="I19" s="103">
        <f>'distribution mensuelle Prod B22'!$K$39</f>
        <v>1796632.0388775915</v>
      </c>
      <c r="J19" s="103">
        <f>'distribution mensuelle Prod B22'!$K$40</f>
        <v>1453585.8327677283</v>
      </c>
      <c r="K19" s="103">
        <f>'distribution mensuelle Prod B22'!$K$41</f>
        <v>990959.61407689482</v>
      </c>
      <c r="L19" s="103">
        <f>'distribution mensuelle Prod B22'!$K$42</f>
        <v>836763.64980168303</v>
      </c>
      <c r="M19" s="103">
        <f>'distribution mensuelle Prod B22'!$K$43</f>
        <v>762841.93435781507</v>
      </c>
      <c r="N19" s="103">
        <f>'distribution mensuelle Prod B22'!$K$44</f>
        <v>1187979.9450325232</v>
      </c>
      <c r="O19" s="103">
        <f>'distribution mensuelle Prod B22'!$K$45</f>
        <v>1909840.3551384867</v>
      </c>
      <c r="P19" s="103">
        <f>'distribution mensuelle Prod B22'!$K$46</f>
        <v>2138485.767886912</v>
      </c>
      <c r="Q19" s="103">
        <f>'distribution mensuelle Prod B22'!$K$47</f>
        <v>2369730.3717114036</v>
      </c>
      <c r="R19" s="67">
        <f t="shared" si="1"/>
        <v>19786219.68582394</v>
      </c>
      <c r="S19" s="358"/>
      <c r="W19" s="113" t="str">
        <f t="shared" si="2"/>
        <v>E5100</v>
      </c>
      <c r="X19" s="359" t="str">
        <f t="shared" si="3"/>
        <v>Ally Verseilles</v>
      </c>
      <c r="Y19" s="299" cm="1">
        <f t="array" ref="Y19">_xll.LVCELL($D$4,F$1,$B19,$D$2,$C$4,$C$5,$C$6,$C$7,$C$8,$D$3)*1000</f>
        <v>19.046135</v>
      </c>
      <c r="Z19" s="299" cm="1">
        <f t="array" ref="Z19">_xll.LVCELL($D$4,G$1,$B19,$D$2,$C$4,$C$5,$C$6,$C$7,$C$8,$D$3)*1000</f>
        <v>47.500011999999998</v>
      </c>
      <c r="AA19" s="299" cm="1">
        <f t="array" ref="AA19">_xll.LVCELL($D$4,H$1,$B19,$D$2,$C$4,$C$5,$C$6,$C$7,$C$8,$D$3)*1000</f>
        <v>47.5</v>
      </c>
      <c r="AB19" s="299" cm="1">
        <f t="array" ref="AB19">_xll.LVCELL($D$4,I$1,$B19,$D$2,$C$4,$C$5,$C$6,$C$7,$C$8,$D$3)*1000</f>
        <v>47.500026303537567</v>
      </c>
      <c r="AC19" s="299" cm="1">
        <f t="array" ref="AC19">_xll.LVCELL($D$4,J$1,$B19,$D$2,$C$4,$C$5,$C$6,$C$7,$C$8,$D$3)*1000</f>
        <v>47.500022683349513</v>
      </c>
      <c r="AD19" s="299" cm="1">
        <f t="array" ref="AD19">_xll.LVCELL($D$4,K$1,$B19,$D$2,$C$4,$C$5,$C$6,$C$7,$C$8,$D$3)*1000</f>
        <v>47.499994822161973</v>
      </c>
      <c r="AE19" s="299" cm="1">
        <f t="array" ref="AE19">_xll.LVCELL($D$4,L$1,$B19,$D$2,$C$4,$C$5,$C$6,$C$7,$C$8,$D$3)*1000</f>
        <v>43.430905849664846</v>
      </c>
      <c r="AF19" s="299">
        <f>$AD$19</f>
        <v>47.499994822161973</v>
      </c>
      <c r="AG19" s="299">
        <f t="shared" si="46"/>
        <v>47.499994822161973</v>
      </c>
      <c r="AH19" s="299">
        <f t="shared" si="46"/>
        <v>47.499994822161973</v>
      </c>
      <c r="AI19" s="411">
        <f t="shared" si="46"/>
        <v>47.499994822161973</v>
      </c>
      <c r="AJ19" s="412">
        <f t="shared" si="46"/>
        <v>47.499994822161973</v>
      </c>
      <c r="AK19" s="413" t="s">
        <v>3408</v>
      </c>
      <c r="AL19" s="134">
        <f t="shared" si="4"/>
        <v>2.3E-2</v>
      </c>
      <c r="AM19" s="134"/>
      <c r="AN19" s="134"/>
      <c r="AO19" s="134"/>
      <c r="AP19" s="113" t="str">
        <f t="shared" si="38"/>
        <v>E5100</v>
      </c>
      <c r="AQ19" s="568" t="str">
        <f t="shared" si="39"/>
        <v>Ally Verseilles</v>
      </c>
      <c r="AR19" s="377"/>
      <c r="AS19" s="377"/>
      <c r="AT19" s="377"/>
      <c r="AU19" s="377"/>
      <c r="AV19" s="377"/>
      <c r="AW19" s="377"/>
      <c r="AX19" s="377"/>
      <c r="AY19" s="377"/>
      <c r="AZ19" s="377"/>
      <c r="BA19" s="377"/>
      <c r="BB19" s="377"/>
      <c r="BC19" s="378"/>
      <c r="BD19" s="414"/>
      <c r="BE19" s="134"/>
      <c r="BF19" s="134"/>
      <c r="BG19" s="134"/>
      <c r="BH19" s="134"/>
      <c r="BI19" s="113" t="str">
        <f t="shared" si="40"/>
        <v>E5100</v>
      </c>
      <c r="BJ19" s="568" t="str">
        <f t="shared" si="41"/>
        <v>Ally Verseilles</v>
      </c>
      <c r="BK19" s="411">
        <f t="shared" si="48"/>
        <v>47.499994822161973</v>
      </c>
      <c r="BL19" s="411">
        <f t="shared" si="48"/>
        <v>47.499994822161973</v>
      </c>
      <c r="BM19" s="411">
        <f t="shared" si="48"/>
        <v>47.499994822161973</v>
      </c>
      <c r="BN19" s="411">
        <f t="shared" si="48"/>
        <v>47.499994822161973</v>
      </c>
      <c r="BO19" s="411">
        <f t="shared" si="48"/>
        <v>47.499994822161973</v>
      </c>
      <c r="BP19" s="411">
        <f t="shared" si="48"/>
        <v>47.499994822161973</v>
      </c>
      <c r="BQ19" s="411">
        <f t="shared" si="48"/>
        <v>47.499994822161973</v>
      </c>
      <c r="BR19" s="411">
        <f t="shared" si="48"/>
        <v>47.499994822161973</v>
      </c>
      <c r="BS19" s="411">
        <f t="shared" si="48"/>
        <v>47.499994822161973</v>
      </c>
      <c r="BT19" s="411">
        <f t="shared" si="48"/>
        <v>47.499994822161973</v>
      </c>
      <c r="BU19" s="411">
        <f t="shared" si="48"/>
        <v>47.499994822161973</v>
      </c>
      <c r="BV19" s="412">
        <f t="shared" si="48"/>
        <v>47.499994822161973</v>
      </c>
      <c r="BW19" s="413" t="s">
        <v>3407</v>
      </c>
      <c r="BX19" s="134"/>
      <c r="BY19" s="134"/>
      <c r="BZ19" s="134"/>
      <c r="CA19" s="134"/>
      <c r="CB19" s="113" t="str">
        <f t="shared" si="5"/>
        <v>E5100</v>
      </c>
      <c r="CC19" s="304" t="str">
        <f t="shared" si="6"/>
        <v>Ally Verseilles</v>
      </c>
      <c r="CD19" s="411">
        <f t="shared" si="43"/>
        <v>47.499994822161973</v>
      </c>
      <c r="CE19" s="411">
        <f t="shared" si="7"/>
        <v>47.499994822161973</v>
      </c>
      <c r="CF19" s="411">
        <f t="shared" si="8"/>
        <v>47.499994822161973</v>
      </c>
      <c r="CG19" s="411">
        <f t="shared" si="9"/>
        <v>47.499994822161973</v>
      </c>
      <c r="CH19" s="411">
        <f t="shared" si="10"/>
        <v>47.499994822161973</v>
      </c>
      <c r="CI19" s="411">
        <f t="shared" si="11"/>
        <v>47.499994822161973</v>
      </c>
      <c r="CJ19" s="411">
        <f t="shared" si="12"/>
        <v>47.499994822161973</v>
      </c>
      <c r="CK19" s="411">
        <f t="shared" si="13"/>
        <v>47.499994822161973</v>
      </c>
      <c r="CL19" s="411">
        <f t="shared" si="14"/>
        <v>47.499994822161973</v>
      </c>
      <c r="CM19" s="411">
        <f t="shared" si="15"/>
        <v>47.499994822161973</v>
      </c>
      <c r="CN19" s="411">
        <f t="shared" si="16"/>
        <v>47.499994822161973</v>
      </c>
      <c r="CO19" s="412">
        <f t="shared" si="17"/>
        <v>47.499994822161973</v>
      </c>
      <c r="CP19" s="414"/>
      <c r="CQ19" s="134">
        <f t="shared" si="18"/>
        <v>4.0000000000000001E-3</v>
      </c>
      <c r="CU19" s="113" t="str">
        <f t="shared" si="19"/>
        <v>E5100</v>
      </c>
      <c r="CV19" s="69" t="str">
        <f t="shared" si="20"/>
        <v>Ally Verseilles</v>
      </c>
      <c r="CW19" s="300">
        <f t="shared" si="21"/>
        <v>109943.1100569047</v>
      </c>
      <c r="CX19" s="298">
        <f t="shared" si="22"/>
        <v>95337.941818591818</v>
      </c>
      <c r="CY19" s="298">
        <f t="shared" si="23"/>
        <v>95840.423668328964</v>
      </c>
      <c r="CZ19" s="298">
        <f t="shared" si="24"/>
        <v>85340.012544015903</v>
      </c>
      <c r="DA19" s="298">
        <f t="shared" si="25"/>
        <v>69045.319530035093</v>
      </c>
      <c r="DB19" s="298">
        <f t="shared" si="26"/>
        <v>47070.576537624132</v>
      </c>
      <c r="DC19" s="298">
        <f t="shared" si="27"/>
        <v>39746.2690329533</v>
      </c>
      <c r="DD19" s="298">
        <f t="shared" si="28"/>
        <v>36234.987932124241</v>
      </c>
      <c r="DE19" s="298">
        <f t="shared" si="29"/>
        <v>56429.041237877122</v>
      </c>
      <c r="DF19" s="298">
        <f t="shared" si="30"/>
        <v>90717.406980234111</v>
      </c>
      <c r="DG19" s="371">
        <f t="shared" si="31"/>
        <v>101578.06290189539</v>
      </c>
      <c r="DH19" s="372">
        <f t="shared" si="32"/>
        <v>112562.18038621164</v>
      </c>
      <c r="DI19" s="67">
        <f t="shared" si="33"/>
        <v>939845.33262679633</v>
      </c>
      <c r="DJ19" s="364">
        <f>_xll.LVCELL($E$1,Q$2,$C19,$D$2,$C$4,$C$5,$C$6,$C$7,$C$8,$D$3)+_xll.LVCELL($E$2,Q$2,$C19,$D$2,$C$4,$C$5,$C$6,$C$7,$C$8,$D$3)</f>
        <v>939845.35106889997</v>
      </c>
      <c r="DK19" s="82">
        <f t="shared" si="44"/>
        <v>-1.8442103639245033E-2</v>
      </c>
      <c r="DM19" s="518">
        <f t="shared" si="34"/>
        <v>47.499994822161966</v>
      </c>
      <c r="DO19" s="64" t="str">
        <f t="shared" si="35"/>
        <v>E5100</v>
      </c>
      <c r="DP19" s="64" t="str">
        <f t="shared" si="36"/>
        <v>E5100</v>
      </c>
      <c r="DQ19" s="69" t="str">
        <f t="shared" si="37"/>
        <v>Ally Verseilles</v>
      </c>
      <c r="DR19" s="365">
        <f>_xll.LVCELL($DP$3,DR$3,$DP19,$DQ$2,$DP$4,$DP$5,$DP$6,$DP$7,$DP$8,$DQ$3)/100</f>
        <v>0.96999999999999986</v>
      </c>
      <c r="DS19" s="365">
        <f>_xll.LVCELL($DP$3,DS$3,$DP19,$DQ$2,$DP$4,$DP$5,$DP$6,$DP$7,$DP$8,$DQ$3)/100</f>
        <v>0.97</v>
      </c>
      <c r="DT19" s="365">
        <f>_xll.LVCELL($DP$3,DT$3,$DP19,$DQ$2,$DP$4,$DP$5,$DP$6,$DP$7,$DP$8,$DQ$3)/100</f>
        <v>0.96999999999999986</v>
      </c>
      <c r="DU19" s="365">
        <f>_xll.LVCELL($DP$3,DU$3,$DP19,$DQ$2,$DP$4,$DP$5,$DP$6,$DP$7,$DP$8,$DQ$3)/100</f>
        <v>0.97</v>
      </c>
      <c r="DV19" s="365">
        <f>_xll.LVCELL($DP$3,DV$3,$DP19,$DQ$2,$DP$4,$DP$5,$DP$6,$DP$7,$DP$8,$DQ$3)/100</f>
        <v>0.96999999999999986</v>
      </c>
      <c r="DW19" s="365">
        <f>_xll.LVCELL($DP$3,DW$3,$DP19,$DQ$2,$DP$4,$DP$5,$DP$6,$DP$7,$DP$8,$DQ$3)/100</f>
        <v>0.97</v>
      </c>
      <c r="DX19" s="365">
        <f>_xll.LVCELL($DP$3,DX$3,$DP19,$DQ$2,$DP$4,$DP$5,$DP$6,$DP$7,$DP$8,$DQ$3)/100</f>
        <v>0.96999999999999986</v>
      </c>
      <c r="DY19" s="365">
        <f>_xll.LVCELL($DP$3,DY$3,$DP19,$DQ$2,$DP$4,$DP$5,$DP$6,$DP$7,$DP$8,$DQ$3)/100</f>
        <v>0.96999999999999986</v>
      </c>
      <c r="DZ19" s="365">
        <f>_xll.LVCELL($DP$3,DZ$3,$DP19,$DQ$2,$DP$4,$DP$5,$DP$6,$DP$7,$DP$8,$DQ$3)/100</f>
        <v>0.97</v>
      </c>
      <c r="EA19" s="365">
        <f>_xll.LVCELL($DP$3,EA$3,$DP19,$DQ$2,$DP$4,$DP$5,$DP$6,$DP$7,$DP$8,$DQ$3)/100</f>
        <v>0.96999999999999986</v>
      </c>
      <c r="EB19" s="365">
        <f>_xll.LVCELL($DP$3,EB$3,$DP19,$DQ$2,$DP$4,$DP$5,$DP$6,$DP$7,$DP$8,$DQ$3)/100</f>
        <v>0.97</v>
      </c>
      <c r="EC19" s="365">
        <f>_xll.LVCELL($DP$3,EC$3,$DP19,$DQ$2,$DP$4,$DP$5,$DP$6,$DP$7,$DP$8,$DQ$3)/100</f>
        <v>0.96999999999999986</v>
      </c>
      <c r="ED19" s="582">
        <f t="shared" si="45"/>
        <v>11.64</v>
      </c>
      <c r="EF19" s="64" t="s">
        <v>319</v>
      </c>
      <c r="EG19" s="64" t="s">
        <v>319</v>
      </c>
      <c r="EH19" s="69" t="s">
        <v>531</v>
      </c>
      <c r="EI19" s="366" t="e">
        <f ca="1">_xll.LVCELL($EG$3,EI$3,$DP19,$DQ$2,$DP$4,$DP$5,$DP$6,$DP$7,$DP$8,$DQ$3)-CW19</f>
        <v>#NAME?</v>
      </c>
      <c r="EJ19" s="367" t="e">
        <f ca="1">_xll.LVCELL($EG$3,EJ$3,$DP19,$DQ$2,$DP$4,$DP$5,$DP$6,$DP$7,$DP$8,$DQ$3)-CX19</f>
        <v>#NAME?</v>
      </c>
      <c r="EK19" s="368" t="e">
        <f ca="1">_xll.LVCELL($EG$3,EK$3,$DP19,$DQ$2,$DP$4,$DP$5,$DP$6,$DP$7,$DP$8,$DQ$3)-CY19</f>
        <v>#NAME?</v>
      </c>
      <c r="EL19" s="367" t="e">
        <f ca="1">_xll.LVCELL($EG$3,EL$3,$DP19,$DQ$2,$DP$4,$DP$5,$DP$6,$DP$7,$DP$8,$DQ$3)-CZ19</f>
        <v>#NAME?</v>
      </c>
      <c r="EM19" s="368" t="e">
        <f ca="1">_xll.LVCELL($EG$3,EM$3,$DP19,$DQ$2,$DP$4,$DP$5,$DP$6,$DP$7,$DP$8,$DQ$3)-DA19</f>
        <v>#NAME?</v>
      </c>
      <c r="EN19" s="367" t="e">
        <f ca="1">_xll.LVCELL($EG$3,EN$3,$DP19,$DQ$2,$DP$4,$DP$5,$DP$6,$DP$7,$DP$8,$DQ$3)-DB19</f>
        <v>#NAME?</v>
      </c>
      <c r="EO19" s="368" t="e">
        <f ca="1">_xll.LVCELL($EG$3,EO$3,$DP19,$DQ$2,$DP$4,$DP$5,$DP$6,$DP$7,$DP$8,$DQ$3)-DC19</f>
        <v>#NAME?</v>
      </c>
      <c r="EP19" s="367" t="e">
        <f ca="1">_xll.LVCELL($EG$3,EP$3,$DP19,$DQ$2,$DP$4,$DP$5,$DP$6,$DP$7,$DP$8,$DQ$3)-DD19</f>
        <v>#NAME?</v>
      </c>
      <c r="EQ19" s="368" t="e">
        <f ca="1">_xll.LVCELL($EG$3,EQ$3,$DP19,$DQ$2,$DP$4,$DP$5,$DP$6,$DP$7,$DP$8,$DQ$3)-DE19</f>
        <v>#NAME?</v>
      </c>
      <c r="ER19" s="367" t="e">
        <f ca="1">_xll.LVCELL($EG$3,ER$3,$DP19,$DQ$2,$DP$4,$DP$5,$DP$6,$DP$7,$DP$8,$DQ$3)-DF19</f>
        <v>#NAME?</v>
      </c>
      <c r="ES19" s="368" t="e">
        <f ca="1">_xll.LVCELL($EG$3,ES$3,$DP19,$DQ$2,$DP$4,$DP$5,$DP$6,$DP$7,$DP$8,$DQ$3)-DG19</f>
        <v>#NAME?</v>
      </c>
      <c r="ET19" s="367" t="e">
        <f ca="1">_xll.LVCELL($EG$3,ET$3,$DP19,$DQ$2,$DP$4,$DP$5,$DP$6,$DP$7,$DP$8,$DQ$3)-DH19</f>
        <v>#NAME?</v>
      </c>
      <c r="EW19" s="64" t="s">
        <v>319</v>
      </c>
      <c r="EX19" s="64" t="s">
        <v>319</v>
      </c>
      <c r="EY19" s="69" t="s">
        <v>531</v>
      </c>
      <c r="EZ19" s="364">
        <f>_xll.LVCELL($EX$3,EZ$3,$DP19,$DQ$2,$DP$4,$DP$5,$DP$6,$DP$7,$DP$8,$DQ$3)</f>
        <v>10500</v>
      </c>
      <c r="FA19" s="364">
        <f>_xll.LVCELL($EX$3,FA$3,$DP19,$DQ$2,$DP$4,$DP$5,$DP$6,$DP$7,$DP$8,$DQ$3)</f>
        <v>10500</v>
      </c>
      <c r="FB19" s="364">
        <f>_xll.LVCELL($EX$3,FB$3,$DP19,$DQ$2,$DP$4,$DP$5,$DP$6,$DP$7,$DP$8,$DQ$3)</f>
        <v>10500</v>
      </c>
      <c r="FC19" s="364">
        <f>_xll.LVCELL($EX$3,FC$3,$DP19,$DQ$2,$DP$4,$DP$5,$DP$6,$DP$7,$DP$8,$DQ$3)</f>
        <v>10500</v>
      </c>
      <c r="FD19" s="364">
        <f>_xll.LVCELL($EX$3,FD$3,$DP19,$DQ$2,$DP$4,$DP$5,$DP$6,$DP$7,$DP$8,$DQ$3)</f>
        <v>10500</v>
      </c>
      <c r="FE19" s="364">
        <f>_xll.LVCELL($EX$3,FE$3,$DP19,$DQ$2,$DP$4,$DP$5,$DP$6,$DP$7,$DP$8,$DQ$3)</f>
        <v>10500</v>
      </c>
      <c r="FF19" s="364">
        <f>_xll.LVCELL($EX$3,FF$3,$DP19,$DQ$2,$DP$4,$DP$5,$DP$6,$DP$7,$DP$8,$DQ$3)</f>
        <v>10500</v>
      </c>
      <c r="FG19" s="364">
        <f>_xll.LVCELL($EX$3,FG$3,$DP19,$DQ$2,$DP$4,$DP$5,$DP$6,$DP$7,$DP$8,$DQ$3)</f>
        <v>10500</v>
      </c>
      <c r="FH19" s="364">
        <f>_xll.LVCELL($EX$3,FH$3,$DP19,$DQ$2,$DP$4,$DP$5,$DP$6,$DP$7,$DP$8,$DQ$3)</f>
        <v>10500</v>
      </c>
      <c r="FI19" s="364">
        <f>_xll.LVCELL($EX$3,FI$3,$DP19,$DQ$2,$DP$4,$DP$5,$DP$6,$DP$7,$DP$8,$DQ$3)</f>
        <v>10500</v>
      </c>
      <c r="FJ19" s="364">
        <f>_xll.LVCELL($EX$3,FJ$3,$DP19,$DQ$2,$DP$4,$DP$5,$DP$6,$DP$7,$DP$8,$DQ$3)</f>
        <v>10500</v>
      </c>
      <c r="FK19" s="276">
        <f>_xll.LVCELL($EX$3,FK$3,$DP19,$DQ$2,$DP$4,$DP$5,$DP$6,$DP$7,$DP$8,$DQ$3)</f>
        <v>10500</v>
      </c>
      <c r="FN19" s="64" t="s">
        <v>319</v>
      </c>
      <c r="FO19" s="64" t="s">
        <v>319</v>
      </c>
      <c r="FP19" s="69" t="s">
        <v>531</v>
      </c>
      <c r="FQ19" s="364">
        <f>_xll.LVCELL($FO$3,FQ$3,$DP19,$DQ$2,$DP$4,$DP$5,$DP$6,$DP$7,$DP$8,$DQ$3)</f>
        <v>7</v>
      </c>
      <c r="FR19" s="364">
        <f>_xll.LVCELL($FO$3,FR$3,$DP19,$DQ$2,$DP$4,$DP$5,$DP$6,$DP$7,$DP$8,$DQ$3)</f>
        <v>7</v>
      </c>
      <c r="FS19" s="364">
        <f>_xll.LVCELL($FO$3,FS$3,$DP19,$DQ$2,$DP$4,$DP$5,$DP$6,$DP$7,$DP$8,$DQ$3)</f>
        <v>7</v>
      </c>
      <c r="FT19" s="364">
        <f>_xll.LVCELL($FO$3,FT$3,$DP19,$DQ$2,$DP$4,$DP$5,$DP$6,$DP$7,$DP$8,$DQ$3)</f>
        <v>7</v>
      </c>
      <c r="FU19" s="364">
        <f>_xll.LVCELL($FO$3,FU$3,$DP19,$DQ$2,$DP$4,$DP$5,$DP$6,$DP$7,$DP$8,$DQ$3)</f>
        <v>7</v>
      </c>
      <c r="FV19" s="364">
        <f>_xll.LVCELL($FO$3,FV$3,$DP19,$DQ$2,$DP$4,$DP$5,$DP$6,$DP$7,$DP$8,$DQ$3)</f>
        <v>7</v>
      </c>
      <c r="FW19" s="364">
        <f>_xll.LVCELL($FO$3,FW$3,$DP19,$DQ$2,$DP$4,$DP$5,$DP$6,$DP$7,$DP$8,$DQ$3)</f>
        <v>7</v>
      </c>
      <c r="FX19" s="364">
        <f>_xll.LVCELL($FO$3,FX$3,$DP19,$DQ$2,$DP$4,$DP$5,$DP$6,$DP$7,$DP$8,$DQ$3)</f>
        <v>7</v>
      </c>
      <c r="FY19" s="364">
        <f>_xll.LVCELL($FO$3,FY$3,$DP19,$DQ$2,$DP$4,$DP$5,$DP$6,$DP$7,$DP$8,$DQ$3)</f>
        <v>7</v>
      </c>
      <c r="FZ19" s="364">
        <f>_xll.LVCELL($FO$3,FZ$3,$DP19,$DQ$2,$DP$4,$DP$5,$DP$6,$DP$7,$DP$8,$DQ$3)</f>
        <v>7</v>
      </c>
      <c r="GA19" s="364">
        <f>_xll.LVCELL($FO$3,GA$3,$DP19,$DQ$2,$DP$4,$DP$5,$DP$6,$DP$7,$DP$8,$DQ$3)</f>
        <v>7</v>
      </c>
      <c r="GB19" s="172">
        <f>_xll.LVCELL($FO$3,GB$3,$DP19,$DQ$2,$DP$4,$DP$5,$DP$6,$DP$7,$DP$8,$DQ$3)</f>
        <v>7</v>
      </c>
    </row>
    <row r="20" spans="2:184" ht="15">
      <c r="B20" s="64" t="s">
        <v>320</v>
      </c>
      <c r="C20" s="64" t="s">
        <v>320</v>
      </c>
      <c r="D20" s="70" t="s">
        <v>532</v>
      </c>
      <c r="E20" s="357">
        <f>_xll.LVCELL($C$3,Q$3,$C20,$D$2,$C$4,$C$5,$C$6,$C$7,$C$8,$D$3)/1000</f>
        <v>0</v>
      </c>
      <c r="F20" s="103">
        <f>'distribution mensuelle Prod B22'!$L$36</f>
        <v>0</v>
      </c>
      <c r="G20" s="103">
        <f>'distribution mensuelle Prod B22'!$L$37</f>
        <v>0</v>
      </c>
      <c r="H20" s="103">
        <f>'distribution mensuelle Prod B22'!$L$38</f>
        <v>0</v>
      </c>
      <c r="I20" s="103">
        <f>'distribution mensuelle Prod B22'!$L$39</f>
        <v>0</v>
      </c>
      <c r="J20" s="103">
        <f>'distribution mensuelle Prod B22'!$L$40</f>
        <v>0</v>
      </c>
      <c r="K20" s="103">
        <f>'distribution mensuelle Prod B22'!$L$41</f>
        <v>0</v>
      </c>
      <c r="L20" s="103">
        <f>'distribution mensuelle Prod B22'!$L$42</f>
        <v>0</v>
      </c>
      <c r="M20" s="103">
        <f>'distribution mensuelle Prod B22'!$L$43</f>
        <v>0</v>
      </c>
      <c r="N20" s="103">
        <f>'distribution mensuelle Prod B22'!$L$44</f>
        <v>0</v>
      </c>
      <c r="O20" s="103">
        <f>'distribution mensuelle Prod B22'!$L$45</f>
        <v>0</v>
      </c>
      <c r="P20" s="103">
        <f>'distribution mensuelle Prod B22'!$L$46</f>
        <v>0</v>
      </c>
      <c r="Q20" s="103">
        <f>'distribution mensuelle Prod B22'!$L$47</f>
        <v>0</v>
      </c>
      <c r="R20" s="67">
        <f t="shared" si="1"/>
        <v>0</v>
      </c>
      <c r="S20" s="358"/>
      <c r="W20" s="113" t="str">
        <f t="shared" si="2"/>
        <v>E5110</v>
      </c>
      <c r="X20" s="359" t="str">
        <f t="shared" si="3"/>
        <v>Cham Longe Bel Air</v>
      </c>
      <c r="Y20" s="377"/>
      <c r="Z20" s="377"/>
      <c r="AA20" s="377"/>
      <c r="AB20" s="377"/>
      <c r="AC20" s="377"/>
      <c r="AD20" s="377"/>
      <c r="AE20" s="377"/>
      <c r="AF20" s="377"/>
      <c r="AG20" s="377"/>
      <c r="AH20" s="377"/>
      <c r="AI20" s="377"/>
      <c r="AJ20" s="378"/>
      <c r="AK20" s="67"/>
      <c r="AL20" s="134">
        <f t="shared" si="4"/>
        <v>2.3E-2</v>
      </c>
      <c r="AM20" s="134"/>
      <c r="AN20" s="134"/>
      <c r="AO20" s="134"/>
      <c r="AP20" s="113" t="str">
        <f t="shared" si="38"/>
        <v>E5110</v>
      </c>
      <c r="AQ20" s="567" t="str">
        <f t="shared" si="39"/>
        <v>Cham Longe Bel Air</v>
      </c>
      <c r="AR20" s="377"/>
      <c r="AS20" s="377"/>
      <c r="AT20" s="377"/>
      <c r="AU20" s="377"/>
      <c r="AV20" s="377"/>
      <c r="AW20" s="377"/>
      <c r="AX20" s="377"/>
      <c r="AY20" s="377"/>
      <c r="AZ20" s="377"/>
      <c r="BA20" s="377"/>
      <c r="BB20" s="377"/>
      <c r="BC20" s="378"/>
      <c r="BD20" s="414"/>
      <c r="BE20" s="134"/>
      <c r="BF20" s="134"/>
      <c r="BG20" s="134"/>
      <c r="BH20" s="134"/>
      <c r="BI20" s="113" t="str">
        <f t="shared" si="40"/>
        <v>E5110</v>
      </c>
      <c r="BJ20" s="567" t="str">
        <f t="shared" si="41"/>
        <v>Cham Longe Bel Air</v>
      </c>
      <c r="BK20" s="377"/>
      <c r="BL20" s="377"/>
      <c r="BM20" s="377"/>
      <c r="BN20" s="377"/>
      <c r="BO20" s="377"/>
      <c r="BP20" s="377"/>
      <c r="BQ20" s="377"/>
      <c r="BR20" s="377"/>
      <c r="BS20" s="377"/>
      <c r="BT20" s="377"/>
      <c r="BU20" s="377"/>
      <c r="BV20" s="378"/>
      <c r="BW20" s="414"/>
      <c r="BX20" s="134"/>
      <c r="BY20" s="134"/>
      <c r="BZ20" s="134"/>
      <c r="CA20" s="134"/>
      <c r="CB20" s="113" t="str">
        <f t="shared" si="5"/>
        <v>E5110</v>
      </c>
      <c r="CC20" s="305" t="str">
        <f t="shared" si="6"/>
        <v>Cham Longe Bel Air</v>
      </c>
      <c r="CD20" s="377">
        <f t="shared" si="43"/>
        <v>0</v>
      </c>
      <c r="CE20" s="377">
        <f t="shared" si="7"/>
        <v>0</v>
      </c>
      <c r="CF20" s="377">
        <f t="shared" si="8"/>
        <v>0</v>
      </c>
      <c r="CG20" s="377">
        <f t="shared" si="9"/>
        <v>0</v>
      </c>
      <c r="CH20" s="377">
        <f t="shared" si="10"/>
        <v>0</v>
      </c>
      <c r="CI20" s="377">
        <f t="shared" si="11"/>
        <v>0</v>
      </c>
      <c r="CJ20" s="377">
        <f t="shared" si="12"/>
        <v>0</v>
      </c>
      <c r="CK20" s="377">
        <f t="shared" si="13"/>
        <v>0</v>
      </c>
      <c r="CL20" s="377">
        <f t="shared" si="14"/>
        <v>0</v>
      </c>
      <c r="CM20" s="377">
        <f t="shared" si="15"/>
        <v>0</v>
      </c>
      <c r="CN20" s="377">
        <f t="shared" si="16"/>
        <v>0</v>
      </c>
      <c r="CO20" s="378">
        <f t="shared" si="17"/>
        <v>0</v>
      </c>
      <c r="CP20" s="414"/>
      <c r="CQ20" s="134">
        <f t="shared" si="18"/>
        <v>4.0000000000000001E-3</v>
      </c>
      <c r="CU20" s="113" t="str">
        <f t="shared" si="19"/>
        <v>E5110</v>
      </c>
      <c r="CV20" s="70" t="str">
        <f t="shared" si="20"/>
        <v>Cham Longe Bel Air</v>
      </c>
      <c r="CW20" s="300">
        <f t="shared" si="21"/>
        <v>0</v>
      </c>
      <c r="CX20" s="298">
        <f t="shared" si="22"/>
        <v>0</v>
      </c>
      <c r="CY20" s="298">
        <f t="shared" si="23"/>
        <v>0</v>
      </c>
      <c r="CZ20" s="298">
        <f t="shared" si="24"/>
        <v>0</v>
      </c>
      <c r="DA20" s="298">
        <f t="shared" si="25"/>
        <v>0</v>
      </c>
      <c r="DB20" s="298">
        <f t="shared" si="26"/>
        <v>0</v>
      </c>
      <c r="DC20" s="298">
        <f t="shared" si="27"/>
        <v>0</v>
      </c>
      <c r="DD20" s="298">
        <f t="shared" si="28"/>
        <v>0</v>
      </c>
      <c r="DE20" s="298">
        <f t="shared" si="29"/>
        <v>0</v>
      </c>
      <c r="DF20" s="298">
        <f t="shared" si="30"/>
        <v>0</v>
      </c>
      <c r="DG20" s="371">
        <f t="shared" si="31"/>
        <v>0</v>
      </c>
      <c r="DH20" s="372">
        <f t="shared" si="32"/>
        <v>0</v>
      </c>
      <c r="DI20" s="67">
        <f t="shared" si="33"/>
        <v>0</v>
      </c>
      <c r="DJ20" s="364">
        <f>_xll.LVCELL($E$1,Q$2,$C20,$D$2,$C$4,$C$5,$C$6,$C$7,$C$8,$D$3)+_xll.LVCELL($E$2,Q$2,$C20,$D$2,$C$4,$C$5,$C$6,$C$7,$C$8,$D$3)</f>
        <v>0</v>
      </c>
      <c r="DK20" s="82">
        <f t="shared" si="44"/>
        <v>0</v>
      </c>
      <c r="DM20" s="518" t="e">
        <f t="shared" si="34"/>
        <v>#DIV/0!</v>
      </c>
      <c r="DO20" s="64" t="str">
        <f t="shared" si="35"/>
        <v>E5110</v>
      </c>
      <c r="DP20" s="64" t="str">
        <f t="shared" si="36"/>
        <v>E5110</v>
      </c>
      <c r="DQ20" s="70" t="str">
        <f t="shared" si="37"/>
        <v>Cham Longe Bel Air</v>
      </c>
      <c r="DR20" s="504">
        <f>_xll.LVCELL($DP$3,DR$3,$DP20,$DQ$2,$DP$4,$DP$5,$DP$6,$DP$7,$DP$8,$DQ$3)/100</f>
        <v>0</v>
      </c>
      <c r="DS20" s="504">
        <f>_xll.LVCELL($DP$3,DS$3,$DP20,$DQ$2,$DP$4,$DP$5,$DP$6,$DP$7,$DP$8,$DQ$3)/100</f>
        <v>0</v>
      </c>
      <c r="DT20" s="504">
        <f>_xll.LVCELL($DP$3,DT$3,$DP20,$DQ$2,$DP$4,$DP$5,$DP$6,$DP$7,$DP$8,$DQ$3)/100</f>
        <v>0</v>
      </c>
      <c r="DU20" s="504">
        <f>_xll.LVCELL($DP$3,DU$3,$DP20,$DQ$2,$DP$4,$DP$5,$DP$6,$DP$7,$DP$8,$DQ$3)/100</f>
        <v>0</v>
      </c>
      <c r="DV20" s="504">
        <f>_xll.LVCELL($DP$3,DV$3,$DP20,$DQ$2,$DP$4,$DP$5,$DP$6,$DP$7,$DP$8,$DQ$3)/100</f>
        <v>0</v>
      </c>
      <c r="DW20" s="504">
        <f>_xll.LVCELL($DP$3,DW$3,$DP20,$DQ$2,$DP$4,$DP$5,$DP$6,$DP$7,$DP$8,$DQ$3)/100</f>
        <v>0</v>
      </c>
      <c r="DX20" s="504">
        <f>_xll.LVCELL($DP$3,DX$3,$DP20,$DQ$2,$DP$4,$DP$5,$DP$6,$DP$7,$DP$8,$DQ$3)/100</f>
        <v>0</v>
      </c>
      <c r="DY20" s="504">
        <f>_xll.LVCELL($DP$3,DY$3,$DP20,$DQ$2,$DP$4,$DP$5,$DP$6,$DP$7,$DP$8,$DQ$3)/100</f>
        <v>0</v>
      </c>
      <c r="DZ20" s="504">
        <f>_xll.LVCELL($DP$3,DZ$3,$DP20,$DQ$2,$DP$4,$DP$5,$DP$6,$DP$7,$DP$8,$DQ$3)/100</f>
        <v>0</v>
      </c>
      <c r="EA20" s="504">
        <f>_xll.LVCELL($DP$3,EA$3,$DP20,$DQ$2,$DP$4,$DP$5,$DP$6,$DP$7,$DP$8,$DQ$3)/100</f>
        <v>0</v>
      </c>
      <c r="EB20" s="504">
        <f>_xll.LVCELL($DP$3,EB$3,$DP20,$DQ$2,$DP$4,$DP$5,$DP$6,$DP$7,$DP$8,$DQ$3)/100</f>
        <v>0</v>
      </c>
      <c r="EC20" s="504">
        <f>_xll.LVCELL($DP$3,EC$3,$DP20,$DQ$2,$DP$4,$DP$5,$DP$6,$DP$7,$DP$8,$DQ$3)/100</f>
        <v>0</v>
      </c>
      <c r="ED20" s="582">
        <f t="shared" si="45"/>
        <v>0</v>
      </c>
      <c r="EF20" s="64" t="s">
        <v>320</v>
      </c>
      <c r="EG20" s="64" t="s">
        <v>320</v>
      </c>
      <c r="EH20" s="70" t="s">
        <v>532</v>
      </c>
      <c r="EI20" s="366" t="e">
        <f ca="1">_xll.LVCELL($EG$3,EI$3,$DP20,$DQ$2,$DP$4,$DP$5,$DP$6,$DP$7,$DP$8,$DQ$3)-CW20</f>
        <v>#NAME?</v>
      </c>
      <c r="EJ20" s="367" t="e">
        <f ca="1">_xll.LVCELL($EG$3,EJ$3,$DP20,$DQ$2,$DP$4,$DP$5,$DP$6,$DP$7,$DP$8,$DQ$3)-CX20</f>
        <v>#NAME?</v>
      </c>
      <c r="EK20" s="368" t="e">
        <f ca="1">_xll.LVCELL($EG$3,EK$3,$DP20,$DQ$2,$DP$4,$DP$5,$DP$6,$DP$7,$DP$8,$DQ$3)-CY20</f>
        <v>#NAME?</v>
      </c>
      <c r="EL20" s="182" t="e">
        <f ca="1">_xll.LVCELL($EG$3,EL$3,$DP20,$DQ$2,$DP$4,$DP$5,$DP$6,$DP$7,$DP$8,$DQ$3)-CZ20</f>
        <v>#NAME?</v>
      </c>
      <c r="EM20" s="327" t="e">
        <f ca="1">_xll.LVCELL($EG$3,EM$3,$DP20,$DQ$2,$DP$4,$DP$5,$DP$6,$DP$7,$DP$8,$DQ$3)-DA20</f>
        <v>#NAME?</v>
      </c>
      <c r="EN20" s="182" t="e">
        <f ca="1">_xll.LVCELL($EG$3,EN$3,$DP20,$DQ$2,$DP$4,$DP$5,$DP$6,$DP$7,$DP$8,$DQ$3)-DB20</f>
        <v>#NAME?</v>
      </c>
      <c r="EO20" s="327" t="e">
        <f ca="1">_xll.LVCELL($EG$3,EO$3,$DP20,$DQ$2,$DP$4,$DP$5,$DP$6,$DP$7,$DP$8,$DQ$3)-DC20</f>
        <v>#NAME?</v>
      </c>
      <c r="EP20" s="182" t="e">
        <f ca="1">_xll.LVCELL($EG$3,EP$3,$DP20,$DQ$2,$DP$4,$DP$5,$DP$6,$DP$7,$DP$8,$DQ$3)-DD20</f>
        <v>#NAME?</v>
      </c>
      <c r="EQ20" s="327" t="e">
        <f ca="1">_xll.LVCELL($EG$3,EQ$3,$DP20,$DQ$2,$DP$4,$DP$5,$DP$6,$DP$7,$DP$8,$DQ$3)-DE20</f>
        <v>#NAME?</v>
      </c>
      <c r="ER20" s="182" t="e">
        <f ca="1">_xll.LVCELL($EG$3,ER$3,$DP20,$DQ$2,$DP$4,$DP$5,$DP$6,$DP$7,$DP$8,$DQ$3)-DF20</f>
        <v>#NAME?</v>
      </c>
      <c r="ES20" s="327" t="e">
        <f ca="1">_xll.LVCELL($EG$3,ES$3,$DP20,$DQ$2,$DP$4,$DP$5,$DP$6,$DP$7,$DP$8,$DQ$3)-DG20</f>
        <v>#NAME?</v>
      </c>
      <c r="ET20" s="182" t="e">
        <f ca="1">_xll.LVCELL($EG$3,ET$3,$DP20,$DQ$2,$DP$4,$DP$5,$DP$6,$DP$7,$DP$8,$DQ$3)-DH20</f>
        <v>#NAME?</v>
      </c>
      <c r="EW20" s="64" t="s">
        <v>320</v>
      </c>
      <c r="EX20" s="64" t="s">
        <v>320</v>
      </c>
      <c r="EY20" s="70" t="s">
        <v>532</v>
      </c>
      <c r="EZ20" s="505">
        <f>_xll.LVCELL($EX$3,EZ$3,$DP20,$DQ$2,$DP$4,$DP$5,$DP$6,$DP$7,$DP$8,$DQ$3)</f>
        <v>0</v>
      </c>
      <c r="FA20" s="505">
        <f>_xll.LVCELL($EX$3,FA$3,$DP20,$DQ$2,$DP$4,$DP$5,$DP$6,$DP$7,$DP$8,$DQ$3)</f>
        <v>0</v>
      </c>
      <c r="FB20" s="505">
        <f>_xll.LVCELL($EX$3,FB$3,$DP20,$DQ$2,$DP$4,$DP$5,$DP$6,$DP$7,$DP$8,$DQ$3)</f>
        <v>0</v>
      </c>
      <c r="FC20" s="505">
        <f>_xll.LVCELL($EX$3,FC$3,$DP20,$DQ$2,$DP$4,$DP$5,$DP$6,$DP$7,$DP$8,$DQ$3)</f>
        <v>0</v>
      </c>
      <c r="FD20" s="505">
        <f>_xll.LVCELL($EX$3,FD$3,$DP20,$DQ$2,$DP$4,$DP$5,$DP$6,$DP$7,$DP$8,$DQ$3)</f>
        <v>0</v>
      </c>
      <c r="FE20" s="505">
        <f>_xll.LVCELL($EX$3,FE$3,$DP20,$DQ$2,$DP$4,$DP$5,$DP$6,$DP$7,$DP$8,$DQ$3)</f>
        <v>0</v>
      </c>
      <c r="FF20" s="505">
        <f>_xll.LVCELL($EX$3,FF$3,$DP20,$DQ$2,$DP$4,$DP$5,$DP$6,$DP$7,$DP$8,$DQ$3)</f>
        <v>0</v>
      </c>
      <c r="FG20" s="505">
        <f>_xll.LVCELL($EX$3,FG$3,$DP20,$DQ$2,$DP$4,$DP$5,$DP$6,$DP$7,$DP$8,$DQ$3)</f>
        <v>0</v>
      </c>
      <c r="FH20" s="505">
        <f>_xll.LVCELL($EX$3,FH$3,$DP20,$DQ$2,$DP$4,$DP$5,$DP$6,$DP$7,$DP$8,$DQ$3)</f>
        <v>0</v>
      </c>
      <c r="FI20" s="505">
        <f>_xll.LVCELL($EX$3,FI$3,$DP20,$DQ$2,$DP$4,$DP$5,$DP$6,$DP$7,$DP$8,$DQ$3)</f>
        <v>0</v>
      </c>
      <c r="FJ20" s="505">
        <f>_xll.LVCELL($EX$3,FJ$3,$DP20,$DQ$2,$DP$4,$DP$5,$DP$6,$DP$7,$DP$8,$DQ$3)</f>
        <v>0</v>
      </c>
      <c r="FK20" s="505">
        <f>_xll.LVCELL($EX$3,FK$3,$DP20,$DQ$2,$DP$4,$DP$5,$DP$6,$DP$7,$DP$8,$DQ$3)</f>
        <v>0</v>
      </c>
      <c r="FN20" s="64" t="s">
        <v>320</v>
      </c>
      <c r="FO20" s="64" t="s">
        <v>320</v>
      </c>
      <c r="FP20" s="70" t="s">
        <v>532</v>
      </c>
      <c r="FQ20" s="505">
        <f>_xll.LVCELL($FO$3,FQ$3,$DP20,$DQ$2,$DP$4,$DP$5,$DP$6,$DP$7,$DP$8,$DQ$3)</f>
        <v>0</v>
      </c>
      <c r="FR20" s="505">
        <f>_xll.LVCELL($FO$3,FR$3,$DP20,$DQ$2,$DP$4,$DP$5,$DP$6,$DP$7,$DP$8,$DQ$3)</f>
        <v>0</v>
      </c>
      <c r="FS20" s="505">
        <f>_xll.LVCELL($FO$3,FS$3,$DP20,$DQ$2,$DP$4,$DP$5,$DP$6,$DP$7,$DP$8,$DQ$3)</f>
        <v>0</v>
      </c>
      <c r="FT20" s="505">
        <f>_xll.LVCELL($FO$3,FT$3,$DP20,$DQ$2,$DP$4,$DP$5,$DP$6,$DP$7,$DP$8,$DQ$3)</f>
        <v>0</v>
      </c>
      <c r="FU20" s="505">
        <f>_xll.LVCELL($FO$3,FU$3,$DP20,$DQ$2,$DP$4,$DP$5,$DP$6,$DP$7,$DP$8,$DQ$3)</f>
        <v>0</v>
      </c>
      <c r="FV20" s="505">
        <f>_xll.LVCELL($FO$3,FV$3,$DP20,$DQ$2,$DP$4,$DP$5,$DP$6,$DP$7,$DP$8,$DQ$3)</f>
        <v>0</v>
      </c>
      <c r="FW20" s="505">
        <f>_xll.LVCELL($FO$3,FW$3,$DP20,$DQ$2,$DP$4,$DP$5,$DP$6,$DP$7,$DP$8,$DQ$3)</f>
        <v>0</v>
      </c>
      <c r="FX20" s="505">
        <f>_xll.LVCELL($FO$3,FX$3,$DP20,$DQ$2,$DP$4,$DP$5,$DP$6,$DP$7,$DP$8,$DQ$3)</f>
        <v>0</v>
      </c>
      <c r="FY20" s="505">
        <f>_xll.LVCELL($FO$3,FY$3,$DP20,$DQ$2,$DP$4,$DP$5,$DP$6,$DP$7,$DP$8,$DQ$3)</f>
        <v>0</v>
      </c>
      <c r="FZ20" s="505">
        <f>_xll.LVCELL($FO$3,FZ$3,$DP20,$DQ$2,$DP$4,$DP$5,$DP$6,$DP$7,$DP$8,$DQ$3)</f>
        <v>0</v>
      </c>
      <c r="GA20" s="505">
        <f>_xll.LVCELL($FO$3,GA$3,$DP20,$DQ$2,$DP$4,$DP$5,$DP$6,$DP$7,$DP$8,$DQ$3)</f>
        <v>0</v>
      </c>
      <c r="GB20" s="505">
        <f>_xll.LVCELL($FO$3,GB$3,$DP20,$DQ$2,$DP$4,$DP$5,$DP$6,$DP$7,$DP$8,$DQ$3)</f>
        <v>0</v>
      </c>
    </row>
    <row r="21" spans="2:184" ht="15">
      <c r="B21" s="64" t="s">
        <v>321</v>
      </c>
      <c r="C21" s="64" t="s">
        <v>321</v>
      </c>
      <c r="D21" s="70" t="s">
        <v>841</v>
      </c>
      <c r="E21" s="357">
        <f>_xll.LVCELL($C$3,Q$3,$C21,$D$2,$C$4,$C$5,$C$6,$C$7,$C$8,$D$3)/1000</f>
        <v>0</v>
      </c>
      <c r="F21" s="103">
        <f>'distribution mensuelle Prod B22'!$M$36</f>
        <v>0</v>
      </c>
      <c r="G21" s="103">
        <f>'distribution mensuelle Prod B22'!$M$37</f>
        <v>0</v>
      </c>
      <c r="H21" s="103">
        <f>'distribution mensuelle Prod B22'!$M$38</f>
        <v>0</v>
      </c>
      <c r="I21" s="103">
        <f>'distribution mensuelle Prod B22'!$M$39</f>
        <v>0</v>
      </c>
      <c r="J21" s="103">
        <f>'distribution mensuelle Prod B22'!$M$40</f>
        <v>0</v>
      </c>
      <c r="K21" s="103">
        <f>'distribution mensuelle Prod B22'!$M$41</f>
        <v>0</v>
      </c>
      <c r="L21" s="103">
        <f>'distribution mensuelle Prod B22'!$M$42</f>
        <v>0</v>
      </c>
      <c r="M21" s="103">
        <f>'distribution mensuelle Prod B22'!$M$43</f>
        <v>0</v>
      </c>
      <c r="N21" s="103">
        <f>'distribution mensuelle Prod B22'!$M$44</f>
        <v>0</v>
      </c>
      <c r="O21" s="103">
        <f>'distribution mensuelle Prod B22'!$M$45</f>
        <v>0</v>
      </c>
      <c r="P21" s="103">
        <f>'distribution mensuelle Prod B22'!$M$46</f>
        <v>0</v>
      </c>
      <c r="Q21" s="103">
        <f>'distribution mensuelle Prod B22'!$M$47</f>
        <v>0</v>
      </c>
      <c r="R21" s="67">
        <f t="shared" si="1"/>
        <v>0</v>
      </c>
      <c r="S21" s="358"/>
      <c r="W21" s="113" t="str">
        <f t="shared" si="2"/>
        <v>E5120</v>
      </c>
      <c r="X21" s="359" t="str">
        <f t="shared" si="3"/>
        <v>Cham Longe Le Courbil (Eole Cevennes)</v>
      </c>
      <c r="Y21" s="377"/>
      <c r="Z21" s="377"/>
      <c r="AA21" s="377"/>
      <c r="AB21" s="377"/>
      <c r="AC21" s="377"/>
      <c r="AD21" s="377"/>
      <c r="AE21" s="377"/>
      <c r="AF21" s="377"/>
      <c r="AG21" s="377"/>
      <c r="AH21" s="377"/>
      <c r="AI21" s="377"/>
      <c r="AJ21" s="378"/>
      <c r="AK21" s="67"/>
      <c r="AL21" s="134">
        <f t="shared" si="4"/>
        <v>2.3E-2</v>
      </c>
      <c r="AM21" s="134"/>
      <c r="AN21" s="134"/>
      <c r="AO21" s="134"/>
      <c r="AP21" s="113" t="str">
        <f t="shared" si="38"/>
        <v>E5120</v>
      </c>
      <c r="AQ21" s="567" t="str">
        <f t="shared" si="39"/>
        <v>Cham Longe Le Courbil (Eole Cevennes)</v>
      </c>
      <c r="AR21" s="377"/>
      <c r="AS21" s="377"/>
      <c r="AT21" s="377"/>
      <c r="AU21" s="377"/>
      <c r="AV21" s="377"/>
      <c r="AW21" s="377"/>
      <c r="AX21" s="377"/>
      <c r="AY21" s="377"/>
      <c r="AZ21" s="377"/>
      <c r="BA21" s="377"/>
      <c r="BB21" s="377"/>
      <c r="BC21" s="378"/>
      <c r="BD21" s="414"/>
      <c r="BE21" s="134"/>
      <c r="BF21" s="134"/>
      <c r="BG21" s="134"/>
      <c r="BH21" s="134"/>
      <c r="BI21" s="113" t="str">
        <f t="shared" si="40"/>
        <v>E5120</v>
      </c>
      <c r="BJ21" s="567" t="str">
        <f t="shared" si="41"/>
        <v>Cham Longe Le Courbil (Eole Cevennes)</v>
      </c>
      <c r="BK21" s="377"/>
      <c r="BL21" s="377"/>
      <c r="BM21" s="377"/>
      <c r="BN21" s="377"/>
      <c r="BO21" s="377"/>
      <c r="BP21" s="377"/>
      <c r="BQ21" s="377"/>
      <c r="BR21" s="377"/>
      <c r="BS21" s="377"/>
      <c r="BT21" s="377"/>
      <c r="BU21" s="377"/>
      <c r="BV21" s="378"/>
      <c r="BW21" s="414"/>
      <c r="BX21" s="134"/>
      <c r="BY21" s="134"/>
      <c r="BZ21" s="134"/>
      <c r="CA21" s="134"/>
      <c r="CB21" s="113" t="str">
        <f t="shared" si="5"/>
        <v>E5120</v>
      </c>
      <c r="CC21" s="305" t="str">
        <f t="shared" si="6"/>
        <v>Cham Longe Le Courbil (Eole Cevennes)</v>
      </c>
      <c r="CD21" s="377">
        <f t="shared" si="43"/>
        <v>0</v>
      </c>
      <c r="CE21" s="377">
        <f t="shared" si="7"/>
        <v>0</v>
      </c>
      <c r="CF21" s="377">
        <f t="shared" si="8"/>
        <v>0</v>
      </c>
      <c r="CG21" s="377">
        <f t="shared" si="9"/>
        <v>0</v>
      </c>
      <c r="CH21" s="377">
        <f t="shared" si="10"/>
        <v>0</v>
      </c>
      <c r="CI21" s="377">
        <f t="shared" si="11"/>
        <v>0</v>
      </c>
      <c r="CJ21" s="377">
        <f t="shared" si="12"/>
        <v>0</v>
      </c>
      <c r="CK21" s="377">
        <f t="shared" si="13"/>
        <v>0</v>
      </c>
      <c r="CL21" s="377">
        <f t="shared" si="14"/>
        <v>0</v>
      </c>
      <c r="CM21" s="377">
        <f t="shared" si="15"/>
        <v>0</v>
      </c>
      <c r="CN21" s="377">
        <f t="shared" si="16"/>
        <v>0</v>
      </c>
      <c r="CO21" s="378">
        <f t="shared" si="17"/>
        <v>0</v>
      </c>
      <c r="CP21" s="414"/>
      <c r="CQ21" s="134">
        <f t="shared" si="18"/>
        <v>4.0000000000000001E-3</v>
      </c>
      <c r="CU21" s="113" t="str">
        <f t="shared" si="19"/>
        <v>E5120</v>
      </c>
      <c r="CV21" s="70" t="str">
        <f t="shared" si="20"/>
        <v>Cham Longe Le Courbil (Eole Cevennes)</v>
      </c>
      <c r="CW21" s="300">
        <f t="shared" si="21"/>
        <v>0</v>
      </c>
      <c r="CX21" s="298">
        <f t="shared" si="22"/>
        <v>0</v>
      </c>
      <c r="CY21" s="298">
        <f t="shared" si="23"/>
        <v>0</v>
      </c>
      <c r="CZ21" s="298">
        <f t="shared" si="24"/>
        <v>0</v>
      </c>
      <c r="DA21" s="298">
        <f t="shared" si="25"/>
        <v>0</v>
      </c>
      <c r="DB21" s="298">
        <f t="shared" si="26"/>
        <v>0</v>
      </c>
      <c r="DC21" s="298">
        <f t="shared" si="27"/>
        <v>0</v>
      </c>
      <c r="DD21" s="298">
        <f t="shared" si="28"/>
        <v>0</v>
      </c>
      <c r="DE21" s="298">
        <f t="shared" si="29"/>
        <v>0</v>
      </c>
      <c r="DF21" s="298">
        <f t="shared" si="30"/>
        <v>0</v>
      </c>
      <c r="DG21" s="371">
        <f t="shared" si="31"/>
        <v>0</v>
      </c>
      <c r="DH21" s="372">
        <f t="shared" si="32"/>
        <v>0</v>
      </c>
      <c r="DI21" s="67">
        <f t="shared" si="33"/>
        <v>0</v>
      </c>
      <c r="DJ21" s="364">
        <f>_xll.LVCELL($E$1,Q$2,$C21,$D$2,$C$4,$C$5,$C$6,$C$7,$C$8,$D$3)+_xll.LVCELL($E$2,Q$2,$C21,$D$2,$C$4,$C$5,$C$6,$C$7,$C$8,$D$3)</f>
        <v>0</v>
      </c>
      <c r="DK21" s="82">
        <f t="shared" si="44"/>
        <v>0</v>
      </c>
      <c r="DM21" s="518" t="e">
        <f t="shared" si="34"/>
        <v>#DIV/0!</v>
      </c>
      <c r="DO21" s="64" t="str">
        <f t="shared" si="35"/>
        <v>E5120</v>
      </c>
      <c r="DP21" s="64" t="str">
        <f t="shared" si="36"/>
        <v>E5120</v>
      </c>
      <c r="DQ21" s="70" t="str">
        <f t="shared" si="37"/>
        <v>Cham Longe Le Courbil (Eole Cevennes)</v>
      </c>
      <c r="DR21" s="504">
        <f>_xll.LVCELL($DP$3,DR$3,$DP21,$DQ$2,$DP$4,$DP$5,$DP$6,$DP$7,$DP$8,$DQ$3)/100</f>
        <v>0</v>
      </c>
      <c r="DS21" s="504">
        <f>_xll.LVCELL($DP$3,DS$3,$DP21,$DQ$2,$DP$4,$DP$5,$DP$6,$DP$7,$DP$8,$DQ$3)/100</f>
        <v>0</v>
      </c>
      <c r="DT21" s="504">
        <f>_xll.LVCELL($DP$3,DT$3,$DP21,$DQ$2,$DP$4,$DP$5,$DP$6,$DP$7,$DP$8,$DQ$3)/100</f>
        <v>0</v>
      </c>
      <c r="DU21" s="504">
        <f>_xll.LVCELL($DP$3,DU$3,$DP21,$DQ$2,$DP$4,$DP$5,$DP$6,$DP$7,$DP$8,$DQ$3)/100</f>
        <v>0</v>
      </c>
      <c r="DV21" s="504">
        <f>_xll.LVCELL($DP$3,DV$3,$DP21,$DQ$2,$DP$4,$DP$5,$DP$6,$DP$7,$DP$8,$DQ$3)/100</f>
        <v>0</v>
      </c>
      <c r="DW21" s="504">
        <f>_xll.LVCELL($DP$3,DW$3,$DP21,$DQ$2,$DP$4,$DP$5,$DP$6,$DP$7,$DP$8,$DQ$3)/100</f>
        <v>0</v>
      </c>
      <c r="DX21" s="504">
        <f>_xll.LVCELL($DP$3,DX$3,$DP21,$DQ$2,$DP$4,$DP$5,$DP$6,$DP$7,$DP$8,$DQ$3)/100</f>
        <v>0</v>
      </c>
      <c r="DY21" s="504">
        <f>_xll.LVCELL($DP$3,DY$3,$DP21,$DQ$2,$DP$4,$DP$5,$DP$6,$DP$7,$DP$8,$DQ$3)/100</f>
        <v>0</v>
      </c>
      <c r="DZ21" s="504">
        <f>_xll.LVCELL($DP$3,DZ$3,$DP21,$DQ$2,$DP$4,$DP$5,$DP$6,$DP$7,$DP$8,$DQ$3)/100</f>
        <v>0</v>
      </c>
      <c r="EA21" s="504">
        <f>_xll.LVCELL($DP$3,EA$3,$DP21,$DQ$2,$DP$4,$DP$5,$DP$6,$DP$7,$DP$8,$DQ$3)/100</f>
        <v>0</v>
      </c>
      <c r="EB21" s="504">
        <f>_xll.LVCELL($DP$3,EB$3,$DP21,$DQ$2,$DP$4,$DP$5,$DP$6,$DP$7,$DP$8,$DQ$3)/100</f>
        <v>0</v>
      </c>
      <c r="EC21" s="504">
        <f>_xll.LVCELL($DP$3,EC$3,$DP21,$DQ$2,$DP$4,$DP$5,$DP$6,$DP$7,$DP$8,$DQ$3)/100</f>
        <v>0</v>
      </c>
      <c r="ED21" s="582">
        <f t="shared" si="45"/>
        <v>0</v>
      </c>
      <c r="EF21" s="64" t="s">
        <v>321</v>
      </c>
      <c r="EG21" s="64" t="s">
        <v>321</v>
      </c>
      <c r="EH21" s="70" t="s">
        <v>841</v>
      </c>
      <c r="EI21" s="366" t="e">
        <f ca="1">_xll.LVCELL($EG$3,EI$3,$DP21,$DQ$2,$DP$4,$DP$5,$DP$6,$DP$7,$DP$8,$DQ$3)-CW21</f>
        <v>#NAME?</v>
      </c>
      <c r="EJ21" s="367" t="e">
        <f ca="1">_xll.LVCELL($EG$3,EJ$3,$DP21,$DQ$2,$DP$4,$DP$5,$DP$6,$DP$7,$DP$8,$DQ$3)-CX21</f>
        <v>#NAME?</v>
      </c>
      <c r="EK21" s="368" t="e">
        <f ca="1">_xll.LVCELL($EG$3,EK$3,$DP21,$DQ$2,$DP$4,$DP$5,$DP$6,$DP$7,$DP$8,$DQ$3)-CY21</f>
        <v>#NAME?</v>
      </c>
      <c r="EL21" s="182" t="e">
        <f ca="1">_xll.LVCELL($EG$3,EL$3,$DP21,$DQ$2,$DP$4,$DP$5,$DP$6,$DP$7,$DP$8,$DQ$3)-CZ21</f>
        <v>#NAME?</v>
      </c>
      <c r="EM21" s="327" t="e">
        <f ca="1">_xll.LVCELL($EG$3,EM$3,$DP21,$DQ$2,$DP$4,$DP$5,$DP$6,$DP$7,$DP$8,$DQ$3)-DA21</f>
        <v>#NAME?</v>
      </c>
      <c r="EN21" s="182" t="e">
        <f ca="1">_xll.LVCELL($EG$3,EN$3,$DP21,$DQ$2,$DP$4,$DP$5,$DP$6,$DP$7,$DP$8,$DQ$3)-DB21</f>
        <v>#NAME?</v>
      </c>
      <c r="EO21" s="327" t="e">
        <f ca="1">_xll.LVCELL($EG$3,EO$3,$DP21,$DQ$2,$DP$4,$DP$5,$DP$6,$DP$7,$DP$8,$DQ$3)-DC21</f>
        <v>#NAME?</v>
      </c>
      <c r="EP21" s="182" t="e">
        <f ca="1">_xll.LVCELL($EG$3,EP$3,$DP21,$DQ$2,$DP$4,$DP$5,$DP$6,$DP$7,$DP$8,$DQ$3)-DD21</f>
        <v>#NAME?</v>
      </c>
      <c r="EQ21" s="327" t="e">
        <f ca="1">_xll.LVCELL($EG$3,EQ$3,$DP21,$DQ$2,$DP$4,$DP$5,$DP$6,$DP$7,$DP$8,$DQ$3)-DE21</f>
        <v>#NAME?</v>
      </c>
      <c r="ER21" s="182" t="e">
        <f ca="1">_xll.LVCELL($EG$3,ER$3,$DP21,$DQ$2,$DP$4,$DP$5,$DP$6,$DP$7,$DP$8,$DQ$3)-DF21</f>
        <v>#NAME?</v>
      </c>
      <c r="ES21" s="327" t="e">
        <f ca="1">_xll.LVCELL($EG$3,ES$3,$DP21,$DQ$2,$DP$4,$DP$5,$DP$6,$DP$7,$DP$8,$DQ$3)-DG21</f>
        <v>#NAME?</v>
      </c>
      <c r="ET21" s="182" t="e">
        <f ca="1">_xll.LVCELL($EG$3,ET$3,$DP21,$DQ$2,$DP$4,$DP$5,$DP$6,$DP$7,$DP$8,$DQ$3)-DH21</f>
        <v>#NAME?</v>
      </c>
      <c r="EW21" s="64" t="s">
        <v>321</v>
      </c>
      <c r="EX21" s="64" t="s">
        <v>321</v>
      </c>
      <c r="EY21" s="70" t="s">
        <v>841</v>
      </c>
      <c r="EZ21" s="505">
        <f>_xll.LVCELL($EX$3,EZ$3,$DP21,$DQ$2,$DP$4,$DP$5,$DP$6,$DP$7,$DP$8,$DQ$3)</f>
        <v>0</v>
      </c>
      <c r="FA21" s="505">
        <f>_xll.LVCELL($EX$3,FA$3,$DP21,$DQ$2,$DP$4,$DP$5,$DP$6,$DP$7,$DP$8,$DQ$3)</f>
        <v>0</v>
      </c>
      <c r="FB21" s="505">
        <f>_xll.LVCELL($EX$3,FB$3,$DP21,$DQ$2,$DP$4,$DP$5,$DP$6,$DP$7,$DP$8,$DQ$3)</f>
        <v>0</v>
      </c>
      <c r="FC21" s="505">
        <f>_xll.LVCELL($EX$3,FC$3,$DP21,$DQ$2,$DP$4,$DP$5,$DP$6,$DP$7,$DP$8,$DQ$3)</f>
        <v>0</v>
      </c>
      <c r="FD21" s="505">
        <f>_xll.LVCELL($EX$3,FD$3,$DP21,$DQ$2,$DP$4,$DP$5,$DP$6,$DP$7,$DP$8,$DQ$3)</f>
        <v>0</v>
      </c>
      <c r="FE21" s="505">
        <f>_xll.LVCELL($EX$3,FE$3,$DP21,$DQ$2,$DP$4,$DP$5,$DP$6,$DP$7,$DP$8,$DQ$3)</f>
        <v>0</v>
      </c>
      <c r="FF21" s="505">
        <f>_xll.LVCELL($EX$3,FF$3,$DP21,$DQ$2,$DP$4,$DP$5,$DP$6,$DP$7,$DP$8,$DQ$3)</f>
        <v>0</v>
      </c>
      <c r="FG21" s="505">
        <f>_xll.LVCELL($EX$3,FG$3,$DP21,$DQ$2,$DP$4,$DP$5,$DP$6,$DP$7,$DP$8,$DQ$3)</f>
        <v>0</v>
      </c>
      <c r="FH21" s="505">
        <f>_xll.LVCELL($EX$3,FH$3,$DP21,$DQ$2,$DP$4,$DP$5,$DP$6,$DP$7,$DP$8,$DQ$3)</f>
        <v>0</v>
      </c>
      <c r="FI21" s="505">
        <f>_xll.LVCELL($EX$3,FI$3,$DP21,$DQ$2,$DP$4,$DP$5,$DP$6,$DP$7,$DP$8,$DQ$3)</f>
        <v>0</v>
      </c>
      <c r="FJ21" s="505">
        <f>_xll.LVCELL($EX$3,FJ$3,$DP21,$DQ$2,$DP$4,$DP$5,$DP$6,$DP$7,$DP$8,$DQ$3)</f>
        <v>0</v>
      </c>
      <c r="FK21" s="505">
        <f>_xll.LVCELL($EX$3,FK$3,$DP21,$DQ$2,$DP$4,$DP$5,$DP$6,$DP$7,$DP$8,$DQ$3)</f>
        <v>0</v>
      </c>
      <c r="FN21" s="64" t="s">
        <v>321</v>
      </c>
      <c r="FO21" s="64" t="s">
        <v>321</v>
      </c>
      <c r="FP21" s="70" t="s">
        <v>841</v>
      </c>
      <c r="FQ21" s="505">
        <f>_xll.LVCELL($FO$3,FQ$3,$DP21,$DQ$2,$DP$4,$DP$5,$DP$6,$DP$7,$DP$8,$DQ$3)</f>
        <v>0</v>
      </c>
      <c r="FR21" s="505">
        <f>_xll.LVCELL($FO$3,FR$3,$DP21,$DQ$2,$DP$4,$DP$5,$DP$6,$DP$7,$DP$8,$DQ$3)</f>
        <v>0</v>
      </c>
      <c r="FS21" s="505">
        <f>_xll.LVCELL($FO$3,FS$3,$DP21,$DQ$2,$DP$4,$DP$5,$DP$6,$DP$7,$DP$8,$DQ$3)</f>
        <v>0</v>
      </c>
      <c r="FT21" s="505">
        <f>_xll.LVCELL($FO$3,FT$3,$DP21,$DQ$2,$DP$4,$DP$5,$DP$6,$DP$7,$DP$8,$DQ$3)</f>
        <v>0</v>
      </c>
      <c r="FU21" s="505">
        <f>_xll.LVCELL($FO$3,FU$3,$DP21,$DQ$2,$DP$4,$DP$5,$DP$6,$DP$7,$DP$8,$DQ$3)</f>
        <v>0</v>
      </c>
      <c r="FV21" s="505">
        <f>_xll.LVCELL($FO$3,FV$3,$DP21,$DQ$2,$DP$4,$DP$5,$DP$6,$DP$7,$DP$8,$DQ$3)</f>
        <v>0</v>
      </c>
      <c r="FW21" s="505">
        <f>_xll.LVCELL($FO$3,FW$3,$DP21,$DQ$2,$DP$4,$DP$5,$DP$6,$DP$7,$DP$8,$DQ$3)</f>
        <v>0</v>
      </c>
      <c r="FX21" s="505">
        <f>_xll.LVCELL($FO$3,FX$3,$DP21,$DQ$2,$DP$4,$DP$5,$DP$6,$DP$7,$DP$8,$DQ$3)</f>
        <v>0</v>
      </c>
      <c r="FY21" s="505">
        <f>_xll.LVCELL($FO$3,FY$3,$DP21,$DQ$2,$DP$4,$DP$5,$DP$6,$DP$7,$DP$8,$DQ$3)</f>
        <v>0</v>
      </c>
      <c r="FZ21" s="505">
        <f>_xll.LVCELL($FO$3,FZ$3,$DP21,$DQ$2,$DP$4,$DP$5,$DP$6,$DP$7,$DP$8,$DQ$3)</f>
        <v>0</v>
      </c>
      <c r="GA21" s="505">
        <f>_xll.LVCELL($FO$3,GA$3,$DP21,$DQ$2,$DP$4,$DP$5,$DP$6,$DP$7,$DP$8,$DQ$3)</f>
        <v>0</v>
      </c>
      <c r="GB21" s="505">
        <f>_xll.LVCELL($FO$3,GB$3,$DP21,$DQ$2,$DP$4,$DP$5,$DP$6,$DP$7,$DP$8,$DQ$3)</f>
        <v>0</v>
      </c>
    </row>
    <row r="22" spans="2:184" ht="15">
      <c r="B22" s="64" t="s">
        <v>419</v>
      </c>
      <c r="C22" s="64" t="s">
        <v>419</v>
      </c>
      <c r="D22" s="70" t="s">
        <v>295</v>
      </c>
      <c r="E22" s="357">
        <f>_xll.LVCELL($C$3,Q$3,$C22,$D$2,$C$4,$C$5,$C$6,$C$7,$C$8,$D$3)/1000</f>
        <v>4.5999999999999996</v>
      </c>
      <c r="F22" s="103">
        <f>'distribution mensuelle Prod B22'!$N$36</f>
        <v>1380687.3592401994</v>
      </c>
      <c r="G22" s="103">
        <f>'distribution mensuelle Prod B22'!$N$37</f>
        <v>1235244.6996572514</v>
      </c>
      <c r="H22" s="103">
        <f>'distribution mensuelle Prod B22'!$N$38</f>
        <v>1207969.2624719671</v>
      </c>
      <c r="I22" s="103">
        <f>'distribution mensuelle Prod B22'!$N$39</f>
        <v>1021585.4661842071</v>
      </c>
      <c r="J22" s="103">
        <f>'distribution mensuelle Prod B22'!$N$40</f>
        <v>872612.10906521336</v>
      </c>
      <c r="K22" s="103">
        <f>'distribution mensuelle Prod B22'!$N$41</f>
        <v>757786.54196815973</v>
      </c>
      <c r="L22" s="103">
        <f>'distribution mensuelle Prod B22'!$N$42</f>
        <v>760139.18398139114</v>
      </c>
      <c r="M22" s="103">
        <f>'distribution mensuelle Prod B22'!$N$43</f>
        <v>669656.89190784749</v>
      </c>
      <c r="N22" s="103">
        <f>'distribution mensuelle Prod B22'!$N$44</f>
        <v>818748.4782365741</v>
      </c>
      <c r="O22" s="103">
        <f>'distribution mensuelle Prod B22'!$N$45</f>
        <v>984855.96505517885</v>
      </c>
      <c r="P22" s="103">
        <f>'distribution mensuelle Prod B22'!$N$46</f>
        <v>1264324.8124166208</v>
      </c>
      <c r="Q22" s="103">
        <f>'distribution mensuelle Prod B22'!$N$47</f>
        <v>1355489.7589159219</v>
      </c>
      <c r="R22" s="67">
        <f t="shared" si="1"/>
        <v>12329100.529100532</v>
      </c>
      <c r="S22" s="358"/>
      <c r="W22" s="113" t="str">
        <f t="shared" si="2"/>
        <v>E5150</v>
      </c>
      <c r="X22" s="359" t="str">
        <f t="shared" si="3"/>
        <v>Cham Longe II</v>
      </c>
      <c r="Y22" s="299" cm="1">
        <f t="array" ref="Y22">_xll.LVCELL($D$4,F$1,$B22,$D$2,$C$4,$C$5,$C$6,$C$7,$C$8,$D$3)*1000</f>
        <v>88.9</v>
      </c>
      <c r="Z22" s="299" cm="1">
        <f t="array" ref="Z22">_xll.LVCELL($D$4,G$1,$B22,$D$2,$C$4,$C$5,$C$6,$C$7,$C$8,$D$3)*1000</f>
        <v>88.899997999999997</v>
      </c>
      <c r="AA22" s="299" cm="1">
        <f t="array" ref="AA22">_xll.LVCELL($D$4,H$1,$B22,$D$2,$C$4,$C$5,$C$6,$C$7,$C$8,$D$3)*1000</f>
        <v>88.899999999999991</v>
      </c>
      <c r="AB22" s="299" cm="1">
        <f t="array" ref="AB22">_xll.LVCELL($D$4,I$1,$B22,$D$2,$C$4,$C$5,$C$6,$C$7,$C$8,$D$3)*1000</f>
        <v>88.900001832363202</v>
      </c>
      <c r="AC22" s="299" cm="1">
        <f t="array" ref="AC22">_xll.LVCELL($D$4,J$1,$B22,$D$2,$C$4,$C$5,$C$6,$C$7,$C$8,$D$3)*1000</f>
        <v>88.90005605163411</v>
      </c>
      <c r="AD22" s="299" cm="1">
        <f t="array" ref="AD22">_xll.LVCELL($D$4,K$1,$B22,$D$2,$C$4,$C$5,$C$6,$C$7,$C$8,$D$3)*1000</f>
        <v>88.900061538461543</v>
      </c>
      <c r="AE22" s="299" cm="1">
        <f t="array" ref="AE22">_xll.LVCELL($D$4,L$1,$B22,$D$2,$C$4,$C$5,$C$6,$C$7,$C$8,$D$3)*1000</f>
        <v>88.899995240865906</v>
      </c>
      <c r="AF22" s="299">
        <f>$AD$22</f>
        <v>88.900061538461543</v>
      </c>
      <c r="AG22" s="299">
        <f>AF22</f>
        <v>88.900061538461543</v>
      </c>
      <c r="AH22" s="299">
        <f>AG22</f>
        <v>88.900061538461543</v>
      </c>
      <c r="AI22" s="299">
        <f>$AH22+($AH22*$AL$9)</f>
        <v>90.944762953846151</v>
      </c>
      <c r="AJ22" s="370">
        <f>AI22</f>
        <v>90.944762953846151</v>
      </c>
      <c r="AK22" s="563" t="s">
        <v>3409</v>
      </c>
      <c r="AL22" s="134">
        <f t="shared" si="4"/>
        <v>2.3E-2</v>
      </c>
      <c r="AM22" s="134"/>
      <c r="AN22" s="134"/>
      <c r="AO22" s="134"/>
      <c r="AP22" s="113" t="str">
        <f t="shared" si="38"/>
        <v>E5150</v>
      </c>
      <c r="AQ22" s="567" t="str">
        <f t="shared" si="39"/>
        <v>Cham Longe II</v>
      </c>
      <c r="AR22" s="377"/>
      <c r="AS22" s="377"/>
      <c r="AT22" s="377"/>
      <c r="AU22" s="377"/>
      <c r="AV22" s="377"/>
      <c r="AW22" s="377"/>
      <c r="AX22" s="377"/>
      <c r="AY22" s="377"/>
      <c r="AZ22" s="377"/>
      <c r="BA22" s="377"/>
      <c r="BB22" s="377"/>
      <c r="BC22" s="378"/>
      <c r="BD22" s="413"/>
      <c r="BE22" s="134"/>
      <c r="BF22" s="134"/>
      <c r="BG22" s="134"/>
      <c r="BH22" s="134"/>
      <c r="BI22" s="113" t="str">
        <f t="shared" si="40"/>
        <v>E5150</v>
      </c>
      <c r="BJ22" s="567" t="str">
        <f t="shared" si="41"/>
        <v>Cham Longe II</v>
      </c>
      <c r="BK22" s="299">
        <f t="shared" ref="BK22:BK53" si="49">$AJ22</f>
        <v>90.944762953846151</v>
      </c>
      <c r="BL22" s="299">
        <f t="shared" ref="BL22:BT24" si="50">$AJ22</f>
        <v>90.944762953846151</v>
      </c>
      <c r="BM22" s="299">
        <f t="shared" si="50"/>
        <v>90.944762953846151</v>
      </c>
      <c r="BN22" s="299">
        <f t="shared" si="50"/>
        <v>90.944762953846151</v>
      </c>
      <c r="BO22" s="299">
        <f t="shared" si="50"/>
        <v>90.944762953846151</v>
      </c>
      <c r="BP22" s="299">
        <f t="shared" si="50"/>
        <v>90.944762953846151</v>
      </c>
      <c r="BQ22" s="299">
        <f t="shared" si="50"/>
        <v>90.944762953846151</v>
      </c>
      <c r="BR22" s="299">
        <f t="shared" si="50"/>
        <v>90.944762953846151</v>
      </c>
      <c r="BS22" s="299">
        <f t="shared" si="50"/>
        <v>90.944762953846151</v>
      </c>
      <c r="BT22" s="299">
        <f t="shared" si="50"/>
        <v>90.944762953846151</v>
      </c>
      <c r="BU22" s="299">
        <f>$BT22+($BT22*$BX$9)</f>
        <v>93.036492501784608</v>
      </c>
      <c r="BV22" s="370">
        <f>BU22</f>
        <v>93.036492501784608</v>
      </c>
      <c r="BW22" s="413"/>
      <c r="BX22" s="134"/>
      <c r="BY22" s="134"/>
      <c r="BZ22" s="134"/>
      <c r="CA22" s="134"/>
      <c r="CB22" s="113" t="str">
        <f t="shared" si="5"/>
        <v>E5150</v>
      </c>
      <c r="CC22" s="305" t="str">
        <f t="shared" si="6"/>
        <v>Cham Longe II</v>
      </c>
      <c r="CD22" s="299">
        <f t="shared" si="43"/>
        <v>90.944762953846151</v>
      </c>
      <c r="CE22" s="299">
        <f t="shared" si="7"/>
        <v>90.944762953846151</v>
      </c>
      <c r="CF22" s="299">
        <f t="shared" si="8"/>
        <v>90.944762953846151</v>
      </c>
      <c r="CG22" s="299">
        <f t="shared" si="9"/>
        <v>90.944762953846151</v>
      </c>
      <c r="CH22" s="299">
        <f t="shared" si="10"/>
        <v>90.944762953846151</v>
      </c>
      <c r="CI22" s="299">
        <f t="shared" si="11"/>
        <v>90.944762953846151</v>
      </c>
      <c r="CJ22" s="299">
        <f t="shared" si="12"/>
        <v>90.944762953846151</v>
      </c>
      <c r="CK22" s="299">
        <f t="shared" si="13"/>
        <v>90.944762953846151</v>
      </c>
      <c r="CL22" s="299">
        <f t="shared" si="14"/>
        <v>90.944762953846151</v>
      </c>
      <c r="CM22" s="299">
        <f t="shared" si="15"/>
        <v>90.944762953846151</v>
      </c>
      <c r="CN22" s="299">
        <f t="shared" si="16"/>
        <v>93.036492501784608</v>
      </c>
      <c r="CO22" s="370">
        <f t="shared" si="17"/>
        <v>93.036492501784608</v>
      </c>
      <c r="CP22" s="413"/>
      <c r="CQ22" s="134">
        <f t="shared" si="18"/>
        <v>4.0000000000000001E-3</v>
      </c>
      <c r="CU22" s="113" t="str">
        <f t="shared" si="19"/>
        <v>E5150</v>
      </c>
      <c r="CV22" s="70" t="str">
        <f t="shared" si="20"/>
        <v>Cham Longe II</v>
      </c>
      <c r="CW22" s="300">
        <f t="shared" si="21"/>
        <v>125566.28459947176</v>
      </c>
      <c r="CX22" s="298">
        <f t="shared" si="22"/>
        <v>112339.03640032362</v>
      </c>
      <c r="CY22" s="298">
        <f t="shared" si="23"/>
        <v>109858.47823104542</v>
      </c>
      <c r="CZ22" s="298">
        <f t="shared" si="24"/>
        <v>92907.848059217125</v>
      </c>
      <c r="DA22" s="298">
        <f t="shared" si="25"/>
        <v>79359.501409591569</v>
      </c>
      <c r="DB22" s="298">
        <f t="shared" si="26"/>
        <v>68916.717428909076</v>
      </c>
      <c r="DC22" s="298">
        <f t="shared" si="27"/>
        <v>69130.677899117669</v>
      </c>
      <c r="DD22" s="298">
        <f t="shared" si="28"/>
        <v>60901.787294968562</v>
      </c>
      <c r="DE22" s="298">
        <f t="shared" si="29"/>
        <v>74460.886272047501</v>
      </c>
      <c r="DF22" s="298">
        <f t="shared" si="30"/>
        <v>89567.492285624627</v>
      </c>
      <c r="DG22" s="371">
        <f t="shared" si="31"/>
        <v>117628.34593021918</v>
      </c>
      <c r="DH22" s="372">
        <f t="shared" si="32"/>
        <v>126110.012791627</v>
      </c>
      <c r="DI22" s="67">
        <f t="shared" si="33"/>
        <v>1126747.0686021633</v>
      </c>
      <c r="DJ22" s="364">
        <f>_xll.LVCELL($E$1,Q$2,$C22,$D$2,$C$4,$C$5,$C$6,$C$7,$C$8,$D$3)+_xll.LVCELL($E$2,Q$2,$C22,$D$2,$C$4,$C$5,$C$6,$C$7,$C$8,$D$3)</f>
        <v>1126747.02313325</v>
      </c>
      <c r="DK22" s="82">
        <f t="shared" si="44"/>
        <v>4.5468913391232491E-2</v>
      </c>
      <c r="DM22" s="518">
        <f t="shared" si="34"/>
        <v>91.389235244103006</v>
      </c>
      <c r="DO22" s="64" t="str">
        <f t="shared" si="35"/>
        <v>E5150</v>
      </c>
      <c r="DP22" s="64" t="str">
        <f t="shared" si="36"/>
        <v>E5150</v>
      </c>
      <c r="DQ22" s="70" t="str">
        <f t="shared" si="37"/>
        <v>Cham Longe II</v>
      </c>
      <c r="DR22" s="365">
        <f>_xll.LVCELL($DP$3,DR$3,$DP22,$DQ$2,$DP$4,$DP$5,$DP$6,$DP$7,$DP$8,$DQ$3)/100</f>
        <v>0.97</v>
      </c>
      <c r="DS22" s="365">
        <f>_xll.LVCELL($DP$3,DS$3,$DP22,$DQ$2,$DP$4,$DP$5,$DP$6,$DP$7,$DP$8,$DQ$3)/100</f>
        <v>0.97</v>
      </c>
      <c r="DT22" s="365">
        <f>_xll.LVCELL($DP$3,DT$3,$DP22,$DQ$2,$DP$4,$DP$5,$DP$6,$DP$7,$DP$8,$DQ$3)/100</f>
        <v>0.97</v>
      </c>
      <c r="DU22" s="365">
        <f>_xll.LVCELL($DP$3,DU$3,$DP22,$DQ$2,$DP$4,$DP$5,$DP$6,$DP$7,$DP$8,$DQ$3)/100</f>
        <v>0.97</v>
      </c>
      <c r="DV22" s="365">
        <f>_xll.LVCELL($DP$3,DV$3,$DP22,$DQ$2,$DP$4,$DP$5,$DP$6,$DP$7,$DP$8,$DQ$3)/100</f>
        <v>0.97</v>
      </c>
      <c r="DW22" s="365">
        <f>_xll.LVCELL($DP$3,DW$3,$DP22,$DQ$2,$DP$4,$DP$5,$DP$6,$DP$7,$DP$8,$DQ$3)/100</f>
        <v>0.97</v>
      </c>
      <c r="DX22" s="365">
        <f>_xll.LVCELL($DP$3,DX$3,$DP22,$DQ$2,$DP$4,$DP$5,$DP$6,$DP$7,$DP$8,$DQ$3)/100</f>
        <v>0.97</v>
      </c>
      <c r="DY22" s="365">
        <f>_xll.LVCELL($DP$3,DY$3,$DP22,$DQ$2,$DP$4,$DP$5,$DP$6,$DP$7,$DP$8,$DQ$3)/100</f>
        <v>0.97</v>
      </c>
      <c r="DZ22" s="365">
        <f>_xll.LVCELL($DP$3,DZ$3,$DP22,$DQ$2,$DP$4,$DP$5,$DP$6,$DP$7,$DP$8,$DQ$3)/100</f>
        <v>0.97</v>
      </c>
      <c r="EA22" s="365">
        <f>_xll.LVCELL($DP$3,EA$3,$DP22,$DQ$2,$DP$4,$DP$5,$DP$6,$DP$7,$DP$8,$DQ$3)/100</f>
        <v>0.97</v>
      </c>
      <c r="EB22" s="365">
        <f>_xll.LVCELL($DP$3,EB$3,$DP22,$DQ$2,$DP$4,$DP$5,$DP$6,$DP$7,$DP$8,$DQ$3)/100</f>
        <v>0.97</v>
      </c>
      <c r="EC22" s="365">
        <f>_xll.LVCELL($DP$3,EC$3,$DP22,$DQ$2,$DP$4,$DP$5,$DP$6,$DP$7,$DP$8,$DQ$3)/100</f>
        <v>0.97</v>
      </c>
      <c r="ED22" s="582">
        <f t="shared" si="45"/>
        <v>11.64</v>
      </c>
      <c r="EF22" s="64" t="s">
        <v>419</v>
      </c>
      <c r="EG22" s="64" t="s">
        <v>419</v>
      </c>
      <c r="EH22" s="70" t="s">
        <v>295</v>
      </c>
      <c r="EI22" s="366" t="e">
        <f ca="1">_xll.LVCELL($EG$3,EI$3,$DP22,$DQ$2,$DP$4,$DP$5,$DP$6,$DP$7,$DP$8,$DQ$3)-CW22</f>
        <v>#NAME?</v>
      </c>
      <c r="EJ22" s="367" t="e">
        <f ca="1">_xll.LVCELL($EG$3,EJ$3,$DP22,$DQ$2,$DP$4,$DP$5,$DP$6,$DP$7,$DP$8,$DQ$3)-CX22</f>
        <v>#NAME?</v>
      </c>
      <c r="EK22" s="368" t="e">
        <f ca="1">_xll.LVCELL($EG$3,EK$3,$DP22,$DQ$2,$DP$4,$DP$5,$DP$6,$DP$7,$DP$8,$DQ$3)-CY22</f>
        <v>#NAME?</v>
      </c>
      <c r="EL22" s="367" t="e">
        <f ca="1">_xll.LVCELL($EG$3,EL$3,$DP22,$DQ$2,$DP$4,$DP$5,$DP$6,$DP$7,$DP$8,$DQ$3)-CZ22</f>
        <v>#NAME?</v>
      </c>
      <c r="EM22" s="368" t="e">
        <f ca="1">_xll.LVCELL($EG$3,EM$3,$DP22,$DQ$2,$DP$4,$DP$5,$DP$6,$DP$7,$DP$8,$DQ$3)-DA22</f>
        <v>#NAME?</v>
      </c>
      <c r="EN22" s="367" t="e">
        <f ca="1">_xll.LVCELL($EG$3,EN$3,$DP22,$DQ$2,$DP$4,$DP$5,$DP$6,$DP$7,$DP$8,$DQ$3)-DB22</f>
        <v>#NAME?</v>
      </c>
      <c r="EO22" s="368" t="e">
        <f ca="1">_xll.LVCELL($EG$3,EO$3,$DP22,$DQ$2,$DP$4,$DP$5,$DP$6,$DP$7,$DP$8,$DQ$3)-DC22</f>
        <v>#NAME?</v>
      </c>
      <c r="EP22" s="367" t="e">
        <f ca="1">_xll.LVCELL($EG$3,EP$3,$DP22,$DQ$2,$DP$4,$DP$5,$DP$6,$DP$7,$DP$8,$DQ$3)-DD22</f>
        <v>#NAME?</v>
      </c>
      <c r="EQ22" s="368" t="e">
        <f ca="1">_xll.LVCELL($EG$3,EQ$3,$DP22,$DQ$2,$DP$4,$DP$5,$DP$6,$DP$7,$DP$8,$DQ$3)-DE22</f>
        <v>#NAME?</v>
      </c>
      <c r="ER22" s="367" t="e">
        <f ca="1">_xll.LVCELL($EG$3,ER$3,$DP22,$DQ$2,$DP$4,$DP$5,$DP$6,$DP$7,$DP$8,$DQ$3)-DF22</f>
        <v>#NAME?</v>
      </c>
      <c r="ES22" s="368" t="e">
        <f ca="1">_xll.LVCELL($EG$3,ES$3,$DP22,$DQ$2,$DP$4,$DP$5,$DP$6,$DP$7,$DP$8,$DQ$3)-DG22</f>
        <v>#NAME?</v>
      </c>
      <c r="ET22" s="367" t="e">
        <f ca="1">_xll.LVCELL($EG$3,ET$3,$DP22,$DQ$2,$DP$4,$DP$5,$DP$6,$DP$7,$DP$8,$DQ$3)-DH22</f>
        <v>#NAME?</v>
      </c>
      <c r="EW22" s="64" t="s">
        <v>419</v>
      </c>
      <c r="EX22" s="64" t="s">
        <v>419</v>
      </c>
      <c r="EY22" s="70" t="s">
        <v>295</v>
      </c>
      <c r="EZ22" s="364">
        <f>_xll.LVCELL($EX$3,EZ$3,$DP22,$DQ$2,$DP$4,$DP$5,$DP$6,$DP$7,$DP$8,$DQ$3)</f>
        <v>4600</v>
      </c>
      <c r="FA22" s="364">
        <f>_xll.LVCELL($EX$3,FA$3,$DP22,$DQ$2,$DP$4,$DP$5,$DP$6,$DP$7,$DP$8,$DQ$3)</f>
        <v>4600</v>
      </c>
      <c r="FB22" s="364">
        <f>_xll.LVCELL($EX$3,FB$3,$DP22,$DQ$2,$DP$4,$DP$5,$DP$6,$DP$7,$DP$8,$DQ$3)</f>
        <v>4600</v>
      </c>
      <c r="FC22" s="364">
        <f>_xll.LVCELL($EX$3,FC$3,$DP22,$DQ$2,$DP$4,$DP$5,$DP$6,$DP$7,$DP$8,$DQ$3)</f>
        <v>4600</v>
      </c>
      <c r="FD22" s="364">
        <f>_xll.LVCELL($EX$3,FD$3,$DP22,$DQ$2,$DP$4,$DP$5,$DP$6,$DP$7,$DP$8,$DQ$3)</f>
        <v>4600</v>
      </c>
      <c r="FE22" s="364">
        <f>_xll.LVCELL($EX$3,FE$3,$DP22,$DQ$2,$DP$4,$DP$5,$DP$6,$DP$7,$DP$8,$DQ$3)</f>
        <v>4600</v>
      </c>
      <c r="FF22" s="364">
        <f>_xll.LVCELL($EX$3,FF$3,$DP22,$DQ$2,$DP$4,$DP$5,$DP$6,$DP$7,$DP$8,$DQ$3)</f>
        <v>4600</v>
      </c>
      <c r="FG22" s="364">
        <f>_xll.LVCELL($EX$3,FG$3,$DP22,$DQ$2,$DP$4,$DP$5,$DP$6,$DP$7,$DP$8,$DQ$3)</f>
        <v>4600</v>
      </c>
      <c r="FH22" s="364">
        <f>_xll.LVCELL($EX$3,FH$3,$DP22,$DQ$2,$DP$4,$DP$5,$DP$6,$DP$7,$DP$8,$DQ$3)</f>
        <v>4600</v>
      </c>
      <c r="FI22" s="364">
        <f>_xll.LVCELL($EX$3,FI$3,$DP22,$DQ$2,$DP$4,$DP$5,$DP$6,$DP$7,$DP$8,$DQ$3)</f>
        <v>4600</v>
      </c>
      <c r="FJ22" s="364">
        <f>_xll.LVCELL($EX$3,FJ$3,$DP22,$DQ$2,$DP$4,$DP$5,$DP$6,$DP$7,$DP$8,$DQ$3)</f>
        <v>4600</v>
      </c>
      <c r="FK22" s="276">
        <f>_xll.LVCELL($EX$3,FK$3,$DP22,$DQ$2,$DP$4,$DP$5,$DP$6,$DP$7,$DP$8,$DQ$3)</f>
        <v>4600</v>
      </c>
      <c r="FN22" s="64" t="s">
        <v>419</v>
      </c>
      <c r="FO22" s="64" t="s">
        <v>419</v>
      </c>
      <c r="FP22" s="70" t="s">
        <v>295</v>
      </c>
      <c r="FQ22" s="364">
        <f>_xll.LVCELL($FO$3,FQ$3,$DP22,$DQ$2,$DP$4,$DP$5,$DP$6,$DP$7,$DP$8,$DQ$3)</f>
        <v>2</v>
      </c>
      <c r="FR22" s="364">
        <f>_xll.LVCELL($FO$3,FR$3,$DP22,$DQ$2,$DP$4,$DP$5,$DP$6,$DP$7,$DP$8,$DQ$3)</f>
        <v>2</v>
      </c>
      <c r="FS22" s="364">
        <f>_xll.LVCELL($FO$3,FS$3,$DP22,$DQ$2,$DP$4,$DP$5,$DP$6,$DP$7,$DP$8,$DQ$3)</f>
        <v>2</v>
      </c>
      <c r="FT22" s="364">
        <f>_xll.LVCELL($FO$3,FT$3,$DP22,$DQ$2,$DP$4,$DP$5,$DP$6,$DP$7,$DP$8,$DQ$3)</f>
        <v>2</v>
      </c>
      <c r="FU22" s="364">
        <f>_xll.LVCELL($FO$3,FU$3,$DP22,$DQ$2,$DP$4,$DP$5,$DP$6,$DP$7,$DP$8,$DQ$3)</f>
        <v>2</v>
      </c>
      <c r="FV22" s="364">
        <f>_xll.LVCELL($FO$3,FV$3,$DP22,$DQ$2,$DP$4,$DP$5,$DP$6,$DP$7,$DP$8,$DQ$3)</f>
        <v>2</v>
      </c>
      <c r="FW22" s="364">
        <f>_xll.LVCELL($FO$3,FW$3,$DP22,$DQ$2,$DP$4,$DP$5,$DP$6,$DP$7,$DP$8,$DQ$3)</f>
        <v>2</v>
      </c>
      <c r="FX22" s="364">
        <f>_xll.LVCELL($FO$3,FX$3,$DP22,$DQ$2,$DP$4,$DP$5,$DP$6,$DP$7,$DP$8,$DQ$3)</f>
        <v>2</v>
      </c>
      <c r="FY22" s="364">
        <f>_xll.LVCELL($FO$3,FY$3,$DP22,$DQ$2,$DP$4,$DP$5,$DP$6,$DP$7,$DP$8,$DQ$3)</f>
        <v>2</v>
      </c>
      <c r="FZ22" s="364">
        <f>_xll.LVCELL($FO$3,FZ$3,$DP22,$DQ$2,$DP$4,$DP$5,$DP$6,$DP$7,$DP$8,$DQ$3)</f>
        <v>2</v>
      </c>
      <c r="GA22" s="364">
        <f>_xll.LVCELL($FO$3,GA$3,$DP22,$DQ$2,$DP$4,$DP$5,$DP$6,$DP$7,$DP$8,$DQ$3)</f>
        <v>2</v>
      </c>
      <c r="GB22" s="172">
        <f>_xll.LVCELL($FO$3,GB$3,$DP22,$DQ$2,$DP$4,$DP$5,$DP$6,$DP$7,$DP$8,$DQ$3)</f>
        <v>2</v>
      </c>
    </row>
    <row r="23" spans="2:184" ht="15">
      <c r="B23" s="64" t="s">
        <v>421</v>
      </c>
      <c r="C23" s="64" t="s">
        <v>421</v>
      </c>
      <c r="D23" s="359" t="s">
        <v>288</v>
      </c>
      <c r="E23" s="357">
        <f>_xll.LVCELL($C$3,Q$3,$C23,$D$2,$C$4,$C$5,$C$6,$C$7,$C$8,$D$3)/1000</f>
        <v>8</v>
      </c>
      <c r="F23" s="103">
        <f>'distribution mensuelle Prod B22'!$O$36</f>
        <v>2257116.0001020995</v>
      </c>
      <c r="G23" s="103">
        <f>'distribution mensuelle Prod B22'!$O$37</f>
        <v>1868760.3284278896</v>
      </c>
      <c r="H23" s="103">
        <f>'distribution mensuelle Prod B22'!$O$38</f>
        <v>1727517.0266823077</v>
      </c>
      <c r="I23" s="103">
        <f>'distribution mensuelle Prod B22'!$O$39</f>
        <v>1462075.2170894844</v>
      </c>
      <c r="J23" s="103">
        <f>'distribution mensuelle Prod B22'!$O$40</f>
        <v>1282319.325408384</v>
      </c>
      <c r="K23" s="103">
        <f>'distribution mensuelle Prod B22'!$O$41</f>
        <v>1032342.4975324949</v>
      </c>
      <c r="L23" s="103">
        <f>'distribution mensuelle Prod B22'!$O$42</f>
        <v>996419.52066202171</v>
      </c>
      <c r="M23" s="103">
        <f>'distribution mensuelle Prod B22'!$O$43</f>
        <v>941292.56362981093</v>
      </c>
      <c r="N23" s="103">
        <f>'distribution mensuelle Prod B22'!$O$44</f>
        <v>1192756.4236684947</v>
      </c>
      <c r="O23" s="103">
        <f>'distribution mensuelle Prod B22'!$O$45</f>
        <v>1654901.5177640168</v>
      </c>
      <c r="P23" s="103">
        <f>'distribution mensuelle Prod B22'!$O$46</f>
        <v>1910204.0290932632</v>
      </c>
      <c r="Q23" s="103">
        <f>'distribution mensuelle Prod B22'!$O$47</f>
        <v>2215295.5499397316</v>
      </c>
      <c r="R23" s="67">
        <f t="shared" si="1"/>
        <v>18541000</v>
      </c>
      <c r="S23" s="358"/>
      <c r="W23" s="113" t="str">
        <f t="shared" si="2"/>
        <v>E5130</v>
      </c>
      <c r="X23" s="359" t="str">
        <f t="shared" si="3"/>
        <v>Plouguin</v>
      </c>
      <c r="Y23" s="299" cm="1">
        <f t="array" ref="Y23">_xll.LVCELL($D$4,F$1,$B23,$D$2,$C$4,$C$5,$C$6,$C$7,$C$8,$D$3)*1000</f>
        <v>86.760007000000002</v>
      </c>
      <c r="Z23" s="299" cm="1">
        <f t="array" ref="Z23">_xll.LVCELL($D$4,G$1,$B23,$D$2,$C$4,$C$5,$C$6,$C$7,$C$8,$D$3)*1000</f>
        <v>47.438555999999998</v>
      </c>
      <c r="AA23" s="299" cm="1">
        <f t="array" ref="AA23">_xll.LVCELL($D$4,H$1,$B23,$D$2,$C$4,$C$5,$C$6,$C$7,$C$8,$D$3)*1000</f>
        <v>48.999998175062601</v>
      </c>
      <c r="AB23" s="299" cm="1">
        <f t="array" ref="AB23">_xll.LVCELL($D$4,I$1,$B23,$D$2,$C$4,$C$5,$C$6,$C$7,$C$8,$D$3)*1000</f>
        <v>49.000003012583569</v>
      </c>
      <c r="AC23" s="299" cm="1">
        <f t="array" ref="AC23">_xll.LVCELL($D$4,J$1,$B23,$D$2,$C$4,$C$5,$C$6,$C$7,$C$8,$D$3)*1000</f>
        <v>49.000005125550352</v>
      </c>
      <c r="AD23" s="299" cm="1">
        <f t="array" ref="AD23">_xll.LVCELL($D$4,K$1,$B23,$D$2,$C$4,$C$5,$C$6,$C$7,$C$8,$D$3)*1000</f>
        <v>53.693129032258064</v>
      </c>
      <c r="AE23" s="299" cm="1">
        <f t="array" ref="AE23">_xll.LVCELL($D$4,L$1,$B23,$D$2,$C$4,$C$5,$C$6,$C$7,$C$8,$D$3)*1000</f>
        <v>48.632980269697477</v>
      </c>
      <c r="AF23" s="411">
        <f>$AC$23</f>
        <v>49.000005125550352</v>
      </c>
      <c r="AG23" s="299">
        <f t="shared" ref="AG23:AJ23" si="51">$AC$23</f>
        <v>49.000005125550352</v>
      </c>
      <c r="AH23" s="299">
        <f t="shared" si="51"/>
        <v>49.000005125550352</v>
      </c>
      <c r="AI23" s="299">
        <f t="shared" si="51"/>
        <v>49.000005125550352</v>
      </c>
      <c r="AJ23" s="372">
        <f t="shared" si="51"/>
        <v>49.000005125550352</v>
      </c>
      <c r="AK23" s="413" t="s">
        <v>3408</v>
      </c>
      <c r="AL23" s="134">
        <f t="shared" si="4"/>
        <v>2.3E-2</v>
      </c>
      <c r="AM23" s="134"/>
      <c r="AN23" s="134"/>
      <c r="AO23" s="134"/>
      <c r="AP23" s="113" t="str">
        <f t="shared" si="38"/>
        <v>E5130</v>
      </c>
      <c r="AQ23" s="568" t="str">
        <f t="shared" si="39"/>
        <v>Plouguin</v>
      </c>
      <c r="AR23" s="377"/>
      <c r="AS23" s="377"/>
      <c r="AT23" s="377"/>
      <c r="AU23" s="377"/>
      <c r="AV23" s="377"/>
      <c r="AW23" s="377"/>
      <c r="AX23" s="377"/>
      <c r="AY23" s="377"/>
      <c r="AZ23" s="377"/>
      <c r="BA23" s="377"/>
      <c r="BB23" s="377"/>
      <c r="BC23" s="377"/>
      <c r="BD23" s="413"/>
      <c r="BE23" s="134"/>
      <c r="BF23" s="134"/>
      <c r="BG23" s="134"/>
      <c r="BH23" s="134"/>
      <c r="BI23" s="113" t="str">
        <f t="shared" si="40"/>
        <v>E5130</v>
      </c>
      <c r="BJ23" s="568" t="str">
        <f t="shared" si="41"/>
        <v>Plouguin</v>
      </c>
      <c r="BK23" s="299">
        <f t="shared" si="49"/>
        <v>49.000005125550352</v>
      </c>
      <c r="BL23" s="299">
        <f t="shared" ref="BL23:BV23" si="52">$AJ23</f>
        <v>49.000005125550352</v>
      </c>
      <c r="BM23" s="299">
        <f t="shared" si="52"/>
        <v>49.000005125550352</v>
      </c>
      <c r="BN23" s="299">
        <f t="shared" si="52"/>
        <v>49.000005125550352</v>
      </c>
      <c r="BO23" s="299">
        <f t="shared" si="52"/>
        <v>49.000005125550352</v>
      </c>
      <c r="BP23" s="299">
        <f t="shared" si="52"/>
        <v>49.000005125550352</v>
      </c>
      <c r="BQ23" s="299">
        <f t="shared" si="52"/>
        <v>49.000005125550352</v>
      </c>
      <c r="BR23" s="299">
        <f t="shared" si="52"/>
        <v>49.000005125550352</v>
      </c>
      <c r="BS23" s="299">
        <f t="shared" si="52"/>
        <v>49.000005125550352</v>
      </c>
      <c r="BT23" s="299">
        <f t="shared" si="52"/>
        <v>49.000005125550352</v>
      </c>
      <c r="BU23" s="299">
        <f t="shared" si="52"/>
        <v>49.000005125550352</v>
      </c>
      <c r="BV23" s="299">
        <f t="shared" si="52"/>
        <v>49.000005125550352</v>
      </c>
      <c r="BW23" s="413" t="s">
        <v>3407</v>
      </c>
      <c r="BX23" s="134"/>
      <c r="BY23" s="134"/>
      <c r="BZ23" s="134"/>
      <c r="CA23" s="134"/>
      <c r="CB23" s="113" t="str">
        <f t="shared" si="5"/>
        <v>E5130</v>
      </c>
      <c r="CC23" s="373" t="str">
        <f t="shared" si="6"/>
        <v>Plouguin</v>
      </c>
      <c r="CD23" s="299">
        <f t="shared" si="43"/>
        <v>49.000005125550352</v>
      </c>
      <c r="CE23" s="299">
        <f t="shared" si="7"/>
        <v>49.000005125550352</v>
      </c>
      <c r="CF23" s="299">
        <f t="shared" si="8"/>
        <v>49.000005125550352</v>
      </c>
      <c r="CG23" s="299">
        <f t="shared" si="9"/>
        <v>49.000005125550352</v>
      </c>
      <c r="CH23" s="299">
        <f t="shared" si="10"/>
        <v>49.000005125550352</v>
      </c>
      <c r="CI23" s="299">
        <f t="shared" si="11"/>
        <v>49.000005125550352</v>
      </c>
      <c r="CJ23" s="299">
        <f t="shared" si="12"/>
        <v>49.000005125550352</v>
      </c>
      <c r="CK23" s="299">
        <f t="shared" si="13"/>
        <v>49.000005125550352</v>
      </c>
      <c r="CL23" s="299">
        <f t="shared" si="14"/>
        <v>49.000005125550352</v>
      </c>
      <c r="CM23" s="299">
        <f t="shared" si="15"/>
        <v>49.000005125550352</v>
      </c>
      <c r="CN23" s="299">
        <f t="shared" si="16"/>
        <v>49.000005125550352</v>
      </c>
      <c r="CO23" s="299">
        <f t="shared" si="17"/>
        <v>49.000005125550352</v>
      </c>
      <c r="CP23" s="413"/>
      <c r="CQ23" s="134">
        <f t="shared" si="18"/>
        <v>4.0000000000000001E-3</v>
      </c>
      <c r="CU23" s="113" t="str">
        <f t="shared" si="19"/>
        <v>E5130</v>
      </c>
      <c r="CV23" s="359" t="str">
        <f t="shared" si="20"/>
        <v>Plouguin</v>
      </c>
      <c r="CW23" s="300">
        <f t="shared" si="21"/>
        <v>110598.69557396459</v>
      </c>
      <c r="CX23" s="298">
        <f t="shared" si="22"/>
        <v>91569.265671391753</v>
      </c>
      <c r="CY23" s="298">
        <f t="shared" si="23"/>
        <v>84648.34316190859</v>
      </c>
      <c r="CZ23" s="298">
        <f t="shared" si="24"/>
        <v>71641.693131324879</v>
      </c>
      <c r="DA23" s="298">
        <f t="shared" si="25"/>
        <v>62833.653517603088</v>
      </c>
      <c r="DB23" s="298">
        <f t="shared" si="26"/>
        <v>50584.78767041571</v>
      </c>
      <c r="DC23" s="298">
        <f t="shared" si="27"/>
        <v>48824.56161963749</v>
      </c>
      <c r="DD23" s="298">
        <f t="shared" si="28"/>
        <v>46123.340442503169</v>
      </c>
      <c r="DE23" s="298">
        <f t="shared" si="29"/>
        <v>58445.070873289347</v>
      </c>
      <c r="DF23" s="298">
        <f t="shared" si="30"/>
        <v>81090.182852717888</v>
      </c>
      <c r="DG23" s="371">
        <f t="shared" si="31"/>
        <v>93600.007216416838</v>
      </c>
      <c r="DH23" s="372">
        <f t="shared" si="32"/>
        <v>108549.49330165573</v>
      </c>
      <c r="DI23" s="67">
        <f t="shared" si="33"/>
        <v>908509.09503282921</v>
      </c>
      <c r="DJ23" s="364">
        <f>_xll.LVCELL($E$1,Q$2,$C23,$D$2,$C$4,$C$5,$C$6,$C$7,$C$8,$D$3)+_xll.LVCELL($E$2,Q$2,$C23,$D$2,$C$4,$C$5,$C$6,$C$7,$C$8,$D$3)</f>
        <v>908509.09270499996</v>
      </c>
      <c r="DK23" s="82">
        <f t="shared" si="44"/>
        <v>2.3278292501345277E-3</v>
      </c>
      <c r="DM23" s="518">
        <f t="shared" si="34"/>
        <v>49.000005125550359</v>
      </c>
      <c r="DO23" s="64" t="str">
        <f t="shared" si="35"/>
        <v>E5130</v>
      </c>
      <c r="DP23" s="64" t="str">
        <f t="shared" si="36"/>
        <v>E5130</v>
      </c>
      <c r="DQ23" s="359" t="str">
        <f t="shared" si="37"/>
        <v>Plouguin</v>
      </c>
      <c r="DR23" s="365">
        <f>_xll.LVCELL($DP$3,DR$3,$DP23,$DQ$2,$DP$4,$DP$5,$DP$6,$DP$7,$DP$8,$DQ$3)/100</f>
        <v>0.97</v>
      </c>
      <c r="DS23" s="365">
        <f>_xll.LVCELL($DP$3,DS$3,$DP23,$DQ$2,$DP$4,$DP$5,$DP$6,$DP$7,$DP$8,$DQ$3)/100</f>
        <v>0.97</v>
      </c>
      <c r="DT23" s="365">
        <f>_xll.LVCELL($DP$3,DT$3,$DP23,$DQ$2,$DP$4,$DP$5,$DP$6,$DP$7,$DP$8,$DQ$3)/100</f>
        <v>0.97</v>
      </c>
      <c r="DU23" s="365">
        <f>_xll.LVCELL($DP$3,DU$3,$DP23,$DQ$2,$DP$4,$DP$5,$DP$6,$DP$7,$DP$8,$DQ$3)/100</f>
        <v>0.97</v>
      </c>
      <c r="DV23" s="365">
        <f>_xll.LVCELL($DP$3,DV$3,$DP23,$DQ$2,$DP$4,$DP$5,$DP$6,$DP$7,$DP$8,$DQ$3)/100</f>
        <v>0.97</v>
      </c>
      <c r="DW23" s="365">
        <f>_xll.LVCELL($DP$3,DW$3,$DP23,$DQ$2,$DP$4,$DP$5,$DP$6,$DP$7,$DP$8,$DQ$3)/100</f>
        <v>0.97</v>
      </c>
      <c r="DX23" s="365">
        <f>_xll.LVCELL($DP$3,DX$3,$DP23,$DQ$2,$DP$4,$DP$5,$DP$6,$DP$7,$DP$8,$DQ$3)/100</f>
        <v>0.97</v>
      </c>
      <c r="DY23" s="365">
        <f>_xll.LVCELL($DP$3,DY$3,$DP23,$DQ$2,$DP$4,$DP$5,$DP$6,$DP$7,$DP$8,$DQ$3)/100</f>
        <v>0.97</v>
      </c>
      <c r="DZ23" s="365">
        <f>_xll.LVCELL($DP$3,DZ$3,$DP23,$DQ$2,$DP$4,$DP$5,$DP$6,$DP$7,$DP$8,$DQ$3)/100</f>
        <v>0.97</v>
      </c>
      <c r="EA23" s="365">
        <f>_xll.LVCELL($DP$3,EA$3,$DP23,$DQ$2,$DP$4,$DP$5,$DP$6,$DP$7,$DP$8,$DQ$3)/100</f>
        <v>0.97</v>
      </c>
      <c r="EB23" s="365">
        <f>_xll.LVCELL($DP$3,EB$3,$DP23,$DQ$2,$DP$4,$DP$5,$DP$6,$DP$7,$DP$8,$DQ$3)/100</f>
        <v>0.97</v>
      </c>
      <c r="EC23" s="365">
        <f>_xll.LVCELL($DP$3,EC$3,$DP23,$DQ$2,$DP$4,$DP$5,$DP$6,$DP$7,$DP$8,$DQ$3)/100</f>
        <v>0.97</v>
      </c>
      <c r="ED23" s="582">
        <f t="shared" si="45"/>
        <v>11.64</v>
      </c>
      <c r="EF23" s="64" t="s">
        <v>421</v>
      </c>
      <c r="EG23" s="64" t="s">
        <v>421</v>
      </c>
      <c r="EH23" s="359" t="s">
        <v>288</v>
      </c>
      <c r="EI23" s="366" t="e">
        <f ca="1">_xll.LVCELL($EG$3,EI$3,$DP23,$DQ$2,$DP$4,$DP$5,$DP$6,$DP$7,$DP$8,$DQ$3)-CW23</f>
        <v>#NAME?</v>
      </c>
      <c r="EJ23" s="367" t="e">
        <f ca="1">_xll.LVCELL($EG$3,EJ$3,$DP23,$DQ$2,$DP$4,$DP$5,$DP$6,$DP$7,$DP$8,$DQ$3)-CX23</f>
        <v>#NAME?</v>
      </c>
      <c r="EK23" s="368" t="e">
        <f ca="1">_xll.LVCELL($EG$3,EK$3,$DP23,$DQ$2,$DP$4,$DP$5,$DP$6,$DP$7,$DP$8,$DQ$3)-CY23</f>
        <v>#NAME?</v>
      </c>
      <c r="EL23" s="367" t="e">
        <f ca="1">_xll.LVCELL($EG$3,EL$3,$DP23,$DQ$2,$DP$4,$DP$5,$DP$6,$DP$7,$DP$8,$DQ$3)-CZ23</f>
        <v>#NAME?</v>
      </c>
      <c r="EM23" s="368" t="e">
        <f ca="1">_xll.LVCELL($EG$3,EM$3,$DP23,$DQ$2,$DP$4,$DP$5,$DP$6,$DP$7,$DP$8,$DQ$3)-DA23</f>
        <v>#NAME?</v>
      </c>
      <c r="EN23" s="367" t="e">
        <f ca="1">_xll.LVCELL($EG$3,EN$3,$DP23,$DQ$2,$DP$4,$DP$5,$DP$6,$DP$7,$DP$8,$DQ$3)-DB23</f>
        <v>#NAME?</v>
      </c>
      <c r="EO23" s="368" t="e">
        <f ca="1">_xll.LVCELL($EG$3,EO$3,$DP23,$DQ$2,$DP$4,$DP$5,$DP$6,$DP$7,$DP$8,$DQ$3)-DC23</f>
        <v>#NAME?</v>
      </c>
      <c r="EP23" s="367" t="e">
        <f ca="1">_xll.LVCELL($EG$3,EP$3,$DP23,$DQ$2,$DP$4,$DP$5,$DP$6,$DP$7,$DP$8,$DQ$3)-DD23</f>
        <v>#NAME?</v>
      </c>
      <c r="EQ23" s="368" t="e">
        <f ca="1">_xll.LVCELL($EG$3,EQ$3,$DP23,$DQ$2,$DP$4,$DP$5,$DP$6,$DP$7,$DP$8,$DQ$3)-DE23</f>
        <v>#NAME?</v>
      </c>
      <c r="ER23" s="367" t="e">
        <f ca="1">_xll.LVCELL($EG$3,ER$3,$DP23,$DQ$2,$DP$4,$DP$5,$DP$6,$DP$7,$DP$8,$DQ$3)-DF23</f>
        <v>#NAME?</v>
      </c>
      <c r="ES23" s="368" t="e">
        <f ca="1">_xll.LVCELL($EG$3,ES$3,$DP23,$DQ$2,$DP$4,$DP$5,$DP$6,$DP$7,$DP$8,$DQ$3)-DG23</f>
        <v>#NAME?</v>
      </c>
      <c r="ET23" s="367" t="e">
        <f ca="1">_xll.LVCELL($EG$3,ET$3,$DP23,$DQ$2,$DP$4,$DP$5,$DP$6,$DP$7,$DP$8,$DQ$3)-DH23</f>
        <v>#NAME?</v>
      </c>
      <c r="EW23" s="64" t="s">
        <v>421</v>
      </c>
      <c r="EX23" s="64" t="s">
        <v>421</v>
      </c>
      <c r="EY23" s="359" t="s">
        <v>288</v>
      </c>
      <c r="EZ23" s="364">
        <f>_xll.LVCELL($EX$3,EZ$3,$DP23,$DQ$2,$DP$4,$DP$5,$DP$6,$DP$7,$DP$8,$DQ$3)</f>
        <v>8000</v>
      </c>
      <c r="FA23" s="364">
        <f>_xll.LVCELL($EX$3,FA$3,$DP23,$DQ$2,$DP$4,$DP$5,$DP$6,$DP$7,$DP$8,$DQ$3)</f>
        <v>8000</v>
      </c>
      <c r="FB23" s="364">
        <f>_xll.LVCELL($EX$3,FB$3,$DP23,$DQ$2,$DP$4,$DP$5,$DP$6,$DP$7,$DP$8,$DQ$3)</f>
        <v>8000</v>
      </c>
      <c r="FC23" s="364">
        <f>_xll.LVCELL($EX$3,FC$3,$DP23,$DQ$2,$DP$4,$DP$5,$DP$6,$DP$7,$DP$8,$DQ$3)</f>
        <v>8000</v>
      </c>
      <c r="FD23" s="364">
        <f>_xll.LVCELL($EX$3,FD$3,$DP23,$DQ$2,$DP$4,$DP$5,$DP$6,$DP$7,$DP$8,$DQ$3)</f>
        <v>8000</v>
      </c>
      <c r="FE23" s="364">
        <f>_xll.LVCELL($EX$3,FE$3,$DP23,$DQ$2,$DP$4,$DP$5,$DP$6,$DP$7,$DP$8,$DQ$3)</f>
        <v>8000</v>
      </c>
      <c r="FF23" s="364">
        <f>_xll.LVCELL($EX$3,FF$3,$DP23,$DQ$2,$DP$4,$DP$5,$DP$6,$DP$7,$DP$8,$DQ$3)</f>
        <v>8000</v>
      </c>
      <c r="FG23" s="364">
        <f>_xll.LVCELL($EX$3,FG$3,$DP23,$DQ$2,$DP$4,$DP$5,$DP$6,$DP$7,$DP$8,$DQ$3)</f>
        <v>8000</v>
      </c>
      <c r="FH23" s="364">
        <f>_xll.LVCELL($EX$3,FH$3,$DP23,$DQ$2,$DP$4,$DP$5,$DP$6,$DP$7,$DP$8,$DQ$3)</f>
        <v>8000</v>
      </c>
      <c r="FI23" s="364">
        <f>_xll.LVCELL($EX$3,FI$3,$DP23,$DQ$2,$DP$4,$DP$5,$DP$6,$DP$7,$DP$8,$DQ$3)</f>
        <v>8000</v>
      </c>
      <c r="FJ23" s="364">
        <f>_xll.LVCELL($EX$3,FJ$3,$DP23,$DQ$2,$DP$4,$DP$5,$DP$6,$DP$7,$DP$8,$DQ$3)</f>
        <v>8000</v>
      </c>
      <c r="FK23" s="276">
        <f>_xll.LVCELL($EX$3,FK$3,$DP23,$DQ$2,$DP$4,$DP$5,$DP$6,$DP$7,$DP$8,$DQ$3)</f>
        <v>8000</v>
      </c>
      <c r="FN23" s="64" t="s">
        <v>421</v>
      </c>
      <c r="FO23" s="64" t="s">
        <v>421</v>
      </c>
      <c r="FP23" s="359" t="s">
        <v>288</v>
      </c>
      <c r="FQ23" s="364">
        <f>_xll.LVCELL($FO$3,FQ$3,$DP23,$DQ$2,$DP$4,$DP$5,$DP$6,$DP$7,$DP$8,$DQ$3)</f>
        <v>4</v>
      </c>
      <c r="FR23" s="364">
        <f>_xll.LVCELL($FO$3,FR$3,$DP23,$DQ$2,$DP$4,$DP$5,$DP$6,$DP$7,$DP$8,$DQ$3)</f>
        <v>4</v>
      </c>
      <c r="FS23" s="364">
        <f>_xll.LVCELL($FO$3,FS$3,$DP23,$DQ$2,$DP$4,$DP$5,$DP$6,$DP$7,$DP$8,$DQ$3)</f>
        <v>4</v>
      </c>
      <c r="FT23" s="364">
        <f>_xll.LVCELL($FO$3,FT$3,$DP23,$DQ$2,$DP$4,$DP$5,$DP$6,$DP$7,$DP$8,$DQ$3)</f>
        <v>4</v>
      </c>
      <c r="FU23" s="364">
        <f>_xll.LVCELL($FO$3,FU$3,$DP23,$DQ$2,$DP$4,$DP$5,$DP$6,$DP$7,$DP$8,$DQ$3)</f>
        <v>4</v>
      </c>
      <c r="FV23" s="364">
        <f>_xll.LVCELL($FO$3,FV$3,$DP23,$DQ$2,$DP$4,$DP$5,$DP$6,$DP$7,$DP$8,$DQ$3)</f>
        <v>4</v>
      </c>
      <c r="FW23" s="364">
        <f>_xll.LVCELL($FO$3,FW$3,$DP23,$DQ$2,$DP$4,$DP$5,$DP$6,$DP$7,$DP$8,$DQ$3)</f>
        <v>4</v>
      </c>
      <c r="FX23" s="364">
        <f>_xll.LVCELL($FO$3,FX$3,$DP23,$DQ$2,$DP$4,$DP$5,$DP$6,$DP$7,$DP$8,$DQ$3)</f>
        <v>4</v>
      </c>
      <c r="FY23" s="364">
        <f>_xll.LVCELL($FO$3,FY$3,$DP23,$DQ$2,$DP$4,$DP$5,$DP$6,$DP$7,$DP$8,$DQ$3)</f>
        <v>4</v>
      </c>
      <c r="FZ23" s="364">
        <f>_xll.LVCELL($FO$3,FZ$3,$DP23,$DQ$2,$DP$4,$DP$5,$DP$6,$DP$7,$DP$8,$DQ$3)</f>
        <v>4</v>
      </c>
      <c r="GA23" s="364">
        <f>_xll.LVCELL($FO$3,GA$3,$DP23,$DQ$2,$DP$4,$DP$5,$DP$6,$DP$7,$DP$8,$DQ$3)</f>
        <v>4</v>
      </c>
      <c r="GB23" s="172">
        <f>_xll.LVCELL($FO$3,GB$3,$DP23,$DQ$2,$DP$4,$DP$5,$DP$6,$DP$7,$DP$8,$DQ$3)</f>
        <v>4</v>
      </c>
    </row>
    <row r="24" spans="2:184" ht="15">
      <c r="B24" s="64" t="s">
        <v>423</v>
      </c>
      <c r="C24" s="64" t="s">
        <v>423</v>
      </c>
      <c r="D24" s="359" t="s">
        <v>289</v>
      </c>
      <c r="E24" s="357">
        <f>_xll.LVCELL($C$3,Q$3,$C24,$D$2,$C$4,$C$5,$C$6,$C$7,$C$8,$D$3)/1000</f>
        <v>13.8</v>
      </c>
      <c r="F24" s="103">
        <f>'distribution mensuelle Prod B22'!$P$36</f>
        <v>3029489.2570452476</v>
      </c>
      <c r="G24" s="103">
        <f>'distribution mensuelle Prod B22'!$P$37</f>
        <v>2754845.1190877734</v>
      </c>
      <c r="H24" s="103">
        <f>'distribution mensuelle Prod B22'!$P$38</f>
        <v>2824499.0755503979</v>
      </c>
      <c r="I24" s="103">
        <f>'distribution mensuelle Prod B22'!$P$39</f>
        <v>2615055.7068853616</v>
      </c>
      <c r="J24" s="103">
        <f>'distribution mensuelle Prod B22'!$P$40</f>
        <v>2300875.0329951341</v>
      </c>
      <c r="K24" s="103">
        <f>'distribution mensuelle Prod B22'!$P$41</f>
        <v>1953797.0569019767</v>
      </c>
      <c r="L24" s="103">
        <f>'distribution mensuelle Prod B22'!$P$42</f>
        <v>1895929.5165684675</v>
      </c>
      <c r="M24" s="103">
        <f>'distribution mensuelle Prod B22'!$P$43</f>
        <v>1751357.4938299942</v>
      </c>
      <c r="N24" s="103">
        <f>'distribution mensuelle Prod B22'!$P$44</f>
        <v>2078392.1077935835</v>
      </c>
      <c r="O24" s="103">
        <f>'distribution mensuelle Prod B22'!$P$45</f>
        <v>2495076.2575692018</v>
      </c>
      <c r="P24" s="103">
        <f>'distribution mensuelle Prod B22'!$P$46</f>
        <v>2926195.3032459649</v>
      </c>
      <c r="Q24" s="103">
        <f>'distribution mensuelle Prod B22'!$P$47</f>
        <v>3035962.6311977156</v>
      </c>
      <c r="R24" s="67">
        <f t="shared" si="1"/>
        <v>29661474.558670823</v>
      </c>
      <c r="S24" s="358"/>
      <c r="W24" s="113" t="str">
        <f t="shared" si="2"/>
        <v>E5140</v>
      </c>
      <c r="X24" s="359" t="str">
        <f t="shared" si="3"/>
        <v>La Citadelle</v>
      </c>
      <c r="Y24" s="299" cm="1">
        <f t="array" ref="Y24">_xll.LVCELL($D$4,F$1,$B24,$D$2,$C$4,$C$5,$C$6,$C$7,$C$8,$D$3)*1000</f>
        <v>96.542480999999995</v>
      </c>
      <c r="Z24" s="299" cm="1">
        <f t="array" ref="Z24">_xll.LVCELL($D$4,G$1,$B24,$D$2,$C$4,$C$5,$C$6,$C$7,$C$8,$D$3)*1000</f>
        <v>96.538478999999995</v>
      </c>
      <c r="AA24" s="299" cm="1">
        <f t="array" ref="AA24">_xll.LVCELL($D$4,H$1,$B24,$D$2,$C$4,$C$5,$C$6,$C$7,$C$8,$D$3)*1000</f>
        <v>96.540632499795535</v>
      </c>
      <c r="AB24" s="299" cm="1">
        <f t="array" ref="AB24">_xll.LVCELL($D$4,I$1,$B24,$D$2,$C$4,$C$5,$C$6,$C$7,$C$8,$D$3)*1000</f>
        <v>96.541019877752404</v>
      </c>
      <c r="AC24" s="299" cm="1">
        <f t="array" ref="AC24">_xll.LVCELL($D$4,J$1,$B24,$D$2,$C$4,$C$5,$C$6,$C$7,$C$8,$D$3)*1000</f>
        <v>96.540952907558164</v>
      </c>
      <c r="AD24" s="299" cm="1">
        <f t="array" ref="AD24">_xll.LVCELL($D$4,K$1,$B24,$D$2,$C$4,$C$5,$C$6,$C$7,$C$8,$D$3)*1000</f>
        <v>96.539675456046723</v>
      </c>
      <c r="AE24" s="299" cm="1">
        <f t="array" ref="AE24">_xll.LVCELL($D$4,L$1,$B24,$D$2,$C$4,$C$5,$C$6,$C$7,$C$8,$D$3)*1000</f>
        <v>96.541232258064525</v>
      </c>
      <c r="AF24" s="299">
        <f>$AD$24</f>
        <v>96.539675456046723</v>
      </c>
      <c r="AG24" s="299">
        <f t="shared" ref="AG24:AH83" si="53">AF24</f>
        <v>96.539675456046723</v>
      </c>
      <c r="AH24" s="299">
        <f>AG24</f>
        <v>96.539675456046723</v>
      </c>
      <c r="AI24" s="299">
        <f t="shared" ref="AI24:AI83" si="54">$AH24+($AH24*$AL$9)</f>
        <v>98.760087991535798</v>
      </c>
      <c r="AJ24" s="412">
        <f t="shared" ref="AJ24:AJ82" si="55">AI24</f>
        <v>98.760087991535798</v>
      </c>
      <c r="AK24" s="67"/>
      <c r="AL24" s="134">
        <f t="shared" si="4"/>
        <v>2.3E-2</v>
      </c>
      <c r="AM24" s="134"/>
      <c r="AN24" s="134"/>
      <c r="AO24" s="134"/>
      <c r="AP24" s="113" t="str">
        <f t="shared" si="38"/>
        <v>E5140</v>
      </c>
      <c r="AQ24" s="568" t="str">
        <f t="shared" si="39"/>
        <v>La Citadelle</v>
      </c>
      <c r="AR24" s="377"/>
      <c r="AS24" s="377"/>
      <c r="AT24" s="377"/>
      <c r="AU24" s="377"/>
      <c r="AV24" s="377"/>
      <c r="AW24" s="377"/>
      <c r="AX24" s="377"/>
      <c r="AY24" s="377"/>
      <c r="AZ24" s="377"/>
      <c r="BA24" s="377"/>
      <c r="BB24" s="377"/>
      <c r="BC24" s="378"/>
      <c r="BD24" s="414"/>
      <c r="BE24" s="134"/>
      <c r="BF24" s="134"/>
      <c r="BG24" s="134"/>
      <c r="BH24" s="134"/>
      <c r="BI24" s="113" t="str">
        <f t="shared" si="40"/>
        <v>E5140</v>
      </c>
      <c r="BJ24" s="568" t="str">
        <f t="shared" si="41"/>
        <v>La Citadelle</v>
      </c>
      <c r="BK24" s="299">
        <f t="shared" si="49"/>
        <v>98.760087991535798</v>
      </c>
      <c r="BL24" s="299">
        <f t="shared" si="50"/>
        <v>98.760087991535798</v>
      </c>
      <c r="BM24" s="299">
        <f t="shared" si="50"/>
        <v>98.760087991535798</v>
      </c>
      <c r="BN24" s="299">
        <f t="shared" si="50"/>
        <v>98.760087991535798</v>
      </c>
      <c r="BO24" s="299">
        <f t="shared" si="50"/>
        <v>98.760087991535798</v>
      </c>
      <c r="BP24" s="299">
        <f t="shared" si="50"/>
        <v>98.760087991535798</v>
      </c>
      <c r="BQ24" s="411">
        <v>54.92</v>
      </c>
      <c r="BR24" s="411">
        <v>52.49</v>
      </c>
      <c r="BS24" s="411">
        <v>50.314999999999998</v>
      </c>
      <c r="BT24" s="411">
        <v>52.564999999999998</v>
      </c>
      <c r="BU24" s="411">
        <v>57.79</v>
      </c>
      <c r="BV24" s="412">
        <v>62.370000000000005</v>
      </c>
      <c r="BW24" s="413" t="s">
        <v>3564</v>
      </c>
      <c r="BX24" s="134"/>
      <c r="BY24" s="134"/>
      <c r="BZ24" s="134"/>
      <c r="CA24" s="134"/>
      <c r="CB24" s="113" t="str">
        <f t="shared" si="5"/>
        <v>E5140</v>
      </c>
      <c r="CC24" s="373" t="str">
        <f t="shared" si="6"/>
        <v>La Citadelle</v>
      </c>
      <c r="CD24" s="299">
        <f t="shared" si="43"/>
        <v>98.760087991535798</v>
      </c>
      <c r="CE24" s="299">
        <f t="shared" si="7"/>
        <v>98.760087991535798</v>
      </c>
      <c r="CF24" s="299">
        <f t="shared" si="8"/>
        <v>98.760087991535798</v>
      </c>
      <c r="CG24" s="299">
        <f t="shared" si="9"/>
        <v>98.760087991535798</v>
      </c>
      <c r="CH24" s="299">
        <f t="shared" si="10"/>
        <v>98.760087991535798</v>
      </c>
      <c r="CI24" s="299">
        <f t="shared" si="11"/>
        <v>98.760087991535798</v>
      </c>
      <c r="CJ24" s="299">
        <f t="shared" si="12"/>
        <v>54.92</v>
      </c>
      <c r="CK24" s="299">
        <f t="shared" si="13"/>
        <v>52.49</v>
      </c>
      <c r="CL24" s="299">
        <f t="shared" si="14"/>
        <v>50.314999999999998</v>
      </c>
      <c r="CM24" s="299">
        <f t="shared" si="15"/>
        <v>52.564999999999998</v>
      </c>
      <c r="CN24" s="299">
        <f t="shared" si="16"/>
        <v>57.79</v>
      </c>
      <c r="CO24" s="370">
        <f t="shared" si="17"/>
        <v>62.370000000000005</v>
      </c>
      <c r="CP24" s="414"/>
      <c r="CQ24" s="134">
        <f t="shared" si="18"/>
        <v>4.0000000000000001E-3</v>
      </c>
      <c r="CU24" s="113" t="str">
        <f t="shared" si="19"/>
        <v>E5140</v>
      </c>
      <c r="CV24" s="359" t="str">
        <f t="shared" si="20"/>
        <v>La Citadelle</v>
      </c>
      <c r="CW24" s="300">
        <f t="shared" si="21"/>
        <v>299192.62559520104</v>
      </c>
      <c r="CX24" s="298">
        <f t="shared" si="22"/>
        <v>272068.74636416143</v>
      </c>
      <c r="CY24" s="298">
        <f t="shared" si="23"/>
        <v>278947.77723336878</v>
      </c>
      <c r="CZ24" s="298">
        <f t="shared" si="24"/>
        <v>258263.13171476615</v>
      </c>
      <c r="DA24" s="298">
        <f t="shared" si="25"/>
        <v>227234.62071612728</v>
      </c>
      <c r="DB24" s="298">
        <f t="shared" si="26"/>
        <v>192957.16925724287</v>
      </c>
      <c r="DC24" s="298">
        <f t="shared" si="27"/>
        <v>104124.44904994025</v>
      </c>
      <c r="DD24" s="298">
        <f t="shared" si="28"/>
        <v>91928.7548511364</v>
      </c>
      <c r="DE24" s="298">
        <f t="shared" si="29"/>
        <v>104574.29890363415</v>
      </c>
      <c r="DF24" s="298">
        <f t="shared" si="30"/>
        <v>131153.68347912509</v>
      </c>
      <c r="DG24" s="371">
        <f t="shared" si="31"/>
        <v>169104.82657458432</v>
      </c>
      <c r="DH24" s="372">
        <f t="shared" si="32"/>
        <v>189352.98930780153</v>
      </c>
      <c r="DI24" s="67">
        <f t="shared" si="33"/>
        <v>2318903.0730470894</v>
      </c>
      <c r="DJ24" s="364">
        <f>_xll.LVCELL($E$1,Q$2,$C24,$D$2,$C$4,$C$5,$C$6,$C$7,$C$8,$D$3)+_xll.LVCELL($E$2,Q$2,$C24,$D$2,$C$4,$C$5,$C$6,$C$7,$C$8,$D$3)</f>
        <v>2318903.0357833682</v>
      </c>
      <c r="DK24" s="82">
        <f t="shared" si="44"/>
        <v>3.7263721227645874E-2</v>
      </c>
      <c r="DM24" s="518">
        <f t="shared" si="34"/>
        <v>78.178954605249515</v>
      </c>
      <c r="DO24" s="64" t="str">
        <f t="shared" si="35"/>
        <v>E5140</v>
      </c>
      <c r="DP24" s="64" t="str">
        <f t="shared" si="36"/>
        <v>E5140</v>
      </c>
      <c r="DQ24" s="359" t="str">
        <f t="shared" si="37"/>
        <v>La Citadelle</v>
      </c>
      <c r="DR24" s="365">
        <f>_xll.LVCELL($DP$3,DR$3,$DP24,$DQ$2,$DP$4,$DP$5,$DP$6,$DP$7,$DP$8,$DQ$3)/100</f>
        <v>0.97</v>
      </c>
      <c r="DS24" s="365">
        <f>_xll.LVCELL($DP$3,DS$3,$DP24,$DQ$2,$DP$4,$DP$5,$DP$6,$DP$7,$DP$8,$DQ$3)/100</f>
        <v>0.97</v>
      </c>
      <c r="DT24" s="365">
        <f>_xll.LVCELL($DP$3,DT$3,$DP24,$DQ$2,$DP$4,$DP$5,$DP$6,$DP$7,$DP$8,$DQ$3)/100</f>
        <v>0.97</v>
      </c>
      <c r="DU24" s="365">
        <f>_xll.LVCELL($DP$3,DU$3,$DP24,$DQ$2,$DP$4,$DP$5,$DP$6,$DP$7,$DP$8,$DQ$3)/100</f>
        <v>0.97</v>
      </c>
      <c r="DV24" s="365">
        <f>_xll.LVCELL($DP$3,DV$3,$DP24,$DQ$2,$DP$4,$DP$5,$DP$6,$DP$7,$DP$8,$DQ$3)/100</f>
        <v>0.97</v>
      </c>
      <c r="DW24" s="365">
        <f>_xll.LVCELL($DP$3,DW$3,$DP24,$DQ$2,$DP$4,$DP$5,$DP$6,$DP$7,$DP$8,$DQ$3)/100</f>
        <v>0.97</v>
      </c>
      <c r="DX24" s="365">
        <f>_xll.LVCELL($DP$3,DX$3,$DP24,$DQ$2,$DP$4,$DP$5,$DP$6,$DP$7,$DP$8,$DQ$3)/100</f>
        <v>0.97</v>
      </c>
      <c r="DY24" s="365">
        <f>_xll.LVCELL($DP$3,DY$3,$DP24,$DQ$2,$DP$4,$DP$5,$DP$6,$DP$7,$DP$8,$DQ$3)/100</f>
        <v>0.97</v>
      </c>
      <c r="DZ24" s="365">
        <f>_xll.LVCELL($DP$3,DZ$3,$DP24,$DQ$2,$DP$4,$DP$5,$DP$6,$DP$7,$DP$8,$DQ$3)/100</f>
        <v>0.97</v>
      </c>
      <c r="EA24" s="365">
        <f>_xll.LVCELL($DP$3,EA$3,$DP24,$DQ$2,$DP$4,$DP$5,$DP$6,$DP$7,$DP$8,$DQ$3)/100</f>
        <v>0.97</v>
      </c>
      <c r="EB24" s="365">
        <f>_xll.LVCELL($DP$3,EB$3,$DP24,$DQ$2,$DP$4,$DP$5,$DP$6,$DP$7,$DP$8,$DQ$3)/100</f>
        <v>0.97</v>
      </c>
      <c r="EC24" s="365">
        <f>_xll.LVCELL($DP$3,EC$3,$DP24,$DQ$2,$DP$4,$DP$5,$DP$6,$DP$7,$DP$8,$DQ$3)/100</f>
        <v>0.97</v>
      </c>
      <c r="ED24" s="582">
        <f t="shared" si="45"/>
        <v>11.64</v>
      </c>
      <c r="EF24" s="64" t="s">
        <v>423</v>
      </c>
      <c r="EG24" s="64" t="s">
        <v>423</v>
      </c>
      <c r="EH24" s="359" t="s">
        <v>289</v>
      </c>
      <c r="EI24" s="366" t="e">
        <f ca="1">_xll.LVCELL($EG$3,EI$3,$DP24,$DQ$2,$DP$4,$DP$5,$DP$6,$DP$7,$DP$8,$DQ$3)-CW24</f>
        <v>#NAME?</v>
      </c>
      <c r="EJ24" s="367" t="e">
        <f ca="1">_xll.LVCELL($EG$3,EJ$3,$DP24,$DQ$2,$DP$4,$DP$5,$DP$6,$DP$7,$DP$8,$DQ$3)-CX24</f>
        <v>#NAME?</v>
      </c>
      <c r="EK24" s="368" t="e">
        <f ca="1">_xll.LVCELL($EG$3,EK$3,$DP24,$DQ$2,$DP$4,$DP$5,$DP$6,$DP$7,$DP$8,$DQ$3)-CY24</f>
        <v>#NAME?</v>
      </c>
      <c r="EL24" s="367" t="e">
        <f ca="1">_xll.LVCELL($EG$3,EL$3,$DP24,$DQ$2,$DP$4,$DP$5,$DP$6,$DP$7,$DP$8,$DQ$3)-CZ24</f>
        <v>#NAME?</v>
      </c>
      <c r="EM24" s="368" t="e">
        <f ca="1">_xll.LVCELL($EG$3,EM$3,$DP24,$DQ$2,$DP$4,$DP$5,$DP$6,$DP$7,$DP$8,$DQ$3)-DA24</f>
        <v>#NAME?</v>
      </c>
      <c r="EN24" s="367" t="e">
        <f ca="1">_xll.LVCELL($EG$3,EN$3,$DP24,$DQ$2,$DP$4,$DP$5,$DP$6,$DP$7,$DP$8,$DQ$3)-DB24</f>
        <v>#NAME?</v>
      </c>
      <c r="EO24" s="368" t="e">
        <f ca="1">_xll.LVCELL($EG$3,EO$3,$DP24,$DQ$2,$DP$4,$DP$5,$DP$6,$DP$7,$DP$8,$DQ$3)-DC24</f>
        <v>#NAME?</v>
      </c>
      <c r="EP24" s="367" t="e">
        <f ca="1">_xll.LVCELL($EG$3,EP$3,$DP24,$DQ$2,$DP$4,$DP$5,$DP$6,$DP$7,$DP$8,$DQ$3)-DD24</f>
        <v>#NAME?</v>
      </c>
      <c r="EQ24" s="368" t="e">
        <f ca="1">_xll.LVCELL($EG$3,EQ$3,$DP24,$DQ$2,$DP$4,$DP$5,$DP$6,$DP$7,$DP$8,$DQ$3)-DE24</f>
        <v>#NAME?</v>
      </c>
      <c r="ER24" s="367" t="e">
        <f ca="1">_xll.LVCELL($EG$3,ER$3,$DP24,$DQ$2,$DP$4,$DP$5,$DP$6,$DP$7,$DP$8,$DQ$3)-DF24</f>
        <v>#NAME?</v>
      </c>
      <c r="ES24" s="368" t="e">
        <f ca="1">_xll.LVCELL($EG$3,ES$3,$DP24,$DQ$2,$DP$4,$DP$5,$DP$6,$DP$7,$DP$8,$DQ$3)-DG24</f>
        <v>#NAME?</v>
      </c>
      <c r="ET24" s="367" t="e">
        <f ca="1">_xll.LVCELL($EG$3,ET$3,$DP24,$DQ$2,$DP$4,$DP$5,$DP$6,$DP$7,$DP$8,$DQ$3)-DH24</f>
        <v>#NAME?</v>
      </c>
      <c r="EW24" s="64" t="s">
        <v>423</v>
      </c>
      <c r="EX24" s="64" t="s">
        <v>423</v>
      </c>
      <c r="EY24" s="359" t="s">
        <v>289</v>
      </c>
      <c r="EZ24" s="364">
        <f>_xll.LVCELL($EX$3,EZ$3,$DP24,$DQ$2,$DP$4,$DP$5,$DP$6,$DP$7,$DP$8,$DQ$3)</f>
        <v>13800</v>
      </c>
      <c r="FA24" s="364">
        <f>_xll.LVCELL($EX$3,FA$3,$DP24,$DQ$2,$DP$4,$DP$5,$DP$6,$DP$7,$DP$8,$DQ$3)</f>
        <v>13800</v>
      </c>
      <c r="FB24" s="364">
        <f>_xll.LVCELL($EX$3,FB$3,$DP24,$DQ$2,$DP$4,$DP$5,$DP$6,$DP$7,$DP$8,$DQ$3)</f>
        <v>13800</v>
      </c>
      <c r="FC24" s="364">
        <f>_xll.LVCELL($EX$3,FC$3,$DP24,$DQ$2,$DP$4,$DP$5,$DP$6,$DP$7,$DP$8,$DQ$3)</f>
        <v>13800</v>
      </c>
      <c r="FD24" s="364">
        <f>_xll.LVCELL($EX$3,FD$3,$DP24,$DQ$2,$DP$4,$DP$5,$DP$6,$DP$7,$DP$8,$DQ$3)</f>
        <v>13800</v>
      </c>
      <c r="FE24" s="364">
        <f>_xll.LVCELL($EX$3,FE$3,$DP24,$DQ$2,$DP$4,$DP$5,$DP$6,$DP$7,$DP$8,$DQ$3)</f>
        <v>13800</v>
      </c>
      <c r="FF24" s="364">
        <f>_xll.LVCELL($EX$3,FF$3,$DP24,$DQ$2,$DP$4,$DP$5,$DP$6,$DP$7,$DP$8,$DQ$3)</f>
        <v>13800</v>
      </c>
      <c r="FG24" s="364">
        <f>_xll.LVCELL($EX$3,FG$3,$DP24,$DQ$2,$DP$4,$DP$5,$DP$6,$DP$7,$DP$8,$DQ$3)</f>
        <v>13800</v>
      </c>
      <c r="FH24" s="364">
        <f>_xll.LVCELL($EX$3,FH$3,$DP24,$DQ$2,$DP$4,$DP$5,$DP$6,$DP$7,$DP$8,$DQ$3)</f>
        <v>13800</v>
      </c>
      <c r="FI24" s="364">
        <f>_xll.LVCELL($EX$3,FI$3,$DP24,$DQ$2,$DP$4,$DP$5,$DP$6,$DP$7,$DP$8,$DQ$3)</f>
        <v>13800</v>
      </c>
      <c r="FJ24" s="364">
        <f>_xll.LVCELL($EX$3,FJ$3,$DP24,$DQ$2,$DP$4,$DP$5,$DP$6,$DP$7,$DP$8,$DQ$3)</f>
        <v>13800</v>
      </c>
      <c r="FK24" s="276">
        <f>_xll.LVCELL($EX$3,FK$3,$DP24,$DQ$2,$DP$4,$DP$5,$DP$6,$DP$7,$DP$8,$DQ$3)</f>
        <v>13800</v>
      </c>
      <c r="FN24" s="64" t="s">
        <v>423</v>
      </c>
      <c r="FO24" s="64" t="s">
        <v>423</v>
      </c>
      <c r="FP24" s="359" t="s">
        <v>289</v>
      </c>
      <c r="FQ24" s="364">
        <f>_xll.LVCELL($FO$3,FQ$3,$DP24,$DQ$2,$DP$4,$DP$5,$DP$6,$DP$7,$DP$8,$DQ$3)</f>
        <v>6</v>
      </c>
      <c r="FR24" s="364">
        <f>_xll.LVCELL($FO$3,FR$3,$DP24,$DQ$2,$DP$4,$DP$5,$DP$6,$DP$7,$DP$8,$DQ$3)</f>
        <v>6</v>
      </c>
      <c r="FS24" s="364">
        <f>_xll.LVCELL($FO$3,FS$3,$DP24,$DQ$2,$DP$4,$DP$5,$DP$6,$DP$7,$DP$8,$DQ$3)</f>
        <v>6</v>
      </c>
      <c r="FT24" s="364">
        <f>_xll.LVCELL($FO$3,FT$3,$DP24,$DQ$2,$DP$4,$DP$5,$DP$6,$DP$7,$DP$8,$DQ$3)</f>
        <v>6</v>
      </c>
      <c r="FU24" s="364">
        <f>_xll.LVCELL($FO$3,FU$3,$DP24,$DQ$2,$DP$4,$DP$5,$DP$6,$DP$7,$DP$8,$DQ$3)</f>
        <v>6</v>
      </c>
      <c r="FV24" s="364">
        <f>_xll.LVCELL($FO$3,FV$3,$DP24,$DQ$2,$DP$4,$DP$5,$DP$6,$DP$7,$DP$8,$DQ$3)</f>
        <v>6</v>
      </c>
      <c r="FW24" s="364">
        <f>_xll.LVCELL($FO$3,FW$3,$DP24,$DQ$2,$DP$4,$DP$5,$DP$6,$DP$7,$DP$8,$DQ$3)</f>
        <v>6</v>
      </c>
      <c r="FX24" s="364">
        <f>_xll.LVCELL($FO$3,FX$3,$DP24,$DQ$2,$DP$4,$DP$5,$DP$6,$DP$7,$DP$8,$DQ$3)</f>
        <v>6</v>
      </c>
      <c r="FY24" s="364">
        <f>_xll.LVCELL($FO$3,FY$3,$DP24,$DQ$2,$DP$4,$DP$5,$DP$6,$DP$7,$DP$8,$DQ$3)</f>
        <v>6</v>
      </c>
      <c r="FZ24" s="364">
        <f>_xll.LVCELL($FO$3,FZ$3,$DP24,$DQ$2,$DP$4,$DP$5,$DP$6,$DP$7,$DP$8,$DQ$3)</f>
        <v>6</v>
      </c>
      <c r="GA24" s="364">
        <f>_xll.LVCELL($FO$3,GA$3,$DP24,$DQ$2,$DP$4,$DP$5,$DP$6,$DP$7,$DP$8,$DQ$3)</f>
        <v>6</v>
      </c>
      <c r="GB24" s="172">
        <f>_xll.LVCELL($FO$3,GB$3,$DP24,$DQ$2,$DP$4,$DP$5,$DP$6,$DP$7,$DP$8,$DQ$3)</f>
        <v>6</v>
      </c>
    </row>
    <row r="25" spans="2:184" ht="15">
      <c r="B25" s="64" t="s">
        <v>425</v>
      </c>
      <c r="C25" s="64" t="s">
        <v>425</v>
      </c>
      <c r="D25" s="359" t="s">
        <v>296</v>
      </c>
      <c r="E25" s="357">
        <f>_xll.LVCELL($C$3,Q$3,$C25,$D$2,$C$4,$C$5,$C$6,$C$7,$C$8,$D$3)/1000</f>
        <v>9.1999999999999993</v>
      </c>
      <c r="F25" s="103">
        <f>'distribution mensuelle Prod B22'!$Q$36</f>
        <v>2549737.4423878733</v>
      </c>
      <c r="G25" s="103">
        <f>'distribution mensuelle Prod B22'!$Q$37</f>
        <v>2016894.776894005</v>
      </c>
      <c r="H25" s="103">
        <f>'distribution mensuelle Prod B22'!$Q$38</f>
        <v>1850604.8695742099</v>
      </c>
      <c r="I25" s="103">
        <f>'distribution mensuelle Prod B22'!$Q$39</f>
        <v>1324301.1043841643</v>
      </c>
      <c r="J25" s="103">
        <f>'distribution mensuelle Prod B22'!$Q$40</f>
        <v>1263474.1385259526</v>
      </c>
      <c r="K25" s="103">
        <f>'distribution mensuelle Prod B22'!$Q$41</f>
        <v>983094.85708494834</v>
      </c>
      <c r="L25" s="103">
        <f>'distribution mensuelle Prod B22'!$Q$42</f>
        <v>1017873.687300463</v>
      </c>
      <c r="M25" s="103">
        <f>'distribution mensuelle Prod B22'!$Q$43</f>
        <v>1027918.6955305443</v>
      </c>
      <c r="N25" s="103">
        <f>'distribution mensuelle Prod B22'!$Q$44</f>
        <v>1246047.2499465947</v>
      </c>
      <c r="O25" s="103">
        <f>'distribution mensuelle Prod B22'!$Q$45</f>
        <v>1893798.4049635602</v>
      </c>
      <c r="P25" s="103">
        <f>'distribution mensuelle Prod B22'!$Q$46</f>
        <v>2010115.9404798816</v>
      </c>
      <c r="Q25" s="103">
        <f>'distribution mensuelle Prod B22'!$Q$47</f>
        <v>2416138.8329277909</v>
      </c>
      <c r="R25" s="67">
        <f t="shared" si="1"/>
        <v>19599999.999999985</v>
      </c>
      <c r="S25" s="358"/>
      <c r="W25" s="113" t="str">
        <f t="shared" si="2"/>
        <v>E5160</v>
      </c>
      <c r="X25" s="359" t="str">
        <f t="shared" si="3"/>
        <v>Chasse Marée</v>
      </c>
      <c r="Y25" s="299" cm="1">
        <f t="array" ref="Y25">_xll.LVCELL($D$4,F$1,$B25,$D$2,$C$4,$C$5,$C$6,$C$7,$C$8,$D$3)*1000</f>
        <v>96.429718999999992</v>
      </c>
      <c r="Z25" s="299" cm="1">
        <f t="array" ref="Z25">_xll.LVCELL($D$4,G$1,$B25,$D$2,$C$4,$C$5,$C$6,$C$7,$C$8,$D$3)*1000</f>
        <v>96.429695999999993</v>
      </c>
      <c r="AA25" s="299" cm="1">
        <f t="array" ref="AA25">_xll.LVCELL($D$4,H$1,$B25,$D$2,$C$4,$C$5,$C$6,$C$7,$C$8,$D$3)*1000</f>
        <v>96.4301825461921</v>
      </c>
      <c r="AB25" s="299" cm="1">
        <f t="array" ref="AB25">_xll.LVCELL($D$4,I$1,$B25,$D$2,$C$4,$C$5,$C$6,$C$7,$C$8,$D$3)*1000</f>
        <v>96.426359849666895</v>
      </c>
      <c r="AC25" s="299" cm="1">
        <f t="array" ref="AC25">_xll.LVCELL($D$4,J$1,$B25,$D$2,$C$4,$C$5,$C$6,$C$7,$C$8,$D$3)*1000</f>
        <v>96.432101827157723</v>
      </c>
      <c r="AD25" s="299" cm="1">
        <f t="array" ref="AD25">_xll.LVCELL($D$4,K$1,$B25,$D$2,$C$4,$C$5,$C$6,$C$7,$C$8,$D$3)*1000</f>
        <v>96.415445599468214</v>
      </c>
      <c r="AE25" s="299" cm="1">
        <f t="array" ref="AE25">_xll.LVCELL($D$4,L$1,$B25,$D$2,$C$4,$C$5,$C$6,$C$7,$C$8,$D$3)*1000</f>
        <v>96.432097517326227</v>
      </c>
      <c r="AF25" s="299">
        <f>$AD$25</f>
        <v>96.415445599468214</v>
      </c>
      <c r="AG25" s="299">
        <f t="shared" si="53"/>
        <v>96.415445599468214</v>
      </c>
      <c r="AH25" s="299">
        <f t="shared" si="53"/>
        <v>96.415445599468214</v>
      </c>
      <c r="AI25" s="299">
        <f t="shared" si="54"/>
        <v>98.633000848255989</v>
      </c>
      <c r="AJ25" s="412">
        <f t="shared" si="55"/>
        <v>98.633000848255989</v>
      </c>
      <c r="AK25" s="67"/>
      <c r="AL25" s="134">
        <f t="shared" si="4"/>
        <v>2.3E-2</v>
      </c>
      <c r="AM25" s="134"/>
      <c r="AN25" s="134"/>
      <c r="AO25" s="134"/>
      <c r="AP25" s="113" t="str">
        <f t="shared" si="38"/>
        <v>E5160</v>
      </c>
      <c r="AQ25" s="567" t="str">
        <f t="shared" si="39"/>
        <v>Chasse Marée</v>
      </c>
      <c r="AR25" s="377"/>
      <c r="AS25" s="377"/>
      <c r="AT25" s="377"/>
      <c r="AU25" s="377"/>
      <c r="AV25" s="377"/>
      <c r="AW25" s="377"/>
      <c r="AX25" s="377"/>
      <c r="AY25" s="377"/>
      <c r="AZ25" s="377"/>
      <c r="BA25" s="377"/>
      <c r="BB25" s="377"/>
      <c r="BC25" s="378"/>
      <c r="BD25" s="414"/>
      <c r="BE25" s="134"/>
      <c r="BF25" s="134"/>
      <c r="BG25" s="134"/>
      <c r="BH25" s="134"/>
      <c r="BI25" s="113" t="str">
        <f t="shared" si="40"/>
        <v>E5160</v>
      </c>
      <c r="BJ25" s="567" t="str">
        <f t="shared" si="41"/>
        <v>Chasse Marée</v>
      </c>
      <c r="BK25" s="299">
        <f t="shared" si="49"/>
        <v>98.633000848255989</v>
      </c>
      <c r="BL25" s="299">
        <f t="shared" ref="BL25:BT34" si="56">$AJ25</f>
        <v>98.633000848255989</v>
      </c>
      <c r="BM25" s="299">
        <f t="shared" si="56"/>
        <v>98.633000848255989</v>
      </c>
      <c r="BN25" s="299">
        <f t="shared" si="56"/>
        <v>98.633000848255989</v>
      </c>
      <c r="BO25" s="299">
        <f t="shared" si="56"/>
        <v>98.633000848255989</v>
      </c>
      <c r="BP25" s="299">
        <f t="shared" si="56"/>
        <v>98.633000848255989</v>
      </c>
      <c r="BQ25" s="299">
        <f t="shared" si="56"/>
        <v>98.633000848255989</v>
      </c>
      <c r="BR25" s="299">
        <f t="shared" si="56"/>
        <v>98.633000848255989</v>
      </c>
      <c r="BS25" s="299">
        <f t="shared" si="56"/>
        <v>98.633000848255989</v>
      </c>
      <c r="BT25" s="299">
        <f t="shared" si="56"/>
        <v>98.633000848255989</v>
      </c>
      <c r="BU25" s="299">
        <f t="shared" ref="BU25:BU56" si="57">$BT25+($BT25*$BX$9)</f>
        <v>100.90155986776588</v>
      </c>
      <c r="BV25" s="370">
        <f t="shared" ref="BV25:BV56" si="58">BU25</f>
        <v>100.90155986776588</v>
      </c>
      <c r="BW25" s="414"/>
      <c r="BX25" s="134"/>
      <c r="BY25" s="134"/>
      <c r="BZ25" s="134"/>
      <c r="CA25" s="134"/>
      <c r="CB25" s="113" t="str">
        <f t="shared" si="5"/>
        <v>E5160</v>
      </c>
      <c r="CC25" s="373" t="str">
        <f t="shared" si="6"/>
        <v>Chasse Marée</v>
      </c>
      <c r="CD25" s="299">
        <f t="shared" si="43"/>
        <v>98.633000848255989</v>
      </c>
      <c r="CE25" s="299">
        <f t="shared" si="7"/>
        <v>98.633000848255989</v>
      </c>
      <c r="CF25" s="299">
        <f t="shared" si="8"/>
        <v>98.633000848255989</v>
      </c>
      <c r="CG25" s="299">
        <f t="shared" si="9"/>
        <v>98.633000848255989</v>
      </c>
      <c r="CH25" s="299">
        <f t="shared" si="10"/>
        <v>98.633000848255989</v>
      </c>
      <c r="CI25" s="299">
        <f t="shared" si="11"/>
        <v>98.633000848255989</v>
      </c>
      <c r="CJ25" s="299">
        <f t="shared" si="12"/>
        <v>98.633000848255989</v>
      </c>
      <c r="CK25" s="299">
        <f t="shared" si="13"/>
        <v>98.633000848255989</v>
      </c>
      <c r="CL25" s="299">
        <f t="shared" si="14"/>
        <v>98.633000848255989</v>
      </c>
      <c r="CM25" s="299">
        <f t="shared" si="15"/>
        <v>98.633000848255989</v>
      </c>
      <c r="CN25" s="299">
        <f t="shared" si="16"/>
        <v>100.90155986776588</v>
      </c>
      <c r="CO25" s="370">
        <f t="shared" si="17"/>
        <v>100.90155986776588</v>
      </c>
      <c r="CP25" s="414"/>
      <c r="CQ25" s="134">
        <f t="shared" si="18"/>
        <v>4.0000000000000001E-3</v>
      </c>
      <c r="CU25" s="113" t="str">
        <f t="shared" si="19"/>
        <v>E5160</v>
      </c>
      <c r="CV25" s="359" t="str">
        <f t="shared" si="20"/>
        <v>Chasse Marée</v>
      </c>
      <c r="CW25" s="300">
        <f t="shared" si="21"/>
        <v>251488.25531787318</v>
      </c>
      <c r="CX25" s="298">
        <f t="shared" si="22"/>
        <v>198932.38424022947</v>
      </c>
      <c r="CY25" s="298">
        <f t="shared" si="23"/>
        <v>182530.7116704997</v>
      </c>
      <c r="CZ25" s="298">
        <f t="shared" si="24"/>
        <v>130619.79195206963</v>
      </c>
      <c r="DA25" s="298">
        <f t="shared" si="25"/>
        <v>124620.24577697979</v>
      </c>
      <c r="DB25" s="298">
        <f t="shared" si="26"/>
        <v>96965.595872775812</v>
      </c>
      <c r="DC25" s="298">
        <f t="shared" si="27"/>
        <v>100395.93626292402</v>
      </c>
      <c r="DD25" s="298">
        <f t="shared" si="28"/>
        <v>101386.70556820236</v>
      </c>
      <c r="DE25" s="298">
        <f t="shared" si="29"/>
        <v>122901.37946094952</v>
      </c>
      <c r="DF25" s="298">
        <f t="shared" si="30"/>
        <v>186791.01968319668</v>
      </c>
      <c r="DG25" s="371">
        <f t="shared" si="31"/>
        <v>202823.8339094813</v>
      </c>
      <c r="DH25" s="372">
        <f t="shared" si="32"/>
        <v>243792.17709949749</v>
      </c>
      <c r="DI25" s="67">
        <f t="shared" si="33"/>
        <v>1943248.0368146789</v>
      </c>
      <c r="DJ25" s="364">
        <f>_xll.LVCELL($E$1,Q$2,$C25,$D$2,$C$4,$C$5,$C$6,$C$7,$C$8,$D$3)+_xll.LVCELL($E$2,Q$2,$C25,$D$2,$C$4,$C$5,$C$6,$C$7,$C$8,$D$3)</f>
        <v>1943248.0402165451</v>
      </c>
      <c r="DK25" s="82">
        <f t="shared" si="44"/>
        <v>-3.4018661826848984E-3</v>
      </c>
      <c r="DM25" s="518">
        <f t="shared" si="34"/>
        <v>99.145308000748997</v>
      </c>
      <c r="DO25" s="64" t="str">
        <f t="shared" si="35"/>
        <v>E5160</v>
      </c>
      <c r="DP25" s="64" t="str">
        <f t="shared" si="36"/>
        <v>E5160</v>
      </c>
      <c r="DQ25" s="359" t="str">
        <f t="shared" si="37"/>
        <v>Chasse Marée</v>
      </c>
      <c r="DR25" s="365">
        <f>_xll.LVCELL($DP$3,DR$3,$DP25,$DQ$2,$DP$4,$DP$5,$DP$6,$DP$7,$DP$8,$DQ$3)/100</f>
        <v>0.97</v>
      </c>
      <c r="DS25" s="365">
        <f>_xll.LVCELL($DP$3,DS$3,$DP25,$DQ$2,$DP$4,$DP$5,$DP$6,$DP$7,$DP$8,$DQ$3)/100</f>
        <v>0.97</v>
      </c>
      <c r="DT25" s="365">
        <f>_xll.LVCELL($DP$3,DT$3,$DP25,$DQ$2,$DP$4,$DP$5,$DP$6,$DP$7,$DP$8,$DQ$3)/100</f>
        <v>0.97</v>
      </c>
      <c r="DU25" s="365">
        <f>_xll.LVCELL($DP$3,DU$3,$DP25,$DQ$2,$DP$4,$DP$5,$DP$6,$DP$7,$DP$8,$DQ$3)/100</f>
        <v>0.97</v>
      </c>
      <c r="DV25" s="365">
        <f>_xll.LVCELL($DP$3,DV$3,$DP25,$DQ$2,$DP$4,$DP$5,$DP$6,$DP$7,$DP$8,$DQ$3)/100</f>
        <v>0.97</v>
      </c>
      <c r="DW25" s="365">
        <f>_xll.LVCELL($DP$3,DW$3,$DP25,$DQ$2,$DP$4,$DP$5,$DP$6,$DP$7,$DP$8,$DQ$3)/100</f>
        <v>0.97</v>
      </c>
      <c r="DX25" s="365">
        <f>_xll.LVCELL($DP$3,DX$3,$DP25,$DQ$2,$DP$4,$DP$5,$DP$6,$DP$7,$DP$8,$DQ$3)/100</f>
        <v>0.97</v>
      </c>
      <c r="DY25" s="365">
        <f>_xll.LVCELL($DP$3,DY$3,$DP25,$DQ$2,$DP$4,$DP$5,$DP$6,$DP$7,$DP$8,$DQ$3)/100</f>
        <v>0.97</v>
      </c>
      <c r="DZ25" s="365">
        <f>_xll.LVCELL($DP$3,DZ$3,$DP25,$DQ$2,$DP$4,$DP$5,$DP$6,$DP$7,$DP$8,$DQ$3)/100</f>
        <v>0.97</v>
      </c>
      <c r="EA25" s="365">
        <f>_xll.LVCELL($DP$3,EA$3,$DP25,$DQ$2,$DP$4,$DP$5,$DP$6,$DP$7,$DP$8,$DQ$3)/100</f>
        <v>0.97</v>
      </c>
      <c r="EB25" s="365">
        <f>_xll.LVCELL($DP$3,EB$3,$DP25,$DQ$2,$DP$4,$DP$5,$DP$6,$DP$7,$DP$8,$DQ$3)/100</f>
        <v>0.97</v>
      </c>
      <c r="EC25" s="365">
        <f>_xll.LVCELL($DP$3,EC$3,$DP25,$DQ$2,$DP$4,$DP$5,$DP$6,$DP$7,$DP$8,$DQ$3)/100</f>
        <v>0.97</v>
      </c>
      <c r="ED25" s="582">
        <f t="shared" si="45"/>
        <v>11.64</v>
      </c>
      <c r="EF25" s="64" t="s">
        <v>425</v>
      </c>
      <c r="EG25" s="64" t="s">
        <v>425</v>
      </c>
      <c r="EH25" s="359" t="s">
        <v>296</v>
      </c>
      <c r="EI25" s="366" t="e">
        <f ca="1">_xll.LVCELL($EG$3,EI$3,$DP25,$DQ$2,$DP$4,$DP$5,$DP$6,$DP$7,$DP$8,$DQ$3)-CW25</f>
        <v>#NAME?</v>
      </c>
      <c r="EJ25" s="367" t="e">
        <f ca="1">_xll.LVCELL($EG$3,EJ$3,$DP25,$DQ$2,$DP$4,$DP$5,$DP$6,$DP$7,$DP$8,$DQ$3)-CX25</f>
        <v>#NAME?</v>
      </c>
      <c r="EK25" s="368" t="e">
        <f ca="1">_xll.LVCELL($EG$3,EK$3,$DP25,$DQ$2,$DP$4,$DP$5,$DP$6,$DP$7,$DP$8,$DQ$3)-CY25</f>
        <v>#NAME?</v>
      </c>
      <c r="EL25" s="367" t="e">
        <f ca="1">_xll.LVCELL($EG$3,EL$3,$DP25,$DQ$2,$DP$4,$DP$5,$DP$6,$DP$7,$DP$8,$DQ$3)-CZ25</f>
        <v>#NAME?</v>
      </c>
      <c r="EM25" s="368" t="e">
        <f ca="1">_xll.LVCELL($EG$3,EM$3,$DP25,$DQ$2,$DP$4,$DP$5,$DP$6,$DP$7,$DP$8,$DQ$3)-DA25</f>
        <v>#NAME?</v>
      </c>
      <c r="EN25" s="367" t="e">
        <f ca="1">_xll.LVCELL($EG$3,EN$3,$DP25,$DQ$2,$DP$4,$DP$5,$DP$6,$DP$7,$DP$8,$DQ$3)-DB25</f>
        <v>#NAME?</v>
      </c>
      <c r="EO25" s="368" t="e">
        <f ca="1">_xll.LVCELL($EG$3,EO$3,$DP25,$DQ$2,$DP$4,$DP$5,$DP$6,$DP$7,$DP$8,$DQ$3)-DC25</f>
        <v>#NAME?</v>
      </c>
      <c r="EP25" s="367" t="e">
        <f ca="1">_xll.LVCELL($EG$3,EP$3,$DP25,$DQ$2,$DP$4,$DP$5,$DP$6,$DP$7,$DP$8,$DQ$3)-DD25</f>
        <v>#NAME?</v>
      </c>
      <c r="EQ25" s="368" t="e">
        <f ca="1">_xll.LVCELL($EG$3,EQ$3,$DP25,$DQ$2,$DP$4,$DP$5,$DP$6,$DP$7,$DP$8,$DQ$3)-DE25</f>
        <v>#NAME?</v>
      </c>
      <c r="ER25" s="367" t="e">
        <f ca="1">_xll.LVCELL($EG$3,ER$3,$DP25,$DQ$2,$DP$4,$DP$5,$DP$6,$DP$7,$DP$8,$DQ$3)-DF25</f>
        <v>#NAME?</v>
      </c>
      <c r="ES25" s="368" t="e">
        <f ca="1">_xll.LVCELL($EG$3,ES$3,$DP25,$DQ$2,$DP$4,$DP$5,$DP$6,$DP$7,$DP$8,$DQ$3)-DG25</f>
        <v>#NAME?</v>
      </c>
      <c r="ET25" s="367" t="e">
        <f ca="1">_xll.LVCELL($EG$3,ET$3,$DP25,$DQ$2,$DP$4,$DP$5,$DP$6,$DP$7,$DP$8,$DQ$3)-DH25</f>
        <v>#NAME?</v>
      </c>
      <c r="EW25" s="64" t="s">
        <v>425</v>
      </c>
      <c r="EX25" s="64" t="s">
        <v>425</v>
      </c>
      <c r="EY25" s="359" t="s">
        <v>296</v>
      </c>
      <c r="EZ25" s="364">
        <f>_xll.LVCELL($EX$3,EZ$3,$DP25,$DQ$2,$DP$4,$DP$5,$DP$6,$DP$7,$DP$8,$DQ$3)</f>
        <v>9200</v>
      </c>
      <c r="FA25" s="364">
        <f>_xll.LVCELL($EX$3,FA$3,$DP25,$DQ$2,$DP$4,$DP$5,$DP$6,$DP$7,$DP$8,$DQ$3)</f>
        <v>9200</v>
      </c>
      <c r="FB25" s="364">
        <f>_xll.LVCELL($EX$3,FB$3,$DP25,$DQ$2,$DP$4,$DP$5,$DP$6,$DP$7,$DP$8,$DQ$3)</f>
        <v>9200</v>
      </c>
      <c r="FC25" s="364">
        <f>_xll.LVCELL($EX$3,FC$3,$DP25,$DQ$2,$DP$4,$DP$5,$DP$6,$DP$7,$DP$8,$DQ$3)</f>
        <v>9200</v>
      </c>
      <c r="FD25" s="364">
        <f>_xll.LVCELL($EX$3,FD$3,$DP25,$DQ$2,$DP$4,$DP$5,$DP$6,$DP$7,$DP$8,$DQ$3)</f>
        <v>9200</v>
      </c>
      <c r="FE25" s="364">
        <f>_xll.LVCELL($EX$3,FE$3,$DP25,$DQ$2,$DP$4,$DP$5,$DP$6,$DP$7,$DP$8,$DQ$3)</f>
        <v>9200</v>
      </c>
      <c r="FF25" s="364">
        <f>_xll.LVCELL($EX$3,FF$3,$DP25,$DQ$2,$DP$4,$DP$5,$DP$6,$DP$7,$DP$8,$DQ$3)</f>
        <v>9200</v>
      </c>
      <c r="FG25" s="364">
        <f>_xll.LVCELL($EX$3,FG$3,$DP25,$DQ$2,$DP$4,$DP$5,$DP$6,$DP$7,$DP$8,$DQ$3)</f>
        <v>9200</v>
      </c>
      <c r="FH25" s="364">
        <f>_xll.LVCELL($EX$3,FH$3,$DP25,$DQ$2,$DP$4,$DP$5,$DP$6,$DP$7,$DP$8,$DQ$3)</f>
        <v>9200</v>
      </c>
      <c r="FI25" s="364">
        <f>_xll.LVCELL($EX$3,FI$3,$DP25,$DQ$2,$DP$4,$DP$5,$DP$6,$DP$7,$DP$8,$DQ$3)</f>
        <v>9200</v>
      </c>
      <c r="FJ25" s="364">
        <f>_xll.LVCELL($EX$3,FJ$3,$DP25,$DQ$2,$DP$4,$DP$5,$DP$6,$DP$7,$DP$8,$DQ$3)</f>
        <v>9200</v>
      </c>
      <c r="FK25" s="276">
        <f>_xll.LVCELL($EX$3,FK$3,$DP25,$DQ$2,$DP$4,$DP$5,$DP$6,$DP$7,$DP$8,$DQ$3)</f>
        <v>9200</v>
      </c>
      <c r="FN25" s="64" t="s">
        <v>425</v>
      </c>
      <c r="FO25" s="64" t="s">
        <v>425</v>
      </c>
      <c r="FP25" s="359" t="s">
        <v>296</v>
      </c>
      <c r="FQ25" s="364">
        <f>_xll.LVCELL($FO$3,FQ$3,$DP25,$DQ$2,$DP$4,$DP$5,$DP$6,$DP$7,$DP$8,$DQ$3)</f>
        <v>4</v>
      </c>
      <c r="FR25" s="364">
        <f>_xll.LVCELL($FO$3,FR$3,$DP25,$DQ$2,$DP$4,$DP$5,$DP$6,$DP$7,$DP$8,$DQ$3)</f>
        <v>4</v>
      </c>
      <c r="FS25" s="364">
        <f>_xll.LVCELL($FO$3,FS$3,$DP25,$DQ$2,$DP$4,$DP$5,$DP$6,$DP$7,$DP$8,$DQ$3)</f>
        <v>4</v>
      </c>
      <c r="FT25" s="364">
        <f>_xll.LVCELL($FO$3,FT$3,$DP25,$DQ$2,$DP$4,$DP$5,$DP$6,$DP$7,$DP$8,$DQ$3)</f>
        <v>4</v>
      </c>
      <c r="FU25" s="364">
        <f>_xll.LVCELL($FO$3,FU$3,$DP25,$DQ$2,$DP$4,$DP$5,$DP$6,$DP$7,$DP$8,$DQ$3)</f>
        <v>4</v>
      </c>
      <c r="FV25" s="364">
        <f>_xll.LVCELL($FO$3,FV$3,$DP25,$DQ$2,$DP$4,$DP$5,$DP$6,$DP$7,$DP$8,$DQ$3)</f>
        <v>4</v>
      </c>
      <c r="FW25" s="364">
        <f>_xll.LVCELL($FO$3,FW$3,$DP25,$DQ$2,$DP$4,$DP$5,$DP$6,$DP$7,$DP$8,$DQ$3)</f>
        <v>4</v>
      </c>
      <c r="FX25" s="364">
        <f>_xll.LVCELL($FO$3,FX$3,$DP25,$DQ$2,$DP$4,$DP$5,$DP$6,$DP$7,$DP$8,$DQ$3)</f>
        <v>4</v>
      </c>
      <c r="FY25" s="364">
        <f>_xll.LVCELL($FO$3,FY$3,$DP25,$DQ$2,$DP$4,$DP$5,$DP$6,$DP$7,$DP$8,$DQ$3)</f>
        <v>4</v>
      </c>
      <c r="FZ25" s="364">
        <f>_xll.LVCELL($FO$3,FZ$3,$DP25,$DQ$2,$DP$4,$DP$5,$DP$6,$DP$7,$DP$8,$DQ$3)</f>
        <v>4</v>
      </c>
      <c r="GA25" s="364">
        <f>_xll.LVCELL($FO$3,GA$3,$DP25,$DQ$2,$DP$4,$DP$5,$DP$6,$DP$7,$DP$8,$DQ$3)</f>
        <v>4</v>
      </c>
      <c r="GB25" s="172">
        <f>_xll.LVCELL($FO$3,GB$3,$DP25,$DQ$2,$DP$4,$DP$5,$DP$6,$DP$7,$DP$8,$DQ$3)</f>
        <v>4</v>
      </c>
    </row>
    <row r="26" spans="2:184" ht="15">
      <c r="B26" s="64" t="s">
        <v>427</v>
      </c>
      <c r="C26" s="64" t="s">
        <v>427</v>
      </c>
      <c r="D26" s="71" t="s">
        <v>347</v>
      </c>
      <c r="E26" s="357">
        <v>12</v>
      </c>
      <c r="F26" s="103">
        <f>'distribution mensuelle Prod B22'!$R$36</f>
        <v>3175036.3728609509</v>
      </c>
      <c r="G26" s="103">
        <f>'distribution mensuelle Prod B22'!$R$37</f>
        <v>2596132.2425277969</v>
      </c>
      <c r="H26" s="103">
        <f>'distribution mensuelle Prod B22'!$R$38</f>
        <v>2439693.3361136266</v>
      </c>
      <c r="I26" s="103">
        <f>'distribution mensuelle Prod B22'!$R$39</f>
        <v>1858427.6121936592</v>
      </c>
      <c r="J26" s="103">
        <f>'distribution mensuelle Prod B22'!$R$40</f>
        <v>1780173.608602894</v>
      </c>
      <c r="K26" s="103">
        <f>'distribution mensuelle Prod B22'!$R$41</f>
        <v>1339247.9232638616</v>
      </c>
      <c r="L26" s="103">
        <f>'distribution mensuelle Prod B22'!$R$42</f>
        <v>1309496.8399455606</v>
      </c>
      <c r="M26" s="103">
        <f>'distribution mensuelle Prod B22'!$R$43</f>
        <v>1305920.2687551554</v>
      </c>
      <c r="N26" s="103">
        <f>'distribution mensuelle Prod B22'!$R$44</f>
        <v>1647986.7782807809</v>
      </c>
      <c r="O26" s="103">
        <f>'distribution mensuelle Prod B22'!$R$45</f>
        <v>2466875.2771607065</v>
      </c>
      <c r="P26" s="103">
        <f>'distribution mensuelle Prod B22'!$R$46</f>
        <v>2526438.8119499986</v>
      </c>
      <c r="Q26" s="103">
        <f>'distribution mensuelle Prod B22'!$R$47</f>
        <v>3048425.7527206037</v>
      </c>
      <c r="R26" s="67">
        <f t="shared" si="1"/>
        <v>25493854.824375592</v>
      </c>
      <c r="S26" s="358"/>
      <c r="W26" s="113" t="str">
        <f t="shared" si="2"/>
        <v>E5170</v>
      </c>
      <c r="X26" s="359" t="str">
        <f t="shared" si="3"/>
        <v>Ronchois 1</v>
      </c>
      <c r="Y26" s="299" cm="1">
        <f t="array" ref="Y26">_xll.LVCELL($D$4,F$1,$B26,$D$2,$C$4,$C$5,$C$6,$C$7,$C$8,$D$3)*1000</f>
        <v>96.524766999999997</v>
      </c>
      <c r="Z26" s="299" cm="1">
        <f t="array" ref="Z26">_xll.LVCELL($D$4,G$1,$B26,$D$2,$C$4,$C$5,$C$6,$C$7,$C$8,$D$3)*1000</f>
        <v>96.525542999999999</v>
      </c>
      <c r="AA26" s="299" cm="1">
        <f t="array" ref="AA26">_xll.LVCELL($D$4,H$1,$B26,$D$2,$C$4,$C$5,$C$6,$C$7,$C$8,$D$3)*1000</f>
        <v>96.527202849095588</v>
      </c>
      <c r="AB26" s="299" cm="1">
        <f t="array" ref="AB26">_xll.LVCELL($D$4,I$1,$B26,$D$2,$C$4,$C$5,$C$6,$C$7,$C$8,$D$3)*1000</f>
        <v>96.514432615514906</v>
      </c>
      <c r="AC26" s="299" cm="1">
        <f t="array" ref="AC26">_xll.LVCELL($D$4,J$1,$B26,$D$2,$C$4,$C$5,$C$6,$C$7,$C$8,$D$3)*1000</f>
        <v>96.52914949791699</v>
      </c>
      <c r="AD26" s="299" cm="1">
        <f t="array" ref="AD26">_xll.LVCELL($D$4,K$1,$B26,$D$2,$C$4,$C$5,$C$6,$C$7,$C$8,$D$3)*1000</f>
        <v>96.509021662244095</v>
      </c>
      <c r="AE26" s="299" cm="1">
        <f t="array" ref="AE26">_xll.LVCELL($D$4,L$1,$B26,$D$2,$C$4,$C$5,$C$6,$C$7,$C$8,$D$3)*1000</f>
        <v>96.526299160826326</v>
      </c>
      <c r="AF26" s="299">
        <v>96.59</v>
      </c>
      <c r="AG26" s="299">
        <f t="shared" si="53"/>
        <v>96.59</v>
      </c>
      <c r="AH26" s="299">
        <f t="shared" si="53"/>
        <v>96.59</v>
      </c>
      <c r="AI26" s="299">
        <f t="shared" si="54"/>
        <v>98.811570000000003</v>
      </c>
      <c r="AJ26" s="412">
        <f t="shared" si="55"/>
        <v>98.811570000000003</v>
      </c>
      <c r="AK26" s="153"/>
      <c r="AL26" s="134">
        <f t="shared" si="4"/>
        <v>2.3E-2</v>
      </c>
      <c r="AM26" s="134"/>
      <c r="AN26" s="134"/>
      <c r="AO26" s="134"/>
      <c r="AP26" s="113" t="str">
        <f t="shared" si="38"/>
        <v>E5170</v>
      </c>
      <c r="AQ26" s="567" t="str">
        <f t="shared" si="39"/>
        <v>Ronchois 1</v>
      </c>
      <c r="AR26" s="377"/>
      <c r="AS26" s="377"/>
      <c r="AT26" s="377"/>
      <c r="AU26" s="377"/>
      <c r="AV26" s="377"/>
      <c r="AW26" s="377"/>
      <c r="AX26" s="377"/>
      <c r="AY26" s="377"/>
      <c r="AZ26" s="377"/>
      <c r="BA26" s="377"/>
      <c r="BB26" s="377"/>
      <c r="BC26" s="378"/>
      <c r="BD26" s="552"/>
      <c r="BE26" s="134"/>
      <c r="BF26" s="134"/>
      <c r="BG26" s="134"/>
      <c r="BH26" s="134"/>
      <c r="BI26" s="113" t="str">
        <f t="shared" si="40"/>
        <v>E5170</v>
      </c>
      <c r="BJ26" s="567" t="str">
        <f t="shared" si="41"/>
        <v>Ronchois 1</v>
      </c>
      <c r="BK26" s="299">
        <f t="shared" si="49"/>
        <v>98.811570000000003</v>
      </c>
      <c r="BL26" s="299">
        <f t="shared" si="56"/>
        <v>98.811570000000003</v>
      </c>
      <c r="BM26" s="299">
        <f t="shared" si="56"/>
        <v>98.811570000000003</v>
      </c>
      <c r="BN26" s="299">
        <f t="shared" si="56"/>
        <v>98.811570000000003</v>
      </c>
      <c r="BO26" s="299">
        <f t="shared" si="56"/>
        <v>98.811570000000003</v>
      </c>
      <c r="BP26" s="299">
        <f t="shared" si="56"/>
        <v>98.811570000000003</v>
      </c>
      <c r="BQ26" s="299">
        <f t="shared" si="56"/>
        <v>98.811570000000003</v>
      </c>
      <c r="BR26" s="299">
        <f t="shared" si="56"/>
        <v>98.811570000000003</v>
      </c>
      <c r="BS26" s="299">
        <f t="shared" si="56"/>
        <v>98.811570000000003</v>
      </c>
      <c r="BT26" s="299">
        <f t="shared" si="56"/>
        <v>98.811570000000003</v>
      </c>
      <c r="BU26" s="299">
        <f t="shared" si="57"/>
        <v>101.08423611000001</v>
      </c>
      <c r="BV26" s="370">
        <f t="shared" si="58"/>
        <v>101.08423611000001</v>
      </c>
      <c r="BW26" s="552"/>
      <c r="BX26" s="134"/>
      <c r="BY26" s="134"/>
      <c r="BZ26" s="134"/>
      <c r="CA26" s="134"/>
      <c r="CB26" s="113" t="str">
        <f t="shared" si="5"/>
        <v>E5170</v>
      </c>
      <c r="CC26" s="306" t="str">
        <f t="shared" si="6"/>
        <v>Ronchois 1</v>
      </c>
      <c r="CD26" s="299">
        <f t="shared" si="43"/>
        <v>98.811570000000003</v>
      </c>
      <c r="CE26" s="299">
        <f t="shared" si="7"/>
        <v>98.811570000000003</v>
      </c>
      <c r="CF26" s="299">
        <f t="shared" si="8"/>
        <v>98.811570000000003</v>
      </c>
      <c r="CG26" s="299">
        <f t="shared" si="9"/>
        <v>98.811570000000003</v>
      </c>
      <c r="CH26" s="299">
        <f t="shared" si="10"/>
        <v>98.811570000000003</v>
      </c>
      <c r="CI26" s="299">
        <f t="shared" si="11"/>
        <v>98.811570000000003</v>
      </c>
      <c r="CJ26" s="299">
        <f t="shared" si="12"/>
        <v>98.811570000000003</v>
      </c>
      <c r="CK26" s="299">
        <f t="shared" si="13"/>
        <v>98.811570000000003</v>
      </c>
      <c r="CL26" s="299">
        <f t="shared" si="14"/>
        <v>98.811570000000003</v>
      </c>
      <c r="CM26" s="299">
        <f t="shared" si="15"/>
        <v>98.811570000000003</v>
      </c>
      <c r="CN26" s="299">
        <f t="shared" si="16"/>
        <v>101.08423611000001</v>
      </c>
      <c r="CO26" s="370">
        <f t="shared" si="17"/>
        <v>101.08423611000001</v>
      </c>
      <c r="CP26" s="552"/>
      <c r="CQ26" s="134">
        <f t="shared" si="18"/>
        <v>4.0000000000000001E-3</v>
      </c>
      <c r="CU26" s="113" t="str">
        <f t="shared" si="19"/>
        <v>E5170</v>
      </c>
      <c r="CV26" s="71" t="str">
        <f t="shared" si="20"/>
        <v>Ronchois 1</v>
      </c>
      <c r="CW26" s="300">
        <f t="shared" si="21"/>
        <v>313730.32880949596</v>
      </c>
      <c r="CX26" s="298">
        <f t="shared" si="22"/>
        <v>256527.90281179239</v>
      </c>
      <c r="CY26" s="298">
        <f t="shared" si="23"/>
        <v>241069.92885992516</v>
      </c>
      <c r="CZ26" s="298">
        <f t="shared" si="24"/>
        <v>183634.1500922066</v>
      </c>
      <c r="DA26" s="298">
        <f t="shared" si="25"/>
        <v>175901.74913861745</v>
      </c>
      <c r="DB26" s="298">
        <f t="shared" si="26"/>
        <v>132333.18991694169</v>
      </c>
      <c r="DC26" s="298">
        <f t="shared" si="27"/>
        <v>129393.43866505956</v>
      </c>
      <c r="DD26" s="298">
        <f t="shared" si="28"/>
        <v>129040.03205051886</v>
      </c>
      <c r="DE26" s="298">
        <f t="shared" si="29"/>
        <v>162840.16090116586</v>
      </c>
      <c r="DF26" s="298">
        <f t="shared" si="30"/>
        <v>243755.81913043454</v>
      </c>
      <c r="DG26" s="371">
        <f t="shared" si="31"/>
        <v>255383.13738462154</v>
      </c>
      <c r="DH26" s="372">
        <f t="shared" si="32"/>
        <v>308147.78855181398</v>
      </c>
      <c r="DI26" s="67">
        <f t="shared" si="33"/>
        <v>2531757.6263125935</v>
      </c>
      <c r="DJ26" s="364">
        <f>_xll.LVCELL($E$1,Q$2,$C26,$D$2,$C$4,$C$5,$C$6,$C$7,$C$8,$D$3)+_xll.LVCELL($E$2,Q$2,$C26,$D$2,$C$4,$C$5,$C$6,$C$7,$C$8,$D$3)</f>
        <v>6237624.9097689604</v>
      </c>
      <c r="DK26" s="82">
        <f t="shared" si="44"/>
        <v>-3705867.283456367</v>
      </c>
      <c r="DM26" s="518">
        <f t="shared" si="34"/>
        <v>99.308544892626003</v>
      </c>
      <c r="DO26" s="64" t="str">
        <f t="shared" si="35"/>
        <v>E5170</v>
      </c>
      <c r="DP26" s="64" t="str">
        <f t="shared" si="36"/>
        <v>E5170</v>
      </c>
      <c r="DQ26" s="71" t="str">
        <f t="shared" si="37"/>
        <v>Ronchois 1</v>
      </c>
      <c r="DR26" s="365">
        <f>_xll.LVCELL($DP$3,DR$3,$DP26,$DQ$2,$DP$4,$DP$5,$DP$6,$DP$7,$DP$8,$DQ$3)/100</f>
        <v>0.97</v>
      </c>
      <c r="DS26" s="365">
        <f>_xll.LVCELL($DP$3,DS$3,$DP26,$DQ$2,$DP$4,$DP$5,$DP$6,$DP$7,$DP$8,$DQ$3)/100</f>
        <v>0.97</v>
      </c>
      <c r="DT26" s="365">
        <f>_xll.LVCELL($DP$3,DT$3,$DP26,$DQ$2,$DP$4,$DP$5,$DP$6,$DP$7,$DP$8,$DQ$3)/100</f>
        <v>0.97</v>
      </c>
      <c r="DU26" s="365">
        <f>_xll.LVCELL($DP$3,DU$3,$DP26,$DQ$2,$DP$4,$DP$5,$DP$6,$DP$7,$DP$8,$DQ$3)/100</f>
        <v>0.97</v>
      </c>
      <c r="DV26" s="365">
        <f>_xll.LVCELL($DP$3,DV$3,$DP26,$DQ$2,$DP$4,$DP$5,$DP$6,$DP$7,$DP$8,$DQ$3)/100</f>
        <v>0.97</v>
      </c>
      <c r="DW26" s="365">
        <f>_xll.LVCELL($DP$3,DW$3,$DP26,$DQ$2,$DP$4,$DP$5,$DP$6,$DP$7,$DP$8,$DQ$3)/100</f>
        <v>0.97</v>
      </c>
      <c r="DX26" s="365">
        <f>_xll.LVCELL($DP$3,DX$3,$DP26,$DQ$2,$DP$4,$DP$5,$DP$6,$DP$7,$DP$8,$DQ$3)/100</f>
        <v>0.97</v>
      </c>
      <c r="DY26" s="365">
        <f>_xll.LVCELL($DP$3,DY$3,$DP26,$DQ$2,$DP$4,$DP$5,$DP$6,$DP$7,$DP$8,$DQ$3)/100</f>
        <v>0.97</v>
      </c>
      <c r="DZ26" s="365">
        <f>_xll.LVCELL($DP$3,DZ$3,$DP26,$DQ$2,$DP$4,$DP$5,$DP$6,$DP$7,$DP$8,$DQ$3)/100</f>
        <v>0.97</v>
      </c>
      <c r="EA26" s="365">
        <f>_xll.LVCELL($DP$3,EA$3,$DP26,$DQ$2,$DP$4,$DP$5,$DP$6,$DP$7,$DP$8,$DQ$3)/100</f>
        <v>0.97</v>
      </c>
      <c r="EB26" s="365">
        <f>_xll.LVCELL($DP$3,EB$3,$DP26,$DQ$2,$DP$4,$DP$5,$DP$6,$DP$7,$DP$8,$DQ$3)/100</f>
        <v>0.97</v>
      </c>
      <c r="EC26" s="365">
        <f>_xll.LVCELL($DP$3,EC$3,$DP26,$DQ$2,$DP$4,$DP$5,$DP$6,$DP$7,$DP$8,$DQ$3)/100</f>
        <v>0.97</v>
      </c>
      <c r="ED26" s="582">
        <f t="shared" si="45"/>
        <v>11.64</v>
      </c>
      <c r="EF26" s="64" t="s">
        <v>427</v>
      </c>
      <c r="EG26" s="64" t="s">
        <v>427</v>
      </c>
      <c r="EH26" s="71" t="s">
        <v>2631</v>
      </c>
      <c r="EI26" s="366" t="e">
        <f ca="1">_xll.LVCELL($EG$3,EI$3,$DP26,$DQ$2,$DP$4,$DP$5,$DP$6,$DP$7,$DP$8,$DQ$3)-CW26-CW27-CW28</f>
        <v>#NAME?</v>
      </c>
      <c r="EJ26" s="367" t="e">
        <f ca="1">_xll.LVCELL($EG$3,EJ$3,$DP26,$DQ$2,$DP$4,$DP$5,$DP$6,$DP$7,$DP$8,$DQ$3)-CX26-CX27-CX28</f>
        <v>#NAME?</v>
      </c>
      <c r="EK26" s="368" t="e">
        <f ca="1">_xll.LVCELL($EG$3,EK$3,$DP26,$DQ$2,$DP$4,$DP$5,$DP$6,$DP$7,$DP$8,$DQ$3)-CY26-CY27-CY28</f>
        <v>#NAME?</v>
      </c>
      <c r="EL26" s="367" t="e">
        <f ca="1">_xll.LVCELL($EG$3,EL$3,$DP26,$DQ$2,$DP$4,$DP$5,$DP$6,$DP$7,$DP$8,$DQ$3)-CZ26-CZ27-CZ28</f>
        <v>#NAME?</v>
      </c>
      <c r="EM26" s="368" t="e">
        <f ca="1">_xll.LVCELL($EG$3,EM$3,$DP26,$DQ$2,$DP$4,$DP$5,$DP$6,$DP$7,$DP$8,$DQ$3)-DA26-DA27-DA28</f>
        <v>#NAME?</v>
      </c>
      <c r="EN26" s="367" t="e">
        <f ca="1">_xll.LVCELL($EG$3,EN$3,$DP26,$DQ$2,$DP$4,$DP$5,$DP$6,$DP$7,$DP$8,$DQ$3)-DB26-DB27-DB28</f>
        <v>#NAME?</v>
      </c>
      <c r="EO26" s="368" t="e">
        <f ca="1">_xll.LVCELL($EG$3,EO$3,$DP26,$DQ$2,$DP$4,$DP$5,$DP$6,$DP$7,$DP$8,$DQ$3)-DC26-DC27-DC28</f>
        <v>#NAME?</v>
      </c>
      <c r="EP26" s="367" t="e">
        <f ca="1">_xll.LVCELL($EG$3,EP$3,$DP26,$DQ$2,$DP$4,$DP$5,$DP$6,$DP$7,$DP$8,$DQ$3)-DD26-DD27-DD28</f>
        <v>#NAME?</v>
      </c>
      <c r="EQ26" s="368" t="e">
        <f ca="1">_xll.LVCELL($EG$3,EQ$3,$DP26,$DQ$2,$DP$4,$DP$5,$DP$6,$DP$7,$DP$8,$DQ$3)-DE26-DE27-DE28</f>
        <v>#NAME?</v>
      </c>
      <c r="ER26" s="367" t="e">
        <f ca="1">_xll.LVCELL($EG$3,ER$3,$DP26,$DQ$2,$DP$4,$DP$5,$DP$6,$DP$7,$DP$8,$DQ$3)-DF26-DF27-DF28</f>
        <v>#NAME?</v>
      </c>
      <c r="ES26" s="368" t="e">
        <f ca="1">_xll.LVCELL($EG$3,ES$3,$DP26,$DQ$2,$DP$4,$DP$5,$DP$6,$DP$7,$DP$8,$DQ$3)-DG26-DG27-DG28</f>
        <v>#NAME?</v>
      </c>
      <c r="ET26" s="367" t="e">
        <f ca="1">_xll.LVCELL($EG$3,ET$3,$DP26,$DQ$2,$DP$4,$DP$5,$DP$6,$DP$7,$DP$8,$DQ$3)-DH26-DH27-DH28</f>
        <v>#NAME?</v>
      </c>
      <c r="EW26" s="64" t="s">
        <v>427</v>
      </c>
      <c r="EX26" s="64" t="s">
        <v>427</v>
      </c>
      <c r="EY26" s="71" t="s">
        <v>2631</v>
      </c>
      <c r="EZ26" s="364">
        <f>_xll.LVCELL($EX$3,EZ$3,$DP26,$DQ$2,$DP$4,$DP$5,$DP$6,$DP$7,$DP$8,$DQ$3)</f>
        <v>30000</v>
      </c>
      <c r="FA26" s="364">
        <f>_xll.LVCELL($EX$3,FA$3,$DP26,$DQ$2,$DP$4,$DP$5,$DP$6,$DP$7,$DP$8,$DQ$3)</f>
        <v>30000</v>
      </c>
      <c r="FB26" s="364">
        <f>_xll.LVCELL($EX$3,FB$3,$DP26,$DQ$2,$DP$4,$DP$5,$DP$6,$DP$7,$DP$8,$DQ$3)</f>
        <v>30000</v>
      </c>
      <c r="FC26" s="364">
        <f>_xll.LVCELL($EX$3,FC$3,$DP26,$DQ$2,$DP$4,$DP$5,$DP$6,$DP$7,$DP$8,$DQ$3)</f>
        <v>30000</v>
      </c>
      <c r="FD26" s="364">
        <f>_xll.LVCELL($EX$3,FD$3,$DP26,$DQ$2,$DP$4,$DP$5,$DP$6,$DP$7,$DP$8,$DQ$3)</f>
        <v>30000</v>
      </c>
      <c r="FE26" s="364">
        <f>_xll.LVCELL($EX$3,FE$3,$DP26,$DQ$2,$DP$4,$DP$5,$DP$6,$DP$7,$DP$8,$DQ$3)</f>
        <v>30000</v>
      </c>
      <c r="FF26" s="364">
        <f>_xll.LVCELL($EX$3,FF$3,$DP26,$DQ$2,$DP$4,$DP$5,$DP$6,$DP$7,$DP$8,$DQ$3)</f>
        <v>30000</v>
      </c>
      <c r="FG26" s="364">
        <f>_xll.LVCELL($EX$3,FG$3,$DP26,$DQ$2,$DP$4,$DP$5,$DP$6,$DP$7,$DP$8,$DQ$3)</f>
        <v>30000</v>
      </c>
      <c r="FH26" s="364">
        <f>_xll.LVCELL($EX$3,FH$3,$DP26,$DQ$2,$DP$4,$DP$5,$DP$6,$DP$7,$DP$8,$DQ$3)</f>
        <v>30000</v>
      </c>
      <c r="FI26" s="364">
        <f>_xll.LVCELL($EX$3,FI$3,$DP26,$DQ$2,$DP$4,$DP$5,$DP$6,$DP$7,$DP$8,$DQ$3)</f>
        <v>30000</v>
      </c>
      <c r="FJ26" s="364">
        <f>_xll.LVCELL($EX$3,FJ$3,$DP26,$DQ$2,$DP$4,$DP$5,$DP$6,$DP$7,$DP$8,$DQ$3)</f>
        <v>30000</v>
      </c>
      <c r="FK26" s="276">
        <f>_xll.LVCELL($EX$3,FK$3,$DP26,$DQ$2,$DP$4,$DP$5,$DP$6,$DP$7,$DP$8,$DQ$3)</f>
        <v>30000</v>
      </c>
      <c r="FN26" s="64" t="s">
        <v>427</v>
      </c>
      <c r="FO26" s="64" t="s">
        <v>427</v>
      </c>
      <c r="FP26" s="71" t="s">
        <v>2631</v>
      </c>
      <c r="FQ26" s="364">
        <f>_xll.LVCELL($FO$3,FQ$3,$DP26,$DQ$2,$DP$4,$DP$5,$DP$6,$DP$7,$DP$8,$DQ$3)</f>
        <v>15</v>
      </c>
      <c r="FR26" s="364">
        <f>_xll.LVCELL($FO$3,FR$3,$DP26,$DQ$2,$DP$4,$DP$5,$DP$6,$DP$7,$DP$8,$DQ$3)</f>
        <v>15</v>
      </c>
      <c r="FS26" s="364">
        <f>_xll.LVCELL($FO$3,FS$3,$DP26,$DQ$2,$DP$4,$DP$5,$DP$6,$DP$7,$DP$8,$DQ$3)</f>
        <v>15</v>
      </c>
      <c r="FT26" s="364">
        <f>_xll.LVCELL($FO$3,FT$3,$DP26,$DQ$2,$DP$4,$DP$5,$DP$6,$DP$7,$DP$8,$DQ$3)</f>
        <v>15</v>
      </c>
      <c r="FU26" s="364">
        <f>_xll.LVCELL($FO$3,FU$3,$DP26,$DQ$2,$DP$4,$DP$5,$DP$6,$DP$7,$DP$8,$DQ$3)</f>
        <v>15</v>
      </c>
      <c r="FV26" s="364">
        <f>_xll.LVCELL($FO$3,FV$3,$DP26,$DQ$2,$DP$4,$DP$5,$DP$6,$DP$7,$DP$8,$DQ$3)</f>
        <v>15</v>
      </c>
      <c r="FW26" s="364">
        <f>_xll.LVCELL($FO$3,FW$3,$DP26,$DQ$2,$DP$4,$DP$5,$DP$6,$DP$7,$DP$8,$DQ$3)</f>
        <v>15</v>
      </c>
      <c r="FX26" s="364">
        <f>_xll.LVCELL($FO$3,FX$3,$DP26,$DQ$2,$DP$4,$DP$5,$DP$6,$DP$7,$DP$8,$DQ$3)</f>
        <v>15</v>
      </c>
      <c r="FY26" s="364">
        <f>_xll.LVCELL($FO$3,FY$3,$DP26,$DQ$2,$DP$4,$DP$5,$DP$6,$DP$7,$DP$8,$DQ$3)</f>
        <v>15</v>
      </c>
      <c r="FZ26" s="364">
        <f>_xll.LVCELL($FO$3,FZ$3,$DP26,$DQ$2,$DP$4,$DP$5,$DP$6,$DP$7,$DP$8,$DQ$3)</f>
        <v>15</v>
      </c>
      <c r="GA26" s="364">
        <f>_xll.LVCELL($FO$3,GA$3,$DP26,$DQ$2,$DP$4,$DP$5,$DP$6,$DP$7,$DP$8,$DQ$3)</f>
        <v>15</v>
      </c>
      <c r="GB26" s="172">
        <f>_xll.LVCELL($FO$3,GB$3,$DP26,$DQ$2,$DP$4,$DP$5,$DP$6,$DP$7,$DP$8,$DQ$3)</f>
        <v>15</v>
      </c>
    </row>
    <row r="27" spans="2:184" ht="15">
      <c r="B27" s="64" t="s">
        <v>427</v>
      </c>
      <c r="C27" s="64" t="s">
        <v>427</v>
      </c>
      <c r="D27" s="71" t="s">
        <v>348</v>
      </c>
      <c r="E27" s="357">
        <v>6</v>
      </c>
      <c r="F27" s="103">
        <f>'distribution mensuelle Prod B22'!$S$36</f>
        <v>1573860.404290535</v>
      </c>
      <c r="G27" s="103">
        <f>'distribution mensuelle Prod B22'!$S$37</f>
        <v>1286898.5614595457</v>
      </c>
      <c r="H27" s="103">
        <f>'distribution mensuelle Prod B22'!$S$38</f>
        <v>1209352.0481029388</v>
      </c>
      <c r="I27" s="103">
        <f>'distribution mensuelle Prod B22'!$S$39</f>
        <v>921219.56714349135</v>
      </c>
      <c r="J27" s="103">
        <f>'distribution mensuelle Prod B22'!$S$40</f>
        <v>882429.18389577523</v>
      </c>
      <c r="K27" s="103">
        <f>'distribution mensuelle Prod B22'!$S$41</f>
        <v>663863.0334977993</v>
      </c>
      <c r="L27" s="103">
        <f>'distribution mensuelle Prod B22'!$S$42</f>
        <v>649115.46952667215</v>
      </c>
      <c r="M27" s="103">
        <f>'distribution mensuelle Prod B22'!$S$43</f>
        <v>647342.56896155735</v>
      </c>
      <c r="N27" s="103">
        <f>'distribution mensuelle Prod B22'!$S$44</f>
        <v>816904.3855057708</v>
      </c>
      <c r="O27" s="103">
        <f>'distribution mensuelle Prod B22'!$S$45</f>
        <v>1222826.0923978109</v>
      </c>
      <c r="P27" s="103">
        <f>'distribution mensuelle Prod B22'!$S$46</f>
        <v>1252351.6404342817</v>
      </c>
      <c r="Q27" s="103">
        <f>'distribution mensuelle Prod B22'!$S$47</f>
        <v>1511099.724285472</v>
      </c>
      <c r="R27" s="67">
        <f t="shared" si="1"/>
        <v>12637262.679501649</v>
      </c>
      <c r="S27" s="358"/>
      <c r="W27" s="113" t="str">
        <f t="shared" si="2"/>
        <v>E5170</v>
      </c>
      <c r="X27" s="359" t="str">
        <f t="shared" si="3"/>
        <v>Ronchois 2</v>
      </c>
      <c r="Y27" s="299" cm="1">
        <f t="array" ref="Y27">_xll.LVCELL($D$4,F$1,$B27,$D$2,$C$4,$C$5,$C$6,$C$7,$C$8,$D$3)*1000</f>
        <v>96.524766999999997</v>
      </c>
      <c r="Z27" s="299" cm="1">
        <f t="array" ref="Z27">_xll.LVCELL($D$4,G$1,$B27,$D$2,$C$4,$C$5,$C$6,$C$7,$C$8,$D$3)*1000</f>
        <v>96.525542999999999</v>
      </c>
      <c r="AA27" s="299" cm="1">
        <f t="array" ref="AA27">_xll.LVCELL($D$4,H$1,$B27,$D$2,$C$4,$C$5,$C$6,$C$7,$C$8,$D$3)*1000</f>
        <v>96.527202849095588</v>
      </c>
      <c r="AB27" s="299" cm="1">
        <f t="array" ref="AB27">_xll.LVCELL($D$4,I$1,$B27,$D$2,$C$4,$C$5,$C$6,$C$7,$C$8,$D$3)*1000</f>
        <v>96.514432615514906</v>
      </c>
      <c r="AC27" s="299" cm="1">
        <f t="array" ref="AC27">_xll.LVCELL($D$4,J$1,$B27,$D$2,$C$4,$C$5,$C$6,$C$7,$C$8,$D$3)*1000</f>
        <v>96.52914949791699</v>
      </c>
      <c r="AD27" s="299" cm="1">
        <f t="array" ref="AD27">_xll.LVCELL($D$4,K$1,$B27,$D$2,$C$4,$C$5,$C$6,$C$7,$C$8,$D$3)*1000</f>
        <v>96.509021662244095</v>
      </c>
      <c r="AE27" s="299" cm="1">
        <f t="array" ref="AE27">_xll.LVCELL($D$4,L$1,$B27,$D$2,$C$4,$C$5,$C$6,$C$7,$C$8,$D$3)*1000</f>
        <v>96.526299160826326</v>
      </c>
      <c r="AF27" s="299">
        <v>96.59</v>
      </c>
      <c r="AG27" s="299">
        <f t="shared" si="53"/>
        <v>96.59</v>
      </c>
      <c r="AH27" s="299">
        <f t="shared" si="53"/>
        <v>96.59</v>
      </c>
      <c r="AI27" s="299">
        <f t="shared" si="54"/>
        <v>98.811570000000003</v>
      </c>
      <c r="AJ27" s="412">
        <f t="shared" si="55"/>
        <v>98.811570000000003</v>
      </c>
      <c r="AK27" s="153"/>
      <c r="AL27" s="134">
        <f t="shared" si="4"/>
        <v>2.3E-2</v>
      </c>
      <c r="AM27" s="134"/>
      <c r="AN27" s="134"/>
      <c r="AO27" s="134"/>
      <c r="AP27" s="113" t="str">
        <f t="shared" si="38"/>
        <v>E5170</v>
      </c>
      <c r="AQ27" s="567" t="str">
        <f t="shared" si="39"/>
        <v>Ronchois 2</v>
      </c>
      <c r="AR27" s="377"/>
      <c r="AS27" s="377"/>
      <c r="AT27" s="377"/>
      <c r="AU27" s="377"/>
      <c r="AV27" s="377"/>
      <c r="AW27" s="377"/>
      <c r="AX27" s="377"/>
      <c r="AY27" s="377"/>
      <c r="AZ27" s="377"/>
      <c r="BA27" s="377"/>
      <c r="BB27" s="377"/>
      <c r="BC27" s="378"/>
      <c r="BD27" s="552"/>
      <c r="BE27" s="134"/>
      <c r="BF27" s="134"/>
      <c r="BG27" s="134"/>
      <c r="BH27" s="134"/>
      <c r="BI27" s="113" t="str">
        <f t="shared" si="40"/>
        <v>E5170</v>
      </c>
      <c r="BJ27" s="567" t="str">
        <f t="shared" si="41"/>
        <v>Ronchois 2</v>
      </c>
      <c r="BK27" s="299">
        <f t="shared" si="49"/>
        <v>98.811570000000003</v>
      </c>
      <c r="BL27" s="299">
        <f t="shared" si="56"/>
        <v>98.811570000000003</v>
      </c>
      <c r="BM27" s="299">
        <f t="shared" si="56"/>
        <v>98.811570000000003</v>
      </c>
      <c r="BN27" s="299">
        <f t="shared" si="56"/>
        <v>98.811570000000003</v>
      </c>
      <c r="BO27" s="299">
        <f t="shared" si="56"/>
        <v>98.811570000000003</v>
      </c>
      <c r="BP27" s="299">
        <f t="shared" si="56"/>
        <v>98.811570000000003</v>
      </c>
      <c r="BQ27" s="299">
        <f t="shared" si="56"/>
        <v>98.811570000000003</v>
      </c>
      <c r="BR27" s="299">
        <f t="shared" si="56"/>
        <v>98.811570000000003</v>
      </c>
      <c r="BS27" s="299">
        <f t="shared" si="56"/>
        <v>98.811570000000003</v>
      </c>
      <c r="BT27" s="299">
        <f t="shared" si="56"/>
        <v>98.811570000000003</v>
      </c>
      <c r="BU27" s="299">
        <f t="shared" si="57"/>
        <v>101.08423611000001</v>
      </c>
      <c r="BV27" s="370">
        <f t="shared" si="58"/>
        <v>101.08423611000001</v>
      </c>
      <c r="BW27" s="552"/>
      <c r="BX27" s="134"/>
      <c r="BY27" s="134"/>
      <c r="BZ27" s="134"/>
      <c r="CA27" s="134"/>
      <c r="CB27" s="113" t="str">
        <f t="shared" si="5"/>
        <v>E5170</v>
      </c>
      <c r="CC27" s="306" t="str">
        <f t="shared" si="6"/>
        <v>Ronchois 2</v>
      </c>
      <c r="CD27" s="299">
        <f t="shared" si="43"/>
        <v>98.811570000000003</v>
      </c>
      <c r="CE27" s="299">
        <f t="shared" si="7"/>
        <v>98.811570000000003</v>
      </c>
      <c r="CF27" s="299">
        <f t="shared" si="8"/>
        <v>98.811570000000003</v>
      </c>
      <c r="CG27" s="299">
        <f t="shared" si="9"/>
        <v>98.811570000000003</v>
      </c>
      <c r="CH27" s="299">
        <f t="shared" si="10"/>
        <v>98.811570000000003</v>
      </c>
      <c r="CI27" s="299">
        <f t="shared" si="11"/>
        <v>98.811570000000003</v>
      </c>
      <c r="CJ27" s="299">
        <f t="shared" si="12"/>
        <v>98.811570000000003</v>
      </c>
      <c r="CK27" s="299">
        <f t="shared" si="13"/>
        <v>98.811570000000003</v>
      </c>
      <c r="CL27" s="299">
        <f t="shared" si="14"/>
        <v>98.811570000000003</v>
      </c>
      <c r="CM27" s="299">
        <f t="shared" si="15"/>
        <v>98.811570000000003</v>
      </c>
      <c r="CN27" s="299">
        <f t="shared" si="16"/>
        <v>101.08423611000001</v>
      </c>
      <c r="CO27" s="370">
        <f t="shared" si="17"/>
        <v>101.08423611000001</v>
      </c>
      <c r="CP27" s="552"/>
      <c r="CQ27" s="134">
        <f t="shared" si="18"/>
        <v>4.0000000000000001E-3</v>
      </c>
      <c r="CU27" s="113" t="str">
        <f t="shared" si="19"/>
        <v>E5170</v>
      </c>
      <c r="CV27" s="71" t="str">
        <f t="shared" si="20"/>
        <v>Ronchois 2</v>
      </c>
      <c r="CW27" s="300">
        <f t="shared" si="21"/>
        <v>155515.61750878251</v>
      </c>
      <c r="CX27" s="298">
        <f t="shared" si="22"/>
        <v>127160.46728855922</v>
      </c>
      <c r="CY27" s="298">
        <f t="shared" si="23"/>
        <v>119497.97455576691</v>
      </c>
      <c r="CZ27" s="298">
        <f t="shared" si="24"/>
        <v>91027.15174416879</v>
      </c>
      <c r="DA27" s="298">
        <f t="shared" si="25"/>
        <v>87194.213074560263</v>
      </c>
      <c r="DB27" s="298">
        <f t="shared" si="26"/>
        <v>65597.348604880142</v>
      </c>
      <c r="DC27" s="298">
        <f t="shared" si="27"/>
        <v>64140.118655217637</v>
      </c>
      <c r="DD27" s="298">
        <f t="shared" si="28"/>
        <v>63964.935566924752</v>
      </c>
      <c r="DE27" s="298">
        <f t="shared" si="29"/>
        <v>80719.604871710457</v>
      </c>
      <c r="DF27" s="298">
        <f t="shared" si="30"/>
        <v>120829.36602679276</v>
      </c>
      <c r="DG27" s="371">
        <f t="shared" si="31"/>
        <v>126593.00891440475</v>
      </c>
      <c r="DH27" s="372">
        <f t="shared" si="32"/>
        <v>152748.36131542854</v>
      </c>
      <c r="DI27" s="67">
        <f t="shared" si="33"/>
        <v>1254988.1681271966</v>
      </c>
      <c r="DJ27" s="364"/>
      <c r="DK27" s="82">
        <f t="shared" si="44"/>
        <v>1254988.1681271966</v>
      </c>
      <c r="DM27" s="518">
        <f t="shared" si="34"/>
        <v>99.308544892626003</v>
      </c>
      <c r="DO27" s="64" t="str">
        <f t="shared" si="35"/>
        <v>E5170</v>
      </c>
      <c r="DP27" s="64" t="str">
        <f t="shared" si="36"/>
        <v>E5170</v>
      </c>
      <c r="DQ27" s="71" t="str">
        <f t="shared" si="37"/>
        <v>Ronchois 2</v>
      </c>
      <c r="DR27" s="365">
        <f>_xll.LVCELL($DP$3,DR$3,$DP27,$DQ$2,$DP$4,$DP$5,$DP$6,$DP$7,$DP$8,$DQ$3)/100</f>
        <v>0.97</v>
      </c>
      <c r="DS27" s="365">
        <f>_xll.LVCELL($DP$3,DS$3,$DP27,$DQ$2,$DP$4,$DP$5,$DP$6,$DP$7,$DP$8,$DQ$3)/100</f>
        <v>0.97</v>
      </c>
      <c r="DT27" s="365">
        <f>_xll.LVCELL($DP$3,DT$3,$DP27,$DQ$2,$DP$4,$DP$5,$DP$6,$DP$7,$DP$8,$DQ$3)/100</f>
        <v>0.97</v>
      </c>
      <c r="DU27" s="365">
        <f>_xll.LVCELL($DP$3,DU$3,$DP27,$DQ$2,$DP$4,$DP$5,$DP$6,$DP$7,$DP$8,$DQ$3)/100</f>
        <v>0.97</v>
      </c>
      <c r="DV27" s="365">
        <f>_xll.LVCELL($DP$3,DV$3,$DP27,$DQ$2,$DP$4,$DP$5,$DP$6,$DP$7,$DP$8,$DQ$3)/100</f>
        <v>0.97</v>
      </c>
      <c r="DW27" s="365">
        <f>_xll.LVCELL($DP$3,DW$3,$DP27,$DQ$2,$DP$4,$DP$5,$DP$6,$DP$7,$DP$8,$DQ$3)/100</f>
        <v>0.97</v>
      </c>
      <c r="DX27" s="365">
        <f>_xll.LVCELL($DP$3,DX$3,$DP27,$DQ$2,$DP$4,$DP$5,$DP$6,$DP$7,$DP$8,$DQ$3)/100</f>
        <v>0.97</v>
      </c>
      <c r="DY27" s="365">
        <f>_xll.LVCELL($DP$3,DY$3,$DP27,$DQ$2,$DP$4,$DP$5,$DP$6,$DP$7,$DP$8,$DQ$3)/100</f>
        <v>0.97</v>
      </c>
      <c r="DZ27" s="365">
        <f>_xll.LVCELL($DP$3,DZ$3,$DP27,$DQ$2,$DP$4,$DP$5,$DP$6,$DP$7,$DP$8,$DQ$3)/100</f>
        <v>0.97</v>
      </c>
      <c r="EA27" s="365">
        <f>_xll.LVCELL($DP$3,EA$3,$DP27,$DQ$2,$DP$4,$DP$5,$DP$6,$DP$7,$DP$8,$DQ$3)/100</f>
        <v>0.97</v>
      </c>
      <c r="EB27" s="365">
        <f>_xll.LVCELL($DP$3,EB$3,$DP27,$DQ$2,$DP$4,$DP$5,$DP$6,$DP$7,$DP$8,$DQ$3)/100</f>
        <v>0.97</v>
      </c>
      <c r="EC27" s="365">
        <f>_xll.LVCELL($DP$3,EC$3,$DP27,$DQ$2,$DP$4,$DP$5,$DP$6,$DP$7,$DP$8,$DQ$3)/100</f>
        <v>0.97</v>
      </c>
      <c r="ED27" s="582">
        <f t="shared" si="45"/>
        <v>11.64</v>
      </c>
      <c r="EH27" s="71"/>
      <c r="EI27" s="366"/>
      <c r="EJ27" s="367"/>
      <c r="EK27" s="368"/>
      <c r="EL27" s="367"/>
      <c r="EM27" s="368"/>
      <c r="EN27" s="367"/>
      <c r="EO27" s="368"/>
      <c r="EP27" s="367"/>
      <c r="EQ27" s="368"/>
      <c r="ER27" s="367"/>
      <c r="ES27" s="368"/>
      <c r="ET27" s="367"/>
      <c r="EY27" s="71"/>
      <c r="EZ27" s="364"/>
      <c r="FA27" s="364"/>
      <c r="FB27" s="364"/>
      <c r="FC27" s="364"/>
      <c r="FD27" s="364"/>
      <c r="FE27" s="364"/>
      <c r="FF27" s="364"/>
      <c r="FG27" s="364"/>
      <c r="FH27" s="364"/>
      <c r="FI27" s="364"/>
      <c r="FJ27" s="364"/>
      <c r="FK27" s="364"/>
      <c r="FP27" s="71"/>
      <c r="FQ27" s="364"/>
      <c r="FR27" s="364"/>
      <c r="FS27" s="364"/>
      <c r="FT27" s="364"/>
      <c r="FU27" s="364"/>
      <c r="FV27" s="364"/>
      <c r="FW27" s="364"/>
      <c r="FX27" s="364"/>
      <c r="FY27" s="364"/>
      <c r="FZ27" s="364"/>
      <c r="GA27" s="364"/>
      <c r="GB27" s="172"/>
    </row>
    <row r="28" spans="2:184" ht="15">
      <c r="B28" s="64" t="s">
        <v>427</v>
      </c>
      <c r="C28" s="64" t="s">
        <v>427</v>
      </c>
      <c r="D28" s="71" t="s">
        <v>349</v>
      </c>
      <c r="E28" s="357">
        <v>12</v>
      </c>
      <c r="F28" s="103">
        <f>'distribution mensuelle Prod B22'!$T$36</f>
        <v>3078707.8016700903</v>
      </c>
      <c r="G28" s="103">
        <f>'distribution mensuelle Prod B22'!$T$37</f>
        <v>2517367.252090889</v>
      </c>
      <c r="H28" s="103">
        <f>'distribution mensuelle Prod B22'!$T$38</f>
        <v>2365674.6019597482</v>
      </c>
      <c r="I28" s="103">
        <f>'distribution mensuelle Prod B22'!$T$39</f>
        <v>1802044.1080314855</v>
      </c>
      <c r="J28" s="103">
        <f>'distribution mensuelle Prod B22'!$T$40</f>
        <v>1726164.2808187599</v>
      </c>
      <c r="K28" s="103">
        <f>'distribution mensuelle Prod B22'!$T$41</f>
        <v>1298615.998533472</v>
      </c>
      <c r="L28" s="103">
        <f>'distribution mensuelle Prod B22'!$T$42</f>
        <v>1269767.5440391835</v>
      </c>
      <c r="M28" s="103">
        <f>'distribution mensuelle Prod B22'!$T$43</f>
        <v>1266299.4837293085</v>
      </c>
      <c r="N28" s="103">
        <f>'distribution mensuelle Prod B22'!$T$44</f>
        <v>1597987.9143149571</v>
      </c>
      <c r="O28" s="103">
        <f>'distribution mensuelle Prod B22'!$T$45</f>
        <v>2392031.8603147995</v>
      </c>
      <c r="P28" s="103">
        <f>'distribution mensuelle Prod B22'!$T$46</f>
        <v>2449788.275585596</v>
      </c>
      <c r="Q28" s="103">
        <f>'distribution mensuelle Prod B22'!$T$47</f>
        <v>2955938.4667005073</v>
      </c>
      <c r="R28" s="67">
        <f t="shared" si="1"/>
        <v>24720387.587788798</v>
      </c>
      <c r="S28" s="358"/>
      <c r="W28" s="113" t="str">
        <f t="shared" si="2"/>
        <v>E5170</v>
      </c>
      <c r="X28" s="359" t="str">
        <f t="shared" si="3"/>
        <v>Ronchois 3</v>
      </c>
      <c r="Y28" s="299" cm="1">
        <f t="array" ref="Y28">_xll.LVCELL($D$4,F$1,$B28,$D$2,$C$4,$C$5,$C$6,$C$7,$C$8,$D$3)*1000</f>
        <v>96.524766999999997</v>
      </c>
      <c r="Z28" s="299" cm="1">
        <f t="array" ref="Z28">_xll.LVCELL($D$4,G$1,$B28,$D$2,$C$4,$C$5,$C$6,$C$7,$C$8,$D$3)*1000</f>
        <v>96.525542999999999</v>
      </c>
      <c r="AA28" s="299" cm="1">
        <f t="array" ref="AA28">_xll.LVCELL($D$4,H$1,$B28,$D$2,$C$4,$C$5,$C$6,$C$7,$C$8,$D$3)*1000</f>
        <v>96.527202849095588</v>
      </c>
      <c r="AB28" s="299" cm="1">
        <f t="array" ref="AB28">_xll.LVCELL($D$4,I$1,$B28,$D$2,$C$4,$C$5,$C$6,$C$7,$C$8,$D$3)*1000</f>
        <v>96.514432615514906</v>
      </c>
      <c r="AC28" s="299" cm="1">
        <f t="array" ref="AC28">_xll.LVCELL($D$4,J$1,$B28,$D$2,$C$4,$C$5,$C$6,$C$7,$C$8,$D$3)*1000</f>
        <v>96.52914949791699</v>
      </c>
      <c r="AD28" s="299" cm="1">
        <f t="array" ref="AD28">_xll.LVCELL($D$4,K$1,$B28,$D$2,$C$4,$C$5,$C$6,$C$7,$C$8,$D$3)*1000</f>
        <v>96.509021662244095</v>
      </c>
      <c r="AE28" s="299" cm="1">
        <f t="array" ref="AE28">_xll.LVCELL($D$4,L$1,$B28,$D$2,$C$4,$C$5,$C$6,$C$7,$C$8,$D$3)*1000</f>
        <v>96.526299160826326</v>
      </c>
      <c r="AF28" s="299">
        <v>96.43</v>
      </c>
      <c r="AG28" s="299">
        <f t="shared" si="53"/>
        <v>96.43</v>
      </c>
      <c r="AH28" s="299">
        <f t="shared" si="53"/>
        <v>96.43</v>
      </c>
      <c r="AI28" s="299">
        <f t="shared" si="54"/>
        <v>98.647890000000004</v>
      </c>
      <c r="AJ28" s="412">
        <f t="shared" si="55"/>
        <v>98.647890000000004</v>
      </c>
      <c r="AK28" s="153"/>
      <c r="AL28" s="134">
        <f t="shared" si="4"/>
        <v>2.3E-2</v>
      </c>
      <c r="AM28" s="134"/>
      <c r="AN28" s="134"/>
      <c r="AO28" s="134"/>
      <c r="AP28" s="113" t="str">
        <f t="shared" si="38"/>
        <v>E5170</v>
      </c>
      <c r="AQ28" s="567" t="str">
        <f t="shared" si="39"/>
        <v>Ronchois 3</v>
      </c>
      <c r="AR28" s="377"/>
      <c r="AS28" s="377"/>
      <c r="AT28" s="377"/>
      <c r="AU28" s="377"/>
      <c r="AV28" s="377"/>
      <c r="AW28" s="377"/>
      <c r="AX28" s="377"/>
      <c r="AY28" s="377"/>
      <c r="AZ28" s="377"/>
      <c r="BA28" s="377"/>
      <c r="BB28" s="377"/>
      <c r="BC28" s="378"/>
      <c r="BD28" s="552"/>
      <c r="BE28" s="134"/>
      <c r="BF28" s="134"/>
      <c r="BG28" s="134"/>
      <c r="BH28" s="134"/>
      <c r="BI28" s="113" t="str">
        <f t="shared" si="40"/>
        <v>E5170</v>
      </c>
      <c r="BJ28" s="567" t="str">
        <f t="shared" si="41"/>
        <v>Ronchois 3</v>
      </c>
      <c r="BK28" s="299">
        <f t="shared" si="49"/>
        <v>98.647890000000004</v>
      </c>
      <c r="BL28" s="299">
        <f t="shared" si="56"/>
        <v>98.647890000000004</v>
      </c>
      <c r="BM28" s="299">
        <f t="shared" si="56"/>
        <v>98.647890000000004</v>
      </c>
      <c r="BN28" s="299">
        <f t="shared" si="56"/>
        <v>98.647890000000004</v>
      </c>
      <c r="BO28" s="299">
        <f t="shared" si="56"/>
        <v>98.647890000000004</v>
      </c>
      <c r="BP28" s="299">
        <f t="shared" si="56"/>
        <v>98.647890000000004</v>
      </c>
      <c r="BQ28" s="299">
        <f t="shared" si="56"/>
        <v>98.647890000000004</v>
      </c>
      <c r="BR28" s="299">
        <f t="shared" si="56"/>
        <v>98.647890000000004</v>
      </c>
      <c r="BS28" s="299">
        <f t="shared" si="56"/>
        <v>98.647890000000004</v>
      </c>
      <c r="BT28" s="299">
        <f t="shared" si="56"/>
        <v>98.647890000000004</v>
      </c>
      <c r="BU28" s="299">
        <f t="shared" si="57"/>
        <v>100.91679147000001</v>
      </c>
      <c r="BV28" s="370">
        <f t="shared" si="58"/>
        <v>100.91679147000001</v>
      </c>
      <c r="BW28" s="552"/>
      <c r="BX28" s="134"/>
      <c r="BY28" s="134"/>
      <c r="BZ28" s="134"/>
      <c r="CA28" s="134"/>
      <c r="CB28" s="113" t="str">
        <f t="shared" si="5"/>
        <v>E5170</v>
      </c>
      <c r="CC28" s="306" t="str">
        <f t="shared" si="6"/>
        <v>Ronchois 3</v>
      </c>
      <c r="CD28" s="299">
        <f t="shared" si="43"/>
        <v>98.647890000000004</v>
      </c>
      <c r="CE28" s="299">
        <f t="shared" si="7"/>
        <v>98.647890000000004</v>
      </c>
      <c r="CF28" s="299">
        <f t="shared" si="8"/>
        <v>98.647890000000004</v>
      </c>
      <c r="CG28" s="299">
        <f t="shared" si="9"/>
        <v>98.647890000000004</v>
      </c>
      <c r="CH28" s="299">
        <f t="shared" si="10"/>
        <v>98.647890000000004</v>
      </c>
      <c r="CI28" s="299">
        <f t="shared" si="11"/>
        <v>98.647890000000004</v>
      </c>
      <c r="CJ28" s="299">
        <f t="shared" si="12"/>
        <v>98.647890000000004</v>
      </c>
      <c r="CK28" s="299">
        <f t="shared" si="13"/>
        <v>98.647890000000004</v>
      </c>
      <c r="CL28" s="299">
        <f t="shared" si="14"/>
        <v>98.647890000000004</v>
      </c>
      <c r="CM28" s="299">
        <f t="shared" si="15"/>
        <v>98.647890000000004</v>
      </c>
      <c r="CN28" s="299">
        <f t="shared" si="16"/>
        <v>100.91679147000001</v>
      </c>
      <c r="CO28" s="370">
        <f t="shared" si="17"/>
        <v>100.91679147000001</v>
      </c>
      <c r="CP28" s="552"/>
      <c r="CQ28" s="134">
        <f t="shared" si="18"/>
        <v>4.0000000000000001E-3</v>
      </c>
      <c r="CU28" s="113" t="str">
        <f t="shared" si="19"/>
        <v>E5170</v>
      </c>
      <c r="CV28" s="71" t="str">
        <f t="shared" si="20"/>
        <v>Ronchois 3</v>
      </c>
      <c r="CW28" s="300">
        <f t="shared" si="21"/>
        <v>303708.02856129291</v>
      </c>
      <c r="CX28" s="298">
        <f t="shared" si="22"/>
        <v>248332.96777386431</v>
      </c>
      <c r="CY28" s="298">
        <f t="shared" si="23"/>
        <v>233368.80790991904</v>
      </c>
      <c r="CZ28" s="298">
        <f t="shared" si="24"/>
        <v>177767.8489442381</v>
      </c>
      <c r="DA28" s="298">
        <f t="shared" si="25"/>
        <v>170282.46409613814</v>
      </c>
      <c r="DB28" s="298">
        <f t="shared" si="26"/>
        <v>128105.72817557011</v>
      </c>
      <c r="DC28" s="298">
        <f t="shared" si="27"/>
        <v>125259.88900994754</v>
      </c>
      <c r="DD28" s="298">
        <f t="shared" si="28"/>
        <v>124917.77217798561</v>
      </c>
      <c r="DE28" s="298">
        <f t="shared" si="29"/>
        <v>157638.1359926713</v>
      </c>
      <c r="DF28" s="298">
        <f t="shared" si="30"/>
        <v>235968.8958328297</v>
      </c>
      <c r="DG28" s="371">
        <f t="shared" si="31"/>
        <v>247224.77255292248</v>
      </c>
      <c r="DH28" s="372">
        <f t="shared" si="32"/>
        <v>298303.82584216667</v>
      </c>
      <c r="DI28" s="67">
        <f t="shared" si="33"/>
        <v>2450879.136869546</v>
      </c>
      <c r="DJ28" s="364"/>
      <c r="DK28" s="82">
        <f t="shared" si="44"/>
        <v>2450879.136869546</v>
      </c>
      <c r="DM28" s="518">
        <f t="shared" si="34"/>
        <v>99.144041660585202</v>
      </c>
      <c r="DO28" s="64" t="str">
        <f t="shared" si="35"/>
        <v>E5170</v>
      </c>
      <c r="DP28" s="64" t="str">
        <f t="shared" si="36"/>
        <v>E5170</v>
      </c>
      <c r="DQ28" s="71" t="str">
        <f t="shared" si="37"/>
        <v>Ronchois 3</v>
      </c>
      <c r="DR28" s="365">
        <f>_xll.LVCELL($DP$3,DR$3,$DP28,$DQ$2,$DP$4,$DP$5,$DP$6,$DP$7,$DP$8,$DQ$3)/100</f>
        <v>0.97</v>
      </c>
      <c r="DS28" s="365">
        <f>_xll.LVCELL($DP$3,DS$3,$DP28,$DQ$2,$DP$4,$DP$5,$DP$6,$DP$7,$DP$8,$DQ$3)/100</f>
        <v>0.97</v>
      </c>
      <c r="DT28" s="365">
        <f>_xll.LVCELL($DP$3,DT$3,$DP28,$DQ$2,$DP$4,$DP$5,$DP$6,$DP$7,$DP$8,$DQ$3)/100</f>
        <v>0.97</v>
      </c>
      <c r="DU28" s="365">
        <f>_xll.LVCELL($DP$3,DU$3,$DP28,$DQ$2,$DP$4,$DP$5,$DP$6,$DP$7,$DP$8,$DQ$3)/100</f>
        <v>0.97</v>
      </c>
      <c r="DV28" s="365">
        <f>_xll.LVCELL($DP$3,DV$3,$DP28,$DQ$2,$DP$4,$DP$5,$DP$6,$DP$7,$DP$8,$DQ$3)/100</f>
        <v>0.97</v>
      </c>
      <c r="DW28" s="365">
        <f>_xll.LVCELL($DP$3,DW$3,$DP28,$DQ$2,$DP$4,$DP$5,$DP$6,$DP$7,$DP$8,$DQ$3)/100</f>
        <v>0.97</v>
      </c>
      <c r="DX28" s="365">
        <f>_xll.LVCELL($DP$3,DX$3,$DP28,$DQ$2,$DP$4,$DP$5,$DP$6,$DP$7,$DP$8,$DQ$3)/100</f>
        <v>0.97</v>
      </c>
      <c r="DY28" s="365">
        <f>_xll.LVCELL($DP$3,DY$3,$DP28,$DQ$2,$DP$4,$DP$5,$DP$6,$DP$7,$DP$8,$DQ$3)/100</f>
        <v>0.97</v>
      </c>
      <c r="DZ28" s="365">
        <f>_xll.LVCELL($DP$3,DZ$3,$DP28,$DQ$2,$DP$4,$DP$5,$DP$6,$DP$7,$DP$8,$DQ$3)/100</f>
        <v>0.97</v>
      </c>
      <c r="EA28" s="365">
        <f>_xll.LVCELL($DP$3,EA$3,$DP28,$DQ$2,$DP$4,$DP$5,$DP$6,$DP$7,$DP$8,$DQ$3)/100</f>
        <v>0.97</v>
      </c>
      <c r="EB28" s="365">
        <f>_xll.LVCELL($DP$3,EB$3,$DP28,$DQ$2,$DP$4,$DP$5,$DP$6,$DP$7,$DP$8,$DQ$3)/100</f>
        <v>0.97</v>
      </c>
      <c r="EC28" s="365">
        <f>_xll.LVCELL($DP$3,EC$3,$DP28,$DQ$2,$DP$4,$DP$5,$DP$6,$DP$7,$DP$8,$DQ$3)/100</f>
        <v>0.97</v>
      </c>
      <c r="ED28" s="582">
        <f t="shared" si="45"/>
        <v>11.64</v>
      </c>
      <c r="EH28" s="71"/>
      <c r="EI28" s="366"/>
      <c r="EJ28" s="367"/>
      <c r="EK28" s="368"/>
      <c r="EL28" s="367"/>
      <c r="EM28" s="368"/>
      <c r="EN28" s="367"/>
      <c r="EO28" s="368"/>
      <c r="EP28" s="367"/>
      <c r="EQ28" s="368"/>
      <c r="ER28" s="367"/>
      <c r="ES28" s="368"/>
      <c r="ET28" s="367"/>
      <c r="EY28" s="71"/>
      <c r="EZ28" s="364"/>
      <c r="FA28" s="364"/>
      <c r="FB28" s="364"/>
      <c r="FC28" s="364"/>
      <c r="FD28" s="364"/>
      <c r="FE28" s="364"/>
      <c r="FF28" s="364"/>
      <c r="FG28" s="364"/>
      <c r="FH28" s="364"/>
      <c r="FI28" s="364"/>
      <c r="FJ28" s="364"/>
      <c r="FK28" s="364"/>
      <c r="FP28" s="71"/>
      <c r="FQ28" s="364"/>
      <c r="FR28" s="364"/>
      <c r="FS28" s="364"/>
      <c r="FT28" s="364"/>
      <c r="FU28" s="364"/>
      <c r="FV28" s="364"/>
      <c r="FW28" s="364"/>
      <c r="FX28" s="364"/>
      <c r="FY28" s="364"/>
      <c r="FZ28" s="364"/>
      <c r="GA28" s="364"/>
      <c r="GB28" s="172"/>
    </row>
    <row r="29" spans="2:184" ht="15">
      <c r="B29" s="64" t="s">
        <v>429</v>
      </c>
      <c r="C29" s="64" t="s">
        <v>429</v>
      </c>
      <c r="D29" s="359" t="s">
        <v>297</v>
      </c>
      <c r="E29" s="357">
        <f>_xll.LVCELL($C$3,Q$3,$C29,$D$2,$C$4,$C$5,$C$6,$C$7,$C$8,$D$3)/1000</f>
        <v>10.4</v>
      </c>
      <c r="F29" s="103">
        <f>'distribution mensuelle Prod B22'!$U$36</f>
        <v>2857728.937831067</v>
      </c>
      <c r="G29" s="103">
        <f>'distribution mensuelle Prod B22'!$U$37</f>
        <v>2431163.4053773689</v>
      </c>
      <c r="H29" s="103">
        <f>'distribution mensuelle Prod B22'!$U$38</f>
        <v>2330782.6666765381</v>
      </c>
      <c r="I29" s="103">
        <f>'distribution mensuelle Prod B22'!$U$39</f>
        <v>1936440.2253607833</v>
      </c>
      <c r="J29" s="103">
        <f>'distribution mensuelle Prod B22'!$U$40</f>
        <v>1779917.2387845952</v>
      </c>
      <c r="K29" s="103">
        <f>'distribution mensuelle Prod B22'!$U$41</f>
        <v>1375988.4296659669</v>
      </c>
      <c r="L29" s="103">
        <f>'distribution mensuelle Prod B22'!$U$42</f>
        <v>1366768.1678656386</v>
      </c>
      <c r="M29" s="103">
        <f>'distribution mensuelle Prod B22'!$U$43</f>
        <v>1256595.0822872501</v>
      </c>
      <c r="N29" s="103">
        <f>'distribution mensuelle Prod B22'!$U$44</f>
        <v>1613777.1139469969</v>
      </c>
      <c r="O29" s="103">
        <f>'distribution mensuelle Prod B22'!$U$45</f>
        <v>2208287.5912637245</v>
      </c>
      <c r="P29" s="103">
        <f>'distribution mensuelle Prod B22'!$U$46</f>
        <v>2313114.335859051</v>
      </c>
      <c r="Q29" s="103">
        <f>'distribution mensuelle Prod B22'!$U$47</f>
        <v>2894694.9073343421</v>
      </c>
      <c r="R29" s="67">
        <f t="shared" si="1"/>
        <v>24365258.102253325</v>
      </c>
      <c r="S29" s="358"/>
      <c r="W29" s="113" t="str">
        <f t="shared" si="2"/>
        <v>E5180</v>
      </c>
      <c r="X29" s="359" t="str">
        <f t="shared" si="3"/>
        <v>Le Grand Camp</v>
      </c>
      <c r="Y29" s="299" cm="1">
        <f t="array" ref="Y29">_xll.LVCELL($D$4,F$1,$B29,$D$2,$C$4,$C$5,$C$6,$C$7,$C$8,$D$3)*1000</f>
        <v>96.429277999999996</v>
      </c>
      <c r="Z29" s="299" cm="1">
        <f t="array" ref="Z29">_xll.LVCELL($D$4,G$1,$B29,$D$2,$C$4,$C$5,$C$6,$C$7,$C$8,$D$3)*1000</f>
        <v>96.430033999999992</v>
      </c>
      <c r="AA29" s="299" cm="1">
        <f t="array" ref="AA29">_xll.LVCELL($D$4,H$1,$B29,$D$2,$C$4,$C$5,$C$6,$C$7,$C$8,$D$3)*1000</f>
        <v>96.42956993290386</v>
      </c>
      <c r="AB29" s="299" cm="1">
        <f t="array" ref="AB29">_xll.LVCELL($D$4,I$1,$B29,$D$2,$C$4,$C$5,$C$6,$C$7,$C$8,$D$3)*1000</f>
        <v>96.428590878741574</v>
      </c>
      <c r="AC29" s="299" cm="1">
        <f t="array" ref="AC29">_xll.LVCELL($D$4,J$1,$B29,$D$2,$C$4,$C$5,$C$6,$C$7,$C$8,$D$3)*1000</f>
        <v>96.431351248958649</v>
      </c>
      <c r="AD29" s="299" cm="1">
        <f t="array" ref="AD29">_xll.LVCELL($D$4,K$1,$B29,$D$2,$C$4,$C$5,$C$6,$C$7,$C$8,$D$3)*1000</f>
        <v>96.418166666666664</v>
      </c>
      <c r="AE29" s="299" cm="1">
        <f t="array" ref="AE29">_xll.LVCELL($D$4,L$1,$B29,$D$2,$C$4,$C$5,$C$6,$C$7,$C$8,$D$3)*1000</f>
        <v>96.432538742879302</v>
      </c>
      <c r="AF29" s="299">
        <f>$AC$29</f>
        <v>96.431351248958649</v>
      </c>
      <c r="AG29" s="299">
        <f t="shared" si="53"/>
        <v>96.431351248958649</v>
      </c>
      <c r="AH29" s="299">
        <f t="shared" si="53"/>
        <v>96.431351248958649</v>
      </c>
      <c r="AI29" s="299">
        <f t="shared" si="54"/>
        <v>98.649272327684699</v>
      </c>
      <c r="AJ29" s="412">
        <f t="shared" si="55"/>
        <v>98.649272327684699</v>
      </c>
      <c r="AK29" s="67"/>
      <c r="AL29" s="134">
        <f t="shared" si="4"/>
        <v>2.3E-2</v>
      </c>
      <c r="AM29" s="134"/>
      <c r="AN29" s="134"/>
      <c r="AO29" s="134"/>
      <c r="AP29" s="113" t="str">
        <f t="shared" si="38"/>
        <v>E5180</v>
      </c>
      <c r="AQ29" s="567" t="str">
        <f t="shared" si="39"/>
        <v>Le Grand Camp</v>
      </c>
      <c r="AR29" s="377"/>
      <c r="AS29" s="377"/>
      <c r="AT29" s="377"/>
      <c r="AU29" s="377"/>
      <c r="AV29" s="377"/>
      <c r="AW29" s="377"/>
      <c r="AX29" s="377"/>
      <c r="AY29" s="377"/>
      <c r="AZ29" s="377"/>
      <c r="BA29" s="377"/>
      <c r="BB29" s="377"/>
      <c r="BC29" s="378"/>
      <c r="BD29" s="414"/>
      <c r="BE29" s="134"/>
      <c r="BF29" s="134"/>
      <c r="BG29" s="134"/>
      <c r="BH29" s="134"/>
      <c r="BI29" s="113" t="str">
        <f t="shared" si="40"/>
        <v>E5180</v>
      </c>
      <c r="BJ29" s="567" t="str">
        <f t="shared" si="41"/>
        <v>Le Grand Camp</v>
      </c>
      <c r="BK29" s="299">
        <f t="shared" si="49"/>
        <v>98.649272327684699</v>
      </c>
      <c r="BL29" s="299">
        <f t="shared" si="56"/>
        <v>98.649272327684699</v>
      </c>
      <c r="BM29" s="299">
        <f t="shared" si="56"/>
        <v>98.649272327684699</v>
      </c>
      <c r="BN29" s="299">
        <f t="shared" si="56"/>
        <v>98.649272327684699</v>
      </c>
      <c r="BO29" s="299">
        <f t="shared" si="56"/>
        <v>98.649272327684699</v>
      </c>
      <c r="BP29" s="299">
        <f t="shared" si="56"/>
        <v>98.649272327684699</v>
      </c>
      <c r="BQ29" s="299">
        <f t="shared" si="56"/>
        <v>98.649272327684699</v>
      </c>
      <c r="BR29" s="299">
        <f t="shared" si="56"/>
        <v>98.649272327684699</v>
      </c>
      <c r="BS29" s="299">
        <f t="shared" si="56"/>
        <v>98.649272327684699</v>
      </c>
      <c r="BT29" s="299">
        <f t="shared" si="56"/>
        <v>98.649272327684699</v>
      </c>
      <c r="BU29" s="299">
        <f t="shared" si="57"/>
        <v>100.91820559122145</v>
      </c>
      <c r="BV29" s="370">
        <f t="shared" si="58"/>
        <v>100.91820559122145</v>
      </c>
      <c r="BW29" s="414"/>
      <c r="BX29" s="134"/>
      <c r="BY29" s="134"/>
      <c r="BZ29" s="134"/>
      <c r="CA29" s="134"/>
      <c r="CB29" s="113" t="str">
        <f t="shared" si="5"/>
        <v>E5180</v>
      </c>
      <c r="CC29" s="373" t="str">
        <f t="shared" si="6"/>
        <v>Le Grand Camp</v>
      </c>
      <c r="CD29" s="299">
        <f t="shared" si="43"/>
        <v>98.649272327684699</v>
      </c>
      <c r="CE29" s="299">
        <f t="shared" si="7"/>
        <v>98.649272327684699</v>
      </c>
      <c r="CF29" s="299">
        <f t="shared" si="8"/>
        <v>98.649272327684699</v>
      </c>
      <c r="CG29" s="299">
        <f t="shared" si="9"/>
        <v>98.649272327684699</v>
      </c>
      <c r="CH29" s="299">
        <f t="shared" si="10"/>
        <v>98.649272327684699</v>
      </c>
      <c r="CI29" s="299">
        <f t="shared" si="11"/>
        <v>98.649272327684699</v>
      </c>
      <c r="CJ29" s="299">
        <f t="shared" si="12"/>
        <v>98.649272327684699</v>
      </c>
      <c r="CK29" s="299">
        <f t="shared" si="13"/>
        <v>98.649272327684699</v>
      </c>
      <c r="CL29" s="299">
        <f t="shared" si="14"/>
        <v>98.649272327684699</v>
      </c>
      <c r="CM29" s="299">
        <f t="shared" si="15"/>
        <v>98.649272327684699</v>
      </c>
      <c r="CN29" s="299">
        <f t="shared" si="16"/>
        <v>100.91820559122145</v>
      </c>
      <c r="CO29" s="370">
        <f t="shared" si="17"/>
        <v>100.91820559122145</v>
      </c>
      <c r="CP29" s="414"/>
      <c r="CQ29" s="134">
        <f t="shared" si="18"/>
        <v>4.0000000000000001E-3</v>
      </c>
      <c r="CU29" s="113" t="str">
        <f t="shared" si="19"/>
        <v>E5180</v>
      </c>
      <c r="CV29" s="359" t="str">
        <f t="shared" si="20"/>
        <v>Le Grand Camp</v>
      </c>
      <c r="CW29" s="300">
        <f t="shared" si="21"/>
        <v>281912.88022680208</v>
      </c>
      <c r="CX29" s="298">
        <f t="shared" si="22"/>
        <v>239832.50085017335</v>
      </c>
      <c r="CY29" s="298">
        <f t="shared" si="23"/>
        <v>229930.01402162094</v>
      </c>
      <c r="CZ29" s="298">
        <f t="shared" si="24"/>
        <v>191028.41913789904</v>
      </c>
      <c r="DA29" s="298">
        <f t="shared" si="25"/>
        <v>175587.54040960211</v>
      </c>
      <c r="DB29" s="298">
        <f t="shared" si="26"/>
        <v>135740.25731786119</v>
      </c>
      <c r="DC29" s="298">
        <f t="shared" si="27"/>
        <v>134830.68520058805</v>
      </c>
      <c r="DD29" s="298">
        <f t="shared" si="28"/>
        <v>123962.19047818429</v>
      </c>
      <c r="DE29" s="298">
        <f t="shared" si="29"/>
        <v>159197.93798994235</v>
      </c>
      <c r="DF29" s="298">
        <f t="shared" si="30"/>
        <v>217845.96396842203</v>
      </c>
      <c r="DG29" s="371">
        <f t="shared" si="31"/>
        <v>233435.3481022254</v>
      </c>
      <c r="DH29" s="372">
        <f t="shared" si="32"/>
        <v>292127.41578222887</v>
      </c>
      <c r="DI29" s="67">
        <f t="shared" si="33"/>
        <v>2415431.1534855496</v>
      </c>
      <c r="DJ29" s="364">
        <f>_xll.LVCELL($E$1,Q$2,$C29,$D$2,$C$4,$C$5,$C$6,$C$7,$C$8,$D$3)+_xll.LVCELL($E$2,Q$2,$C29,$D$2,$C$4,$C$5,$C$6,$C$7,$C$8,$D$3)</f>
        <v>2415431.0400485098</v>
      </c>
      <c r="DK29" s="82">
        <f t="shared" si="44"/>
        <v>0.11343703977763653</v>
      </c>
      <c r="DM29" s="518">
        <f t="shared" si="34"/>
        <v>99.134232165682164</v>
      </c>
      <c r="DO29" s="64" t="str">
        <f t="shared" si="35"/>
        <v>E5180</v>
      </c>
      <c r="DP29" s="64" t="str">
        <f t="shared" si="36"/>
        <v>E5180</v>
      </c>
      <c r="DQ29" s="359" t="str">
        <f t="shared" si="37"/>
        <v>Le Grand Camp</v>
      </c>
      <c r="DR29" s="365">
        <f>_xll.LVCELL($DP$3,DR$3,$DP29,$DQ$2,$DP$4,$DP$5,$DP$6,$DP$7,$DP$8,$DQ$3)/100</f>
        <v>0.96999999999999986</v>
      </c>
      <c r="DS29" s="365">
        <f>_xll.LVCELL($DP$3,DS$3,$DP29,$DQ$2,$DP$4,$DP$5,$DP$6,$DP$7,$DP$8,$DQ$3)/100</f>
        <v>0.97</v>
      </c>
      <c r="DT29" s="365">
        <f>_xll.LVCELL($DP$3,DT$3,$DP29,$DQ$2,$DP$4,$DP$5,$DP$6,$DP$7,$DP$8,$DQ$3)/100</f>
        <v>0.96999999999999986</v>
      </c>
      <c r="DU29" s="365">
        <f>_xll.LVCELL($DP$3,DU$3,$DP29,$DQ$2,$DP$4,$DP$5,$DP$6,$DP$7,$DP$8,$DQ$3)/100</f>
        <v>0.97</v>
      </c>
      <c r="DV29" s="365">
        <f>_xll.LVCELL($DP$3,DV$3,$DP29,$DQ$2,$DP$4,$DP$5,$DP$6,$DP$7,$DP$8,$DQ$3)/100</f>
        <v>0.96999999999999986</v>
      </c>
      <c r="DW29" s="365">
        <f>_xll.LVCELL($DP$3,DW$3,$DP29,$DQ$2,$DP$4,$DP$5,$DP$6,$DP$7,$DP$8,$DQ$3)/100</f>
        <v>0.97</v>
      </c>
      <c r="DX29" s="365">
        <f>_xll.LVCELL($DP$3,DX$3,$DP29,$DQ$2,$DP$4,$DP$5,$DP$6,$DP$7,$DP$8,$DQ$3)/100</f>
        <v>0.96999999999999986</v>
      </c>
      <c r="DY29" s="365">
        <f>_xll.LVCELL($DP$3,DY$3,$DP29,$DQ$2,$DP$4,$DP$5,$DP$6,$DP$7,$DP$8,$DQ$3)/100</f>
        <v>0.96999999999999986</v>
      </c>
      <c r="DZ29" s="365">
        <f>_xll.LVCELL($DP$3,DZ$3,$DP29,$DQ$2,$DP$4,$DP$5,$DP$6,$DP$7,$DP$8,$DQ$3)/100</f>
        <v>0.97</v>
      </c>
      <c r="EA29" s="365">
        <f>_xll.LVCELL($DP$3,EA$3,$DP29,$DQ$2,$DP$4,$DP$5,$DP$6,$DP$7,$DP$8,$DQ$3)/100</f>
        <v>0.96999999999999986</v>
      </c>
      <c r="EB29" s="365">
        <f>_xll.LVCELL($DP$3,EB$3,$DP29,$DQ$2,$DP$4,$DP$5,$DP$6,$DP$7,$DP$8,$DQ$3)/100</f>
        <v>0.97</v>
      </c>
      <c r="EC29" s="365">
        <f>_xll.LVCELL($DP$3,EC$3,$DP29,$DQ$2,$DP$4,$DP$5,$DP$6,$DP$7,$DP$8,$DQ$3)/100</f>
        <v>0.96999999999999986</v>
      </c>
      <c r="ED29" s="582">
        <f t="shared" si="45"/>
        <v>11.64</v>
      </c>
      <c r="EF29" s="64" t="s">
        <v>429</v>
      </c>
      <c r="EG29" s="64" t="s">
        <v>429</v>
      </c>
      <c r="EH29" s="359" t="s">
        <v>297</v>
      </c>
      <c r="EI29" s="366" t="e">
        <f ca="1">_xll.LVCELL($EG$3,EI$3,$DP29,$DQ$2,$DP$4,$DP$5,$DP$6,$DP$7,$DP$8,$DQ$3)-CW29</f>
        <v>#NAME?</v>
      </c>
      <c r="EJ29" s="367" t="e">
        <f ca="1">_xll.LVCELL($EG$3,EJ$3,$DP29,$DQ$2,$DP$4,$DP$5,$DP$6,$DP$7,$DP$8,$DQ$3)-CX29</f>
        <v>#NAME?</v>
      </c>
      <c r="EK29" s="368" t="e">
        <f ca="1">_xll.LVCELL($EG$3,EK$3,$DP29,$DQ$2,$DP$4,$DP$5,$DP$6,$DP$7,$DP$8,$DQ$3)-CY29</f>
        <v>#NAME?</v>
      </c>
      <c r="EL29" s="367" t="e">
        <f ca="1">_xll.LVCELL($EG$3,EL$3,$DP29,$DQ$2,$DP$4,$DP$5,$DP$6,$DP$7,$DP$8,$DQ$3)-CZ29</f>
        <v>#NAME?</v>
      </c>
      <c r="EM29" s="368" t="e">
        <f ca="1">_xll.LVCELL($EG$3,EM$3,$DP29,$DQ$2,$DP$4,$DP$5,$DP$6,$DP$7,$DP$8,$DQ$3)-DA29</f>
        <v>#NAME?</v>
      </c>
      <c r="EN29" s="367" t="e">
        <f ca="1">_xll.LVCELL($EG$3,EN$3,$DP29,$DQ$2,$DP$4,$DP$5,$DP$6,$DP$7,$DP$8,$DQ$3)-DB29</f>
        <v>#NAME?</v>
      </c>
      <c r="EO29" s="368" t="e">
        <f ca="1">_xll.LVCELL($EG$3,EO$3,$DP29,$DQ$2,$DP$4,$DP$5,$DP$6,$DP$7,$DP$8,$DQ$3)-DC29</f>
        <v>#NAME?</v>
      </c>
      <c r="EP29" s="367" t="e">
        <f ca="1">_xll.LVCELL($EG$3,EP$3,$DP29,$DQ$2,$DP$4,$DP$5,$DP$6,$DP$7,$DP$8,$DQ$3)-DD29</f>
        <v>#NAME?</v>
      </c>
      <c r="EQ29" s="368" t="e">
        <f ca="1">_xll.LVCELL($EG$3,EQ$3,$DP29,$DQ$2,$DP$4,$DP$5,$DP$6,$DP$7,$DP$8,$DQ$3)-DE29</f>
        <v>#NAME?</v>
      </c>
      <c r="ER29" s="367" t="e">
        <f ca="1">_xll.LVCELL($EG$3,ER$3,$DP29,$DQ$2,$DP$4,$DP$5,$DP$6,$DP$7,$DP$8,$DQ$3)-DF29</f>
        <v>#NAME?</v>
      </c>
      <c r="ES29" s="368" t="e">
        <f ca="1">_xll.LVCELL($EG$3,ES$3,$DP29,$DQ$2,$DP$4,$DP$5,$DP$6,$DP$7,$DP$8,$DQ$3)-DG29</f>
        <v>#NAME?</v>
      </c>
      <c r="ET29" s="367" t="e">
        <f ca="1">_xll.LVCELL($EG$3,ET$3,$DP29,$DQ$2,$DP$4,$DP$5,$DP$6,$DP$7,$DP$8,$DQ$3)-DH29</f>
        <v>#NAME?</v>
      </c>
      <c r="EW29" s="64" t="s">
        <v>429</v>
      </c>
      <c r="EX29" s="64" t="s">
        <v>429</v>
      </c>
      <c r="EY29" s="359" t="s">
        <v>297</v>
      </c>
      <c r="EZ29" s="364">
        <f>_xll.LVCELL($EX$3,EZ$3,$DP29,$DQ$2,$DP$4,$DP$5,$DP$6,$DP$7,$DP$8,$DQ$3)</f>
        <v>10400</v>
      </c>
      <c r="FA29" s="364">
        <f>_xll.LVCELL($EX$3,FA$3,$DP29,$DQ$2,$DP$4,$DP$5,$DP$6,$DP$7,$DP$8,$DQ$3)</f>
        <v>10400</v>
      </c>
      <c r="FB29" s="364">
        <f>_xll.LVCELL($EX$3,FB$3,$DP29,$DQ$2,$DP$4,$DP$5,$DP$6,$DP$7,$DP$8,$DQ$3)</f>
        <v>10400</v>
      </c>
      <c r="FC29" s="364">
        <f>_xll.LVCELL($EX$3,FC$3,$DP29,$DQ$2,$DP$4,$DP$5,$DP$6,$DP$7,$DP$8,$DQ$3)</f>
        <v>10400</v>
      </c>
      <c r="FD29" s="364">
        <f>_xll.LVCELL($EX$3,FD$3,$DP29,$DQ$2,$DP$4,$DP$5,$DP$6,$DP$7,$DP$8,$DQ$3)</f>
        <v>10400</v>
      </c>
      <c r="FE29" s="364">
        <f>_xll.LVCELL($EX$3,FE$3,$DP29,$DQ$2,$DP$4,$DP$5,$DP$6,$DP$7,$DP$8,$DQ$3)</f>
        <v>10400</v>
      </c>
      <c r="FF29" s="364">
        <f>_xll.LVCELL($EX$3,FF$3,$DP29,$DQ$2,$DP$4,$DP$5,$DP$6,$DP$7,$DP$8,$DQ$3)</f>
        <v>10400</v>
      </c>
      <c r="FG29" s="364">
        <f>_xll.LVCELL($EX$3,FG$3,$DP29,$DQ$2,$DP$4,$DP$5,$DP$6,$DP$7,$DP$8,$DQ$3)</f>
        <v>10400</v>
      </c>
      <c r="FH29" s="364">
        <f>_xll.LVCELL($EX$3,FH$3,$DP29,$DQ$2,$DP$4,$DP$5,$DP$6,$DP$7,$DP$8,$DQ$3)</f>
        <v>10400</v>
      </c>
      <c r="FI29" s="364">
        <f>_xll.LVCELL($EX$3,FI$3,$DP29,$DQ$2,$DP$4,$DP$5,$DP$6,$DP$7,$DP$8,$DQ$3)</f>
        <v>10400</v>
      </c>
      <c r="FJ29" s="364">
        <f>_xll.LVCELL($EX$3,FJ$3,$DP29,$DQ$2,$DP$4,$DP$5,$DP$6,$DP$7,$DP$8,$DQ$3)</f>
        <v>10400</v>
      </c>
      <c r="FK29" s="276">
        <f>_xll.LVCELL($EX$3,FK$3,$DP29,$DQ$2,$DP$4,$DP$5,$DP$6,$DP$7,$DP$8,$DQ$3)</f>
        <v>10400</v>
      </c>
      <c r="FN29" s="64" t="s">
        <v>429</v>
      </c>
      <c r="FO29" s="64" t="s">
        <v>429</v>
      </c>
      <c r="FP29" s="359" t="s">
        <v>297</v>
      </c>
      <c r="FQ29" s="364">
        <f>_xll.LVCELL($FO$3,FQ$3,$DP29,$DQ$2,$DP$4,$DP$5,$DP$6,$DP$7,$DP$8,$DQ$3)</f>
        <v>5</v>
      </c>
      <c r="FR29" s="364">
        <f>_xll.LVCELL($FO$3,FR$3,$DP29,$DQ$2,$DP$4,$DP$5,$DP$6,$DP$7,$DP$8,$DQ$3)</f>
        <v>5</v>
      </c>
      <c r="FS29" s="364">
        <f>_xll.LVCELL($FO$3,FS$3,$DP29,$DQ$2,$DP$4,$DP$5,$DP$6,$DP$7,$DP$8,$DQ$3)</f>
        <v>5</v>
      </c>
      <c r="FT29" s="364">
        <f>_xll.LVCELL($FO$3,FT$3,$DP29,$DQ$2,$DP$4,$DP$5,$DP$6,$DP$7,$DP$8,$DQ$3)</f>
        <v>5</v>
      </c>
      <c r="FU29" s="364">
        <f>_xll.LVCELL($FO$3,FU$3,$DP29,$DQ$2,$DP$4,$DP$5,$DP$6,$DP$7,$DP$8,$DQ$3)</f>
        <v>5</v>
      </c>
      <c r="FV29" s="364">
        <f>_xll.LVCELL($FO$3,FV$3,$DP29,$DQ$2,$DP$4,$DP$5,$DP$6,$DP$7,$DP$8,$DQ$3)</f>
        <v>5</v>
      </c>
      <c r="FW29" s="364">
        <f>_xll.LVCELL($FO$3,FW$3,$DP29,$DQ$2,$DP$4,$DP$5,$DP$6,$DP$7,$DP$8,$DQ$3)</f>
        <v>5</v>
      </c>
      <c r="FX29" s="364">
        <f>_xll.LVCELL($FO$3,FX$3,$DP29,$DQ$2,$DP$4,$DP$5,$DP$6,$DP$7,$DP$8,$DQ$3)</f>
        <v>5</v>
      </c>
      <c r="FY29" s="364">
        <f>_xll.LVCELL($FO$3,FY$3,$DP29,$DQ$2,$DP$4,$DP$5,$DP$6,$DP$7,$DP$8,$DQ$3)</f>
        <v>5</v>
      </c>
      <c r="FZ29" s="364">
        <f>_xll.LVCELL($FO$3,FZ$3,$DP29,$DQ$2,$DP$4,$DP$5,$DP$6,$DP$7,$DP$8,$DQ$3)</f>
        <v>5</v>
      </c>
      <c r="GA29" s="364">
        <f>_xll.LVCELL($FO$3,GA$3,$DP29,$DQ$2,$DP$4,$DP$5,$DP$6,$DP$7,$DP$8,$DQ$3)</f>
        <v>5</v>
      </c>
      <c r="GB29" s="172">
        <f>_xll.LVCELL($FO$3,GB$3,$DP29,$DQ$2,$DP$4,$DP$5,$DP$6,$DP$7,$DP$8,$DQ$3)</f>
        <v>5</v>
      </c>
    </row>
    <row r="30" spans="2:184" ht="15">
      <c r="B30" s="64" t="s">
        <v>437</v>
      </c>
      <c r="C30" s="64" t="s">
        <v>437</v>
      </c>
      <c r="D30" s="73" t="s">
        <v>533</v>
      </c>
      <c r="E30" s="357">
        <f>_xll.LVCELL($C$3,Q$3,$C30,$D$2,$C$4,$C$5,$C$6,$C$7,$C$8,$D$3)/1000</f>
        <v>34.5</v>
      </c>
      <c r="F30" s="103">
        <f>'distribution mensuelle Prod B22'!$V$36</f>
        <v>2999555.6114893607</v>
      </c>
      <c r="G30" s="103">
        <f>'distribution mensuelle Prod B22'!$V$37</f>
        <v>2447052.7225805442</v>
      </c>
      <c r="H30" s="103">
        <f>'distribution mensuelle Prod B22'!$V$38</f>
        <v>2318210.6486425092</v>
      </c>
      <c r="I30" s="103">
        <f>'distribution mensuelle Prod B22'!$V$39</f>
        <v>1793170.6063017214</v>
      </c>
      <c r="J30" s="103">
        <f>'distribution mensuelle Prod B22'!$V$40</f>
        <v>1732276.430181131</v>
      </c>
      <c r="K30" s="103">
        <f>'distribution mensuelle Prod B22'!$V$41</f>
        <v>1467832.6411011599</v>
      </c>
      <c r="L30" s="103">
        <f>'distribution mensuelle Prod B22'!$V$42</f>
        <v>1498800.7262731486</v>
      </c>
      <c r="M30" s="103">
        <f>'distribution mensuelle Prod B22'!$V$43</f>
        <v>1488137.1724888894</v>
      </c>
      <c r="N30" s="103">
        <f>'distribution mensuelle Prod B22'!$V$44</f>
        <v>1691604.3300204105</v>
      </c>
      <c r="O30" s="103">
        <f>'distribution mensuelle Prod B22'!$V$45</f>
        <v>2351885.0290138526</v>
      </c>
      <c r="P30" s="103">
        <f>'distribution mensuelle Prod B22'!$V$46</f>
        <v>2436785.7795282081</v>
      </c>
      <c r="Q30" s="103">
        <f>'distribution mensuelle Prod B22'!$V$47</f>
        <v>2886185.1975725042</v>
      </c>
      <c r="R30" s="67">
        <f t="shared" si="1"/>
        <v>25111496.895193439</v>
      </c>
      <c r="S30" s="358"/>
      <c r="T30" s="169"/>
      <c r="W30" s="113" t="str">
        <f t="shared" si="2"/>
        <v>E5290</v>
      </c>
      <c r="X30" s="359" t="str">
        <f t="shared" si="3"/>
        <v>St Patrick Pernois 1</v>
      </c>
      <c r="Y30" s="299" cm="1">
        <f t="array" ref="Y30">_xll.LVCELL($D$4,F$1,$B30,$D$2,$C$4,$C$5,$C$6,$C$7,$C$8,$D$3)*1000</f>
        <v>89.393126000000009</v>
      </c>
      <c r="Z30" s="299" cm="1">
        <f t="array" ref="Z30">_xll.LVCELL($D$4,G$1,$B30,$D$2,$C$4,$C$5,$C$6,$C$7,$C$8,$D$3)*1000</f>
        <v>90.346703000000005</v>
      </c>
      <c r="AA30" s="299" cm="1">
        <f t="array" ref="AA30">_xll.LVCELL($D$4,H$1,$B30,$D$2,$C$4,$C$5,$C$6,$C$7,$C$8,$D$3)*1000</f>
        <v>90.357485301604783</v>
      </c>
      <c r="AB30" s="299" cm="1">
        <f t="array" ref="AB30">_xll.LVCELL($D$4,I$1,$B30,$D$2,$C$4,$C$5,$C$6,$C$7,$C$8,$D$3)*1000</f>
        <v>90.494161148025299</v>
      </c>
      <c r="AC30" s="299" cm="1">
        <f t="array" ref="AC30">_xll.LVCELL($D$4,J$1,$B30,$D$2,$C$4,$C$5,$C$6,$C$7,$C$8,$D$3)*1000</f>
        <v>90.331355342843906</v>
      </c>
      <c r="AD30" s="299" cm="1">
        <f t="array" ref="AD30">_xll.LVCELL($D$4,K$1,$B30,$D$2,$C$4,$C$5,$C$6,$C$7,$C$8,$D$3)*1000</f>
        <v>90.426847402597403</v>
      </c>
      <c r="AE30" s="299" cm="1">
        <f t="array" ref="AE30">_xll.LVCELL($D$4,L$1,$B30,$D$2,$C$4,$C$5,$C$6,$C$7,$C$8,$D$3)*1000</f>
        <v>90.392471729251895</v>
      </c>
      <c r="AF30" s="299">
        <v>93.062963999999994</v>
      </c>
      <c r="AG30" s="299">
        <f t="shared" si="53"/>
        <v>93.062963999999994</v>
      </c>
      <c r="AH30" s="299">
        <f t="shared" si="53"/>
        <v>93.062963999999994</v>
      </c>
      <c r="AI30" s="299">
        <f t="shared" si="54"/>
        <v>95.203412172</v>
      </c>
      <c r="AJ30" s="412">
        <f t="shared" si="55"/>
        <v>95.203412172</v>
      </c>
      <c r="AK30" s="563" t="s">
        <v>3409</v>
      </c>
      <c r="AL30" s="134">
        <f t="shared" si="4"/>
        <v>2.3E-2</v>
      </c>
      <c r="AM30" s="134"/>
      <c r="AN30" s="134"/>
      <c r="AO30" s="134"/>
      <c r="AP30" s="113" t="str">
        <f t="shared" si="38"/>
        <v>E5290</v>
      </c>
      <c r="AQ30" s="567" t="str">
        <f t="shared" si="39"/>
        <v>St Patrick Pernois 1</v>
      </c>
      <c r="AR30" s="377"/>
      <c r="AS30" s="377"/>
      <c r="AT30" s="377"/>
      <c r="AU30" s="377"/>
      <c r="AV30" s="377"/>
      <c r="AW30" s="377"/>
      <c r="AX30" s="377"/>
      <c r="AY30" s="377"/>
      <c r="AZ30" s="377"/>
      <c r="BA30" s="377"/>
      <c r="BB30" s="377"/>
      <c r="BC30" s="378"/>
      <c r="BD30" s="413"/>
      <c r="BE30" s="134"/>
      <c r="BF30" s="134"/>
      <c r="BG30" s="134"/>
      <c r="BH30" s="134"/>
      <c r="BI30" s="113" t="str">
        <f t="shared" si="40"/>
        <v>E5290</v>
      </c>
      <c r="BJ30" s="567" t="str">
        <f t="shared" si="41"/>
        <v>St Patrick Pernois 1</v>
      </c>
      <c r="BK30" s="299">
        <f t="shared" si="49"/>
        <v>95.203412172</v>
      </c>
      <c r="BL30" s="299">
        <f t="shared" si="56"/>
        <v>95.203412172</v>
      </c>
      <c r="BM30" s="299">
        <f t="shared" si="56"/>
        <v>95.203412172</v>
      </c>
      <c r="BN30" s="299">
        <f t="shared" si="56"/>
        <v>95.203412172</v>
      </c>
      <c r="BO30" s="299">
        <f t="shared" si="56"/>
        <v>95.203412172</v>
      </c>
      <c r="BP30" s="299">
        <f t="shared" si="56"/>
        <v>95.203412172</v>
      </c>
      <c r="BQ30" s="299">
        <f t="shared" si="56"/>
        <v>95.203412172</v>
      </c>
      <c r="BR30" s="299">
        <f t="shared" si="56"/>
        <v>95.203412172</v>
      </c>
      <c r="BS30" s="299">
        <f t="shared" si="56"/>
        <v>95.203412172</v>
      </c>
      <c r="BT30" s="299">
        <f t="shared" si="56"/>
        <v>95.203412172</v>
      </c>
      <c r="BU30" s="299">
        <f t="shared" si="57"/>
        <v>97.393090651956001</v>
      </c>
      <c r="BV30" s="370">
        <f t="shared" si="58"/>
        <v>97.393090651956001</v>
      </c>
      <c r="BW30" s="413"/>
      <c r="BX30" s="134"/>
      <c r="BY30" s="134"/>
      <c r="BZ30" s="134"/>
      <c r="CA30" s="134"/>
      <c r="CB30" s="113" t="str">
        <f t="shared" si="5"/>
        <v>E5290</v>
      </c>
      <c r="CC30" s="373" t="str">
        <f t="shared" si="6"/>
        <v>St Patrick Pernois 1</v>
      </c>
      <c r="CD30" s="299">
        <f t="shared" si="43"/>
        <v>95.203412172</v>
      </c>
      <c r="CE30" s="299">
        <f t="shared" si="7"/>
        <v>95.203412172</v>
      </c>
      <c r="CF30" s="299">
        <f t="shared" si="8"/>
        <v>95.203412172</v>
      </c>
      <c r="CG30" s="299">
        <f t="shared" si="9"/>
        <v>95.203412172</v>
      </c>
      <c r="CH30" s="299">
        <f t="shared" si="10"/>
        <v>95.203412172</v>
      </c>
      <c r="CI30" s="299">
        <f t="shared" si="11"/>
        <v>95.203412172</v>
      </c>
      <c r="CJ30" s="299">
        <f t="shared" si="12"/>
        <v>95.203412172</v>
      </c>
      <c r="CK30" s="299">
        <f t="shared" si="13"/>
        <v>95.203412172</v>
      </c>
      <c r="CL30" s="299">
        <f t="shared" si="14"/>
        <v>95.203412172</v>
      </c>
      <c r="CM30" s="299">
        <f t="shared" si="15"/>
        <v>95.203412172</v>
      </c>
      <c r="CN30" s="299">
        <f t="shared" si="16"/>
        <v>97.393090651956001</v>
      </c>
      <c r="CO30" s="370">
        <f t="shared" si="17"/>
        <v>97.393090651956001</v>
      </c>
      <c r="CP30" s="413"/>
      <c r="CQ30" s="134">
        <f t="shared" si="18"/>
        <v>4.0000000000000001E-3</v>
      </c>
      <c r="CU30" s="113" t="str">
        <f t="shared" si="19"/>
        <v>E5290</v>
      </c>
      <c r="CV30" s="359" t="str">
        <f t="shared" si="20"/>
        <v>St Patrick Pernois 1</v>
      </c>
      <c r="CW30" s="300">
        <f t="shared" si="21"/>
        <v>285567.9292134571</v>
      </c>
      <c r="CX30" s="298">
        <f t="shared" si="22"/>
        <v>232967.76895445032</v>
      </c>
      <c r="CY30" s="298">
        <f t="shared" si="23"/>
        <v>220701.56388423228</v>
      </c>
      <c r="CZ30" s="298">
        <f t="shared" si="24"/>
        <v>170715.96032645792</v>
      </c>
      <c r="DA30" s="298">
        <f t="shared" si="25"/>
        <v>164918.62697837499</v>
      </c>
      <c r="DB30" s="298">
        <f t="shared" si="26"/>
        <v>139742.67593026906</v>
      </c>
      <c r="DC30" s="298">
        <f t="shared" si="27"/>
        <v>142690.9433070755</v>
      </c>
      <c r="DD30" s="298">
        <f t="shared" si="28"/>
        <v>141675.73660093441</v>
      </c>
      <c r="DE30" s="298">
        <f t="shared" si="29"/>
        <v>161046.50426287306</v>
      </c>
      <c r="DF30" s="298">
        <f t="shared" si="30"/>
        <v>223907.47979836198</v>
      </c>
      <c r="DG30" s="371">
        <f t="shared" si="31"/>
        <v>237326.09832498804</v>
      </c>
      <c r="DH30" s="372">
        <f t="shared" si="32"/>
        <v>281094.49658551248</v>
      </c>
      <c r="DI30" s="133">
        <f t="shared" si="33"/>
        <v>2402355.7841669871</v>
      </c>
      <c r="DJ30" s="364">
        <f>_xll.LVCELL($E$1,Q$2,$C30,$D$2,$C$4,$C$5,$C$6,$C$7,$C$8,$D$3)+_xll.LVCELL($E$2,Q$2,$C30,$D$2,$C$4,$C$5,$C$6,$C$7,$C$8,$D$3)</f>
        <v>8876217.7198600005</v>
      </c>
      <c r="DK30" s="755">
        <f t="shared" si="44"/>
        <v>-6473861.9356930135</v>
      </c>
      <c r="DM30" s="518">
        <f t="shared" si="34"/>
        <v>95.667565903919453</v>
      </c>
      <c r="DO30" s="64" t="str">
        <f t="shared" si="35"/>
        <v>E5290</v>
      </c>
      <c r="DP30" s="64" t="str">
        <f t="shared" si="36"/>
        <v>E5290</v>
      </c>
      <c r="DQ30" s="359" t="str">
        <f t="shared" si="37"/>
        <v>St Patrick Pernois 1</v>
      </c>
      <c r="DR30" s="365">
        <f>_xll.LVCELL($DP$3,DR$3,$DP30,$DQ$2,$DP$4,$DP$5,$DP$6,$DP$7,$DP$8,$DQ$3)/100</f>
        <v>0.97</v>
      </c>
      <c r="DS30" s="365">
        <f>_xll.LVCELL($DP$3,DS$3,$DP30,$DQ$2,$DP$4,$DP$5,$DP$6,$DP$7,$DP$8,$DQ$3)/100</f>
        <v>0.97</v>
      </c>
      <c r="DT30" s="365">
        <f>_xll.LVCELL($DP$3,DT$3,$DP30,$DQ$2,$DP$4,$DP$5,$DP$6,$DP$7,$DP$8,$DQ$3)/100</f>
        <v>0.97</v>
      </c>
      <c r="DU30" s="365">
        <f>_xll.LVCELL($DP$3,DU$3,$DP30,$DQ$2,$DP$4,$DP$5,$DP$6,$DP$7,$DP$8,$DQ$3)/100</f>
        <v>0.97</v>
      </c>
      <c r="DV30" s="365">
        <f>_xll.LVCELL($DP$3,DV$3,$DP30,$DQ$2,$DP$4,$DP$5,$DP$6,$DP$7,$DP$8,$DQ$3)/100</f>
        <v>0.97</v>
      </c>
      <c r="DW30" s="365">
        <f>_xll.LVCELL($DP$3,DW$3,$DP30,$DQ$2,$DP$4,$DP$5,$DP$6,$DP$7,$DP$8,$DQ$3)/100</f>
        <v>0.97</v>
      </c>
      <c r="DX30" s="365">
        <f>_xll.LVCELL($DP$3,DX$3,$DP30,$DQ$2,$DP$4,$DP$5,$DP$6,$DP$7,$DP$8,$DQ$3)/100</f>
        <v>0.97</v>
      </c>
      <c r="DY30" s="365">
        <f>_xll.LVCELL($DP$3,DY$3,$DP30,$DQ$2,$DP$4,$DP$5,$DP$6,$DP$7,$DP$8,$DQ$3)/100</f>
        <v>0.97</v>
      </c>
      <c r="DZ30" s="365">
        <f>_xll.LVCELL($DP$3,DZ$3,$DP30,$DQ$2,$DP$4,$DP$5,$DP$6,$DP$7,$DP$8,$DQ$3)/100</f>
        <v>0.97</v>
      </c>
      <c r="EA30" s="365">
        <f>_xll.LVCELL($DP$3,EA$3,$DP30,$DQ$2,$DP$4,$DP$5,$DP$6,$DP$7,$DP$8,$DQ$3)/100</f>
        <v>0.97</v>
      </c>
      <c r="EB30" s="365">
        <f>_xll.LVCELL($DP$3,EB$3,$DP30,$DQ$2,$DP$4,$DP$5,$DP$6,$DP$7,$DP$8,$DQ$3)/100</f>
        <v>0.97</v>
      </c>
      <c r="EC30" s="365">
        <f>_xll.LVCELL($DP$3,EC$3,$DP30,$DQ$2,$DP$4,$DP$5,$DP$6,$DP$7,$DP$8,$DQ$3)/100</f>
        <v>0.97</v>
      </c>
      <c r="ED30" s="582">
        <f t="shared" si="45"/>
        <v>11.64</v>
      </c>
      <c r="EF30" s="64" t="s">
        <v>437</v>
      </c>
      <c r="EG30" s="64" t="s">
        <v>437</v>
      </c>
      <c r="EH30" s="359" t="s">
        <v>2632</v>
      </c>
      <c r="EI30" s="366" t="e">
        <f ca="1">_xll.LVCELL($EG$3,EI$3,$DP30,$DQ$2,$DP$4,$DP$5,$DP$6,$DP$7,$DP$8,$DQ$3)-CW30-CW31-CW32-CW33</f>
        <v>#NAME?</v>
      </c>
      <c r="EJ30" s="367" t="e">
        <f ca="1">_xll.LVCELL($EG$3,EJ$3,$DP30,$DQ$2,$DP$4,$DP$5,$DP$6,$DP$7,$DP$8,$DQ$3)-CX30-CX31-CX32-CX33</f>
        <v>#NAME?</v>
      </c>
      <c r="EK30" s="368" t="e">
        <f ca="1">_xll.LVCELL($EG$3,EK$3,$DP30,$DQ$2,$DP$4,$DP$5,$DP$6,$DP$7,$DP$8,$DQ$3)-CY30-CY31-CY32-CY33</f>
        <v>#NAME?</v>
      </c>
      <c r="EL30" s="367" t="e">
        <f ca="1">_xll.LVCELL($EG$3,EL$3,$DP30,$DQ$2,$DP$4,$DP$5,$DP$6,$DP$7,$DP$8,$DQ$3)-CZ30-CZ31-CZ32-CZ33</f>
        <v>#NAME?</v>
      </c>
      <c r="EM30" s="368" t="e">
        <f ca="1">_xll.LVCELL($EG$3,EM$3,$DP30,$DQ$2,$DP$4,$DP$5,$DP$6,$DP$7,$DP$8,$DQ$3)-DA30-DA31-DA32-DA33</f>
        <v>#NAME?</v>
      </c>
      <c r="EN30" s="367" t="e">
        <f ca="1">_xll.LVCELL($EG$3,EN$3,$DP30,$DQ$2,$DP$4,$DP$5,$DP$6,$DP$7,$DP$8,$DQ$3)-DB30-DB31-DB32-DB33</f>
        <v>#NAME?</v>
      </c>
      <c r="EO30" s="368" t="e">
        <f ca="1">_xll.LVCELL($EG$3,EO$3,$DP30,$DQ$2,$DP$4,$DP$5,$DP$6,$DP$7,$DP$8,$DQ$3)-DC30-DC31-DC32-DC33</f>
        <v>#NAME?</v>
      </c>
      <c r="EP30" s="367" t="e">
        <f ca="1">_xll.LVCELL($EG$3,EP$3,$DP30,$DQ$2,$DP$4,$DP$5,$DP$6,$DP$7,$DP$8,$DQ$3)-DD30-DD31-DD32-DD33</f>
        <v>#NAME?</v>
      </c>
      <c r="EQ30" s="368" t="e">
        <f ca="1">_xll.LVCELL($EG$3,EQ$3,$DP30,$DQ$2,$DP$4,$DP$5,$DP$6,$DP$7,$DP$8,$DQ$3)-DE30-DE31-DE32-DE33</f>
        <v>#NAME?</v>
      </c>
      <c r="ER30" s="367" t="e">
        <f ca="1">_xll.LVCELL($EG$3,ER$3,$DP30,$DQ$2,$DP$4,$DP$5,$DP$6,$DP$7,$DP$8,$DQ$3)-DF30-DF31-DF32-DF33</f>
        <v>#NAME?</v>
      </c>
      <c r="ES30" s="368" t="e">
        <f ca="1">_xll.LVCELL($EG$3,ES$3,$DP30,$DQ$2,$DP$4,$DP$5,$DP$6,$DP$7,$DP$8,$DQ$3)-DG30-DG31-DG32-DG33</f>
        <v>#NAME?</v>
      </c>
      <c r="ET30" s="367" t="e">
        <f ca="1">_xll.LVCELL($EG$3,ET$3,$DP30,$DQ$2,$DP$4,$DP$5,$DP$6,$DP$7,$DP$8,$DQ$3)-DH30-DH31-DH32-DH33</f>
        <v>#NAME?</v>
      </c>
      <c r="EW30" s="64" t="s">
        <v>437</v>
      </c>
      <c r="EX30" s="64" t="s">
        <v>437</v>
      </c>
      <c r="EY30" s="359" t="s">
        <v>2632</v>
      </c>
      <c r="EZ30" s="364">
        <f>_xll.LVCELL($EX$3,EZ$3,$DP30,$DQ$2,$DP$4,$DP$5,$DP$6,$DP$7,$DP$8,$DQ$3)</f>
        <v>34500</v>
      </c>
      <c r="FA30" s="364">
        <f>_xll.LVCELL($EX$3,FA$3,$DP30,$DQ$2,$DP$4,$DP$5,$DP$6,$DP$7,$DP$8,$DQ$3)</f>
        <v>34500</v>
      </c>
      <c r="FB30" s="364">
        <f>_xll.LVCELL($EX$3,FB$3,$DP30,$DQ$2,$DP$4,$DP$5,$DP$6,$DP$7,$DP$8,$DQ$3)</f>
        <v>34500</v>
      </c>
      <c r="FC30" s="364">
        <f>_xll.LVCELL($EX$3,FC$3,$DP30,$DQ$2,$DP$4,$DP$5,$DP$6,$DP$7,$DP$8,$DQ$3)</f>
        <v>34500</v>
      </c>
      <c r="FD30" s="364">
        <f>_xll.LVCELL($EX$3,FD$3,$DP30,$DQ$2,$DP$4,$DP$5,$DP$6,$DP$7,$DP$8,$DQ$3)</f>
        <v>34500</v>
      </c>
      <c r="FE30" s="364">
        <f>_xll.LVCELL($EX$3,FE$3,$DP30,$DQ$2,$DP$4,$DP$5,$DP$6,$DP$7,$DP$8,$DQ$3)</f>
        <v>34500</v>
      </c>
      <c r="FF30" s="364">
        <f>_xll.LVCELL($EX$3,FF$3,$DP30,$DQ$2,$DP$4,$DP$5,$DP$6,$DP$7,$DP$8,$DQ$3)</f>
        <v>34500</v>
      </c>
      <c r="FG30" s="364">
        <f>_xll.LVCELL($EX$3,FG$3,$DP30,$DQ$2,$DP$4,$DP$5,$DP$6,$DP$7,$DP$8,$DQ$3)</f>
        <v>34500</v>
      </c>
      <c r="FH30" s="364">
        <f>_xll.LVCELL($EX$3,FH$3,$DP30,$DQ$2,$DP$4,$DP$5,$DP$6,$DP$7,$DP$8,$DQ$3)</f>
        <v>34500</v>
      </c>
      <c r="FI30" s="364">
        <f>_xll.LVCELL($EX$3,FI$3,$DP30,$DQ$2,$DP$4,$DP$5,$DP$6,$DP$7,$DP$8,$DQ$3)</f>
        <v>34500</v>
      </c>
      <c r="FJ30" s="364">
        <f>_xll.LVCELL($EX$3,FJ$3,$DP30,$DQ$2,$DP$4,$DP$5,$DP$6,$DP$7,$DP$8,$DQ$3)</f>
        <v>34500</v>
      </c>
      <c r="FK30" s="276">
        <f>_xll.LVCELL($EX$3,FK$3,$DP30,$DQ$2,$DP$4,$DP$5,$DP$6,$DP$7,$DP$8,$DQ$3)</f>
        <v>34500</v>
      </c>
      <c r="FN30" s="64" t="s">
        <v>437</v>
      </c>
      <c r="FO30" s="64" t="s">
        <v>437</v>
      </c>
      <c r="FP30" s="359" t="s">
        <v>2632</v>
      </c>
      <c r="FQ30" s="364">
        <f>_xll.LVCELL($FO$3,FQ$3,$DP30,$DQ$2,$DP$4,$DP$5,$DP$6,$DP$7,$DP$8,$DQ$3)</f>
        <v>15</v>
      </c>
      <c r="FR30" s="364">
        <f>_xll.LVCELL($FO$3,FR$3,$DP30,$DQ$2,$DP$4,$DP$5,$DP$6,$DP$7,$DP$8,$DQ$3)</f>
        <v>15</v>
      </c>
      <c r="FS30" s="364">
        <f>_xll.LVCELL($FO$3,FS$3,$DP30,$DQ$2,$DP$4,$DP$5,$DP$6,$DP$7,$DP$8,$DQ$3)</f>
        <v>15</v>
      </c>
      <c r="FT30" s="364">
        <f>_xll.LVCELL($FO$3,FT$3,$DP30,$DQ$2,$DP$4,$DP$5,$DP$6,$DP$7,$DP$8,$DQ$3)</f>
        <v>15</v>
      </c>
      <c r="FU30" s="364">
        <f>_xll.LVCELL($FO$3,FU$3,$DP30,$DQ$2,$DP$4,$DP$5,$DP$6,$DP$7,$DP$8,$DQ$3)</f>
        <v>15</v>
      </c>
      <c r="FV30" s="364">
        <f>_xll.LVCELL($FO$3,FV$3,$DP30,$DQ$2,$DP$4,$DP$5,$DP$6,$DP$7,$DP$8,$DQ$3)</f>
        <v>15</v>
      </c>
      <c r="FW30" s="364">
        <f>_xll.LVCELL($FO$3,FW$3,$DP30,$DQ$2,$DP$4,$DP$5,$DP$6,$DP$7,$DP$8,$DQ$3)</f>
        <v>15</v>
      </c>
      <c r="FX30" s="364">
        <f>_xll.LVCELL($FO$3,FX$3,$DP30,$DQ$2,$DP$4,$DP$5,$DP$6,$DP$7,$DP$8,$DQ$3)</f>
        <v>15</v>
      </c>
      <c r="FY30" s="364">
        <f>_xll.LVCELL($FO$3,FY$3,$DP30,$DQ$2,$DP$4,$DP$5,$DP$6,$DP$7,$DP$8,$DQ$3)</f>
        <v>15</v>
      </c>
      <c r="FZ30" s="364">
        <f>_xll.LVCELL($FO$3,FZ$3,$DP30,$DQ$2,$DP$4,$DP$5,$DP$6,$DP$7,$DP$8,$DQ$3)</f>
        <v>15</v>
      </c>
      <c r="GA30" s="364">
        <f>_xll.LVCELL($FO$3,GA$3,$DP30,$DQ$2,$DP$4,$DP$5,$DP$6,$DP$7,$DP$8,$DQ$3)</f>
        <v>15</v>
      </c>
      <c r="GB30" s="172">
        <f>_xll.LVCELL($FO$3,GB$3,$DP30,$DQ$2,$DP$4,$DP$5,$DP$6,$DP$7,$DP$8,$DQ$3)</f>
        <v>15</v>
      </c>
    </row>
    <row r="31" spans="2:184" ht="15">
      <c r="B31" s="64" t="s">
        <v>437</v>
      </c>
      <c r="C31" s="64" t="s">
        <v>437</v>
      </c>
      <c r="D31" s="73" t="s">
        <v>534</v>
      </c>
      <c r="E31" s="357"/>
      <c r="F31" s="103">
        <f>'distribution mensuelle Prod B22'!$W$36</f>
        <v>3079790.5474919407</v>
      </c>
      <c r="G31" s="103">
        <f>'distribution mensuelle Prod B22'!$W$37</f>
        <v>2512508.7914192546</v>
      </c>
      <c r="H31" s="103">
        <f>'distribution mensuelle Prod B22'!$W$38</f>
        <v>2380220.328450371</v>
      </c>
      <c r="I31" s="103">
        <f>'distribution mensuelle Prod B22'!$W$39</f>
        <v>1841136.0210075644</v>
      </c>
      <c r="J31" s="103">
        <f>'distribution mensuelle Prod B22'!$W$40</f>
        <v>1778612.9901642108</v>
      </c>
      <c r="K31" s="103">
        <f>'distribution mensuelle Prod B22'!$W$41</f>
        <v>1507095.6097789675</v>
      </c>
      <c r="L31" s="103">
        <f>'distribution mensuelle Prod B22'!$W$42</f>
        <v>1538892.0584333267</v>
      </c>
      <c r="M31" s="103">
        <f>'distribution mensuelle Prod B22'!$W$43</f>
        <v>1527943.26587831</v>
      </c>
      <c r="N31" s="103">
        <f>'distribution mensuelle Prod B22'!$W$44</f>
        <v>1736852.9543969668</v>
      </c>
      <c r="O31" s="103">
        <f>'distribution mensuelle Prod B22'!$W$45</f>
        <v>2414795.462834633</v>
      </c>
      <c r="P31" s="103">
        <f>'distribution mensuelle Prod B22'!$W$46</f>
        <v>2501967.2185132196</v>
      </c>
      <c r="Q31" s="103">
        <f>'distribution mensuelle Prod B22'!$W$47</f>
        <v>2963387.595064925</v>
      </c>
      <c r="R31" s="67">
        <f t="shared" si="1"/>
        <v>25783202.843433693</v>
      </c>
      <c r="S31" s="358"/>
      <c r="T31" s="169"/>
      <c r="W31" s="113" t="str">
        <f t="shared" si="2"/>
        <v>E5290</v>
      </c>
      <c r="X31" s="359" t="str">
        <f t="shared" si="3"/>
        <v>St Patrick Pernois 2</v>
      </c>
      <c r="Y31" s="299" cm="1">
        <f t="array" ref="Y31">_xll.LVCELL($D$4,F$1,$B31,$D$2,$C$4,$C$5,$C$6,$C$7,$C$8,$D$3)*1000</f>
        <v>89.393126000000009</v>
      </c>
      <c r="Z31" s="299" cm="1">
        <f t="array" ref="Z31">_xll.LVCELL($D$4,G$1,$B31,$D$2,$C$4,$C$5,$C$6,$C$7,$C$8,$D$3)*1000</f>
        <v>90.346703000000005</v>
      </c>
      <c r="AA31" s="299" cm="1">
        <f t="array" ref="AA31">_xll.LVCELL($D$4,H$1,$B31,$D$2,$C$4,$C$5,$C$6,$C$7,$C$8,$D$3)*1000</f>
        <v>90.357485301604783</v>
      </c>
      <c r="AB31" s="299" cm="1">
        <f t="array" ref="AB31">_xll.LVCELL($D$4,I$1,$B31,$D$2,$C$4,$C$5,$C$6,$C$7,$C$8,$D$3)*1000</f>
        <v>90.494161148025299</v>
      </c>
      <c r="AC31" s="299" cm="1">
        <f t="array" ref="AC31">_xll.LVCELL($D$4,J$1,$B31,$D$2,$C$4,$C$5,$C$6,$C$7,$C$8,$D$3)*1000</f>
        <v>90.331355342843906</v>
      </c>
      <c r="AD31" s="299" cm="1">
        <f t="array" ref="AD31">_xll.LVCELL($D$4,K$1,$B31,$D$2,$C$4,$C$5,$C$6,$C$7,$C$8,$D$3)*1000</f>
        <v>90.426847402597403</v>
      </c>
      <c r="AE31" s="299" cm="1">
        <f t="array" ref="AE31">_xll.LVCELL($D$4,L$1,$B31,$D$2,$C$4,$C$5,$C$6,$C$7,$C$8,$D$3)*1000</f>
        <v>90.392471729251895</v>
      </c>
      <c r="AF31" s="299">
        <v>89.668087200000002</v>
      </c>
      <c r="AG31" s="299">
        <f t="shared" si="53"/>
        <v>89.668087200000002</v>
      </c>
      <c r="AH31" s="299">
        <f t="shared" si="53"/>
        <v>89.668087200000002</v>
      </c>
      <c r="AI31" s="299">
        <f t="shared" si="54"/>
        <v>91.7304532056</v>
      </c>
      <c r="AJ31" s="412">
        <f t="shared" si="55"/>
        <v>91.7304532056</v>
      </c>
      <c r="AK31" s="563" t="s">
        <v>3409</v>
      </c>
      <c r="AL31" s="134">
        <f t="shared" si="4"/>
        <v>2.3E-2</v>
      </c>
      <c r="AM31" s="134"/>
      <c r="AN31" s="134"/>
      <c r="AO31" s="134"/>
      <c r="AP31" s="113" t="str">
        <f t="shared" si="38"/>
        <v>E5290</v>
      </c>
      <c r="AQ31" s="567" t="str">
        <f t="shared" si="39"/>
        <v>St Patrick Pernois 2</v>
      </c>
      <c r="AR31" s="377"/>
      <c r="AS31" s="377"/>
      <c r="AT31" s="377"/>
      <c r="AU31" s="377"/>
      <c r="AV31" s="377"/>
      <c r="AW31" s="377"/>
      <c r="AX31" s="377"/>
      <c r="AY31" s="377"/>
      <c r="AZ31" s="377"/>
      <c r="BA31" s="377"/>
      <c r="BB31" s="377"/>
      <c r="BC31" s="378"/>
      <c r="BD31" s="413"/>
      <c r="BE31" s="134"/>
      <c r="BF31" s="134"/>
      <c r="BG31" s="134"/>
      <c r="BH31" s="134"/>
      <c r="BI31" s="113" t="str">
        <f t="shared" si="40"/>
        <v>E5290</v>
      </c>
      <c r="BJ31" s="567" t="str">
        <f t="shared" si="41"/>
        <v>St Patrick Pernois 2</v>
      </c>
      <c r="BK31" s="299">
        <f t="shared" si="49"/>
        <v>91.7304532056</v>
      </c>
      <c r="BL31" s="299">
        <f t="shared" si="56"/>
        <v>91.7304532056</v>
      </c>
      <c r="BM31" s="299">
        <f t="shared" si="56"/>
        <v>91.7304532056</v>
      </c>
      <c r="BN31" s="299">
        <f t="shared" si="56"/>
        <v>91.7304532056</v>
      </c>
      <c r="BO31" s="299">
        <f t="shared" si="56"/>
        <v>91.7304532056</v>
      </c>
      <c r="BP31" s="299">
        <f t="shared" si="56"/>
        <v>91.7304532056</v>
      </c>
      <c r="BQ31" s="299">
        <f t="shared" si="56"/>
        <v>91.7304532056</v>
      </c>
      <c r="BR31" s="299">
        <f t="shared" si="56"/>
        <v>91.7304532056</v>
      </c>
      <c r="BS31" s="299">
        <f t="shared" si="56"/>
        <v>91.7304532056</v>
      </c>
      <c r="BT31" s="299">
        <f t="shared" si="56"/>
        <v>91.7304532056</v>
      </c>
      <c r="BU31" s="299">
        <f t="shared" si="57"/>
        <v>93.840253629328799</v>
      </c>
      <c r="BV31" s="370">
        <f t="shared" si="58"/>
        <v>93.840253629328799</v>
      </c>
      <c r="BW31" s="413"/>
      <c r="BX31" s="134"/>
      <c r="BY31" s="134"/>
      <c r="BZ31" s="134"/>
      <c r="CA31" s="134"/>
      <c r="CB31" s="113" t="str">
        <f t="shared" si="5"/>
        <v>E5290</v>
      </c>
      <c r="CC31" s="373" t="str">
        <f t="shared" si="6"/>
        <v>St Patrick Pernois 2</v>
      </c>
      <c r="CD31" s="299">
        <f t="shared" si="43"/>
        <v>91.7304532056</v>
      </c>
      <c r="CE31" s="299">
        <f t="shared" si="7"/>
        <v>91.7304532056</v>
      </c>
      <c r="CF31" s="299">
        <f t="shared" si="8"/>
        <v>91.7304532056</v>
      </c>
      <c r="CG31" s="299">
        <f t="shared" si="9"/>
        <v>91.7304532056</v>
      </c>
      <c r="CH31" s="299">
        <f t="shared" si="10"/>
        <v>91.7304532056</v>
      </c>
      <c r="CI31" s="299">
        <f t="shared" si="11"/>
        <v>91.7304532056</v>
      </c>
      <c r="CJ31" s="299">
        <f t="shared" si="12"/>
        <v>91.7304532056</v>
      </c>
      <c r="CK31" s="299">
        <f t="shared" si="13"/>
        <v>91.7304532056</v>
      </c>
      <c r="CL31" s="299">
        <f t="shared" si="14"/>
        <v>91.7304532056</v>
      </c>
      <c r="CM31" s="299">
        <f t="shared" si="15"/>
        <v>91.7304532056</v>
      </c>
      <c r="CN31" s="299">
        <f t="shared" si="16"/>
        <v>93.840253629328799</v>
      </c>
      <c r="CO31" s="370">
        <f t="shared" si="17"/>
        <v>93.840253629328799</v>
      </c>
      <c r="CP31" s="413"/>
      <c r="CQ31" s="134">
        <f t="shared" si="18"/>
        <v>4.0000000000000001E-3</v>
      </c>
      <c r="CU31" s="113" t="str">
        <f t="shared" si="19"/>
        <v>E5290</v>
      </c>
      <c r="CV31" s="359" t="str">
        <f t="shared" si="20"/>
        <v>St Patrick Pernois 2</v>
      </c>
      <c r="CW31" s="300">
        <f t="shared" si="21"/>
        <v>282510.58269975864</v>
      </c>
      <c r="CX31" s="298">
        <f t="shared" si="22"/>
        <v>230473.57011994254</v>
      </c>
      <c r="CY31" s="298">
        <f t="shared" si="23"/>
        <v>218338.68945793461</v>
      </c>
      <c r="CZ31" s="298">
        <f t="shared" si="24"/>
        <v>168888.24162017897</v>
      </c>
      <c r="DA31" s="298">
        <f t="shared" si="25"/>
        <v>163152.97566513042</v>
      </c>
      <c r="DB31" s="298">
        <f t="shared" si="26"/>
        <v>138246.56330919478</v>
      </c>
      <c r="DC31" s="298">
        <f t="shared" si="27"/>
        <v>141163.26595458772</v>
      </c>
      <c r="DD31" s="298">
        <f t="shared" si="28"/>
        <v>140158.92825146194</v>
      </c>
      <c r="DE31" s="298">
        <f t="shared" si="29"/>
        <v>159322.30865831909</v>
      </c>
      <c r="DF31" s="298">
        <f t="shared" si="30"/>
        <v>221510.28220464749</v>
      </c>
      <c r="DG31" s="371">
        <f t="shared" si="31"/>
        <v>234785.23835754683</v>
      </c>
      <c r="DH31" s="372">
        <f t="shared" si="32"/>
        <v>278085.04352289927</v>
      </c>
      <c r="DI31" s="133">
        <f t="shared" si="33"/>
        <v>2376635.6898216028</v>
      </c>
      <c r="DJ31" s="364"/>
      <c r="DK31" s="755">
        <f t="shared" si="44"/>
        <v>2376635.6898216028</v>
      </c>
      <c r="DM31" s="518">
        <f t="shared" si="34"/>
        <v>92.177674909262478</v>
      </c>
      <c r="DO31" s="64" t="str">
        <f t="shared" si="35"/>
        <v>E5290</v>
      </c>
      <c r="DP31" s="64" t="str">
        <f t="shared" si="36"/>
        <v>E5290</v>
      </c>
      <c r="DQ31" s="359" t="str">
        <f t="shared" si="37"/>
        <v>St Patrick Pernois 2</v>
      </c>
      <c r="DR31" s="365">
        <f>_xll.LVCELL($DP$3,DR$3,$DP31,$DQ$2,$DP$4,$DP$5,$DP$6,$DP$7,$DP$8,$DQ$3)/100</f>
        <v>0.97</v>
      </c>
      <c r="DS31" s="365">
        <f>_xll.LVCELL($DP$3,DS$3,$DP31,$DQ$2,$DP$4,$DP$5,$DP$6,$DP$7,$DP$8,$DQ$3)/100</f>
        <v>0.97</v>
      </c>
      <c r="DT31" s="365">
        <f>_xll.LVCELL($DP$3,DT$3,$DP31,$DQ$2,$DP$4,$DP$5,$DP$6,$DP$7,$DP$8,$DQ$3)/100</f>
        <v>0.97</v>
      </c>
      <c r="DU31" s="365">
        <f>_xll.LVCELL($DP$3,DU$3,$DP31,$DQ$2,$DP$4,$DP$5,$DP$6,$DP$7,$DP$8,$DQ$3)/100</f>
        <v>0.97</v>
      </c>
      <c r="DV31" s="365">
        <f>_xll.LVCELL($DP$3,DV$3,$DP31,$DQ$2,$DP$4,$DP$5,$DP$6,$DP$7,$DP$8,$DQ$3)/100</f>
        <v>0.97</v>
      </c>
      <c r="DW31" s="365">
        <f>_xll.LVCELL($DP$3,DW$3,$DP31,$DQ$2,$DP$4,$DP$5,$DP$6,$DP$7,$DP$8,$DQ$3)/100</f>
        <v>0.97</v>
      </c>
      <c r="DX31" s="365">
        <f>_xll.LVCELL($DP$3,DX$3,$DP31,$DQ$2,$DP$4,$DP$5,$DP$6,$DP$7,$DP$8,$DQ$3)/100</f>
        <v>0.97</v>
      </c>
      <c r="DY31" s="365">
        <f>_xll.LVCELL($DP$3,DY$3,$DP31,$DQ$2,$DP$4,$DP$5,$DP$6,$DP$7,$DP$8,$DQ$3)/100</f>
        <v>0.97</v>
      </c>
      <c r="DZ31" s="365">
        <f>_xll.LVCELL($DP$3,DZ$3,$DP31,$DQ$2,$DP$4,$DP$5,$DP$6,$DP$7,$DP$8,$DQ$3)/100</f>
        <v>0.97</v>
      </c>
      <c r="EA31" s="365">
        <f>_xll.LVCELL($DP$3,EA$3,$DP31,$DQ$2,$DP$4,$DP$5,$DP$6,$DP$7,$DP$8,$DQ$3)/100</f>
        <v>0.97</v>
      </c>
      <c r="EB31" s="365">
        <f>_xll.LVCELL($DP$3,EB$3,$DP31,$DQ$2,$DP$4,$DP$5,$DP$6,$DP$7,$DP$8,$DQ$3)/100</f>
        <v>0.97</v>
      </c>
      <c r="EC31" s="365">
        <f>_xll.LVCELL($DP$3,EC$3,$DP31,$DQ$2,$DP$4,$DP$5,$DP$6,$DP$7,$DP$8,$DQ$3)/100</f>
        <v>0.97</v>
      </c>
      <c r="ED31" s="582">
        <f t="shared" si="45"/>
        <v>11.64</v>
      </c>
      <c r="EF31" s="64" t="s">
        <v>437</v>
      </c>
      <c r="EH31" s="359"/>
      <c r="EI31" s="366"/>
      <c r="EJ31" s="367"/>
      <c r="EK31" s="368"/>
      <c r="EL31" s="367"/>
      <c r="EM31" s="368"/>
      <c r="EN31" s="367"/>
      <c r="EO31" s="368"/>
      <c r="EP31" s="367"/>
      <c r="EQ31" s="368"/>
      <c r="ER31" s="367"/>
      <c r="ES31" s="368"/>
      <c r="ET31" s="367"/>
      <c r="EY31" s="359"/>
      <c r="EZ31" s="364"/>
      <c r="FA31" s="364"/>
      <c r="FB31" s="364"/>
      <c r="FC31" s="364"/>
      <c r="FD31" s="364"/>
      <c r="FE31" s="364"/>
      <c r="FF31" s="364"/>
      <c r="FG31" s="364"/>
      <c r="FH31" s="364"/>
      <c r="FI31" s="364"/>
      <c r="FJ31" s="364"/>
      <c r="FK31" s="364"/>
      <c r="FP31" s="359"/>
      <c r="FQ31" s="364"/>
      <c r="FR31" s="364"/>
      <c r="FS31" s="364"/>
      <c r="FT31" s="364"/>
      <c r="FU31" s="364"/>
      <c r="FV31" s="364"/>
      <c r="FW31" s="364"/>
      <c r="FX31" s="364"/>
      <c r="FY31" s="364"/>
      <c r="FZ31" s="364"/>
      <c r="GA31" s="364"/>
      <c r="GB31" s="172"/>
    </row>
    <row r="32" spans="2:184" ht="15">
      <c r="B32" s="64" t="s">
        <v>437</v>
      </c>
      <c r="C32" s="64" t="s">
        <v>437</v>
      </c>
      <c r="D32" s="73" t="s">
        <v>535</v>
      </c>
      <c r="E32" s="357"/>
      <c r="F32" s="103">
        <f>'distribution mensuelle Prod B22'!$X$36</f>
        <v>1519681.9376146728</v>
      </c>
      <c r="G32" s="103">
        <f>'distribution mensuelle Prod B22'!$X$37</f>
        <v>1239764.2532955089</v>
      </c>
      <c r="H32" s="103">
        <f>'distribution mensuelle Prod B22'!$X$38</f>
        <v>1174488.2598055177</v>
      </c>
      <c r="I32" s="103">
        <f>'distribution mensuelle Prod B22'!$X$39</f>
        <v>908484.23380462569</v>
      </c>
      <c r="J32" s="103">
        <f>'distribution mensuelle Prod B22'!$X$40</f>
        <v>877633.0706516814</v>
      </c>
      <c r="K32" s="103">
        <f>'distribution mensuelle Prod B22'!$X$41</f>
        <v>743656.40816210781</v>
      </c>
      <c r="L32" s="103">
        <f>'distribution mensuelle Prod B22'!$X$42</f>
        <v>759345.94547160831</v>
      </c>
      <c r="M32" s="103">
        <f>'distribution mensuelle Prod B22'!$X$43</f>
        <v>753943.40850424906</v>
      </c>
      <c r="N32" s="103">
        <f>'distribution mensuelle Prod B22'!$X$44</f>
        <v>857027.13297799637</v>
      </c>
      <c r="O32" s="103">
        <f>'distribution mensuelle Prod B22'!$X$45</f>
        <v>1191548.902860336</v>
      </c>
      <c r="P32" s="103">
        <f>'distribution mensuelle Prod B22'!$X$46</f>
        <v>1234562.6534813931</v>
      </c>
      <c r="Q32" s="103">
        <f>'distribution mensuelle Prod B22'!$X$47</f>
        <v>1462244.4393301182</v>
      </c>
      <c r="R32" s="67">
        <f t="shared" si="1"/>
        <v>12722380.645959815</v>
      </c>
      <c r="S32" s="358"/>
      <c r="T32" s="169"/>
      <c r="W32" s="113" t="str">
        <f t="shared" si="2"/>
        <v>E5290</v>
      </c>
      <c r="X32" s="359" t="str">
        <f t="shared" si="3"/>
        <v>St Patrick Pernois 3</v>
      </c>
      <c r="Y32" s="299" cm="1">
        <f t="array" ref="Y32">_xll.LVCELL($D$4,F$1,$B32,$D$2,$C$4,$C$5,$C$6,$C$7,$C$8,$D$3)*1000</f>
        <v>89.393126000000009</v>
      </c>
      <c r="Z32" s="299" cm="1">
        <f t="array" ref="Z32">_xll.LVCELL($D$4,G$1,$B32,$D$2,$C$4,$C$5,$C$6,$C$7,$C$8,$D$3)*1000</f>
        <v>90.346703000000005</v>
      </c>
      <c r="AA32" s="299" cm="1">
        <f t="array" ref="AA32">_xll.LVCELL($D$4,H$1,$B32,$D$2,$C$4,$C$5,$C$6,$C$7,$C$8,$D$3)*1000</f>
        <v>90.357485301604783</v>
      </c>
      <c r="AB32" s="299" cm="1">
        <f t="array" ref="AB32">_xll.LVCELL($D$4,I$1,$B32,$D$2,$C$4,$C$5,$C$6,$C$7,$C$8,$D$3)*1000</f>
        <v>90.494161148025299</v>
      </c>
      <c r="AC32" s="299" cm="1">
        <f t="array" ref="AC32">_xll.LVCELL($D$4,J$1,$B32,$D$2,$C$4,$C$5,$C$6,$C$7,$C$8,$D$3)*1000</f>
        <v>90.331355342843906</v>
      </c>
      <c r="AD32" s="299" cm="1">
        <f t="array" ref="AD32">_xll.LVCELL($D$4,K$1,$B32,$D$2,$C$4,$C$5,$C$6,$C$7,$C$8,$D$3)*1000</f>
        <v>90.426847402597403</v>
      </c>
      <c r="AE32" s="299" cm="1">
        <f t="array" ref="AE32">_xll.LVCELL($D$4,L$1,$B32,$D$2,$C$4,$C$5,$C$6,$C$7,$C$8,$D$3)*1000</f>
        <v>90.392471729251895</v>
      </c>
      <c r="AF32" s="299">
        <v>91.05</v>
      </c>
      <c r="AG32" s="299">
        <f t="shared" si="53"/>
        <v>91.05</v>
      </c>
      <c r="AH32" s="299">
        <f t="shared" si="53"/>
        <v>91.05</v>
      </c>
      <c r="AI32" s="299">
        <f t="shared" si="54"/>
        <v>93.144149999999996</v>
      </c>
      <c r="AJ32" s="412">
        <f t="shared" si="55"/>
        <v>93.144149999999996</v>
      </c>
      <c r="AK32" s="563" t="s">
        <v>3409</v>
      </c>
      <c r="AL32" s="134">
        <f t="shared" si="4"/>
        <v>2.3E-2</v>
      </c>
      <c r="AM32" s="134"/>
      <c r="AN32" s="134"/>
      <c r="AO32" s="134"/>
      <c r="AP32" s="113" t="str">
        <f t="shared" si="38"/>
        <v>E5290</v>
      </c>
      <c r="AQ32" s="567" t="str">
        <f t="shared" si="39"/>
        <v>St Patrick Pernois 3</v>
      </c>
      <c r="AR32" s="377"/>
      <c r="AS32" s="377"/>
      <c r="AT32" s="377"/>
      <c r="AU32" s="377"/>
      <c r="AV32" s="377"/>
      <c r="AW32" s="377"/>
      <c r="AX32" s="377"/>
      <c r="AY32" s="377"/>
      <c r="AZ32" s="377"/>
      <c r="BA32" s="377"/>
      <c r="BB32" s="377"/>
      <c r="BC32" s="378"/>
      <c r="BD32" s="413"/>
      <c r="BE32" s="134"/>
      <c r="BF32" s="134"/>
      <c r="BG32" s="134"/>
      <c r="BH32" s="134"/>
      <c r="BI32" s="113" t="str">
        <f t="shared" si="40"/>
        <v>E5290</v>
      </c>
      <c r="BJ32" s="567" t="str">
        <f t="shared" si="41"/>
        <v>St Patrick Pernois 3</v>
      </c>
      <c r="BK32" s="299">
        <f t="shared" si="49"/>
        <v>93.144149999999996</v>
      </c>
      <c r="BL32" s="299">
        <f t="shared" si="56"/>
        <v>93.144149999999996</v>
      </c>
      <c r="BM32" s="299">
        <f t="shared" si="56"/>
        <v>93.144149999999996</v>
      </c>
      <c r="BN32" s="299">
        <f t="shared" si="56"/>
        <v>93.144149999999996</v>
      </c>
      <c r="BO32" s="299">
        <f t="shared" si="56"/>
        <v>93.144149999999996</v>
      </c>
      <c r="BP32" s="299">
        <f t="shared" si="56"/>
        <v>93.144149999999996</v>
      </c>
      <c r="BQ32" s="299">
        <f t="shared" si="56"/>
        <v>93.144149999999996</v>
      </c>
      <c r="BR32" s="299">
        <f t="shared" si="56"/>
        <v>93.144149999999996</v>
      </c>
      <c r="BS32" s="299">
        <f t="shared" si="56"/>
        <v>93.144149999999996</v>
      </c>
      <c r="BT32" s="299">
        <f t="shared" si="56"/>
        <v>93.144149999999996</v>
      </c>
      <c r="BU32" s="299">
        <f t="shared" si="57"/>
        <v>95.286465449999994</v>
      </c>
      <c r="BV32" s="370">
        <f t="shared" si="58"/>
        <v>95.286465449999994</v>
      </c>
      <c r="BW32" s="413"/>
      <c r="BX32" s="134"/>
      <c r="BY32" s="134"/>
      <c r="BZ32" s="134"/>
      <c r="CA32" s="134"/>
      <c r="CB32" s="113" t="str">
        <f t="shared" si="5"/>
        <v>E5290</v>
      </c>
      <c r="CC32" s="373" t="str">
        <f t="shared" si="6"/>
        <v>St Patrick Pernois 3</v>
      </c>
      <c r="CD32" s="299">
        <f t="shared" si="43"/>
        <v>93.144149999999996</v>
      </c>
      <c r="CE32" s="299">
        <f t="shared" si="7"/>
        <v>93.144149999999996</v>
      </c>
      <c r="CF32" s="299">
        <f t="shared" si="8"/>
        <v>93.144149999999996</v>
      </c>
      <c r="CG32" s="299">
        <f t="shared" si="9"/>
        <v>93.144149999999996</v>
      </c>
      <c r="CH32" s="299">
        <f t="shared" si="10"/>
        <v>93.144149999999996</v>
      </c>
      <c r="CI32" s="299">
        <f t="shared" si="11"/>
        <v>93.144149999999996</v>
      </c>
      <c r="CJ32" s="299">
        <f t="shared" si="12"/>
        <v>93.144149999999996</v>
      </c>
      <c r="CK32" s="299">
        <f t="shared" si="13"/>
        <v>93.144149999999996</v>
      </c>
      <c r="CL32" s="299">
        <f t="shared" si="14"/>
        <v>93.144149999999996</v>
      </c>
      <c r="CM32" s="299">
        <f t="shared" si="15"/>
        <v>93.144149999999996</v>
      </c>
      <c r="CN32" s="299">
        <f t="shared" si="16"/>
        <v>95.286465449999994</v>
      </c>
      <c r="CO32" s="370">
        <f t="shared" si="17"/>
        <v>95.286465449999994</v>
      </c>
      <c r="CP32" s="413"/>
      <c r="CQ32" s="134">
        <f t="shared" si="18"/>
        <v>4.0000000000000001E-3</v>
      </c>
      <c r="CU32" s="113" t="str">
        <f t="shared" si="19"/>
        <v>E5290</v>
      </c>
      <c r="CV32" s="359" t="str">
        <f t="shared" si="20"/>
        <v>St Patrick Pernois 3</v>
      </c>
      <c r="CW32" s="300">
        <f t="shared" si="21"/>
        <v>141549.48234947171</v>
      </c>
      <c r="CX32" s="298">
        <f t="shared" si="22"/>
        <v>115476.78757359488</v>
      </c>
      <c r="CY32" s="298">
        <f t="shared" si="23"/>
        <v>109396.71064456411</v>
      </c>
      <c r="CZ32" s="298">
        <f t="shared" si="24"/>
        <v>84619.991746133121</v>
      </c>
      <c r="DA32" s="298">
        <f t="shared" si="25"/>
        <v>81746.386377740811</v>
      </c>
      <c r="DB32" s="298">
        <f t="shared" si="26"/>
        <v>69267.244030312591</v>
      </c>
      <c r="DC32" s="298">
        <f t="shared" si="27"/>
        <v>70728.632646899307</v>
      </c>
      <c r="DD32" s="298">
        <f t="shared" si="28"/>
        <v>70225.417933231045</v>
      </c>
      <c r="DE32" s="298">
        <f t="shared" si="29"/>
        <v>79827.063828172439</v>
      </c>
      <c r="DF32" s="298">
        <f t="shared" si="30"/>
        <v>110985.80974035856</v>
      </c>
      <c r="DG32" s="371">
        <f t="shared" si="31"/>
        <v>117637.11162681508</v>
      </c>
      <c r="DH32" s="372">
        <f t="shared" si="32"/>
        <v>139332.10424768392</v>
      </c>
      <c r="DI32" s="133">
        <f t="shared" si="33"/>
        <v>1190792.7427449776</v>
      </c>
      <c r="DJ32" s="364"/>
      <c r="DK32" s="755">
        <f t="shared" si="44"/>
        <v>1190792.7427449776</v>
      </c>
      <c r="DM32" s="518">
        <f t="shared" si="34"/>
        <v>93.59826402640546</v>
      </c>
      <c r="DO32" s="64" t="str">
        <f t="shared" si="35"/>
        <v>E5290</v>
      </c>
      <c r="DP32" s="64" t="str">
        <f t="shared" si="36"/>
        <v>E5290</v>
      </c>
      <c r="DQ32" s="359" t="str">
        <f t="shared" si="37"/>
        <v>St Patrick Pernois 3</v>
      </c>
      <c r="DR32" s="365">
        <f>_xll.LVCELL($DP$3,DR$3,$DP32,$DQ$2,$DP$4,$DP$5,$DP$6,$DP$7,$DP$8,$DQ$3)/100</f>
        <v>0.97</v>
      </c>
      <c r="DS32" s="365">
        <f>_xll.LVCELL($DP$3,DS$3,$DP32,$DQ$2,$DP$4,$DP$5,$DP$6,$DP$7,$DP$8,$DQ$3)/100</f>
        <v>0.97</v>
      </c>
      <c r="DT32" s="365">
        <f>_xll.LVCELL($DP$3,DT$3,$DP32,$DQ$2,$DP$4,$DP$5,$DP$6,$DP$7,$DP$8,$DQ$3)/100</f>
        <v>0.97</v>
      </c>
      <c r="DU32" s="365">
        <f>_xll.LVCELL($DP$3,DU$3,$DP32,$DQ$2,$DP$4,$DP$5,$DP$6,$DP$7,$DP$8,$DQ$3)/100</f>
        <v>0.97</v>
      </c>
      <c r="DV32" s="365">
        <f>_xll.LVCELL($DP$3,DV$3,$DP32,$DQ$2,$DP$4,$DP$5,$DP$6,$DP$7,$DP$8,$DQ$3)/100</f>
        <v>0.97</v>
      </c>
      <c r="DW32" s="365">
        <f>_xll.LVCELL($DP$3,DW$3,$DP32,$DQ$2,$DP$4,$DP$5,$DP$6,$DP$7,$DP$8,$DQ$3)/100</f>
        <v>0.97</v>
      </c>
      <c r="DX32" s="365">
        <f>_xll.LVCELL($DP$3,DX$3,$DP32,$DQ$2,$DP$4,$DP$5,$DP$6,$DP$7,$DP$8,$DQ$3)/100</f>
        <v>0.97</v>
      </c>
      <c r="DY32" s="365">
        <f>_xll.LVCELL($DP$3,DY$3,$DP32,$DQ$2,$DP$4,$DP$5,$DP$6,$DP$7,$DP$8,$DQ$3)/100</f>
        <v>0.97</v>
      </c>
      <c r="DZ32" s="365">
        <f>_xll.LVCELL($DP$3,DZ$3,$DP32,$DQ$2,$DP$4,$DP$5,$DP$6,$DP$7,$DP$8,$DQ$3)/100</f>
        <v>0.97</v>
      </c>
      <c r="EA32" s="365">
        <f>_xll.LVCELL($DP$3,EA$3,$DP32,$DQ$2,$DP$4,$DP$5,$DP$6,$DP$7,$DP$8,$DQ$3)/100</f>
        <v>0.97</v>
      </c>
      <c r="EB32" s="365">
        <f>_xll.LVCELL($DP$3,EB$3,$DP32,$DQ$2,$DP$4,$DP$5,$DP$6,$DP$7,$DP$8,$DQ$3)/100</f>
        <v>0.97</v>
      </c>
      <c r="EC32" s="365">
        <f>_xll.LVCELL($DP$3,EC$3,$DP32,$DQ$2,$DP$4,$DP$5,$DP$6,$DP$7,$DP$8,$DQ$3)/100</f>
        <v>0.97</v>
      </c>
      <c r="ED32" s="582">
        <f t="shared" si="45"/>
        <v>11.64</v>
      </c>
      <c r="EF32" s="64" t="s">
        <v>437</v>
      </c>
      <c r="EH32" s="359"/>
      <c r="EI32" s="366"/>
      <c r="EJ32" s="367"/>
      <c r="EK32" s="368"/>
      <c r="EL32" s="367"/>
      <c r="EM32" s="368"/>
      <c r="EN32" s="367"/>
      <c r="EO32" s="368"/>
      <c r="EP32" s="367"/>
      <c r="EQ32" s="368"/>
      <c r="ER32" s="367"/>
      <c r="ES32" s="368"/>
      <c r="ET32" s="367"/>
      <c r="EY32" s="359"/>
      <c r="EZ32" s="364"/>
      <c r="FA32" s="364"/>
      <c r="FB32" s="364"/>
      <c r="FC32" s="364"/>
      <c r="FD32" s="364"/>
      <c r="FE32" s="364"/>
      <c r="FF32" s="364"/>
      <c r="FG32" s="364"/>
      <c r="FH32" s="364"/>
      <c r="FI32" s="364"/>
      <c r="FJ32" s="364"/>
      <c r="FK32" s="364"/>
      <c r="FP32" s="359"/>
      <c r="FQ32" s="364"/>
      <c r="FR32" s="364"/>
      <c r="FS32" s="364"/>
      <c r="FT32" s="364"/>
      <c r="FU32" s="364"/>
      <c r="FV32" s="364"/>
      <c r="FW32" s="364"/>
      <c r="FX32" s="364"/>
      <c r="FY32" s="364"/>
      <c r="FZ32" s="364"/>
      <c r="GA32" s="364"/>
      <c r="GB32" s="172"/>
    </row>
    <row r="33" spans="1:184" ht="15">
      <c r="B33" s="64" t="s">
        <v>437</v>
      </c>
      <c r="C33" s="64" t="s">
        <v>437</v>
      </c>
      <c r="D33" s="73" t="s">
        <v>536</v>
      </c>
      <c r="E33" s="357"/>
      <c r="F33" s="103">
        <f>'distribution mensuelle Prod B22'!$Y$36</f>
        <v>3817387.8415468084</v>
      </c>
      <c r="G33" s="103">
        <f>'distribution mensuelle Prod B22'!$Y$37</f>
        <v>3114244.4150801222</v>
      </c>
      <c r="H33" s="103">
        <f>'distribution mensuelle Prod B22'!$Y$38</f>
        <v>2950273.4039587388</v>
      </c>
      <c r="I33" s="103">
        <f>'distribution mensuelle Prod B22'!$Y$39</f>
        <v>2282080.600238136</v>
      </c>
      <c r="J33" s="103">
        <f>'distribution mensuelle Prod B22'!$Y$40</f>
        <v>2204583.5581251774</v>
      </c>
      <c r="K33" s="103">
        <f>'distribution mensuelle Prod B22'!$Y$41</f>
        <v>1868038.8708589147</v>
      </c>
      <c r="L33" s="103">
        <f>'distribution mensuelle Prod B22'!$Y$42</f>
        <v>1907450.4394788535</v>
      </c>
      <c r="M33" s="103">
        <f>'distribution mensuelle Prod B22'!$Y$43</f>
        <v>1893879.455694526</v>
      </c>
      <c r="N33" s="103">
        <f>'distribution mensuelle Prod B22'!$Y$44</f>
        <v>2152822.1638543052</v>
      </c>
      <c r="O33" s="103">
        <f>'distribution mensuelle Prod B22'!$Y$45</f>
        <v>2993129.1422250359</v>
      </c>
      <c r="P33" s="103">
        <f>'distribution mensuelle Prod B22'!$Y$46</f>
        <v>3101178.1783923553</v>
      </c>
      <c r="Q33" s="103">
        <f>'distribution mensuelle Prod B22'!$Y$47</f>
        <v>3673106.8560502762</v>
      </c>
      <c r="R33" s="67">
        <f t="shared" si="1"/>
        <v>31958174.925503246</v>
      </c>
      <c r="S33" s="358"/>
      <c r="T33" s="169"/>
      <c r="W33" s="113" t="str">
        <f t="shared" si="2"/>
        <v>E5290</v>
      </c>
      <c r="X33" s="359" t="str">
        <f t="shared" si="3"/>
        <v>St Patrick Hermin</v>
      </c>
      <c r="Y33" s="299" cm="1">
        <f t="array" ref="Y33">_xll.LVCELL($D$4,F$1,$B33,$D$2,$C$4,$C$5,$C$6,$C$7,$C$8,$D$3)*1000</f>
        <v>89.393126000000009</v>
      </c>
      <c r="Z33" s="299" cm="1">
        <f t="array" ref="Z33">_xll.LVCELL($D$4,G$1,$B33,$D$2,$C$4,$C$5,$C$6,$C$7,$C$8,$D$3)*1000</f>
        <v>90.346703000000005</v>
      </c>
      <c r="AA33" s="299" cm="1">
        <f t="array" ref="AA33">_xll.LVCELL($D$4,H$1,$B33,$D$2,$C$4,$C$5,$C$6,$C$7,$C$8,$D$3)*1000</f>
        <v>90.357485301604783</v>
      </c>
      <c r="AB33" s="299" cm="1">
        <f t="array" ref="AB33">_xll.LVCELL($D$4,I$1,$B33,$D$2,$C$4,$C$5,$C$6,$C$7,$C$8,$D$3)*1000</f>
        <v>90.494161148025299</v>
      </c>
      <c r="AC33" s="299" cm="1">
        <f t="array" ref="AC33">_xll.LVCELL($D$4,J$1,$B33,$D$2,$C$4,$C$5,$C$6,$C$7,$C$8,$D$3)*1000</f>
        <v>90.331355342843906</v>
      </c>
      <c r="AD33" s="299" cm="1">
        <f t="array" ref="AD33">_xll.LVCELL($D$4,K$1,$B33,$D$2,$C$4,$C$5,$C$6,$C$7,$C$8,$D$3)*1000</f>
        <v>90.426847402597403</v>
      </c>
      <c r="AE33" s="299" cm="1">
        <f t="array" ref="AE33">_xll.LVCELL($D$4,L$1,$B33,$D$2,$C$4,$C$5,$C$6,$C$7,$C$8,$D$3)*1000</f>
        <v>90.392471729251895</v>
      </c>
      <c r="AF33" s="299">
        <v>88.48</v>
      </c>
      <c r="AG33" s="299">
        <f t="shared" si="53"/>
        <v>88.48</v>
      </c>
      <c r="AH33" s="299">
        <f t="shared" si="53"/>
        <v>88.48</v>
      </c>
      <c r="AI33" s="299">
        <f t="shared" si="54"/>
        <v>90.515039999999999</v>
      </c>
      <c r="AJ33" s="412">
        <f t="shared" si="55"/>
        <v>90.515039999999999</v>
      </c>
      <c r="AK33" s="563" t="s">
        <v>3409</v>
      </c>
      <c r="AL33" s="134">
        <f t="shared" si="4"/>
        <v>2.3E-2</v>
      </c>
      <c r="AM33" s="134"/>
      <c r="AN33" s="134"/>
      <c r="AO33" s="134"/>
      <c r="AP33" s="113" t="str">
        <f t="shared" si="38"/>
        <v>E5290</v>
      </c>
      <c r="AQ33" s="567" t="str">
        <f t="shared" si="39"/>
        <v>St Patrick Hermin</v>
      </c>
      <c r="AR33" s="377"/>
      <c r="AS33" s="377"/>
      <c r="AT33" s="377"/>
      <c r="AU33" s="377"/>
      <c r="AV33" s="377"/>
      <c r="AW33" s="377"/>
      <c r="AX33" s="377"/>
      <c r="AY33" s="377"/>
      <c r="AZ33" s="377"/>
      <c r="BA33" s="377"/>
      <c r="BB33" s="377"/>
      <c r="BC33" s="378"/>
      <c r="BD33" s="413"/>
      <c r="BE33" s="134"/>
      <c r="BF33" s="134"/>
      <c r="BG33" s="134"/>
      <c r="BH33" s="134"/>
      <c r="BI33" s="113" t="str">
        <f t="shared" si="40"/>
        <v>E5290</v>
      </c>
      <c r="BJ33" s="567" t="str">
        <f t="shared" si="41"/>
        <v>St Patrick Hermin</v>
      </c>
      <c r="BK33" s="411">
        <f t="shared" si="49"/>
        <v>90.515039999999999</v>
      </c>
      <c r="BL33" s="299">
        <f t="shared" si="56"/>
        <v>90.515039999999999</v>
      </c>
      <c r="BM33" s="299">
        <f t="shared" si="56"/>
        <v>90.515039999999999</v>
      </c>
      <c r="BN33" s="299">
        <f t="shared" si="56"/>
        <v>90.515039999999999</v>
      </c>
      <c r="BO33" s="299">
        <f t="shared" si="56"/>
        <v>90.515039999999999</v>
      </c>
      <c r="BP33" s="299">
        <f t="shared" si="56"/>
        <v>90.515039999999999</v>
      </c>
      <c r="BQ33" s="299">
        <f t="shared" si="56"/>
        <v>90.515039999999999</v>
      </c>
      <c r="BR33" s="299">
        <f t="shared" si="56"/>
        <v>90.515039999999999</v>
      </c>
      <c r="BS33" s="299">
        <f t="shared" si="56"/>
        <v>90.515039999999999</v>
      </c>
      <c r="BT33" s="299">
        <f t="shared" si="56"/>
        <v>90.515039999999999</v>
      </c>
      <c r="BU33" s="299">
        <f t="shared" si="57"/>
        <v>92.596885920000005</v>
      </c>
      <c r="BV33" s="370">
        <f t="shared" si="58"/>
        <v>92.596885920000005</v>
      </c>
      <c r="BW33" s="413"/>
      <c r="BX33" s="134"/>
      <c r="BY33" s="134"/>
      <c r="BZ33" s="134"/>
      <c r="CA33" s="134"/>
      <c r="CB33" s="113" t="str">
        <f t="shared" si="5"/>
        <v>E5290</v>
      </c>
      <c r="CC33" s="373" t="str">
        <f t="shared" si="6"/>
        <v>St Patrick Hermin</v>
      </c>
      <c r="CD33" s="411">
        <f t="shared" si="43"/>
        <v>90.515039999999999</v>
      </c>
      <c r="CE33" s="299">
        <f t="shared" si="7"/>
        <v>90.515039999999999</v>
      </c>
      <c r="CF33" s="299">
        <f t="shared" si="8"/>
        <v>90.515039999999999</v>
      </c>
      <c r="CG33" s="299">
        <f t="shared" si="9"/>
        <v>90.515039999999999</v>
      </c>
      <c r="CH33" s="299">
        <f t="shared" si="10"/>
        <v>90.515039999999999</v>
      </c>
      <c r="CI33" s="299">
        <f t="shared" si="11"/>
        <v>90.515039999999999</v>
      </c>
      <c r="CJ33" s="299">
        <f t="shared" si="12"/>
        <v>90.515039999999999</v>
      </c>
      <c r="CK33" s="299">
        <f t="shared" si="13"/>
        <v>90.515039999999999</v>
      </c>
      <c r="CL33" s="299">
        <f t="shared" si="14"/>
        <v>90.515039999999999</v>
      </c>
      <c r="CM33" s="299">
        <f t="shared" si="15"/>
        <v>90.515039999999999</v>
      </c>
      <c r="CN33" s="299">
        <f t="shared" si="16"/>
        <v>92.596885920000005</v>
      </c>
      <c r="CO33" s="370">
        <f t="shared" si="17"/>
        <v>92.596885920000005</v>
      </c>
      <c r="CP33" s="413"/>
      <c r="CQ33" s="134">
        <f t="shared" si="18"/>
        <v>4.0000000000000001E-3</v>
      </c>
      <c r="CU33" s="113" t="str">
        <f t="shared" si="19"/>
        <v>E5290</v>
      </c>
      <c r="CV33" s="359" t="str">
        <f t="shared" si="20"/>
        <v>St Patrick Hermin</v>
      </c>
      <c r="CW33" s="300">
        <f t="shared" si="21"/>
        <v>345531.01317312306</v>
      </c>
      <c r="CX33" s="298">
        <f t="shared" si="22"/>
        <v>281885.95780075388</v>
      </c>
      <c r="CY33" s="298">
        <f t="shared" si="23"/>
        <v>267044.11517026142</v>
      </c>
      <c r="CZ33" s="298">
        <f t="shared" si="24"/>
        <v>206562.61681377891</v>
      </c>
      <c r="DA33" s="298">
        <f t="shared" si="25"/>
        <v>199547.96894704277</v>
      </c>
      <c r="DB33" s="298">
        <f t="shared" si="26"/>
        <v>169085.61311734951</v>
      </c>
      <c r="DC33" s="298">
        <f t="shared" si="27"/>
        <v>172652.95282744602</v>
      </c>
      <c r="DD33" s="298">
        <f t="shared" si="28"/>
        <v>171424.57468736827</v>
      </c>
      <c r="DE33" s="298">
        <f t="shared" si="29"/>
        <v>194862.784274159</v>
      </c>
      <c r="DF33" s="298">
        <f t="shared" si="30"/>
        <v>270923.20403366484</v>
      </c>
      <c r="DG33" s="371">
        <f t="shared" si="31"/>
        <v>287159.44200219039</v>
      </c>
      <c r="DH33" s="372">
        <f t="shared" si="32"/>
        <v>340118.25652165734</v>
      </c>
      <c r="DI33" s="133">
        <f t="shared" si="33"/>
        <v>2906798.4993687952</v>
      </c>
      <c r="DJ33" s="364"/>
      <c r="DK33" s="755">
        <f t="shared" si="44"/>
        <v>2906798.4993687952</v>
      </c>
      <c r="DM33" s="518">
        <f t="shared" si="34"/>
        <v>90.956336090679372</v>
      </c>
      <c r="DO33" s="64" t="str">
        <f t="shared" si="35"/>
        <v>E5290</v>
      </c>
      <c r="DP33" s="64" t="str">
        <f t="shared" si="36"/>
        <v>E5290</v>
      </c>
      <c r="DQ33" s="359" t="str">
        <f t="shared" si="37"/>
        <v>St Patrick Hermin</v>
      </c>
      <c r="DR33" s="365">
        <f>_xll.LVCELL($DP$3,DR$3,$DP33,$DQ$2,$DP$4,$DP$5,$DP$6,$DP$7,$DP$8,$DQ$3)/100</f>
        <v>0.97</v>
      </c>
      <c r="DS33" s="365">
        <f>_xll.LVCELL($DP$3,DS$3,$DP33,$DQ$2,$DP$4,$DP$5,$DP$6,$DP$7,$DP$8,$DQ$3)/100</f>
        <v>0.97</v>
      </c>
      <c r="DT33" s="365">
        <f>_xll.LVCELL($DP$3,DT$3,$DP33,$DQ$2,$DP$4,$DP$5,$DP$6,$DP$7,$DP$8,$DQ$3)/100</f>
        <v>0.97</v>
      </c>
      <c r="DU33" s="365">
        <f>_xll.LVCELL($DP$3,DU$3,$DP33,$DQ$2,$DP$4,$DP$5,$DP$6,$DP$7,$DP$8,$DQ$3)/100</f>
        <v>0.97</v>
      </c>
      <c r="DV33" s="365">
        <f>_xll.LVCELL($DP$3,DV$3,$DP33,$DQ$2,$DP$4,$DP$5,$DP$6,$DP$7,$DP$8,$DQ$3)/100</f>
        <v>0.97</v>
      </c>
      <c r="DW33" s="365">
        <f>_xll.LVCELL($DP$3,DW$3,$DP33,$DQ$2,$DP$4,$DP$5,$DP$6,$DP$7,$DP$8,$DQ$3)/100</f>
        <v>0.97</v>
      </c>
      <c r="DX33" s="365">
        <f>_xll.LVCELL($DP$3,DX$3,$DP33,$DQ$2,$DP$4,$DP$5,$DP$6,$DP$7,$DP$8,$DQ$3)/100</f>
        <v>0.97</v>
      </c>
      <c r="DY33" s="365">
        <f>_xll.LVCELL($DP$3,DY$3,$DP33,$DQ$2,$DP$4,$DP$5,$DP$6,$DP$7,$DP$8,$DQ$3)/100</f>
        <v>0.97</v>
      </c>
      <c r="DZ33" s="365">
        <f>_xll.LVCELL($DP$3,DZ$3,$DP33,$DQ$2,$DP$4,$DP$5,$DP$6,$DP$7,$DP$8,$DQ$3)/100</f>
        <v>0.97</v>
      </c>
      <c r="EA33" s="365">
        <f>_xll.LVCELL($DP$3,EA$3,$DP33,$DQ$2,$DP$4,$DP$5,$DP$6,$DP$7,$DP$8,$DQ$3)/100</f>
        <v>0.97</v>
      </c>
      <c r="EB33" s="365">
        <f>_xll.LVCELL($DP$3,EB$3,$DP33,$DQ$2,$DP$4,$DP$5,$DP$6,$DP$7,$DP$8,$DQ$3)/100</f>
        <v>0.97</v>
      </c>
      <c r="EC33" s="365">
        <f>_xll.LVCELL($DP$3,EC$3,$DP33,$DQ$2,$DP$4,$DP$5,$DP$6,$DP$7,$DP$8,$DQ$3)/100</f>
        <v>0.97</v>
      </c>
      <c r="ED33" s="582">
        <f t="shared" si="45"/>
        <v>11.64</v>
      </c>
      <c r="EF33" s="64" t="s">
        <v>437</v>
      </c>
      <c r="EH33" s="359"/>
      <c r="EI33" s="366"/>
      <c r="EJ33" s="367"/>
      <c r="EK33" s="368"/>
      <c r="EL33" s="367"/>
      <c r="EM33" s="368"/>
      <c r="EN33" s="367"/>
      <c r="EO33" s="368"/>
      <c r="EP33" s="367"/>
      <c r="EQ33" s="368"/>
      <c r="ER33" s="367"/>
      <c r="ES33" s="368"/>
      <c r="ET33" s="367"/>
      <c r="EY33" s="359"/>
      <c r="EZ33" s="364"/>
      <c r="FA33" s="364"/>
      <c r="FB33" s="364"/>
      <c r="FC33" s="364"/>
      <c r="FD33" s="364"/>
      <c r="FE33" s="364"/>
      <c r="FF33" s="364"/>
      <c r="FG33" s="364"/>
      <c r="FH33" s="364"/>
      <c r="FI33" s="364"/>
      <c r="FJ33" s="364"/>
      <c r="FK33" s="364"/>
      <c r="FP33" s="359"/>
      <c r="FQ33" s="364"/>
      <c r="FR33" s="364"/>
      <c r="FS33" s="364"/>
      <c r="FT33" s="364"/>
      <c r="FU33" s="364"/>
      <c r="FV33" s="364"/>
      <c r="FW33" s="364"/>
      <c r="FX33" s="364"/>
      <c r="FY33" s="364"/>
      <c r="FZ33" s="364"/>
      <c r="GA33" s="364"/>
      <c r="GB33" s="172"/>
    </row>
    <row r="34" spans="1:184" ht="15">
      <c r="B34" s="64" t="s">
        <v>260</v>
      </c>
      <c r="C34" s="64" t="s">
        <v>260</v>
      </c>
      <c r="D34" s="359" t="s">
        <v>213</v>
      </c>
      <c r="E34" s="357">
        <f>_xll.LVCELL($C$3,Q$3,$C34,$D$2,$C$4,$C$5,$C$6,$C$7,$C$8,$D$3)/1000</f>
        <v>9.1999999999999993</v>
      </c>
      <c r="F34" s="103">
        <f>'distribution mensuelle Prod B22'!$Z$36</f>
        <v>2444447.1303538587</v>
      </c>
      <c r="G34" s="103">
        <f>'distribution mensuelle Prod B22'!$Z$37</f>
        <v>1957403.5163964615</v>
      </c>
      <c r="H34" s="103">
        <f>'distribution mensuelle Prod B22'!$Z$38</f>
        <v>1857850.1346622349</v>
      </c>
      <c r="I34" s="103">
        <f>'distribution mensuelle Prod B22'!$Z$39</f>
        <v>1368469.6654461429</v>
      </c>
      <c r="J34" s="103">
        <f>'distribution mensuelle Prod B22'!$Z$40</f>
        <v>1337743.982310971</v>
      </c>
      <c r="K34" s="103">
        <f>'distribution mensuelle Prod B22'!$Z$41</f>
        <v>1064375.3424988315</v>
      </c>
      <c r="L34" s="103">
        <f>'distribution mensuelle Prod B22'!$Z$42</f>
        <v>1111675.1149537454</v>
      </c>
      <c r="M34" s="103">
        <f>'distribution mensuelle Prod B22'!$Z$43</f>
        <v>1097391.8967547053</v>
      </c>
      <c r="N34" s="103">
        <f>'distribution mensuelle Prod B22'!$Z$44</f>
        <v>1299833.9561915777</v>
      </c>
      <c r="O34" s="103">
        <f>'distribution mensuelle Prod B22'!$Z$45</f>
        <v>1856865.0851312664</v>
      </c>
      <c r="P34" s="103">
        <f>'distribution mensuelle Prod B22'!$Z$46</f>
        <v>1921368.4344412552</v>
      </c>
      <c r="Q34" s="103">
        <f>'distribution mensuelle Prod B22'!$Z$47</f>
        <v>2317375.7408589483</v>
      </c>
      <c r="R34" s="67">
        <f t="shared" si="1"/>
        <v>19634800</v>
      </c>
      <c r="S34" s="379"/>
      <c r="T34" s="169"/>
      <c r="W34" s="113" t="str">
        <f t="shared" si="2"/>
        <v>E5300</v>
      </c>
      <c r="X34" s="359" t="str">
        <f t="shared" si="3"/>
        <v>Vron</v>
      </c>
      <c r="Y34" s="299" cm="1">
        <f t="array" ref="Y34">_xll.LVCELL($D$4,F$1,$B34,$D$2,$C$4,$C$5,$C$6,$C$7,$C$8,$D$3)*1000</f>
        <v>89.660020000000003</v>
      </c>
      <c r="Z34" s="299" cm="1">
        <f t="array" ref="Z34">_xll.LVCELL($D$4,G$1,$B34,$D$2,$C$4,$C$5,$C$6,$C$7,$C$8,$D$3)*1000</f>
        <v>89.660021</v>
      </c>
      <c r="AA34" s="299" cm="1">
        <f t="array" ref="AA34">_xll.LVCELL($D$4,H$1,$B34,$D$2,$C$4,$C$5,$C$6,$C$7,$C$8,$D$3)*1000</f>
        <v>89.660032705582594</v>
      </c>
      <c r="AB34" s="299" cm="1">
        <f t="array" ref="AB34">_xll.LVCELL($D$4,I$1,$B34,$D$2,$C$4,$C$5,$C$6,$C$7,$C$8,$D$3)*1000</f>
        <v>89.660001060839122</v>
      </c>
      <c r="AC34" s="299" cm="1">
        <f t="array" ref="AC34">_xll.LVCELL($D$4,J$1,$B34,$D$2,$C$4,$C$5,$C$6,$C$7,$C$8,$D$3)*1000</f>
        <v>89.660023181578211</v>
      </c>
      <c r="AD34" s="299" cm="1">
        <f t="array" ref="AD34">_xll.LVCELL($D$4,K$1,$B34,$D$2,$C$4,$C$5,$C$6,$C$7,$C$8,$D$3)*1000</f>
        <v>89.660075471698107</v>
      </c>
      <c r="AE34" s="299" cm="1">
        <f t="array" ref="AE34">_xll.LVCELL($D$4,L$1,$B34,$D$2,$C$4,$C$5,$C$6,$C$7,$C$8,$D$3)*1000</f>
        <v>89.659996270525824</v>
      </c>
      <c r="AF34" s="299">
        <f>$AD$34</f>
        <v>89.660075471698107</v>
      </c>
      <c r="AG34" s="299">
        <f t="shared" si="53"/>
        <v>89.660075471698107</v>
      </c>
      <c r="AH34" s="299">
        <f t="shared" si="53"/>
        <v>89.660075471698107</v>
      </c>
      <c r="AI34" s="299">
        <f t="shared" si="54"/>
        <v>91.722257207547159</v>
      </c>
      <c r="AJ34" s="412">
        <f t="shared" si="55"/>
        <v>91.722257207547159</v>
      </c>
      <c r="AK34" s="413"/>
      <c r="AL34" s="134">
        <f t="shared" si="4"/>
        <v>2.3E-2</v>
      </c>
      <c r="AM34" s="134"/>
      <c r="AN34" s="134"/>
      <c r="AO34" s="134"/>
      <c r="AP34" s="113" t="str">
        <f t="shared" si="38"/>
        <v>E5300</v>
      </c>
      <c r="AQ34" s="567" t="str">
        <f t="shared" si="39"/>
        <v>Vron</v>
      </c>
      <c r="AR34" s="377"/>
      <c r="AS34" s="377"/>
      <c r="AT34" s="377"/>
      <c r="AU34" s="377"/>
      <c r="AV34" s="377"/>
      <c r="AW34" s="377"/>
      <c r="AX34" s="377"/>
      <c r="AY34" s="377"/>
      <c r="AZ34" s="377"/>
      <c r="BA34" s="377"/>
      <c r="BB34" s="377"/>
      <c r="BC34" s="378"/>
      <c r="BD34" s="414"/>
      <c r="BE34" s="134"/>
      <c r="BF34" s="134"/>
      <c r="BG34" s="134"/>
      <c r="BH34" s="134"/>
      <c r="BI34" s="113" t="str">
        <f t="shared" si="40"/>
        <v>E5300</v>
      </c>
      <c r="BJ34" s="567" t="str">
        <f t="shared" si="41"/>
        <v>Vron</v>
      </c>
      <c r="BK34" s="299">
        <f t="shared" si="49"/>
        <v>91.722257207547159</v>
      </c>
      <c r="BL34" s="299">
        <f t="shared" si="56"/>
        <v>91.722257207547159</v>
      </c>
      <c r="BM34" s="299">
        <f t="shared" si="56"/>
        <v>91.722257207547159</v>
      </c>
      <c r="BN34" s="299">
        <f t="shared" si="56"/>
        <v>91.722257207547159</v>
      </c>
      <c r="BO34" s="299">
        <f t="shared" si="56"/>
        <v>91.722257207547159</v>
      </c>
      <c r="BP34" s="299">
        <f t="shared" si="56"/>
        <v>91.722257207547159</v>
      </c>
      <c r="BQ34" s="299">
        <f t="shared" si="56"/>
        <v>91.722257207547159</v>
      </c>
      <c r="BR34" s="299">
        <f t="shared" si="56"/>
        <v>91.722257207547159</v>
      </c>
      <c r="BS34" s="299">
        <f t="shared" si="56"/>
        <v>91.722257207547159</v>
      </c>
      <c r="BT34" s="299">
        <f t="shared" si="56"/>
        <v>91.722257207547159</v>
      </c>
      <c r="BU34" s="299">
        <f t="shared" si="57"/>
        <v>93.831869123320743</v>
      </c>
      <c r="BV34" s="370">
        <f t="shared" si="58"/>
        <v>93.831869123320743</v>
      </c>
      <c r="BW34" s="414"/>
      <c r="BX34" s="134"/>
      <c r="BY34" s="134"/>
      <c r="BZ34" s="134"/>
      <c r="CA34" s="134"/>
      <c r="CB34" s="113" t="str">
        <f t="shared" si="5"/>
        <v>E5300</v>
      </c>
      <c r="CC34" s="373" t="str">
        <f t="shared" si="6"/>
        <v>Vron</v>
      </c>
      <c r="CD34" s="299">
        <f t="shared" si="43"/>
        <v>91.722257207547159</v>
      </c>
      <c r="CE34" s="299">
        <f t="shared" si="7"/>
        <v>91.722257207547159</v>
      </c>
      <c r="CF34" s="299">
        <f t="shared" si="8"/>
        <v>91.722257207547159</v>
      </c>
      <c r="CG34" s="299">
        <f t="shared" si="9"/>
        <v>91.722257207547159</v>
      </c>
      <c r="CH34" s="299">
        <f t="shared" si="10"/>
        <v>91.722257207547159</v>
      </c>
      <c r="CI34" s="299">
        <f t="shared" si="11"/>
        <v>91.722257207547159</v>
      </c>
      <c r="CJ34" s="299">
        <f t="shared" si="12"/>
        <v>91.722257207547159</v>
      </c>
      <c r="CK34" s="299">
        <f t="shared" si="13"/>
        <v>91.722257207547159</v>
      </c>
      <c r="CL34" s="299">
        <f t="shared" si="14"/>
        <v>91.722257207547159</v>
      </c>
      <c r="CM34" s="299">
        <f t="shared" si="15"/>
        <v>91.722257207547159</v>
      </c>
      <c r="CN34" s="299">
        <f t="shared" si="16"/>
        <v>93.831869123320743</v>
      </c>
      <c r="CO34" s="370">
        <f t="shared" si="17"/>
        <v>93.831869123320743</v>
      </c>
      <c r="CP34" s="414"/>
      <c r="CQ34" s="134">
        <f t="shared" si="18"/>
        <v>4.0000000000000001E-3</v>
      </c>
      <c r="CU34" s="113" t="str">
        <f t="shared" si="19"/>
        <v>E5300</v>
      </c>
      <c r="CV34" s="359" t="str">
        <f t="shared" si="20"/>
        <v>Vron</v>
      </c>
      <c r="CW34" s="300">
        <f t="shared" si="21"/>
        <v>224210.20842056719</v>
      </c>
      <c r="CX34" s="298">
        <f t="shared" si="22"/>
        <v>179537.4687898735</v>
      </c>
      <c r="CY34" s="298">
        <f t="shared" si="23"/>
        <v>170406.20790456564</v>
      </c>
      <c r="CZ34" s="298">
        <f t="shared" si="24"/>
        <v>125519.12663477713</v>
      </c>
      <c r="DA34" s="298">
        <f t="shared" si="25"/>
        <v>122700.89762337531</v>
      </c>
      <c r="DB34" s="298">
        <f t="shared" si="26"/>
        <v>97626.908930048929</v>
      </c>
      <c r="DC34" s="298">
        <f t="shared" si="27"/>
        <v>101965.350825017</v>
      </c>
      <c r="DD34" s="298">
        <f t="shared" si="28"/>
        <v>100655.26181161312</v>
      </c>
      <c r="DE34" s="298">
        <f t="shared" si="29"/>
        <v>119223.70445690748</v>
      </c>
      <c r="DF34" s="298">
        <f t="shared" si="30"/>
        <v>170315.85693812396</v>
      </c>
      <c r="DG34" s="371">
        <f t="shared" si="31"/>
        <v>180285.59147817153</v>
      </c>
      <c r="DH34" s="372">
        <f t="shared" si="32"/>
        <v>217443.69722583529</v>
      </c>
      <c r="DI34" s="67">
        <f t="shared" si="33"/>
        <v>1809890.2810388762</v>
      </c>
      <c r="DJ34" s="364">
        <f>_xll.LVCELL($E$1,Q$2,$C34,$D$2,$C$4,$C$5,$C$6,$C$7,$C$8,$D$3)+_xll.LVCELL($E$2,Q$2,$C34,$D$2,$C$4,$C$5,$C$6,$C$7,$C$8,$D$3)</f>
        <v>1809890.2769509291</v>
      </c>
      <c r="DK34" s="82">
        <f t="shared" si="44"/>
        <v>4.0879470761865377E-3</v>
      </c>
      <c r="DM34" s="518">
        <f t="shared" si="34"/>
        <v>92.177678460635008</v>
      </c>
      <c r="DO34" s="64" t="str">
        <f t="shared" si="35"/>
        <v>E5300</v>
      </c>
      <c r="DP34" s="64" t="str">
        <f t="shared" si="36"/>
        <v>E5300</v>
      </c>
      <c r="DQ34" s="359" t="str">
        <f t="shared" si="37"/>
        <v>Vron</v>
      </c>
      <c r="DR34" s="365">
        <f>_xll.LVCELL($DP$3,DR$3,$DP34,$DQ$2,$DP$4,$DP$5,$DP$6,$DP$7,$DP$8,$DQ$3)/100</f>
        <v>0.97</v>
      </c>
      <c r="DS34" s="365">
        <f>_xll.LVCELL($DP$3,DS$3,$DP34,$DQ$2,$DP$4,$DP$5,$DP$6,$DP$7,$DP$8,$DQ$3)/100</f>
        <v>0.97</v>
      </c>
      <c r="DT34" s="365">
        <f>_xll.LVCELL($DP$3,DT$3,$DP34,$DQ$2,$DP$4,$DP$5,$DP$6,$DP$7,$DP$8,$DQ$3)/100</f>
        <v>0.97</v>
      </c>
      <c r="DU34" s="365">
        <f>_xll.LVCELL($DP$3,DU$3,$DP34,$DQ$2,$DP$4,$DP$5,$DP$6,$DP$7,$DP$8,$DQ$3)/100</f>
        <v>0.97</v>
      </c>
      <c r="DV34" s="365">
        <f>_xll.LVCELL($DP$3,DV$3,$DP34,$DQ$2,$DP$4,$DP$5,$DP$6,$DP$7,$DP$8,$DQ$3)/100</f>
        <v>0.97</v>
      </c>
      <c r="DW34" s="365">
        <f>_xll.LVCELL($DP$3,DW$3,$DP34,$DQ$2,$DP$4,$DP$5,$DP$6,$DP$7,$DP$8,$DQ$3)/100</f>
        <v>0.97</v>
      </c>
      <c r="DX34" s="365">
        <f>_xll.LVCELL($DP$3,DX$3,$DP34,$DQ$2,$DP$4,$DP$5,$DP$6,$DP$7,$DP$8,$DQ$3)/100</f>
        <v>0.97</v>
      </c>
      <c r="DY34" s="365">
        <f>_xll.LVCELL($DP$3,DY$3,$DP34,$DQ$2,$DP$4,$DP$5,$DP$6,$DP$7,$DP$8,$DQ$3)/100</f>
        <v>0.97</v>
      </c>
      <c r="DZ34" s="365">
        <f>_xll.LVCELL($DP$3,DZ$3,$DP34,$DQ$2,$DP$4,$DP$5,$DP$6,$DP$7,$DP$8,$DQ$3)/100</f>
        <v>0.97</v>
      </c>
      <c r="EA34" s="365">
        <f>_xll.LVCELL($DP$3,EA$3,$DP34,$DQ$2,$DP$4,$DP$5,$DP$6,$DP$7,$DP$8,$DQ$3)/100</f>
        <v>0.97</v>
      </c>
      <c r="EB34" s="365">
        <f>_xll.LVCELL($DP$3,EB$3,$DP34,$DQ$2,$DP$4,$DP$5,$DP$6,$DP$7,$DP$8,$DQ$3)/100</f>
        <v>0.97</v>
      </c>
      <c r="EC34" s="365">
        <f>_xll.LVCELL($DP$3,EC$3,$DP34,$DQ$2,$DP$4,$DP$5,$DP$6,$DP$7,$DP$8,$DQ$3)/100</f>
        <v>0.97</v>
      </c>
      <c r="ED34" s="582">
        <f t="shared" si="45"/>
        <v>11.64</v>
      </c>
      <c r="EF34" s="64" t="s">
        <v>260</v>
      </c>
      <c r="EG34" s="64" t="s">
        <v>260</v>
      </c>
      <c r="EH34" s="359" t="s">
        <v>537</v>
      </c>
      <c r="EI34" s="366" t="e">
        <f ca="1">_xll.LVCELL($EG$3,EI$3,$DP34,$DQ$2,$DP$4,$DP$5,$DP$6,$DP$7,$DP$8,$DQ$3)-CW34</f>
        <v>#NAME?</v>
      </c>
      <c r="EJ34" s="367" t="e">
        <f ca="1">_xll.LVCELL($EG$3,EJ$3,$DP34,$DQ$2,$DP$4,$DP$5,$DP$6,$DP$7,$DP$8,$DQ$3)-CX34</f>
        <v>#NAME?</v>
      </c>
      <c r="EK34" s="368" t="e">
        <f ca="1">_xll.LVCELL($EG$3,EK$3,$DP34,$DQ$2,$DP$4,$DP$5,$DP$6,$DP$7,$DP$8,$DQ$3)-CY34</f>
        <v>#NAME?</v>
      </c>
      <c r="EL34" s="367" t="e">
        <f ca="1">_xll.LVCELL($EG$3,EL$3,$DP34,$DQ$2,$DP$4,$DP$5,$DP$6,$DP$7,$DP$8,$DQ$3)-CZ34</f>
        <v>#NAME?</v>
      </c>
      <c r="EM34" s="368" t="e">
        <f ca="1">_xll.LVCELL($EG$3,EM$3,$DP34,$DQ$2,$DP$4,$DP$5,$DP$6,$DP$7,$DP$8,$DQ$3)-DA34</f>
        <v>#NAME?</v>
      </c>
      <c r="EN34" s="367" t="e">
        <f ca="1">_xll.LVCELL($EG$3,EN$3,$DP34,$DQ$2,$DP$4,$DP$5,$DP$6,$DP$7,$DP$8,$DQ$3)-DB34</f>
        <v>#NAME?</v>
      </c>
      <c r="EO34" s="368" t="e">
        <f ca="1">_xll.LVCELL($EG$3,EO$3,$DP34,$DQ$2,$DP$4,$DP$5,$DP$6,$DP$7,$DP$8,$DQ$3)-DC34</f>
        <v>#NAME?</v>
      </c>
      <c r="EP34" s="367" t="e">
        <f ca="1">_xll.LVCELL($EG$3,EP$3,$DP34,$DQ$2,$DP$4,$DP$5,$DP$6,$DP$7,$DP$8,$DQ$3)-DD34</f>
        <v>#NAME?</v>
      </c>
      <c r="EQ34" s="368" t="e">
        <f ca="1">_xll.LVCELL($EG$3,EQ$3,$DP34,$DQ$2,$DP$4,$DP$5,$DP$6,$DP$7,$DP$8,$DQ$3)-DE34</f>
        <v>#NAME?</v>
      </c>
      <c r="ER34" s="367" t="e">
        <f ca="1">_xll.LVCELL($EG$3,ER$3,$DP34,$DQ$2,$DP$4,$DP$5,$DP$6,$DP$7,$DP$8,$DQ$3)-DF34</f>
        <v>#NAME?</v>
      </c>
      <c r="ES34" s="368" t="e">
        <f ca="1">_xll.LVCELL($EG$3,ES$3,$DP34,$DQ$2,$DP$4,$DP$5,$DP$6,$DP$7,$DP$8,$DQ$3)-DG34</f>
        <v>#NAME?</v>
      </c>
      <c r="ET34" s="367" t="e">
        <f ca="1">_xll.LVCELL($EG$3,ET$3,$DP34,$DQ$2,$DP$4,$DP$5,$DP$6,$DP$7,$DP$8,$DQ$3)-DH34</f>
        <v>#NAME?</v>
      </c>
      <c r="EW34" s="64" t="s">
        <v>260</v>
      </c>
      <c r="EX34" s="64" t="s">
        <v>260</v>
      </c>
      <c r="EY34" s="359" t="s">
        <v>537</v>
      </c>
      <c r="EZ34" s="364">
        <f>_xll.LVCELL($EX$3,EZ$3,$DP34,$DQ$2,$DP$4,$DP$5,$DP$6,$DP$7,$DP$8,$DQ$3)</f>
        <v>9200</v>
      </c>
      <c r="FA34" s="364">
        <f>_xll.LVCELL($EX$3,FA$3,$DP34,$DQ$2,$DP$4,$DP$5,$DP$6,$DP$7,$DP$8,$DQ$3)</f>
        <v>9200</v>
      </c>
      <c r="FB34" s="364">
        <f>_xll.LVCELL($EX$3,FB$3,$DP34,$DQ$2,$DP$4,$DP$5,$DP$6,$DP$7,$DP$8,$DQ$3)</f>
        <v>9200</v>
      </c>
      <c r="FC34" s="364">
        <f>_xll.LVCELL($EX$3,FC$3,$DP34,$DQ$2,$DP$4,$DP$5,$DP$6,$DP$7,$DP$8,$DQ$3)</f>
        <v>9200</v>
      </c>
      <c r="FD34" s="364">
        <f>_xll.LVCELL($EX$3,FD$3,$DP34,$DQ$2,$DP$4,$DP$5,$DP$6,$DP$7,$DP$8,$DQ$3)</f>
        <v>9200</v>
      </c>
      <c r="FE34" s="364">
        <f>_xll.LVCELL($EX$3,FE$3,$DP34,$DQ$2,$DP$4,$DP$5,$DP$6,$DP$7,$DP$8,$DQ$3)</f>
        <v>9200</v>
      </c>
      <c r="FF34" s="364">
        <f>_xll.LVCELL($EX$3,FF$3,$DP34,$DQ$2,$DP$4,$DP$5,$DP$6,$DP$7,$DP$8,$DQ$3)</f>
        <v>9200</v>
      </c>
      <c r="FG34" s="364">
        <f>_xll.LVCELL($EX$3,FG$3,$DP34,$DQ$2,$DP$4,$DP$5,$DP$6,$DP$7,$DP$8,$DQ$3)</f>
        <v>9200</v>
      </c>
      <c r="FH34" s="364">
        <f>_xll.LVCELL($EX$3,FH$3,$DP34,$DQ$2,$DP$4,$DP$5,$DP$6,$DP$7,$DP$8,$DQ$3)</f>
        <v>9200</v>
      </c>
      <c r="FI34" s="364">
        <f>_xll.LVCELL($EX$3,FI$3,$DP34,$DQ$2,$DP$4,$DP$5,$DP$6,$DP$7,$DP$8,$DQ$3)</f>
        <v>9200</v>
      </c>
      <c r="FJ34" s="364">
        <f>_xll.LVCELL($EX$3,FJ$3,$DP34,$DQ$2,$DP$4,$DP$5,$DP$6,$DP$7,$DP$8,$DQ$3)</f>
        <v>9200</v>
      </c>
      <c r="FK34" s="276">
        <f>_xll.LVCELL($EX$3,FK$3,$DP34,$DQ$2,$DP$4,$DP$5,$DP$6,$DP$7,$DP$8,$DQ$3)</f>
        <v>9200</v>
      </c>
      <c r="FL34" s="187" t="s">
        <v>3087</v>
      </c>
      <c r="FN34" s="64" t="s">
        <v>260</v>
      </c>
      <c r="FO34" s="64" t="s">
        <v>260</v>
      </c>
      <c r="FP34" s="359" t="s">
        <v>537</v>
      </c>
      <c r="FQ34" s="364">
        <f>_xll.LVCELL($FO$3,FQ$3,$DP34,$DQ$2,$DP$4,$DP$5,$DP$6,$DP$7,$DP$8,$DQ$3)</f>
        <v>4</v>
      </c>
      <c r="FR34" s="364">
        <f>_xll.LVCELL($FO$3,FR$3,$DP34,$DQ$2,$DP$4,$DP$5,$DP$6,$DP$7,$DP$8,$DQ$3)</f>
        <v>4</v>
      </c>
      <c r="FS34" s="364">
        <f>_xll.LVCELL($FO$3,FS$3,$DP34,$DQ$2,$DP$4,$DP$5,$DP$6,$DP$7,$DP$8,$DQ$3)</f>
        <v>4</v>
      </c>
      <c r="FT34" s="364">
        <f>_xll.LVCELL($FO$3,FT$3,$DP34,$DQ$2,$DP$4,$DP$5,$DP$6,$DP$7,$DP$8,$DQ$3)</f>
        <v>4</v>
      </c>
      <c r="FU34" s="364">
        <f>_xll.LVCELL($FO$3,FU$3,$DP34,$DQ$2,$DP$4,$DP$5,$DP$6,$DP$7,$DP$8,$DQ$3)</f>
        <v>4</v>
      </c>
      <c r="FV34" s="364">
        <f>_xll.LVCELL($FO$3,FV$3,$DP34,$DQ$2,$DP$4,$DP$5,$DP$6,$DP$7,$DP$8,$DQ$3)</f>
        <v>4</v>
      </c>
      <c r="FW34" s="364">
        <f>_xll.LVCELL($FO$3,FW$3,$DP34,$DQ$2,$DP$4,$DP$5,$DP$6,$DP$7,$DP$8,$DQ$3)</f>
        <v>4</v>
      </c>
      <c r="FX34" s="364">
        <f>_xll.LVCELL($FO$3,FX$3,$DP34,$DQ$2,$DP$4,$DP$5,$DP$6,$DP$7,$DP$8,$DQ$3)</f>
        <v>4</v>
      </c>
      <c r="FY34" s="364">
        <f>_xll.LVCELL($FO$3,FY$3,$DP34,$DQ$2,$DP$4,$DP$5,$DP$6,$DP$7,$DP$8,$DQ$3)</f>
        <v>4</v>
      </c>
      <c r="FZ34" s="364">
        <f>_xll.LVCELL($FO$3,FZ$3,$DP34,$DQ$2,$DP$4,$DP$5,$DP$6,$DP$7,$DP$8,$DQ$3)</f>
        <v>4</v>
      </c>
      <c r="GA34" s="364">
        <f>_xll.LVCELL($FO$3,GA$3,$DP34,$DQ$2,$DP$4,$DP$5,$DP$6,$DP$7,$DP$8,$DQ$3)</f>
        <v>4</v>
      </c>
      <c r="GB34" s="172">
        <f>_xll.LVCELL($FO$3,GB$3,$DP34,$DQ$2,$DP$4,$DP$5,$DP$6,$DP$7,$DP$8,$DQ$3)</f>
        <v>4</v>
      </c>
    </row>
    <row r="35" spans="1:184" ht="15">
      <c r="B35" s="64" t="s">
        <v>315</v>
      </c>
      <c r="C35" s="64" t="s">
        <v>315</v>
      </c>
      <c r="D35" s="72" t="s">
        <v>538</v>
      </c>
      <c r="E35" s="357">
        <f>_xll.LVCELL($C$3,Q$3,$C35,$D$2,$C$4,$C$5,$C$6,$C$7,$C$8,$D$3)/1000</f>
        <v>26</v>
      </c>
      <c r="F35" s="103">
        <f>'distribution mensuelle Prod B22'!$AA$36</f>
        <v>4503440.7834255099</v>
      </c>
      <c r="G35" s="103">
        <f>'distribution mensuelle Prod B22'!$AA$37</f>
        <v>3842620.4529154971</v>
      </c>
      <c r="H35" s="103">
        <f>'distribution mensuelle Prod B22'!$AA$38</f>
        <v>3753008.5408745157</v>
      </c>
      <c r="I35" s="103">
        <f>'distribution mensuelle Prod B22'!$AA$39</f>
        <v>3257081.9749087589</v>
      </c>
      <c r="J35" s="103">
        <f>'distribution mensuelle Prod B22'!$AA$40</f>
        <v>2728535.5564366397</v>
      </c>
      <c r="K35" s="103">
        <f>'distribution mensuelle Prod B22'!$AA$41</f>
        <v>2175018.2860373263</v>
      </c>
      <c r="L35" s="103">
        <f>'distribution mensuelle Prod B22'!$AA$42</f>
        <v>2148077.9512585206</v>
      </c>
      <c r="M35" s="103">
        <f>'distribution mensuelle Prod B22'!$AA$43</f>
        <v>1949196.0626317549</v>
      </c>
      <c r="N35" s="103">
        <f>'distribution mensuelle Prod B22'!$AA$44</f>
        <v>2493930.541806052</v>
      </c>
      <c r="O35" s="103">
        <f>'distribution mensuelle Prod B22'!$AA$45</f>
        <v>3354088.4735708283</v>
      </c>
      <c r="P35" s="103">
        <f>'distribution mensuelle Prod B22'!$AA$46</f>
        <v>3695726.2003871473</v>
      </c>
      <c r="Q35" s="103">
        <f>'distribution mensuelle Prod B22'!$AA$47</f>
        <v>4591318.8272373369</v>
      </c>
      <c r="R35" s="67">
        <f t="shared" si="1"/>
        <v>38492043.651489891</v>
      </c>
      <c r="S35" s="380"/>
      <c r="T35" s="169"/>
      <c r="W35" s="113" t="str">
        <f t="shared" si="2"/>
        <v>E5270</v>
      </c>
      <c r="X35" s="359" t="str">
        <f t="shared" si="3"/>
        <v>Ménétréols Renardiére (La vallée 2)</v>
      </c>
      <c r="Y35" s="299" cm="1">
        <f t="array" ref="Y35">_xll.LVCELL($D$4,F$1,$B35,$D$2,$C$4,$C$5,$C$6,$C$7,$C$8,$D$3)*1000</f>
        <v>89.580008000000007</v>
      </c>
      <c r="Z35" s="299" cm="1">
        <f t="array" ref="Z35">_xll.LVCELL($D$4,G$1,$B35,$D$2,$C$4,$C$5,$C$6,$C$7,$C$8,$D$3)*1000</f>
        <v>89.579993000000002</v>
      </c>
      <c r="AA35" s="299" cm="1">
        <f t="array" ref="AA35">_xll.LVCELL($D$4,H$1,$B35,$D$2,$C$4,$C$5,$C$6,$C$7,$C$8,$D$3)*1000</f>
        <v>89.536209433462204</v>
      </c>
      <c r="AB35" s="299" cm="1">
        <f t="array" ref="AB35">_xll.LVCELL($D$4,I$1,$B35,$D$2,$C$4,$C$5,$C$6,$C$7,$C$8,$D$3)*1000</f>
        <v>89.580019132048335</v>
      </c>
      <c r="AC35" s="299" cm="1">
        <f t="array" ref="AC35">_xll.LVCELL($D$4,J$1,$B35,$D$2,$C$4,$C$5,$C$6,$C$7,$C$8,$D$3)*1000</f>
        <v>89.579992385234675</v>
      </c>
      <c r="AD35" s="299" cm="1">
        <f t="array" ref="AD35">_xll.LVCELL($D$4,K$1,$B35,$D$2,$C$4,$C$5,$C$6,$C$7,$C$8,$D$3)*1000</f>
        <v>89.579965918673125</v>
      </c>
      <c r="AE35" s="299" cm="1">
        <f t="array" ref="AE35">_xll.LVCELL($D$4,L$1,$B35,$D$2,$C$4,$C$5,$C$6,$C$7,$C$8,$D$3)*1000</f>
        <v>89.580005752245327</v>
      </c>
      <c r="AF35" s="299">
        <f>$AD$35</f>
        <v>89.579965918673125</v>
      </c>
      <c r="AG35" s="299">
        <f t="shared" si="53"/>
        <v>89.579965918673125</v>
      </c>
      <c r="AH35" s="299">
        <f t="shared" si="53"/>
        <v>89.579965918673125</v>
      </c>
      <c r="AI35" s="299">
        <f t="shared" si="54"/>
        <v>91.640305134802603</v>
      </c>
      <c r="AJ35" s="412">
        <f t="shared" si="55"/>
        <v>91.640305134802603</v>
      </c>
      <c r="AK35" s="67"/>
      <c r="AL35" s="134">
        <f t="shared" si="4"/>
        <v>2.3E-2</v>
      </c>
      <c r="AM35" s="134"/>
      <c r="AN35" s="134"/>
      <c r="AO35" s="134"/>
      <c r="AP35" s="113" t="str">
        <f t="shared" si="38"/>
        <v>E5270</v>
      </c>
      <c r="AQ35" s="567" t="str">
        <f t="shared" si="39"/>
        <v>Ménétréols Renardiére (La vallée 2)</v>
      </c>
      <c r="AR35" s="377"/>
      <c r="AS35" s="377"/>
      <c r="AT35" s="377"/>
      <c r="AU35" s="377"/>
      <c r="AV35" s="377"/>
      <c r="AW35" s="377"/>
      <c r="AX35" s="377"/>
      <c r="AY35" s="377"/>
      <c r="AZ35" s="377"/>
      <c r="BA35" s="377"/>
      <c r="BB35" s="377"/>
      <c r="BC35" s="378"/>
      <c r="BD35" s="414"/>
      <c r="BE35" s="134"/>
      <c r="BF35" s="134"/>
      <c r="BG35" s="134"/>
      <c r="BH35" s="134"/>
      <c r="BI35" s="113" t="str">
        <f t="shared" si="40"/>
        <v>E5270</v>
      </c>
      <c r="BJ35" s="567" t="str">
        <f t="shared" si="41"/>
        <v>Ménétréols Renardiére (La vallée 2)</v>
      </c>
      <c r="BK35" s="299">
        <f t="shared" si="49"/>
        <v>91.640305134802603</v>
      </c>
      <c r="BL35" s="299">
        <f t="shared" ref="BL35:BT44" si="59">$AJ35</f>
        <v>91.640305134802603</v>
      </c>
      <c r="BM35" s="299">
        <f t="shared" si="59"/>
        <v>91.640305134802603</v>
      </c>
      <c r="BN35" s="299">
        <f t="shared" si="59"/>
        <v>91.640305134802603</v>
      </c>
      <c r="BO35" s="299">
        <f t="shared" si="59"/>
        <v>91.640305134802603</v>
      </c>
      <c r="BP35" s="299">
        <f t="shared" si="59"/>
        <v>91.640305134802603</v>
      </c>
      <c r="BQ35" s="299">
        <f t="shared" si="59"/>
        <v>91.640305134802603</v>
      </c>
      <c r="BR35" s="299">
        <f t="shared" si="59"/>
        <v>91.640305134802603</v>
      </c>
      <c r="BS35" s="299">
        <f t="shared" si="59"/>
        <v>91.640305134802603</v>
      </c>
      <c r="BT35" s="299">
        <f t="shared" si="59"/>
        <v>91.640305134802603</v>
      </c>
      <c r="BU35" s="299">
        <f t="shared" si="57"/>
        <v>93.748032152903065</v>
      </c>
      <c r="BV35" s="370">
        <f t="shared" si="58"/>
        <v>93.748032152903065</v>
      </c>
      <c r="BW35" s="414"/>
      <c r="BX35" s="134"/>
      <c r="BY35" s="134"/>
      <c r="BZ35" s="134"/>
      <c r="CA35" s="134"/>
      <c r="CB35" s="113" t="str">
        <f t="shared" si="5"/>
        <v>E5270</v>
      </c>
      <c r="CC35" s="307" t="str">
        <f t="shared" si="6"/>
        <v>Ménétréols Renardiére (La vallée 2)</v>
      </c>
      <c r="CD35" s="299">
        <f t="shared" si="43"/>
        <v>91.640305134802603</v>
      </c>
      <c r="CE35" s="299">
        <f t="shared" si="7"/>
        <v>91.640305134802603</v>
      </c>
      <c r="CF35" s="299">
        <f t="shared" si="8"/>
        <v>91.640305134802603</v>
      </c>
      <c r="CG35" s="299">
        <f t="shared" si="9"/>
        <v>91.640305134802603</v>
      </c>
      <c r="CH35" s="299">
        <f t="shared" si="10"/>
        <v>91.640305134802603</v>
      </c>
      <c r="CI35" s="299">
        <f t="shared" si="11"/>
        <v>91.640305134802603</v>
      </c>
      <c r="CJ35" s="299">
        <f t="shared" si="12"/>
        <v>91.640305134802603</v>
      </c>
      <c r="CK35" s="299">
        <f t="shared" si="13"/>
        <v>91.640305134802603</v>
      </c>
      <c r="CL35" s="299">
        <f t="shared" si="14"/>
        <v>91.640305134802603</v>
      </c>
      <c r="CM35" s="299">
        <f t="shared" si="15"/>
        <v>91.640305134802603</v>
      </c>
      <c r="CN35" s="299">
        <f t="shared" si="16"/>
        <v>93.748032152903065</v>
      </c>
      <c r="CO35" s="370">
        <f t="shared" si="17"/>
        <v>93.748032152903065</v>
      </c>
      <c r="CP35" s="414"/>
      <c r="CQ35" s="134">
        <f t="shared" si="18"/>
        <v>4.0000000000000001E-3</v>
      </c>
      <c r="CU35" s="113" t="str">
        <f t="shared" si="19"/>
        <v>E5270</v>
      </c>
      <c r="CV35" s="72" t="str">
        <f t="shared" si="20"/>
        <v>Ménétréols Renardiére (La vallée 2)</v>
      </c>
      <c r="CW35" s="300">
        <f t="shared" si="21"/>
        <v>412696.6875496282</v>
      </c>
      <c r="CX35" s="298">
        <f t="shared" si="22"/>
        <v>352138.91082240955</v>
      </c>
      <c r="CY35" s="298">
        <f t="shared" si="23"/>
        <v>343926.84785926092</v>
      </c>
      <c r="CZ35" s="298">
        <f t="shared" si="24"/>
        <v>298479.98602970416</v>
      </c>
      <c r="DA35" s="298">
        <f t="shared" si="25"/>
        <v>250043.83096301209</v>
      </c>
      <c r="DB35" s="298">
        <f t="shared" si="26"/>
        <v>199319.33940623596</v>
      </c>
      <c r="DC35" s="298">
        <f t="shared" si="27"/>
        <v>196850.51890667246</v>
      </c>
      <c r="DD35" s="298">
        <f t="shared" si="28"/>
        <v>178624.92194712983</v>
      </c>
      <c r="DE35" s="298">
        <f t="shared" si="29"/>
        <v>228544.5558361102</v>
      </c>
      <c r="DF35" s="298">
        <f t="shared" si="30"/>
        <v>307369.69116715499</v>
      </c>
      <c r="DG35" s="371">
        <f t="shared" si="31"/>
        <v>346467.05866222054</v>
      </c>
      <c r="DH35" s="372">
        <f t="shared" si="32"/>
        <v>430427.10504007502</v>
      </c>
      <c r="DI35" s="67">
        <f t="shared" si="33"/>
        <v>3544889.4541896135</v>
      </c>
      <c r="DJ35" s="364">
        <f>_xll.LVCELL($E$1,Q$2,$C35,$D$2,$C$4,$C$5,$C$6,$C$7,$C$8,$D$3)+_xll.LVCELL($E$2,Q$2,$C35,$D$2,$C$4,$C$5,$C$6,$C$7,$C$8,$D$3)</f>
        <v>5172704.2817599997</v>
      </c>
      <c r="DK35" s="755">
        <f t="shared" si="44"/>
        <v>-1627814.8275703862</v>
      </c>
      <c r="DM35" s="518">
        <f t="shared" si="34"/>
        <v>92.094082774230756</v>
      </c>
      <c r="DO35" s="64" t="str">
        <f t="shared" si="35"/>
        <v>E5270</v>
      </c>
      <c r="DP35" s="64" t="str">
        <f t="shared" si="36"/>
        <v>E5270</v>
      </c>
      <c r="DQ35" s="72" t="str">
        <f t="shared" si="37"/>
        <v>Ménétréols Renardiére (La vallée 2)</v>
      </c>
      <c r="DR35" s="365">
        <f>_xll.LVCELL($DP$3,DR$3,$DP35,$DQ$2,$DP$4,$DP$5,$DP$6,$DP$7,$DP$8,$DQ$3)/100</f>
        <v>0.97</v>
      </c>
      <c r="DS35" s="365">
        <f>_xll.LVCELL($DP$3,DS$3,$DP35,$DQ$2,$DP$4,$DP$5,$DP$6,$DP$7,$DP$8,$DQ$3)/100</f>
        <v>0.97</v>
      </c>
      <c r="DT35" s="365">
        <f>_xll.LVCELL($DP$3,DT$3,$DP35,$DQ$2,$DP$4,$DP$5,$DP$6,$DP$7,$DP$8,$DQ$3)/100</f>
        <v>0.97</v>
      </c>
      <c r="DU35" s="365">
        <f>_xll.LVCELL($DP$3,DU$3,$DP35,$DQ$2,$DP$4,$DP$5,$DP$6,$DP$7,$DP$8,$DQ$3)/100</f>
        <v>0.97</v>
      </c>
      <c r="DV35" s="365">
        <f>_xll.LVCELL($DP$3,DV$3,$DP35,$DQ$2,$DP$4,$DP$5,$DP$6,$DP$7,$DP$8,$DQ$3)/100</f>
        <v>0.97</v>
      </c>
      <c r="DW35" s="365">
        <f>_xll.LVCELL($DP$3,DW$3,$DP35,$DQ$2,$DP$4,$DP$5,$DP$6,$DP$7,$DP$8,$DQ$3)/100</f>
        <v>0.97</v>
      </c>
      <c r="DX35" s="365">
        <f>_xll.LVCELL($DP$3,DX$3,$DP35,$DQ$2,$DP$4,$DP$5,$DP$6,$DP$7,$DP$8,$DQ$3)/100</f>
        <v>0.97</v>
      </c>
      <c r="DY35" s="365">
        <f>_xll.LVCELL($DP$3,DY$3,$DP35,$DQ$2,$DP$4,$DP$5,$DP$6,$DP$7,$DP$8,$DQ$3)/100</f>
        <v>0.97</v>
      </c>
      <c r="DZ35" s="365">
        <f>_xll.LVCELL($DP$3,DZ$3,$DP35,$DQ$2,$DP$4,$DP$5,$DP$6,$DP$7,$DP$8,$DQ$3)/100</f>
        <v>0.97</v>
      </c>
      <c r="EA35" s="365">
        <f>_xll.LVCELL($DP$3,EA$3,$DP35,$DQ$2,$DP$4,$DP$5,$DP$6,$DP$7,$DP$8,$DQ$3)/100</f>
        <v>0.97</v>
      </c>
      <c r="EB35" s="365">
        <f>_xll.LVCELL($DP$3,EB$3,$DP35,$DQ$2,$DP$4,$DP$5,$DP$6,$DP$7,$DP$8,$DQ$3)/100</f>
        <v>0.97</v>
      </c>
      <c r="EC35" s="365">
        <f>_xll.LVCELL($DP$3,EC$3,$DP35,$DQ$2,$DP$4,$DP$5,$DP$6,$DP$7,$DP$8,$DQ$3)/100</f>
        <v>0.97</v>
      </c>
      <c r="ED35" s="582">
        <f t="shared" si="45"/>
        <v>11.64</v>
      </c>
      <c r="EF35" s="64" t="s">
        <v>315</v>
      </c>
      <c r="EG35" s="64" t="s">
        <v>315</v>
      </c>
      <c r="EH35" s="72" t="s">
        <v>2641</v>
      </c>
      <c r="EI35" s="366" t="e">
        <f ca="1">_xll.LVCELL($EG$3,EI$3,$DP35,$DQ$2,$DP$4,$DP$5,$DP$6,$DP$7,$DP$8,$DQ$3)-CW35-CW36-CW37</f>
        <v>#NAME?</v>
      </c>
      <c r="EJ35" s="367" t="e">
        <f ca="1">_xll.LVCELL($EG$3,EJ$3,$DP35,$DQ$2,$DP$4,$DP$5,$DP$6,$DP$7,$DP$8,$DQ$3)-CX35-CX36-CX37</f>
        <v>#NAME?</v>
      </c>
      <c r="EK35" s="368" t="e">
        <f ca="1">_xll.LVCELL($EG$3,EK$3,$DP35,$DQ$2,$DP$4,$DP$5,$DP$6,$DP$7,$DP$8,$DQ$3)-CY35-CY36-CY37</f>
        <v>#NAME?</v>
      </c>
      <c r="EL35" s="367" t="e">
        <f ca="1">_xll.LVCELL($EG$3,EL$3,$DP35,$DQ$2,$DP$4,$DP$5,$DP$6,$DP$7,$DP$8,$DQ$3)-CZ35-CZ36-CZ37</f>
        <v>#NAME?</v>
      </c>
      <c r="EM35" s="368" t="e">
        <f ca="1">_xll.LVCELL($EG$3,EM$3,$DP35,$DQ$2,$DP$4,$DP$5,$DP$6,$DP$7,$DP$8,$DQ$3)-DA35-DA36-DA37</f>
        <v>#NAME?</v>
      </c>
      <c r="EN35" s="367" t="e">
        <f ca="1">_xll.LVCELL($EG$3,EN$3,$DP35,$DQ$2,$DP$4,$DP$5,$DP$6,$DP$7,$DP$8,$DQ$3)-DB35-DB36-DB37</f>
        <v>#NAME?</v>
      </c>
      <c r="EO35" s="368" t="e">
        <f ca="1">_xll.LVCELL($EG$3,EO$3,$DP35,$DQ$2,$DP$4,$DP$5,$DP$6,$DP$7,$DP$8,$DQ$3)-DC35-DC36-DC37</f>
        <v>#NAME?</v>
      </c>
      <c r="EP35" s="367" t="e">
        <f ca="1">_xll.LVCELL($EG$3,EP$3,$DP35,$DQ$2,$DP$4,$DP$5,$DP$6,$DP$7,$DP$8,$DQ$3)-DD35-DD36-DD37</f>
        <v>#NAME?</v>
      </c>
      <c r="EQ35" s="368" t="e">
        <f ca="1">_xll.LVCELL($EG$3,EQ$3,$DP35,$DQ$2,$DP$4,$DP$5,$DP$6,$DP$7,$DP$8,$DQ$3)-DE35-DE36-DE37</f>
        <v>#NAME?</v>
      </c>
      <c r="ER35" s="367" t="e">
        <f ca="1">_xll.LVCELL($EG$3,ER$3,$DP35,$DQ$2,$DP$4,$DP$5,$DP$6,$DP$7,$DP$8,$DQ$3)-DF35-DF36-DF37</f>
        <v>#NAME?</v>
      </c>
      <c r="ES35" s="368" t="e">
        <f ca="1">_xll.LVCELL($EG$3,ES$3,$DP35,$DQ$2,$DP$4,$DP$5,$DP$6,$DP$7,$DP$8,$DQ$3)-DG35-DG36-DG37</f>
        <v>#NAME?</v>
      </c>
      <c r="ET35" s="367" t="e">
        <f ca="1">_xll.LVCELL($EG$3,ET$3,$DP35,$DQ$2,$DP$4,$DP$5,$DP$6,$DP$7,$DP$8,$DQ$3)-DH35-DH36-DH37</f>
        <v>#NAME?</v>
      </c>
      <c r="EW35" s="64" t="s">
        <v>315</v>
      </c>
      <c r="EX35" s="64" t="s">
        <v>315</v>
      </c>
      <c r="EY35" s="72" t="s">
        <v>2641</v>
      </c>
      <c r="EZ35" s="364">
        <f>_xll.LVCELL($EX$3,EZ$3,$DP35,$DQ$2,$DP$4,$DP$5,$DP$6,$DP$7,$DP$8,$DQ$3)</f>
        <v>26000</v>
      </c>
      <c r="FA35" s="364">
        <f>_xll.LVCELL($EX$3,FA$3,$DP35,$DQ$2,$DP$4,$DP$5,$DP$6,$DP$7,$DP$8,$DQ$3)</f>
        <v>26000</v>
      </c>
      <c r="FB35" s="364">
        <f>_xll.LVCELL($EX$3,FB$3,$DP35,$DQ$2,$DP$4,$DP$5,$DP$6,$DP$7,$DP$8,$DQ$3)</f>
        <v>26000</v>
      </c>
      <c r="FC35" s="364">
        <f>_xll.LVCELL($EX$3,FC$3,$DP35,$DQ$2,$DP$4,$DP$5,$DP$6,$DP$7,$DP$8,$DQ$3)</f>
        <v>26000</v>
      </c>
      <c r="FD35" s="364">
        <f>_xll.LVCELL($EX$3,FD$3,$DP35,$DQ$2,$DP$4,$DP$5,$DP$6,$DP$7,$DP$8,$DQ$3)</f>
        <v>26000</v>
      </c>
      <c r="FE35" s="364">
        <f>_xll.LVCELL($EX$3,FE$3,$DP35,$DQ$2,$DP$4,$DP$5,$DP$6,$DP$7,$DP$8,$DQ$3)</f>
        <v>26000</v>
      </c>
      <c r="FF35" s="364">
        <f>_xll.LVCELL($EX$3,FF$3,$DP35,$DQ$2,$DP$4,$DP$5,$DP$6,$DP$7,$DP$8,$DQ$3)</f>
        <v>26000</v>
      </c>
      <c r="FG35" s="364">
        <f>_xll.LVCELL($EX$3,FG$3,$DP35,$DQ$2,$DP$4,$DP$5,$DP$6,$DP$7,$DP$8,$DQ$3)</f>
        <v>26000</v>
      </c>
      <c r="FH35" s="364">
        <f>_xll.LVCELL($EX$3,FH$3,$DP35,$DQ$2,$DP$4,$DP$5,$DP$6,$DP$7,$DP$8,$DQ$3)</f>
        <v>26000</v>
      </c>
      <c r="FI35" s="364">
        <f>_xll.LVCELL($EX$3,FI$3,$DP35,$DQ$2,$DP$4,$DP$5,$DP$6,$DP$7,$DP$8,$DQ$3)</f>
        <v>26000</v>
      </c>
      <c r="FJ35" s="364">
        <f>_xll.LVCELL($EX$3,FJ$3,$DP35,$DQ$2,$DP$4,$DP$5,$DP$6,$DP$7,$DP$8,$DQ$3)</f>
        <v>26000</v>
      </c>
      <c r="FK35" s="276">
        <f>_xll.LVCELL($EX$3,FK$3,$DP35,$DQ$2,$DP$4,$DP$5,$DP$6,$DP$7,$DP$8,$DQ$3)</f>
        <v>26000</v>
      </c>
      <c r="FN35" s="64" t="s">
        <v>315</v>
      </c>
      <c r="FO35" s="64" t="s">
        <v>315</v>
      </c>
      <c r="FP35" s="72" t="s">
        <v>2641</v>
      </c>
      <c r="FQ35" s="364">
        <f>_xll.LVCELL($FO$3,FQ$3,$DP35,$DQ$2,$DP$4,$DP$5,$DP$6,$DP$7,$DP$8,$DQ$3)</f>
        <v>13</v>
      </c>
      <c r="FR35" s="364">
        <f>_xll.LVCELL($FO$3,FR$3,$DP35,$DQ$2,$DP$4,$DP$5,$DP$6,$DP$7,$DP$8,$DQ$3)</f>
        <v>13</v>
      </c>
      <c r="FS35" s="364">
        <f>_xll.LVCELL($FO$3,FS$3,$DP35,$DQ$2,$DP$4,$DP$5,$DP$6,$DP$7,$DP$8,$DQ$3)</f>
        <v>13</v>
      </c>
      <c r="FT35" s="364">
        <f>_xll.LVCELL($FO$3,FT$3,$DP35,$DQ$2,$DP$4,$DP$5,$DP$6,$DP$7,$DP$8,$DQ$3)</f>
        <v>13</v>
      </c>
      <c r="FU35" s="364">
        <f>_xll.LVCELL($FO$3,FU$3,$DP35,$DQ$2,$DP$4,$DP$5,$DP$6,$DP$7,$DP$8,$DQ$3)</f>
        <v>13</v>
      </c>
      <c r="FV35" s="364">
        <f>_xll.LVCELL($FO$3,FV$3,$DP35,$DQ$2,$DP$4,$DP$5,$DP$6,$DP$7,$DP$8,$DQ$3)</f>
        <v>13</v>
      </c>
      <c r="FW35" s="364">
        <f>_xll.LVCELL($FO$3,FW$3,$DP35,$DQ$2,$DP$4,$DP$5,$DP$6,$DP$7,$DP$8,$DQ$3)</f>
        <v>13</v>
      </c>
      <c r="FX35" s="364">
        <f>_xll.LVCELL($FO$3,FX$3,$DP35,$DQ$2,$DP$4,$DP$5,$DP$6,$DP$7,$DP$8,$DQ$3)</f>
        <v>13</v>
      </c>
      <c r="FY35" s="364">
        <f>_xll.LVCELL($FO$3,FY$3,$DP35,$DQ$2,$DP$4,$DP$5,$DP$6,$DP$7,$DP$8,$DQ$3)</f>
        <v>13</v>
      </c>
      <c r="FZ35" s="364">
        <f>_xll.LVCELL($FO$3,FZ$3,$DP35,$DQ$2,$DP$4,$DP$5,$DP$6,$DP$7,$DP$8,$DQ$3)</f>
        <v>13</v>
      </c>
      <c r="GA35" s="364">
        <f>_xll.LVCELL($FO$3,GA$3,$DP35,$DQ$2,$DP$4,$DP$5,$DP$6,$DP$7,$DP$8,$DQ$3)</f>
        <v>13</v>
      </c>
      <c r="GB35" s="172">
        <f>_xll.LVCELL($FO$3,GB$3,$DP35,$DQ$2,$DP$4,$DP$5,$DP$6,$DP$7,$DP$8,$DQ$3)</f>
        <v>13</v>
      </c>
    </row>
    <row r="36" spans="1:184" ht="15">
      <c r="B36" s="64" t="s">
        <v>315</v>
      </c>
      <c r="C36" s="64" t="s">
        <v>315</v>
      </c>
      <c r="D36" s="72" t="s">
        <v>539</v>
      </c>
      <c r="E36" s="357"/>
      <c r="F36" s="103">
        <f>'distribution mensuelle Prod B22'!$AB$36</f>
        <v>1151756.7920423266</v>
      </c>
      <c r="G36" s="103">
        <f>'distribution mensuelle Prod B22'!$AB$37</f>
        <v>982751.72667414532</v>
      </c>
      <c r="H36" s="103">
        <f>'distribution mensuelle Prod B22'!$AB$38</f>
        <v>959833.44411984622</v>
      </c>
      <c r="I36" s="103">
        <f>'distribution mensuelle Prod B22'!$AB$39</f>
        <v>833000.02536868013</v>
      </c>
      <c r="J36" s="103">
        <f>'distribution mensuelle Prod B22'!$AB$40</f>
        <v>697824.06621642888</v>
      </c>
      <c r="K36" s="103">
        <f>'distribution mensuelle Prod B22'!$AB$41</f>
        <v>556261.80163831764</v>
      </c>
      <c r="L36" s="103">
        <f>'distribution mensuelle Prod B22'!$AB$42</f>
        <v>549371.80018085835</v>
      </c>
      <c r="M36" s="103">
        <f>'distribution mensuelle Prod B22'!$AB$43</f>
        <v>498507.67715671868</v>
      </c>
      <c r="N36" s="103">
        <f>'distribution mensuelle Prod B22'!$AB$44</f>
        <v>637823.73934581841</v>
      </c>
      <c r="O36" s="103">
        <f>'distribution mensuelle Prod B22'!$AB$45</f>
        <v>857809.47642607766</v>
      </c>
      <c r="P36" s="103">
        <f>'distribution mensuelle Prod B22'!$AB$46</f>
        <v>945183.4624961901</v>
      </c>
      <c r="Q36" s="103">
        <f>'distribution mensuelle Prod B22'!$AB$47</f>
        <v>1174231.6370995049</v>
      </c>
      <c r="R36" s="67">
        <f t="shared" si="1"/>
        <v>9844355.648764912</v>
      </c>
      <c r="S36" s="380"/>
      <c r="T36" s="169"/>
      <c r="W36" s="113" t="str">
        <f t="shared" si="2"/>
        <v>E5270</v>
      </c>
      <c r="X36" s="359" t="str">
        <f t="shared" si="3"/>
        <v>Ménétréols Les chênes (La vallée 3)</v>
      </c>
      <c r="Y36" s="299" cm="1">
        <f t="array" ref="Y36">_xll.LVCELL($D$4,F$1,$B36,$D$2,$C$4,$C$5,$C$6,$C$7,$C$8,$D$3)*1000</f>
        <v>89.580008000000007</v>
      </c>
      <c r="Z36" s="299" cm="1">
        <f t="array" ref="Z36">_xll.LVCELL($D$4,G$1,$B36,$D$2,$C$4,$C$5,$C$6,$C$7,$C$8,$D$3)*1000</f>
        <v>89.579993000000002</v>
      </c>
      <c r="AA36" s="299" cm="1">
        <f t="array" ref="AA36">_xll.LVCELL($D$4,H$1,$B36,$D$2,$C$4,$C$5,$C$6,$C$7,$C$8,$D$3)*1000</f>
        <v>89.536209433462204</v>
      </c>
      <c r="AB36" s="299" cm="1">
        <f t="array" ref="AB36">_xll.LVCELL($D$4,I$1,$B36,$D$2,$C$4,$C$5,$C$6,$C$7,$C$8,$D$3)*1000</f>
        <v>89.580019132048335</v>
      </c>
      <c r="AC36" s="299" cm="1">
        <f t="array" ref="AC36">_xll.LVCELL($D$4,J$1,$B36,$D$2,$C$4,$C$5,$C$6,$C$7,$C$8,$D$3)*1000</f>
        <v>89.579992385234675</v>
      </c>
      <c r="AD36" s="299" cm="1">
        <f t="array" ref="AD36">_xll.LVCELL($D$4,K$1,$B36,$D$2,$C$4,$C$5,$C$6,$C$7,$C$8,$D$3)*1000</f>
        <v>89.579965918673125</v>
      </c>
      <c r="AE36" s="299" cm="1">
        <f t="array" ref="AE36">_xll.LVCELL($D$4,L$1,$B36,$D$2,$C$4,$C$5,$C$6,$C$7,$C$8,$D$3)*1000</f>
        <v>89.580005752245327</v>
      </c>
      <c r="AF36" s="299">
        <f>$AD$36</f>
        <v>89.579965918673125</v>
      </c>
      <c r="AG36" s="299">
        <f t="shared" si="53"/>
        <v>89.579965918673125</v>
      </c>
      <c r="AH36" s="299">
        <f t="shared" si="53"/>
        <v>89.579965918673125</v>
      </c>
      <c r="AI36" s="299">
        <f t="shared" si="54"/>
        <v>91.640305134802603</v>
      </c>
      <c r="AJ36" s="412">
        <f t="shared" si="55"/>
        <v>91.640305134802603</v>
      </c>
      <c r="AK36" s="67"/>
      <c r="AL36" s="134">
        <f t="shared" si="4"/>
        <v>2.3E-2</v>
      </c>
      <c r="AM36" s="134"/>
      <c r="AN36" s="134"/>
      <c r="AO36" s="134"/>
      <c r="AP36" s="113" t="str">
        <f t="shared" si="38"/>
        <v>E5270</v>
      </c>
      <c r="AQ36" s="567" t="str">
        <f t="shared" si="39"/>
        <v>Ménétréols Les chênes (La vallée 3)</v>
      </c>
      <c r="AR36" s="377"/>
      <c r="AS36" s="377"/>
      <c r="AT36" s="377"/>
      <c r="AU36" s="377"/>
      <c r="AV36" s="377"/>
      <c r="AW36" s="377"/>
      <c r="AX36" s="377"/>
      <c r="AY36" s="377"/>
      <c r="AZ36" s="377"/>
      <c r="BA36" s="377"/>
      <c r="BB36" s="377"/>
      <c r="BC36" s="378"/>
      <c r="BD36" s="414"/>
      <c r="BE36" s="134"/>
      <c r="BF36" s="134"/>
      <c r="BG36" s="134"/>
      <c r="BH36" s="134"/>
      <c r="BI36" s="113" t="str">
        <f t="shared" si="40"/>
        <v>E5270</v>
      </c>
      <c r="BJ36" s="567" t="str">
        <f t="shared" si="41"/>
        <v>Ménétréols Les chênes (La vallée 3)</v>
      </c>
      <c r="BK36" s="299">
        <f t="shared" si="49"/>
        <v>91.640305134802603</v>
      </c>
      <c r="BL36" s="299">
        <f t="shared" si="59"/>
        <v>91.640305134802603</v>
      </c>
      <c r="BM36" s="299">
        <f t="shared" si="59"/>
        <v>91.640305134802603</v>
      </c>
      <c r="BN36" s="299">
        <f t="shared" si="59"/>
        <v>91.640305134802603</v>
      </c>
      <c r="BO36" s="299">
        <f t="shared" si="59"/>
        <v>91.640305134802603</v>
      </c>
      <c r="BP36" s="299">
        <f t="shared" si="59"/>
        <v>91.640305134802603</v>
      </c>
      <c r="BQ36" s="299">
        <f t="shared" si="59"/>
        <v>91.640305134802603</v>
      </c>
      <c r="BR36" s="299">
        <f t="shared" si="59"/>
        <v>91.640305134802603</v>
      </c>
      <c r="BS36" s="299">
        <f t="shared" si="59"/>
        <v>91.640305134802603</v>
      </c>
      <c r="BT36" s="299">
        <f t="shared" si="59"/>
        <v>91.640305134802603</v>
      </c>
      <c r="BU36" s="299">
        <f t="shared" si="57"/>
        <v>93.748032152903065</v>
      </c>
      <c r="BV36" s="370">
        <f t="shared" si="58"/>
        <v>93.748032152903065</v>
      </c>
      <c r="BW36" s="414"/>
      <c r="BX36" s="134"/>
      <c r="BY36" s="134"/>
      <c r="BZ36" s="134"/>
      <c r="CA36" s="134"/>
      <c r="CB36" s="113" t="str">
        <f t="shared" si="5"/>
        <v>E5270</v>
      </c>
      <c r="CC36" s="307" t="str">
        <f t="shared" si="6"/>
        <v>Ménétréols Les chênes (La vallée 3)</v>
      </c>
      <c r="CD36" s="299">
        <f t="shared" si="43"/>
        <v>91.640305134802603</v>
      </c>
      <c r="CE36" s="299">
        <f t="shared" si="7"/>
        <v>91.640305134802603</v>
      </c>
      <c r="CF36" s="299">
        <f t="shared" si="8"/>
        <v>91.640305134802603</v>
      </c>
      <c r="CG36" s="299">
        <f t="shared" si="9"/>
        <v>91.640305134802603</v>
      </c>
      <c r="CH36" s="299">
        <f t="shared" si="10"/>
        <v>91.640305134802603</v>
      </c>
      <c r="CI36" s="299">
        <f t="shared" si="11"/>
        <v>91.640305134802603</v>
      </c>
      <c r="CJ36" s="299">
        <f t="shared" si="12"/>
        <v>91.640305134802603</v>
      </c>
      <c r="CK36" s="299">
        <f t="shared" si="13"/>
        <v>91.640305134802603</v>
      </c>
      <c r="CL36" s="299">
        <f t="shared" si="14"/>
        <v>91.640305134802603</v>
      </c>
      <c r="CM36" s="299">
        <f t="shared" si="15"/>
        <v>91.640305134802603</v>
      </c>
      <c r="CN36" s="299">
        <f t="shared" si="16"/>
        <v>93.748032152903065</v>
      </c>
      <c r="CO36" s="370">
        <f t="shared" si="17"/>
        <v>93.748032152903065</v>
      </c>
      <c r="CP36" s="414"/>
      <c r="CQ36" s="134">
        <f t="shared" si="18"/>
        <v>4.0000000000000001E-3</v>
      </c>
      <c r="CU36" s="113" t="str">
        <f t="shared" si="19"/>
        <v>E5270</v>
      </c>
      <c r="CV36" s="72" t="str">
        <f t="shared" si="20"/>
        <v>Ménétréols Les chênes (La vallée 3)</v>
      </c>
      <c r="CW36" s="300">
        <f t="shared" si="21"/>
        <v>105547.3438638402</v>
      </c>
      <c r="CX36" s="298">
        <f t="shared" si="22"/>
        <v>90059.668104172801</v>
      </c>
      <c r="CY36" s="298">
        <f t="shared" si="23"/>
        <v>87959.429697731219</v>
      </c>
      <c r="CZ36" s="298">
        <f t="shared" si="24"/>
        <v>76336.376502084153</v>
      </c>
      <c r="DA36" s="298">
        <f t="shared" si="25"/>
        <v>63948.810358482238</v>
      </c>
      <c r="DB36" s="298">
        <f t="shared" si="26"/>
        <v>50976.001236970471</v>
      </c>
      <c r="DC36" s="298">
        <f t="shared" si="27"/>
        <v>50344.599401029664</v>
      </c>
      <c r="DD36" s="298">
        <f t="shared" si="28"/>
        <v>45683.39564668337</v>
      </c>
      <c r="DE36" s="298">
        <f t="shared" si="29"/>
        <v>58450.362095871598</v>
      </c>
      <c r="DF36" s="298">
        <f t="shared" si="30"/>
        <v>78609.922167211014</v>
      </c>
      <c r="DG36" s="371">
        <f t="shared" si="31"/>
        <v>88609.089632485076</v>
      </c>
      <c r="DH36" s="372">
        <f t="shared" si="32"/>
        <v>110081.90526976039</v>
      </c>
      <c r="DI36" s="67">
        <f t="shared" si="33"/>
        <v>906606.90397632215</v>
      </c>
      <c r="DJ36" s="364"/>
      <c r="DK36" s="755">
        <f t="shared" si="44"/>
        <v>906606.90397632215</v>
      </c>
      <c r="DM36" s="518">
        <f t="shared" si="34"/>
        <v>92.094082774230785</v>
      </c>
      <c r="DO36" s="64" t="str">
        <f t="shared" si="35"/>
        <v>E5270</v>
      </c>
      <c r="DP36" s="64" t="str">
        <f t="shared" si="36"/>
        <v>E5270</v>
      </c>
      <c r="DQ36" s="72" t="str">
        <f t="shared" si="37"/>
        <v>Ménétréols Les chênes (La vallée 3)</v>
      </c>
      <c r="DR36" s="365">
        <f>_xll.LVCELL($DP$3,DR$3,$DP36,$DQ$2,$DP$4,$DP$5,$DP$6,$DP$7,$DP$8,$DQ$3)/100</f>
        <v>0.97</v>
      </c>
      <c r="DS36" s="365">
        <f>_xll.LVCELL($DP$3,DS$3,$DP36,$DQ$2,$DP$4,$DP$5,$DP$6,$DP$7,$DP$8,$DQ$3)/100</f>
        <v>0.97</v>
      </c>
      <c r="DT36" s="365">
        <f>_xll.LVCELL($DP$3,DT$3,$DP36,$DQ$2,$DP$4,$DP$5,$DP$6,$DP$7,$DP$8,$DQ$3)/100</f>
        <v>0.97</v>
      </c>
      <c r="DU36" s="365">
        <f>_xll.LVCELL($DP$3,DU$3,$DP36,$DQ$2,$DP$4,$DP$5,$DP$6,$DP$7,$DP$8,$DQ$3)/100</f>
        <v>0.97</v>
      </c>
      <c r="DV36" s="365">
        <f>_xll.LVCELL($DP$3,DV$3,$DP36,$DQ$2,$DP$4,$DP$5,$DP$6,$DP$7,$DP$8,$DQ$3)/100</f>
        <v>0.97</v>
      </c>
      <c r="DW36" s="365">
        <f>_xll.LVCELL($DP$3,DW$3,$DP36,$DQ$2,$DP$4,$DP$5,$DP$6,$DP$7,$DP$8,$DQ$3)/100</f>
        <v>0.97</v>
      </c>
      <c r="DX36" s="365">
        <f>_xll.LVCELL($DP$3,DX$3,$DP36,$DQ$2,$DP$4,$DP$5,$DP$6,$DP$7,$DP$8,$DQ$3)/100</f>
        <v>0.97</v>
      </c>
      <c r="DY36" s="365">
        <f>_xll.LVCELL($DP$3,DY$3,$DP36,$DQ$2,$DP$4,$DP$5,$DP$6,$DP$7,$DP$8,$DQ$3)/100</f>
        <v>0.97</v>
      </c>
      <c r="DZ36" s="365">
        <f>_xll.LVCELL($DP$3,DZ$3,$DP36,$DQ$2,$DP$4,$DP$5,$DP$6,$DP$7,$DP$8,$DQ$3)/100</f>
        <v>0.97</v>
      </c>
      <c r="EA36" s="365">
        <f>_xll.LVCELL($DP$3,EA$3,$DP36,$DQ$2,$DP$4,$DP$5,$DP$6,$DP$7,$DP$8,$DQ$3)/100</f>
        <v>0.97</v>
      </c>
      <c r="EB36" s="365">
        <f>_xll.LVCELL($DP$3,EB$3,$DP36,$DQ$2,$DP$4,$DP$5,$DP$6,$DP$7,$DP$8,$DQ$3)/100</f>
        <v>0.97</v>
      </c>
      <c r="EC36" s="365">
        <f>_xll.LVCELL($DP$3,EC$3,$DP36,$DQ$2,$DP$4,$DP$5,$DP$6,$DP$7,$DP$8,$DQ$3)/100</f>
        <v>0.97</v>
      </c>
      <c r="ED36" s="582">
        <f t="shared" si="45"/>
        <v>11.64</v>
      </c>
      <c r="EF36" s="64" t="s">
        <v>315</v>
      </c>
      <c r="EH36" s="72"/>
      <c r="EI36" s="366"/>
      <c r="EJ36" s="367"/>
      <c r="EK36" s="368"/>
      <c r="EL36" s="367"/>
      <c r="EM36" s="368"/>
      <c r="EN36" s="367"/>
      <c r="EO36" s="368"/>
      <c r="EP36" s="367"/>
      <c r="EQ36" s="368"/>
      <c r="ER36" s="367"/>
      <c r="ES36" s="368"/>
      <c r="ET36" s="367"/>
      <c r="EY36" s="72"/>
      <c r="EZ36" s="364"/>
      <c r="FA36" s="364"/>
      <c r="FB36" s="364"/>
      <c r="FC36" s="364"/>
      <c r="FD36" s="364"/>
      <c r="FE36" s="364"/>
      <c r="FF36" s="364"/>
      <c r="FG36" s="364"/>
      <c r="FH36" s="364"/>
      <c r="FI36" s="364"/>
      <c r="FJ36" s="364"/>
      <c r="FK36" s="364"/>
      <c r="FP36" s="72"/>
      <c r="FQ36" s="364"/>
      <c r="FR36" s="364"/>
      <c r="FS36" s="364"/>
      <c r="FT36" s="364"/>
      <c r="FU36" s="364"/>
      <c r="FV36" s="364"/>
      <c r="FW36" s="364"/>
      <c r="FX36" s="364"/>
      <c r="FY36" s="364"/>
      <c r="FZ36" s="364"/>
      <c r="GA36" s="364"/>
      <c r="GB36" s="172"/>
    </row>
    <row r="37" spans="1:184" ht="15">
      <c r="B37" s="64" t="s">
        <v>315</v>
      </c>
      <c r="C37" s="64" t="s">
        <v>315</v>
      </c>
      <c r="D37" s="72" t="s">
        <v>540</v>
      </c>
      <c r="E37" s="357"/>
      <c r="F37" s="103">
        <f>'distribution mensuelle Prod B22'!$AC$36</f>
        <v>916212.3377085434</v>
      </c>
      <c r="G37" s="103">
        <f>'distribution mensuelle Prod B22'!$AC$37</f>
        <v>781770.30350877799</v>
      </c>
      <c r="H37" s="103">
        <f>'distribution mensuelle Prod B22'!$AC$38</f>
        <v>763539.01251017652</v>
      </c>
      <c r="I37" s="103">
        <f>'distribution mensuelle Prod B22'!$AC$39</f>
        <v>662644.15007353981</v>
      </c>
      <c r="J37" s="103">
        <f>'distribution mensuelle Prod B22'!$AC$40</f>
        <v>555112.87055986351</v>
      </c>
      <c r="K37" s="103">
        <f>'distribution mensuelle Prod B22'!$AC$41</f>
        <v>442501.34158382239</v>
      </c>
      <c r="L37" s="103">
        <f>'distribution mensuelle Prod B22'!$AC$42</f>
        <v>437020.40638485539</v>
      </c>
      <c r="M37" s="103">
        <f>'distribution mensuelle Prod B22'!$AC$43</f>
        <v>396558.44654800009</v>
      </c>
      <c r="N37" s="103">
        <f>'distribution mensuelle Prod B22'!$AC$44</f>
        <v>507383.14139723434</v>
      </c>
      <c r="O37" s="103">
        <f>'distribution mensuelle Prod B22'!$AC$45</f>
        <v>682379.84888392605</v>
      </c>
      <c r="P37" s="103">
        <f>'distribution mensuelle Prod B22'!$AC$46</f>
        <v>751885.0817467242</v>
      </c>
      <c r="Q37" s="103">
        <f>'distribution mensuelle Prod B22'!$AC$47</f>
        <v>934090.87810157263</v>
      </c>
      <c r="R37" s="67">
        <f t="shared" si="1"/>
        <v>7831097.8190070353</v>
      </c>
      <c r="S37" s="380"/>
      <c r="T37" s="169"/>
      <c r="W37" s="113" t="str">
        <f t="shared" si="2"/>
        <v>E5270</v>
      </c>
      <c r="X37" s="359" t="str">
        <f t="shared" si="3"/>
        <v>Ménétréols Lizeray (La vallée 4)</v>
      </c>
      <c r="Y37" s="299" cm="1">
        <f t="array" ref="Y37">_xll.LVCELL($D$4,F$1,$B37,$D$2,$C$4,$C$5,$C$6,$C$7,$C$8,$D$3)*1000</f>
        <v>89.580008000000007</v>
      </c>
      <c r="Z37" s="299" cm="1">
        <f t="array" ref="Z37">_xll.LVCELL($D$4,G$1,$B37,$D$2,$C$4,$C$5,$C$6,$C$7,$C$8,$D$3)*1000</f>
        <v>89.579993000000002</v>
      </c>
      <c r="AA37" s="299" cm="1">
        <f t="array" ref="AA37">_xll.LVCELL($D$4,H$1,$B37,$D$2,$C$4,$C$5,$C$6,$C$7,$C$8,$D$3)*1000</f>
        <v>89.536209433462204</v>
      </c>
      <c r="AB37" s="299" cm="1">
        <f t="array" ref="AB37">_xll.LVCELL($D$4,I$1,$B37,$D$2,$C$4,$C$5,$C$6,$C$7,$C$8,$D$3)*1000</f>
        <v>89.580019132048335</v>
      </c>
      <c r="AC37" s="299" cm="1">
        <f t="array" ref="AC37">_xll.LVCELL($D$4,J$1,$B37,$D$2,$C$4,$C$5,$C$6,$C$7,$C$8,$D$3)*1000</f>
        <v>89.579992385234675</v>
      </c>
      <c r="AD37" s="299" cm="1">
        <f t="array" ref="AD37">_xll.LVCELL($D$4,K$1,$B37,$D$2,$C$4,$C$5,$C$6,$C$7,$C$8,$D$3)*1000</f>
        <v>89.579965918673125</v>
      </c>
      <c r="AE37" s="299" cm="1">
        <f t="array" ref="AE37">_xll.LVCELL($D$4,L$1,$B37,$D$2,$C$4,$C$5,$C$6,$C$7,$C$8,$D$3)*1000</f>
        <v>89.580005752245327</v>
      </c>
      <c r="AF37" s="299">
        <f>$AD$37</f>
        <v>89.579965918673125</v>
      </c>
      <c r="AG37" s="299">
        <f t="shared" si="53"/>
        <v>89.579965918673125</v>
      </c>
      <c r="AH37" s="299">
        <f t="shared" si="53"/>
        <v>89.579965918673125</v>
      </c>
      <c r="AI37" s="299">
        <f t="shared" si="54"/>
        <v>91.640305134802603</v>
      </c>
      <c r="AJ37" s="412">
        <f t="shared" si="55"/>
        <v>91.640305134802603</v>
      </c>
      <c r="AK37" s="67"/>
      <c r="AL37" s="134">
        <f t="shared" si="4"/>
        <v>2.3E-2</v>
      </c>
      <c r="AM37" s="134"/>
      <c r="AN37" s="134"/>
      <c r="AO37" s="134"/>
      <c r="AP37" s="113" t="str">
        <f t="shared" si="38"/>
        <v>E5270</v>
      </c>
      <c r="AQ37" s="567" t="str">
        <f t="shared" si="39"/>
        <v>Ménétréols Lizeray (La vallée 4)</v>
      </c>
      <c r="AR37" s="377"/>
      <c r="AS37" s="377"/>
      <c r="AT37" s="377"/>
      <c r="AU37" s="377"/>
      <c r="AV37" s="377"/>
      <c r="AW37" s="377"/>
      <c r="AX37" s="377"/>
      <c r="AY37" s="377"/>
      <c r="AZ37" s="377"/>
      <c r="BA37" s="377"/>
      <c r="BB37" s="377"/>
      <c r="BC37" s="378"/>
      <c r="BD37" s="414"/>
      <c r="BE37" s="134"/>
      <c r="BF37" s="134"/>
      <c r="BG37" s="134"/>
      <c r="BH37" s="134"/>
      <c r="BI37" s="113" t="str">
        <f t="shared" si="40"/>
        <v>E5270</v>
      </c>
      <c r="BJ37" s="567" t="str">
        <f t="shared" si="41"/>
        <v>Ménétréols Lizeray (La vallée 4)</v>
      </c>
      <c r="BK37" s="299">
        <f t="shared" si="49"/>
        <v>91.640305134802603</v>
      </c>
      <c r="BL37" s="299">
        <f t="shared" si="59"/>
        <v>91.640305134802603</v>
      </c>
      <c r="BM37" s="299">
        <f t="shared" si="59"/>
        <v>91.640305134802603</v>
      </c>
      <c r="BN37" s="299">
        <f t="shared" si="59"/>
        <v>91.640305134802603</v>
      </c>
      <c r="BO37" s="299">
        <f t="shared" si="59"/>
        <v>91.640305134802603</v>
      </c>
      <c r="BP37" s="299">
        <f t="shared" si="59"/>
        <v>91.640305134802603</v>
      </c>
      <c r="BQ37" s="299">
        <f t="shared" si="59"/>
        <v>91.640305134802603</v>
      </c>
      <c r="BR37" s="299">
        <f t="shared" si="59"/>
        <v>91.640305134802603</v>
      </c>
      <c r="BS37" s="299">
        <f t="shared" si="59"/>
        <v>91.640305134802603</v>
      </c>
      <c r="BT37" s="299">
        <f t="shared" si="59"/>
        <v>91.640305134802603</v>
      </c>
      <c r="BU37" s="299">
        <f t="shared" si="57"/>
        <v>93.748032152903065</v>
      </c>
      <c r="BV37" s="370">
        <f t="shared" si="58"/>
        <v>93.748032152903065</v>
      </c>
      <c r="BW37" s="414"/>
      <c r="BX37" s="134"/>
      <c r="BY37" s="134"/>
      <c r="BZ37" s="134"/>
      <c r="CA37" s="134"/>
      <c r="CB37" s="113" t="str">
        <f t="shared" si="5"/>
        <v>E5270</v>
      </c>
      <c r="CC37" s="307" t="str">
        <f t="shared" si="6"/>
        <v>Ménétréols Lizeray (La vallée 4)</v>
      </c>
      <c r="CD37" s="299">
        <f t="shared" si="43"/>
        <v>91.640305134802603</v>
      </c>
      <c r="CE37" s="299">
        <f t="shared" si="7"/>
        <v>91.640305134802603</v>
      </c>
      <c r="CF37" s="299">
        <f t="shared" si="8"/>
        <v>91.640305134802603</v>
      </c>
      <c r="CG37" s="299">
        <f t="shared" si="9"/>
        <v>91.640305134802603</v>
      </c>
      <c r="CH37" s="299">
        <f t="shared" si="10"/>
        <v>91.640305134802603</v>
      </c>
      <c r="CI37" s="299">
        <f t="shared" si="11"/>
        <v>91.640305134802603</v>
      </c>
      <c r="CJ37" s="299">
        <f t="shared" si="12"/>
        <v>91.640305134802603</v>
      </c>
      <c r="CK37" s="299">
        <f t="shared" si="13"/>
        <v>91.640305134802603</v>
      </c>
      <c r="CL37" s="299">
        <f t="shared" si="14"/>
        <v>91.640305134802603</v>
      </c>
      <c r="CM37" s="299">
        <f t="shared" si="15"/>
        <v>91.640305134802603</v>
      </c>
      <c r="CN37" s="299">
        <f t="shared" si="16"/>
        <v>93.748032152903065</v>
      </c>
      <c r="CO37" s="370">
        <f t="shared" si="17"/>
        <v>93.748032152903065</v>
      </c>
      <c r="CP37" s="414"/>
      <c r="CQ37" s="134">
        <f t="shared" si="18"/>
        <v>4.0000000000000001E-3</v>
      </c>
      <c r="CU37" s="113" t="str">
        <f t="shared" si="19"/>
        <v>E5270</v>
      </c>
      <c r="CV37" s="72" t="str">
        <f t="shared" si="20"/>
        <v>Ménétréols Lizeray (La vallée 4)</v>
      </c>
      <c r="CW37" s="300">
        <f t="shared" si="21"/>
        <v>83961.978195881733</v>
      </c>
      <c r="CX37" s="298">
        <f t="shared" si="22"/>
        <v>71641.669158871664</v>
      </c>
      <c r="CY37" s="298">
        <f t="shared" si="23"/>
        <v>69970.948088758436</v>
      </c>
      <c r="CZ37" s="298">
        <f t="shared" si="24"/>
        <v>60724.91210853112</v>
      </c>
      <c r="DA37" s="298">
        <f t="shared" si="25"/>
        <v>50870.712842362074</v>
      </c>
      <c r="DB37" s="298">
        <f t="shared" si="26"/>
        <v>40550.957965301001</v>
      </c>
      <c r="DC37" s="298">
        <f t="shared" si="27"/>
        <v>40048.683391243583</v>
      </c>
      <c r="DD37" s="298">
        <f t="shared" si="28"/>
        <v>36340.737045442038</v>
      </c>
      <c r="DE37" s="298">
        <f t="shared" si="29"/>
        <v>46496.74589789725</v>
      </c>
      <c r="DF37" s="298">
        <f t="shared" si="30"/>
        <v>62533.497569563471</v>
      </c>
      <c r="DG37" s="371">
        <f t="shared" si="31"/>
        <v>70487.746818880041</v>
      </c>
      <c r="DH37" s="372">
        <f t="shared" si="32"/>
        <v>87569.181673999687</v>
      </c>
      <c r="DI37" s="67">
        <f t="shared" si="33"/>
        <v>721197.77075673209</v>
      </c>
      <c r="DJ37" s="364"/>
      <c r="DK37" s="755">
        <f t="shared" si="44"/>
        <v>721197.77075673209</v>
      </c>
      <c r="DM37" s="518">
        <f t="shared" si="34"/>
        <v>92.094082774230785</v>
      </c>
      <c r="DO37" s="64" t="str">
        <f t="shared" si="35"/>
        <v>E5270</v>
      </c>
      <c r="DP37" s="64" t="str">
        <f t="shared" si="36"/>
        <v>E5270</v>
      </c>
      <c r="DQ37" s="72" t="str">
        <f t="shared" si="37"/>
        <v>Ménétréols Lizeray (La vallée 4)</v>
      </c>
      <c r="DR37" s="365">
        <f>_xll.LVCELL($DP$3,DR$3,$DP37,$DQ$2,$DP$4,$DP$5,$DP$6,$DP$7,$DP$8,$DQ$3)/100</f>
        <v>0.97</v>
      </c>
      <c r="DS37" s="365">
        <f>_xll.LVCELL($DP$3,DS$3,$DP37,$DQ$2,$DP$4,$DP$5,$DP$6,$DP$7,$DP$8,$DQ$3)/100</f>
        <v>0.97</v>
      </c>
      <c r="DT37" s="365">
        <f>_xll.LVCELL($DP$3,DT$3,$DP37,$DQ$2,$DP$4,$DP$5,$DP$6,$DP$7,$DP$8,$DQ$3)/100</f>
        <v>0.97</v>
      </c>
      <c r="DU37" s="365">
        <f>_xll.LVCELL($DP$3,DU$3,$DP37,$DQ$2,$DP$4,$DP$5,$DP$6,$DP$7,$DP$8,$DQ$3)/100</f>
        <v>0.97</v>
      </c>
      <c r="DV37" s="365">
        <f>_xll.LVCELL($DP$3,DV$3,$DP37,$DQ$2,$DP$4,$DP$5,$DP$6,$DP$7,$DP$8,$DQ$3)/100</f>
        <v>0.97</v>
      </c>
      <c r="DW37" s="365">
        <f>_xll.LVCELL($DP$3,DW$3,$DP37,$DQ$2,$DP$4,$DP$5,$DP$6,$DP$7,$DP$8,$DQ$3)/100</f>
        <v>0.97</v>
      </c>
      <c r="DX37" s="365">
        <f>_xll.LVCELL($DP$3,DX$3,$DP37,$DQ$2,$DP$4,$DP$5,$DP$6,$DP$7,$DP$8,$DQ$3)/100</f>
        <v>0.97</v>
      </c>
      <c r="DY37" s="365">
        <f>_xll.LVCELL($DP$3,DY$3,$DP37,$DQ$2,$DP$4,$DP$5,$DP$6,$DP$7,$DP$8,$DQ$3)/100</f>
        <v>0.97</v>
      </c>
      <c r="DZ37" s="365">
        <f>_xll.LVCELL($DP$3,DZ$3,$DP37,$DQ$2,$DP$4,$DP$5,$DP$6,$DP$7,$DP$8,$DQ$3)/100</f>
        <v>0.97</v>
      </c>
      <c r="EA37" s="365">
        <f>_xll.LVCELL($DP$3,EA$3,$DP37,$DQ$2,$DP$4,$DP$5,$DP$6,$DP$7,$DP$8,$DQ$3)/100</f>
        <v>0.97</v>
      </c>
      <c r="EB37" s="365">
        <f>_xll.LVCELL($DP$3,EB$3,$DP37,$DQ$2,$DP$4,$DP$5,$DP$6,$DP$7,$DP$8,$DQ$3)/100</f>
        <v>0.97</v>
      </c>
      <c r="EC37" s="365">
        <f>_xll.LVCELL($DP$3,EC$3,$DP37,$DQ$2,$DP$4,$DP$5,$DP$6,$DP$7,$DP$8,$DQ$3)/100</f>
        <v>0.97</v>
      </c>
      <c r="ED37" s="582">
        <f t="shared" si="45"/>
        <v>11.64</v>
      </c>
      <c r="EF37" s="64" t="s">
        <v>315</v>
      </c>
      <c r="EH37" s="72"/>
      <c r="EI37" s="366"/>
      <c r="EJ37" s="367"/>
      <c r="EK37" s="368"/>
      <c r="EL37" s="367"/>
      <c r="EM37" s="368"/>
      <c r="EN37" s="367"/>
      <c r="EO37" s="368"/>
      <c r="EP37" s="367"/>
      <c r="EQ37" s="368"/>
      <c r="ER37" s="367"/>
      <c r="ES37" s="368"/>
      <c r="ET37" s="367"/>
      <c r="EY37" s="72"/>
      <c r="EZ37" s="364"/>
      <c r="FA37" s="364"/>
      <c r="FB37" s="364"/>
      <c r="FC37" s="364"/>
      <c r="FD37" s="364"/>
      <c r="FE37" s="364"/>
      <c r="FF37" s="364"/>
      <c r="FG37" s="364"/>
      <c r="FH37" s="364"/>
      <c r="FI37" s="364"/>
      <c r="FJ37" s="364"/>
      <c r="FK37" s="364"/>
      <c r="FP37" s="72"/>
      <c r="FQ37" s="364"/>
      <c r="FR37" s="364"/>
      <c r="FS37" s="364"/>
      <c r="FT37" s="364"/>
      <c r="FU37" s="364"/>
      <c r="FV37" s="364"/>
      <c r="FW37" s="364"/>
      <c r="FX37" s="364"/>
      <c r="FY37" s="364"/>
      <c r="FZ37" s="364"/>
      <c r="GA37" s="364"/>
      <c r="GB37" s="172"/>
    </row>
    <row r="38" spans="1:184" ht="15">
      <c r="B38" s="64" t="s">
        <v>314</v>
      </c>
      <c r="C38" s="64" t="s">
        <v>314</v>
      </c>
      <c r="D38" s="72" t="s">
        <v>541</v>
      </c>
      <c r="E38" s="357">
        <f>_xll.LVCELL($C$3,Q$3,$C38,$D$2,$C$4,$C$5,$C$6,$C$7,$C$8,$D$3)/1000</f>
        <v>6</v>
      </c>
      <c r="F38" s="103">
        <f>'distribution mensuelle Prod B22'!$AD$36</f>
        <v>1084040.9832952823</v>
      </c>
      <c r="G38" s="103">
        <f>'distribution mensuelle Prod B22'!$AD$37</f>
        <v>924972.3166206656</v>
      </c>
      <c r="H38" s="103">
        <f>'distribution mensuelle Prod B22'!$AD$38</f>
        <v>903401.48002803151</v>
      </c>
      <c r="I38" s="103">
        <f>'distribution mensuelle Prod B22'!$AD$39</f>
        <v>784025.04141905159</v>
      </c>
      <c r="J38" s="103">
        <f>'distribution mensuelle Prod B22'!$AD$40</f>
        <v>656796.54952759319</v>
      </c>
      <c r="K38" s="103">
        <f>'distribution mensuelle Prod B22'!$AD$41</f>
        <v>523557.22543500899</v>
      </c>
      <c r="L38" s="103">
        <f>'distribution mensuelle Prod B22'!$AD$42</f>
        <v>517072.31125307846</v>
      </c>
      <c r="M38" s="103">
        <f>'distribution mensuelle Prod B22'!$AD$43</f>
        <v>469198.66786021687</v>
      </c>
      <c r="N38" s="103">
        <f>'distribution mensuelle Prod B22'!$AD$44</f>
        <v>600323.8516557453</v>
      </c>
      <c r="O38" s="103">
        <f>'distribution mensuelle Prod B22'!$AD$45</f>
        <v>807375.85810630326</v>
      </c>
      <c r="P38" s="103">
        <f>'distribution mensuelle Prod B22'!$AD$46</f>
        <v>889612.82204546803</v>
      </c>
      <c r="Q38" s="103">
        <f>'distribution mensuelle Prod B22'!$AD$47</f>
        <v>1105194.4536316632</v>
      </c>
      <c r="R38" s="67">
        <f t="shared" si="1"/>
        <v>9265571.5608781073</v>
      </c>
      <c r="S38" s="380"/>
      <c r="T38" s="169"/>
      <c r="W38" s="113" t="str">
        <f t="shared" si="2"/>
        <v>E5280</v>
      </c>
      <c r="X38" s="359" t="str">
        <f t="shared" si="3"/>
        <v>St Georges (La Vallée 1)</v>
      </c>
      <c r="Y38" s="299" cm="1">
        <f t="array" ref="Y38">_xll.LVCELL($D$4,F$1,$B38,$D$2,$C$4,$C$5,$C$6,$C$7,$C$8,$D$3)*1000</f>
        <v>89.579953000000003</v>
      </c>
      <c r="Z38" s="299" cm="1">
        <f t="array" ref="Z38">_xll.LVCELL($D$4,G$1,$B38,$D$2,$C$4,$C$5,$C$6,$C$7,$C$8,$D$3)*1000</f>
        <v>89.579620000000006</v>
      </c>
      <c r="AA38" s="299" cm="1">
        <f t="array" ref="AA38">_xll.LVCELL($D$4,H$1,$B38,$D$2,$C$4,$C$5,$C$6,$C$7,$C$8,$D$3)*1000</f>
        <v>89.580019390996583</v>
      </c>
      <c r="AB38" s="299" cm="1">
        <f t="array" ref="AB38">_xll.LVCELL($D$4,I$1,$B38,$D$2,$C$4,$C$5,$C$6,$C$7,$C$8,$D$3)*1000</f>
        <v>89.5797391841066</v>
      </c>
      <c r="AC38" s="299" cm="1">
        <f t="array" ref="AC38">_xll.LVCELL($D$4,J$1,$B38,$D$2,$C$4,$C$5,$C$6,$C$7,$C$8,$D$3)*1000</f>
        <v>89.580333744833041</v>
      </c>
      <c r="AD38" s="299" cm="1">
        <f t="array" ref="AD38">_xll.LVCELL($D$4,K$1,$B38,$D$2,$C$4,$C$5,$C$6,$C$7,$C$8,$D$3)*1000</f>
        <v>89.577288401893568</v>
      </c>
      <c r="AE38" s="299" cm="1">
        <f t="array" ref="AE38">_xll.LVCELL($D$4,L$1,$B38,$D$2,$C$4,$C$5,$C$6,$C$7,$C$8,$D$3)*1000</f>
        <v>89.580593587334448</v>
      </c>
      <c r="AF38" s="299">
        <f>$AD$38</f>
        <v>89.577288401893568</v>
      </c>
      <c r="AG38" s="299">
        <f t="shared" si="53"/>
        <v>89.577288401893568</v>
      </c>
      <c r="AH38" s="299">
        <f t="shared" si="53"/>
        <v>89.577288401893568</v>
      </c>
      <c r="AI38" s="299">
        <f t="shared" si="54"/>
        <v>91.637566035137127</v>
      </c>
      <c r="AJ38" s="412">
        <f t="shared" si="55"/>
        <v>91.637566035137127</v>
      </c>
      <c r="AK38" s="67"/>
      <c r="AL38" s="134">
        <f t="shared" si="4"/>
        <v>2.3E-2</v>
      </c>
      <c r="AM38" s="134"/>
      <c r="AN38" s="134"/>
      <c r="AO38" s="134"/>
      <c r="AP38" s="113" t="str">
        <f t="shared" si="38"/>
        <v>E5280</v>
      </c>
      <c r="AQ38" s="567" t="str">
        <f t="shared" si="39"/>
        <v>St Georges (La Vallée 1)</v>
      </c>
      <c r="AR38" s="377"/>
      <c r="AS38" s="377"/>
      <c r="AT38" s="377"/>
      <c r="AU38" s="377"/>
      <c r="AV38" s="377"/>
      <c r="AW38" s="377"/>
      <c r="AX38" s="377"/>
      <c r="AY38" s="377"/>
      <c r="AZ38" s="377"/>
      <c r="BA38" s="377"/>
      <c r="BB38" s="377"/>
      <c r="BC38" s="378"/>
      <c r="BD38" s="414"/>
      <c r="BE38" s="134"/>
      <c r="BF38" s="134"/>
      <c r="BG38" s="134"/>
      <c r="BH38" s="134"/>
      <c r="BI38" s="113" t="str">
        <f t="shared" si="40"/>
        <v>E5280</v>
      </c>
      <c r="BJ38" s="567" t="str">
        <f t="shared" si="41"/>
        <v>St Georges (La Vallée 1)</v>
      </c>
      <c r="BK38" s="299">
        <f t="shared" si="49"/>
        <v>91.637566035137127</v>
      </c>
      <c r="BL38" s="299">
        <f t="shared" si="59"/>
        <v>91.637566035137127</v>
      </c>
      <c r="BM38" s="299">
        <f t="shared" si="59"/>
        <v>91.637566035137127</v>
      </c>
      <c r="BN38" s="299">
        <f t="shared" si="59"/>
        <v>91.637566035137127</v>
      </c>
      <c r="BO38" s="299">
        <f t="shared" si="59"/>
        <v>91.637566035137127</v>
      </c>
      <c r="BP38" s="299">
        <f t="shared" si="59"/>
        <v>91.637566035137127</v>
      </c>
      <c r="BQ38" s="299">
        <f t="shared" si="59"/>
        <v>91.637566035137127</v>
      </c>
      <c r="BR38" s="299">
        <f t="shared" si="59"/>
        <v>91.637566035137127</v>
      </c>
      <c r="BS38" s="299">
        <f t="shared" si="59"/>
        <v>91.637566035137127</v>
      </c>
      <c r="BT38" s="299">
        <f t="shared" si="59"/>
        <v>91.637566035137127</v>
      </c>
      <c r="BU38" s="299">
        <f t="shared" si="57"/>
        <v>93.745230053945278</v>
      </c>
      <c r="BV38" s="370">
        <f t="shared" si="58"/>
        <v>93.745230053945278</v>
      </c>
      <c r="BW38" s="414"/>
      <c r="BX38" s="134"/>
      <c r="BY38" s="134"/>
      <c r="BZ38" s="134"/>
      <c r="CA38" s="134"/>
      <c r="CB38" s="113" t="str">
        <f t="shared" si="5"/>
        <v>E5280</v>
      </c>
      <c r="CC38" s="307" t="str">
        <f t="shared" si="6"/>
        <v>St Georges (La Vallée 1)</v>
      </c>
      <c r="CD38" s="299">
        <f t="shared" si="43"/>
        <v>91.637566035137127</v>
      </c>
      <c r="CE38" s="299">
        <f t="shared" si="7"/>
        <v>91.637566035137127</v>
      </c>
      <c r="CF38" s="299">
        <f t="shared" si="8"/>
        <v>91.637566035137127</v>
      </c>
      <c r="CG38" s="299">
        <f t="shared" si="9"/>
        <v>91.637566035137127</v>
      </c>
      <c r="CH38" s="299">
        <f t="shared" si="10"/>
        <v>91.637566035137127</v>
      </c>
      <c r="CI38" s="299">
        <f t="shared" si="11"/>
        <v>91.637566035137127</v>
      </c>
      <c r="CJ38" s="299">
        <f t="shared" si="12"/>
        <v>91.637566035137127</v>
      </c>
      <c r="CK38" s="299">
        <f t="shared" si="13"/>
        <v>91.637566035137127</v>
      </c>
      <c r="CL38" s="299">
        <f t="shared" si="14"/>
        <v>91.637566035137127</v>
      </c>
      <c r="CM38" s="299">
        <f t="shared" si="15"/>
        <v>91.637566035137127</v>
      </c>
      <c r="CN38" s="299">
        <f t="shared" si="16"/>
        <v>93.745230053945278</v>
      </c>
      <c r="CO38" s="370">
        <f t="shared" si="17"/>
        <v>93.745230053945278</v>
      </c>
      <c r="CP38" s="414"/>
      <c r="CQ38" s="134">
        <f t="shared" si="18"/>
        <v>4.0000000000000001E-3</v>
      </c>
      <c r="CU38" s="113" t="str">
        <f t="shared" si="19"/>
        <v>E5280</v>
      </c>
      <c r="CV38" s="72" t="str">
        <f t="shared" si="20"/>
        <v>St Georges (La Vallée 1)</v>
      </c>
      <c r="CW38" s="300">
        <f t="shared" si="21"/>
        <v>99338.877191516425</v>
      </c>
      <c r="CX38" s="298">
        <f t="shared" si="22"/>
        <v>84762.211745000022</v>
      </c>
      <c r="CY38" s="298">
        <f t="shared" si="23"/>
        <v>82785.512782309364</v>
      </c>
      <c r="CZ38" s="298">
        <f t="shared" si="24"/>
        <v>71846.146506239471</v>
      </c>
      <c r="DA38" s="298">
        <f t="shared" si="25"/>
        <v>60187.237178985037</v>
      </c>
      <c r="DB38" s="298">
        <f t="shared" si="26"/>
        <v>47977.509818973813</v>
      </c>
      <c r="DC38" s="298">
        <f t="shared" si="27"/>
        <v>47383.248067394961</v>
      </c>
      <c r="DD38" s="298">
        <f t="shared" si="28"/>
        <v>42996.223909638997</v>
      </c>
      <c r="DE38" s="298">
        <f t="shared" si="29"/>
        <v>55012.216598571227</v>
      </c>
      <c r="DF38" s="298">
        <f t="shared" si="30"/>
        <v>73985.958512391866</v>
      </c>
      <c r="DG38" s="371">
        <f t="shared" si="31"/>
        <v>83396.958661591882</v>
      </c>
      <c r="DH38" s="372">
        <f t="shared" si="32"/>
        <v>103606.70831004463</v>
      </c>
      <c r="DI38" s="67">
        <f t="shared" si="33"/>
        <v>853278.80928265769</v>
      </c>
      <c r="DJ38" s="364">
        <f>_xll.LVCELL($E$1,Q$2,$C38,$D$2,$C$4,$C$5,$C$6,$C$7,$C$8,$D$3)+_xll.LVCELL($E$2,Q$2,$C38,$D$2,$C$4,$C$5,$C$6,$C$7,$C$8,$D$3)</f>
        <v>853278.75694103399</v>
      </c>
      <c r="DK38" s="755">
        <f t="shared" si="44"/>
        <v>5.2341623697429895E-2</v>
      </c>
      <c r="DM38" s="518">
        <f t="shared" si="34"/>
        <v>92.091330111295548</v>
      </c>
      <c r="DO38" s="64" t="str">
        <f t="shared" si="35"/>
        <v>E5280</v>
      </c>
      <c r="DP38" s="64" t="str">
        <f t="shared" si="36"/>
        <v>E5280</v>
      </c>
      <c r="DQ38" s="72" t="str">
        <f t="shared" si="37"/>
        <v>St Georges (La Vallée 1)</v>
      </c>
      <c r="DR38" s="365">
        <f>_xll.LVCELL($DP$3,DR$3,$DP38,$DQ$2,$DP$4,$DP$5,$DP$6,$DP$7,$DP$8,$DQ$3)/100</f>
        <v>0.97</v>
      </c>
      <c r="DS38" s="365">
        <f>_xll.LVCELL($DP$3,DS$3,$DP38,$DQ$2,$DP$4,$DP$5,$DP$6,$DP$7,$DP$8,$DQ$3)/100</f>
        <v>0.97</v>
      </c>
      <c r="DT38" s="365">
        <f>_xll.LVCELL($DP$3,DT$3,$DP38,$DQ$2,$DP$4,$DP$5,$DP$6,$DP$7,$DP$8,$DQ$3)/100</f>
        <v>0.97</v>
      </c>
      <c r="DU38" s="365">
        <f>_xll.LVCELL($DP$3,DU$3,$DP38,$DQ$2,$DP$4,$DP$5,$DP$6,$DP$7,$DP$8,$DQ$3)/100</f>
        <v>0.97</v>
      </c>
      <c r="DV38" s="365">
        <f>_xll.LVCELL($DP$3,DV$3,$DP38,$DQ$2,$DP$4,$DP$5,$DP$6,$DP$7,$DP$8,$DQ$3)/100</f>
        <v>0.97</v>
      </c>
      <c r="DW38" s="365">
        <f>_xll.LVCELL($DP$3,DW$3,$DP38,$DQ$2,$DP$4,$DP$5,$DP$6,$DP$7,$DP$8,$DQ$3)/100</f>
        <v>0.97</v>
      </c>
      <c r="DX38" s="365">
        <f>_xll.LVCELL($DP$3,DX$3,$DP38,$DQ$2,$DP$4,$DP$5,$DP$6,$DP$7,$DP$8,$DQ$3)/100</f>
        <v>0.97</v>
      </c>
      <c r="DY38" s="365">
        <f>_xll.LVCELL($DP$3,DY$3,$DP38,$DQ$2,$DP$4,$DP$5,$DP$6,$DP$7,$DP$8,$DQ$3)/100</f>
        <v>0.97</v>
      </c>
      <c r="DZ38" s="365">
        <f>_xll.LVCELL($DP$3,DZ$3,$DP38,$DQ$2,$DP$4,$DP$5,$DP$6,$DP$7,$DP$8,$DQ$3)/100</f>
        <v>0.97</v>
      </c>
      <c r="EA38" s="365">
        <f>_xll.LVCELL($DP$3,EA$3,$DP38,$DQ$2,$DP$4,$DP$5,$DP$6,$DP$7,$DP$8,$DQ$3)/100</f>
        <v>0.97</v>
      </c>
      <c r="EB38" s="365">
        <f>_xll.LVCELL($DP$3,EB$3,$DP38,$DQ$2,$DP$4,$DP$5,$DP$6,$DP$7,$DP$8,$DQ$3)/100</f>
        <v>0.97</v>
      </c>
      <c r="EC38" s="365">
        <f>_xll.LVCELL($DP$3,EC$3,$DP38,$DQ$2,$DP$4,$DP$5,$DP$6,$DP$7,$DP$8,$DQ$3)/100</f>
        <v>0.97</v>
      </c>
      <c r="ED38" s="582">
        <f t="shared" si="45"/>
        <v>11.64</v>
      </c>
      <c r="EF38" s="64" t="s">
        <v>314</v>
      </c>
      <c r="EG38" s="64" t="s">
        <v>314</v>
      </c>
      <c r="EH38" s="72" t="s">
        <v>541</v>
      </c>
      <c r="EI38" s="366" t="e">
        <f ca="1">_xll.LVCELL($EG$3,EI$3,$DP38,$DQ$2,$DP$4,$DP$5,$DP$6,$DP$7,$DP$8,$DQ$3)-CW38</f>
        <v>#NAME?</v>
      </c>
      <c r="EJ38" s="367" t="e">
        <f ca="1">_xll.LVCELL($EG$3,EJ$3,$DP38,$DQ$2,$DP$4,$DP$5,$DP$6,$DP$7,$DP$8,$DQ$3)-CX38</f>
        <v>#NAME?</v>
      </c>
      <c r="EK38" s="368" t="e">
        <f ca="1">_xll.LVCELL($EG$3,EK$3,$DP38,$DQ$2,$DP$4,$DP$5,$DP$6,$DP$7,$DP$8,$DQ$3)-CY38</f>
        <v>#NAME?</v>
      </c>
      <c r="EL38" s="367" t="e">
        <f ca="1">_xll.LVCELL($EG$3,EL$3,$DP38,$DQ$2,$DP$4,$DP$5,$DP$6,$DP$7,$DP$8,$DQ$3)-CZ38</f>
        <v>#NAME?</v>
      </c>
      <c r="EM38" s="368" t="e">
        <f ca="1">_xll.LVCELL($EG$3,EM$3,$DP38,$DQ$2,$DP$4,$DP$5,$DP$6,$DP$7,$DP$8,$DQ$3)-DA38</f>
        <v>#NAME?</v>
      </c>
      <c r="EN38" s="367" t="e">
        <f ca="1">_xll.LVCELL($EG$3,EN$3,$DP38,$DQ$2,$DP$4,$DP$5,$DP$6,$DP$7,$DP$8,$DQ$3)-DB38</f>
        <v>#NAME?</v>
      </c>
      <c r="EO38" s="368" t="e">
        <f ca="1">_xll.LVCELL($EG$3,EO$3,$DP38,$DQ$2,$DP$4,$DP$5,$DP$6,$DP$7,$DP$8,$DQ$3)-DC38</f>
        <v>#NAME?</v>
      </c>
      <c r="EP38" s="367" t="e">
        <f ca="1">_xll.LVCELL($EG$3,EP$3,$DP38,$DQ$2,$DP$4,$DP$5,$DP$6,$DP$7,$DP$8,$DQ$3)-DD38</f>
        <v>#NAME?</v>
      </c>
      <c r="EQ38" s="368" t="e">
        <f ca="1">_xll.LVCELL($EG$3,EQ$3,$DP38,$DQ$2,$DP$4,$DP$5,$DP$6,$DP$7,$DP$8,$DQ$3)-DE38</f>
        <v>#NAME?</v>
      </c>
      <c r="ER38" s="367" t="e">
        <f ca="1">_xll.LVCELL($EG$3,ER$3,$DP38,$DQ$2,$DP$4,$DP$5,$DP$6,$DP$7,$DP$8,$DQ$3)-DF38</f>
        <v>#NAME?</v>
      </c>
      <c r="ES38" s="368" t="e">
        <f ca="1">_xll.LVCELL($EG$3,ES$3,$DP38,$DQ$2,$DP$4,$DP$5,$DP$6,$DP$7,$DP$8,$DQ$3)-DG38</f>
        <v>#NAME?</v>
      </c>
      <c r="ET38" s="367" t="e">
        <f ca="1">_xll.LVCELL($EG$3,ET$3,$DP38,$DQ$2,$DP$4,$DP$5,$DP$6,$DP$7,$DP$8,$DQ$3)-DH38</f>
        <v>#NAME?</v>
      </c>
      <c r="EW38" s="64" t="s">
        <v>314</v>
      </c>
      <c r="EX38" s="64" t="s">
        <v>314</v>
      </c>
      <c r="EY38" s="72" t="s">
        <v>541</v>
      </c>
      <c r="EZ38" s="364">
        <f>_xll.LVCELL($EX$3,EZ$3,$DP38,$DQ$2,$DP$4,$DP$5,$DP$6,$DP$7,$DP$8,$DQ$3)</f>
        <v>6000</v>
      </c>
      <c r="FA38" s="364">
        <f>_xll.LVCELL($EX$3,FA$3,$DP38,$DQ$2,$DP$4,$DP$5,$DP$6,$DP$7,$DP$8,$DQ$3)</f>
        <v>6000</v>
      </c>
      <c r="FB38" s="364">
        <f>_xll.LVCELL($EX$3,FB$3,$DP38,$DQ$2,$DP$4,$DP$5,$DP$6,$DP$7,$DP$8,$DQ$3)</f>
        <v>6000</v>
      </c>
      <c r="FC38" s="364">
        <f>_xll.LVCELL($EX$3,FC$3,$DP38,$DQ$2,$DP$4,$DP$5,$DP$6,$DP$7,$DP$8,$DQ$3)</f>
        <v>6000</v>
      </c>
      <c r="FD38" s="364">
        <f>_xll.LVCELL($EX$3,FD$3,$DP38,$DQ$2,$DP$4,$DP$5,$DP$6,$DP$7,$DP$8,$DQ$3)</f>
        <v>6000</v>
      </c>
      <c r="FE38" s="364">
        <f>_xll.LVCELL($EX$3,FE$3,$DP38,$DQ$2,$DP$4,$DP$5,$DP$6,$DP$7,$DP$8,$DQ$3)</f>
        <v>6000</v>
      </c>
      <c r="FF38" s="364">
        <f>_xll.LVCELL($EX$3,FF$3,$DP38,$DQ$2,$DP$4,$DP$5,$DP$6,$DP$7,$DP$8,$DQ$3)</f>
        <v>6000</v>
      </c>
      <c r="FG38" s="364">
        <f>_xll.LVCELL($EX$3,FG$3,$DP38,$DQ$2,$DP$4,$DP$5,$DP$6,$DP$7,$DP$8,$DQ$3)</f>
        <v>6000</v>
      </c>
      <c r="FH38" s="364">
        <f>_xll.LVCELL($EX$3,FH$3,$DP38,$DQ$2,$DP$4,$DP$5,$DP$6,$DP$7,$DP$8,$DQ$3)</f>
        <v>6000</v>
      </c>
      <c r="FI38" s="364">
        <f>_xll.LVCELL($EX$3,FI$3,$DP38,$DQ$2,$DP$4,$DP$5,$DP$6,$DP$7,$DP$8,$DQ$3)</f>
        <v>6000</v>
      </c>
      <c r="FJ38" s="364">
        <f>_xll.LVCELL($EX$3,FJ$3,$DP38,$DQ$2,$DP$4,$DP$5,$DP$6,$DP$7,$DP$8,$DQ$3)</f>
        <v>6000</v>
      </c>
      <c r="FK38" s="276">
        <f>_xll.LVCELL($EX$3,FK$3,$DP38,$DQ$2,$DP$4,$DP$5,$DP$6,$DP$7,$DP$8,$DQ$3)</f>
        <v>6000</v>
      </c>
      <c r="FN38" s="64" t="s">
        <v>314</v>
      </c>
      <c r="FO38" s="64" t="s">
        <v>314</v>
      </c>
      <c r="FP38" s="72" t="s">
        <v>541</v>
      </c>
      <c r="FQ38" s="364">
        <f>_xll.LVCELL($FO$3,FQ$3,$DP38,$DQ$2,$DP$4,$DP$5,$DP$6,$DP$7,$DP$8,$DQ$3)</f>
        <v>3</v>
      </c>
      <c r="FR38" s="364">
        <f>_xll.LVCELL($FO$3,FR$3,$DP38,$DQ$2,$DP$4,$DP$5,$DP$6,$DP$7,$DP$8,$DQ$3)</f>
        <v>3</v>
      </c>
      <c r="FS38" s="364">
        <f>_xll.LVCELL($FO$3,FS$3,$DP38,$DQ$2,$DP$4,$DP$5,$DP$6,$DP$7,$DP$8,$DQ$3)</f>
        <v>3</v>
      </c>
      <c r="FT38" s="364">
        <f>_xll.LVCELL($FO$3,FT$3,$DP38,$DQ$2,$DP$4,$DP$5,$DP$6,$DP$7,$DP$8,$DQ$3)</f>
        <v>3</v>
      </c>
      <c r="FU38" s="364">
        <f>_xll.LVCELL($FO$3,FU$3,$DP38,$DQ$2,$DP$4,$DP$5,$DP$6,$DP$7,$DP$8,$DQ$3)</f>
        <v>3</v>
      </c>
      <c r="FV38" s="364">
        <f>_xll.LVCELL($FO$3,FV$3,$DP38,$DQ$2,$DP$4,$DP$5,$DP$6,$DP$7,$DP$8,$DQ$3)</f>
        <v>3</v>
      </c>
      <c r="FW38" s="364">
        <f>_xll.LVCELL($FO$3,FW$3,$DP38,$DQ$2,$DP$4,$DP$5,$DP$6,$DP$7,$DP$8,$DQ$3)</f>
        <v>3</v>
      </c>
      <c r="FX38" s="364">
        <f>_xll.LVCELL($FO$3,FX$3,$DP38,$DQ$2,$DP$4,$DP$5,$DP$6,$DP$7,$DP$8,$DQ$3)</f>
        <v>3</v>
      </c>
      <c r="FY38" s="364">
        <f>_xll.LVCELL($FO$3,FY$3,$DP38,$DQ$2,$DP$4,$DP$5,$DP$6,$DP$7,$DP$8,$DQ$3)</f>
        <v>3</v>
      </c>
      <c r="FZ38" s="364">
        <f>_xll.LVCELL($FO$3,FZ$3,$DP38,$DQ$2,$DP$4,$DP$5,$DP$6,$DP$7,$DP$8,$DQ$3)</f>
        <v>3</v>
      </c>
      <c r="GA38" s="364">
        <f>_xll.LVCELL($FO$3,GA$3,$DP38,$DQ$2,$DP$4,$DP$5,$DP$6,$DP$7,$DP$8,$DQ$3)</f>
        <v>3</v>
      </c>
      <c r="GB38" s="172">
        <f>_xll.LVCELL($FO$3,GB$3,$DP38,$DQ$2,$DP$4,$DP$5,$DP$6,$DP$7,$DP$8,$DQ$3)</f>
        <v>3</v>
      </c>
    </row>
    <row r="39" spans="1:184" ht="15">
      <c r="B39" s="64" t="s">
        <v>216</v>
      </c>
      <c r="C39" s="64" t="s">
        <v>216</v>
      </c>
      <c r="D39" s="294" t="s">
        <v>542</v>
      </c>
      <c r="E39" s="357">
        <f>_xll.LVCELL($C$3,Q$3,$C39,$D$2,$C$4,$C$5,$C$6,$C$7,$C$8,$D$3)/1000</f>
        <v>24</v>
      </c>
      <c r="F39" s="103">
        <f>'distribution mensuelle Prod B22'!$AE$36</f>
        <v>3275337.094134585</v>
      </c>
      <c r="G39" s="103">
        <f>'distribution mensuelle Prod B22'!$AE$37</f>
        <v>2637116.6282587419</v>
      </c>
      <c r="H39" s="103">
        <f>'distribution mensuelle Prod B22'!$AE$38</f>
        <v>2509511.8782871831</v>
      </c>
      <c r="I39" s="103">
        <f>'distribution mensuelle Prod B22'!$AE$39</f>
        <v>1913439.9435142018</v>
      </c>
      <c r="J39" s="103">
        <f>'distribution mensuelle Prod B22'!$AE$40</f>
        <v>1841869.3824202174</v>
      </c>
      <c r="K39" s="103">
        <f>'distribution mensuelle Prod B22'!$AE$41</f>
        <v>1464830.8796404582</v>
      </c>
      <c r="L39" s="103">
        <f>'distribution mensuelle Prod B22'!$AE$42</f>
        <v>1474385.4876362989</v>
      </c>
      <c r="M39" s="103">
        <f>'distribution mensuelle Prod B22'!$AE$43</f>
        <v>1461761.995067386</v>
      </c>
      <c r="N39" s="103">
        <f>'distribution mensuelle Prod B22'!$AE$44</f>
        <v>1751913.5332238071</v>
      </c>
      <c r="O39" s="103">
        <f>'distribution mensuelle Prod B22'!$AE$45</f>
        <v>2530551.0325687048</v>
      </c>
      <c r="P39" s="103">
        <f>'distribution mensuelle Prod B22'!$AE$46</f>
        <v>2579227.3741649482</v>
      </c>
      <c r="Q39" s="103">
        <f>'distribution mensuelle Prod B22'!$AE$47</f>
        <v>3124556.4884503437</v>
      </c>
      <c r="R39" s="67">
        <f t="shared" si="1"/>
        <v>26564501.717366878</v>
      </c>
      <c r="S39" s="379"/>
      <c r="W39" s="113" t="str">
        <f t="shared" si="2"/>
        <v>E5310</v>
      </c>
      <c r="X39" s="359" t="str">
        <f t="shared" si="3"/>
        <v>Fortel 1</v>
      </c>
      <c r="Y39" s="299" cm="1">
        <f t="array" ref="Y39">_xll.LVCELL($D$4,F$1,$B39,$D$2,$C$4,$C$5,$C$6,$C$7,$C$8,$D$3)*1000</f>
        <v>89.158393000000004</v>
      </c>
      <c r="Z39" s="299" cm="1">
        <f t="array" ref="Z39">_xll.LVCELL($D$4,G$1,$B39,$D$2,$C$4,$C$5,$C$6,$C$7,$C$8,$D$3)*1000</f>
        <v>89.15517100000001</v>
      </c>
      <c r="AA39" s="299" cm="1">
        <f t="array" ref="AA39">_xll.LVCELL($D$4,H$1,$B39,$D$2,$C$4,$C$5,$C$6,$C$7,$C$8,$D$3)*1000</f>
        <v>89.158656721916259</v>
      </c>
      <c r="AB39" s="299" cm="1">
        <f t="array" ref="AB39">_xll.LVCELL($D$4,I$1,$B39,$D$2,$C$4,$C$5,$C$6,$C$7,$C$8,$D$3)*1000</f>
        <v>89.16129572416331</v>
      </c>
      <c r="AC39" s="299" cm="1">
        <f t="array" ref="AC39">_xll.LVCELL($D$4,J$1,$B39,$D$2,$C$4,$C$5,$C$6,$C$7,$C$8,$D$3)*1000</f>
        <v>89.159384648974893</v>
      </c>
      <c r="AD39" s="299" cm="1">
        <f t="array" ref="AD39">_xll.LVCELL($D$4,K$1,$B39,$D$2,$C$4,$C$5,$C$6,$C$7,$C$8,$D$3)*1000</f>
        <v>89.160916176244157</v>
      </c>
      <c r="AE39" s="299" cm="1">
        <f t="array" ref="AE39">_xll.LVCELL($D$4,L$1,$B39,$D$2,$C$4,$C$5,$C$6,$C$7,$C$8,$D$3)*1000</f>
        <v>89.162893925148595</v>
      </c>
      <c r="AF39" s="299">
        <f>$AD$39</f>
        <v>89.160916176244157</v>
      </c>
      <c r="AG39" s="299">
        <f t="shared" si="53"/>
        <v>89.160916176244157</v>
      </c>
      <c r="AH39" s="299">
        <f t="shared" si="53"/>
        <v>89.160916176244157</v>
      </c>
      <c r="AI39" s="299">
        <f t="shared" si="54"/>
        <v>91.21161724829777</v>
      </c>
      <c r="AJ39" s="412">
        <f t="shared" si="55"/>
        <v>91.21161724829777</v>
      </c>
      <c r="AK39" s="67"/>
      <c r="AL39" s="134">
        <f t="shared" si="4"/>
        <v>2.3E-2</v>
      </c>
      <c r="AM39" s="134"/>
      <c r="AN39" s="134"/>
      <c r="AO39" s="134"/>
      <c r="AP39" s="113" t="str">
        <f t="shared" si="38"/>
        <v>E5310</v>
      </c>
      <c r="AQ39" s="567" t="str">
        <f t="shared" si="39"/>
        <v>Fortel 1</v>
      </c>
      <c r="AR39" s="377"/>
      <c r="AS39" s="377"/>
      <c r="AT39" s="377"/>
      <c r="AU39" s="377"/>
      <c r="AV39" s="377"/>
      <c r="AW39" s="377"/>
      <c r="AX39" s="377"/>
      <c r="AY39" s="377"/>
      <c r="AZ39" s="377"/>
      <c r="BA39" s="377"/>
      <c r="BB39" s="377"/>
      <c r="BC39" s="378"/>
      <c r="BD39" s="414"/>
      <c r="BE39" s="134"/>
      <c r="BF39" s="134"/>
      <c r="BG39" s="134"/>
      <c r="BH39" s="134"/>
      <c r="BI39" s="113" t="str">
        <f t="shared" si="40"/>
        <v>E5310</v>
      </c>
      <c r="BJ39" s="567" t="str">
        <f t="shared" si="41"/>
        <v>Fortel 1</v>
      </c>
      <c r="BK39" s="299">
        <f t="shared" si="49"/>
        <v>91.21161724829777</v>
      </c>
      <c r="BL39" s="299">
        <f t="shared" si="59"/>
        <v>91.21161724829777</v>
      </c>
      <c r="BM39" s="299">
        <f t="shared" si="59"/>
        <v>91.21161724829777</v>
      </c>
      <c r="BN39" s="299">
        <f t="shared" si="59"/>
        <v>91.21161724829777</v>
      </c>
      <c r="BO39" s="299">
        <f t="shared" si="59"/>
        <v>91.21161724829777</v>
      </c>
      <c r="BP39" s="299">
        <f t="shared" si="59"/>
        <v>91.21161724829777</v>
      </c>
      <c r="BQ39" s="299">
        <f t="shared" si="59"/>
        <v>91.21161724829777</v>
      </c>
      <c r="BR39" s="299">
        <f t="shared" si="59"/>
        <v>91.21161724829777</v>
      </c>
      <c r="BS39" s="299">
        <f t="shared" si="59"/>
        <v>91.21161724829777</v>
      </c>
      <c r="BT39" s="299">
        <f t="shared" si="59"/>
        <v>91.21161724829777</v>
      </c>
      <c r="BU39" s="299">
        <f t="shared" si="57"/>
        <v>93.309484445008621</v>
      </c>
      <c r="BV39" s="370">
        <f t="shared" si="58"/>
        <v>93.309484445008621</v>
      </c>
      <c r="BW39" s="414"/>
      <c r="BX39" s="134"/>
      <c r="BY39" s="134"/>
      <c r="BZ39" s="134"/>
      <c r="CA39" s="134"/>
      <c r="CB39" s="113" t="str">
        <f t="shared" si="5"/>
        <v>E5310</v>
      </c>
      <c r="CC39" s="308" t="str">
        <f t="shared" si="6"/>
        <v>Fortel 1</v>
      </c>
      <c r="CD39" s="299">
        <f t="shared" si="43"/>
        <v>91.21161724829777</v>
      </c>
      <c r="CE39" s="299">
        <f t="shared" si="7"/>
        <v>91.21161724829777</v>
      </c>
      <c r="CF39" s="299">
        <f t="shared" si="8"/>
        <v>91.21161724829777</v>
      </c>
      <c r="CG39" s="299">
        <f t="shared" si="9"/>
        <v>91.21161724829777</v>
      </c>
      <c r="CH39" s="299">
        <f t="shared" si="10"/>
        <v>91.21161724829777</v>
      </c>
      <c r="CI39" s="299">
        <f t="shared" si="11"/>
        <v>91.21161724829777</v>
      </c>
      <c r="CJ39" s="299">
        <f t="shared" si="12"/>
        <v>91.21161724829777</v>
      </c>
      <c r="CK39" s="299">
        <f t="shared" si="13"/>
        <v>91.21161724829777</v>
      </c>
      <c r="CL39" s="299">
        <f t="shared" si="14"/>
        <v>91.21161724829777</v>
      </c>
      <c r="CM39" s="299">
        <f t="shared" si="15"/>
        <v>91.21161724829777</v>
      </c>
      <c r="CN39" s="299">
        <f t="shared" si="16"/>
        <v>93.309484445008621</v>
      </c>
      <c r="CO39" s="370">
        <f t="shared" si="17"/>
        <v>93.309484445008621</v>
      </c>
      <c r="CP39" s="414"/>
      <c r="CQ39" s="134">
        <f t="shared" si="18"/>
        <v>4.0000000000000001E-3</v>
      </c>
      <c r="CU39" s="113" t="str">
        <f t="shared" si="19"/>
        <v>E5310</v>
      </c>
      <c r="CV39" s="73" t="str">
        <f t="shared" si="20"/>
        <v>Fortel 1</v>
      </c>
      <c r="CW39" s="300">
        <f t="shared" si="21"/>
        <v>298748.79338935559</v>
      </c>
      <c r="CX39" s="298">
        <f t="shared" si="22"/>
        <v>240535.67253585791</v>
      </c>
      <c r="CY39" s="298">
        <f t="shared" si="23"/>
        <v>228896.63692238735</v>
      </c>
      <c r="CZ39" s="298">
        <f t="shared" si="24"/>
        <v>174527.95175542188</v>
      </c>
      <c r="DA39" s="298">
        <f t="shared" si="25"/>
        <v>167999.88513067146</v>
      </c>
      <c r="DB39" s="298">
        <f t="shared" si="26"/>
        <v>133609.59352725281</v>
      </c>
      <c r="DC39" s="298">
        <f t="shared" si="27"/>
        <v>134481.08477472694</v>
      </c>
      <c r="DD39" s="298">
        <f t="shared" si="28"/>
        <v>133329.67560219453</v>
      </c>
      <c r="DE39" s="298">
        <f t="shared" si="29"/>
        <v>159794.86664452287</v>
      </c>
      <c r="DF39" s="298">
        <f t="shared" si="30"/>
        <v>230815.65220994139</v>
      </c>
      <c r="DG39" s="371">
        <f t="shared" si="31"/>
        <v>240666.37654978468</v>
      </c>
      <c r="DH39" s="372">
        <f t="shared" si="32"/>
        <v>291550.75505660812</v>
      </c>
      <c r="DI39" s="67">
        <f t="shared" si="33"/>
        <v>2434956.9440987254</v>
      </c>
      <c r="DJ39" s="364">
        <f>_xll.LVCELL($E$1,Q$2,$C39,$D$2,$C$4,$C$5,$C$6,$C$7,$C$8,$D$3)+_xll.LVCELL($E$2,Q$2,$C39,$D$2,$C$4,$C$5,$C$6,$C$7,$C$8,$D$3)</f>
        <v>4993630.7555859936</v>
      </c>
      <c r="DK39" s="82">
        <f t="shared" si="44"/>
        <v>-2558673.8114872682</v>
      </c>
      <c r="DM39" s="518">
        <f t="shared" si="34"/>
        <v>91.662059767032687</v>
      </c>
      <c r="DO39" s="64" t="str">
        <f t="shared" si="35"/>
        <v>E5310</v>
      </c>
      <c r="DP39" s="64" t="str">
        <f t="shared" si="36"/>
        <v>E5310</v>
      </c>
      <c r="DQ39" s="73" t="str">
        <f t="shared" si="37"/>
        <v>Fortel 1</v>
      </c>
      <c r="DR39" s="365">
        <f>_xll.LVCELL($DP$3,DR$3,$DP39,$DQ$2,$DP$4,$DP$5,$DP$6,$DP$7,$DP$8,$DQ$3)/100</f>
        <v>0.97</v>
      </c>
      <c r="DS39" s="365">
        <f>_xll.LVCELL($DP$3,DS$3,$DP39,$DQ$2,$DP$4,$DP$5,$DP$6,$DP$7,$DP$8,$DQ$3)/100</f>
        <v>0.97</v>
      </c>
      <c r="DT39" s="365">
        <f>_xll.LVCELL($DP$3,DT$3,$DP39,$DQ$2,$DP$4,$DP$5,$DP$6,$DP$7,$DP$8,$DQ$3)/100</f>
        <v>0.97</v>
      </c>
      <c r="DU39" s="365">
        <f>_xll.LVCELL($DP$3,DU$3,$DP39,$DQ$2,$DP$4,$DP$5,$DP$6,$DP$7,$DP$8,$DQ$3)/100</f>
        <v>0.97</v>
      </c>
      <c r="DV39" s="365">
        <f>_xll.LVCELL($DP$3,DV$3,$DP39,$DQ$2,$DP$4,$DP$5,$DP$6,$DP$7,$DP$8,$DQ$3)/100</f>
        <v>0.97</v>
      </c>
      <c r="DW39" s="365">
        <f>_xll.LVCELL($DP$3,DW$3,$DP39,$DQ$2,$DP$4,$DP$5,$DP$6,$DP$7,$DP$8,$DQ$3)/100</f>
        <v>0.97</v>
      </c>
      <c r="DX39" s="365">
        <f>_xll.LVCELL($DP$3,DX$3,$DP39,$DQ$2,$DP$4,$DP$5,$DP$6,$DP$7,$DP$8,$DQ$3)/100</f>
        <v>0.97</v>
      </c>
      <c r="DY39" s="365">
        <f>_xll.LVCELL($DP$3,DY$3,$DP39,$DQ$2,$DP$4,$DP$5,$DP$6,$DP$7,$DP$8,$DQ$3)/100</f>
        <v>0.97</v>
      </c>
      <c r="DZ39" s="365">
        <f>_xll.LVCELL($DP$3,DZ$3,$DP39,$DQ$2,$DP$4,$DP$5,$DP$6,$DP$7,$DP$8,$DQ$3)/100</f>
        <v>0.97</v>
      </c>
      <c r="EA39" s="365">
        <f>_xll.LVCELL($DP$3,EA$3,$DP39,$DQ$2,$DP$4,$DP$5,$DP$6,$DP$7,$DP$8,$DQ$3)/100</f>
        <v>0.97</v>
      </c>
      <c r="EB39" s="365">
        <f>_xll.LVCELL($DP$3,EB$3,$DP39,$DQ$2,$DP$4,$DP$5,$DP$6,$DP$7,$DP$8,$DQ$3)/100</f>
        <v>0.97</v>
      </c>
      <c r="EC39" s="365">
        <f>_xll.LVCELL($DP$3,EC$3,$DP39,$DQ$2,$DP$4,$DP$5,$DP$6,$DP$7,$DP$8,$DQ$3)/100</f>
        <v>0.97</v>
      </c>
      <c r="ED39" s="582">
        <f t="shared" si="45"/>
        <v>11.64</v>
      </c>
      <c r="EF39" s="64" t="s">
        <v>216</v>
      </c>
      <c r="EG39" s="64" t="s">
        <v>216</v>
      </c>
      <c r="EH39" s="73" t="s">
        <v>2633</v>
      </c>
      <c r="EI39" s="366" t="e">
        <f ca="1">_xll.LVCELL($EG$3,EI$3,$DP39,$DQ$2,$DP$4,$DP$5,$DP$6,$DP$7,$DP$8,$DQ$3)-CW39-CW40</f>
        <v>#NAME?</v>
      </c>
      <c r="EJ39" s="367" t="e">
        <f ca="1">_xll.LVCELL($EG$3,EJ$3,$DP39,$DQ$2,$DP$4,$DP$5,$DP$6,$DP$7,$DP$8,$DQ$3)-CX39-CX40</f>
        <v>#NAME?</v>
      </c>
      <c r="EK39" s="368" t="e">
        <f ca="1">_xll.LVCELL($EG$3,EK$3,$DP39,$DQ$2,$DP$4,$DP$5,$DP$6,$DP$7,$DP$8,$DQ$3)-CY39-CY40</f>
        <v>#NAME?</v>
      </c>
      <c r="EL39" s="367" t="e">
        <f ca="1">_xll.LVCELL($EG$3,EL$3,$DP39,$DQ$2,$DP$4,$DP$5,$DP$6,$DP$7,$DP$8,$DQ$3)-CZ39-CZ40</f>
        <v>#NAME?</v>
      </c>
      <c r="EM39" s="368" t="e">
        <f ca="1">_xll.LVCELL($EG$3,EM$3,$DP39,$DQ$2,$DP$4,$DP$5,$DP$6,$DP$7,$DP$8,$DQ$3)-DA39-DA40</f>
        <v>#NAME?</v>
      </c>
      <c r="EN39" s="367" t="e">
        <f ca="1">_xll.LVCELL($EG$3,EN$3,$DP39,$DQ$2,$DP$4,$DP$5,$DP$6,$DP$7,$DP$8,$DQ$3)-DB39-DB40</f>
        <v>#NAME?</v>
      </c>
      <c r="EO39" s="368" t="e">
        <f ca="1">_xll.LVCELL($EG$3,EO$3,$DP39,$DQ$2,$DP$4,$DP$5,$DP$6,$DP$7,$DP$8,$DQ$3)-DC39-DC40</f>
        <v>#NAME?</v>
      </c>
      <c r="EP39" s="367" t="e">
        <f ca="1">_xll.LVCELL($EG$3,EP$3,$DP39,$DQ$2,$DP$4,$DP$5,$DP$6,$DP$7,$DP$8,$DQ$3)-DD39-DD40</f>
        <v>#NAME?</v>
      </c>
      <c r="EQ39" s="368" t="e">
        <f ca="1">_xll.LVCELL($EG$3,EQ$3,$DP39,$DQ$2,$DP$4,$DP$5,$DP$6,$DP$7,$DP$8,$DQ$3)-DE39-DE40</f>
        <v>#NAME?</v>
      </c>
      <c r="ER39" s="367" t="e">
        <f ca="1">_xll.LVCELL($EG$3,ER$3,$DP39,$DQ$2,$DP$4,$DP$5,$DP$6,$DP$7,$DP$8,$DQ$3)-DF39-DF40</f>
        <v>#NAME?</v>
      </c>
      <c r="ES39" s="368" t="e">
        <f ca="1">_xll.LVCELL($EG$3,ES$3,$DP39,$DQ$2,$DP$4,$DP$5,$DP$6,$DP$7,$DP$8,$DQ$3)-DG39-DG40</f>
        <v>#NAME?</v>
      </c>
      <c r="ET39" s="367" t="e">
        <f ca="1">_xll.LVCELL($EG$3,ET$3,$DP39,$DQ$2,$DP$4,$DP$5,$DP$6,$DP$7,$DP$8,$DQ$3)-DH39-DH40</f>
        <v>#NAME?</v>
      </c>
      <c r="EW39" s="64" t="s">
        <v>216</v>
      </c>
      <c r="EX39" s="64" t="s">
        <v>216</v>
      </c>
      <c r="EY39" s="73" t="s">
        <v>2633</v>
      </c>
      <c r="EZ39" s="364">
        <f>_xll.LVCELL($EX$3,EZ$3,$DP39,$DQ$2,$DP$4,$DP$5,$DP$6,$DP$7,$DP$8,$DQ$3)</f>
        <v>24000</v>
      </c>
      <c r="FA39" s="364">
        <f>_xll.LVCELL($EX$3,FA$3,$DP39,$DQ$2,$DP$4,$DP$5,$DP$6,$DP$7,$DP$8,$DQ$3)</f>
        <v>24000</v>
      </c>
      <c r="FB39" s="364">
        <f>_xll.LVCELL($EX$3,FB$3,$DP39,$DQ$2,$DP$4,$DP$5,$DP$6,$DP$7,$DP$8,$DQ$3)</f>
        <v>24000</v>
      </c>
      <c r="FC39" s="364">
        <f>_xll.LVCELL($EX$3,FC$3,$DP39,$DQ$2,$DP$4,$DP$5,$DP$6,$DP$7,$DP$8,$DQ$3)</f>
        <v>24000</v>
      </c>
      <c r="FD39" s="364">
        <f>_xll.LVCELL($EX$3,FD$3,$DP39,$DQ$2,$DP$4,$DP$5,$DP$6,$DP$7,$DP$8,$DQ$3)</f>
        <v>24000</v>
      </c>
      <c r="FE39" s="364">
        <f>_xll.LVCELL($EX$3,FE$3,$DP39,$DQ$2,$DP$4,$DP$5,$DP$6,$DP$7,$DP$8,$DQ$3)</f>
        <v>24000</v>
      </c>
      <c r="FF39" s="364">
        <f>_xll.LVCELL($EX$3,FF$3,$DP39,$DQ$2,$DP$4,$DP$5,$DP$6,$DP$7,$DP$8,$DQ$3)</f>
        <v>24000</v>
      </c>
      <c r="FG39" s="364">
        <f>_xll.LVCELL($EX$3,FG$3,$DP39,$DQ$2,$DP$4,$DP$5,$DP$6,$DP$7,$DP$8,$DQ$3)</f>
        <v>24000</v>
      </c>
      <c r="FH39" s="364">
        <f>_xll.LVCELL($EX$3,FH$3,$DP39,$DQ$2,$DP$4,$DP$5,$DP$6,$DP$7,$DP$8,$DQ$3)</f>
        <v>24000</v>
      </c>
      <c r="FI39" s="364">
        <f>_xll.LVCELL($EX$3,FI$3,$DP39,$DQ$2,$DP$4,$DP$5,$DP$6,$DP$7,$DP$8,$DQ$3)</f>
        <v>24000</v>
      </c>
      <c r="FJ39" s="364">
        <f>_xll.LVCELL($EX$3,FJ$3,$DP39,$DQ$2,$DP$4,$DP$5,$DP$6,$DP$7,$DP$8,$DQ$3)</f>
        <v>24000</v>
      </c>
      <c r="FK39" s="276">
        <f>_xll.LVCELL($EX$3,FK$3,$DP39,$DQ$2,$DP$4,$DP$5,$DP$6,$DP$7,$DP$8,$DQ$3)</f>
        <v>24000</v>
      </c>
      <c r="FL39" s="187" t="s">
        <v>3088</v>
      </c>
      <c r="FN39" s="64" t="s">
        <v>216</v>
      </c>
      <c r="FO39" s="64" t="s">
        <v>216</v>
      </c>
      <c r="FP39" s="73" t="s">
        <v>2633</v>
      </c>
      <c r="FQ39" s="364">
        <f>_xll.LVCELL($FO$3,FQ$3,$DP39,$DQ$2,$DP$4,$DP$5,$DP$6,$DP$7,$DP$8,$DQ$3)</f>
        <v>8</v>
      </c>
      <c r="FR39" s="364">
        <f>_xll.LVCELL($FO$3,FR$3,$DP39,$DQ$2,$DP$4,$DP$5,$DP$6,$DP$7,$DP$8,$DQ$3)</f>
        <v>8</v>
      </c>
      <c r="FS39" s="364">
        <f>_xll.LVCELL($FO$3,FS$3,$DP39,$DQ$2,$DP$4,$DP$5,$DP$6,$DP$7,$DP$8,$DQ$3)</f>
        <v>8</v>
      </c>
      <c r="FT39" s="364">
        <f>_xll.LVCELL($FO$3,FT$3,$DP39,$DQ$2,$DP$4,$DP$5,$DP$6,$DP$7,$DP$8,$DQ$3)</f>
        <v>8</v>
      </c>
      <c r="FU39" s="364">
        <f>_xll.LVCELL($FO$3,FU$3,$DP39,$DQ$2,$DP$4,$DP$5,$DP$6,$DP$7,$DP$8,$DQ$3)</f>
        <v>8</v>
      </c>
      <c r="FV39" s="364">
        <f>_xll.LVCELL($FO$3,FV$3,$DP39,$DQ$2,$DP$4,$DP$5,$DP$6,$DP$7,$DP$8,$DQ$3)</f>
        <v>8</v>
      </c>
      <c r="FW39" s="364">
        <f>_xll.LVCELL($FO$3,FW$3,$DP39,$DQ$2,$DP$4,$DP$5,$DP$6,$DP$7,$DP$8,$DQ$3)</f>
        <v>8</v>
      </c>
      <c r="FX39" s="364">
        <f>_xll.LVCELL($FO$3,FX$3,$DP39,$DQ$2,$DP$4,$DP$5,$DP$6,$DP$7,$DP$8,$DQ$3)</f>
        <v>8</v>
      </c>
      <c r="FY39" s="364">
        <f>_xll.LVCELL($FO$3,FY$3,$DP39,$DQ$2,$DP$4,$DP$5,$DP$6,$DP$7,$DP$8,$DQ$3)</f>
        <v>8</v>
      </c>
      <c r="FZ39" s="364">
        <f>_xll.LVCELL($FO$3,FZ$3,$DP39,$DQ$2,$DP$4,$DP$5,$DP$6,$DP$7,$DP$8,$DQ$3)</f>
        <v>8</v>
      </c>
      <c r="GA39" s="364">
        <f>_xll.LVCELL($FO$3,GA$3,$DP39,$DQ$2,$DP$4,$DP$5,$DP$6,$DP$7,$DP$8,$DQ$3)</f>
        <v>8</v>
      </c>
      <c r="GB39" s="172">
        <f>_xll.LVCELL($FO$3,GB$3,$DP39,$DQ$2,$DP$4,$DP$5,$DP$6,$DP$7,$DP$8,$DQ$3)</f>
        <v>8</v>
      </c>
    </row>
    <row r="40" spans="1:184" ht="15">
      <c r="B40" s="64" t="s">
        <v>216</v>
      </c>
      <c r="C40" s="64" t="s">
        <v>216</v>
      </c>
      <c r="D40" s="294" t="s">
        <v>543</v>
      </c>
      <c r="E40" s="357"/>
      <c r="F40" s="103">
        <f>'distribution mensuelle Prod B22'!$AF$36</f>
        <v>3441752.4440088025</v>
      </c>
      <c r="G40" s="103">
        <f>'distribution mensuelle Prod B22'!$AF$37</f>
        <v>2771104.878548061</v>
      </c>
      <c r="H40" s="103">
        <f>'distribution mensuelle Prod B22'!$AF$38</f>
        <v>2637016.7076333091</v>
      </c>
      <c r="I40" s="103">
        <f>'distribution mensuelle Prod B22'!$AF$39</f>
        <v>2010659.1818739574</v>
      </c>
      <c r="J40" s="103">
        <f>'distribution mensuelle Prod B22'!$AF$40</f>
        <v>1935452.219511084</v>
      </c>
      <c r="K40" s="103">
        <f>'distribution mensuelle Prod B22'!$AF$41</f>
        <v>1539256.9116291853</v>
      </c>
      <c r="L40" s="103">
        <f>'distribution mensuelle Prod B22'!$AF$42</f>
        <v>1549296.9760488505</v>
      </c>
      <c r="M40" s="103">
        <f>'distribution mensuelle Prod B22'!$AF$43</f>
        <v>1536032.1012734307</v>
      </c>
      <c r="N40" s="103">
        <f>'distribution mensuelle Prod B22'!$AF$44</f>
        <v>1840925.8379734193</v>
      </c>
      <c r="O40" s="103">
        <f>'distribution mensuelle Prod B22'!$AF$45</f>
        <v>2659124.8322590091</v>
      </c>
      <c r="P40" s="103">
        <f>'distribution mensuelle Prod B22'!$AF$46</f>
        <v>2710274.3514807988</v>
      </c>
      <c r="Q40" s="103">
        <f>'distribution mensuelle Prod B22'!$AF$47</f>
        <v>3283310.8841912835</v>
      </c>
      <c r="R40" s="67">
        <f t="shared" si="1"/>
        <v>27914207.326431192</v>
      </c>
      <c r="S40" s="379"/>
      <c r="W40" s="113" t="str">
        <f t="shared" si="2"/>
        <v>E5310</v>
      </c>
      <c r="X40" s="359" t="str">
        <f t="shared" si="3"/>
        <v>Fortel 2</v>
      </c>
      <c r="Y40" s="299" cm="1">
        <f t="array" ref="Y40">_xll.LVCELL($D$4,F$1,$B40,$D$2,$C$4,$C$5,$C$6,$C$7,$C$8,$D$3)*1000</f>
        <v>89.158393000000004</v>
      </c>
      <c r="Z40" s="299" cm="1">
        <f t="array" ref="Z40">_xll.LVCELL($D$4,G$1,$B40,$D$2,$C$4,$C$5,$C$6,$C$7,$C$8,$D$3)*1000</f>
        <v>89.15517100000001</v>
      </c>
      <c r="AA40" s="299" cm="1">
        <f t="array" ref="AA40">_xll.LVCELL($D$4,H$1,$B40,$D$2,$C$4,$C$5,$C$6,$C$7,$C$8,$D$3)*1000</f>
        <v>89.158656721916259</v>
      </c>
      <c r="AB40" s="299" cm="1">
        <f t="array" ref="AB40">_xll.LVCELL($D$4,I$1,$B40,$D$2,$C$4,$C$5,$C$6,$C$7,$C$8,$D$3)*1000</f>
        <v>89.16129572416331</v>
      </c>
      <c r="AC40" s="299" cm="1">
        <f t="array" ref="AC40">_xll.LVCELL($D$4,J$1,$B40,$D$2,$C$4,$C$5,$C$6,$C$7,$C$8,$D$3)*1000</f>
        <v>89.159384648974893</v>
      </c>
      <c r="AD40" s="299" cm="1">
        <f t="array" ref="AD40">_xll.LVCELL($D$4,K$1,$B40,$D$2,$C$4,$C$5,$C$6,$C$7,$C$8,$D$3)*1000</f>
        <v>89.160916176244157</v>
      </c>
      <c r="AE40" s="299" cm="1">
        <f t="array" ref="AE40">_xll.LVCELL($D$4,L$1,$B40,$D$2,$C$4,$C$5,$C$6,$C$7,$C$8,$D$3)*1000</f>
        <v>89.162893925148595</v>
      </c>
      <c r="AF40" s="299">
        <f>$AD$40</f>
        <v>89.160916176244157</v>
      </c>
      <c r="AG40" s="299">
        <f t="shared" si="53"/>
        <v>89.160916176244157</v>
      </c>
      <c r="AH40" s="299">
        <f t="shared" si="53"/>
        <v>89.160916176244157</v>
      </c>
      <c r="AI40" s="299">
        <f t="shared" si="54"/>
        <v>91.21161724829777</v>
      </c>
      <c r="AJ40" s="412">
        <f t="shared" si="55"/>
        <v>91.21161724829777</v>
      </c>
      <c r="AK40" s="67"/>
      <c r="AL40" s="134">
        <f t="shared" si="4"/>
        <v>2.3E-2</v>
      </c>
      <c r="AM40" s="134"/>
      <c r="AN40" s="134"/>
      <c r="AO40" s="134"/>
      <c r="AP40" s="113" t="str">
        <f t="shared" si="38"/>
        <v>E5310</v>
      </c>
      <c r="AQ40" s="567" t="str">
        <f t="shared" si="39"/>
        <v>Fortel 2</v>
      </c>
      <c r="AR40" s="377"/>
      <c r="AS40" s="377"/>
      <c r="AT40" s="377"/>
      <c r="AU40" s="377"/>
      <c r="AV40" s="377"/>
      <c r="AW40" s="377"/>
      <c r="AX40" s="377"/>
      <c r="AY40" s="377"/>
      <c r="AZ40" s="377"/>
      <c r="BA40" s="377"/>
      <c r="BB40" s="377"/>
      <c r="BC40" s="378"/>
      <c r="BD40" s="414"/>
      <c r="BE40" s="134"/>
      <c r="BF40" s="134"/>
      <c r="BG40" s="134"/>
      <c r="BH40" s="134"/>
      <c r="BI40" s="113" t="str">
        <f t="shared" si="40"/>
        <v>E5310</v>
      </c>
      <c r="BJ40" s="567" t="str">
        <f t="shared" si="41"/>
        <v>Fortel 2</v>
      </c>
      <c r="BK40" s="299">
        <f t="shared" si="49"/>
        <v>91.21161724829777</v>
      </c>
      <c r="BL40" s="299">
        <f t="shared" si="59"/>
        <v>91.21161724829777</v>
      </c>
      <c r="BM40" s="299">
        <f t="shared" si="59"/>
        <v>91.21161724829777</v>
      </c>
      <c r="BN40" s="299">
        <f t="shared" si="59"/>
        <v>91.21161724829777</v>
      </c>
      <c r="BO40" s="299">
        <f t="shared" si="59"/>
        <v>91.21161724829777</v>
      </c>
      <c r="BP40" s="299">
        <f t="shared" si="59"/>
        <v>91.21161724829777</v>
      </c>
      <c r="BQ40" s="299">
        <f t="shared" si="59"/>
        <v>91.21161724829777</v>
      </c>
      <c r="BR40" s="299">
        <f t="shared" si="59"/>
        <v>91.21161724829777</v>
      </c>
      <c r="BS40" s="299">
        <f t="shared" si="59"/>
        <v>91.21161724829777</v>
      </c>
      <c r="BT40" s="299">
        <f t="shared" si="59"/>
        <v>91.21161724829777</v>
      </c>
      <c r="BU40" s="299">
        <f t="shared" si="57"/>
        <v>93.309484445008621</v>
      </c>
      <c r="BV40" s="370">
        <f t="shared" si="58"/>
        <v>93.309484445008621</v>
      </c>
      <c r="BW40" s="414"/>
      <c r="BX40" s="134"/>
      <c r="BY40" s="134"/>
      <c r="BZ40" s="134"/>
      <c r="CA40" s="134"/>
      <c r="CB40" s="113" t="str">
        <f t="shared" si="5"/>
        <v>E5310</v>
      </c>
      <c r="CC40" s="308" t="str">
        <f t="shared" si="6"/>
        <v>Fortel 2</v>
      </c>
      <c r="CD40" s="299">
        <f t="shared" si="43"/>
        <v>91.21161724829777</v>
      </c>
      <c r="CE40" s="299">
        <f t="shared" si="7"/>
        <v>91.21161724829777</v>
      </c>
      <c r="CF40" s="299">
        <f t="shared" si="8"/>
        <v>91.21161724829777</v>
      </c>
      <c r="CG40" s="299">
        <f t="shared" si="9"/>
        <v>91.21161724829777</v>
      </c>
      <c r="CH40" s="299">
        <f t="shared" si="10"/>
        <v>91.21161724829777</v>
      </c>
      <c r="CI40" s="299">
        <f t="shared" si="11"/>
        <v>91.21161724829777</v>
      </c>
      <c r="CJ40" s="299">
        <f t="shared" si="12"/>
        <v>91.21161724829777</v>
      </c>
      <c r="CK40" s="299">
        <f t="shared" si="13"/>
        <v>91.21161724829777</v>
      </c>
      <c r="CL40" s="299">
        <f t="shared" si="14"/>
        <v>91.21161724829777</v>
      </c>
      <c r="CM40" s="299">
        <f t="shared" si="15"/>
        <v>91.21161724829777</v>
      </c>
      <c r="CN40" s="299">
        <f t="shared" si="16"/>
        <v>93.309484445008621</v>
      </c>
      <c r="CO40" s="370">
        <f t="shared" si="17"/>
        <v>93.309484445008621</v>
      </c>
      <c r="CP40" s="414"/>
      <c r="CQ40" s="134">
        <f t="shared" si="18"/>
        <v>4.0000000000000001E-3</v>
      </c>
      <c r="CU40" s="113" t="str">
        <f t="shared" si="19"/>
        <v>E5310</v>
      </c>
      <c r="CV40" s="73" t="str">
        <f t="shared" si="20"/>
        <v>Fortel 2</v>
      </c>
      <c r="CW40" s="300">
        <f t="shared" si="21"/>
        <v>313927.8065863243</v>
      </c>
      <c r="CX40" s="298">
        <f t="shared" si="22"/>
        <v>252756.95753701639</v>
      </c>
      <c r="CY40" s="298">
        <f t="shared" si="23"/>
        <v>240526.55861401572</v>
      </c>
      <c r="CZ40" s="298">
        <f t="shared" si="24"/>
        <v>183395.47571386292</v>
      </c>
      <c r="DA40" s="298">
        <f t="shared" si="25"/>
        <v>176535.72704841339</v>
      </c>
      <c r="DB40" s="298">
        <f t="shared" si="26"/>
        <v>140398.11227031815</v>
      </c>
      <c r="DC40" s="298">
        <f t="shared" si="27"/>
        <v>141313.8827833129</v>
      </c>
      <c r="DD40" s="298">
        <f t="shared" si="28"/>
        <v>140103.97210245073</v>
      </c>
      <c r="DE40" s="298">
        <f t="shared" si="29"/>
        <v>167913.82291573336</v>
      </c>
      <c r="DF40" s="298">
        <f t="shared" si="30"/>
        <v>242543.07641545273</v>
      </c>
      <c r="DG40" s="371">
        <f t="shared" si="31"/>
        <v>252894.30244120344</v>
      </c>
      <c r="DH40" s="372">
        <f t="shared" si="32"/>
        <v>306364.04587657406</v>
      </c>
      <c r="DI40" s="67">
        <f t="shared" si="33"/>
        <v>2558673.7403046782</v>
      </c>
      <c r="DJ40" s="364"/>
      <c r="DK40" s="82">
        <f t="shared" si="44"/>
        <v>2558673.7403046782</v>
      </c>
      <c r="DM40" s="518">
        <f t="shared" si="34"/>
        <v>91.662059767032702</v>
      </c>
      <c r="DO40" s="64" t="str">
        <f t="shared" si="35"/>
        <v>E5310</v>
      </c>
      <c r="DP40" s="64" t="str">
        <f t="shared" si="36"/>
        <v>E5310</v>
      </c>
      <c r="DQ40" s="73" t="str">
        <f t="shared" si="37"/>
        <v>Fortel 2</v>
      </c>
      <c r="DR40" s="365">
        <f>_xll.LVCELL($DP$3,DR$3,$DP40,$DQ$2,$DP$4,$DP$5,$DP$6,$DP$7,$DP$8,$DQ$3)/100</f>
        <v>0.97</v>
      </c>
      <c r="DS40" s="365">
        <f>_xll.LVCELL($DP$3,DS$3,$DP40,$DQ$2,$DP$4,$DP$5,$DP$6,$DP$7,$DP$8,$DQ$3)/100</f>
        <v>0.97</v>
      </c>
      <c r="DT40" s="365">
        <f>_xll.LVCELL($DP$3,DT$3,$DP40,$DQ$2,$DP$4,$DP$5,$DP$6,$DP$7,$DP$8,$DQ$3)/100</f>
        <v>0.97</v>
      </c>
      <c r="DU40" s="365">
        <f>_xll.LVCELL($DP$3,DU$3,$DP40,$DQ$2,$DP$4,$DP$5,$DP$6,$DP$7,$DP$8,$DQ$3)/100</f>
        <v>0.97</v>
      </c>
      <c r="DV40" s="365">
        <f>_xll.LVCELL($DP$3,DV$3,$DP40,$DQ$2,$DP$4,$DP$5,$DP$6,$DP$7,$DP$8,$DQ$3)/100</f>
        <v>0.97</v>
      </c>
      <c r="DW40" s="365">
        <f>_xll.LVCELL($DP$3,DW$3,$DP40,$DQ$2,$DP$4,$DP$5,$DP$6,$DP$7,$DP$8,$DQ$3)/100</f>
        <v>0.97</v>
      </c>
      <c r="DX40" s="365">
        <f>_xll.LVCELL($DP$3,DX$3,$DP40,$DQ$2,$DP$4,$DP$5,$DP$6,$DP$7,$DP$8,$DQ$3)/100</f>
        <v>0.97</v>
      </c>
      <c r="DY40" s="365">
        <f>_xll.LVCELL($DP$3,DY$3,$DP40,$DQ$2,$DP$4,$DP$5,$DP$6,$DP$7,$DP$8,$DQ$3)/100</f>
        <v>0.97</v>
      </c>
      <c r="DZ40" s="365">
        <f>_xll.LVCELL($DP$3,DZ$3,$DP40,$DQ$2,$DP$4,$DP$5,$DP$6,$DP$7,$DP$8,$DQ$3)/100</f>
        <v>0.97</v>
      </c>
      <c r="EA40" s="365">
        <f>_xll.LVCELL($DP$3,EA$3,$DP40,$DQ$2,$DP$4,$DP$5,$DP$6,$DP$7,$DP$8,$DQ$3)/100</f>
        <v>0.97</v>
      </c>
      <c r="EB40" s="365">
        <f>_xll.LVCELL($DP$3,EB$3,$DP40,$DQ$2,$DP$4,$DP$5,$DP$6,$DP$7,$DP$8,$DQ$3)/100</f>
        <v>0.97</v>
      </c>
      <c r="EC40" s="365">
        <f>_xll.LVCELL($DP$3,EC$3,$DP40,$DQ$2,$DP$4,$DP$5,$DP$6,$DP$7,$DP$8,$DQ$3)/100</f>
        <v>0.97</v>
      </c>
      <c r="ED40" s="582">
        <f t="shared" si="45"/>
        <v>11.64</v>
      </c>
      <c r="EH40" s="73"/>
      <c r="EI40" s="366"/>
      <c r="EJ40" s="367"/>
      <c r="EK40" s="368"/>
      <c r="EL40" s="367"/>
      <c r="EM40" s="368"/>
      <c r="EN40" s="367"/>
      <c r="EO40" s="368"/>
      <c r="EP40" s="367"/>
      <c r="EQ40" s="368"/>
      <c r="ER40" s="367"/>
      <c r="ES40" s="368"/>
      <c r="ET40" s="367"/>
      <c r="EY40" s="73"/>
      <c r="EZ40" s="364"/>
      <c r="FA40" s="364"/>
      <c r="FB40" s="364"/>
      <c r="FC40" s="364"/>
      <c r="FD40" s="364"/>
      <c r="FE40" s="364"/>
      <c r="FF40" s="364"/>
      <c r="FG40" s="364"/>
      <c r="FH40" s="364"/>
      <c r="FI40" s="364"/>
      <c r="FJ40" s="364"/>
      <c r="FK40" s="364"/>
      <c r="FP40" s="73"/>
      <c r="FQ40" s="364"/>
      <c r="FR40" s="364"/>
      <c r="FS40" s="364"/>
      <c r="FT40" s="364"/>
      <c r="FU40" s="364"/>
      <c r="FV40" s="364"/>
      <c r="FW40" s="364"/>
      <c r="FX40" s="364"/>
      <c r="FY40" s="364"/>
      <c r="FZ40" s="364"/>
      <c r="GA40" s="364"/>
      <c r="GB40" s="172"/>
    </row>
    <row r="41" spans="1:184" ht="15">
      <c r="B41" s="64" t="s">
        <v>262</v>
      </c>
      <c r="C41" s="64" t="s">
        <v>262</v>
      </c>
      <c r="D41" s="427" t="s">
        <v>544</v>
      </c>
      <c r="E41" s="357">
        <f>_xll.LVCELL($C$3,Q$3,$C41,$D$2,$C$4,$C$5,$C$6,$C$7,$C$8,$D$3)/1000</f>
        <v>22.8</v>
      </c>
      <c r="F41" s="103">
        <f>'distribution mensuelle Prod B22'!$AG$36</f>
        <v>3239994.9247075859</v>
      </c>
      <c r="G41" s="103">
        <f>'distribution mensuelle Prod B22'!$AG$37</f>
        <v>2668273.686508684</v>
      </c>
      <c r="H41" s="103">
        <f>'distribution mensuelle Prod B22'!$AG$38</f>
        <v>2550117.7655157349</v>
      </c>
      <c r="I41" s="103">
        <f>'distribution mensuelle Prod B22'!$AG$39</f>
        <v>1997552.5484263739</v>
      </c>
      <c r="J41" s="103">
        <f>'distribution mensuelle Prod B22'!$AG$40</f>
        <v>1893967.9341065963</v>
      </c>
      <c r="K41" s="103">
        <f>'distribution mensuelle Prod B22'!$AG$41</f>
        <v>1483482.7943188976</v>
      </c>
      <c r="L41" s="103">
        <f>'distribution mensuelle Prod B22'!$AG$42</f>
        <v>1455512.672931331</v>
      </c>
      <c r="M41" s="103">
        <f>'distribution mensuelle Prod B22'!$AG$43</f>
        <v>1431750.2374480558</v>
      </c>
      <c r="N41" s="103">
        <f>'distribution mensuelle Prod B22'!$AG$44</f>
        <v>1798007.4346386231</v>
      </c>
      <c r="O41" s="103">
        <f>'distribution mensuelle Prod B22'!$AG$45</f>
        <v>2562382.2483458123</v>
      </c>
      <c r="P41" s="103">
        <f>'distribution mensuelle Prod B22'!$AG$46</f>
        <v>2619183.7950960202</v>
      </c>
      <c r="Q41" s="103">
        <f>'distribution mensuelle Prod B22'!$AG$47</f>
        <v>3149544.3638357655</v>
      </c>
      <c r="R41" s="67">
        <f t="shared" si="1"/>
        <v>26849770.405879479</v>
      </c>
      <c r="S41" s="380"/>
      <c r="W41" s="113" t="str">
        <f t="shared" si="2"/>
        <v>E5320</v>
      </c>
      <c r="X41" s="359" t="str">
        <f t="shared" si="3"/>
        <v>St François Roye 2</v>
      </c>
      <c r="Y41" s="299" cm="1">
        <f t="array" ref="Y41">_xll.LVCELL($D$4,F$1,$B41,$D$2,$C$4,$C$5,$C$6,$C$7,$C$8,$D$3)*1000</f>
        <v>88.994861</v>
      </c>
      <c r="Z41" s="299" cm="1">
        <f t="array" ref="Z41">_xll.LVCELL($D$4,G$1,$B41,$D$2,$C$4,$C$5,$C$6,$C$7,$C$8,$D$3)*1000</f>
        <v>88.993961999999996</v>
      </c>
      <c r="AA41" s="299" cm="1">
        <f t="array" ref="AA41">_xll.LVCELL($D$4,H$1,$B41,$D$2,$C$4,$C$5,$C$6,$C$7,$C$8,$D$3)*1000</f>
        <v>88.99477659957509</v>
      </c>
      <c r="AB41" s="299" cm="1">
        <f t="array" ref="AB41">_xll.LVCELL($D$4,I$1,$B41,$D$2,$C$4,$C$5,$C$6,$C$7,$C$8,$D$3)*1000</f>
        <v>88.994740929801225</v>
      </c>
      <c r="AC41" s="299" cm="1">
        <f t="array" ref="AC41">_xll.LVCELL($D$4,J$1,$B41,$D$2,$C$4,$C$5,$C$6,$C$7,$C$8,$D$3)*1000</f>
        <v>88.994540772302969</v>
      </c>
      <c r="AD41" s="299" cm="1">
        <f t="array" ref="AD41">_xll.LVCELL($D$4,K$1,$B41,$D$2,$C$4,$C$5,$C$6,$C$7,$C$8,$D$3)*1000</f>
        <v>88.994379888268156</v>
      </c>
      <c r="AE41" s="299" cm="1">
        <f t="array" ref="AE41">_xll.LVCELL($D$4,L$1,$B41,$D$2,$C$4,$C$5,$C$6,$C$7,$C$8,$D$3)*1000</f>
        <v>88.993317289760711</v>
      </c>
      <c r="AF41" s="299">
        <f>$AD$41</f>
        <v>88.994379888268156</v>
      </c>
      <c r="AG41" s="299">
        <f t="shared" si="53"/>
        <v>88.994379888268156</v>
      </c>
      <c r="AH41" s="299">
        <f t="shared" si="53"/>
        <v>88.994379888268156</v>
      </c>
      <c r="AI41" s="299">
        <f t="shared" si="54"/>
        <v>91.041250625698325</v>
      </c>
      <c r="AJ41" s="412">
        <f t="shared" si="55"/>
        <v>91.041250625698325</v>
      </c>
      <c r="AK41" s="67"/>
      <c r="AL41" s="134">
        <f t="shared" si="4"/>
        <v>2.3E-2</v>
      </c>
      <c r="AM41" s="134"/>
      <c r="AN41" s="134"/>
      <c r="AO41" s="134"/>
      <c r="AP41" s="113" t="str">
        <f t="shared" si="38"/>
        <v>E5320</v>
      </c>
      <c r="AQ41" s="567" t="str">
        <f t="shared" si="39"/>
        <v>St François Roye 2</v>
      </c>
      <c r="AR41" s="377"/>
      <c r="AS41" s="377"/>
      <c r="AT41" s="377"/>
      <c r="AU41" s="377"/>
      <c r="AV41" s="377"/>
      <c r="AW41" s="377"/>
      <c r="AX41" s="377"/>
      <c r="AY41" s="377"/>
      <c r="AZ41" s="377"/>
      <c r="BA41" s="377"/>
      <c r="BB41" s="377"/>
      <c r="BC41" s="378"/>
      <c r="BD41" s="414"/>
      <c r="BE41" s="134"/>
      <c r="BF41" s="134"/>
      <c r="BG41" s="134"/>
      <c r="BH41" s="134"/>
      <c r="BI41" s="113" t="str">
        <f t="shared" si="40"/>
        <v>E5320</v>
      </c>
      <c r="BJ41" s="567" t="str">
        <f t="shared" si="41"/>
        <v>St François Roye 2</v>
      </c>
      <c r="BK41" s="299">
        <f t="shared" si="49"/>
        <v>91.041250625698325</v>
      </c>
      <c r="BL41" s="299">
        <f t="shared" si="59"/>
        <v>91.041250625698325</v>
      </c>
      <c r="BM41" s="299">
        <f t="shared" si="59"/>
        <v>91.041250625698325</v>
      </c>
      <c r="BN41" s="299">
        <f t="shared" si="59"/>
        <v>91.041250625698325</v>
      </c>
      <c r="BO41" s="299">
        <f t="shared" si="59"/>
        <v>91.041250625698325</v>
      </c>
      <c r="BP41" s="299">
        <f t="shared" si="59"/>
        <v>91.041250625698325</v>
      </c>
      <c r="BQ41" s="299">
        <f t="shared" si="59"/>
        <v>91.041250625698325</v>
      </c>
      <c r="BR41" s="299">
        <f t="shared" si="59"/>
        <v>91.041250625698325</v>
      </c>
      <c r="BS41" s="299">
        <f t="shared" si="59"/>
        <v>91.041250625698325</v>
      </c>
      <c r="BT41" s="299">
        <f t="shared" si="59"/>
        <v>91.041250625698325</v>
      </c>
      <c r="BU41" s="299">
        <f t="shared" si="57"/>
        <v>93.135199390089383</v>
      </c>
      <c r="BV41" s="370">
        <f t="shared" si="58"/>
        <v>93.135199390089383</v>
      </c>
      <c r="BW41" s="414"/>
      <c r="BX41" s="134"/>
      <c r="BY41" s="134"/>
      <c r="BZ41" s="134"/>
      <c r="CA41" s="134"/>
      <c r="CB41" s="113" t="str">
        <f t="shared" si="5"/>
        <v>E5320</v>
      </c>
      <c r="CC41" s="308" t="str">
        <f t="shared" si="6"/>
        <v>St François Roye 2</v>
      </c>
      <c r="CD41" s="299">
        <f t="shared" si="43"/>
        <v>91.041250625698325</v>
      </c>
      <c r="CE41" s="299">
        <f t="shared" si="7"/>
        <v>91.041250625698325</v>
      </c>
      <c r="CF41" s="299">
        <f t="shared" si="8"/>
        <v>91.041250625698325</v>
      </c>
      <c r="CG41" s="299">
        <f t="shared" si="9"/>
        <v>91.041250625698325</v>
      </c>
      <c r="CH41" s="299">
        <f t="shared" si="10"/>
        <v>91.041250625698325</v>
      </c>
      <c r="CI41" s="299">
        <f t="shared" si="11"/>
        <v>91.041250625698325</v>
      </c>
      <c r="CJ41" s="299">
        <f t="shared" si="12"/>
        <v>91.041250625698325</v>
      </c>
      <c r="CK41" s="299">
        <f t="shared" si="13"/>
        <v>91.041250625698325</v>
      </c>
      <c r="CL41" s="299">
        <f t="shared" si="14"/>
        <v>91.041250625698325</v>
      </c>
      <c r="CM41" s="299">
        <f t="shared" si="15"/>
        <v>91.041250625698325</v>
      </c>
      <c r="CN41" s="299">
        <f t="shared" si="16"/>
        <v>93.135199390089383</v>
      </c>
      <c r="CO41" s="370">
        <f t="shared" si="17"/>
        <v>93.135199390089383</v>
      </c>
      <c r="CP41" s="414"/>
      <c r="CQ41" s="134">
        <f t="shared" si="18"/>
        <v>4.0000000000000001E-3</v>
      </c>
      <c r="CU41" s="113" t="str">
        <f t="shared" si="19"/>
        <v>E5320</v>
      </c>
      <c r="CV41" s="73" t="str">
        <f t="shared" si="20"/>
        <v>St François Roye 2</v>
      </c>
      <c r="CW41" s="300">
        <f t="shared" si="21"/>
        <v>294973.18996629392</v>
      </c>
      <c r="CX41" s="298">
        <f t="shared" si="22"/>
        <v>242922.97343139313</v>
      </c>
      <c r="CY41" s="298">
        <f t="shared" si="23"/>
        <v>232165.91061536383</v>
      </c>
      <c r="CZ41" s="298">
        <f t="shared" si="24"/>
        <v>181859.6821992879</v>
      </c>
      <c r="DA41" s="298">
        <f t="shared" si="25"/>
        <v>172429.20936603475</v>
      </c>
      <c r="DB41" s="298">
        <f t="shared" si="26"/>
        <v>135058.12887649806</v>
      </c>
      <c r="DC41" s="298">
        <f t="shared" si="27"/>
        <v>132511.69404522137</v>
      </c>
      <c r="DD41" s="298">
        <f t="shared" si="28"/>
        <v>130348.33220091154</v>
      </c>
      <c r="DE41" s="298">
        <f t="shared" si="29"/>
        <v>163692.8454838038</v>
      </c>
      <c r="DF41" s="298">
        <f t="shared" si="30"/>
        <v>233282.48447049147</v>
      </c>
      <c r="DG41" s="371">
        <f t="shared" si="31"/>
        <v>243938.20499555886</v>
      </c>
      <c r="DH41" s="372">
        <f t="shared" si="32"/>
        <v>293333.44231377624</v>
      </c>
      <c r="DI41" s="67">
        <f t="shared" si="33"/>
        <v>2456516.0979646351</v>
      </c>
      <c r="DJ41" s="364">
        <f>_xll.LVCELL($E$1,Q$2,$C41,$D$2,$C$4,$C$5,$C$6,$C$7,$C$8,$D$3)+_xll.LVCELL($E$2,Q$2,$C41,$D$2,$C$4,$C$5,$C$6,$C$7,$C$8,$D$3)</f>
        <v>4777334.8524786299</v>
      </c>
      <c r="DK41" s="82">
        <f t="shared" si="44"/>
        <v>-2320818.7545139948</v>
      </c>
      <c r="DM41" s="518">
        <f t="shared" si="34"/>
        <v>91.491139806048949</v>
      </c>
      <c r="DO41" s="64" t="str">
        <f t="shared" si="35"/>
        <v>E5320</v>
      </c>
      <c r="DP41" s="64" t="str">
        <f t="shared" si="36"/>
        <v>E5320</v>
      </c>
      <c r="DQ41" s="73" t="str">
        <f t="shared" si="37"/>
        <v>St François Roye 2</v>
      </c>
      <c r="DR41" s="365">
        <f>_xll.LVCELL($DP$3,DR$3,$DP41,$DQ$2,$DP$4,$DP$5,$DP$6,$DP$7,$DP$8,$DQ$3)/100</f>
        <v>0.96999999999999986</v>
      </c>
      <c r="DS41" s="365">
        <f>_xll.LVCELL($DP$3,DS$3,$DP41,$DQ$2,$DP$4,$DP$5,$DP$6,$DP$7,$DP$8,$DQ$3)/100</f>
        <v>0.97</v>
      </c>
      <c r="DT41" s="365">
        <f>_xll.LVCELL($DP$3,DT$3,$DP41,$DQ$2,$DP$4,$DP$5,$DP$6,$DP$7,$DP$8,$DQ$3)/100</f>
        <v>0.96999999999999986</v>
      </c>
      <c r="DU41" s="365">
        <f>_xll.LVCELL($DP$3,DU$3,$DP41,$DQ$2,$DP$4,$DP$5,$DP$6,$DP$7,$DP$8,$DQ$3)/100</f>
        <v>0.97</v>
      </c>
      <c r="DV41" s="365">
        <f>_xll.LVCELL($DP$3,DV$3,$DP41,$DQ$2,$DP$4,$DP$5,$DP$6,$DP$7,$DP$8,$DQ$3)/100</f>
        <v>0.96999999999999986</v>
      </c>
      <c r="DW41" s="365">
        <f>_xll.LVCELL($DP$3,DW$3,$DP41,$DQ$2,$DP$4,$DP$5,$DP$6,$DP$7,$DP$8,$DQ$3)/100</f>
        <v>0.97</v>
      </c>
      <c r="DX41" s="365">
        <f>_xll.LVCELL($DP$3,DX$3,$DP41,$DQ$2,$DP$4,$DP$5,$DP$6,$DP$7,$DP$8,$DQ$3)/100</f>
        <v>0.96999999999999986</v>
      </c>
      <c r="DY41" s="365">
        <f>_xll.LVCELL($DP$3,DY$3,$DP41,$DQ$2,$DP$4,$DP$5,$DP$6,$DP$7,$DP$8,$DQ$3)/100</f>
        <v>0.96999999999999986</v>
      </c>
      <c r="DZ41" s="365">
        <f>_xll.LVCELL($DP$3,DZ$3,$DP41,$DQ$2,$DP$4,$DP$5,$DP$6,$DP$7,$DP$8,$DQ$3)/100</f>
        <v>0.97</v>
      </c>
      <c r="EA41" s="365">
        <f>_xll.LVCELL($DP$3,EA$3,$DP41,$DQ$2,$DP$4,$DP$5,$DP$6,$DP$7,$DP$8,$DQ$3)/100</f>
        <v>0.96999999999999986</v>
      </c>
      <c r="EB41" s="365">
        <f>_xll.LVCELL($DP$3,EB$3,$DP41,$DQ$2,$DP$4,$DP$5,$DP$6,$DP$7,$DP$8,$DQ$3)/100</f>
        <v>0.97</v>
      </c>
      <c r="EC41" s="365">
        <f>_xll.LVCELL($DP$3,EC$3,$DP41,$DQ$2,$DP$4,$DP$5,$DP$6,$DP$7,$DP$8,$DQ$3)/100</f>
        <v>0.96999999999999986</v>
      </c>
      <c r="ED41" s="582">
        <f t="shared" si="45"/>
        <v>11.64</v>
      </c>
      <c r="EF41" s="64" t="s">
        <v>262</v>
      </c>
      <c r="EG41" s="64" t="s">
        <v>262</v>
      </c>
      <c r="EH41" s="73" t="s">
        <v>2634</v>
      </c>
      <c r="EI41" s="366" t="e">
        <f ca="1">_xll.LVCELL($EG$3,EI$3,$DP41,$DQ$2,$DP$4,$DP$5,$DP$6,$DP$7,$DP$8,$DQ$3)-CW41-CW42</f>
        <v>#NAME?</v>
      </c>
      <c r="EJ41" s="367" t="e">
        <f ca="1">_xll.LVCELL($EG$3,EJ$3,$DP41,$DQ$2,$DP$4,$DP$5,$DP$6,$DP$7,$DP$8,$DQ$3)-CX41-CX42</f>
        <v>#NAME?</v>
      </c>
      <c r="EK41" s="368" t="e">
        <f ca="1">_xll.LVCELL($EG$3,EK$3,$DP41,$DQ$2,$DP$4,$DP$5,$DP$6,$DP$7,$DP$8,$DQ$3)-CY41-CY42</f>
        <v>#NAME?</v>
      </c>
      <c r="EL41" s="367" t="e">
        <f ca="1">_xll.LVCELL($EG$3,EL$3,$DP41,$DQ$2,$DP$4,$DP$5,$DP$6,$DP$7,$DP$8,$DQ$3)-CZ41-CZ42</f>
        <v>#NAME?</v>
      </c>
      <c r="EM41" s="368" t="e">
        <f ca="1">_xll.LVCELL($EG$3,EM$3,$DP41,$DQ$2,$DP$4,$DP$5,$DP$6,$DP$7,$DP$8,$DQ$3)-DA41-DA42</f>
        <v>#NAME?</v>
      </c>
      <c r="EN41" s="367" t="e">
        <f ca="1">_xll.LVCELL($EG$3,EN$3,$DP41,$DQ$2,$DP$4,$DP$5,$DP$6,$DP$7,$DP$8,$DQ$3)-DB41-DB42</f>
        <v>#NAME?</v>
      </c>
      <c r="EO41" s="368" t="e">
        <f ca="1">_xll.LVCELL($EG$3,EO$3,$DP41,$DQ$2,$DP$4,$DP$5,$DP$6,$DP$7,$DP$8,$DQ$3)-DC41-DC42</f>
        <v>#NAME?</v>
      </c>
      <c r="EP41" s="367" t="e">
        <f ca="1">_xll.LVCELL($EG$3,EP$3,$DP41,$DQ$2,$DP$4,$DP$5,$DP$6,$DP$7,$DP$8,$DQ$3)-DD41-DD42</f>
        <v>#NAME?</v>
      </c>
      <c r="EQ41" s="368" t="e">
        <f ca="1">_xll.LVCELL($EG$3,EQ$3,$DP41,$DQ$2,$DP$4,$DP$5,$DP$6,$DP$7,$DP$8,$DQ$3)-DE41-DE42</f>
        <v>#NAME?</v>
      </c>
      <c r="ER41" s="367" t="e">
        <f ca="1">_xll.LVCELL($EG$3,ER$3,$DP41,$DQ$2,$DP$4,$DP$5,$DP$6,$DP$7,$DP$8,$DQ$3)-DF41-DF42</f>
        <v>#NAME?</v>
      </c>
      <c r="ES41" s="368" t="e">
        <f ca="1">_xll.LVCELL($EG$3,ES$3,$DP41,$DQ$2,$DP$4,$DP$5,$DP$6,$DP$7,$DP$8,$DQ$3)-DG41-DG42</f>
        <v>#NAME?</v>
      </c>
      <c r="ET41" s="367" t="e">
        <f ca="1">_xll.LVCELL($EG$3,ET$3,$DP41,$DQ$2,$DP$4,$DP$5,$DP$6,$DP$7,$DP$8,$DQ$3)-DH41-DH42</f>
        <v>#NAME?</v>
      </c>
      <c r="EW41" s="64" t="s">
        <v>262</v>
      </c>
      <c r="EX41" s="64" t="s">
        <v>262</v>
      </c>
      <c r="EY41" s="73" t="s">
        <v>2634</v>
      </c>
      <c r="EZ41" s="364">
        <f>_xll.LVCELL($EX$3,EZ$3,$DP41,$DQ$2,$DP$4,$DP$5,$DP$6,$DP$7,$DP$8,$DQ$3)</f>
        <v>22800</v>
      </c>
      <c r="FA41" s="364">
        <f>_xll.LVCELL($EX$3,FA$3,$DP41,$DQ$2,$DP$4,$DP$5,$DP$6,$DP$7,$DP$8,$DQ$3)</f>
        <v>22800</v>
      </c>
      <c r="FB41" s="364">
        <f>_xll.LVCELL($EX$3,FB$3,$DP41,$DQ$2,$DP$4,$DP$5,$DP$6,$DP$7,$DP$8,$DQ$3)</f>
        <v>22800</v>
      </c>
      <c r="FC41" s="364">
        <f>_xll.LVCELL($EX$3,FC$3,$DP41,$DQ$2,$DP$4,$DP$5,$DP$6,$DP$7,$DP$8,$DQ$3)</f>
        <v>22800</v>
      </c>
      <c r="FD41" s="364">
        <f>_xll.LVCELL($EX$3,FD$3,$DP41,$DQ$2,$DP$4,$DP$5,$DP$6,$DP$7,$DP$8,$DQ$3)</f>
        <v>22800</v>
      </c>
      <c r="FE41" s="364">
        <f>_xll.LVCELL($EX$3,FE$3,$DP41,$DQ$2,$DP$4,$DP$5,$DP$6,$DP$7,$DP$8,$DQ$3)</f>
        <v>22800</v>
      </c>
      <c r="FF41" s="364">
        <f>_xll.LVCELL($EX$3,FF$3,$DP41,$DQ$2,$DP$4,$DP$5,$DP$6,$DP$7,$DP$8,$DQ$3)</f>
        <v>22800</v>
      </c>
      <c r="FG41" s="364">
        <f>_xll.LVCELL($EX$3,FG$3,$DP41,$DQ$2,$DP$4,$DP$5,$DP$6,$DP$7,$DP$8,$DQ$3)</f>
        <v>22800</v>
      </c>
      <c r="FH41" s="364">
        <f>_xll.LVCELL($EX$3,FH$3,$DP41,$DQ$2,$DP$4,$DP$5,$DP$6,$DP$7,$DP$8,$DQ$3)</f>
        <v>22800</v>
      </c>
      <c r="FI41" s="364">
        <f>_xll.LVCELL($EX$3,FI$3,$DP41,$DQ$2,$DP$4,$DP$5,$DP$6,$DP$7,$DP$8,$DQ$3)</f>
        <v>22800</v>
      </c>
      <c r="FJ41" s="364">
        <f>_xll.LVCELL($EX$3,FJ$3,$DP41,$DQ$2,$DP$4,$DP$5,$DP$6,$DP$7,$DP$8,$DQ$3)</f>
        <v>22800</v>
      </c>
      <c r="FK41" s="276">
        <f>_xll.LVCELL($EX$3,FK$3,$DP41,$DQ$2,$DP$4,$DP$5,$DP$6,$DP$7,$DP$8,$DQ$3)</f>
        <v>22800</v>
      </c>
      <c r="FN41" s="64" t="s">
        <v>262</v>
      </c>
      <c r="FO41" s="64" t="s">
        <v>262</v>
      </c>
      <c r="FP41" s="73" t="s">
        <v>2634</v>
      </c>
      <c r="FQ41" s="364">
        <f>_xll.LVCELL($FO$3,FQ$3,$DP41,$DQ$2,$DP$4,$DP$5,$DP$6,$DP$7,$DP$8,$DQ$3)</f>
        <v>8</v>
      </c>
      <c r="FR41" s="364">
        <f>_xll.LVCELL($FO$3,FR$3,$DP41,$DQ$2,$DP$4,$DP$5,$DP$6,$DP$7,$DP$8,$DQ$3)</f>
        <v>8</v>
      </c>
      <c r="FS41" s="364">
        <f>_xll.LVCELL($FO$3,FS$3,$DP41,$DQ$2,$DP$4,$DP$5,$DP$6,$DP$7,$DP$8,$DQ$3)</f>
        <v>8</v>
      </c>
      <c r="FT41" s="364">
        <f>_xll.LVCELL($FO$3,FT$3,$DP41,$DQ$2,$DP$4,$DP$5,$DP$6,$DP$7,$DP$8,$DQ$3)</f>
        <v>8</v>
      </c>
      <c r="FU41" s="364">
        <f>_xll.LVCELL($FO$3,FU$3,$DP41,$DQ$2,$DP$4,$DP$5,$DP$6,$DP$7,$DP$8,$DQ$3)</f>
        <v>8</v>
      </c>
      <c r="FV41" s="364">
        <f>_xll.LVCELL($FO$3,FV$3,$DP41,$DQ$2,$DP$4,$DP$5,$DP$6,$DP$7,$DP$8,$DQ$3)</f>
        <v>8</v>
      </c>
      <c r="FW41" s="364">
        <f>_xll.LVCELL($FO$3,FW$3,$DP41,$DQ$2,$DP$4,$DP$5,$DP$6,$DP$7,$DP$8,$DQ$3)</f>
        <v>8</v>
      </c>
      <c r="FX41" s="364">
        <f>_xll.LVCELL($FO$3,FX$3,$DP41,$DQ$2,$DP$4,$DP$5,$DP$6,$DP$7,$DP$8,$DQ$3)</f>
        <v>8</v>
      </c>
      <c r="FY41" s="364">
        <f>_xll.LVCELL($FO$3,FY$3,$DP41,$DQ$2,$DP$4,$DP$5,$DP$6,$DP$7,$DP$8,$DQ$3)</f>
        <v>8</v>
      </c>
      <c r="FZ41" s="364">
        <f>_xll.LVCELL($FO$3,FZ$3,$DP41,$DQ$2,$DP$4,$DP$5,$DP$6,$DP$7,$DP$8,$DQ$3)</f>
        <v>8</v>
      </c>
      <c r="GA41" s="364">
        <f>_xll.LVCELL($FO$3,GA$3,$DP41,$DQ$2,$DP$4,$DP$5,$DP$6,$DP$7,$DP$8,$DQ$3)</f>
        <v>8</v>
      </c>
      <c r="GB41" s="172">
        <f>_xll.LVCELL($FO$3,GB$3,$DP41,$DQ$2,$DP$4,$DP$5,$DP$6,$DP$7,$DP$8,$DQ$3)</f>
        <v>8</v>
      </c>
    </row>
    <row r="42" spans="1:184" ht="15">
      <c r="B42" s="64" t="s">
        <v>262</v>
      </c>
      <c r="C42" s="64" t="s">
        <v>262</v>
      </c>
      <c r="D42" s="427" t="s">
        <v>545</v>
      </c>
      <c r="E42" s="357"/>
      <c r="F42" s="103">
        <f>'distribution mensuelle Prod B22'!$AH$36</f>
        <v>3061018.3588037128</v>
      </c>
      <c r="G42" s="103">
        <f>'distribution mensuelle Prod B22'!$AH$37</f>
        <v>2520878.8688004147</v>
      </c>
      <c r="H42" s="103">
        <f>'distribution mensuelle Prod B22'!$AH$38</f>
        <v>2409249.8533958863</v>
      </c>
      <c r="I42" s="103">
        <f>'distribution mensuelle Prod B22'!$AH$39</f>
        <v>1887208.2103524033</v>
      </c>
      <c r="J42" s="103">
        <f>'distribution mensuelle Prod B22'!$AH$40</f>
        <v>1789345.5860302194</v>
      </c>
      <c r="K42" s="103">
        <f>'distribution mensuelle Prod B22'!$AH$41</f>
        <v>1401535.5498710871</v>
      </c>
      <c r="L42" s="103">
        <f>'distribution mensuelle Prod B22'!$AH$42</f>
        <v>1375110.491482134</v>
      </c>
      <c r="M42" s="103">
        <f>'distribution mensuelle Prod B22'!$AH$43</f>
        <v>1352660.6874069751</v>
      </c>
      <c r="N42" s="103">
        <f>'distribution mensuelle Prod B22'!$AH$44</f>
        <v>1698685.9222290639</v>
      </c>
      <c r="O42" s="103">
        <f>'distribution mensuelle Prod B22'!$AH$45</f>
        <v>2420836.8490475807</v>
      </c>
      <c r="P42" s="103">
        <f>'distribution mensuelle Prod B22'!$AH$46</f>
        <v>2474500.6915693483</v>
      </c>
      <c r="Q42" s="103">
        <f>'distribution mensuelle Prod B22'!$AH$47</f>
        <v>2975564.2658724645</v>
      </c>
      <c r="R42" s="67">
        <f t="shared" si="1"/>
        <v>25366595.33486129</v>
      </c>
      <c r="S42" s="380"/>
      <c r="W42" s="113" t="str">
        <f t="shared" si="2"/>
        <v>E5320</v>
      </c>
      <c r="X42" s="359" t="str">
        <f t="shared" si="3"/>
        <v>St François Roye 3</v>
      </c>
      <c r="Y42" s="299" cm="1">
        <f t="array" ref="Y42">_xll.LVCELL($D$4,F$1,$B42,$D$2,$C$4,$C$5,$C$6,$C$7,$C$8,$D$3)*1000</f>
        <v>88.994861</v>
      </c>
      <c r="Z42" s="299" cm="1">
        <f t="array" ref="Z42">_xll.LVCELL($D$4,G$1,$B42,$D$2,$C$4,$C$5,$C$6,$C$7,$C$8,$D$3)*1000</f>
        <v>88.993961999999996</v>
      </c>
      <c r="AA42" s="299" cm="1">
        <f t="array" ref="AA42">_xll.LVCELL($D$4,H$1,$B42,$D$2,$C$4,$C$5,$C$6,$C$7,$C$8,$D$3)*1000</f>
        <v>88.99477659957509</v>
      </c>
      <c r="AB42" s="299" cm="1">
        <f t="array" ref="AB42">_xll.LVCELL($D$4,I$1,$B42,$D$2,$C$4,$C$5,$C$6,$C$7,$C$8,$D$3)*1000</f>
        <v>88.994740929801225</v>
      </c>
      <c r="AC42" s="299" cm="1">
        <f t="array" ref="AC42">_xll.LVCELL($D$4,J$1,$B42,$D$2,$C$4,$C$5,$C$6,$C$7,$C$8,$D$3)*1000</f>
        <v>88.994540772302969</v>
      </c>
      <c r="AD42" s="299" cm="1">
        <f t="array" ref="AD42">_xll.LVCELL($D$4,K$1,$B42,$D$2,$C$4,$C$5,$C$6,$C$7,$C$8,$D$3)*1000</f>
        <v>88.994379888268156</v>
      </c>
      <c r="AE42" s="299" cm="1">
        <f t="array" ref="AE42">_xll.LVCELL($D$4,L$1,$B42,$D$2,$C$4,$C$5,$C$6,$C$7,$C$8,$D$3)*1000</f>
        <v>88.993317289760711</v>
      </c>
      <c r="AF42" s="299">
        <f>$AD$42</f>
        <v>88.994379888268156</v>
      </c>
      <c r="AG42" s="299">
        <f t="shared" si="53"/>
        <v>88.994379888268156</v>
      </c>
      <c r="AH42" s="299">
        <f t="shared" si="53"/>
        <v>88.994379888268156</v>
      </c>
      <c r="AI42" s="299">
        <f t="shared" si="54"/>
        <v>91.041250625698325</v>
      </c>
      <c r="AJ42" s="412">
        <f t="shared" si="55"/>
        <v>91.041250625698325</v>
      </c>
      <c r="AK42" s="67"/>
      <c r="AL42" s="134">
        <f t="shared" si="4"/>
        <v>2.3E-2</v>
      </c>
      <c r="AM42" s="134"/>
      <c r="AN42" s="134"/>
      <c r="AO42" s="134"/>
      <c r="AP42" s="113" t="str">
        <f t="shared" si="38"/>
        <v>E5320</v>
      </c>
      <c r="AQ42" s="567" t="str">
        <f t="shared" si="39"/>
        <v>St François Roye 3</v>
      </c>
      <c r="AR42" s="377"/>
      <c r="AS42" s="377"/>
      <c r="AT42" s="377"/>
      <c r="AU42" s="377"/>
      <c r="AV42" s="377"/>
      <c r="AW42" s="377"/>
      <c r="AX42" s="377"/>
      <c r="AY42" s="377"/>
      <c r="AZ42" s="377"/>
      <c r="BA42" s="377"/>
      <c r="BB42" s="377"/>
      <c r="BC42" s="378"/>
      <c r="BD42" s="414"/>
      <c r="BE42" s="134"/>
      <c r="BF42" s="134"/>
      <c r="BG42" s="134"/>
      <c r="BH42" s="134"/>
      <c r="BI42" s="113" t="str">
        <f t="shared" si="40"/>
        <v>E5320</v>
      </c>
      <c r="BJ42" s="567" t="str">
        <f t="shared" si="41"/>
        <v>St François Roye 3</v>
      </c>
      <c r="BK42" s="299">
        <f t="shared" si="49"/>
        <v>91.041250625698325</v>
      </c>
      <c r="BL42" s="299">
        <f t="shared" si="59"/>
        <v>91.041250625698325</v>
      </c>
      <c r="BM42" s="299">
        <f t="shared" si="59"/>
        <v>91.041250625698325</v>
      </c>
      <c r="BN42" s="299">
        <f t="shared" si="59"/>
        <v>91.041250625698325</v>
      </c>
      <c r="BO42" s="299">
        <f t="shared" si="59"/>
        <v>91.041250625698325</v>
      </c>
      <c r="BP42" s="299">
        <f t="shared" si="59"/>
        <v>91.041250625698325</v>
      </c>
      <c r="BQ42" s="299">
        <f t="shared" si="59"/>
        <v>91.041250625698325</v>
      </c>
      <c r="BR42" s="299">
        <f t="shared" si="59"/>
        <v>91.041250625698325</v>
      </c>
      <c r="BS42" s="299">
        <f t="shared" si="59"/>
        <v>91.041250625698325</v>
      </c>
      <c r="BT42" s="299">
        <f t="shared" si="59"/>
        <v>91.041250625698325</v>
      </c>
      <c r="BU42" s="299">
        <f t="shared" si="57"/>
        <v>93.135199390089383</v>
      </c>
      <c r="BV42" s="370">
        <f t="shared" si="58"/>
        <v>93.135199390089383</v>
      </c>
      <c r="BW42" s="414"/>
      <c r="BX42" s="134"/>
      <c r="BY42" s="134"/>
      <c r="BZ42" s="134"/>
      <c r="CA42" s="134"/>
      <c r="CB42" s="113" t="str">
        <f t="shared" si="5"/>
        <v>E5320</v>
      </c>
      <c r="CC42" s="308" t="str">
        <f t="shared" si="6"/>
        <v>St François Roye 3</v>
      </c>
      <c r="CD42" s="299">
        <f t="shared" si="43"/>
        <v>91.041250625698325</v>
      </c>
      <c r="CE42" s="299">
        <f t="shared" si="7"/>
        <v>91.041250625698325</v>
      </c>
      <c r="CF42" s="299">
        <f t="shared" si="8"/>
        <v>91.041250625698325</v>
      </c>
      <c r="CG42" s="299">
        <f t="shared" si="9"/>
        <v>91.041250625698325</v>
      </c>
      <c r="CH42" s="299">
        <f t="shared" si="10"/>
        <v>91.041250625698325</v>
      </c>
      <c r="CI42" s="299">
        <f t="shared" si="11"/>
        <v>91.041250625698325</v>
      </c>
      <c r="CJ42" s="299">
        <f t="shared" si="12"/>
        <v>91.041250625698325</v>
      </c>
      <c r="CK42" s="299">
        <f t="shared" si="13"/>
        <v>91.041250625698325</v>
      </c>
      <c r="CL42" s="299">
        <f t="shared" si="14"/>
        <v>91.041250625698325</v>
      </c>
      <c r="CM42" s="299">
        <f t="shared" si="15"/>
        <v>91.041250625698325</v>
      </c>
      <c r="CN42" s="299">
        <f t="shared" si="16"/>
        <v>93.135199390089383</v>
      </c>
      <c r="CO42" s="370">
        <f t="shared" si="17"/>
        <v>93.135199390089383</v>
      </c>
      <c r="CP42" s="414"/>
      <c r="CQ42" s="134">
        <f t="shared" si="18"/>
        <v>4.0000000000000001E-3</v>
      </c>
      <c r="CU42" s="113" t="str">
        <f t="shared" si="19"/>
        <v>E5320</v>
      </c>
      <c r="CV42" s="73" t="str">
        <f t="shared" si="20"/>
        <v>St François Roye 3</v>
      </c>
      <c r="CW42" s="300">
        <f t="shared" si="21"/>
        <v>278678.93957371259</v>
      </c>
      <c r="CX42" s="298">
        <f t="shared" si="22"/>
        <v>229503.96489148546</v>
      </c>
      <c r="CY42" s="298">
        <f t="shared" si="23"/>
        <v>219341.11972294183</v>
      </c>
      <c r="CZ42" s="298">
        <f t="shared" si="24"/>
        <v>171813.79566156876</v>
      </c>
      <c r="DA42" s="298">
        <f t="shared" si="25"/>
        <v>162904.25995376427</v>
      </c>
      <c r="DB42" s="298">
        <f t="shared" si="26"/>
        <v>127597.54925663956</v>
      </c>
      <c r="DC42" s="298">
        <f t="shared" si="27"/>
        <v>125191.77889305216</v>
      </c>
      <c r="DD42" s="298">
        <f t="shared" si="28"/>
        <v>123147.9206537478</v>
      </c>
      <c r="DE42" s="298">
        <f t="shared" si="29"/>
        <v>154650.49078000171</v>
      </c>
      <c r="DF42" s="298">
        <f t="shared" si="30"/>
        <v>220396.01429806664</v>
      </c>
      <c r="DG42" s="371">
        <f t="shared" si="31"/>
        <v>230463.11530022533</v>
      </c>
      <c r="DH42" s="372">
        <f t="shared" si="32"/>
        <v>277129.77120005689</v>
      </c>
      <c r="DI42" s="67">
        <f t="shared" si="33"/>
        <v>2320818.7201852631</v>
      </c>
      <c r="DJ42" s="364"/>
      <c r="DK42" s="82">
        <f t="shared" si="44"/>
        <v>2320818.7201852631</v>
      </c>
      <c r="DM42" s="518">
        <f t="shared" si="34"/>
        <v>91.491139806048935</v>
      </c>
      <c r="DO42" s="64" t="str">
        <f t="shared" si="35"/>
        <v>E5320</v>
      </c>
      <c r="DP42" s="64" t="str">
        <f t="shared" si="36"/>
        <v>E5320</v>
      </c>
      <c r="DQ42" s="73" t="str">
        <f t="shared" si="37"/>
        <v>St François Roye 3</v>
      </c>
      <c r="DR42" s="365">
        <f>_xll.LVCELL($DP$3,DR$3,$DP42,$DQ$2,$DP$4,$DP$5,$DP$6,$DP$7,$DP$8,$DQ$3)/100</f>
        <v>0.96999999999999986</v>
      </c>
      <c r="DS42" s="365">
        <f>_xll.LVCELL($DP$3,DS$3,$DP42,$DQ$2,$DP$4,$DP$5,$DP$6,$DP$7,$DP$8,$DQ$3)/100</f>
        <v>0.97</v>
      </c>
      <c r="DT42" s="365">
        <f>_xll.LVCELL($DP$3,DT$3,$DP42,$DQ$2,$DP$4,$DP$5,$DP$6,$DP$7,$DP$8,$DQ$3)/100</f>
        <v>0.96999999999999986</v>
      </c>
      <c r="DU42" s="365">
        <f>_xll.LVCELL($DP$3,DU$3,$DP42,$DQ$2,$DP$4,$DP$5,$DP$6,$DP$7,$DP$8,$DQ$3)/100</f>
        <v>0.97</v>
      </c>
      <c r="DV42" s="365">
        <f>_xll.LVCELL($DP$3,DV$3,$DP42,$DQ$2,$DP$4,$DP$5,$DP$6,$DP$7,$DP$8,$DQ$3)/100</f>
        <v>0.96999999999999986</v>
      </c>
      <c r="DW42" s="365">
        <f>_xll.LVCELL($DP$3,DW$3,$DP42,$DQ$2,$DP$4,$DP$5,$DP$6,$DP$7,$DP$8,$DQ$3)/100</f>
        <v>0.97</v>
      </c>
      <c r="DX42" s="365">
        <f>_xll.LVCELL($DP$3,DX$3,$DP42,$DQ$2,$DP$4,$DP$5,$DP$6,$DP$7,$DP$8,$DQ$3)/100</f>
        <v>0.96999999999999986</v>
      </c>
      <c r="DY42" s="365">
        <f>_xll.LVCELL($DP$3,DY$3,$DP42,$DQ$2,$DP$4,$DP$5,$DP$6,$DP$7,$DP$8,$DQ$3)/100</f>
        <v>0.96999999999999986</v>
      </c>
      <c r="DZ42" s="365">
        <f>_xll.LVCELL($DP$3,DZ$3,$DP42,$DQ$2,$DP$4,$DP$5,$DP$6,$DP$7,$DP$8,$DQ$3)/100</f>
        <v>0.97</v>
      </c>
      <c r="EA42" s="365">
        <f>_xll.LVCELL($DP$3,EA$3,$DP42,$DQ$2,$DP$4,$DP$5,$DP$6,$DP$7,$DP$8,$DQ$3)/100</f>
        <v>0.96999999999999986</v>
      </c>
      <c r="EB42" s="365">
        <f>_xll.LVCELL($DP$3,EB$3,$DP42,$DQ$2,$DP$4,$DP$5,$DP$6,$DP$7,$DP$8,$DQ$3)/100</f>
        <v>0.97</v>
      </c>
      <c r="EC42" s="365">
        <f>_xll.LVCELL($DP$3,EC$3,$DP42,$DQ$2,$DP$4,$DP$5,$DP$6,$DP$7,$DP$8,$DQ$3)/100</f>
        <v>0.96999999999999986</v>
      </c>
      <c r="ED42" s="582">
        <f t="shared" si="45"/>
        <v>11.64</v>
      </c>
      <c r="EF42" s="64" t="s">
        <v>262</v>
      </c>
      <c r="EH42" s="73"/>
      <c r="EI42" s="366"/>
      <c r="EJ42" s="367"/>
      <c r="EK42" s="368"/>
      <c r="EL42" s="367"/>
      <c r="EM42" s="368"/>
      <c r="EN42" s="367"/>
      <c r="EO42" s="368"/>
      <c r="EP42" s="367"/>
      <c r="EQ42" s="368"/>
      <c r="ER42" s="367"/>
      <c r="ES42" s="368"/>
      <c r="ET42" s="367"/>
      <c r="EY42" s="73"/>
      <c r="EZ42" s="364"/>
      <c r="FA42" s="364"/>
      <c r="FB42" s="364"/>
      <c r="FC42" s="364"/>
      <c r="FD42" s="364"/>
      <c r="FE42" s="364"/>
      <c r="FF42" s="364"/>
      <c r="FG42" s="364"/>
      <c r="FH42" s="364"/>
      <c r="FI42" s="364"/>
      <c r="FJ42" s="364"/>
      <c r="FK42" s="364"/>
      <c r="FP42" s="73"/>
      <c r="FQ42" s="364"/>
      <c r="FR42" s="364"/>
      <c r="FS42" s="364"/>
      <c r="FT42" s="364"/>
      <c r="FU42" s="364"/>
      <c r="FV42" s="364"/>
      <c r="FW42" s="364"/>
      <c r="FX42" s="364"/>
      <c r="FY42" s="364"/>
      <c r="FZ42" s="364"/>
      <c r="GA42" s="364"/>
      <c r="GB42" s="172"/>
    </row>
    <row r="43" spans="1:184" ht="15">
      <c r="B43" s="64" t="s">
        <v>263</v>
      </c>
      <c r="C43" s="64" t="s">
        <v>263</v>
      </c>
      <c r="D43" s="359" t="s">
        <v>546</v>
      </c>
      <c r="E43" s="357">
        <f>_xll.LVCELL($C$3,Q$3,$C43,$D$2,$C$4,$C$5,$C$6,$C$7,$C$8,$D$3)/1000</f>
        <v>14.35</v>
      </c>
      <c r="F43" s="103">
        <f>'distribution mensuelle Prod B22'!$AI$36</f>
        <v>3383185.4371166769</v>
      </c>
      <c r="G43" s="103">
        <f>'distribution mensuelle Prod B22'!$AI$37</f>
        <v>3132088.1496959566</v>
      </c>
      <c r="H43" s="103">
        <f>'distribution mensuelle Prod B22'!$AI$38</f>
        <v>3497950.7689040815</v>
      </c>
      <c r="I43" s="103">
        <f>'distribution mensuelle Prod B22'!$AI$39</f>
        <v>3098778.7721513002</v>
      </c>
      <c r="J43" s="103">
        <f>'distribution mensuelle Prod B22'!$AI$40</f>
        <v>2916951.2767303418</v>
      </c>
      <c r="K43" s="103">
        <f>'distribution mensuelle Prod B22'!$AI$41</f>
        <v>2087929.8946387453</v>
      </c>
      <c r="L43" s="103">
        <f>'distribution mensuelle Prod B22'!$AI$42</f>
        <v>1820404.3956678666</v>
      </c>
      <c r="M43" s="103">
        <f>'distribution mensuelle Prod B22'!$AI$43</f>
        <v>1789023.2502572478</v>
      </c>
      <c r="N43" s="103">
        <f>'distribution mensuelle Prod B22'!$AI$44</f>
        <v>2259730.8197438833</v>
      </c>
      <c r="O43" s="103">
        <f>'distribution mensuelle Prod B22'!$AI$45</f>
        <v>3023647.1711264453</v>
      </c>
      <c r="P43" s="103">
        <f>'distribution mensuelle Prod B22'!$AI$46</f>
        <v>3032834.9827170055</v>
      </c>
      <c r="Q43" s="103">
        <f>'distribution mensuelle Prod B22'!$AI$47</f>
        <v>3221796.6892906376</v>
      </c>
      <c r="R43" s="67">
        <f t="shared" si="1"/>
        <v>33264321.608040188</v>
      </c>
      <c r="S43" s="358"/>
      <c r="T43" s="169"/>
      <c r="W43" s="113" t="str">
        <f t="shared" si="2"/>
        <v>E5360</v>
      </c>
      <c r="X43" s="359" t="str">
        <f t="shared" si="3"/>
        <v>Calmont (Laur Eole Energie )</v>
      </c>
      <c r="Y43" s="299" cm="1">
        <f t="array" ref="Y43">_xll.LVCELL($D$4,F$1,$B43,$D$2,$C$4,$C$5,$C$6,$C$7,$C$8,$D$3)*1000</f>
        <v>88.689168999999993</v>
      </c>
      <c r="Z43" s="299" cm="1">
        <f t="array" ref="Z43">_xll.LVCELL($D$4,G$1,$B43,$D$2,$C$4,$C$5,$C$6,$C$7,$C$8,$D$3)*1000</f>
        <v>88.691517000000005</v>
      </c>
      <c r="AA43" s="299" cm="1">
        <f t="array" ref="AA43">_xll.LVCELL($D$4,H$1,$B43,$D$2,$C$4,$C$5,$C$6,$C$7,$C$8,$D$3)*1000</f>
        <v>88.688801194745196</v>
      </c>
      <c r="AB43" s="299" cm="1">
        <f t="array" ref="AB43">_xll.LVCELL($D$4,I$1,$B43,$D$2,$C$4,$C$5,$C$6,$C$7,$C$8,$D$3)*1000</f>
        <v>88.689409318215581</v>
      </c>
      <c r="AC43" s="299" cm="1">
        <f t="array" ref="AC43">_xll.LVCELL($D$4,J$1,$B43,$D$2,$C$4,$C$5,$C$6,$C$7,$C$8,$D$3)*1000</f>
        <v>88.687000045364499</v>
      </c>
      <c r="AD43" s="299" cm="1">
        <f t="array" ref="AD43">_xll.LVCELL($D$4,K$1,$B43,$D$2,$C$4,$C$5,$C$6,$C$7,$C$8,$D$3)*1000</f>
        <v>88.689162717963853</v>
      </c>
      <c r="AE43" s="299" cm="1">
        <f t="array" ref="AE43">_xll.LVCELL($D$4,L$1,$B43,$D$2,$C$4,$C$5,$C$6,$C$7,$C$8,$D$3)*1000</f>
        <v>88.688812874031044</v>
      </c>
      <c r="AF43" s="299">
        <f>$AD$43</f>
        <v>88.689162717963853</v>
      </c>
      <c r="AG43" s="299">
        <f t="shared" si="53"/>
        <v>88.689162717963853</v>
      </c>
      <c r="AH43" s="299">
        <f t="shared" si="53"/>
        <v>88.689162717963853</v>
      </c>
      <c r="AI43" s="299">
        <f t="shared" si="54"/>
        <v>90.72901346047702</v>
      </c>
      <c r="AJ43" s="412">
        <f t="shared" si="55"/>
        <v>90.72901346047702</v>
      </c>
      <c r="AK43" s="67"/>
      <c r="AL43" s="134">
        <f t="shared" si="4"/>
        <v>2.3E-2</v>
      </c>
      <c r="AM43" s="134"/>
      <c r="AN43" s="134"/>
      <c r="AO43" s="134"/>
      <c r="AP43" s="113" t="str">
        <f t="shared" si="38"/>
        <v>E5360</v>
      </c>
      <c r="AQ43" s="567" t="str">
        <f t="shared" si="39"/>
        <v>Calmont (Laur Eole Energie )</v>
      </c>
      <c r="AR43" s="377"/>
      <c r="AS43" s="377"/>
      <c r="AT43" s="377"/>
      <c r="AU43" s="377"/>
      <c r="AV43" s="377"/>
      <c r="AW43" s="377"/>
      <c r="AX43" s="377"/>
      <c r="AY43" s="377"/>
      <c r="AZ43" s="377"/>
      <c r="BA43" s="377"/>
      <c r="BB43" s="377"/>
      <c r="BC43" s="378"/>
      <c r="BD43" s="414"/>
      <c r="BE43" s="134"/>
      <c r="BF43" s="134"/>
      <c r="BG43" s="134"/>
      <c r="BH43" s="134"/>
      <c r="BI43" s="113" t="str">
        <f t="shared" si="40"/>
        <v>E5360</v>
      </c>
      <c r="BJ43" s="567" t="str">
        <f t="shared" si="41"/>
        <v>Calmont (Laur Eole Energie )</v>
      </c>
      <c r="BK43" s="299">
        <f t="shared" si="49"/>
        <v>90.72901346047702</v>
      </c>
      <c r="BL43" s="299">
        <f t="shared" si="59"/>
        <v>90.72901346047702</v>
      </c>
      <c r="BM43" s="299">
        <f t="shared" si="59"/>
        <v>90.72901346047702</v>
      </c>
      <c r="BN43" s="299">
        <f t="shared" si="59"/>
        <v>90.72901346047702</v>
      </c>
      <c r="BO43" s="299">
        <f t="shared" si="59"/>
        <v>90.72901346047702</v>
      </c>
      <c r="BP43" s="299">
        <f t="shared" si="59"/>
        <v>90.72901346047702</v>
      </c>
      <c r="BQ43" s="299">
        <f t="shared" si="59"/>
        <v>90.72901346047702</v>
      </c>
      <c r="BR43" s="299">
        <f t="shared" si="59"/>
        <v>90.72901346047702</v>
      </c>
      <c r="BS43" s="299">
        <f t="shared" si="59"/>
        <v>90.72901346047702</v>
      </c>
      <c r="BT43" s="299">
        <f t="shared" si="59"/>
        <v>90.72901346047702</v>
      </c>
      <c r="BU43" s="299">
        <f t="shared" si="57"/>
        <v>92.815780770067988</v>
      </c>
      <c r="BV43" s="370">
        <f t="shared" si="58"/>
        <v>92.815780770067988</v>
      </c>
      <c r="BW43" s="414"/>
      <c r="BX43" s="134"/>
      <c r="BY43" s="134"/>
      <c r="BZ43" s="134"/>
      <c r="CA43" s="134"/>
      <c r="CB43" s="113" t="str">
        <f t="shared" si="5"/>
        <v>E5360</v>
      </c>
      <c r="CC43" s="373" t="str">
        <f t="shared" si="6"/>
        <v>Calmont (Laur Eole Energie )</v>
      </c>
      <c r="CD43" s="299">
        <f t="shared" si="43"/>
        <v>90.72901346047702</v>
      </c>
      <c r="CE43" s="299">
        <f t="shared" si="7"/>
        <v>90.72901346047702</v>
      </c>
      <c r="CF43" s="299">
        <f t="shared" si="8"/>
        <v>90.72901346047702</v>
      </c>
      <c r="CG43" s="299">
        <f t="shared" si="9"/>
        <v>90.72901346047702</v>
      </c>
      <c r="CH43" s="299">
        <f t="shared" si="10"/>
        <v>90.72901346047702</v>
      </c>
      <c r="CI43" s="299">
        <f t="shared" si="11"/>
        <v>90.72901346047702</v>
      </c>
      <c r="CJ43" s="299">
        <f t="shared" si="12"/>
        <v>90.72901346047702</v>
      </c>
      <c r="CK43" s="299">
        <f t="shared" si="13"/>
        <v>90.72901346047702</v>
      </c>
      <c r="CL43" s="299">
        <f t="shared" si="14"/>
        <v>90.72901346047702</v>
      </c>
      <c r="CM43" s="299">
        <f t="shared" si="15"/>
        <v>90.72901346047702</v>
      </c>
      <c r="CN43" s="299">
        <f t="shared" si="16"/>
        <v>92.815780770067988</v>
      </c>
      <c r="CO43" s="370">
        <f t="shared" si="17"/>
        <v>92.815780770067988</v>
      </c>
      <c r="CP43" s="414"/>
      <c r="CQ43" s="134">
        <f t="shared" si="18"/>
        <v>4.0000000000000001E-3</v>
      </c>
      <c r="CU43" s="113" t="str">
        <f t="shared" si="19"/>
        <v>E5360</v>
      </c>
      <c r="CV43" s="359" t="str">
        <f t="shared" si="20"/>
        <v>Calmont (Laur Eole Energie )</v>
      </c>
      <c r="CW43" s="300">
        <f t="shared" si="21"/>
        <v>306953.07706344879</v>
      </c>
      <c r="CX43" s="298">
        <f t="shared" si="22"/>
        <v>284171.267893165</v>
      </c>
      <c r="CY43" s="298">
        <f t="shared" si="23"/>
        <v>317365.62239598436</v>
      </c>
      <c r="CZ43" s="298">
        <f t="shared" si="24"/>
        <v>281149.14092955575</v>
      </c>
      <c r="DA43" s="298">
        <f t="shared" si="25"/>
        <v>264652.11165002279</v>
      </c>
      <c r="DB43" s="298">
        <f t="shared" si="26"/>
        <v>189435.81951521107</v>
      </c>
      <c r="DC43" s="298">
        <f t="shared" si="27"/>
        <v>165163.49491806139</v>
      </c>
      <c r="DD43" s="298">
        <f t="shared" si="28"/>
        <v>162316.31455369617</v>
      </c>
      <c r="DE43" s="298">
        <f t="shared" si="29"/>
        <v>205023.14796159754</v>
      </c>
      <c r="DF43" s="298">
        <f t="shared" si="30"/>
        <v>274332.52488886449</v>
      </c>
      <c r="DG43" s="371">
        <f t="shared" si="31"/>
        <v>281494.94686765451</v>
      </c>
      <c r="DH43" s="372">
        <f t="shared" si="32"/>
        <v>299033.57519893063</v>
      </c>
      <c r="DI43" s="67">
        <f t="shared" si="33"/>
        <v>3031091.0438361927</v>
      </c>
      <c r="DJ43" s="364">
        <f>_xll.LVCELL($E$1,Q$2,$C43,$D$2,$C$4,$C$5,$C$6,$C$7,$C$8,$D$3)+_xll.LVCELL($E$2,Q$2,$C43,$D$2,$C$4,$C$5,$C$6,$C$7,$C$8,$D$3)</f>
        <v>3031090.978354549</v>
      </c>
      <c r="DK43" s="82">
        <f t="shared" si="44"/>
        <v>6.5481643658131361E-2</v>
      </c>
      <c r="DM43" s="518">
        <f t="shared" si="34"/>
        <v>91.121384634026626</v>
      </c>
      <c r="DO43" s="64" t="str">
        <f t="shared" si="35"/>
        <v>E5360</v>
      </c>
      <c r="DP43" s="64" t="str">
        <f t="shared" si="36"/>
        <v>E5360</v>
      </c>
      <c r="DQ43" s="359" t="str">
        <f t="shared" si="37"/>
        <v>Calmont (Laur Eole Energie )</v>
      </c>
      <c r="DR43" s="365">
        <f>_xll.LVCELL($DP$3,DR$3,$DP43,$DQ$2,$DP$4,$DP$5,$DP$6,$DP$7,$DP$8,$DQ$3)/100</f>
        <v>0.97</v>
      </c>
      <c r="DS43" s="365">
        <f>_xll.LVCELL($DP$3,DS$3,$DP43,$DQ$2,$DP$4,$DP$5,$DP$6,$DP$7,$DP$8,$DQ$3)/100</f>
        <v>0.97</v>
      </c>
      <c r="DT43" s="365">
        <f>_xll.LVCELL($DP$3,DT$3,$DP43,$DQ$2,$DP$4,$DP$5,$DP$6,$DP$7,$DP$8,$DQ$3)/100</f>
        <v>0.97</v>
      </c>
      <c r="DU43" s="365">
        <f>_xll.LVCELL($DP$3,DU$3,$DP43,$DQ$2,$DP$4,$DP$5,$DP$6,$DP$7,$DP$8,$DQ$3)/100</f>
        <v>0.97</v>
      </c>
      <c r="DV43" s="365">
        <f>_xll.LVCELL($DP$3,DV$3,$DP43,$DQ$2,$DP$4,$DP$5,$DP$6,$DP$7,$DP$8,$DQ$3)/100</f>
        <v>0.97</v>
      </c>
      <c r="DW43" s="365">
        <f>_xll.LVCELL($DP$3,DW$3,$DP43,$DQ$2,$DP$4,$DP$5,$DP$6,$DP$7,$DP$8,$DQ$3)/100</f>
        <v>0.97</v>
      </c>
      <c r="DX43" s="365">
        <f>_xll.LVCELL($DP$3,DX$3,$DP43,$DQ$2,$DP$4,$DP$5,$DP$6,$DP$7,$DP$8,$DQ$3)/100</f>
        <v>0.97</v>
      </c>
      <c r="DY43" s="365">
        <f>_xll.LVCELL($DP$3,DY$3,$DP43,$DQ$2,$DP$4,$DP$5,$DP$6,$DP$7,$DP$8,$DQ$3)/100</f>
        <v>0.97</v>
      </c>
      <c r="DZ43" s="365">
        <f>_xll.LVCELL($DP$3,DZ$3,$DP43,$DQ$2,$DP$4,$DP$5,$DP$6,$DP$7,$DP$8,$DQ$3)/100</f>
        <v>0.97</v>
      </c>
      <c r="EA43" s="365">
        <f>_xll.LVCELL($DP$3,EA$3,$DP43,$DQ$2,$DP$4,$DP$5,$DP$6,$DP$7,$DP$8,$DQ$3)/100</f>
        <v>0.97</v>
      </c>
      <c r="EB43" s="365">
        <f>_xll.LVCELL($DP$3,EB$3,$DP43,$DQ$2,$DP$4,$DP$5,$DP$6,$DP$7,$DP$8,$DQ$3)/100</f>
        <v>0.97</v>
      </c>
      <c r="EC43" s="365">
        <f>_xll.LVCELL($DP$3,EC$3,$DP43,$DQ$2,$DP$4,$DP$5,$DP$6,$DP$7,$DP$8,$DQ$3)/100</f>
        <v>0.97</v>
      </c>
      <c r="ED43" s="582">
        <f t="shared" si="45"/>
        <v>11.64</v>
      </c>
      <c r="EF43" s="64" t="s">
        <v>263</v>
      </c>
      <c r="EG43" s="64" t="s">
        <v>263</v>
      </c>
      <c r="EH43" s="359" t="s">
        <v>546</v>
      </c>
      <c r="EI43" s="366" t="e">
        <f ca="1">_xll.LVCELL($EG$3,EI$3,$DP43,$DQ$2,$DP$4,$DP$5,$DP$6,$DP$7,$DP$8,$DQ$3)-CW43</f>
        <v>#NAME?</v>
      </c>
      <c r="EJ43" s="367" t="e">
        <f ca="1">_xll.LVCELL($EG$3,EJ$3,$DP43,$DQ$2,$DP$4,$DP$5,$DP$6,$DP$7,$DP$8,$DQ$3)-CX43</f>
        <v>#NAME?</v>
      </c>
      <c r="EK43" s="368" t="e">
        <f ca="1">_xll.LVCELL($EG$3,EK$3,$DP43,$DQ$2,$DP$4,$DP$5,$DP$6,$DP$7,$DP$8,$DQ$3)-CY43</f>
        <v>#NAME?</v>
      </c>
      <c r="EL43" s="367" t="e">
        <f ca="1">_xll.LVCELL($EG$3,EL$3,$DP43,$DQ$2,$DP$4,$DP$5,$DP$6,$DP$7,$DP$8,$DQ$3)-CZ43</f>
        <v>#NAME?</v>
      </c>
      <c r="EM43" s="368" t="e">
        <f ca="1">_xll.LVCELL($EG$3,EM$3,$DP43,$DQ$2,$DP$4,$DP$5,$DP$6,$DP$7,$DP$8,$DQ$3)-DA43</f>
        <v>#NAME?</v>
      </c>
      <c r="EN43" s="367" t="e">
        <f ca="1">_xll.LVCELL($EG$3,EN$3,$DP43,$DQ$2,$DP$4,$DP$5,$DP$6,$DP$7,$DP$8,$DQ$3)-DB43</f>
        <v>#NAME?</v>
      </c>
      <c r="EO43" s="368" t="e">
        <f ca="1">_xll.LVCELL($EG$3,EO$3,$DP43,$DQ$2,$DP$4,$DP$5,$DP$6,$DP$7,$DP$8,$DQ$3)-DC43</f>
        <v>#NAME?</v>
      </c>
      <c r="EP43" s="367" t="e">
        <f ca="1">_xll.LVCELL($EG$3,EP$3,$DP43,$DQ$2,$DP$4,$DP$5,$DP$6,$DP$7,$DP$8,$DQ$3)-DD43</f>
        <v>#NAME?</v>
      </c>
      <c r="EQ43" s="368" t="e">
        <f ca="1">_xll.LVCELL($EG$3,EQ$3,$DP43,$DQ$2,$DP$4,$DP$5,$DP$6,$DP$7,$DP$8,$DQ$3)-DE43</f>
        <v>#NAME?</v>
      </c>
      <c r="ER43" s="367" t="e">
        <f ca="1">_xll.LVCELL($EG$3,ER$3,$DP43,$DQ$2,$DP$4,$DP$5,$DP$6,$DP$7,$DP$8,$DQ$3)-DF43</f>
        <v>#NAME?</v>
      </c>
      <c r="ES43" s="368" t="e">
        <f ca="1">_xll.LVCELL($EG$3,ES$3,$DP43,$DQ$2,$DP$4,$DP$5,$DP$6,$DP$7,$DP$8,$DQ$3)-DG43</f>
        <v>#NAME?</v>
      </c>
      <c r="ET43" s="367" t="e">
        <f ca="1">_xll.LVCELL($EG$3,ET$3,$DP43,$DQ$2,$DP$4,$DP$5,$DP$6,$DP$7,$DP$8,$DQ$3)-DH43</f>
        <v>#NAME?</v>
      </c>
      <c r="EW43" s="64" t="s">
        <v>263</v>
      </c>
      <c r="EX43" s="64" t="s">
        <v>263</v>
      </c>
      <c r="EY43" s="359" t="s">
        <v>546</v>
      </c>
      <c r="EZ43" s="364">
        <f>_xll.LVCELL($EX$3,EZ$3,$DP43,$DQ$2,$DP$4,$DP$5,$DP$6,$DP$7,$DP$8,$DQ$3)</f>
        <v>14350</v>
      </c>
      <c r="FA43" s="364">
        <f>_xll.LVCELL($EX$3,FA$3,$DP43,$DQ$2,$DP$4,$DP$5,$DP$6,$DP$7,$DP$8,$DQ$3)</f>
        <v>14350</v>
      </c>
      <c r="FB43" s="364">
        <f>_xll.LVCELL($EX$3,FB$3,$DP43,$DQ$2,$DP$4,$DP$5,$DP$6,$DP$7,$DP$8,$DQ$3)</f>
        <v>14350</v>
      </c>
      <c r="FC43" s="364">
        <f>_xll.LVCELL($EX$3,FC$3,$DP43,$DQ$2,$DP$4,$DP$5,$DP$6,$DP$7,$DP$8,$DQ$3)</f>
        <v>14350</v>
      </c>
      <c r="FD43" s="364">
        <f>_xll.LVCELL($EX$3,FD$3,$DP43,$DQ$2,$DP$4,$DP$5,$DP$6,$DP$7,$DP$8,$DQ$3)</f>
        <v>14350</v>
      </c>
      <c r="FE43" s="364">
        <f>_xll.LVCELL($EX$3,FE$3,$DP43,$DQ$2,$DP$4,$DP$5,$DP$6,$DP$7,$DP$8,$DQ$3)</f>
        <v>14350</v>
      </c>
      <c r="FF43" s="364">
        <f>_xll.LVCELL($EX$3,FF$3,$DP43,$DQ$2,$DP$4,$DP$5,$DP$6,$DP$7,$DP$8,$DQ$3)</f>
        <v>14350</v>
      </c>
      <c r="FG43" s="364">
        <f>_xll.LVCELL($EX$3,FG$3,$DP43,$DQ$2,$DP$4,$DP$5,$DP$6,$DP$7,$DP$8,$DQ$3)</f>
        <v>14350</v>
      </c>
      <c r="FH43" s="364">
        <f>_xll.LVCELL($EX$3,FH$3,$DP43,$DQ$2,$DP$4,$DP$5,$DP$6,$DP$7,$DP$8,$DQ$3)</f>
        <v>14350</v>
      </c>
      <c r="FI43" s="364">
        <f>_xll.LVCELL($EX$3,FI$3,$DP43,$DQ$2,$DP$4,$DP$5,$DP$6,$DP$7,$DP$8,$DQ$3)</f>
        <v>14350</v>
      </c>
      <c r="FJ43" s="364">
        <f>_xll.LVCELL($EX$3,FJ$3,$DP43,$DQ$2,$DP$4,$DP$5,$DP$6,$DP$7,$DP$8,$DQ$3)</f>
        <v>14350</v>
      </c>
      <c r="FK43" s="276">
        <f>_xll.LVCELL($EX$3,FK$3,$DP43,$DQ$2,$DP$4,$DP$5,$DP$6,$DP$7,$DP$8,$DQ$3)</f>
        <v>14350</v>
      </c>
      <c r="FN43" s="64" t="s">
        <v>263</v>
      </c>
      <c r="FO43" s="64" t="s">
        <v>263</v>
      </c>
      <c r="FP43" s="359" t="s">
        <v>546</v>
      </c>
      <c r="FQ43" s="364">
        <f>_xll.LVCELL($FO$3,FQ$3,$DP43,$DQ$2,$DP$4,$DP$5,$DP$6,$DP$7,$DP$8,$DQ$3)</f>
        <v>7</v>
      </c>
      <c r="FR43" s="364">
        <f>_xll.LVCELL($FO$3,FR$3,$DP43,$DQ$2,$DP$4,$DP$5,$DP$6,$DP$7,$DP$8,$DQ$3)</f>
        <v>7</v>
      </c>
      <c r="FS43" s="364">
        <f>_xll.LVCELL($FO$3,FS$3,$DP43,$DQ$2,$DP$4,$DP$5,$DP$6,$DP$7,$DP$8,$DQ$3)</f>
        <v>7</v>
      </c>
      <c r="FT43" s="364">
        <f>_xll.LVCELL($FO$3,FT$3,$DP43,$DQ$2,$DP$4,$DP$5,$DP$6,$DP$7,$DP$8,$DQ$3)</f>
        <v>7</v>
      </c>
      <c r="FU43" s="364">
        <f>_xll.LVCELL($FO$3,FU$3,$DP43,$DQ$2,$DP$4,$DP$5,$DP$6,$DP$7,$DP$8,$DQ$3)</f>
        <v>7</v>
      </c>
      <c r="FV43" s="364">
        <f>_xll.LVCELL($FO$3,FV$3,$DP43,$DQ$2,$DP$4,$DP$5,$DP$6,$DP$7,$DP$8,$DQ$3)</f>
        <v>7</v>
      </c>
      <c r="FW43" s="364">
        <f>_xll.LVCELL($FO$3,FW$3,$DP43,$DQ$2,$DP$4,$DP$5,$DP$6,$DP$7,$DP$8,$DQ$3)</f>
        <v>7</v>
      </c>
      <c r="FX43" s="364">
        <f>_xll.LVCELL($FO$3,FX$3,$DP43,$DQ$2,$DP$4,$DP$5,$DP$6,$DP$7,$DP$8,$DQ$3)</f>
        <v>7</v>
      </c>
      <c r="FY43" s="364">
        <f>_xll.LVCELL($FO$3,FY$3,$DP43,$DQ$2,$DP$4,$DP$5,$DP$6,$DP$7,$DP$8,$DQ$3)</f>
        <v>7</v>
      </c>
      <c r="FZ43" s="364">
        <f>_xll.LVCELL($FO$3,FZ$3,$DP43,$DQ$2,$DP$4,$DP$5,$DP$6,$DP$7,$DP$8,$DQ$3)</f>
        <v>7</v>
      </c>
      <c r="GA43" s="364">
        <f>_xll.LVCELL($FO$3,GA$3,$DP43,$DQ$2,$DP$4,$DP$5,$DP$6,$DP$7,$DP$8,$DQ$3)</f>
        <v>7</v>
      </c>
      <c r="GB43" s="172">
        <f>_xll.LVCELL($FO$3,GB$3,$DP43,$DQ$2,$DP$4,$DP$5,$DP$6,$DP$7,$DP$8,$DQ$3)</f>
        <v>7</v>
      </c>
    </row>
    <row r="44" spans="1:184" ht="15">
      <c r="B44" s="64" t="s">
        <v>440</v>
      </c>
      <c r="C44" s="108" t="s">
        <v>265</v>
      </c>
      <c r="D44" s="359" t="s">
        <v>547</v>
      </c>
      <c r="E44" s="357">
        <f>_xll.LVCELL($C$3,Q$3,$C44,$D$2,$C$4,$C$5,$C$6,$C$7,$C$8,$D$3)/1000</f>
        <v>8.1</v>
      </c>
      <c r="F44" s="103">
        <f>'distribution mensuelle Prod B22'!$AJ$36</f>
        <v>1245239.4148945706</v>
      </c>
      <c r="G44" s="103">
        <f>'distribution mensuelle Prod B22'!$AJ$37</f>
        <v>1005171.086847482</v>
      </c>
      <c r="H44" s="103">
        <f>'distribution mensuelle Prod B22'!$AJ$38</f>
        <v>903491.24535932299</v>
      </c>
      <c r="I44" s="103">
        <f>'distribution mensuelle Prod B22'!$AJ$39</f>
        <v>708729.94585583673</v>
      </c>
      <c r="J44" s="103">
        <f>'distribution mensuelle Prod B22'!$AJ$40</f>
        <v>592763.29428958241</v>
      </c>
      <c r="K44" s="103">
        <f>'distribution mensuelle Prod B22'!$AJ$41</f>
        <v>425324.88814199105</v>
      </c>
      <c r="L44" s="103">
        <f>'distribution mensuelle Prod B22'!$AJ$42</f>
        <v>392709.17350779526</v>
      </c>
      <c r="M44" s="103">
        <f>'distribution mensuelle Prod B22'!$AJ$43</f>
        <v>363003.37107896234</v>
      </c>
      <c r="N44" s="103">
        <f>'distribution mensuelle Prod B22'!$AJ$44</f>
        <v>560921.74250597623</v>
      </c>
      <c r="O44" s="103">
        <f>'distribution mensuelle Prod B22'!$AJ$45</f>
        <v>872208.14368648105</v>
      </c>
      <c r="P44" s="103">
        <f>'distribution mensuelle Prod B22'!$AJ$46</f>
        <v>1018847.3294762833</v>
      </c>
      <c r="Q44" s="103">
        <f>'distribution mensuelle Prod B22'!$AJ$47</f>
        <v>1211590.3643557157</v>
      </c>
      <c r="R44" s="67">
        <f t="shared" ref="R44:R75" si="60">SUM(F44:Q44)</f>
        <v>9299999.9999999981</v>
      </c>
      <c r="S44" s="358"/>
      <c r="W44" s="113" t="str">
        <f t="shared" ref="W44:W75" si="61">B44</f>
        <v>E5391</v>
      </c>
      <c r="X44" s="359" t="str">
        <f t="shared" ref="X44:X75" si="62">+D44</f>
        <v>Coat Conval</v>
      </c>
      <c r="Y44" s="299" cm="1">
        <f t="array" ref="Y44">_xll.LVCELL($D$4,F$1,$B44,$D$2,$C$4,$C$5,$C$6,$C$7,$C$8,$D$3)*1000</f>
        <v>95.403087999999997</v>
      </c>
      <c r="Z44" s="299" cm="1">
        <f t="array" ref="Z44">_xll.LVCELL($D$4,G$1,$B44,$D$2,$C$4,$C$5,$C$6,$C$7,$C$8,$D$3)*1000</f>
        <v>95.398306000000005</v>
      </c>
      <c r="AA44" s="299" cm="1">
        <f t="array" ref="AA44">_xll.LVCELL($D$4,H$1,$B44,$D$2,$C$4,$C$5,$C$6,$C$7,$C$8,$D$3)*1000</f>
        <v>95.402791114893432</v>
      </c>
      <c r="AB44" s="299" cm="1">
        <f t="array" ref="AB44">_xll.LVCELL($D$4,I$1,$B44,$D$2,$C$4,$C$5,$C$6,$C$7,$C$8,$D$3)*1000</f>
        <v>95.401709135383157</v>
      </c>
      <c r="AC44" s="299" cm="1">
        <f t="array" ref="AC44">_xll.LVCELL($D$4,J$1,$B44,$D$2,$C$4,$C$5,$C$6,$C$7,$C$8,$D$3)*1000</f>
        <v>95.397968375242826</v>
      </c>
      <c r="AD44" s="299" cm="1">
        <f t="array" ref="AD44">_xll.LVCELL($D$4,K$1,$B44,$D$2,$C$4,$C$5,$C$6,$C$7,$C$8,$D$3)*1000</f>
        <v>95.420892494928992</v>
      </c>
      <c r="AE44" s="299" cm="1">
        <f t="array" ref="AE44">_xll.LVCELL($D$4,L$1,$B44,$D$2,$C$4,$C$5,$C$6,$C$7,$C$8,$D$3)*1000</f>
        <v>95.397360202430079</v>
      </c>
      <c r="AF44" s="299">
        <f>$AC$44</f>
        <v>95.397968375242826</v>
      </c>
      <c r="AG44" s="299">
        <f t="shared" si="53"/>
        <v>95.397968375242826</v>
      </c>
      <c r="AH44" s="299">
        <f t="shared" si="53"/>
        <v>95.397968375242826</v>
      </c>
      <c r="AI44" s="299">
        <f t="shared" si="54"/>
        <v>97.592121647873412</v>
      </c>
      <c r="AJ44" s="412">
        <f t="shared" si="55"/>
        <v>97.592121647873412</v>
      </c>
      <c r="AK44" s="67"/>
      <c r="AL44" s="134">
        <f t="shared" ref="AL44:AL75" si="63">$AL$9</f>
        <v>2.3E-2</v>
      </c>
      <c r="AM44" s="134"/>
      <c r="AN44" s="134"/>
      <c r="AO44" s="134"/>
      <c r="AP44" s="113" t="str">
        <f t="shared" si="38"/>
        <v>E5391</v>
      </c>
      <c r="AQ44" s="567" t="str">
        <f t="shared" si="39"/>
        <v>Coat Conval</v>
      </c>
      <c r="AR44" s="377"/>
      <c r="AS44" s="377"/>
      <c r="AT44" s="377"/>
      <c r="AU44" s="377"/>
      <c r="AV44" s="377"/>
      <c r="AW44" s="377"/>
      <c r="AX44" s="377"/>
      <c r="AY44" s="377"/>
      <c r="AZ44" s="377"/>
      <c r="BA44" s="377"/>
      <c r="BB44" s="377"/>
      <c r="BC44" s="378"/>
      <c r="BD44" s="414"/>
      <c r="BE44" s="134"/>
      <c r="BF44" s="134"/>
      <c r="BG44" s="134"/>
      <c r="BH44" s="134"/>
      <c r="BI44" s="113" t="str">
        <f t="shared" si="40"/>
        <v>E5391</v>
      </c>
      <c r="BJ44" s="567" t="str">
        <f t="shared" si="41"/>
        <v>Coat Conval</v>
      </c>
      <c r="BK44" s="299">
        <f t="shared" si="49"/>
        <v>97.592121647873412</v>
      </c>
      <c r="BL44" s="299">
        <f t="shared" si="59"/>
        <v>97.592121647873412</v>
      </c>
      <c r="BM44" s="299">
        <f t="shared" si="59"/>
        <v>97.592121647873412</v>
      </c>
      <c r="BN44" s="299">
        <f t="shared" si="59"/>
        <v>97.592121647873412</v>
      </c>
      <c r="BO44" s="299">
        <f t="shared" si="59"/>
        <v>97.592121647873412</v>
      </c>
      <c r="BP44" s="299">
        <f t="shared" si="59"/>
        <v>97.592121647873412</v>
      </c>
      <c r="BQ44" s="299">
        <f t="shared" si="59"/>
        <v>97.592121647873412</v>
      </c>
      <c r="BR44" s="299">
        <f t="shared" si="59"/>
        <v>97.592121647873412</v>
      </c>
      <c r="BS44" s="299">
        <f t="shared" si="59"/>
        <v>97.592121647873412</v>
      </c>
      <c r="BT44" s="299">
        <f t="shared" si="59"/>
        <v>97.592121647873412</v>
      </c>
      <c r="BU44" s="299">
        <f t="shared" si="57"/>
        <v>99.836740445774495</v>
      </c>
      <c r="BV44" s="370">
        <f t="shared" si="58"/>
        <v>99.836740445774495</v>
      </c>
      <c r="BW44" s="414"/>
      <c r="BX44" s="134"/>
      <c r="BY44" s="134"/>
      <c r="BZ44" s="134"/>
      <c r="CA44" s="134"/>
      <c r="CB44" s="113" t="str">
        <f t="shared" ref="CB44:CB75" si="64">B44</f>
        <v>E5391</v>
      </c>
      <c r="CC44" s="373" t="str">
        <f t="shared" ref="CC44:CC75" si="65">+D44</f>
        <v>Coat Conval</v>
      </c>
      <c r="CD44" s="299">
        <f t="shared" si="43"/>
        <v>97.592121647873412</v>
      </c>
      <c r="CE44" s="299">
        <f t="shared" si="7"/>
        <v>97.592121647873412</v>
      </c>
      <c r="CF44" s="299">
        <f t="shared" si="8"/>
        <v>97.592121647873412</v>
      </c>
      <c r="CG44" s="299">
        <f t="shared" si="9"/>
        <v>97.592121647873412</v>
      </c>
      <c r="CH44" s="299">
        <f t="shared" si="10"/>
        <v>97.592121647873412</v>
      </c>
      <c r="CI44" s="299">
        <f t="shared" si="11"/>
        <v>97.592121647873412</v>
      </c>
      <c r="CJ44" s="299">
        <f t="shared" si="12"/>
        <v>97.592121647873412</v>
      </c>
      <c r="CK44" s="299">
        <f t="shared" si="13"/>
        <v>97.592121647873412</v>
      </c>
      <c r="CL44" s="299">
        <f t="shared" si="14"/>
        <v>97.592121647873412</v>
      </c>
      <c r="CM44" s="299">
        <f t="shared" si="15"/>
        <v>97.592121647873412</v>
      </c>
      <c r="CN44" s="299">
        <f t="shared" si="16"/>
        <v>99.836740445774495</v>
      </c>
      <c r="CO44" s="370">
        <f t="shared" si="17"/>
        <v>99.836740445774495</v>
      </c>
      <c r="CP44" s="414"/>
      <c r="CQ44" s="134">
        <f t="shared" ref="CQ44:CQ75" si="66">$CQ$9</f>
        <v>4.0000000000000001E-3</v>
      </c>
      <c r="CU44" s="113" t="str">
        <f t="shared" ref="CU44:CU75" si="67">CB44</f>
        <v>E5391</v>
      </c>
      <c r="CV44" s="359" t="str">
        <f t="shared" ref="CV44:CV75" si="68">CC44</f>
        <v>Coat Conval</v>
      </c>
      <c r="CW44" s="300">
        <f t="shared" ref="CW44:CW75" si="69">F44*(CD44/1000)</f>
        <v>121525.55645911764</v>
      </c>
      <c r="CX44" s="298">
        <f t="shared" ref="CX44:CX75" si="70">G44*(CE44/1000)</f>
        <v>98096.778984544595</v>
      </c>
      <c r="CY44" s="298">
        <f t="shared" ref="CY44:CY75" si="71">H44*(CF44/1000)</f>
        <v>88173.627524895695</v>
      </c>
      <c r="CZ44" s="298">
        <f t="shared" ref="CZ44:CZ75" si="72">I44*(CG44/1000)</f>
        <v>69166.459091453551</v>
      </c>
      <c r="DA44" s="298">
        <f t="shared" ref="DA44:DA75" si="73">J44*(CH44/1000)</f>
        <v>57849.027524703117</v>
      </c>
      <c r="DB44" s="298">
        <f t="shared" ref="DB44:DB75" si="74">K44*(CI44/1000)</f>
        <v>41508.358223421339</v>
      </c>
      <c r="DC44" s="298">
        <f t="shared" ref="DC44:DC75" si="75">L44*(CJ44/1000)</f>
        <v>38325.321433208584</v>
      </c>
      <c r="DD44" s="298">
        <f t="shared" ref="DD44:DD75" si="76">M44*(CK44/1000)</f>
        <v>35426.269148926229</v>
      </c>
      <c r="DE44" s="298">
        <f t="shared" ref="DE44:DE75" si="77">N44*(CL44/1000)</f>
        <v>54741.542929580355</v>
      </c>
      <c r="DF44" s="298">
        <f t="shared" ref="DF44:DF75" si="78">O44*(CM44/1000)</f>
        <v>85120.643260916913</v>
      </c>
      <c r="DG44" s="371">
        <f t="shared" ref="DG44:DG75" si="79">P44*(CN44/1000)</f>
        <v>101718.39638679418</v>
      </c>
      <c r="DH44" s="372">
        <f t="shared" ref="DH44:DH75" si="80">Q44*(CO44/1000)</f>
        <v>120961.23273278294</v>
      </c>
      <c r="DI44" s="67">
        <f t="shared" ref="DI44:DI75" si="81">SUM(CW44:DH44)</f>
        <v>912613.21370034514</v>
      </c>
      <c r="DJ44" s="364">
        <f>_xll.LVCELL($E$1,Q$2,$C44,$D$2,$C$4,$C$5,$C$6,$C$7,$C$8,$D$3)+_xll.LVCELL($E$2,Q$2,$C44,$D$2,$C$4,$C$5,$C$6,$C$7,$C$8,$D$3)</f>
        <v>912613.01845382201</v>
      </c>
      <c r="DK44" s="82">
        <f t="shared" si="44"/>
        <v>0.19524652312975377</v>
      </c>
      <c r="DM44" s="518">
        <f t="shared" ref="DM44:DM75" si="82">+DI44/R44*1000</f>
        <v>98.130453086058637</v>
      </c>
      <c r="DO44" s="64" t="str">
        <f t="shared" ref="DO44:DO75" si="83">B44</f>
        <v>E5391</v>
      </c>
      <c r="DP44" s="64" t="str">
        <f t="shared" ref="DP44:DP75" si="84">C44</f>
        <v>BEV2</v>
      </c>
      <c r="DQ44" s="359" t="str">
        <f t="shared" ref="DQ44:DQ75" si="85">D44</f>
        <v>Coat Conval</v>
      </c>
      <c r="DR44" s="365">
        <f>_xll.LVCELL($DP$3,DR$3,$DP44,$DQ$2,$DP$4,$DP$5,$DP$6,$DP$7,$DP$8,$DQ$3)/100</f>
        <v>0.97</v>
      </c>
      <c r="DS44" s="365">
        <f>_xll.LVCELL($DP$3,DS$3,$DP44,$DQ$2,$DP$4,$DP$5,$DP$6,$DP$7,$DP$8,$DQ$3)/100</f>
        <v>0.97</v>
      </c>
      <c r="DT44" s="365">
        <f>_xll.LVCELL($DP$3,DT$3,$DP44,$DQ$2,$DP$4,$DP$5,$DP$6,$DP$7,$DP$8,$DQ$3)/100</f>
        <v>0.97</v>
      </c>
      <c r="DU44" s="365">
        <f>_xll.LVCELL($DP$3,DU$3,$DP44,$DQ$2,$DP$4,$DP$5,$DP$6,$DP$7,$DP$8,$DQ$3)/100</f>
        <v>0.97</v>
      </c>
      <c r="DV44" s="365">
        <f>_xll.LVCELL($DP$3,DV$3,$DP44,$DQ$2,$DP$4,$DP$5,$DP$6,$DP$7,$DP$8,$DQ$3)/100</f>
        <v>0.97</v>
      </c>
      <c r="DW44" s="365">
        <f>_xll.LVCELL($DP$3,DW$3,$DP44,$DQ$2,$DP$4,$DP$5,$DP$6,$DP$7,$DP$8,$DQ$3)/100</f>
        <v>0.97</v>
      </c>
      <c r="DX44" s="365">
        <f>_xll.LVCELL($DP$3,DX$3,$DP44,$DQ$2,$DP$4,$DP$5,$DP$6,$DP$7,$DP$8,$DQ$3)/100</f>
        <v>0.97</v>
      </c>
      <c r="DY44" s="365">
        <f>_xll.LVCELL($DP$3,DY$3,$DP44,$DQ$2,$DP$4,$DP$5,$DP$6,$DP$7,$DP$8,$DQ$3)/100</f>
        <v>0.97</v>
      </c>
      <c r="DZ44" s="365">
        <f>_xll.LVCELL($DP$3,DZ$3,$DP44,$DQ$2,$DP$4,$DP$5,$DP$6,$DP$7,$DP$8,$DQ$3)/100</f>
        <v>0.97</v>
      </c>
      <c r="EA44" s="365">
        <f>_xll.LVCELL($DP$3,EA$3,$DP44,$DQ$2,$DP$4,$DP$5,$DP$6,$DP$7,$DP$8,$DQ$3)/100</f>
        <v>0.97</v>
      </c>
      <c r="EB44" s="365">
        <f>_xll.LVCELL($DP$3,EB$3,$DP44,$DQ$2,$DP$4,$DP$5,$DP$6,$DP$7,$DP$8,$DQ$3)/100</f>
        <v>0.97</v>
      </c>
      <c r="EC44" s="365">
        <f>_xll.LVCELL($DP$3,EC$3,$DP44,$DQ$2,$DP$4,$DP$5,$DP$6,$DP$7,$DP$8,$DQ$3)/100</f>
        <v>0.97</v>
      </c>
      <c r="ED44" s="582">
        <f t="shared" si="45"/>
        <v>11.64</v>
      </c>
      <c r="EF44" s="64" t="s">
        <v>440</v>
      </c>
      <c r="EG44" s="64" t="s">
        <v>265</v>
      </c>
      <c r="EH44" s="359" t="s">
        <v>547</v>
      </c>
      <c r="EI44" s="366" t="e">
        <f ca="1">_xll.LVCELL($EG$3,EI$3,$DP44,$DQ$2,$DP$4,$DP$5,$DP$6,$DP$7,$DP$8,$DQ$3)-CW44</f>
        <v>#NAME?</v>
      </c>
      <c r="EJ44" s="367" t="e">
        <f ca="1">_xll.LVCELL($EG$3,EJ$3,$DP44,$DQ$2,$DP$4,$DP$5,$DP$6,$DP$7,$DP$8,$DQ$3)-CX44</f>
        <v>#NAME?</v>
      </c>
      <c r="EK44" s="368" t="e">
        <f ca="1">_xll.LVCELL($EG$3,EK$3,$DP44,$DQ$2,$DP$4,$DP$5,$DP$6,$DP$7,$DP$8,$DQ$3)-CY44</f>
        <v>#NAME?</v>
      </c>
      <c r="EL44" s="367" t="e">
        <f ca="1">_xll.LVCELL($EG$3,EL$3,$DP44,$DQ$2,$DP$4,$DP$5,$DP$6,$DP$7,$DP$8,$DQ$3)-CZ44</f>
        <v>#NAME?</v>
      </c>
      <c r="EM44" s="368" t="e">
        <f ca="1">_xll.LVCELL($EG$3,EM$3,$DP44,$DQ$2,$DP$4,$DP$5,$DP$6,$DP$7,$DP$8,$DQ$3)-DA44</f>
        <v>#NAME?</v>
      </c>
      <c r="EN44" s="367" t="e">
        <f ca="1">_xll.LVCELL($EG$3,EN$3,$DP44,$DQ$2,$DP$4,$DP$5,$DP$6,$DP$7,$DP$8,$DQ$3)-DB44</f>
        <v>#NAME?</v>
      </c>
      <c r="EO44" s="368" t="e">
        <f ca="1">_xll.LVCELL($EG$3,EO$3,$DP44,$DQ$2,$DP$4,$DP$5,$DP$6,$DP$7,$DP$8,$DQ$3)-DC44</f>
        <v>#NAME?</v>
      </c>
      <c r="EP44" s="367" t="e">
        <f ca="1">_xll.LVCELL($EG$3,EP$3,$DP44,$DQ$2,$DP$4,$DP$5,$DP$6,$DP$7,$DP$8,$DQ$3)-DD44</f>
        <v>#NAME?</v>
      </c>
      <c r="EQ44" s="368" t="e">
        <f ca="1">_xll.LVCELL($EG$3,EQ$3,$DP44,$DQ$2,$DP$4,$DP$5,$DP$6,$DP$7,$DP$8,$DQ$3)-DE44</f>
        <v>#NAME?</v>
      </c>
      <c r="ER44" s="367" t="e">
        <f ca="1">_xll.LVCELL($EG$3,ER$3,$DP44,$DQ$2,$DP$4,$DP$5,$DP$6,$DP$7,$DP$8,$DQ$3)-DF44</f>
        <v>#NAME?</v>
      </c>
      <c r="ES44" s="368" t="e">
        <f ca="1">_xll.LVCELL($EG$3,ES$3,$DP44,$DQ$2,$DP$4,$DP$5,$DP$6,$DP$7,$DP$8,$DQ$3)-DG44</f>
        <v>#NAME?</v>
      </c>
      <c r="ET44" s="367" t="e">
        <f ca="1">_xll.LVCELL($EG$3,ET$3,$DP44,$DQ$2,$DP$4,$DP$5,$DP$6,$DP$7,$DP$8,$DQ$3)-DH44</f>
        <v>#NAME?</v>
      </c>
      <c r="EW44" s="64" t="s">
        <v>440</v>
      </c>
      <c r="EX44" s="64" t="s">
        <v>265</v>
      </c>
      <c r="EY44" s="359" t="s">
        <v>547</v>
      </c>
      <c r="EZ44" s="364">
        <f>_xll.LVCELL($EX$3,EZ$3,$DP44,$DQ$2,$DP$4,$DP$5,$DP$6,$DP$7,$DP$8,$DQ$3)</f>
        <v>8100</v>
      </c>
      <c r="FA44" s="364">
        <f>_xll.LVCELL($EX$3,FA$3,$DP44,$DQ$2,$DP$4,$DP$5,$DP$6,$DP$7,$DP$8,$DQ$3)</f>
        <v>8100</v>
      </c>
      <c r="FB44" s="364">
        <f>_xll.LVCELL($EX$3,FB$3,$DP44,$DQ$2,$DP$4,$DP$5,$DP$6,$DP$7,$DP$8,$DQ$3)</f>
        <v>8100</v>
      </c>
      <c r="FC44" s="364">
        <f>_xll.LVCELL($EX$3,FC$3,$DP44,$DQ$2,$DP$4,$DP$5,$DP$6,$DP$7,$DP$8,$DQ$3)</f>
        <v>8100</v>
      </c>
      <c r="FD44" s="364">
        <f>_xll.LVCELL($EX$3,FD$3,$DP44,$DQ$2,$DP$4,$DP$5,$DP$6,$DP$7,$DP$8,$DQ$3)</f>
        <v>8100</v>
      </c>
      <c r="FE44" s="364">
        <f>_xll.LVCELL($EX$3,FE$3,$DP44,$DQ$2,$DP$4,$DP$5,$DP$6,$DP$7,$DP$8,$DQ$3)</f>
        <v>8100</v>
      </c>
      <c r="FF44" s="364">
        <f>_xll.LVCELL($EX$3,FF$3,$DP44,$DQ$2,$DP$4,$DP$5,$DP$6,$DP$7,$DP$8,$DQ$3)</f>
        <v>8100</v>
      </c>
      <c r="FG44" s="364">
        <f>_xll.LVCELL($EX$3,FG$3,$DP44,$DQ$2,$DP$4,$DP$5,$DP$6,$DP$7,$DP$8,$DQ$3)</f>
        <v>8100</v>
      </c>
      <c r="FH44" s="364">
        <f>_xll.LVCELL($EX$3,FH$3,$DP44,$DQ$2,$DP$4,$DP$5,$DP$6,$DP$7,$DP$8,$DQ$3)</f>
        <v>8100</v>
      </c>
      <c r="FI44" s="364">
        <f>_xll.LVCELL($EX$3,FI$3,$DP44,$DQ$2,$DP$4,$DP$5,$DP$6,$DP$7,$DP$8,$DQ$3)</f>
        <v>8100</v>
      </c>
      <c r="FJ44" s="364">
        <f>_xll.LVCELL($EX$3,FJ$3,$DP44,$DQ$2,$DP$4,$DP$5,$DP$6,$DP$7,$DP$8,$DQ$3)</f>
        <v>8100</v>
      </c>
      <c r="FK44" s="276">
        <f>_xll.LVCELL($EX$3,FK$3,$DP44,$DQ$2,$DP$4,$DP$5,$DP$6,$DP$7,$DP$8,$DQ$3)</f>
        <v>8100</v>
      </c>
      <c r="FN44" s="64" t="s">
        <v>440</v>
      </c>
      <c r="FO44" s="64" t="s">
        <v>265</v>
      </c>
      <c r="FP44" s="359" t="s">
        <v>547</v>
      </c>
      <c r="FQ44" s="364">
        <f>_xll.LVCELL($FO$3,FQ$3,$DP44,$DQ$2,$DP$4,$DP$5,$DP$6,$DP$7,$DP$8,$DQ$3)</f>
        <v>9</v>
      </c>
      <c r="FR44" s="364">
        <f>_xll.LVCELL($FO$3,FR$3,$DP44,$DQ$2,$DP$4,$DP$5,$DP$6,$DP$7,$DP$8,$DQ$3)</f>
        <v>9</v>
      </c>
      <c r="FS44" s="364">
        <f>_xll.LVCELL($FO$3,FS$3,$DP44,$DQ$2,$DP$4,$DP$5,$DP$6,$DP$7,$DP$8,$DQ$3)</f>
        <v>9</v>
      </c>
      <c r="FT44" s="364">
        <f>_xll.LVCELL($FO$3,FT$3,$DP44,$DQ$2,$DP$4,$DP$5,$DP$6,$DP$7,$DP$8,$DQ$3)</f>
        <v>9</v>
      </c>
      <c r="FU44" s="364">
        <f>_xll.LVCELL($FO$3,FU$3,$DP44,$DQ$2,$DP$4,$DP$5,$DP$6,$DP$7,$DP$8,$DQ$3)</f>
        <v>9</v>
      </c>
      <c r="FV44" s="364">
        <f>_xll.LVCELL($FO$3,FV$3,$DP44,$DQ$2,$DP$4,$DP$5,$DP$6,$DP$7,$DP$8,$DQ$3)</f>
        <v>9</v>
      </c>
      <c r="FW44" s="364">
        <f>_xll.LVCELL($FO$3,FW$3,$DP44,$DQ$2,$DP$4,$DP$5,$DP$6,$DP$7,$DP$8,$DQ$3)</f>
        <v>9</v>
      </c>
      <c r="FX44" s="364">
        <f>_xll.LVCELL($FO$3,FX$3,$DP44,$DQ$2,$DP$4,$DP$5,$DP$6,$DP$7,$DP$8,$DQ$3)</f>
        <v>9</v>
      </c>
      <c r="FY44" s="364">
        <f>_xll.LVCELL($FO$3,FY$3,$DP44,$DQ$2,$DP$4,$DP$5,$DP$6,$DP$7,$DP$8,$DQ$3)</f>
        <v>9</v>
      </c>
      <c r="FZ44" s="364">
        <f>_xll.LVCELL($FO$3,FZ$3,$DP44,$DQ$2,$DP$4,$DP$5,$DP$6,$DP$7,$DP$8,$DQ$3)</f>
        <v>9</v>
      </c>
      <c r="GA44" s="364">
        <f>_xll.LVCELL($FO$3,GA$3,$DP44,$DQ$2,$DP$4,$DP$5,$DP$6,$DP$7,$DP$8,$DQ$3)</f>
        <v>9</v>
      </c>
      <c r="GB44" s="172">
        <f>_xll.LVCELL($FO$3,GB$3,$DP44,$DQ$2,$DP$4,$DP$5,$DP$6,$DP$7,$DP$8,$DQ$3)</f>
        <v>9</v>
      </c>
    </row>
    <row r="45" spans="1:184" ht="15">
      <c r="B45" s="64" t="s">
        <v>442</v>
      </c>
      <c r="C45" s="108" t="s">
        <v>266</v>
      </c>
      <c r="D45" s="359" t="s">
        <v>548</v>
      </c>
      <c r="E45" s="357">
        <f>_xll.LVCELL($C$3,Q$3,$C45,$D$2,$C$4,$C$5,$C$6,$C$7,$C$8,$D$3)/1000</f>
        <v>8</v>
      </c>
      <c r="F45" s="103">
        <f>'distribution mensuelle Prod B22'!$AK$36</f>
        <v>1801984.5972185379</v>
      </c>
      <c r="G45" s="103">
        <f>'distribution mensuelle Prod B22'!$AK$37</f>
        <v>1484756.0279659706</v>
      </c>
      <c r="H45" s="103">
        <f>'distribution mensuelle Prod B22'!$AK$38</f>
        <v>1378550.2401245811</v>
      </c>
      <c r="I45" s="103">
        <f>'distribution mensuelle Prod B22'!$AK$39</f>
        <v>1142852.4582071621</v>
      </c>
      <c r="J45" s="103">
        <f>'distribution mensuelle Prod B22'!$AK$40</f>
        <v>991647.47462304391</v>
      </c>
      <c r="K45" s="103">
        <f>'distribution mensuelle Prod B22'!$AK$41</f>
        <v>743924.26409492409</v>
      </c>
      <c r="L45" s="103">
        <f>'distribution mensuelle Prod B22'!$AK$42</f>
        <v>669505.25785352336</v>
      </c>
      <c r="M45" s="103">
        <f>'distribution mensuelle Prod B22'!$AK$43</f>
        <v>613462.47529697022</v>
      </c>
      <c r="N45" s="103">
        <f>'distribution mensuelle Prod B22'!$AK$44</f>
        <v>884935.13633399305</v>
      </c>
      <c r="O45" s="103">
        <f>'distribution mensuelle Prod B22'!$AK$45</f>
        <v>1261067.9626171398</v>
      </c>
      <c r="P45" s="103">
        <f>'distribution mensuelle Prod B22'!$AK$46</f>
        <v>1473484.788271988</v>
      </c>
      <c r="Q45" s="103">
        <f>'distribution mensuelle Prod B22'!$AK$47</f>
        <v>1753829.3173921665</v>
      </c>
      <c r="R45" s="67">
        <f t="shared" si="60"/>
        <v>14200000</v>
      </c>
      <c r="S45" s="358"/>
      <c r="W45" s="113" t="str">
        <f t="shared" si="61"/>
        <v>E5392</v>
      </c>
      <c r="X45" s="359" t="str">
        <f t="shared" si="62"/>
        <v>Leign ar Gasprenn</v>
      </c>
      <c r="Y45" s="299" cm="1">
        <f t="array" ref="Y45">_xll.LVCELL($D$4,F$1,$B45,$D$2,$C$4,$C$5,$C$6,$C$7,$C$8,$D$3)*1000</f>
        <v>93.142777999999993</v>
      </c>
      <c r="Z45" s="299" cm="1">
        <f t="array" ref="Z45">_xll.LVCELL($D$4,G$1,$B45,$D$2,$C$4,$C$5,$C$6,$C$7,$C$8,$D$3)*1000</f>
        <v>93.139010999999996</v>
      </c>
      <c r="AA45" s="299" cm="1">
        <f t="array" ref="AA45">_xll.LVCELL($D$4,H$1,$B45,$D$2,$C$4,$C$5,$C$6,$C$7,$C$8,$D$3)*1000</f>
        <v>93.141651331958812</v>
      </c>
      <c r="AB45" s="299" cm="1">
        <f t="array" ref="AB45">_xll.LVCELL($D$4,I$1,$B45,$D$2,$C$4,$C$5,$C$6,$C$7,$C$8,$D$3)*1000</f>
        <v>93.141455301776205</v>
      </c>
      <c r="AC45" s="299" cm="1">
        <f t="array" ref="AC45">_xll.LVCELL($D$4,J$1,$B45,$D$2,$C$4,$C$5,$C$6,$C$7,$C$8,$D$3)*1000</f>
        <v>93.138101788332492</v>
      </c>
      <c r="AD45" s="299" cm="1">
        <f t="array" ref="AD45">_xll.LVCELL($D$4,K$1,$B45,$D$2,$C$4,$C$5,$C$6,$C$7,$C$8,$D$3)*1000</f>
        <v>93.155849999999987</v>
      </c>
      <c r="AE45" s="299" cm="1">
        <f t="array" ref="AE45">_xll.LVCELL($D$4,L$1,$B45,$D$2,$C$4,$C$5,$C$6,$C$7,$C$8,$D$3)*1000</f>
        <v>93.137793930144369</v>
      </c>
      <c r="AF45" s="299">
        <f>$AC$45</f>
        <v>93.138101788332492</v>
      </c>
      <c r="AG45" s="299">
        <f t="shared" si="53"/>
        <v>93.138101788332492</v>
      </c>
      <c r="AH45" s="299">
        <f t="shared" si="53"/>
        <v>93.138101788332492</v>
      </c>
      <c r="AI45" s="299">
        <f t="shared" si="54"/>
        <v>95.280278129464136</v>
      </c>
      <c r="AJ45" s="412">
        <f t="shared" si="55"/>
        <v>95.280278129464136</v>
      </c>
      <c r="AK45" s="67"/>
      <c r="AL45" s="134">
        <f t="shared" si="63"/>
        <v>2.3E-2</v>
      </c>
      <c r="AM45" s="134"/>
      <c r="AN45" s="134"/>
      <c r="AO45" s="134"/>
      <c r="AP45" s="113" t="str">
        <f t="shared" si="38"/>
        <v>E5392</v>
      </c>
      <c r="AQ45" s="567" t="str">
        <f t="shared" si="39"/>
        <v>Leign ar Gasprenn</v>
      </c>
      <c r="AR45" s="377"/>
      <c r="AS45" s="377"/>
      <c r="AT45" s="377"/>
      <c r="AU45" s="377"/>
      <c r="AV45" s="377"/>
      <c r="AW45" s="377"/>
      <c r="AX45" s="377"/>
      <c r="AY45" s="377"/>
      <c r="AZ45" s="377"/>
      <c r="BA45" s="377"/>
      <c r="BB45" s="377"/>
      <c r="BC45" s="378"/>
      <c r="BD45" s="414"/>
      <c r="BE45" s="134"/>
      <c r="BF45" s="134"/>
      <c r="BG45" s="134"/>
      <c r="BH45" s="134"/>
      <c r="BI45" s="113" t="str">
        <f t="shared" si="40"/>
        <v>E5392</v>
      </c>
      <c r="BJ45" s="567" t="str">
        <f t="shared" si="41"/>
        <v>Leign ar Gasprenn</v>
      </c>
      <c r="BK45" s="299">
        <f t="shared" si="49"/>
        <v>95.280278129464136</v>
      </c>
      <c r="BL45" s="299">
        <f t="shared" ref="BL45:BT54" si="86">$AJ45</f>
        <v>95.280278129464136</v>
      </c>
      <c r="BM45" s="299">
        <f t="shared" si="86"/>
        <v>95.280278129464136</v>
      </c>
      <c r="BN45" s="299">
        <f t="shared" si="86"/>
        <v>95.280278129464136</v>
      </c>
      <c r="BO45" s="299">
        <f t="shared" si="86"/>
        <v>95.280278129464136</v>
      </c>
      <c r="BP45" s="299">
        <f t="shared" si="86"/>
        <v>95.280278129464136</v>
      </c>
      <c r="BQ45" s="299">
        <f t="shared" si="86"/>
        <v>95.280278129464136</v>
      </c>
      <c r="BR45" s="299">
        <f t="shared" si="86"/>
        <v>95.280278129464136</v>
      </c>
      <c r="BS45" s="299">
        <f t="shared" si="86"/>
        <v>95.280278129464136</v>
      </c>
      <c r="BT45" s="299">
        <f t="shared" si="86"/>
        <v>95.280278129464136</v>
      </c>
      <c r="BU45" s="299">
        <f t="shared" si="57"/>
        <v>97.471724526441818</v>
      </c>
      <c r="BV45" s="370">
        <f t="shared" si="58"/>
        <v>97.471724526441818</v>
      </c>
      <c r="BW45" s="414"/>
      <c r="BX45" s="134"/>
      <c r="BY45" s="134"/>
      <c r="BZ45" s="134"/>
      <c r="CA45" s="134"/>
      <c r="CB45" s="113" t="str">
        <f t="shared" si="64"/>
        <v>E5392</v>
      </c>
      <c r="CC45" s="373" t="str">
        <f t="shared" si="65"/>
        <v>Leign ar Gasprenn</v>
      </c>
      <c r="CD45" s="299">
        <f t="shared" si="43"/>
        <v>95.280278129464136</v>
      </c>
      <c r="CE45" s="299">
        <f t="shared" si="7"/>
        <v>95.280278129464136</v>
      </c>
      <c r="CF45" s="299">
        <f t="shared" si="8"/>
        <v>95.280278129464136</v>
      </c>
      <c r="CG45" s="299">
        <f t="shared" si="9"/>
        <v>95.280278129464136</v>
      </c>
      <c r="CH45" s="299">
        <f t="shared" si="10"/>
        <v>95.280278129464136</v>
      </c>
      <c r="CI45" s="299">
        <f t="shared" si="11"/>
        <v>95.280278129464136</v>
      </c>
      <c r="CJ45" s="299">
        <f t="shared" si="12"/>
        <v>95.280278129464136</v>
      </c>
      <c r="CK45" s="299">
        <f t="shared" si="13"/>
        <v>95.280278129464136</v>
      </c>
      <c r="CL45" s="299">
        <f t="shared" si="14"/>
        <v>95.280278129464136</v>
      </c>
      <c r="CM45" s="299">
        <f t="shared" si="15"/>
        <v>95.280278129464136</v>
      </c>
      <c r="CN45" s="299">
        <f t="shared" si="16"/>
        <v>97.471724526441818</v>
      </c>
      <c r="CO45" s="370">
        <f t="shared" si="17"/>
        <v>97.471724526441818</v>
      </c>
      <c r="CP45" s="414"/>
      <c r="CQ45" s="134">
        <f t="shared" si="66"/>
        <v>4.0000000000000001E-3</v>
      </c>
      <c r="CU45" s="113" t="str">
        <f t="shared" si="67"/>
        <v>E5392</v>
      </c>
      <c r="CV45" s="359" t="str">
        <f t="shared" si="68"/>
        <v>Leign ar Gasprenn</v>
      </c>
      <c r="CW45" s="300">
        <f t="shared" si="69"/>
        <v>171693.59360799269</v>
      </c>
      <c r="CX45" s="298">
        <f t="shared" si="70"/>
        <v>141467.96729899611</v>
      </c>
      <c r="CY45" s="298">
        <f t="shared" si="71"/>
        <v>131348.65029450966</v>
      </c>
      <c r="CZ45" s="298">
        <f t="shared" si="72"/>
        <v>108891.30007892019</v>
      </c>
      <c r="DA45" s="298">
        <f t="shared" si="73"/>
        <v>94484.447188464343</v>
      </c>
      <c r="DB45" s="298">
        <f t="shared" si="74"/>
        <v>70881.310790221294</v>
      </c>
      <c r="DC45" s="298">
        <f t="shared" si="75"/>
        <v>63790.647177422303</v>
      </c>
      <c r="DD45" s="298">
        <f t="shared" si="76"/>
        <v>58450.875268284843</v>
      </c>
      <c r="DE45" s="298">
        <f t="shared" si="77"/>
        <v>84316.86591643811</v>
      </c>
      <c r="DF45" s="298">
        <f t="shared" si="78"/>
        <v>120154.90621831776</v>
      </c>
      <c r="DG45" s="371">
        <f t="shared" si="79"/>
        <v>143623.10337634967</v>
      </c>
      <c r="DH45" s="372">
        <f t="shared" si="80"/>
        <v>170948.76809124675</v>
      </c>
      <c r="DI45" s="67">
        <f t="shared" si="81"/>
        <v>1360052.4353071637</v>
      </c>
      <c r="DJ45" s="364">
        <f>_xll.LVCELL($E$1,Q$2,$C45,$D$2,$C$4,$C$5,$C$6,$C$7,$C$8,$D$3)+_xll.LVCELL($E$2,Q$2,$C45,$D$2,$C$4,$C$5,$C$6,$C$7,$C$8,$D$3)</f>
        <v>1360052.2446228019</v>
      </c>
      <c r="DK45" s="82">
        <f t="shared" si="44"/>
        <v>0.19068436184898019</v>
      </c>
      <c r="DM45" s="518">
        <f t="shared" si="82"/>
        <v>95.778340514589004</v>
      </c>
      <c r="DO45" s="64" t="str">
        <f t="shared" si="83"/>
        <v>E5392</v>
      </c>
      <c r="DP45" s="64" t="str">
        <f t="shared" si="84"/>
        <v>BEV3</v>
      </c>
      <c r="DQ45" s="359" t="str">
        <f t="shared" si="85"/>
        <v>Leign ar Gasprenn</v>
      </c>
      <c r="DR45" s="365">
        <f>_xll.LVCELL($DP$3,DR$3,$DP45,$DQ$2,$DP$4,$DP$5,$DP$6,$DP$7,$DP$8,$DQ$3)/100</f>
        <v>0.97</v>
      </c>
      <c r="DS45" s="365">
        <f>_xll.LVCELL($DP$3,DS$3,$DP45,$DQ$2,$DP$4,$DP$5,$DP$6,$DP$7,$DP$8,$DQ$3)/100</f>
        <v>0.97</v>
      </c>
      <c r="DT45" s="365">
        <f>_xll.LVCELL($DP$3,DT$3,$DP45,$DQ$2,$DP$4,$DP$5,$DP$6,$DP$7,$DP$8,$DQ$3)/100</f>
        <v>0.97</v>
      </c>
      <c r="DU45" s="365">
        <f>_xll.LVCELL($DP$3,DU$3,$DP45,$DQ$2,$DP$4,$DP$5,$DP$6,$DP$7,$DP$8,$DQ$3)/100</f>
        <v>0.97</v>
      </c>
      <c r="DV45" s="365">
        <f>_xll.LVCELL($DP$3,DV$3,$DP45,$DQ$2,$DP$4,$DP$5,$DP$6,$DP$7,$DP$8,$DQ$3)/100</f>
        <v>0.97</v>
      </c>
      <c r="DW45" s="365">
        <f>_xll.LVCELL($DP$3,DW$3,$DP45,$DQ$2,$DP$4,$DP$5,$DP$6,$DP$7,$DP$8,$DQ$3)/100</f>
        <v>0.97</v>
      </c>
      <c r="DX45" s="365">
        <f>_xll.LVCELL($DP$3,DX$3,$DP45,$DQ$2,$DP$4,$DP$5,$DP$6,$DP$7,$DP$8,$DQ$3)/100</f>
        <v>0.97</v>
      </c>
      <c r="DY45" s="365">
        <f>_xll.LVCELL($DP$3,DY$3,$DP45,$DQ$2,$DP$4,$DP$5,$DP$6,$DP$7,$DP$8,$DQ$3)/100</f>
        <v>0.97</v>
      </c>
      <c r="DZ45" s="365">
        <f>_xll.LVCELL($DP$3,DZ$3,$DP45,$DQ$2,$DP$4,$DP$5,$DP$6,$DP$7,$DP$8,$DQ$3)/100</f>
        <v>0.97</v>
      </c>
      <c r="EA45" s="365">
        <f>_xll.LVCELL($DP$3,EA$3,$DP45,$DQ$2,$DP$4,$DP$5,$DP$6,$DP$7,$DP$8,$DQ$3)/100</f>
        <v>0.97</v>
      </c>
      <c r="EB45" s="365">
        <f>_xll.LVCELL($DP$3,EB$3,$DP45,$DQ$2,$DP$4,$DP$5,$DP$6,$DP$7,$DP$8,$DQ$3)/100</f>
        <v>0.97</v>
      </c>
      <c r="EC45" s="365">
        <f>_xll.LVCELL($DP$3,EC$3,$DP45,$DQ$2,$DP$4,$DP$5,$DP$6,$DP$7,$DP$8,$DQ$3)/100</f>
        <v>0.97</v>
      </c>
      <c r="ED45" s="582">
        <f t="shared" si="45"/>
        <v>11.64</v>
      </c>
      <c r="EF45" s="64" t="s">
        <v>442</v>
      </c>
      <c r="EG45" s="64" t="s">
        <v>266</v>
      </c>
      <c r="EH45" s="359" t="s">
        <v>548</v>
      </c>
      <c r="EI45" s="366" t="e">
        <f ca="1">_xll.LVCELL($EG$3,EI$3,$DP45,$DQ$2,$DP$4,$DP$5,$DP$6,$DP$7,$DP$8,$DQ$3)-CW45</f>
        <v>#NAME?</v>
      </c>
      <c r="EJ45" s="367" t="e">
        <f ca="1">_xll.LVCELL($EG$3,EJ$3,$DP45,$DQ$2,$DP$4,$DP$5,$DP$6,$DP$7,$DP$8,$DQ$3)-CX45</f>
        <v>#NAME?</v>
      </c>
      <c r="EK45" s="368" t="e">
        <f ca="1">_xll.LVCELL($EG$3,EK$3,$DP45,$DQ$2,$DP$4,$DP$5,$DP$6,$DP$7,$DP$8,$DQ$3)-CY45</f>
        <v>#NAME?</v>
      </c>
      <c r="EL45" s="367" t="e">
        <f ca="1">_xll.LVCELL($EG$3,EL$3,$DP45,$DQ$2,$DP$4,$DP$5,$DP$6,$DP$7,$DP$8,$DQ$3)-CZ45</f>
        <v>#NAME?</v>
      </c>
      <c r="EM45" s="368" t="e">
        <f ca="1">_xll.LVCELL($EG$3,EM$3,$DP45,$DQ$2,$DP$4,$DP$5,$DP$6,$DP$7,$DP$8,$DQ$3)-DA45</f>
        <v>#NAME?</v>
      </c>
      <c r="EN45" s="367" t="e">
        <f ca="1">_xll.LVCELL($EG$3,EN$3,$DP45,$DQ$2,$DP$4,$DP$5,$DP$6,$DP$7,$DP$8,$DQ$3)-DB45</f>
        <v>#NAME?</v>
      </c>
      <c r="EO45" s="368" t="e">
        <f ca="1">_xll.LVCELL($EG$3,EO$3,$DP45,$DQ$2,$DP$4,$DP$5,$DP$6,$DP$7,$DP$8,$DQ$3)-DC45</f>
        <v>#NAME?</v>
      </c>
      <c r="EP45" s="367" t="e">
        <f ca="1">_xll.LVCELL($EG$3,EP$3,$DP45,$DQ$2,$DP$4,$DP$5,$DP$6,$DP$7,$DP$8,$DQ$3)-DD45</f>
        <v>#NAME?</v>
      </c>
      <c r="EQ45" s="368" t="e">
        <f ca="1">_xll.LVCELL($EG$3,EQ$3,$DP45,$DQ$2,$DP$4,$DP$5,$DP$6,$DP$7,$DP$8,$DQ$3)-DE45</f>
        <v>#NAME?</v>
      </c>
      <c r="ER45" s="367" t="e">
        <f ca="1">_xll.LVCELL($EG$3,ER$3,$DP45,$DQ$2,$DP$4,$DP$5,$DP$6,$DP$7,$DP$8,$DQ$3)-DF45</f>
        <v>#NAME?</v>
      </c>
      <c r="ES45" s="368" t="e">
        <f ca="1">_xll.LVCELL($EG$3,ES$3,$DP45,$DQ$2,$DP$4,$DP$5,$DP$6,$DP$7,$DP$8,$DQ$3)-DG45</f>
        <v>#NAME?</v>
      </c>
      <c r="ET45" s="367" t="e">
        <f ca="1">_xll.LVCELL($EG$3,ET$3,$DP45,$DQ$2,$DP$4,$DP$5,$DP$6,$DP$7,$DP$8,$DQ$3)-DH45</f>
        <v>#NAME?</v>
      </c>
      <c r="EW45" s="64" t="s">
        <v>442</v>
      </c>
      <c r="EX45" s="64" t="s">
        <v>266</v>
      </c>
      <c r="EY45" s="359" t="s">
        <v>548</v>
      </c>
      <c r="EZ45" s="364">
        <f>_xll.LVCELL($EX$3,EZ$3,$DP45,$DQ$2,$DP$4,$DP$5,$DP$6,$DP$7,$DP$8,$DQ$3)</f>
        <v>8000</v>
      </c>
      <c r="FA45" s="364">
        <f>_xll.LVCELL($EX$3,FA$3,$DP45,$DQ$2,$DP$4,$DP$5,$DP$6,$DP$7,$DP$8,$DQ$3)</f>
        <v>8000</v>
      </c>
      <c r="FB45" s="364">
        <f>_xll.LVCELL($EX$3,FB$3,$DP45,$DQ$2,$DP$4,$DP$5,$DP$6,$DP$7,$DP$8,$DQ$3)</f>
        <v>8000</v>
      </c>
      <c r="FC45" s="364">
        <f>_xll.LVCELL($EX$3,FC$3,$DP45,$DQ$2,$DP$4,$DP$5,$DP$6,$DP$7,$DP$8,$DQ$3)</f>
        <v>8000</v>
      </c>
      <c r="FD45" s="364">
        <f>_xll.LVCELL($EX$3,FD$3,$DP45,$DQ$2,$DP$4,$DP$5,$DP$6,$DP$7,$DP$8,$DQ$3)</f>
        <v>8000</v>
      </c>
      <c r="FE45" s="364">
        <f>_xll.LVCELL($EX$3,FE$3,$DP45,$DQ$2,$DP$4,$DP$5,$DP$6,$DP$7,$DP$8,$DQ$3)</f>
        <v>8000</v>
      </c>
      <c r="FF45" s="364">
        <f>_xll.LVCELL($EX$3,FF$3,$DP45,$DQ$2,$DP$4,$DP$5,$DP$6,$DP$7,$DP$8,$DQ$3)</f>
        <v>8000</v>
      </c>
      <c r="FG45" s="364">
        <f>_xll.LVCELL($EX$3,FG$3,$DP45,$DQ$2,$DP$4,$DP$5,$DP$6,$DP$7,$DP$8,$DQ$3)</f>
        <v>8000</v>
      </c>
      <c r="FH45" s="364">
        <f>_xll.LVCELL($EX$3,FH$3,$DP45,$DQ$2,$DP$4,$DP$5,$DP$6,$DP$7,$DP$8,$DQ$3)</f>
        <v>8000</v>
      </c>
      <c r="FI45" s="364">
        <f>_xll.LVCELL($EX$3,FI$3,$DP45,$DQ$2,$DP$4,$DP$5,$DP$6,$DP$7,$DP$8,$DQ$3)</f>
        <v>8000</v>
      </c>
      <c r="FJ45" s="364">
        <f>_xll.LVCELL($EX$3,FJ$3,$DP45,$DQ$2,$DP$4,$DP$5,$DP$6,$DP$7,$DP$8,$DQ$3)</f>
        <v>8000</v>
      </c>
      <c r="FK45" s="276">
        <f>_xll.LVCELL($EX$3,FK$3,$DP45,$DQ$2,$DP$4,$DP$5,$DP$6,$DP$7,$DP$8,$DQ$3)</f>
        <v>8000</v>
      </c>
      <c r="FN45" s="64" t="s">
        <v>442</v>
      </c>
      <c r="FO45" s="64" t="s">
        <v>266</v>
      </c>
      <c r="FP45" s="359" t="s">
        <v>548</v>
      </c>
      <c r="FQ45" s="364">
        <f>_xll.LVCELL($FO$3,FQ$3,$DP45,$DQ$2,$DP$4,$DP$5,$DP$6,$DP$7,$DP$8,$DQ$3)</f>
        <v>4</v>
      </c>
      <c r="FR45" s="364">
        <f>_xll.LVCELL($FO$3,FR$3,$DP45,$DQ$2,$DP$4,$DP$5,$DP$6,$DP$7,$DP$8,$DQ$3)</f>
        <v>4</v>
      </c>
      <c r="FS45" s="364">
        <f>_xll.LVCELL($FO$3,FS$3,$DP45,$DQ$2,$DP$4,$DP$5,$DP$6,$DP$7,$DP$8,$DQ$3)</f>
        <v>4</v>
      </c>
      <c r="FT45" s="364">
        <f>_xll.LVCELL($FO$3,FT$3,$DP45,$DQ$2,$DP$4,$DP$5,$DP$6,$DP$7,$DP$8,$DQ$3)</f>
        <v>4</v>
      </c>
      <c r="FU45" s="364">
        <f>_xll.LVCELL($FO$3,FU$3,$DP45,$DQ$2,$DP$4,$DP$5,$DP$6,$DP$7,$DP$8,$DQ$3)</f>
        <v>4</v>
      </c>
      <c r="FV45" s="364">
        <f>_xll.LVCELL($FO$3,FV$3,$DP45,$DQ$2,$DP$4,$DP$5,$DP$6,$DP$7,$DP$8,$DQ$3)</f>
        <v>4</v>
      </c>
      <c r="FW45" s="364">
        <f>_xll.LVCELL($FO$3,FW$3,$DP45,$DQ$2,$DP$4,$DP$5,$DP$6,$DP$7,$DP$8,$DQ$3)</f>
        <v>4</v>
      </c>
      <c r="FX45" s="364">
        <f>_xll.LVCELL($FO$3,FX$3,$DP45,$DQ$2,$DP$4,$DP$5,$DP$6,$DP$7,$DP$8,$DQ$3)</f>
        <v>4</v>
      </c>
      <c r="FY45" s="364">
        <f>_xll.LVCELL($FO$3,FY$3,$DP45,$DQ$2,$DP$4,$DP$5,$DP$6,$DP$7,$DP$8,$DQ$3)</f>
        <v>4</v>
      </c>
      <c r="FZ45" s="364">
        <f>_xll.LVCELL($FO$3,FZ$3,$DP45,$DQ$2,$DP$4,$DP$5,$DP$6,$DP$7,$DP$8,$DQ$3)</f>
        <v>4</v>
      </c>
      <c r="GA45" s="364">
        <f>_xll.LVCELL($FO$3,GA$3,$DP45,$DQ$2,$DP$4,$DP$5,$DP$6,$DP$7,$DP$8,$DQ$3)</f>
        <v>4</v>
      </c>
      <c r="GB45" s="172">
        <f>_xll.LVCELL($FO$3,GB$3,$DP45,$DQ$2,$DP$4,$DP$5,$DP$6,$DP$7,$DP$8,$DQ$3)</f>
        <v>4</v>
      </c>
    </row>
    <row r="46" spans="1:184" ht="15">
      <c r="B46" s="64" t="s">
        <v>450</v>
      </c>
      <c r="C46" s="108" t="s">
        <v>267</v>
      </c>
      <c r="D46" s="359" t="s">
        <v>280</v>
      </c>
      <c r="E46" s="357">
        <f>_xll.LVCELL($C$3,Q$3,$C46,$D$2,$C$4,$C$5,$C$6,$C$7,$C$8,$D$3)/1000</f>
        <v>12</v>
      </c>
      <c r="F46" s="103">
        <f>'distribution mensuelle Prod B22'!$AL$36</f>
        <v>2427105.0058476902</v>
      </c>
      <c r="G46" s="103">
        <f>'distribution mensuelle Prod B22'!$AL$37</f>
        <v>1985014.1182448205</v>
      </c>
      <c r="H46" s="103">
        <f>'distribution mensuelle Prod B22'!$AL$38</f>
        <v>1981875.1168762827</v>
      </c>
      <c r="I46" s="103">
        <f>'distribution mensuelle Prod B22'!$AL$39</f>
        <v>1572532.4371737198</v>
      </c>
      <c r="J46" s="103">
        <f>'distribution mensuelle Prod B22'!$AL$40</f>
        <v>1324219.316939323</v>
      </c>
      <c r="K46" s="103">
        <f>'distribution mensuelle Prod B22'!$AL$41</f>
        <v>994058.2760297152</v>
      </c>
      <c r="L46" s="103">
        <f>'distribution mensuelle Prod B22'!$AL$42</f>
        <v>976557.14288814203</v>
      </c>
      <c r="M46" s="103">
        <f>'distribution mensuelle Prod B22'!$AL$43</f>
        <v>901220.0465573353</v>
      </c>
      <c r="N46" s="103">
        <f>'distribution mensuelle Prod B22'!$AL$44</f>
        <v>1331700.7357883547</v>
      </c>
      <c r="O46" s="103">
        <f>'distribution mensuelle Prod B22'!$AL$45</f>
        <v>1963349.6013851012</v>
      </c>
      <c r="P46" s="103">
        <f>'distribution mensuelle Prod B22'!$AL$46</f>
        <v>1979496.1807058142</v>
      </c>
      <c r="Q46" s="103">
        <f>'distribution mensuelle Prod B22'!$AL$47</f>
        <v>2501207.0678124167</v>
      </c>
      <c r="R46" s="67">
        <f t="shared" si="60"/>
        <v>19938335.046248715</v>
      </c>
      <c r="S46" s="358"/>
      <c r="W46" s="113" t="str">
        <f t="shared" si="61"/>
        <v>E5396</v>
      </c>
      <c r="X46" s="359" t="str">
        <f t="shared" si="62"/>
        <v>Les Eparmonts</v>
      </c>
      <c r="Y46" s="299" cm="1">
        <f t="array" ref="Y46">_xll.LVCELL($D$4,F$1,$B46,$D$2,$C$4,$C$5,$C$6,$C$7,$C$8,$D$3)*1000</f>
        <v>93.140270000000001</v>
      </c>
      <c r="Z46" s="299" cm="1">
        <f t="array" ref="Z46">_xll.LVCELL($D$4,G$1,$B46,$D$2,$C$4,$C$5,$C$6,$C$7,$C$8,$D$3)*1000</f>
        <v>93.139530999999991</v>
      </c>
      <c r="AA46" s="299" cm="1">
        <f t="array" ref="AA46">_xll.LVCELL($D$4,H$1,$B46,$D$2,$C$4,$C$5,$C$6,$C$7,$C$8,$D$3)*1000</f>
        <v>93.141871165644162</v>
      </c>
      <c r="AB46" s="299" cm="1">
        <f t="array" ref="AB46">_xll.LVCELL($D$4,I$1,$B46,$D$2,$C$4,$C$5,$C$6,$C$7,$C$8,$D$3)*1000</f>
        <v>93.141014411619338</v>
      </c>
      <c r="AC46" s="299" cm="1">
        <f t="array" ref="AC46">_xll.LVCELL($D$4,J$1,$B46,$D$2,$C$4,$C$5,$C$6,$C$7,$C$8,$D$3)*1000</f>
        <v>93.138595168941961</v>
      </c>
      <c r="AD46" s="299" cm="1">
        <f t="array" ref="AD46">_xll.LVCELL($D$4,K$1,$B46,$D$2,$C$4,$C$5,$C$6,$C$7,$C$8,$D$3)*1000</f>
        <v>93.146608660151003</v>
      </c>
      <c r="AE46" s="299" cm="1">
        <f t="array" ref="AE46">_xll.LVCELL($D$4,L$1,$B46,$D$2,$C$4,$C$5,$C$6,$C$7,$C$8,$D$3)*1000</f>
        <v>93.137785166649337</v>
      </c>
      <c r="AF46" s="299">
        <f>$AC$46</f>
        <v>93.138595168941961</v>
      </c>
      <c r="AG46" s="299">
        <f t="shared" si="53"/>
        <v>93.138595168941961</v>
      </c>
      <c r="AH46" s="299">
        <f t="shared" si="53"/>
        <v>93.138595168941961</v>
      </c>
      <c r="AI46" s="299">
        <f t="shared" si="54"/>
        <v>95.280782857827631</v>
      </c>
      <c r="AJ46" s="412">
        <f t="shared" si="55"/>
        <v>95.280782857827631</v>
      </c>
      <c r="AK46" s="153"/>
      <c r="AL46" s="134">
        <f t="shared" si="63"/>
        <v>2.3E-2</v>
      </c>
      <c r="AM46" s="134"/>
      <c r="AN46" s="134"/>
      <c r="AO46" s="134"/>
      <c r="AP46" s="113" t="str">
        <f t="shared" si="38"/>
        <v>E5396</v>
      </c>
      <c r="AQ46" s="567" t="str">
        <f t="shared" si="39"/>
        <v>Les Eparmonts</v>
      </c>
      <c r="AR46" s="377"/>
      <c r="AS46" s="377"/>
      <c r="AT46" s="377"/>
      <c r="AU46" s="377"/>
      <c r="AV46" s="377"/>
      <c r="AW46" s="377"/>
      <c r="AX46" s="377"/>
      <c r="AY46" s="377"/>
      <c r="AZ46" s="377"/>
      <c r="BA46" s="377"/>
      <c r="BB46" s="377"/>
      <c r="BC46" s="378"/>
      <c r="BD46" s="552"/>
      <c r="BE46" s="134"/>
      <c r="BF46" s="134"/>
      <c r="BG46" s="134"/>
      <c r="BH46" s="134"/>
      <c r="BI46" s="113" t="str">
        <f t="shared" si="40"/>
        <v>E5396</v>
      </c>
      <c r="BJ46" s="567" t="str">
        <f t="shared" si="41"/>
        <v>Les Eparmonts</v>
      </c>
      <c r="BK46" s="299">
        <f t="shared" si="49"/>
        <v>95.280782857827631</v>
      </c>
      <c r="BL46" s="299">
        <f t="shared" si="86"/>
        <v>95.280782857827631</v>
      </c>
      <c r="BM46" s="299">
        <f t="shared" si="86"/>
        <v>95.280782857827631</v>
      </c>
      <c r="BN46" s="299">
        <f t="shared" si="86"/>
        <v>95.280782857827631</v>
      </c>
      <c r="BO46" s="299">
        <f t="shared" si="86"/>
        <v>95.280782857827631</v>
      </c>
      <c r="BP46" s="299">
        <f t="shared" si="86"/>
        <v>95.280782857827631</v>
      </c>
      <c r="BQ46" s="299">
        <f t="shared" si="86"/>
        <v>95.280782857827631</v>
      </c>
      <c r="BR46" s="299">
        <f t="shared" si="86"/>
        <v>95.280782857827631</v>
      </c>
      <c r="BS46" s="299">
        <f t="shared" si="86"/>
        <v>95.280782857827631</v>
      </c>
      <c r="BT46" s="299">
        <f t="shared" si="86"/>
        <v>95.280782857827631</v>
      </c>
      <c r="BU46" s="299">
        <f t="shared" si="57"/>
        <v>97.472240863557673</v>
      </c>
      <c r="BV46" s="370">
        <f t="shared" si="58"/>
        <v>97.472240863557673</v>
      </c>
      <c r="BW46" s="552"/>
      <c r="BX46" s="134"/>
      <c r="BY46" s="134"/>
      <c r="BZ46" s="134"/>
      <c r="CA46" s="134"/>
      <c r="CB46" s="113" t="str">
        <f t="shared" si="64"/>
        <v>E5396</v>
      </c>
      <c r="CC46" s="373" t="str">
        <f t="shared" si="65"/>
        <v>Les Eparmonts</v>
      </c>
      <c r="CD46" s="299">
        <f t="shared" si="43"/>
        <v>95.280782857827631</v>
      </c>
      <c r="CE46" s="299">
        <f t="shared" si="7"/>
        <v>95.280782857827631</v>
      </c>
      <c r="CF46" s="299">
        <f t="shared" si="8"/>
        <v>95.280782857827631</v>
      </c>
      <c r="CG46" s="299">
        <f t="shared" si="9"/>
        <v>95.280782857827631</v>
      </c>
      <c r="CH46" s="299">
        <f t="shared" si="10"/>
        <v>95.280782857827631</v>
      </c>
      <c r="CI46" s="299">
        <f t="shared" si="11"/>
        <v>95.280782857827631</v>
      </c>
      <c r="CJ46" s="299">
        <f t="shared" si="12"/>
        <v>95.280782857827631</v>
      </c>
      <c r="CK46" s="299">
        <f t="shared" si="13"/>
        <v>95.280782857827631</v>
      </c>
      <c r="CL46" s="299">
        <f t="shared" si="14"/>
        <v>95.280782857827631</v>
      </c>
      <c r="CM46" s="299">
        <f t="shared" si="15"/>
        <v>95.280782857827631</v>
      </c>
      <c r="CN46" s="299">
        <f t="shared" si="16"/>
        <v>97.472240863557673</v>
      </c>
      <c r="CO46" s="370">
        <f t="shared" si="17"/>
        <v>97.472240863557673</v>
      </c>
      <c r="CP46" s="552"/>
      <c r="CQ46" s="134">
        <f t="shared" si="66"/>
        <v>4.0000000000000001E-3</v>
      </c>
      <c r="CU46" s="113" t="str">
        <f t="shared" si="67"/>
        <v>E5396</v>
      </c>
      <c r="CV46" s="359" t="str">
        <f t="shared" si="68"/>
        <v>Les Eparmonts</v>
      </c>
      <c r="CW46" s="300">
        <f t="shared" si="69"/>
        <v>231256.46503532023</v>
      </c>
      <c r="CX46" s="298">
        <f t="shared" si="70"/>
        <v>189133.69917020694</v>
      </c>
      <c r="CY46" s="298">
        <f t="shared" si="71"/>
        <v>188834.61266242087</v>
      </c>
      <c r="CZ46" s="298">
        <f t="shared" si="72"/>
        <v>149832.12168323967</v>
      </c>
      <c r="DA46" s="298">
        <f t="shared" si="73"/>
        <v>126172.65319343646</v>
      </c>
      <c r="DB46" s="298">
        <f t="shared" si="74"/>
        <v>94714.650746413783</v>
      </c>
      <c r="DC46" s="298">
        <f t="shared" si="75"/>
        <v>93047.12907978562</v>
      </c>
      <c r="DD46" s="298">
        <f t="shared" si="76"/>
        <v>85868.951563150782</v>
      </c>
      <c r="DE46" s="298">
        <f t="shared" si="77"/>
        <v>126885.48863825951</v>
      </c>
      <c r="DF46" s="298">
        <f t="shared" si="78"/>
        <v>187069.48704357629</v>
      </c>
      <c r="DG46" s="371">
        <f t="shared" si="79"/>
        <v>192945.92851424959</v>
      </c>
      <c r="DH46" s="372">
        <f t="shared" si="80"/>
        <v>243798.25776344471</v>
      </c>
      <c r="DI46" s="67">
        <f t="shared" si="81"/>
        <v>1909559.4450935044</v>
      </c>
      <c r="DJ46" s="364">
        <f>_xll.LVCELL($E$1,Q$2,$C46,$D$2,$C$4,$C$5,$C$6,$C$7,$C$8,$D$3)+_xll.LVCELL($E$2,Q$2,$C46,$D$2,$C$4,$C$5,$C$6,$C$7,$C$8,$D$3)</f>
        <v>1909559.347670496</v>
      </c>
      <c r="DK46" s="82">
        <f t="shared" si="44"/>
        <v>9.7423008410260081E-2</v>
      </c>
      <c r="DM46" s="518">
        <f t="shared" si="82"/>
        <v>95.773264952370099</v>
      </c>
      <c r="DO46" s="64" t="str">
        <f t="shared" si="83"/>
        <v>E5396</v>
      </c>
      <c r="DP46" s="64" t="str">
        <f t="shared" si="84"/>
        <v>BEV7</v>
      </c>
      <c r="DQ46" s="359" t="str">
        <f t="shared" si="85"/>
        <v>Les Eparmonts</v>
      </c>
      <c r="DR46" s="365">
        <f>_xll.LVCELL($DP$3,DR$3,$DP46,$DQ$2,$DP$4,$DP$5,$DP$6,$DP$7,$DP$8,$DQ$3)/100</f>
        <v>0.97</v>
      </c>
      <c r="DS46" s="365">
        <f>_xll.LVCELL($DP$3,DS$3,$DP46,$DQ$2,$DP$4,$DP$5,$DP$6,$DP$7,$DP$8,$DQ$3)/100</f>
        <v>0.97</v>
      </c>
      <c r="DT46" s="365">
        <f>_xll.LVCELL($DP$3,DT$3,$DP46,$DQ$2,$DP$4,$DP$5,$DP$6,$DP$7,$DP$8,$DQ$3)/100</f>
        <v>0.97</v>
      </c>
      <c r="DU46" s="365">
        <f>_xll.LVCELL($DP$3,DU$3,$DP46,$DQ$2,$DP$4,$DP$5,$DP$6,$DP$7,$DP$8,$DQ$3)/100</f>
        <v>0.97</v>
      </c>
      <c r="DV46" s="365">
        <f>_xll.LVCELL($DP$3,DV$3,$DP46,$DQ$2,$DP$4,$DP$5,$DP$6,$DP$7,$DP$8,$DQ$3)/100</f>
        <v>0.97</v>
      </c>
      <c r="DW46" s="365">
        <f>_xll.LVCELL($DP$3,DW$3,$DP46,$DQ$2,$DP$4,$DP$5,$DP$6,$DP$7,$DP$8,$DQ$3)/100</f>
        <v>0.97</v>
      </c>
      <c r="DX46" s="365">
        <f>_xll.LVCELL($DP$3,DX$3,$DP46,$DQ$2,$DP$4,$DP$5,$DP$6,$DP$7,$DP$8,$DQ$3)/100</f>
        <v>0.97</v>
      </c>
      <c r="DY46" s="365">
        <f>_xll.LVCELL($DP$3,DY$3,$DP46,$DQ$2,$DP$4,$DP$5,$DP$6,$DP$7,$DP$8,$DQ$3)/100</f>
        <v>0.97</v>
      </c>
      <c r="DZ46" s="365">
        <f>_xll.LVCELL($DP$3,DZ$3,$DP46,$DQ$2,$DP$4,$DP$5,$DP$6,$DP$7,$DP$8,$DQ$3)/100</f>
        <v>0.97</v>
      </c>
      <c r="EA46" s="365">
        <f>_xll.LVCELL($DP$3,EA$3,$DP46,$DQ$2,$DP$4,$DP$5,$DP$6,$DP$7,$DP$8,$DQ$3)/100</f>
        <v>0.97</v>
      </c>
      <c r="EB46" s="365">
        <f>_xll.LVCELL($DP$3,EB$3,$DP46,$DQ$2,$DP$4,$DP$5,$DP$6,$DP$7,$DP$8,$DQ$3)/100</f>
        <v>0.97</v>
      </c>
      <c r="EC46" s="365">
        <f>_xll.LVCELL($DP$3,EC$3,$DP46,$DQ$2,$DP$4,$DP$5,$DP$6,$DP$7,$DP$8,$DQ$3)/100</f>
        <v>0.97</v>
      </c>
      <c r="ED46" s="582">
        <f t="shared" si="45"/>
        <v>11.64</v>
      </c>
      <c r="EF46" s="64" t="s">
        <v>450</v>
      </c>
      <c r="EG46" s="64" t="s">
        <v>267</v>
      </c>
      <c r="EH46" s="359" t="s">
        <v>280</v>
      </c>
      <c r="EI46" s="366" t="e">
        <f ca="1">_xll.LVCELL($EG$3,EI$3,$DP46,$DQ$2,$DP$4,$DP$5,$DP$6,$DP$7,$DP$8,$DQ$3)-CW46</f>
        <v>#NAME?</v>
      </c>
      <c r="EJ46" s="367" t="e">
        <f ca="1">_xll.LVCELL($EG$3,EJ$3,$DP46,$DQ$2,$DP$4,$DP$5,$DP$6,$DP$7,$DP$8,$DQ$3)-CX46</f>
        <v>#NAME?</v>
      </c>
      <c r="EK46" s="368" t="e">
        <f ca="1">_xll.LVCELL($EG$3,EK$3,$DP46,$DQ$2,$DP$4,$DP$5,$DP$6,$DP$7,$DP$8,$DQ$3)-CY46</f>
        <v>#NAME?</v>
      </c>
      <c r="EL46" s="367" t="e">
        <f ca="1">_xll.LVCELL($EG$3,EL$3,$DP46,$DQ$2,$DP$4,$DP$5,$DP$6,$DP$7,$DP$8,$DQ$3)-CZ46</f>
        <v>#NAME?</v>
      </c>
      <c r="EM46" s="368" t="e">
        <f ca="1">_xll.LVCELL($EG$3,EM$3,$DP46,$DQ$2,$DP$4,$DP$5,$DP$6,$DP$7,$DP$8,$DQ$3)-DA46</f>
        <v>#NAME?</v>
      </c>
      <c r="EN46" s="367" t="e">
        <f ca="1">_xll.LVCELL($EG$3,EN$3,$DP46,$DQ$2,$DP$4,$DP$5,$DP$6,$DP$7,$DP$8,$DQ$3)-DB46</f>
        <v>#NAME?</v>
      </c>
      <c r="EO46" s="368" t="e">
        <f ca="1">_xll.LVCELL($EG$3,EO$3,$DP46,$DQ$2,$DP$4,$DP$5,$DP$6,$DP$7,$DP$8,$DQ$3)-DC46</f>
        <v>#NAME?</v>
      </c>
      <c r="EP46" s="367" t="e">
        <f ca="1">_xll.LVCELL($EG$3,EP$3,$DP46,$DQ$2,$DP$4,$DP$5,$DP$6,$DP$7,$DP$8,$DQ$3)-DD46</f>
        <v>#NAME?</v>
      </c>
      <c r="EQ46" s="368" t="e">
        <f ca="1">_xll.LVCELL($EG$3,EQ$3,$DP46,$DQ$2,$DP$4,$DP$5,$DP$6,$DP$7,$DP$8,$DQ$3)-DE46</f>
        <v>#NAME?</v>
      </c>
      <c r="ER46" s="367" t="e">
        <f ca="1">_xll.LVCELL($EG$3,ER$3,$DP46,$DQ$2,$DP$4,$DP$5,$DP$6,$DP$7,$DP$8,$DQ$3)-DF46</f>
        <v>#NAME?</v>
      </c>
      <c r="ES46" s="368" t="e">
        <f ca="1">_xll.LVCELL($EG$3,ES$3,$DP46,$DQ$2,$DP$4,$DP$5,$DP$6,$DP$7,$DP$8,$DQ$3)-DG46</f>
        <v>#NAME?</v>
      </c>
      <c r="ET46" s="367" t="e">
        <f ca="1">_xll.LVCELL($EG$3,ET$3,$DP46,$DQ$2,$DP$4,$DP$5,$DP$6,$DP$7,$DP$8,$DQ$3)-DH46</f>
        <v>#NAME?</v>
      </c>
      <c r="EW46" s="64" t="s">
        <v>450</v>
      </c>
      <c r="EX46" s="64" t="s">
        <v>267</v>
      </c>
      <c r="EY46" s="359" t="s">
        <v>280</v>
      </c>
      <c r="EZ46" s="364">
        <f>_xll.LVCELL($EX$3,EZ$3,$DP46,$DQ$2,$DP$4,$DP$5,$DP$6,$DP$7,$DP$8,$DQ$3)</f>
        <v>12000</v>
      </c>
      <c r="FA46" s="364">
        <f>_xll.LVCELL($EX$3,FA$3,$DP46,$DQ$2,$DP$4,$DP$5,$DP$6,$DP$7,$DP$8,$DQ$3)</f>
        <v>12000</v>
      </c>
      <c r="FB46" s="364">
        <f>_xll.LVCELL($EX$3,FB$3,$DP46,$DQ$2,$DP$4,$DP$5,$DP$6,$DP$7,$DP$8,$DQ$3)</f>
        <v>12000</v>
      </c>
      <c r="FC46" s="364">
        <f>_xll.LVCELL($EX$3,FC$3,$DP46,$DQ$2,$DP$4,$DP$5,$DP$6,$DP$7,$DP$8,$DQ$3)</f>
        <v>12000</v>
      </c>
      <c r="FD46" s="364">
        <f>_xll.LVCELL($EX$3,FD$3,$DP46,$DQ$2,$DP$4,$DP$5,$DP$6,$DP$7,$DP$8,$DQ$3)</f>
        <v>12000</v>
      </c>
      <c r="FE46" s="364">
        <f>_xll.LVCELL($EX$3,FE$3,$DP46,$DQ$2,$DP$4,$DP$5,$DP$6,$DP$7,$DP$8,$DQ$3)</f>
        <v>12000</v>
      </c>
      <c r="FF46" s="364">
        <f>_xll.LVCELL($EX$3,FF$3,$DP46,$DQ$2,$DP$4,$DP$5,$DP$6,$DP$7,$DP$8,$DQ$3)</f>
        <v>12000</v>
      </c>
      <c r="FG46" s="364">
        <f>_xll.LVCELL($EX$3,FG$3,$DP46,$DQ$2,$DP$4,$DP$5,$DP$6,$DP$7,$DP$8,$DQ$3)</f>
        <v>12000</v>
      </c>
      <c r="FH46" s="364">
        <f>_xll.LVCELL($EX$3,FH$3,$DP46,$DQ$2,$DP$4,$DP$5,$DP$6,$DP$7,$DP$8,$DQ$3)</f>
        <v>12000</v>
      </c>
      <c r="FI46" s="364">
        <f>_xll.LVCELL($EX$3,FI$3,$DP46,$DQ$2,$DP$4,$DP$5,$DP$6,$DP$7,$DP$8,$DQ$3)</f>
        <v>12000</v>
      </c>
      <c r="FJ46" s="364">
        <f>_xll.LVCELL($EX$3,FJ$3,$DP46,$DQ$2,$DP$4,$DP$5,$DP$6,$DP$7,$DP$8,$DQ$3)</f>
        <v>12000</v>
      </c>
      <c r="FK46" s="276">
        <f>_xll.LVCELL($EX$3,FK$3,$DP46,$DQ$2,$DP$4,$DP$5,$DP$6,$DP$7,$DP$8,$DQ$3)</f>
        <v>12000</v>
      </c>
      <c r="FN46" s="64" t="s">
        <v>450</v>
      </c>
      <c r="FO46" s="64" t="s">
        <v>267</v>
      </c>
      <c r="FP46" s="359" t="s">
        <v>280</v>
      </c>
      <c r="FQ46" s="364">
        <f>_xll.LVCELL($FO$3,FQ$3,$DP46,$DQ$2,$DP$4,$DP$5,$DP$6,$DP$7,$DP$8,$DQ$3)</f>
        <v>8</v>
      </c>
      <c r="FR46" s="364">
        <f>_xll.LVCELL($FO$3,FR$3,$DP46,$DQ$2,$DP$4,$DP$5,$DP$6,$DP$7,$DP$8,$DQ$3)</f>
        <v>8</v>
      </c>
      <c r="FS46" s="364">
        <f>_xll.LVCELL($FO$3,FS$3,$DP46,$DQ$2,$DP$4,$DP$5,$DP$6,$DP$7,$DP$8,$DQ$3)</f>
        <v>8</v>
      </c>
      <c r="FT46" s="364">
        <f>_xll.LVCELL($FO$3,FT$3,$DP46,$DQ$2,$DP$4,$DP$5,$DP$6,$DP$7,$DP$8,$DQ$3)</f>
        <v>8</v>
      </c>
      <c r="FU46" s="364">
        <f>_xll.LVCELL($FO$3,FU$3,$DP46,$DQ$2,$DP$4,$DP$5,$DP$6,$DP$7,$DP$8,$DQ$3)</f>
        <v>8</v>
      </c>
      <c r="FV46" s="364">
        <f>_xll.LVCELL($FO$3,FV$3,$DP46,$DQ$2,$DP$4,$DP$5,$DP$6,$DP$7,$DP$8,$DQ$3)</f>
        <v>8</v>
      </c>
      <c r="FW46" s="364">
        <f>_xll.LVCELL($FO$3,FW$3,$DP46,$DQ$2,$DP$4,$DP$5,$DP$6,$DP$7,$DP$8,$DQ$3)</f>
        <v>8</v>
      </c>
      <c r="FX46" s="364">
        <f>_xll.LVCELL($FO$3,FX$3,$DP46,$DQ$2,$DP$4,$DP$5,$DP$6,$DP$7,$DP$8,$DQ$3)</f>
        <v>8</v>
      </c>
      <c r="FY46" s="364">
        <f>_xll.LVCELL($FO$3,FY$3,$DP46,$DQ$2,$DP$4,$DP$5,$DP$6,$DP$7,$DP$8,$DQ$3)</f>
        <v>8</v>
      </c>
      <c r="FZ46" s="364">
        <f>_xll.LVCELL($FO$3,FZ$3,$DP46,$DQ$2,$DP$4,$DP$5,$DP$6,$DP$7,$DP$8,$DQ$3)</f>
        <v>8</v>
      </c>
      <c r="GA46" s="364">
        <f>_xll.LVCELL($FO$3,GA$3,$DP46,$DQ$2,$DP$4,$DP$5,$DP$6,$DP$7,$DP$8,$DQ$3)</f>
        <v>8</v>
      </c>
      <c r="GB46" s="172">
        <f>_xll.LVCELL($FO$3,GB$3,$DP46,$DQ$2,$DP$4,$DP$5,$DP$6,$DP$7,$DP$8,$DQ$3)</f>
        <v>8</v>
      </c>
    </row>
    <row r="47" spans="1:184" ht="15">
      <c r="A47" s="286"/>
      <c r="B47" s="64" t="s">
        <v>454</v>
      </c>
      <c r="C47" s="108" t="s">
        <v>268</v>
      </c>
      <c r="D47" s="70" t="s">
        <v>343</v>
      </c>
      <c r="E47" s="357">
        <f>_xll.LVCELL($C$3,Q$3,$C47,$D$2,$C$4,$C$5,$C$6,$C$7,$C$8,$D$3)/1000</f>
        <v>18</v>
      </c>
      <c r="F47" s="103">
        <f>'distribution mensuelle Prod B22'!$AM$36</f>
        <v>2483458.0363410097</v>
      </c>
      <c r="G47" s="103">
        <f>'distribution mensuelle Prod B22'!$AM$37</f>
        <v>2104504.1624713531</v>
      </c>
      <c r="H47" s="103">
        <f>'distribution mensuelle Prod B22'!$AM$38</f>
        <v>2016693.2854604193</v>
      </c>
      <c r="I47" s="103">
        <f>'distribution mensuelle Prod B22'!$AM$39</f>
        <v>1692211.8728637218</v>
      </c>
      <c r="J47" s="103">
        <f>'distribution mensuelle Prod B22'!$AM$40</f>
        <v>1500729.0067843073</v>
      </c>
      <c r="K47" s="103">
        <f>'distribution mensuelle Prod B22'!$AM$41</f>
        <v>1166033.3001622364</v>
      </c>
      <c r="L47" s="103">
        <f>'distribution mensuelle Prod B22'!$AM$42</f>
        <v>1105240.4948895364</v>
      </c>
      <c r="M47" s="103">
        <f>'distribution mensuelle Prod B22'!$AM$43</f>
        <v>996749.22846864269</v>
      </c>
      <c r="N47" s="103">
        <f>'distribution mensuelle Prod B22'!$AM$44</f>
        <v>1331456.0300950704</v>
      </c>
      <c r="O47" s="103">
        <f>'distribution mensuelle Prod B22'!$AM$45</f>
        <v>1812326.0161559442</v>
      </c>
      <c r="P47" s="103">
        <f>'distribution mensuelle Prod B22'!$AM$46</f>
        <v>2045032.3079234182</v>
      </c>
      <c r="Q47" s="103">
        <f>'distribution mensuelle Prod B22'!$AM$47</f>
        <v>2490396.4312865315</v>
      </c>
      <c r="R47" s="67">
        <f t="shared" si="60"/>
        <v>20744830.172902193</v>
      </c>
      <c r="S47" s="358"/>
      <c r="T47" s="169"/>
      <c r="W47" s="113" t="str">
        <f t="shared" si="61"/>
        <v>E5398</v>
      </c>
      <c r="X47" s="359" t="str">
        <f t="shared" si="62"/>
        <v>Pannecé (BS)</v>
      </c>
      <c r="Y47" s="299" cm="1">
        <f t="array" ref="Y47">_xll.LVCELL($D$4,F$1,$B47,$D$2,$C$4,$C$5,$C$6,$C$7,$C$8,$D$3)*1000</f>
        <v>97.560726000000003</v>
      </c>
      <c r="Z47" s="299" cm="1">
        <f t="array" ref="Z47">_xll.LVCELL($D$4,G$1,$B47,$D$2,$C$4,$C$5,$C$6,$C$7,$C$8,$D$3)*1000</f>
        <v>97.527670999999998</v>
      </c>
      <c r="AA47" s="299" cm="1">
        <f t="array" ref="AA47">_xll.LVCELL($D$4,H$1,$B47,$D$2,$C$4,$C$5,$C$6,$C$7,$C$8,$D$3)*1000</f>
        <v>97.527468266274269</v>
      </c>
      <c r="AB47" s="299" cm="1">
        <f t="array" ref="AB47">_xll.LVCELL($D$4,I$1,$B47,$D$2,$C$4,$C$5,$C$6,$C$7,$C$8,$D$3)*1000</f>
        <v>97.534023385344639</v>
      </c>
      <c r="AC47" s="299" cm="1">
        <f t="array" ref="AC47">_xll.LVCELL($D$4,J$1,$B47,$D$2,$C$4,$C$5,$C$6,$C$7,$C$8,$D$3)*1000</f>
        <v>97.533461429171254</v>
      </c>
      <c r="AD47" s="299" cm="1">
        <f t="array" ref="AD47">_xll.LVCELL($D$4,K$1,$B47,$D$2,$C$4,$C$5,$C$6,$C$7,$C$8,$D$3)*1000</f>
        <v>97.525763174120257</v>
      </c>
      <c r="AE47" s="299" cm="1">
        <f t="array" ref="AE47">_xll.LVCELL($D$4,L$1,$B47,$D$2,$C$4,$C$5,$C$6,$C$7,$C$8,$D$3)*1000</f>
        <v>97.54544253562554</v>
      </c>
      <c r="AF47" s="299">
        <f>$AD$47</f>
        <v>97.525763174120257</v>
      </c>
      <c r="AG47" s="299">
        <f t="shared" si="53"/>
        <v>97.525763174120257</v>
      </c>
      <c r="AH47" s="299">
        <f t="shared" si="53"/>
        <v>97.525763174120257</v>
      </c>
      <c r="AI47" s="299">
        <f t="shared" si="54"/>
        <v>99.768855727125029</v>
      </c>
      <c r="AJ47" s="412">
        <f t="shared" si="55"/>
        <v>99.768855727125029</v>
      </c>
      <c r="AK47" s="153"/>
      <c r="AL47" s="134">
        <f t="shared" si="63"/>
        <v>2.3E-2</v>
      </c>
      <c r="AM47" s="134"/>
      <c r="AN47" s="134"/>
      <c r="AO47" s="134"/>
      <c r="AP47" s="113" t="str">
        <f t="shared" si="38"/>
        <v>E5398</v>
      </c>
      <c r="AQ47" s="567" t="str">
        <f t="shared" si="39"/>
        <v>Pannecé (BS)</v>
      </c>
      <c r="AR47" s="377"/>
      <c r="AS47" s="377"/>
      <c r="AT47" s="377"/>
      <c r="AU47" s="377"/>
      <c r="AV47" s="377"/>
      <c r="AW47" s="377"/>
      <c r="AX47" s="377"/>
      <c r="AY47" s="377"/>
      <c r="AZ47" s="377"/>
      <c r="BA47" s="377"/>
      <c r="BB47" s="377"/>
      <c r="BC47" s="378"/>
      <c r="BD47" s="552"/>
      <c r="BE47" s="134"/>
      <c r="BF47" s="134"/>
      <c r="BG47" s="134"/>
      <c r="BH47" s="134"/>
      <c r="BI47" s="113" t="str">
        <f t="shared" si="40"/>
        <v>E5398</v>
      </c>
      <c r="BJ47" s="567" t="str">
        <f t="shared" si="41"/>
        <v>Pannecé (BS)</v>
      </c>
      <c r="BK47" s="299">
        <f t="shared" si="49"/>
        <v>99.768855727125029</v>
      </c>
      <c r="BL47" s="299">
        <f t="shared" si="86"/>
        <v>99.768855727125029</v>
      </c>
      <c r="BM47" s="299">
        <f t="shared" si="86"/>
        <v>99.768855727125029</v>
      </c>
      <c r="BN47" s="299">
        <f t="shared" si="86"/>
        <v>99.768855727125029</v>
      </c>
      <c r="BO47" s="299">
        <f t="shared" si="86"/>
        <v>99.768855727125029</v>
      </c>
      <c r="BP47" s="299">
        <f t="shared" si="86"/>
        <v>99.768855727125029</v>
      </c>
      <c r="BQ47" s="299">
        <f t="shared" si="86"/>
        <v>99.768855727125029</v>
      </c>
      <c r="BR47" s="299">
        <f t="shared" si="86"/>
        <v>99.768855727125029</v>
      </c>
      <c r="BS47" s="299">
        <f t="shared" si="86"/>
        <v>99.768855727125029</v>
      </c>
      <c r="BT47" s="299">
        <f t="shared" si="86"/>
        <v>99.768855727125029</v>
      </c>
      <c r="BU47" s="299">
        <f t="shared" si="57"/>
        <v>102.06353940884891</v>
      </c>
      <c r="BV47" s="370">
        <f t="shared" si="58"/>
        <v>102.06353940884891</v>
      </c>
      <c r="BW47" s="552"/>
      <c r="BX47" s="134"/>
      <c r="BY47" s="134"/>
      <c r="BZ47" s="134"/>
      <c r="CA47" s="134"/>
      <c r="CB47" s="113" t="str">
        <f t="shared" si="64"/>
        <v>E5398</v>
      </c>
      <c r="CC47" s="305" t="str">
        <f t="shared" si="65"/>
        <v>Pannecé (BS)</v>
      </c>
      <c r="CD47" s="299">
        <f t="shared" si="43"/>
        <v>99.768855727125029</v>
      </c>
      <c r="CE47" s="299">
        <f t="shared" si="7"/>
        <v>99.768855727125029</v>
      </c>
      <c r="CF47" s="299">
        <f t="shared" si="8"/>
        <v>99.768855727125029</v>
      </c>
      <c r="CG47" s="299">
        <f t="shared" si="9"/>
        <v>99.768855727125029</v>
      </c>
      <c r="CH47" s="299">
        <f t="shared" si="10"/>
        <v>99.768855727125029</v>
      </c>
      <c r="CI47" s="299">
        <f t="shared" si="11"/>
        <v>99.768855727125029</v>
      </c>
      <c r="CJ47" s="299">
        <f t="shared" si="12"/>
        <v>99.768855727125029</v>
      </c>
      <c r="CK47" s="299">
        <f t="shared" si="13"/>
        <v>99.768855727125029</v>
      </c>
      <c r="CL47" s="299">
        <f t="shared" si="14"/>
        <v>99.768855727125029</v>
      </c>
      <c r="CM47" s="299">
        <f t="shared" si="15"/>
        <v>99.768855727125029</v>
      </c>
      <c r="CN47" s="299">
        <f t="shared" si="16"/>
        <v>102.06353940884891</v>
      </c>
      <c r="CO47" s="370">
        <f t="shared" si="17"/>
        <v>102.06353940884891</v>
      </c>
      <c r="CP47" s="552"/>
      <c r="CQ47" s="134">
        <f t="shared" si="66"/>
        <v>4.0000000000000001E-3</v>
      </c>
      <c r="CU47" s="113" t="str">
        <f t="shared" si="67"/>
        <v>E5398</v>
      </c>
      <c r="CV47" s="70" t="str">
        <f t="shared" si="68"/>
        <v>Pannecé (BS)</v>
      </c>
      <c r="CW47" s="300">
        <f t="shared" si="69"/>
        <v>247771.76653207542</v>
      </c>
      <c r="CX47" s="298">
        <f t="shared" si="70"/>
        <v>209963.97216273853</v>
      </c>
      <c r="CY47" s="298">
        <f t="shared" si="71"/>
        <v>201203.18144296235</v>
      </c>
      <c r="CZ47" s="298">
        <f t="shared" si="72"/>
        <v>168830.04220346871</v>
      </c>
      <c r="DA47" s="298">
        <f t="shared" si="73"/>
        <v>149726.01576337521</v>
      </c>
      <c r="DB47" s="298">
        <f t="shared" si="74"/>
        <v>116333.80809690965</v>
      </c>
      <c r="DC47" s="298">
        <f t="shared" si="75"/>
        <v>110268.57947841042</v>
      </c>
      <c r="DD47" s="298">
        <f t="shared" si="76"/>
        <v>99444.529971211203</v>
      </c>
      <c r="DE47" s="298">
        <f t="shared" si="77"/>
        <v>132837.84457356573</v>
      </c>
      <c r="DF47" s="298">
        <f t="shared" si="78"/>
        <v>180813.69283637765</v>
      </c>
      <c r="DG47" s="371">
        <f t="shared" si="79"/>
        <v>208723.23555211103</v>
      </c>
      <c r="DH47" s="372">
        <f t="shared" si="80"/>
        <v>254178.67430826958</v>
      </c>
      <c r="DI47" s="67">
        <f t="shared" si="81"/>
        <v>2080095.3429214754</v>
      </c>
      <c r="DJ47" s="364">
        <f>_xll.LVCELL($E$1,Q$2,$C47,$D$2,$C$4,$C$5,$C$6,$C$7,$C$8,$D$3)+_xll.LVCELL($E$2,Q$2,$C47,$D$2,$C$4,$C$5,$C$6,$C$7,$C$8,$D$3)</f>
        <v>3946296.9457094362</v>
      </c>
      <c r="DK47" s="82">
        <f t="shared" si="44"/>
        <v>-1866201.6027879608</v>
      </c>
      <c r="DM47" s="518">
        <f t="shared" si="82"/>
        <v>100.27054092920882</v>
      </c>
      <c r="DO47" s="64" t="str">
        <f t="shared" si="83"/>
        <v>E5398</v>
      </c>
      <c r="DP47" s="64" t="str">
        <f t="shared" si="84"/>
        <v>BEV9</v>
      </c>
      <c r="DQ47" s="70" t="str">
        <f t="shared" si="85"/>
        <v>Pannecé (BS)</v>
      </c>
      <c r="DR47" s="365">
        <f>_xll.LVCELL($DP$3,DR$3,$DP47,$DQ$2,$DP$4,$DP$5,$DP$6,$DP$7,$DP$8,$DQ$3)/100</f>
        <v>0.97</v>
      </c>
      <c r="DS47" s="365">
        <f>_xll.LVCELL($DP$3,DS$3,$DP47,$DQ$2,$DP$4,$DP$5,$DP$6,$DP$7,$DP$8,$DQ$3)/100</f>
        <v>0.97</v>
      </c>
      <c r="DT47" s="365">
        <f>_xll.LVCELL($DP$3,DT$3,$DP47,$DQ$2,$DP$4,$DP$5,$DP$6,$DP$7,$DP$8,$DQ$3)/100</f>
        <v>0.97</v>
      </c>
      <c r="DU47" s="365">
        <f>_xll.LVCELL($DP$3,DU$3,$DP47,$DQ$2,$DP$4,$DP$5,$DP$6,$DP$7,$DP$8,$DQ$3)/100</f>
        <v>0.97</v>
      </c>
      <c r="DV47" s="365">
        <f>_xll.LVCELL($DP$3,DV$3,$DP47,$DQ$2,$DP$4,$DP$5,$DP$6,$DP$7,$DP$8,$DQ$3)/100</f>
        <v>0.97</v>
      </c>
      <c r="DW47" s="365">
        <f>_xll.LVCELL($DP$3,DW$3,$DP47,$DQ$2,$DP$4,$DP$5,$DP$6,$DP$7,$DP$8,$DQ$3)/100</f>
        <v>0.97</v>
      </c>
      <c r="DX47" s="365">
        <f>_xll.LVCELL($DP$3,DX$3,$DP47,$DQ$2,$DP$4,$DP$5,$DP$6,$DP$7,$DP$8,$DQ$3)/100</f>
        <v>0.97</v>
      </c>
      <c r="DY47" s="365">
        <f>_xll.LVCELL($DP$3,DY$3,$DP47,$DQ$2,$DP$4,$DP$5,$DP$6,$DP$7,$DP$8,$DQ$3)/100</f>
        <v>0.97</v>
      </c>
      <c r="DZ47" s="365">
        <f>_xll.LVCELL($DP$3,DZ$3,$DP47,$DQ$2,$DP$4,$DP$5,$DP$6,$DP$7,$DP$8,$DQ$3)/100</f>
        <v>0.97</v>
      </c>
      <c r="EA47" s="365">
        <f>_xll.LVCELL($DP$3,EA$3,$DP47,$DQ$2,$DP$4,$DP$5,$DP$6,$DP$7,$DP$8,$DQ$3)/100</f>
        <v>0.97</v>
      </c>
      <c r="EB47" s="365">
        <f>_xll.LVCELL($DP$3,EB$3,$DP47,$DQ$2,$DP$4,$DP$5,$DP$6,$DP$7,$DP$8,$DQ$3)/100</f>
        <v>0.97</v>
      </c>
      <c r="EC47" s="365">
        <f>_xll.LVCELL($DP$3,EC$3,$DP47,$DQ$2,$DP$4,$DP$5,$DP$6,$DP$7,$DP$8,$DQ$3)/100</f>
        <v>0.97</v>
      </c>
      <c r="ED47" s="582">
        <f t="shared" si="45"/>
        <v>11.64</v>
      </c>
      <c r="EF47" s="64" t="s">
        <v>454</v>
      </c>
      <c r="EG47" s="64" t="s">
        <v>268</v>
      </c>
      <c r="EH47" s="70" t="s">
        <v>2642</v>
      </c>
      <c r="EI47" s="366" t="e">
        <f ca="1">_xll.LVCELL($EG$3,EI$3,$DP47,$DQ$2,$DP$4,$DP$5,$DP$6,$DP$7,$DP$8,$DQ$3)-CW47-CW48</f>
        <v>#NAME?</v>
      </c>
      <c r="EJ47" s="367" t="e">
        <f ca="1">_xll.LVCELL($EG$3,EJ$3,$DP47,$DQ$2,$DP$4,$DP$5,$DP$6,$DP$7,$DP$8,$DQ$3)-CX47-CX48</f>
        <v>#NAME?</v>
      </c>
      <c r="EK47" s="368" t="e">
        <f ca="1">_xll.LVCELL($EG$3,EK$3,$DP47,$DQ$2,$DP$4,$DP$5,$DP$6,$DP$7,$DP$8,$DQ$3)-CY47-CY48</f>
        <v>#NAME?</v>
      </c>
      <c r="EL47" s="367" t="e">
        <f ca="1">_xll.LVCELL($EG$3,EL$3,$DP47,$DQ$2,$DP$4,$DP$5,$DP$6,$DP$7,$DP$8,$DQ$3)-CZ47-CZ48</f>
        <v>#NAME?</v>
      </c>
      <c r="EM47" s="368" t="e">
        <f ca="1">_xll.LVCELL($EG$3,EM$3,$DP47,$DQ$2,$DP$4,$DP$5,$DP$6,$DP$7,$DP$8,$DQ$3)-DA47-DA48</f>
        <v>#NAME?</v>
      </c>
      <c r="EN47" s="367" t="e">
        <f ca="1">_xll.LVCELL($EG$3,EN$3,$DP47,$DQ$2,$DP$4,$DP$5,$DP$6,$DP$7,$DP$8,$DQ$3)-DB47-DB48</f>
        <v>#NAME?</v>
      </c>
      <c r="EO47" s="368" t="e">
        <f ca="1">_xll.LVCELL($EG$3,EO$3,$DP47,$DQ$2,$DP$4,$DP$5,$DP$6,$DP$7,$DP$8,$DQ$3)-DC47-DC48</f>
        <v>#NAME?</v>
      </c>
      <c r="EP47" s="367" t="e">
        <f ca="1">_xll.LVCELL($EG$3,EP$3,$DP47,$DQ$2,$DP$4,$DP$5,$DP$6,$DP$7,$DP$8,$DQ$3)-DD47-DD48</f>
        <v>#NAME?</v>
      </c>
      <c r="EQ47" s="368" t="e">
        <f ca="1">_xll.LVCELL($EG$3,EQ$3,$DP47,$DQ$2,$DP$4,$DP$5,$DP$6,$DP$7,$DP$8,$DQ$3)-DE47-DE48</f>
        <v>#NAME?</v>
      </c>
      <c r="ER47" s="367" t="e">
        <f ca="1">_xll.LVCELL($EG$3,ER$3,$DP47,$DQ$2,$DP$4,$DP$5,$DP$6,$DP$7,$DP$8,$DQ$3)-DF47-DF48</f>
        <v>#NAME?</v>
      </c>
      <c r="ES47" s="368" t="e">
        <f ca="1">_xll.LVCELL($EG$3,ES$3,$DP47,$DQ$2,$DP$4,$DP$5,$DP$6,$DP$7,$DP$8,$DQ$3)-DG47-DG48</f>
        <v>#NAME?</v>
      </c>
      <c r="ET47" s="367" t="e">
        <f ca="1">_xll.LVCELL($EG$3,ET$3,$DP47,$DQ$2,$DP$4,$DP$5,$DP$6,$DP$7,$DP$8,$DQ$3)-DH47-DH48</f>
        <v>#NAME?</v>
      </c>
      <c r="EW47" s="64" t="s">
        <v>454</v>
      </c>
      <c r="EX47" s="64" t="s">
        <v>268</v>
      </c>
      <c r="EY47" s="70" t="s">
        <v>2642</v>
      </c>
      <c r="EZ47" s="364">
        <f>_xll.LVCELL($EX$3,EZ$3,$DP47,$DQ$2,$DP$4,$DP$5,$DP$6,$DP$7,$DP$8,$DQ$3)</f>
        <v>18000</v>
      </c>
      <c r="FA47" s="364">
        <f>_xll.LVCELL($EX$3,FA$3,$DP47,$DQ$2,$DP$4,$DP$5,$DP$6,$DP$7,$DP$8,$DQ$3)</f>
        <v>18000</v>
      </c>
      <c r="FB47" s="364">
        <f>_xll.LVCELL($EX$3,FB$3,$DP47,$DQ$2,$DP$4,$DP$5,$DP$6,$DP$7,$DP$8,$DQ$3)</f>
        <v>18000</v>
      </c>
      <c r="FC47" s="364">
        <f>_xll.LVCELL($EX$3,FC$3,$DP47,$DQ$2,$DP$4,$DP$5,$DP$6,$DP$7,$DP$8,$DQ$3)</f>
        <v>18000</v>
      </c>
      <c r="FD47" s="364">
        <f>_xll.LVCELL($EX$3,FD$3,$DP47,$DQ$2,$DP$4,$DP$5,$DP$6,$DP$7,$DP$8,$DQ$3)</f>
        <v>18000</v>
      </c>
      <c r="FE47" s="364">
        <f>_xll.LVCELL($EX$3,FE$3,$DP47,$DQ$2,$DP$4,$DP$5,$DP$6,$DP$7,$DP$8,$DQ$3)</f>
        <v>18000</v>
      </c>
      <c r="FF47" s="364">
        <f>_xll.LVCELL($EX$3,FF$3,$DP47,$DQ$2,$DP$4,$DP$5,$DP$6,$DP$7,$DP$8,$DQ$3)</f>
        <v>18000</v>
      </c>
      <c r="FG47" s="364">
        <f>_xll.LVCELL($EX$3,FG$3,$DP47,$DQ$2,$DP$4,$DP$5,$DP$6,$DP$7,$DP$8,$DQ$3)</f>
        <v>18000</v>
      </c>
      <c r="FH47" s="364">
        <f>_xll.LVCELL($EX$3,FH$3,$DP47,$DQ$2,$DP$4,$DP$5,$DP$6,$DP$7,$DP$8,$DQ$3)</f>
        <v>18000</v>
      </c>
      <c r="FI47" s="364">
        <f>_xll.LVCELL($EX$3,FI$3,$DP47,$DQ$2,$DP$4,$DP$5,$DP$6,$DP$7,$DP$8,$DQ$3)</f>
        <v>18000</v>
      </c>
      <c r="FJ47" s="364">
        <f>_xll.LVCELL($EX$3,FJ$3,$DP47,$DQ$2,$DP$4,$DP$5,$DP$6,$DP$7,$DP$8,$DQ$3)</f>
        <v>18000</v>
      </c>
      <c r="FK47" s="276">
        <f>_xll.LVCELL($EX$3,FK$3,$DP47,$DQ$2,$DP$4,$DP$5,$DP$6,$DP$7,$DP$8,$DQ$3)</f>
        <v>18000</v>
      </c>
      <c r="FN47" s="64" t="s">
        <v>454</v>
      </c>
      <c r="FO47" s="64" t="s">
        <v>268</v>
      </c>
      <c r="FP47" s="70" t="s">
        <v>2642</v>
      </c>
      <c r="FQ47" s="364">
        <f>_xll.LVCELL($FO$3,FQ$3,$DP47,$DQ$2,$DP$4,$DP$5,$DP$6,$DP$7,$DP$8,$DQ$3)</f>
        <v>9</v>
      </c>
      <c r="FR47" s="364">
        <f>_xll.LVCELL($FO$3,FR$3,$DP47,$DQ$2,$DP$4,$DP$5,$DP$6,$DP$7,$DP$8,$DQ$3)</f>
        <v>9</v>
      </c>
      <c r="FS47" s="364">
        <f>_xll.LVCELL($FO$3,FS$3,$DP47,$DQ$2,$DP$4,$DP$5,$DP$6,$DP$7,$DP$8,$DQ$3)</f>
        <v>9</v>
      </c>
      <c r="FT47" s="364">
        <f>_xll.LVCELL($FO$3,FT$3,$DP47,$DQ$2,$DP$4,$DP$5,$DP$6,$DP$7,$DP$8,$DQ$3)</f>
        <v>9</v>
      </c>
      <c r="FU47" s="364">
        <f>_xll.LVCELL($FO$3,FU$3,$DP47,$DQ$2,$DP$4,$DP$5,$DP$6,$DP$7,$DP$8,$DQ$3)</f>
        <v>9</v>
      </c>
      <c r="FV47" s="364">
        <f>_xll.LVCELL($FO$3,FV$3,$DP47,$DQ$2,$DP$4,$DP$5,$DP$6,$DP$7,$DP$8,$DQ$3)</f>
        <v>9</v>
      </c>
      <c r="FW47" s="364">
        <f>_xll.LVCELL($FO$3,FW$3,$DP47,$DQ$2,$DP$4,$DP$5,$DP$6,$DP$7,$DP$8,$DQ$3)</f>
        <v>9</v>
      </c>
      <c r="FX47" s="364">
        <f>_xll.LVCELL($FO$3,FX$3,$DP47,$DQ$2,$DP$4,$DP$5,$DP$6,$DP$7,$DP$8,$DQ$3)</f>
        <v>9</v>
      </c>
      <c r="FY47" s="364">
        <f>_xll.LVCELL($FO$3,FY$3,$DP47,$DQ$2,$DP$4,$DP$5,$DP$6,$DP$7,$DP$8,$DQ$3)</f>
        <v>9</v>
      </c>
      <c r="FZ47" s="364">
        <f>_xll.LVCELL($FO$3,FZ$3,$DP47,$DQ$2,$DP$4,$DP$5,$DP$6,$DP$7,$DP$8,$DQ$3)</f>
        <v>9</v>
      </c>
      <c r="GA47" s="364">
        <f>_xll.LVCELL($FO$3,GA$3,$DP47,$DQ$2,$DP$4,$DP$5,$DP$6,$DP$7,$DP$8,$DQ$3)</f>
        <v>9</v>
      </c>
      <c r="GB47" s="172">
        <f>_xll.LVCELL($FO$3,GB$3,$DP47,$DQ$2,$DP$4,$DP$5,$DP$6,$DP$7,$DP$8,$DQ$3)</f>
        <v>9</v>
      </c>
    </row>
    <row r="48" spans="1:184" ht="15">
      <c r="A48" s="286"/>
      <c r="B48" s="64" t="s">
        <v>454</v>
      </c>
      <c r="C48" s="108" t="s">
        <v>268</v>
      </c>
      <c r="D48" s="70" t="s">
        <v>549</v>
      </c>
      <c r="E48" s="357"/>
      <c r="F48" s="103">
        <f>'distribution mensuelle Prod B22'!$AN$36</f>
        <v>2228087.100944587</v>
      </c>
      <c r="G48" s="103">
        <f>'distribution mensuelle Prod B22'!$AN$37</f>
        <v>1888100.5878380593</v>
      </c>
      <c r="H48" s="103">
        <f>'distribution mensuelle Prod B22'!$AN$38</f>
        <v>1809319.1953088932</v>
      </c>
      <c r="I48" s="103">
        <f>'distribution mensuelle Prod B22'!$AN$39</f>
        <v>1518203.8072799623</v>
      </c>
      <c r="J48" s="103">
        <f>'distribution mensuelle Prod B22'!$AN$40</f>
        <v>1346410.8888088968</v>
      </c>
      <c r="K48" s="103">
        <f>'distribution mensuelle Prod B22'!$AN$41</f>
        <v>1046131.530046351</v>
      </c>
      <c r="L48" s="103">
        <f>'distribution mensuelle Prod B22'!$AN$42</f>
        <v>991589.97416892368</v>
      </c>
      <c r="M48" s="103">
        <f>'distribution mensuelle Prod B22'!$AN$43</f>
        <v>894254.73123738437</v>
      </c>
      <c r="N48" s="103">
        <f>'distribution mensuelle Prod B22'!$AN$44</f>
        <v>1194544.0441186351</v>
      </c>
      <c r="O48" s="103">
        <f>'distribution mensuelle Prod B22'!$AN$45</f>
        <v>1625966.7609494813</v>
      </c>
      <c r="P48" s="103">
        <f>'distribution mensuelle Prod B22'!$AN$46</f>
        <v>1834744.1509470472</v>
      </c>
      <c r="Q48" s="103">
        <f>'distribution mensuelle Prod B22'!$AN$47</f>
        <v>2234312.0292716036</v>
      </c>
      <c r="R48" s="67">
        <f t="shared" si="60"/>
        <v>18611664.800919823</v>
      </c>
      <c r="S48" s="358"/>
      <c r="T48" s="169"/>
      <c r="W48" s="113" t="str">
        <f t="shared" si="61"/>
        <v>E5398</v>
      </c>
      <c r="X48" s="359" t="str">
        <f t="shared" si="62"/>
        <v>Pannecé La Vallière</v>
      </c>
      <c r="Y48" s="299" cm="1">
        <f t="array" ref="Y48">_xll.LVCELL($D$4,F$1,$B48,$D$2,$C$4,$C$5,$C$6,$C$7,$C$8,$D$3)*1000</f>
        <v>97.560726000000003</v>
      </c>
      <c r="Z48" s="299" cm="1">
        <f t="array" ref="Z48">_xll.LVCELL($D$4,G$1,$B48,$D$2,$C$4,$C$5,$C$6,$C$7,$C$8,$D$3)*1000</f>
        <v>97.527670999999998</v>
      </c>
      <c r="AA48" s="299" cm="1">
        <f t="array" ref="AA48">_xll.LVCELL($D$4,H$1,$B48,$D$2,$C$4,$C$5,$C$6,$C$7,$C$8,$D$3)*1000</f>
        <v>97.527468266274269</v>
      </c>
      <c r="AB48" s="299" cm="1">
        <f t="array" ref="AB48">_xll.LVCELL($D$4,I$1,$B48,$D$2,$C$4,$C$5,$C$6,$C$7,$C$8,$D$3)*1000</f>
        <v>97.534023385344639</v>
      </c>
      <c r="AC48" s="299" cm="1">
        <f t="array" ref="AC48">_xll.LVCELL($D$4,J$1,$B48,$D$2,$C$4,$C$5,$C$6,$C$7,$C$8,$D$3)*1000</f>
        <v>97.533461429171254</v>
      </c>
      <c r="AD48" s="299" cm="1">
        <f t="array" ref="AD48">_xll.LVCELL($D$4,K$1,$B48,$D$2,$C$4,$C$5,$C$6,$C$7,$C$8,$D$3)*1000</f>
        <v>97.525763174120257</v>
      </c>
      <c r="AE48" s="299" cm="1">
        <f t="array" ref="AE48">_xll.LVCELL($D$4,L$1,$B48,$D$2,$C$4,$C$5,$C$6,$C$7,$C$8,$D$3)*1000</f>
        <v>97.54544253562554</v>
      </c>
      <c r="AF48" s="299">
        <f>$AD$48</f>
        <v>97.525763174120257</v>
      </c>
      <c r="AG48" s="299">
        <f t="shared" si="53"/>
        <v>97.525763174120257</v>
      </c>
      <c r="AH48" s="299">
        <f t="shared" si="53"/>
        <v>97.525763174120257</v>
      </c>
      <c r="AI48" s="299">
        <f t="shared" si="54"/>
        <v>99.768855727125029</v>
      </c>
      <c r="AJ48" s="412">
        <f t="shared" si="55"/>
        <v>99.768855727125029</v>
      </c>
      <c r="AK48" s="153"/>
      <c r="AL48" s="134">
        <f t="shared" si="63"/>
        <v>2.3E-2</v>
      </c>
      <c r="AM48" s="134"/>
      <c r="AN48" s="134"/>
      <c r="AO48" s="134"/>
      <c r="AP48" s="113" t="str">
        <f t="shared" si="38"/>
        <v>E5398</v>
      </c>
      <c r="AQ48" s="567" t="str">
        <f t="shared" si="39"/>
        <v>Pannecé La Vallière</v>
      </c>
      <c r="AR48" s="377"/>
      <c r="AS48" s="377"/>
      <c r="AT48" s="377"/>
      <c r="AU48" s="377"/>
      <c r="AV48" s="377"/>
      <c r="AW48" s="377"/>
      <c r="AX48" s="377"/>
      <c r="AY48" s="377"/>
      <c r="AZ48" s="377"/>
      <c r="BA48" s="377"/>
      <c r="BB48" s="377"/>
      <c r="BC48" s="378"/>
      <c r="BD48" s="552"/>
      <c r="BE48" s="134"/>
      <c r="BF48" s="134"/>
      <c r="BG48" s="134"/>
      <c r="BH48" s="134"/>
      <c r="BI48" s="113" t="str">
        <f t="shared" si="40"/>
        <v>E5398</v>
      </c>
      <c r="BJ48" s="567" t="str">
        <f t="shared" si="41"/>
        <v>Pannecé La Vallière</v>
      </c>
      <c r="BK48" s="299">
        <f t="shared" si="49"/>
        <v>99.768855727125029</v>
      </c>
      <c r="BL48" s="299">
        <f t="shared" si="86"/>
        <v>99.768855727125029</v>
      </c>
      <c r="BM48" s="299">
        <f t="shared" si="86"/>
        <v>99.768855727125029</v>
      </c>
      <c r="BN48" s="299">
        <f t="shared" si="86"/>
        <v>99.768855727125029</v>
      </c>
      <c r="BO48" s="299">
        <f t="shared" si="86"/>
        <v>99.768855727125029</v>
      </c>
      <c r="BP48" s="299">
        <f t="shared" si="86"/>
        <v>99.768855727125029</v>
      </c>
      <c r="BQ48" s="299">
        <f t="shared" si="86"/>
        <v>99.768855727125029</v>
      </c>
      <c r="BR48" s="299">
        <f t="shared" si="86"/>
        <v>99.768855727125029</v>
      </c>
      <c r="BS48" s="299">
        <f t="shared" si="86"/>
        <v>99.768855727125029</v>
      </c>
      <c r="BT48" s="299">
        <f t="shared" si="86"/>
        <v>99.768855727125029</v>
      </c>
      <c r="BU48" s="299">
        <f t="shared" si="57"/>
        <v>102.06353940884891</v>
      </c>
      <c r="BV48" s="370">
        <f t="shared" si="58"/>
        <v>102.06353940884891</v>
      </c>
      <c r="BW48" s="552"/>
      <c r="BX48" s="134"/>
      <c r="BY48" s="134"/>
      <c r="BZ48" s="134"/>
      <c r="CA48" s="134"/>
      <c r="CB48" s="113" t="str">
        <f t="shared" si="64"/>
        <v>E5398</v>
      </c>
      <c r="CC48" s="305" t="str">
        <f t="shared" si="65"/>
        <v>Pannecé La Vallière</v>
      </c>
      <c r="CD48" s="299">
        <f t="shared" si="43"/>
        <v>99.768855727125029</v>
      </c>
      <c r="CE48" s="299">
        <f t="shared" si="7"/>
        <v>99.768855727125029</v>
      </c>
      <c r="CF48" s="299">
        <f t="shared" si="8"/>
        <v>99.768855727125029</v>
      </c>
      <c r="CG48" s="299">
        <f t="shared" si="9"/>
        <v>99.768855727125029</v>
      </c>
      <c r="CH48" s="299">
        <f t="shared" si="10"/>
        <v>99.768855727125029</v>
      </c>
      <c r="CI48" s="299">
        <f t="shared" si="11"/>
        <v>99.768855727125029</v>
      </c>
      <c r="CJ48" s="299">
        <f t="shared" si="12"/>
        <v>99.768855727125029</v>
      </c>
      <c r="CK48" s="299">
        <f t="shared" si="13"/>
        <v>99.768855727125029</v>
      </c>
      <c r="CL48" s="299">
        <f t="shared" si="14"/>
        <v>99.768855727125029</v>
      </c>
      <c r="CM48" s="299">
        <f t="shared" si="15"/>
        <v>99.768855727125029</v>
      </c>
      <c r="CN48" s="299">
        <f t="shared" si="16"/>
        <v>102.06353940884891</v>
      </c>
      <c r="CO48" s="370">
        <f t="shared" si="17"/>
        <v>102.06353940884891</v>
      </c>
      <c r="CP48" s="552"/>
      <c r="CQ48" s="134">
        <f t="shared" si="66"/>
        <v>4.0000000000000001E-3</v>
      </c>
      <c r="CU48" s="113" t="str">
        <f t="shared" si="67"/>
        <v>E5398</v>
      </c>
      <c r="CV48" s="70" t="str">
        <f t="shared" si="68"/>
        <v>Pannecé La Vallière</v>
      </c>
      <c r="CW48" s="300">
        <f t="shared" si="69"/>
        <v>222293.70052160876</v>
      </c>
      <c r="CX48" s="298">
        <f t="shared" si="70"/>
        <v>188373.6351463153</v>
      </c>
      <c r="CY48" s="298">
        <f t="shared" si="71"/>
        <v>180513.70576109091</v>
      </c>
      <c r="CZ48" s="298">
        <f t="shared" si="72"/>
        <v>151469.45661288651</v>
      </c>
      <c r="DA48" s="298">
        <f t="shared" si="73"/>
        <v>134329.873715005</v>
      </c>
      <c r="DB48" s="298">
        <f t="shared" si="74"/>
        <v>104371.34569279096</v>
      </c>
      <c r="DC48" s="298">
        <f t="shared" si="75"/>
        <v>98929.797073322989</v>
      </c>
      <c r="DD48" s="298">
        <f t="shared" si="76"/>
        <v>89218.771264121577</v>
      </c>
      <c r="DE48" s="298">
        <f t="shared" si="77"/>
        <v>119178.29239736858</v>
      </c>
      <c r="DF48" s="298">
        <f t="shared" si="78"/>
        <v>162220.8431902696</v>
      </c>
      <c r="DG48" s="371">
        <f t="shared" si="79"/>
        <v>187260.48195533897</v>
      </c>
      <c r="DH48" s="372">
        <f t="shared" si="80"/>
        <v>228041.79385122747</v>
      </c>
      <c r="DI48" s="67">
        <f t="shared" si="81"/>
        <v>1866201.6971813466</v>
      </c>
      <c r="DJ48" s="364"/>
      <c r="DK48" s="82">
        <f t="shared" si="44"/>
        <v>1866201.6971813466</v>
      </c>
      <c r="DM48" s="518">
        <f t="shared" si="82"/>
        <v>100.27054092920883</v>
      </c>
      <c r="DO48" s="64" t="str">
        <f t="shared" si="83"/>
        <v>E5398</v>
      </c>
      <c r="DP48" s="64" t="str">
        <f t="shared" si="84"/>
        <v>BEV9</v>
      </c>
      <c r="DQ48" s="70" t="str">
        <f t="shared" si="85"/>
        <v>Pannecé La Vallière</v>
      </c>
      <c r="DR48" s="365">
        <f>_xll.LVCELL($DP$3,DR$3,$DP48,$DQ$2,$DP$4,$DP$5,$DP$6,$DP$7,$DP$8,$DQ$3)/100</f>
        <v>0.97</v>
      </c>
      <c r="DS48" s="365">
        <f>_xll.LVCELL($DP$3,DS$3,$DP48,$DQ$2,$DP$4,$DP$5,$DP$6,$DP$7,$DP$8,$DQ$3)/100</f>
        <v>0.97</v>
      </c>
      <c r="DT48" s="365">
        <f>_xll.LVCELL($DP$3,DT$3,$DP48,$DQ$2,$DP$4,$DP$5,$DP$6,$DP$7,$DP$8,$DQ$3)/100</f>
        <v>0.97</v>
      </c>
      <c r="DU48" s="365">
        <f>_xll.LVCELL($DP$3,DU$3,$DP48,$DQ$2,$DP$4,$DP$5,$DP$6,$DP$7,$DP$8,$DQ$3)/100</f>
        <v>0.97</v>
      </c>
      <c r="DV48" s="365">
        <f>_xll.LVCELL($DP$3,DV$3,$DP48,$DQ$2,$DP$4,$DP$5,$DP$6,$DP$7,$DP$8,$DQ$3)/100</f>
        <v>0.97</v>
      </c>
      <c r="DW48" s="365">
        <f>_xll.LVCELL($DP$3,DW$3,$DP48,$DQ$2,$DP$4,$DP$5,$DP$6,$DP$7,$DP$8,$DQ$3)/100</f>
        <v>0.97</v>
      </c>
      <c r="DX48" s="365">
        <f>_xll.LVCELL($DP$3,DX$3,$DP48,$DQ$2,$DP$4,$DP$5,$DP$6,$DP$7,$DP$8,$DQ$3)/100</f>
        <v>0.97</v>
      </c>
      <c r="DY48" s="365">
        <f>_xll.LVCELL($DP$3,DY$3,$DP48,$DQ$2,$DP$4,$DP$5,$DP$6,$DP$7,$DP$8,$DQ$3)/100</f>
        <v>0.97</v>
      </c>
      <c r="DZ48" s="365">
        <f>_xll.LVCELL($DP$3,DZ$3,$DP48,$DQ$2,$DP$4,$DP$5,$DP$6,$DP$7,$DP$8,$DQ$3)/100</f>
        <v>0.97</v>
      </c>
      <c r="EA48" s="365">
        <f>_xll.LVCELL($DP$3,EA$3,$DP48,$DQ$2,$DP$4,$DP$5,$DP$6,$DP$7,$DP$8,$DQ$3)/100</f>
        <v>0.97</v>
      </c>
      <c r="EB48" s="365">
        <f>_xll.LVCELL($DP$3,EB$3,$DP48,$DQ$2,$DP$4,$DP$5,$DP$6,$DP$7,$DP$8,$DQ$3)/100</f>
        <v>0.97</v>
      </c>
      <c r="EC48" s="365">
        <f>_xll.LVCELL($DP$3,EC$3,$DP48,$DQ$2,$DP$4,$DP$5,$DP$6,$DP$7,$DP$8,$DQ$3)/100</f>
        <v>0.97</v>
      </c>
      <c r="ED48" s="582">
        <f t="shared" si="45"/>
        <v>11.64</v>
      </c>
      <c r="EF48" s="64" t="s">
        <v>454</v>
      </c>
      <c r="EH48" s="70"/>
      <c r="EI48" s="366"/>
      <c r="EJ48" s="367"/>
      <c r="EK48" s="368"/>
      <c r="EL48" s="367"/>
      <c r="EM48" s="368"/>
      <c r="EN48" s="367"/>
      <c r="EO48" s="368"/>
      <c r="EP48" s="367"/>
      <c r="EQ48" s="368"/>
      <c r="ER48" s="367"/>
      <c r="ES48" s="368"/>
      <c r="ET48" s="367"/>
      <c r="EY48" s="70"/>
      <c r="EZ48" s="364"/>
      <c r="FA48" s="364"/>
      <c r="FB48" s="364"/>
      <c r="FC48" s="364"/>
      <c r="FD48" s="364"/>
      <c r="FE48" s="364"/>
      <c r="FF48" s="364"/>
      <c r="FG48" s="364"/>
      <c r="FH48" s="364"/>
      <c r="FI48" s="364"/>
      <c r="FJ48" s="364"/>
      <c r="FK48" s="364"/>
      <c r="FP48" s="70"/>
      <c r="FQ48" s="364"/>
      <c r="FR48" s="364"/>
      <c r="FS48" s="364"/>
      <c r="FT48" s="364"/>
      <c r="FU48" s="364"/>
      <c r="FV48" s="364"/>
      <c r="FW48" s="364"/>
      <c r="FX48" s="364"/>
      <c r="FY48" s="364"/>
      <c r="FZ48" s="364"/>
      <c r="GA48" s="364"/>
      <c r="GB48" s="172"/>
    </row>
    <row r="49" spans="1:184" ht="15">
      <c r="A49" s="286"/>
      <c r="B49" s="64" t="s">
        <v>444</v>
      </c>
      <c r="C49" s="108" t="s">
        <v>269</v>
      </c>
      <c r="D49" s="359" t="s">
        <v>550</v>
      </c>
      <c r="E49" s="357">
        <f>_xll.LVCELL($C$3,Q$3,$C49,$D$2,$C$4,$C$5,$C$6,$C$7,$C$8,$D$3)/1000</f>
        <v>30</v>
      </c>
      <c r="F49" s="103">
        <f>'distribution mensuelle Prod B22'!$AO$36</f>
        <v>3519051.0249842261</v>
      </c>
      <c r="G49" s="103">
        <f>'distribution mensuelle Prod B22'!$AO$37</f>
        <v>2896690.2602806352</v>
      </c>
      <c r="H49" s="103">
        <f>'distribution mensuelle Prod B22'!$AO$38</f>
        <v>2862720.2575650932</v>
      </c>
      <c r="I49" s="103">
        <f>'distribution mensuelle Prod B22'!$AO$39</f>
        <v>2376559.6753237387</v>
      </c>
      <c r="J49" s="103">
        <f>'distribution mensuelle Prod B22'!$AO$40</f>
        <v>2020190.3892478473</v>
      </c>
      <c r="K49" s="103">
        <f>'distribution mensuelle Prod B22'!$AO$41</f>
        <v>1569361.7047101201</v>
      </c>
      <c r="L49" s="103">
        <f>'distribution mensuelle Prod B22'!$AO$42</f>
        <v>1523940.2968089909</v>
      </c>
      <c r="M49" s="103">
        <f>'distribution mensuelle Prod B22'!$AO$43</f>
        <v>1441372.3697139006</v>
      </c>
      <c r="N49" s="103">
        <f>'distribution mensuelle Prod B22'!$AO$44</f>
        <v>1992529.125668169</v>
      </c>
      <c r="O49" s="103">
        <f>'distribution mensuelle Prod B22'!$AO$45</f>
        <v>2839971.9511205279</v>
      </c>
      <c r="P49" s="103">
        <f>'distribution mensuelle Prod B22'!$AO$46</f>
        <v>2939152.2002968676</v>
      </c>
      <c r="Q49" s="103">
        <f>'distribution mensuelle Prod B22'!$AO$47</f>
        <v>3593193.653396145</v>
      </c>
      <c r="R49" s="67">
        <f t="shared" si="60"/>
        <v>29574732.909116261</v>
      </c>
      <c r="S49" s="358"/>
      <c r="T49" s="169"/>
      <c r="U49" s="340"/>
      <c r="W49" s="113" t="str">
        <f t="shared" si="61"/>
        <v>E5393</v>
      </c>
      <c r="X49" s="359" t="str">
        <f t="shared" si="62"/>
        <v>Vallée d'Arce 1 (DR)</v>
      </c>
      <c r="Y49" s="299" cm="1">
        <f t="array" ref="Y49">_xll.LVCELL($D$4,F$1,$B49,$D$2,$C$4,$C$5,$C$6,$C$7,$C$8,$D$3)*1000</f>
        <v>97.763908000000001</v>
      </c>
      <c r="Z49" s="299" cm="1">
        <f t="array" ref="Z49">_xll.LVCELL($D$4,G$1,$B49,$D$2,$C$4,$C$5,$C$6,$C$7,$C$8,$D$3)*1000</f>
        <v>97.766333000000003</v>
      </c>
      <c r="AA49" s="299" cm="1">
        <f t="array" ref="AA49">_xll.LVCELL($D$4,H$1,$B49,$D$2,$C$4,$C$5,$C$6,$C$7,$C$8,$D$3)*1000</f>
        <v>97.766406482008449</v>
      </c>
      <c r="AB49" s="299" cm="1">
        <f t="array" ref="AB49">_xll.LVCELL($D$4,I$1,$B49,$D$2,$C$4,$C$5,$C$6,$C$7,$C$8,$D$3)*1000</f>
        <v>97.76706684448915</v>
      </c>
      <c r="AC49" s="299" cm="1">
        <f t="array" ref="AC49">_xll.LVCELL($D$4,J$1,$B49,$D$2,$C$4,$C$5,$C$6,$C$7,$C$8,$D$3)*1000</f>
        <v>98.175199804334611</v>
      </c>
      <c r="AD49" s="299" cm="1">
        <f t="array" ref="AD49">_xll.LVCELL($D$4,K$1,$B49,$D$2,$C$4,$C$5,$C$6,$C$7,$C$8,$D$3)*1000</f>
        <v>97.765507820378829</v>
      </c>
      <c r="AE49" s="299" cm="1">
        <f t="array" ref="AE49">_xll.LVCELL($D$4,L$1,$B49,$D$2,$C$4,$C$5,$C$6,$C$7,$C$8,$D$3)*1000</f>
        <v>97.763278057937512</v>
      </c>
      <c r="AF49" s="299">
        <v>97.7</v>
      </c>
      <c r="AG49" s="299">
        <f t="shared" si="53"/>
        <v>97.7</v>
      </c>
      <c r="AH49" s="299">
        <f t="shared" si="53"/>
        <v>97.7</v>
      </c>
      <c r="AI49" s="299">
        <f t="shared" si="54"/>
        <v>99.947100000000006</v>
      </c>
      <c r="AJ49" s="412">
        <f t="shared" si="55"/>
        <v>99.947100000000006</v>
      </c>
      <c r="AK49" s="67"/>
      <c r="AL49" s="134">
        <f t="shared" si="63"/>
        <v>2.3E-2</v>
      </c>
      <c r="AM49" s="134"/>
      <c r="AN49" s="134"/>
      <c r="AO49" s="134"/>
      <c r="AP49" s="113" t="str">
        <f t="shared" si="38"/>
        <v>E5393</v>
      </c>
      <c r="AQ49" s="567" t="str">
        <f t="shared" si="39"/>
        <v>Vallée d'Arce 1 (DR)</v>
      </c>
      <c r="AR49" s="377"/>
      <c r="AS49" s="377"/>
      <c r="AT49" s="377"/>
      <c r="AU49" s="377"/>
      <c r="AV49" s="377"/>
      <c r="AW49" s="377"/>
      <c r="AX49" s="377"/>
      <c r="AY49" s="377"/>
      <c r="AZ49" s="377"/>
      <c r="BA49" s="377"/>
      <c r="BB49" s="377"/>
      <c r="BC49" s="378"/>
      <c r="BD49" s="414"/>
      <c r="BE49" s="134"/>
      <c r="BF49" s="134"/>
      <c r="BG49" s="134"/>
      <c r="BH49" s="134"/>
      <c r="BI49" s="113" t="str">
        <f t="shared" si="40"/>
        <v>E5393</v>
      </c>
      <c r="BJ49" s="567" t="str">
        <f t="shared" si="41"/>
        <v>Vallée d'Arce 1 (DR)</v>
      </c>
      <c r="BK49" s="299">
        <f t="shared" si="49"/>
        <v>99.947100000000006</v>
      </c>
      <c r="BL49" s="299">
        <f t="shared" si="86"/>
        <v>99.947100000000006</v>
      </c>
      <c r="BM49" s="299">
        <f t="shared" si="86"/>
        <v>99.947100000000006</v>
      </c>
      <c r="BN49" s="299">
        <f t="shared" si="86"/>
        <v>99.947100000000006</v>
      </c>
      <c r="BO49" s="299">
        <f t="shared" si="86"/>
        <v>99.947100000000006</v>
      </c>
      <c r="BP49" s="299">
        <f t="shared" si="86"/>
        <v>99.947100000000006</v>
      </c>
      <c r="BQ49" s="299">
        <f t="shared" si="86"/>
        <v>99.947100000000006</v>
      </c>
      <c r="BR49" s="299">
        <f t="shared" si="86"/>
        <v>99.947100000000006</v>
      </c>
      <c r="BS49" s="299">
        <f t="shared" si="86"/>
        <v>99.947100000000006</v>
      </c>
      <c r="BT49" s="299">
        <f t="shared" si="86"/>
        <v>99.947100000000006</v>
      </c>
      <c r="BU49" s="299">
        <f t="shared" si="57"/>
        <v>102.2458833</v>
      </c>
      <c r="BV49" s="370">
        <f t="shared" si="58"/>
        <v>102.2458833</v>
      </c>
      <c r="BW49" s="414"/>
      <c r="BX49" s="134"/>
      <c r="BY49" s="134"/>
      <c r="BZ49" s="134"/>
      <c r="CA49" s="134"/>
      <c r="CB49" s="113" t="str">
        <f t="shared" si="64"/>
        <v>E5393</v>
      </c>
      <c r="CC49" s="373" t="str">
        <f t="shared" si="65"/>
        <v>Vallée d'Arce 1 (DR)</v>
      </c>
      <c r="CD49" s="299">
        <f t="shared" si="43"/>
        <v>99.947100000000006</v>
      </c>
      <c r="CE49" s="299">
        <f t="shared" si="7"/>
        <v>99.947100000000006</v>
      </c>
      <c r="CF49" s="299">
        <f t="shared" si="8"/>
        <v>99.947100000000006</v>
      </c>
      <c r="CG49" s="299">
        <f t="shared" si="9"/>
        <v>99.947100000000006</v>
      </c>
      <c r="CH49" s="299">
        <f t="shared" si="10"/>
        <v>99.947100000000006</v>
      </c>
      <c r="CI49" s="299">
        <f t="shared" si="11"/>
        <v>99.947100000000006</v>
      </c>
      <c r="CJ49" s="299">
        <f t="shared" si="12"/>
        <v>99.947100000000006</v>
      </c>
      <c r="CK49" s="299">
        <f t="shared" si="13"/>
        <v>99.947100000000006</v>
      </c>
      <c r="CL49" s="299">
        <f t="shared" si="14"/>
        <v>99.947100000000006</v>
      </c>
      <c r="CM49" s="299">
        <f t="shared" si="15"/>
        <v>99.947100000000006</v>
      </c>
      <c r="CN49" s="299">
        <f t="shared" si="16"/>
        <v>102.2458833</v>
      </c>
      <c r="CO49" s="370">
        <f t="shared" si="17"/>
        <v>102.2458833</v>
      </c>
      <c r="CP49" s="414"/>
      <c r="CQ49" s="134">
        <f t="shared" si="66"/>
        <v>4.0000000000000001E-3</v>
      </c>
      <c r="CU49" s="113" t="str">
        <f t="shared" si="67"/>
        <v>E5393</v>
      </c>
      <c r="CV49" s="359" t="str">
        <f t="shared" si="68"/>
        <v>Vallée d'Arce 1 (DR)</v>
      </c>
      <c r="CW49" s="300">
        <f t="shared" si="69"/>
        <v>351718.94469920098</v>
      </c>
      <c r="CX49" s="298">
        <f t="shared" si="70"/>
        <v>289515.79111329472</v>
      </c>
      <c r="CY49" s="298">
        <f t="shared" si="71"/>
        <v>286120.58785488416</v>
      </c>
      <c r="CZ49" s="298">
        <f t="shared" si="72"/>
        <v>237530.24752554926</v>
      </c>
      <c r="DA49" s="298">
        <f t="shared" si="73"/>
        <v>201912.17085319353</v>
      </c>
      <c r="DB49" s="298">
        <f t="shared" si="74"/>
        <v>156853.15123683287</v>
      </c>
      <c r="DC49" s="298">
        <f t="shared" si="75"/>
        <v>152313.41323919792</v>
      </c>
      <c r="DD49" s="298">
        <f t="shared" si="76"/>
        <v>144060.98837303222</v>
      </c>
      <c r="DE49" s="298">
        <f t="shared" si="77"/>
        <v>199147.50777606908</v>
      </c>
      <c r="DF49" s="298">
        <f t="shared" si="78"/>
        <v>283846.96059583855</v>
      </c>
      <c r="DG49" s="371">
        <f t="shared" si="79"/>
        <v>300516.2128724918</v>
      </c>
      <c r="DH49" s="372">
        <f t="shared" si="80"/>
        <v>367389.2589594429</v>
      </c>
      <c r="DI49" s="67">
        <f t="shared" si="81"/>
        <v>2970925.2350990279</v>
      </c>
      <c r="DJ49" s="364">
        <f>_xll.LVCELL($E$1,Q$2,$C49,$D$2,$C$4,$C$5,$C$6,$C$7,$C$8,$D$3)+_xll.LVCELL($E$2,Q$2,$C49,$D$2,$C$4,$C$5,$C$6,$C$7,$C$8,$D$3)</f>
        <v>7329298.7485585557</v>
      </c>
      <c r="DK49" s="82">
        <f t="shared" si="44"/>
        <v>-4358373.5134595279</v>
      </c>
      <c r="DM49" s="518">
        <f t="shared" si="82"/>
        <v>100.45484583846419</v>
      </c>
      <c r="DO49" s="64" t="str">
        <f t="shared" si="83"/>
        <v>E5393</v>
      </c>
      <c r="DP49" s="64" t="str">
        <f t="shared" si="84"/>
        <v>BEV4</v>
      </c>
      <c r="DQ49" s="359" t="str">
        <f t="shared" si="85"/>
        <v>Vallée d'Arce 1 (DR)</v>
      </c>
      <c r="DR49" s="365">
        <f>_xll.LVCELL($DP$3,DR$3,$DP49,$DQ$2,$DP$4,$DP$5,$DP$6,$DP$7,$DP$8,$DQ$3)/100</f>
        <v>0.97</v>
      </c>
      <c r="DS49" s="365">
        <f>_xll.LVCELL($DP$3,DS$3,$DP49,$DQ$2,$DP$4,$DP$5,$DP$6,$DP$7,$DP$8,$DQ$3)/100</f>
        <v>0.97</v>
      </c>
      <c r="DT49" s="365">
        <f>_xll.LVCELL($DP$3,DT$3,$DP49,$DQ$2,$DP$4,$DP$5,$DP$6,$DP$7,$DP$8,$DQ$3)/100</f>
        <v>0.97</v>
      </c>
      <c r="DU49" s="365">
        <f>_xll.LVCELL($DP$3,DU$3,$DP49,$DQ$2,$DP$4,$DP$5,$DP$6,$DP$7,$DP$8,$DQ$3)/100</f>
        <v>0.97</v>
      </c>
      <c r="DV49" s="365">
        <f>_xll.LVCELL($DP$3,DV$3,$DP49,$DQ$2,$DP$4,$DP$5,$DP$6,$DP$7,$DP$8,$DQ$3)/100</f>
        <v>0.97</v>
      </c>
      <c r="DW49" s="365">
        <f>_xll.LVCELL($DP$3,DW$3,$DP49,$DQ$2,$DP$4,$DP$5,$DP$6,$DP$7,$DP$8,$DQ$3)/100</f>
        <v>0.97</v>
      </c>
      <c r="DX49" s="365">
        <f>_xll.LVCELL($DP$3,DX$3,$DP49,$DQ$2,$DP$4,$DP$5,$DP$6,$DP$7,$DP$8,$DQ$3)/100</f>
        <v>0.97</v>
      </c>
      <c r="DY49" s="365">
        <f>_xll.LVCELL($DP$3,DY$3,$DP49,$DQ$2,$DP$4,$DP$5,$DP$6,$DP$7,$DP$8,$DQ$3)/100</f>
        <v>0.97</v>
      </c>
      <c r="DZ49" s="365">
        <f>_xll.LVCELL($DP$3,DZ$3,$DP49,$DQ$2,$DP$4,$DP$5,$DP$6,$DP$7,$DP$8,$DQ$3)/100</f>
        <v>0.97</v>
      </c>
      <c r="EA49" s="365">
        <f>_xll.LVCELL($DP$3,EA$3,$DP49,$DQ$2,$DP$4,$DP$5,$DP$6,$DP$7,$DP$8,$DQ$3)/100</f>
        <v>0.97</v>
      </c>
      <c r="EB49" s="365">
        <f>_xll.LVCELL($DP$3,EB$3,$DP49,$DQ$2,$DP$4,$DP$5,$DP$6,$DP$7,$DP$8,$DQ$3)/100</f>
        <v>0.97</v>
      </c>
      <c r="EC49" s="365">
        <f>_xll.LVCELL($DP$3,EC$3,$DP49,$DQ$2,$DP$4,$DP$5,$DP$6,$DP$7,$DP$8,$DQ$3)/100</f>
        <v>0.97</v>
      </c>
      <c r="ED49" s="582">
        <f t="shared" si="45"/>
        <v>11.64</v>
      </c>
      <c r="EF49" s="64" t="s">
        <v>444</v>
      </c>
      <c r="EG49" s="64" t="s">
        <v>269</v>
      </c>
      <c r="EH49" s="359" t="s">
        <v>2643</v>
      </c>
      <c r="EI49" s="366" t="e">
        <f ca="1">_xll.LVCELL($EG$3,EI$3,$DP49,$DQ$2,$DP$4,$DP$5,$DP$6,$DP$7,$DP$8,$DQ$3)-CW49-CW50-CW51</f>
        <v>#NAME?</v>
      </c>
      <c r="EJ49" s="367" t="e">
        <f ca="1">_xll.LVCELL($EG$3,EJ$3,$DP49,$DQ$2,$DP$4,$DP$5,$DP$6,$DP$7,$DP$8,$DQ$3)-CX49-CX50-CX51</f>
        <v>#NAME?</v>
      </c>
      <c r="EK49" s="368" t="e">
        <f ca="1">_xll.LVCELL($EG$3,EK$3,$DP49,$DQ$2,$DP$4,$DP$5,$DP$6,$DP$7,$DP$8,$DQ$3)-CY49-CY50-CY51</f>
        <v>#NAME?</v>
      </c>
      <c r="EL49" s="367" t="e">
        <f ca="1">_xll.LVCELL($EG$3,EL$3,$DP49,$DQ$2,$DP$4,$DP$5,$DP$6,$DP$7,$DP$8,$DQ$3)-CZ49-CZ50-CZ51</f>
        <v>#NAME?</v>
      </c>
      <c r="EM49" s="368" t="e">
        <f ca="1">_xll.LVCELL($EG$3,EM$3,$DP49,$DQ$2,$DP$4,$DP$5,$DP$6,$DP$7,$DP$8,$DQ$3)-DA49-DA50-DA51</f>
        <v>#NAME?</v>
      </c>
      <c r="EN49" s="367" t="e">
        <f ca="1">_xll.LVCELL($EG$3,EN$3,$DP49,$DQ$2,$DP$4,$DP$5,$DP$6,$DP$7,$DP$8,$DQ$3)-DB49-DB50-DB51</f>
        <v>#NAME?</v>
      </c>
      <c r="EO49" s="368" t="e">
        <f ca="1">_xll.LVCELL($EG$3,EO$3,$DP49,$DQ$2,$DP$4,$DP$5,$DP$6,$DP$7,$DP$8,$DQ$3)-DC49-DC50-DC51</f>
        <v>#NAME?</v>
      </c>
      <c r="EP49" s="367" t="e">
        <f ca="1">_xll.LVCELL($EG$3,EP$3,$DP49,$DQ$2,$DP$4,$DP$5,$DP$6,$DP$7,$DP$8,$DQ$3)-DD49-DD50-DD51</f>
        <v>#NAME?</v>
      </c>
      <c r="EQ49" s="368" t="e">
        <f ca="1">_xll.LVCELL($EG$3,EQ$3,$DP49,$DQ$2,$DP$4,$DP$5,$DP$6,$DP$7,$DP$8,$DQ$3)-DE49-DE50-DE51</f>
        <v>#NAME?</v>
      </c>
      <c r="ER49" s="367" t="e">
        <f ca="1">_xll.LVCELL($EG$3,ER$3,$DP49,$DQ$2,$DP$4,$DP$5,$DP$6,$DP$7,$DP$8,$DQ$3)-DF49-DF50-DF51</f>
        <v>#NAME?</v>
      </c>
      <c r="ES49" s="368" t="e">
        <f ca="1">_xll.LVCELL($EG$3,ES$3,$DP49,$DQ$2,$DP$4,$DP$5,$DP$6,$DP$7,$DP$8,$DQ$3)-DG49-DG50-DG51</f>
        <v>#NAME?</v>
      </c>
      <c r="ET49" s="367" t="e">
        <f ca="1">_xll.LVCELL($EG$3,ET$3,$DP49,$DQ$2,$DP$4,$DP$5,$DP$6,$DP$7,$DP$8,$DQ$3)-DH49-DH50-DH51</f>
        <v>#NAME?</v>
      </c>
      <c r="EW49" s="64" t="s">
        <v>444</v>
      </c>
      <c r="EX49" s="64" t="s">
        <v>269</v>
      </c>
      <c r="EY49" s="359" t="s">
        <v>2643</v>
      </c>
      <c r="EZ49" s="364">
        <f>_xll.LVCELL($EX$3,EZ$3,$DP49,$DQ$2,$DP$4,$DP$5,$DP$6,$DP$7,$DP$8,$DQ$3)</f>
        <v>30000</v>
      </c>
      <c r="FA49" s="364">
        <f>_xll.LVCELL($EX$3,FA$3,$DP49,$DQ$2,$DP$4,$DP$5,$DP$6,$DP$7,$DP$8,$DQ$3)</f>
        <v>30000</v>
      </c>
      <c r="FB49" s="364">
        <f>_xll.LVCELL($EX$3,FB$3,$DP49,$DQ$2,$DP$4,$DP$5,$DP$6,$DP$7,$DP$8,$DQ$3)</f>
        <v>30000</v>
      </c>
      <c r="FC49" s="364">
        <f>_xll.LVCELL($EX$3,FC$3,$DP49,$DQ$2,$DP$4,$DP$5,$DP$6,$DP$7,$DP$8,$DQ$3)</f>
        <v>30000</v>
      </c>
      <c r="FD49" s="364">
        <f>_xll.LVCELL($EX$3,FD$3,$DP49,$DQ$2,$DP$4,$DP$5,$DP$6,$DP$7,$DP$8,$DQ$3)</f>
        <v>30000</v>
      </c>
      <c r="FE49" s="364">
        <f>_xll.LVCELL($EX$3,FE$3,$DP49,$DQ$2,$DP$4,$DP$5,$DP$6,$DP$7,$DP$8,$DQ$3)</f>
        <v>30000</v>
      </c>
      <c r="FF49" s="364">
        <f>_xll.LVCELL($EX$3,FF$3,$DP49,$DQ$2,$DP$4,$DP$5,$DP$6,$DP$7,$DP$8,$DQ$3)</f>
        <v>30000</v>
      </c>
      <c r="FG49" s="364">
        <f>_xll.LVCELL($EX$3,FG$3,$DP49,$DQ$2,$DP$4,$DP$5,$DP$6,$DP$7,$DP$8,$DQ$3)</f>
        <v>30000</v>
      </c>
      <c r="FH49" s="364">
        <f>_xll.LVCELL($EX$3,FH$3,$DP49,$DQ$2,$DP$4,$DP$5,$DP$6,$DP$7,$DP$8,$DQ$3)</f>
        <v>30000</v>
      </c>
      <c r="FI49" s="364">
        <f>_xll.LVCELL($EX$3,FI$3,$DP49,$DQ$2,$DP$4,$DP$5,$DP$6,$DP$7,$DP$8,$DQ$3)</f>
        <v>30000</v>
      </c>
      <c r="FJ49" s="364">
        <f>_xll.LVCELL($EX$3,FJ$3,$DP49,$DQ$2,$DP$4,$DP$5,$DP$6,$DP$7,$DP$8,$DQ$3)</f>
        <v>30000</v>
      </c>
      <c r="FK49" s="276">
        <f>_xll.LVCELL($EX$3,FK$3,$DP49,$DQ$2,$DP$4,$DP$5,$DP$6,$DP$7,$DP$8,$DQ$3)</f>
        <v>30000</v>
      </c>
      <c r="FN49" s="64" t="s">
        <v>444</v>
      </c>
      <c r="FO49" s="64" t="s">
        <v>269</v>
      </c>
      <c r="FP49" s="359" t="s">
        <v>2643</v>
      </c>
      <c r="FQ49" s="364">
        <f>_xll.LVCELL($FO$3,FQ$3,$DP49,$DQ$2,$DP$4,$DP$5,$DP$6,$DP$7,$DP$8,$DQ$3)</f>
        <v>15</v>
      </c>
      <c r="FR49" s="364">
        <f>_xll.LVCELL($FO$3,FR$3,$DP49,$DQ$2,$DP$4,$DP$5,$DP$6,$DP$7,$DP$8,$DQ$3)</f>
        <v>15</v>
      </c>
      <c r="FS49" s="364">
        <f>_xll.LVCELL($FO$3,FS$3,$DP49,$DQ$2,$DP$4,$DP$5,$DP$6,$DP$7,$DP$8,$DQ$3)</f>
        <v>15</v>
      </c>
      <c r="FT49" s="364">
        <f>_xll.LVCELL($FO$3,FT$3,$DP49,$DQ$2,$DP$4,$DP$5,$DP$6,$DP$7,$DP$8,$DQ$3)</f>
        <v>15</v>
      </c>
      <c r="FU49" s="364">
        <f>_xll.LVCELL($FO$3,FU$3,$DP49,$DQ$2,$DP$4,$DP$5,$DP$6,$DP$7,$DP$8,$DQ$3)</f>
        <v>15</v>
      </c>
      <c r="FV49" s="364">
        <f>_xll.LVCELL($FO$3,FV$3,$DP49,$DQ$2,$DP$4,$DP$5,$DP$6,$DP$7,$DP$8,$DQ$3)</f>
        <v>15</v>
      </c>
      <c r="FW49" s="364">
        <f>_xll.LVCELL($FO$3,FW$3,$DP49,$DQ$2,$DP$4,$DP$5,$DP$6,$DP$7,$DP$8,$DQ$3)</f>
        <v>15</v>
      </c>
      <c r="FX49" s="364">
        <f>_xll.LVCELL($FO$3,FX$3,$DP49,$DQ$2,$DP$4,$DP$5,$DP$6,$DP$7,$DP$8,$DQ$3)</f>
        <v>15</v>
      </c>
      <c r="FY49" s="364">
        <f>_xll.LVCELL($FO$3,FY$3,$DP49,$DQ$2,$DP$4,$DP$5,$DP$6,$DP$7,$DP$8,$DQ$3)</f>
        <v>15</v>
      </c>
      <c r="FZ49" s="364">
        <f>_xll.LVCELL($FO$3,FZ$3,$DP49,$DQ$2,$DP$4,$DP$5,$DP$6,$DP$7,$DP$8,$DQ$3)</f>
        <v>15</v>
      </c>
      <c r="GA49" s="364">
        <f>_xll.LVCELL($FO$3,GA$3,$DP49,$DQ$2,$DP$4,$DP$5,$DP$6,$DP$7,$DP$8,$DQ$3)</f>
        <v>15</v>
      </c>
      <c r="GB49" s="172">
        <f>_xll.LVCELL($FO$3,GB$3,$DP49,$DQ$2,$DP$4,$DP$5,$DP$6,$DP$7,$DP$8,$DQ$3)</f>
        <v>15</v>
      </c>
    </row>
    <row r="50" spans="1:184" ht="15">
      <c r="A50" s="286"/>
      <c r="B50" s="64" t="s">
        <v>444</v>
      </c>
      <c r="C50" s="108" t="s">
        <v>269</v>
      </c>
      <c r="D50" s="359" t="s">
        <v>551</v>
      </c>
      <c r="E50" s="357"/>
      <c r="F50" s="103">
        <f>'distribution mensuelle Prod B22'!$AP$36</f>
        <v>1744387.9119753479</v>
      </c>
      <c r="G50" s="103">
        <f>'distribution mensuelle Prod B22'!$AP$37</f>
        <v>1435884.6856427474</v>
      </c>
      <c r="H50" s="103">
        <f>'distribution mensuelle Prod B22'!$AP$38</f>
        <v>1419045.8101373755</v>
      </c>
      <c r="I50" s="103">
        <f>'distribution mensuelle Prod B22'!$AP$39</f>
        <v>1178056.7943715365</v>
      </c>
      <c r="J50" s="103">
        <f>'distribution mensuelle Prod B22'!$AP$40</f>
        <v>1001405.1145815692</v>
      </c>
      <c r="K50" s="103">
        <f>'distribution mensuelle Prod B22'!$AP$41</f>
        <v>777930.06346807093</v>
      </c>
      <c r="L50" s="103">
        <f>'distribution mensuelle Prod B22'!$AP$42</f>
        <v>755414.74489919993</v>
      </c>
      <c r="M50" s="103">
        <f>'distribution mensuelle Prod B22'!$AP$43</f>
        <v>714485.95673473086</v>
      </c>
      <c r="N50" s="103">
        <f>'distribution mensuelle Prod B22'!$AP$44</f>
        <v>987693.47088109993</v>
      </c>
      <c r="O50" s="103">
        <f>'distribution mensuelle Prod B22'!$AP$45</f>
        <v>1407769.5113573691</v>
      </c>
      <c r="P50" s="103">
        <f>'distribution mensuelle Prod B22'!$AP$46</f>
        <v>1456933.0007588007</v>
      </c>
      <c r="Q50" s="103">
        <f>'distribution mensuelle Prod B22'!$AP$47</f>
        <v>1781140.2931842594</v>
      </c>
      <c r="R50" s="67">
        <f t="shared" si="60"/>
        <v>14660147.357992109</v>
      </c>
      <c r="S50" s="358"/>
      <c r="T50" s="169"/>
      <c r="W50" s="113" t="str">
        <f t="shared" si="61"/>
        <v>E5393</v>
      </c>
      <c r="X50" s="359" t="str">
        <f t="shared" si="62"/>
        <v>Vallée d'Arce 2 (NY)</v>
      </c>
      <c r="Y50" s="299" cm="1">
        <f t="array" ref="Y50">_xll.LVCELL($D$4,F$1,$B50,$D$2,$C$4,$C$5,$C$6,$C$7,$C$8,$D$3)*1000</f>
        <v>97.763908000000001</v>
      </c>
      <c r="Z50" s="299" cm="1">
        <f t="array" ref="Z50">_xll.LVCELL($D$4,G$1,$B50,$D$2,$C$4,$C$5,$C$6,$C$7,$C$8,$D$3)*1000</f>
        <v>97.766333000000003</v>
      </c>
      <c r="AA50" s="299" cm="1">
        <f t="array" ref="AA50">_xll.LVCELL($D$4,H$1,$B50,$D$2,$C$4,$C$5,$C$6,$C$7,$C$8,$D$3)*1000</f>
        <v>97.766406482008449</v>
      </c>
      <c r="AB50" s="299" cm="1">
        <f t="array" ref="AB50">_xll.LVCELL($D$4,I$1,$B50,$D$2,$C$4,$C$5,$C$6,$C$7,$C$8,$D$3)*1000</f>
        <v>97.76706684448915</v>
      </c>
      <c r="AC50" s="299" cm="1">
        <f t="array" ref="AC50">_xll.LVCELL($D$4,J$1,$B50,$D$2,$C$4,$C$5,$C$6,$C$7,$C$8,$D$3)*1000</f>
        <v>98.175199804334611</v>
      </c>
      <c r="AD50" s="299" cm="1">
        <f t="array" ref="AD50">_xll.LVCELL($D$4,K$1,$B50,$D$2,$C$4,$C$5,$C$6,$C$7,$C$8,$D$3)*1000</f>
        <v>97.765507820378829</v>
      </c>
      <c r="AE50" s="299" cm="1">
        <f t="array" ref="AE50">_xll.LVCELL($D$4,L$1,$B50,$D$2,$C$4,$C$5,$C$6,$C$7,$C$8,$D$3)*1000</f>
        <v>97.763278057937512</v>
      </c>
      <c r="AF50" s="299">
        <v>97.81</v>
      </c>
      <c r="AG50" s="299">
        <f t="shared" si="53"/>
        <v>97.81</v>
      </c>
      <c r="AH50" s="299">
        <f t="shared" si="53"/>
        <v>97.81</v>
      </c>
      <c r="AI50" s="299">
        <f t="shared" si="54"/>
        <v>100.05963</v>
      </c>
      <c r="AJ50" s="412">
        <f t="shared" si="55"/>
        <v>100.05963</v>
      </c>
      <c r="AK50" s="67"/>
      <c r="AL50" s="134">
        <f t="shared" si="63"/>
        <v>2.3E-2</v>
      </c>
      <c r="AM50" s="134"/>
      <c r="AN50" s="134"/>
      <c r="AO50" s="134"/>
      <c r="AP50" s="113" t="str">
        <f t="shared" si="38"/>
        <v>E5393</v>
      </c>
      <c r="AQ50" s="567" t="str">
        <f t="shared" si="39"/>
        <v>Vallée d'Arce 2 (NY)</v>
      </c>
      <c r="AR50" s="377"/>
      <c r="AS50" s="377"/>
      <c r="AT50" s="377"/>
      <c r="AU50" s="377"/>
      <c r="AV50" s="377"/>
      <c r="AW50" s="377"/>
      <c r="AX50" s="377"/>
      <c r="AY50" s="377"/>
      <c r="AZ50" s="377"/>
      <c r="BA50" s="377"/>
      <c r="BB50" s="377"/>
      <c r="BC50" s="378"/>
      <c r="BD50" s="414"/>
      <c r="BE50" s="134"/>
      <c r="BF50" s="134"/>
      <c r="BG50" s="134"/>
      <c r="BH50" s="134"/>
      <c r="BI50" s="113" t="str">
        <f t="shared" si="40"/>
        <v>E5393</v>
      </c>
      <c r="BJ50" s="567" t="str">
        <f t="shared" si="41"/>
        <v>Vallée d'Arce 2 (NY)</v>
      </c>
      <c r="BK50" s="299">
        <f t="shared" si="49"/>
        <v>100.05963</v>
      </c>
      <c r="BL50" s="299">
        <f t="shared" si="86"/>
        <v>100.05963</v>
      </c>
      <c r="BM50" s="299">
        <f t="shared" si="86"/>
        <v>100.05963</v>
      </c>
      <c r="BN50" s="299">
        <f t="shared" si="86"/>
        <v>100.05963</v>
      </c>
      <c r="BO50" s="299">
        <f t="shared" si="86"/>
        <v>100.05963</v>
      </c>
      <c r="BP50" s="299">
        <f t="shared" si="86"/>
        <v>100.05963</v>
      </c>
      <c r="BQ50" s="299">
        <f t="shared" si="86"/>
        <v>100.05963</v>
      </c>
      <c r="BR50" s="299">
        <f t="shared" si="86"/>
        <v>100.05963</v>
      </c>
      <c r="BS50" s="299">
        <f t="shared" si="86"/>
        <v>100.05963</v>
      </c>
      <c r="BT50" s="299">
        <f t="shared" si="86"/>
        <v>100.05963</v>
      </c>
      <c r="BU50" s="299">
        <f t="shared" si="57"/>
        <v>102.36100148999999</v>
      </c>
      <c r="BV50" s="370">
        <f t="shared" si="58"/>
        <v>102.36100148999999</v>
      </c>
      <c r="BW50" s="414"/>
      <c r="BX50" s="134"/>
      <c r="BY50" s="134"/>
      <c r="BZ50" s="134"/>
      <c r="CA50" s="134"/>
      <c r="CB50" s="113" t="str">
        <f t="shared" si="64"/>
        <v>E5393</v>
      </c>
      <c r="CC50" s="373" t="str">
        <f t="shared" si="65"/>
        <v>Vallée d'Arce 2 (NY)</v>
      </c>
      <c r="CD50" s="299">
        <f t="shared" si="43"/>
        <v>100.05963</v>
      </c>
      <c r="CE50" s="299">
        <f t="shared" si="7"/>
        <v>100.05963</v>
      </c>
      <c r="CF50" s="299">
        <f t="shared" si="8"/>
        <v>100.05963</v>
      </c>
      <c r="CG50" s="299">
        <f t="shared" si="9"/>
        <v>100.05963</v>
      </c>
      <c r="CH50" s="299">
        <f t="shared" si="10"/>
        <v>100.05963</v>
      </c>
      <c r="CI50" s="299">
        <f t="shared" si="11"/>
        <v>100.05963</v>
      </c>
      <c r="CJ50" s="299">
        <f t="shared" si="12"/>
        <v>100.05963</v>
      </c>
      <c r="CK50" s="299">
        <f t="shared" si="13"/>
        <v>100.05963</v>
      </c>
      <c r="CL50" s="299">
        <f t="shared" si="14"/>
        <v>100.05963</v>
      </c>
      <c r="CM50" s="299">
        <f t="shared" si="15"/>
        <v>100.05963</v>
      </c>
      <c r="CN50" s="299">
        <f t="shared" si="16"/>
        <v>102.36100148999999</v>
      </c>
      <c r="CO50" s="370">
        <f t="shared" si="17"/>
        <v>102.36100148999999</v>
      </c>
      <c r="CP50" s="414"/>
      <c r="CQ50" s="134">
        <f t="shared" si="66"/>
        <v>4.0000000000000001E-3</v>
      </c>
      <c r="CU50" s="113" t="str">
        <f t="shared" si="67"/>
        <v>E5393</v>
      </c>
      <c r="CV50" s="359" t="str">
        <f t="shared" si="68"/>
        <v>Vallée d'Arce 2 (NY)</v>
      </c>
      <c r="CW50" s="300">
        <f t="shared" si="69"/>
        <v>174542.80904872587</v>
      </c>
      <c r="CX50" s="298">
        <f t="shared" si="70"/>
        <v>143674.0903680796</v>
      </c>
      <c r="CY50" s="298">
        <f t="shared" si="71"/>
        <v>141989.19871539602</v>
      </c>
      <c r="CZ50" s="298">
        <f t="shared" si="72"/>
        <v>117875.92696380202</v>
      </c>
      <c r="DA50" s="298">
        <f t="shared" si="73"/>
        <v>100200.22524513942</v>
      </c>
      <c r="DB50" s="298">
        <f t="shared" si="74"/>
        <v>77839.394316491685</v>
      </c>
      <c r="DC50" s="298">
        <f t="shared" si="75"/>
        <v>75586.519871158336</v>
      </c>
      <c r="DD50" s="298">
        <f t="shared" si="76"/>
        <v>71491.200471073171</v>
      </c>
      <c r="DE50" s="298">
        <f t="shared" si="77"/>
        <v>98828.243249778636</v>
      </c>
      <c r="DF50" s="298">
        <f t="shared" si="78"/>
        <v>140860.89643169916</v>
      </c>
      <c r="DG50" s="371">
        <f t="shared" si="79"/>
        <v>149133.12106150176</v>
      </c>
      <c r="DH50" s="372">
        <f t="shared" si="80"/>
        <v>182319.30420453299</v>
      </c>
      <c r="DI50" s="67">
        <f t="shared" si="81"/>
        <v>1474340.9299473786</v>
      </c>
      <c r="DJ50" s="364"/>
      <c r="DK50" s="82">
        <f t="shared" si="44"/>
        <v>1474340.9299473786</v>
      </c>
      <c r="DM50" s="518">
        <f t="shared" si="82"/>
        <v>100.567947507269</v>
      </c>
      <c r="DO50" s="64" t="str">
        <f t="shared" si="83"/>
        <v>E5393</v>
      </c>
      <c r="DP50" s="64" t="str">
        <f t="shared" si="84"/>
        <v>BEV4</v>
      </c>
      <c r="DQ50" s="359" t="str">
        <f t="shared" si="85"/>
        <v>Vallée d'Arce 2 (NY)</v>
      </c>
      <c r="DR50" s="365">
        <f>_xll.LVCELL($DP$3,DR$3,$DP50,$DQ$2,$DP$4,$DP$5,$DP$6,$DP$7,$DP$8,$DQ$3)/100</f>
        <v>0.97</v>
      </c>
      <c r="DS50" s="365">
        <f>_xll.LVCELL($DP$3,DS$3,$DP50,$DQ$2,$DP$4,$DP$5,$DP$6,$DP$7,$DP$8,$DQ$3)/100</f>
        <v>0.97</v>
      </c>
      <c r="DT50" s="365">
        <f>_xll.LVCELL($DP$3,DT$3,$DP50,$DQ$2,$DP$4,$DP$5,$DP$6,$DP$7,$DP$8,$DQ$3)/100</f>
        <v>0.97</v>
      </c>
      <c r="DU50" s="365">
        <f>_xll.LVCELL($DP$3,DU$3,$DP50,$DQ$2,$DP$4,$DP$5,$DP$6,$DP$7,$DP$8,$DQ$3)/100</f>
        <v>0.97</v>
      </c>
      <c r="DV50" s="365">
        <f>_xll.LVCELL($DP$3,DV$3,$DP50,$DQ$2,$DP$4,$DP$5,$DP$6,$DP$7,$DP$8,$DQ$3)/100</f>
        <v>0.97</v>
      </c>
      <c r="DW50" s="365">
        <f>_xll.LVCELL($DP$3,DW$3,$DP50,$DQ$2,$DP$4,$DP$5,$DP$6,$DP$7,$DP$8,$DQ$3)/100</f>
        <v>0.97</v>
      </c>
      <c r="DX50" s="365">
        <f>_xll.LVCELL($DP$3,DX$3,$DP50,$DQ$2,$DP$4,$DP$5,$DP$6,$DP$7,$DP$8,$DQ$3)/100</f>
        <v>0.97</v>
      </c>
      <c r="DY50" s="365">
        <f>_xll.LVCELL($DP$3,DY$3,$DP50,$DQ$2,$DP$4,$DP$5,$DP$6,$DP$7,$DP$8,$DQ$3)/100</f>
        <v>0.97</v>
      </c>
      <c r="DZ50" s="365">
        <f>_xll.LVCELL($DP$3,DZ$3,$DP50,$DQ$2,$DP$4,$DP$5,$DP$6,$DP$7,$DP$8,$DQ$3)/100</f>
        <v>0.97</v>
      </c>
      <c r="EA50" s="365">
        <f>_xll.LVCELL($DP$3,EA$3,$DP50,$DQ$2,$DP$4,$DP$5,$DP$6,$DP$7,$DP$8,$DQ$3)/100</f>
        <v>0.97</v>
      </c>
      <c r="EB50" s="365">
        <f>_xll.LVCELL($DP$3,EB$3,$DP50,$DQ$2,$DP$4,$DP$5,$DP$6,$DP$7,$DP$8,$DQ$3)/100</f>
        <v>0.97</v>
      </c>
      <c r="EC50" s="365">
        <f>_xll.LVCELL($DP$3,EC$3,$DP50,$DQ$2,$DP$4,$DP$5,$DP$6,$DP$7,$DP$8,$DQ$3)/100</f>
        <v>0.97</v>
      </c>
      <c r="ED50" s="582">
        <f t="shared" si="45"/>
        <v>11.64</v>
      </c>
      <c r="EF50" s="64" t="s">
        <v>444</v>
      </c>
      <c r="EH50" s="359"/>
      <c r="EI50" s="366"/>
      <c r="EJ50" s="367"/>
      <c r="EK50" s="368"/>
      <c r="EL50" s="367"/>
      <c r="EM50" s="368"/>
      <c r="EN50" s="367"/>
      <c r="EO50" s="368"/>
      <c r="EP50" s="367"/>
      <c r="EQ50" s="368"/>
      <c r="ER50" s="367"/>
      <c r="ES50" s="368"/>
      <c r="ET50" s="367"/>
      <c r="EY50" s="359"/>
      <c r="EZ50" s="364"/>
      <c r="FA50" s="364"/>
      <c r="FB50" s="364"/>
      <c r="FC50" s="364"/>
      <c r="FD50" s="364"/>
      <c r="FE50" s="364"/>
      <c r="FF50" s="364"/>
      <c r="FG50" s="364"/>
      <c r="FH50" s="364"/>
      <c r="FI50" s="364"/>
      <c r="FJ50" s="364"/>
      <c r="FK50" s="364"/>
      <c r="FP50" s="359"/>
      <c r="FQ50" s="364"/>
      <c r="FR50" s="364"/>
      <c r="FS50" s="364"/>
      <c r="FT50" s="364"/>
      <c r="FU50" s="364"/>
      <c r="FV50" s="364"/>
      <c r="FW50" s="364"/>
      <c r="FX50" s="364"/>
      <c r="FY50" s="364"/>
      <c r="FZ50" s="364"/>
      <c r="GA50" s="364"/>
      <c r="GB50" s="172"/>
    </row>
    <row r="51" spans="1:184" ht="15">
      <c r="A51" s="286"/>
      <c r="B51" s="64" t="s">
        <v>444</v>
      </c>
      <c r="C51" s="108" t="s">
        <v>269</v>
      </c>
      <c r="D51" s="359" t="s">
        <v>552</v>
      </c>
      <c r="E51" s="357"/>
      <c r="F51" s="103">
        <f>'distribution mensuelle Prod B22'!$AQ$36</f>
        <v>3412285.2694539959</v>
      </c>
      <c r="G51" s="103">
        <f>'distribution mensuelle Prod B22'!$AQ$37</f>
        <v>2808806.5319742779</v>
      </c>
      <c r="H51" s="103">
        <f>'distribution mensuelle Prod B22'!$AQ$38</f>
        <v>2775867.1573967026</v>
      </c>
      <c r="I51" s="103">
        <f>'distribution mensuelle Prod B22'!$AQ$39</f>
        <v>2304456.3760259529</v>
      </c>
      <c r="J51" s="103">
        <f>'distribution mensuelle Prod B22'!$AQ$40</f>
        <v>1958899.1059752714</v>
      </c>
      <c r="K51" s="103">
        <f>'distribution mensuelle Prod B22'!$AQ$41</f>
        <v>1521748.275148002</v>
      </c>
      <c r="L51" s="103">
        <f>'distribution mensuelle Prod B22'!$AQ$42</f>
        <v>1477704.9236880499</v>
      </c>
      <c r="M51" s="103">
        <f>'distribution mensuelle Prod B22'!$AQ$43</f>
        <v>1397642.0546487495</v>
      </c>
      <c r="N51" s="103">
        <f>'distribution mensuelle Prod B22'!$AQ$44</f>
        <v>1932077.0674264431</v>
      </c>
      <c r="O51" s="103">
        <f>'distribution mensuelle Prod B22'!$AQ$45</f>
        <v>2753809.0200083246</v>
      </c>
      <c r="P51" s="103">
        <f>'distribution mensuelle Prod B22'!$AQ$46</f>
        <v>2849980.203910586</v>
      </c>
      <c r="Q51" s="103">
        <f>'distribution mensuelle Prod B22'!$AQ$47</f>
        <v>3484178.4579790831</v>
      </c>
      <c r="R51" s="67">
        <f t="shared" si="60"/>
        <v>28677454.443635438</v>
      </c>
      <c r="S51" s="358"/>
      <c r="T51" s="169"/>
      <c r="W51" s="113" t="str">
        <f t="shared" si="61"/>
        <v>E5393</v>
      </c>
      <c r="X51" s="359" t="str">
        <f t="shared" si="62"/>
        <v>Vallée d'Arce 3 (NU)</v>
      </c>
      <c r="Y51" s="299" cm="1">
        <f t="array" ref="Y51">_xll.LVCELL($D$4,F$1,$B51,$D$2,$C$4,$C$5,$C$6,$C$7,$C$8,$D$3)*1000</f>
        <v>97.763908000000001</v>
      </c>
      <c r="Z51" s="299" cm="1">
        <f t="array" ref="Z51">_xll.LVCELL($D$4,G$1,$B51,$D$2,$C$4,$C$5,$C$6,$C$7,$C$8,$D$3)*1000</f>
        <v>97.766333000000003</v>
      </c>
      <c r="AA51" s="299" cm="1">
        <f t="array" ref="AA51">_xll.LVCELL($D$4,H$1,$B51,$D$2,$C$4,$C$5,$C$6,$C$7,$C$8,$D$3)*1000</f>
        <v>97.766406482008449</v>
      </c>
      <c r="AB51" s="299" cm="1">
        <f t="array" ref="AB51">_xll.LVCELL($D$4,I$1,$B51,$D$2,$C$4,$C$5,$C$6,$C$7,$C$8,$D$3)*1000</f>
        <v>97.76706684448915</v>
      </c>
      <c r="AC51" s="299" cm="1">
        <f t="array" ref="AC51">_xll.LVCELL($D$4,J$1,$B51,$D$2,$C$4,$C$5,$C$6,$C$7,$C$8,$D$3)*1000</f>
        <v>98.175199804334611</v>
      </c>
      <c r="AD51" s="299" cm="1">
        <f t="array" ref="AD51">_xll.LVCELL($D$4,K$1,$B51,$D$2,$C$4,$C$5,$C$6,$C$7,$C$8,$D$3)*1000</f>
        <v>97.765507820378829</v>
      </c>
      <c r="AE51" s="299" cm="1">
        <f t="array" ref="AE51">_xll.LVCELL($D$4,L$1,$B51,$D$2,$C$4,$C$5,$C$6,$C$7,$C$8,$D$3)*1000</f>
        <v>97.763278057937512</v>
      </c>
      <c r="AF51" s="299">
        <v>97.81</v>
      </c>
      <c r="AG51" s="299">
        <f t="shared" si="53"/>
        <v>97.81</v>
      </c>
      <c r="AH51" s="299">
        <f t="shared" si="53"/>
        <v>97.81</v>
      </c>
      <c r="AI51" s="299">
        <f t="shared" si="54"/>
        <v>100.05963</v>
      </c>
      <c r="AJ51" s="412">
        <f t="shared" si="55"/>
        <v>100.05963</v>
      </c>
      <c r="AK51" s="67"/>
      <c r="AL51" s="134">
        <f t="shared" si="63"/>
        <v>2.3E-2</v>
      </c>
      <c r="AM51" s="134"/>
      <c r="AN51" s="134"/>
      <c r="AO51" s="134"/>
      <c r="AP51" s="113" t="str">
        <f t="shared" si="38"/>
        <v>E5393</v>
      </c>
      <c r="AQ51" s="567" t="str">
        <f t="shared" si="39"/>
        <v>Vallée d'Arce 3 (NU)</v>
      </c>
      <c r="AR51" s="377"/>
      <c r="AS51" s="377"/>
      <c r="AT51" s="377"/>
      <c r="AU51" s="377"/>
      <c r="AV51" s="377"/>
      <c r="AW51" s="377"/>
      <c r="AX51" s="377"/>
      <c r="AY51" s="377"/>
      <c r="AZ51" s="377"/>
      <c r="BA51" s="377"/>
      <c r="BB51" s="377"/>
      <c r="BC51" s="378"/>
      <c r="BD51" s="414"/>
      <c r="BE51" s="134"/>
      <c r="BF51" s="134"/>
      <c r="BG51" s="134"/>
      <c r="BH51" s="134"/>
      <c r="BI51" s="113" t="str">
        <f t="shared" si="40"/>
        <v>E5393</v>
      </c>
      <c r="BJ51" s="567" t="str">
        <f t="shared" si="41"/>
        <v>Vallée d'Arce 3 (NU)</v>
      </c>
      <c r="BK51" s="299">
        <f t="shared" si="49"/>
        <v>100.05963</v>
      </c>
      <c r="BL51" s="299">
        <f t="shared" si="86"/>
        <v>100.05963</v>
      </c>
      <c r="BM51" s="299">
        <f t="shared" si="86"/>
        <v>100.05963</v>
      </c>
      <c r="BN51" s="299">
        <f t="shared" si="86"/>
        <v>100.05963</v>
      </c>
      <c r="BO51" s="299">
        <f t="shared" si="86"/>
        <v>100.05963</v>
      </c>
      <c r="BP51" s="299">
        <f t="shared" si="86"/>
        <v>100.05963</v>
      </c>
      <c r="BQ51" s="299">
        <f t="shared" si="86"/>
        <v>100.05963</v>
      </c>
      <c r="BR51" s="299">
        <f t="shared" si="86"/>
        <v>100.05963</v>
      </c>
      <c r="BS51" s="299">
        <f t="shared" si="86"/>
        <v>100.05963</v>
      </c>
      <c r="BT51" s="299">
        <f t="shared" si="86"/>
        <v>100.05963</v>
      </c>
      <c r="BU51" s="299">
        <f t="shared" si="57"/>
        <v>102.36100148999999</v>
      </c>
      <c r="BV51" s="370">
        <f t="shared" si="58"/>
        <v>102.36100148999999</v>
      </c>
      <c r="BW51" s="414"/>
      <c r="BX51" s="134"/>
      <c r="BY51" s="134"/>
      <c r="BZ51" s="134"/>
      <c r="CA51" s="134"/>
      <c r="CB51" s="113" t="str">
        <f t="shared" si="64"/>
        <v>E5393</v>
      </c>
      <c r="CC51" s="373" t="str">
        <f t="shared" si="65"/>
        <v>Vallée d'Arce 3 (NU)</v>
      </c>
      <c r="CD51" s="299">
        <f t="shared" si="43"/>
        <v>100.05963</v>
      </c>
      <c r="CE51" s="299">
        <f t="shared" si="7"/>
        <v>100.05963</v>
      </c>
      <c r="CF51" s="299">
        <f t="shared" si="8"/>
        <v>100.05963</v>
      </c>
      <c r="CG51" s="299">
        <f t="shared" si="9"/>
        <v>100.05963</v>
      </c>
      <c r="CH51" s="299">
        <f t="shared" si="10"/>
        <v>100.05963</v>
      </c>
      <c r="CI51" s="299">
        <f t="shared" si="11"/>
        <v>100.05963</v>
      </c>
      <c r="CJ51" s="299">
        <f t="shared" si="12"/>
        <v>100.05963</v>
      </c>
      <c r="CK51" s="299">
        <f t="shared" si="13"/>
        <v>100.05963</v>
      </c>
      <c r="CL51" s="299">
        <f t="shared" si="14"/>
        <v>100.05963</v>
      </c>
      <c r="CM51" s="299">
        <f t="shared" si="15"/>
        <v>100.05963</v>
      </c>
      <c r="CN51" s="299">
        <f t="shared" si="16"/>
        <v>102.36100148999999</v>
      </c>
      <c r="CO51" s="370">
        <f t="shared" si="17"/>
        <v>102.36100148999999</v>
      </c>
      <c r="CP51" s="414"/>
      <c r="CQ51" s="134">
        <f t="shared" si="66"/>
        <v>4.0000000000000001E-3</v>
      </c>
      <c r="CU51" s="113" t="str">
        <f t="shared" si="67"/>
        <v>E5393</v>
      </c>
      <c r="CV51" s="359" t="str">
        <f t="shared" si="68"/>
        <v>Vallée d'Arce 3 (NU)</v>
      </c>
      <c r="CW51" s="300">
        <f t="shared" si="69"/>
        <v>341432.00151601713</v>
      </c>
      <c r="CX51" s="298">
        <f t="shared" si="70"/>
        <v>281048.1423309294</v>
      </c>
      <c r="CY51" s="298">
        <f t="shared" si="71"/>
        <v>277752.24069826578</v>
      </c>
      <c r="CZ51" s="298">
        <f t="shared" si="72"/>
        <v>230583.0523362977</v>
      </c>
      <c r="DA51" s="298">
        <f t="shared" si="73"/>
        <v>196006.71975121644</v>
      </c>
      <c r="DB51" s="298">
        <f t="shared" si="74"/>
        <v>152265.56936444726</v>
      </c>
      <c r="DC51" s="298">
        <f t="shared" si="75"/>
        <v>147858.6079134045</v>
      </c>
      <c r="DD51" s="298">
        <f t="shared" si="76"/>
        <v>139847.54686059366</v>
      </c>
      <c r="DE51" s="298">
        <f t="shared" si="77"/>
        <v>193322.91649817495</v>
      </c>
      <c r="DF51" s="298">
        <f t="shared" si="78"/>
        <v>275545.11163269554</v>
      </c>
      <c r="DG51" s="371">
        <f t="shared" si="79"/>
        <v>291726.82789896196</v>
      </c>
      <c r="DH51" s="372">
        <f t="shared" si="80"/>
        <v>356643.9963286228</v>
      </c>
      <c r="DI51" s="67">
        <f t="shared" si="81"/>
        <v>2884032.7331296271</v>
      </c>
      <c r="DJ51" s="364"/>
      <c r="DK51" s="82">
        <f t="shared" si="44"/>
        <v>2884032.7331296271</v>
      </c>
      <c r="DM51" s="518">
        <f t="shared" si="82"/>
        <v>100.56794750726901</v>
      </c>
      <c r="DO51" s="64" t="str">
        <f t="shared" si="83"/>
        <v>E5393</v>
      </c>
      <c r="DP51" s="64" t="str">
        <f t="shared" si="84"/>
        <v>BEV4</v>
      </c>
      <c r="DQ51" s="359" t="str">
        <f t="shared" si="85"/>
        <v>Vallée d'Arce 3 (NU)</v>
      </c>
      <c r="DR51" s="365">
        <f>_xll.LVCELL($DP$3,DR$3,$DP51,$DQ$2,$DP$4,$DP$5,$DP$6,$DP$7,$DP$8,$DQ$3)/100</f>
        <v>0.97</v>
      </c>
      <c r="DS51" s="365">
        <f>_xll.LVCELL($DP$3,DS$3,$DP51,$DQ$2,$DP$4,$DP$5,$DP$6,$DP$7,$DP$8,$DQ$3)/100</f>
        <v>0.97</v>
      </c>
      <c r="DT51" s="365">
        <f>_xll.LVCELL($DP$3,DT$3,$DP51,$DQ$2,$DP$4,$DP$5,$DP$6,$DP$7,$DP$8,$DQ$3)/100</f>
        <v>0.97</v>
      </c>
      <c r="DU51" s="365">
        <f>_xll.LVCELL($DP$3,DU$3,$DP51,$DQ$2,$DP$4,$DP$5,$DP$6,$DP$7,$DP$8,$DQ$3)/100</f>
        <v>0.97</v>
      </c>
      <c r="DV51" s="365">
        <f>_xll.LVCELL($DP$3,DV$3,$DP51,$DQ$2,$DP$4,$DP$5,$DP$6,$DP$7,$DP$8,$DQ$3)/100</f>
        <v>0.97</v>
      </c>
      <c r="DW51" s="365">
        <f>_xll.LVCELL($DP$3,DW$3,$DP51,$DQ$2,$DP$4,$DP$5,$DP$6,$DP$7,$DP$8,$DQ$3)/100</f>
        <v>0.97</v>
      </c>
      <c r="DX51" s="365">
        <f>_xll.LVCELL($DP$3,DX$3,$DP51,$DQ$2,$DP$4,$DP$5,$DP$6,$DP$7,$DP$8,$DQ$3)/100</f>
        <v>0.97</v>
      </c>
      <c r="DY51" s="365">
        <f>_xll.LVCELL($DP$3,DY$3,$DP51,$DQ$2,$DP$4,$DP$5,$DP$6,$DP$7,$DP$8,$DQ$3)/100</f>
        <v>0.97</v>
      </c>
      <c r="DZ51" s="365">
        <f>_xll.LVCELL($DP$3,DZ$3,$DP51,$DQ$2,$DP$4,$DP$5,$DP$6,$DP$7,$DP$8,$DQ$3)/100</f>
        <v>0.97</v>
      </c>
      <c r="EA51" s="365">
        <f>_xll.LVCELL($DP$3,EA$3,$DP51,$DQ$2,$DP$4,$DP$5,$DP$6,$DP$7,$DP$8,$DQ$3)/100</f>
        <v>0.97</v>
      </c>
      <c r="EB51" s="365">
        <f>_xll.LVCELL($DP$3,EB$3,$DP51,$DQ$2,$DP$4,$DP$5,$DP$6,$DP$7,$DP$8,$DQ$3)/100</f>
        <v>0.97</v>
      </c>
      <c r="EC51" s="365">
        <f>_xll.LVCELL($DP$3,EC$3,$DP51,$DQ$2,$DP$4,$DP$5,$DP$6,$DP$7,$DP$8,$DQ$3)/100</f>
        <v>0.97</v>
      </c>
      <c r="ED51" s="582">
        <f t="shared" si="45"/>
        <v>11.64</v>
      </c>
      <c r="EF51" s="64" t="s">
        <v>444</v>
      </c>
      <c r="EH51" s="359"/>
      <c r="EI51" s="366"/>
      <c r="EJ51" s="367"/>
      <c r="EK51" s="368"/>
      <c r="EL51" s="367"/>
      <c r="EM51" s="368"/>
      <c r="EN51" s="367"/>
      <c r="EO51" s="368"/>
      <c r="EP51" s="367"/>
      <c r="EQ51" s="368"/>
      <c r="ER51" s="367"/>
      <c r="ES51" s="368"/>
      <c r="ET51" s="367"/>
      <c r="EY51" s="359"/>
      <c r="EZ51" s="364"/>
      <c r="FA51" s="364"/>
      <c r="FB51" s="364"/>
      <c r="FC51" s="364"/>
      <c r="FD51" s="364"/>
      <c r="FE51" s="364"/>
      <c r="FF51" s="364"/>
      <c r="FG51" s="364"/>
      <c r="FH51" s="364"/>
      <c r="FI51" s="364"/>
      <c r="FJ51" s="364"/>
      <c r="FK51" s="364"/>
      <c r="FP51" s="359"/>
      <c r="FQ51" s="364"/>
      <c r="FR51" s="364"/>
      <c r="FS51" s="364"/>
      <c r="FT51" s="364"/>
      <c r="FU51" s="364"/>
      <c r="FV51" s="364"/>
      <c r="FW51" s="364"/>
      <c r="FX51" s="364"/>
      <c r="FY51" s="364"/>
      <c r="FZ51" s="364"/>
      <c r="GA51" s="364"/>
      <c r="GB51" s="172"/>
    </row>
    <row r="52" spans="1:184" ht="15">
      <c r="B52" s="64" t="s">
        <v>446</v>
      </c>
      <c r="C52" s="108" t="s">
        <v>270</v>
      </c>
      <c r="D52" s="359" t="s">
        <v>304</v>
      </c>
      <c r="E52" s="357">
        <f>_xll.LVCELL($C$3,Q$3,$C52,$D$2,$C$4,$C$5,$C$6,$C$7,$C$8,$D$3)/1000</f>
        <v>10</v>
      </c>
      <c r="F52" s="103">
        <f>'distribution mensuelle Prod B22'!$AR$36</f>
        <v>1705078.4410589091</v>
      </c>
      <c r="G52" s="103">
        <f>'distribution mensuelle Prod B22'!$AR$37</f>
        <v>1518515.7610888025</v>
      </c>
      <c r="H52" s="103">
        <f>'distribution mensuelle Prod B22'!$AR$38</f>
        <v>1699040.6392458142</v>
      </c>
      <c r="I52" s="103">
        <f>'distribution mensuelle Prod B22'!$AR$39</f>
        <v>1610635.4311166282</v>
      </c>
      <c r="J52" s="103">
        <f>'distribution mensuelle Prod B22'!$AR$40</f>
        <v>1441930.9120381693</v>
      </c>
      <c r="K52" s="103">
        <f>'distribution mensuelle Prod B22'!$AR$41</f>
        <v>865161.67499977152</v>
      </c>
      <c r="L52" s="103">
        <f>'distribution mensuelle Prod B22'!$AR$42</f>
        <v>795382.96788587281</v>
      </c>
      <c r="M52" s="103">
        <f>'distribution mensuelle Prod B22'!$AR$43</f>
        <v>687708.83555233851</v>
      </c>
      <c r="N52" s="103">
        <f>'distribution mensuelle Prod B22'!$AR$44</f>
        <v>1023897.4323440534</v>
      </c>
      <c r="O52" s="103">
        <f>'distribution mensuelle Prod B22'!$AR$45</f>
        <v>1682939.8344108933</v>
      </c>
      <c r="P52" s="103">
        <f>'distribution mensuelle Prod B22'!$AR$46</f>
        <v>1690977.1487908815</v>
      </c>
      <c r="Q52" s="103">
        <f>'distribution mensuelle Prod B22'!$AR$47</f>
        <v>1666839.0295759721</v>
      </c>
      <c r="R52" s="67">
        <f t="shared" si="60"/>
        <v>16388108.108108105</v>
      </c>
      <c r="S52" s="358"/>
      <c r="W52" s="113" t="str">
        <f t="shared" si="61"/>
        <v>E5394</v>
      </c>
      <c r="X52" s="359" t="str">
        <f t="shared" si="62"/>
        <v>La Bouleste</v>
      </c>
      <c r="Y52" s="299" cm="1">
        <f t="array" ref="Y52">_xll.LVCELL($D$4,F$1,$B52,$D$2,$C$4,$C$5,$C$6,$C$7,$C$8,$D$3)*1000</f>
        <v>97.520251999999999</v>
      </c>
      <c r="Z52" s="299" cm="1">
        <f t="array" ref="Z52">_xll.LVCELL($D$4,G$1,$B52,$D$2,$C$4,$C$5,$C$6,$C$7,$C$8,$D$3)*1000</f>
        <v>97.518525999999994</v>
      </c>
      <c r="AA52" s="299" cm="1">
        <f t="array" ref="AA52">_xll.LVCELL($D$4,H$1,$B52,$D$2,$C$4,$C$5,$C$6,$C$7,$C$8,$D$3)*1000</f>
        <v>97.521098462174422</v>
      </c>
      <c r="AB52" s="299" cm="1">
        <f t="array" ref="AB52">_xll.LVCELL($D$4,I$1,$B52,$D$2,$C$4,$C$5,$C$6,$C$7,$C$8,$D$3)*1000</f>
        <v>97.522327566624028</v>
      </c>
      <c r="AC52" s="299" cm="1">
        <f t="array" ref="AC52">_xll.LVCELL($D$4,J$1,$B52,$D$2,$C$4,$C$5,$C$6,$C$7,$C$8,$D$3)*1000</f>
        <v>97.521501792935453</v>
      </c>
      <c r="AD52" s="299" cm="1">
        <f t="array" ref="AD52">_xll.LVCELL($D$4,K$1,$B52,$D$2,$C$4,$C$5,$C$6,$C$7,$C$8,$D$3)*1000</f>
        <v>97.520671428571433</v>
      </c>
      <c r="AE52" s="299" cm="1">
        <f t="array" ref="AE52">_xll.LVCELL($D$4,L$1,$B52,$D$2,$C$4,$C$5,$C$6,$C$7,$C$8,$D$3)*1000</f>
        <v>97.524321862018851</v>
      </c>
      <c r="AF52" s="299">
        <f>$AD$52</f>
        <v>97.520671428571433</v>
      </c>
      <c r="AG52" s="299">
        <f t="shared" si="53"/>
        <v>97.520671428571433</v>
      </c>
      <c r="AH52" s="299">
        <f t="shared" si="53"/>
        <v>97.520671428571433</v>
      </c>
      <c r="AI52" s="299">
        <f t="shared" si="54"/>
        <v>99.763646871428577</v>
      </c>
      <c r="AJ52" s="412">
        <f t="shared" si="55"/>
        <v>99.763646871428577</v>
      </c>
      <c r="AK52" s="67"/>
      <c r="AL52" s="134">
        <f t="shared" si="63"/>
        <v>2.3E-2</v>
      </c>
      <c r="AM52" s="134"/>
      <c r="AN52" s="134"/>
      <c r="AO52" s="134"/>
      <c r="AP52" s="113" t="str">
        <f t="shared" si="38"/>
        <v>E5394</v>
      </c>
      <c r="AQ52" s="567" t="str">
        <f t="shared" si="39"/>
        <v>La Bouleste</v>
      </c>
      <c r="AR52" s="377"/>
      <c r="AS52" s="377"/>
      <c r="AT52" s="377"/>
      <c r="AU52" s="377"/>
      <c r="AV52" s="377"/>
      <c r="AW52" s="377"/>
      <c r="AX52" s="377"/>
      <c r="AY52" s="377"/>
      <c r="AZ52" s="377"/>
      <c r="BA52" s="377"/>
      <c r="BB52" s="377"/>
      <c r="BC52" s="378"/>
      <c r="BD52" s="414"/>
      <c r="BE52" s="134"/>
      <c r="BF52" s="134"/>
      <c r="BG52" s="134"/>
      <c r="BH52" s="134"/>
      <c r="BI52" s="113" t="str">
        <f t="shared" si="40"/>
        <v>E5394</v>
      </c>
      <c r="BJ52" s="567" t="str">
        <f t="shared" si="41"/>
        <v>La Bouleste</v>
      </c>
      <c r="BK52" s="299">
        <f t="shared" si="49"/>
        <v>99.763646871428577</v>
      </c>
      <c r="BL52" s="299">
        <f t="shared" si="86"/>
        <v>99.763646871428577</v>
      </c>
      <c r="BM52" s="299">
        <f t="shared" si="86"/>
        <v>99.763646871428577</v>
      </c>
      <c r="BN52" s="299">
        <f t="shared" si="86"/>
        <v>99.763646871428577</v>
      </c>
      <c r="BO52" s="299">
        <f t="shared" si="86"/>
        <v>99.763646871428577</v>
      </c>
      <c r="BP52" s="299">
        <f t="shared" si="86"/>
        <v>99.763646871428577</v>
      </c>
      <c r="BQ52" s="299">
        <f t="shared" si="86"/>
        <v>99.763646871428577</v>
      </c>
      <c r="BR52" s="299">
        <f t="shared" si="86"/>
        <v>99.763646871428577</v>
      </c>
      <c r="BS52" s="299">
        <f t="shared" si="86"/>
        <v>99.763646871428577</v>
      </c>
      <c r="BT52" s="299">
        <f t="shared" si="86"/>
        <v>99.763646871428577</v>
      </c>
      <c r="BU52" s="299">
        <f t="shared" si="57"/>
        <v>102.05821074947143</v>
      </c>
      <c r="BV52" s="370">
        <f t="shared" si="58"/>
        <v>102.05821074947143</v>
      </c>
      <c r="BW52" s="414"/>
      <c r="BX52" s="134"/>
      <c r="BY52" s="134"/>
      <c r="BZ52" s="134"/>
      <c r="CA52" s="134"/>
      <c r="CB52" s="113" t="str">
        <f t="shared" si="64"/>
        <v>E5394</v>
      </c>
      <c r="CC52" s="373" t="str">
        <f t="shared" si="65"/>
        <v>La Bouleste</v>
      </c>
      <c r="CD52" s="299">
        <f t="shared" si="43"/>
        <v>99.763646871428577</v>
      </c>
      <c r="CE52" s="299">
        <f t="shared" si="7"/>
        <v>99.763646871428577</v>
      </c>
      <c r="CF52" s="299">
        <f t="shared" si="8"/>
        <v>99.763646871428577</v>
      </c>
      <c r="CG52" s="299">
        <f t="shared" si="9"/>
        <v>99.763646871428577</v>
      </c>
      <c r="CH52" s="299">
        <f t="shared" si="10"/>
        <v>99.763646871428577</v>
      </c>
      <c r="CI52" s="299">
        <f t="shared" si="11"/>
        <v>99.763646871428577</v>
      </c>
      <c r="CJ52" s="299">
        <f t="shared" si="12"/>
        <v>99.763646871428577</v>
      </c>
      <c r="CK52" s="299">
        <f t="shared" si="13"/>
        <v>99.763646871428577</v>
      </c>
      <c r="CL52" s="299">
        <f t="shared" si="14"/>
        <v>99.763646871428577</v>
      </c>
      <c r="CM52" s="299">
        <f t="shared" si="15"/>
        <v>99.763646871428577</v>
      </c>
      <c r="CN52" s="299">
        <f t="shared" si="16"/>
        <v>102.05821074947143</v>
      </c>
      <c r="CO52" s="370">
        <f t="shared" si="17"/>
        <v>102.05821074947143</v>
      </c>
      <c r="CP52" s="414"/>
      <c r="CQ52" s="134">
        <f t="shared" si="66"/>
        <v>4.0000000000000001E-3</v>
      </c>
      <c r="CU52" s="113" t="str">
        <f t="shared" si="67"/>
        <v>E5394</v>
      </c>
      <c r="CV52" s="359" t="str">
        <f t="shared" si="68"/>
        <v>La Bouleste</v>
      </c>
      <c r="CW52" s="300">
        <f t="shared" si="69"/>
        <v>170104.84348188696</v>
      </c>
      <c r="CX52" s="298">
        <f t="shared" si="70"/>
        <v>151492.6701579619</v>
      </c>
      <c r="CY52" s="298">
        <f t="shared" si="71"/>
        <v>169502.49035392568</v>
      </c>
      <c r="CZ52" s="298">
        <f t="shared" si="72"/>
        <v>160682.86438853043</v>
      </c>
      <c r="DA52" s="298">
        <f t="shared" si="73"/>
        <v>143852.28632157287</v>
      </c>
      <c r="DB52" s="298">
        <f t="shared" si="74"/>
        <v>86311.683831370872</v>
      </c>
      <c r="DC52" s="298">
        <f t="shared" si="75"/>
        <v>79350.30553571503</v>
      </c>
      <c r="DD52" s="298">
        <f t="shared" si="76"/>
        <v>68608.341420404846</v>
      </c>
      <c r="DE52" s="298">
        <f t="shared" si="77"/>
        <v>102147.74187293458</v>
      </c>
      <c r="DF52" s="298">
        <f t="shared" si="78"/>
        <v>167896.21534602885</v>
      </c>
      <c r="DG52" s="371">
        <f t="shared" si="79"/>
        <v>172578.10222384008</v>
      </c>
      <c r="DH52" s="372">
        <f t="shared" si="80"/>
        <v>170114.60896590899</v>
      </c>
      <c r="DI52" s="67">
        <f t="shared" si="81"/>
        <v>1642642.1539000808</v>
      </c>
      <c r="DJ52" s="364">
        <f>_xll.LVCELL($E$1,Q$2,$C52,$D$2,$C$4,$C$5,$C$6,$C$7,$C$8,$D$3)+_xll.LVCELL($E$2,Q$2,$C52,$D$2,$C$4,$C$5,$C$6,$C$7,$C$8,$D$3)</f>
        <v>1642642.1452221</v>
      </c>
      <c r="DK52" s="82">
        <f t="shared" si="44"/>
        <v>8.677980862557888E-3</v>
      </c>
      <c r="DM52" s="518">
        <f t="shared" si="82"/>
        <v>100.23378800432582</v>
      </c>
      <c r="DO52" s="64" t="str">
        <f t="shared" si="83"/>
        <v>E5394</v>
      </c>
      <c r="DP52" s="64" t="str">
        <f t="shared" si="84"/>
        <v>BEV5</v>
      </c>
      <c r="DQ52" s="359" t="str">
        <f t="shared" si="85"/>
        <v>La Bouleste</v>
      </c>
      <c r="DR52" s="365">
        <f>_xll.LVCELL($DP$3,DR$3,$DP52,$DQ$2,$DP$4,$DP$5,$DP$6,$DP$7,$DP$8,$DQ$3)/100</f>
        <v>0.96999999999999986</v>
      </c>
      <c r="DS52" s="365">
        <f>_xll.LVCELL($DP$3,DS$3,$DP52,$DQ$2,$DP$4,$DP$5,$DP$6,$DP$7,$DP$8,$DQ$3)/100</f>
        <v>0.97</v>
      </c>
      <c r="DT52" s="365">
        <f>_xll.LVCELL($DP$3,DT$3,$DP52,$DQ$2,$DP$4,$DP$5,$DP$6,$DP$7,$DP$8,$DQ$3)/100</f>
        <v>0.96999999999999986</v>
      </c>
      <c r="DU52" s="365">
        <f>_xll.LVCELL($DP$3,DU$3,$DP52,$DQ$2,$DP$4,$DP$5,$DP$6,$DP$7,$DP$8,$DQ$3)/100</f>
        <v>0.97</v>
      </c>
      <c r="DV52" s="365">
        <f>_xll.LVCELL($DP$3,DV$3,$DP52,$DQ$2,$DP$4,$DP$5,$DP$6,$DP$7,$DP$8,$DQ$3)/100</f>
        <v>0.96999999999999986</v>
      </c>
      <c r="DW52" s="365">
        <f>_xll.LVCELL($DP$3,DW$3,$DP52,$DQ$2,$DP$4,$DP$5,$DP$6,$DP$7,$DP$8,$DQ$3)/100</f>
        <v>0.97</v>
      </c>
      <c r="DX52" s="365">
        <f>_xll.LVCELL($DP$3,DX$3,$DP52,$DQ$2,$DP$4,$DP$5,$DP$6,$DP$7,$DP$8,$DQ$3)/100</f>
        <v>0.96999999999999986</v>
      </c>
      <c r="DY52" s="365">
        <f>_xll.LVCELL($DP$3,DY$3,$DP52,$DQ$2,$DP$4,$DP$5,$DP$6,$DP$7,$DP$8,$DQ$3)/100</f>
        <v>0.96999999999999986</v>
      </c>
      <c r="DZ52" s="365">
        <f>_xll.LVCELL($DP$3,DZ$3,$DP52,$DQ$2,$DP$4,$DP$5,$DP$6,$DP$7,$DP$8,$DQ$3)/100</f>
        <v>0.97</v>
      </c>
      <c r="EA52" s="365">
        <f>_xll.LVCELL($DP$3,EA$3,$DP52,$DQ$2,$DP$4,$DP$5,$DP$6,$DP$7,$DP$8,$DQ$3)/100</f>
        <v>0.96999999999999986</v>
      </c>
      <c r="EB52" s="365">
        <f>_xll.LVCELL($DP$3,EB$3,$DP52,$DQ$2,$DP$4,$DP$5,$DP$6,$DP$7,$DP$8,$DQ$3)/100</f>
        <v>0.97</v>
      </c>
      <c r="EC52" s="365">
        <f>_xll.LVCELL($DP$3,EC$3,$DP52,$DQ$2,$DP$4,$DP$5,$DP$6,$DP$7,$DP$8,$DQ$3)/100</f>
        <v>0.96999999999999986</v>
      </c>
      <c r="ED52" s="582">
        <f t="shared" si="45"/>
        <v>11.64</v>
      </c>
      <c r="EF52" s="64" t="s">
        <v>446</v>
      </c>
      <c r="EG52" s="64" t="s">
        <v>270</v>
      </c>
      <c r="EH52" s="359" t="s">
        <v>304</v>
      </c>
      <c r="EI52" s="366" t="e">
        <f ca="1">_xll.LVCELL($EG$3,EI$3,$DP52,$DQ$2,$DP$4,$DP$5,$DP$6,$DP$7,$DP$8,$DQ$3)-CW52</f>
        <v>#NAME?</v>
      </c>
      <c r="EJ52" s="367" t="e">
        <f ca="1">_xll.LVCELL($EG$3,EJ$3,$DP52,$DQ$2,$DP$4,$DP$5,$DP$6,$DP$7,$DP$8,$DQ$3)-CX52</f>
        <v>#NAME?</v>
      </c>
      <c r="EK52" s="368" t="e">
        <f ca="1">_xll.LVCELL($EG$3,EK$3,$DP52,$DQ$2,$DP$4,$DP$5,$DP$6,$DP$7,$DP$8,$DQ$3)-CY52</f>
        <v>#NAME?</v>
      </c>
      <c r="EL52" s="367" t="e">
        <f ca="1">_xll.LVCELL($EG$3,EL$3,$DP52,$DQ$2,$DP$4,$DP$5,$DP$6,$DP$7,$DP$8,$DQ$3)-CZ52</f>
        <v>#NAME?</v>
      </c>
      <c r="EM52" s="368" t="e">
        <f ca="1">_xll.LVCELL($EG$3,EM$3,$DP52,$DQ$2,$DP$4,$DP$5,$DP$6,$DP$7,$DP$8,$DQ$3)-DA52</f>
        <v>#NAME?</v>
      </c>
      <c r="EN52" s="367" t="e">
        <f ca="1">_xll.LVCELL($EG$3,EN$3,$DP52,$DQ$2,$DP$4,$DP$5,$DP$6,$DP$7,$DP$8,$DQ$3)-DB52</f>
        <v>#NAME?</v>
      </c>
      <c r="EO52" s="368" t="e">
        <f ca="1">_xll.LVCELL($EG$3,EO$3,$DP52,$DQ$2,$DP$4,$DP$5,$DP$6,$DP$7,$DP$8,$DQ$3)-DC52</f>
        <v>#NAME?</v>
      </c>
      <c r="EP52" s="367" t="e">
        <f ca="1">_xll.LVCELL($EG$3,EP$3,$DP52,$DQ$2,$DP$4,$DP$5,$DP$6,$DP$7,$DP$8,$DQ$3)-DD52</f>
        <v>#NAME?</v>
      </c>
      <c r="EQ52" s="368" t="e">
        <f ca="1">_xll.LVCELL($EG$3,EQ$3,$DP52,$DQ$2,$DP$4,$DP$5,$DP$6,$DP$7,$DP$8,$DQ$3)-DE52</f>
        <v>#NAME?</v>
      </c>
      <c r="ER52" s="367" t="e">
        <f ca="1">_xll.LVCELL($EG$3,ER$3,$DP52,$DQ$2,$DP$4,$DP$5,$DP$6,$DP$7,$DP$8,$DQ$3)-DF52</f>
        <v>#NAME?</v>
      </c>
      <c r="ES52" s="368" t="e">
        <f ca="1">_xll.LVCELL($EG$3,ES$3,$DP52,$DQ$2,$DP$4,$DP$5,$DP$6,$DP$7,$DP$8,$DQ$3)-DG52</f>
        <v>#NAME?</v>
      </c>
      <c r="ET52" s="367" t="e">
        <f ca="1">_xll.LVCELL($EG$3,ET$3,$DP52,$DQ$2,$DP$4,$DP$5,$DP$6,$DP$7,$DP$8,$DQ$3)-DH52</f>
        <v>#NAME?</v>
      </c>
      <c r="EW52" s="64" t="s">
        <v>446</v>
      </c>
      <c r="EX52" s="64" t="s">
        <v>270</v>
      </c>
      <c r="EY52" s="359" t="s">
        <v>304</v>
      </c>
      <c r="EZ52" s="364">
        <f>_xll.LVCELL($EX$3,EZ$3,$DP52,$DQ$2,$DP$4,$DP$5,$DP$6,$DP$7,$DP$8,$DQ$3)</f>
        <v>10000</v>
      </c>
      <c r="FA52" s="364">
        <f>_xll.LVCELL($EX$3,FA$3,$DP52,$DQ$2,$DP$4,$DP$5,$DP$6,$DP$7,$DP$8,$DQ$3)</f>
        <v>10000</v>
      </c>
      <c r="FB52" s="364">
        <f>_xll.LVCELL($EX$3,FB$3,$DP52,$DQ$2,$DP$4,$DP$5,$DP$6,$DP$7,$DP$8,$DQ$3)</f>
        <v>10000</v>
      </c>
      <c r="FC52" s="364">
        <f>_xll.LVCELL($EX$3,FC$3,$DP52,$DQ$2,$DP$4,$DP$5,$DP$6,$DP$7,$DP$8,$DQ$3)</f>
        <v>10000</v>
      </c>
      <c r="FD52" s="364">
        <f>_xll.LVCELL($EX$3,FD$3,$DP52,$DQ$2,$DP$4,$DP$5,$DP$6,$DP$7,$DP$8,$DQ$3)</f>
        <v>10000</v>
      </c>
      <c r="FE52" s="364">
        <f>_xll.LVCELL($EX$3,FE$3,$DP52,$DQ$2,$DP$4,$DP$5,$DP$6,$DP$7,$DP$8,$DQ$3)</f>
        <v>10000</v>
      </c>
      <c r="FF52" s="364">
        <f>_xll.LVCELL($EX$3,FF$3,$DP52,$DQ$2,$DP$4,$DP$5,$DP$6,$DP$7,$DP$8,$DQ$3)</f>
        <v>10000</v>
      </c>
      <c r="FG52" s="364">
        <f>_xll.LVCELL($EX$3,FG$3,$DP52,$DQ$2,$DP$4,$DP$5,$DP$6,$DP$7,$DP$8,$DQ$3)</f>
        <v>10000</v>
      </c>
      <c r="FH52" s="364">
        <f>_xll.LVCELL($EX$3,FH$3,$DP52,$DQ$2,$DP$4,$DP$5,$DP$6,$DP$7,$DP$8,$DQ$3)</f>
        <v>10000</v>
      </c>
      <c r="FI52" s="364">
        <f>_xll.LVCELL($EX$3,FI$3,$DP52,$DQ$2,$DP$4,$DP$5,$DP$6,$DP$7,$DP$8,$DQ$3)</f>
        <v>10000</v>
      </c>
      <c r="FJ52" s="364">
        <f>_xll.LVCELL($EX$3,FJ$3,$DP52,$DQ$2,$DP$4,$DP$5,$DP$6,$DP$7,$DP$8,$DQ$3)</f>
        <v>10000</v>
      </c>
      <c r="FK52" s="276">
        <f>_xll.LVCELL($EX$3,FK$3,$DP52,$DQ$2,$DP$4,$DP$5,$DP$6,$DP$7,$DP$8,$DQ$3)</f>
        <v>10000</v>
      </c>
      <c r="FN52" s="64" t="s">
        <v>446</v>
      </c>
      <c r="FO52" s="64" t="s">
        <v>270</v>
      </c>
      <c r="FP52" s="359" t="s">
        <v>304</v>
      </c>
      <c r="FQ52" s="364">
        <f>_xll.LVCELL($FO$3,FQ$3,$DP52,$DQ$2,$DP$4,$DP$5,$DP$6,$DP$7,$DP$8,$DQ$3)</f>
        <v>5</v>
      </c>
      <c r="FR52" s="364">
        <f>_xll.LVCELL($FO$3,FR$3,$DP52,$DQ$2,$DP$4,$DP$5,$DP$6,$DP$7,$DP$8,$DQ$3)</f>
        <v>5</v>
      </c>
      <c r="FS52" s="364">
        <f>_xll.LVCELL($FO$3,FS$3,$DP52,$DQ$2,$DP$4,$DP$5,$DP$6,$DP$7,$DP$8,$DQ$3)</f>
        <v>5</v>
      </c>
      <c r="FT52" s="364">
        <f>_xll.LVCELL($FO$3,FT$3,$DP52,$DQ$2,$DP$4,$DP$5,$DP$6,$DP$7,$DP$8,$DQ$3)</f>
        <v>5</v>
      </c>
      <c r="FU52" s="364">
        <f>_xll.LVCELL($FO$3,FU$3,$DP52,$DQ$2,$DP$4,$DP$5,$DP$6,$DP$7,$DP$8,$DQ$3)</f>
        <v>5</v>
      </c>
      <c r="FV52" s="364">
        <f>_xll.LVCELL($FO$3,FV$3,$DP52,$DQ$2,$DP$4,$DP$5,$DP$6,$DP$7,$DP$8,$DQ$3)</f>
        <v>5</v>
      </c>
      <c r="FW52" s="364">
        <f>_xll.LVCELL($FO$3,FW$3,$DP52,$DQ$2,$DP$4,$DP$5,$DP$6,$DP$7,$DP$8,$DQ$3)</f>
        <v>5</v>
      </c>
      <c r="FX52" s="364">
        <f>_xll.LVCELL($FO$3,FX$3,$DP52,$DQ$2,$DP$4,$DP$5,$DP$6,$DP$7,$DP$8,$DQ$3)</f>
        <v>5</v>
      </c>
      <c r="FY52" s="364">
        <f>_xll.LVCELL($FO$3,FY$3,$DP52,$DQ$2,$DP$4,$DP$5,$DP$6,$DP$7,$DP$8,$DQ$3)</f>
        <v>5</v>
      </c>
      <c r="FZ52" s="364">
        <f>_xll.LVCELL($FO$3,FZ$3,$DP52,$DQ$2,$DP$4,$DP$5,$DP$6,$DP$7,$DP$8,$DQ$3)</f>
        <v>5</v>
      </c>
      <c r="GA52" s="364">
        <f>_xll.LVCELL($FO$3,GA$3,$DP52,$DQ$2,$DP$4,$DP$5,$DP$6,$DP$7,$DP$8,$DQ$3)</f>
        <v>5</v>
      </c>
      <c r="GB52" s="172">
        <f>_xll.LVCELL($FO$3,GB$3,$DP52,$DQ$2,$DP$4,$DP$5,$DP$6,$DP$7,$DP$8,$DQ$3)</f>
        <v>5</v>
      </c>
    </row>
    <row r="53" spans="1:184" ht="15">
      <c r="A53" s="286"/>
      <c r="B53" s="64" t="s">
        <v>448</v>
      </c>
      <c r="C53" s="108" t="s">
        <v>271</v>
      </c>
      <c r="D53" s="74" t="s">
        <v>350</v>
      </c>
      <c r="E53" s="357">
        <f>_xll.LVCELL($C$3,Q$3,$C53,$D$2,$C$4,$C$5,$C$6,$C$7,$C$8,$D$3)/1000</f>
        <v>28</v>
      </c>
      <c r="F53" s="103">
        <f>'distribution mensuelle Prod B22'!$AS$36</f>
        <v>2396918.6807481516</v>
      </c>
      <c r="G53" s="103">
        <f>'distribution mensuelle Prod B22'!$AS$37</f>
        <v>2020388.0840817722</v>
      </c>
      <c r="H53" s="103">
        <f>'distribution mensuelle Prod B22'!$AS$38</f>
        <v>2058254.3177075707</v>
      </c>
      <c r="I53" s="103">
        <f>'distribution mensuelle Prod B22'!$AS$39</f>
        <v>1694362.7113489346</v>
      </c>
      <c r="J53" s="103">
        <f>'distribution mensuelle Prod B22'!$AS$40</f>
        <v>1393681.3115149448</v>
      </c>
      <c r="K53" s="103">
        <f>'distribution mensuelle Prod B22'!$AS$41</f>
        <v>1076533.2464252596</v>
      </c>
      <c r="L53" s="103">
        <f>'distribution mensuelle Prod B22'!$AS$42</f>
        <v>1035245.5826471365</v>
      </c>
      <c r="M53" s="103">
        <f>'distribution mensuelle Prod B22'!$AS$43</f>
        <v>939577.68348313135</v>
      </c>
      <c r="N53" s="103">
        <f>'distribution mensuelle Prod B22'!$AS$44</f>
        <v>1378967.2502340518</v>
      </c>
      <c r="O53" s="103">
        <f>'distribution mensuelle Prod B22'!$AS$45</f>
        <v>1965137.5625212719</v>
      </c>
      <c r="P53" s="103">
        <f>'distribution mensuelle Prod B22'!$AS$46</f>
        <v>1986921.3191149912</v>
      </c>
      <c r="Q53" s="103">
        <f>'distribution mensuelle Prod B22'!$AS$47</f>
        <v>2497688.8678675704</v>
      </c>
      <c r="R53" s="67">
        <f t="shared" si="60"/>
        <v>20443676.617694788</v>
      </c>
      <c r="S53" s="358"/>
      <c r="T53" s="169"/>
      <c r="U53" s="340"/>
      <c r="W53" s="113" t="str">
        <f t="shared" si="61"/>
        <v>E5395</v>
      </c>
      <c r="X53" s="359" t="str">
        <f t="shared" si="62"/>
        <v>Haut de Conge 1</v>
      </c>
      <c r="Y53" s="299" cm="1">
        <f t="array" ref="Y53">_xll.LVCELL($D$4,F$1,$B53,$D$2,$C$4,$C$5,$C$6,$C$7,$C$8,$D$3)*1000</f>
        <v>95.619911999999999</v>
      </c>
      <c r="Z53" s="299" cm="1">
        <f t="array" ref="Z53">_xll.LVCELL($D$4,G$1,$B53,$D$2,$C$4,$C$5,$C$6,$C$7,$C$8,$D$3)*1000</f>
        <v>95.705016999999998</v>
      </c>
      <c r="AA53" s="299" cm="1">
        <f t="array" ref="AA53">_xll.LVCELL($D$4,H$1,$B53,$D$2,$C$4,$C$5,$C$6,$C$7,$C$8,$D$3)*1000</f>
        <v>95.703657204515665</v>
      </c>
      <c r="AB53" s="299" cm="1">
        <f t="array" ref="AB53">_xll.LVCELL($D$4,I$1,$B53,$D$2,$C$4,$C$5,$C$6,$C$7,$C$8,$D$3)*1000</f>
        <v>95.721778556019146</v>
      </c>
      <c r="AC53" s="299" cm="1">
        <f t="array" ref="AC53">_xll.LVCELL($D$4,J$1,$B53,$D$2,$C$4,$C$5,$C$6,$C$7,$C$8,$D$3)*1000</f>
        <v>95.664936250789964</v>
      </c>
      <c r="AD53" s="299" cm="1">
        <f t="array" ref="AD53">_xll.LVCELL($D$4,K$1,$B53,$D$2,$C$4,$C$5,$C$6,$C$7,$C$8,$D$3)*1000</f>
        <v>95.675789153881212</v>
      </c>
      <c r="AE53" s="299" cm="1">
        <f t="array" ref="AE53">_xll.LVCELL($D$4,L$1,$B53,$D$2,$C$4,$C$5,$C$6,$C$7,$C$8,$D$3)*1000</f>
        <v>95.698124399246751</v>
      </c>
      <c r="AF53" s="299">
        <f>AE53</f>
        <v>95.698124399246751</v>
      </c>
      <c r="AG53" s="299">
        <f t="shared" si="53"/>
        <v>95.698124399246751</v>
      </c>
      <c r="AH53" s="299">
        <f t="shared" si="53"/>
        <v>95.698124399246751</v>
      </c>
      <c r="AI53" s="299">
        <f t="shared" si="54"/>
        <v>97.89918126042943</v>
      </c>
      <c r="AJ53" s="412">
        <f t="shared" si="55"/>
        <v>97.89918126042943</v>
      </c>
      <c r="AK53" s="67"/>
      <c r="AL53" s="134">
        <f t="shared" si="63"/>
        <v>2.3E-2</v>
      </c>
      <c r="AM53" s="134"/>
      <c r="AN53" s="134"/>
      <c r="AO53" s="134"/>
      <c r="AP53" s="113" t="str">
        <f t="shared" si="38"/>
        <v>E5395</v>
      </c>
      <c r="AQ53" s="567" t="str">
        <f t="shared" si="39"/>
        <v>Haut de Conge 1</v>
      </c>
      <c r="AR53" s="377"/>
      <c r="AS53" s="377"/>
      <c r="AT53" s="377"/>
      <c r="AU53" s="377"/>
      <c r="AV53" s="377"/>
      <c r="AW53" s="377"/>
      <c r="AX53" s="377"/>
      <c r="AY53" s="377"/>
      <c r="AZ53" s="377"/>
      <c r="BA53" s="377"/>
      <c r="BB53" s="377"/>
      <c r="BC53" s="378"/>
      <c r="BD53" s="414"/>
      <c r="BE53" s="134"/>
      <c r="BF53" s="134"/>
      <c r="BG53" s="134"/>
      <c r="BH53" s="134"/>
      <c r="BI53" s="113" t="str">
        <f t="shared" si="40"/>
        <v>E5395</v>
      </c>
      <c r="BJ53" s="567" t="str">
        <f t="shared" si="41"/>
        <v>Haut de Conge 1</v>
      </c>
      <c r="BK53" s="299">
        <f t="shared" si="49"/>
        <v>97.89918126042943</v>
      </c>
      <c r="BL53" s="299">
        <f t="shared" si="86"/>
        <v>97.89918126042943</v>
      </c>
      <c r="BM53" s="299">
        <f t="shared" si="86"/>
        <v>97.89918126042943</v>
      </c>
      <c r="BN53" s="299">
        <f t="shared" si="86"/>
        <v>97.89918126042943</v>
      </c>
      <c r="BO53" s="299">
        <f t="shared" si="86"/>
        <v>97.89918126042943</v>
      </c>
      <c r="BP53" s="299">
        <f t="shared" si="86"/>
        <v>97.89918126042943</v>
      </c>
      <c r="BQ53" s="299">
        <f t="shared" si="86"/>
        <v>97.89918126042943</v>
      </c>
      <c r="BR53" s="299">
        <f t="shared" si="86"/>
        <v>97.89918126042943</v>
      </c>
      <c r="BS53" s="299">
        <f t="shared" si="86"/>
        <v>97.89918126042943</v>
      </c>
      <c r="BT53" s="299">
        <f t="shared" si="86"/>
        <v>97.89918126042943</v>
      </c>
      <c r="BU53" s="299">
        <f t="shared" si="57"/>
        <v>100.15086242941931</v>
      </c>
      <c r="BV53" s="370">
        <f t="shared" si="58"/>
        <v>100.15086242941931</v>
      </c>
      <c r="BW53" s="414"/>
      <c r="BX53" s="134"/>
      <c r="BY53" s="134"/>
      <c r="BZ53" s="134"/>
      <c r="CA53" s="134"/>
      <c r="CB53" s="113" t="str">
        <f t="shared" si="64"/>
        <v>E5395</v>
      </c>
      <c r="CC53" s="309" t="str">
        <f t="shared" si="65"/>
        <v>Haut de Conge 1</v>
      </c>
      <c r="CD53" s="299">
        <f t="shared" si="43"/>
        <v>97.89918126042943</v>
      </c>
      <c r="CE53" s="299">
        <f t="shared" si="7"/>
        <v>97.89918126042943</v>
      </c>
      <c r="CF53" s="299">
        <f t="shared" si="8"/>
        <v>97.89918126042943</v>
      </c>
      <c r="CG53" s="299">
        <f t="shared" si="9"/>
        <v>97.89918126042943</v>
      </c>
      <c r="CH53" s="299">
        <f t="shared" si="10"/>
        <v>97.89918126042943</v>
      </c>
      <c r="CI53" s="299">
        <f t="shared" si="11"/>
        <v>97.89918126042943</v>
      </c>
      <c r="CJ53" s="299">
        <f t="shared" si="12"/>
        <v>97.89918126042943</v>
      </c>
      <c r="CK53" s="299">
        <f t="shared" si="13"/>
        <v>97.89918126042943</v>
      </c>
      <c r="CL53" s="299">
        <f t="shared" si="14"/>
        <v>97.89918126042943</v>
      </c>
      <c r="CM53" s="299">
        <f t="shared" si="15"/>
        <v>97.89918126042943</v>
      </c>
      <c r="CN53" s="299">
        <f t="shared" si="16"/>
        <v>100.15086242941931</v>
      </c>
      <c r="CO53" s="370">
        <f t="shared" si="17"/>
        <v>100.15086242941931</v>
      </c>
      <c r="CP53" s="414"/>
      <c r="CQ53" s="134">
        <f t="shared" si="66"/>
        <v>4.0000000000000001E-3</v>
      </c>
      <c r="CU53" s="113" t="str">
        <f t="shared" si="67"/>
        <v>E5395</v>
      </c>
      <c r="CV53" s="74" t="str">
        <f t="shared" si="68"/>
        <v>Haut de Conge 1</v>
      </c>
      <c r="CW53" s="300">
        <f t="shared" si="69"/>
        <v>234656.37639307269</v>
      </c>
      <c r="CX53" s="298">
        <f t="shared" si="70"/>
        <v>197794.33925993316</v>
      </c>
      <c r="CY53" s="298">
        <f t="shared" si="71"/>
        <v>201501.41252931498</v>
      </c>
      <c r="CZ53" s="298">
        <f t="shared" si="72"/>
        <v>165876.722199262</v>
      </c>
      <c r="DA53" s="298">
        <f t="shared" si="73"/>
        <v>136440.2593352746</v>
      </c>
      <c r="DB53" s="298">
        <f t="shared" si="74"/>
        <v>105391.72342466503</v>
      </c>
      <c r="DC53" s="298">
        <f t="shared" si="75"/>
        <v>101349.6949446309</v>
      </c>
      <c r="DD53" s="298">
        <f t="shared" si="76"/>
        <v>91983.885943569461</v>
      </c>
      <c r="DE53" s="298">
        <f t="shared" si="77"/>
        <v>134999.76478285939</v>
      </c>
      <c r="DF53" s="298">
        <f t="shared" si="78"/>
        <v>192385.35843494846</v>
      </c>
      <c r="DG53" s="371">
        <f t="shared" si="79"/>
        <v>198991.88368876581</v>
      </c>
      <c r="DH53" s="372">
        <f t="shared" si="80"/>
        <v>250145.69419729707</v>
      </c>
      <c r="DI53" s="67">
        <f t="shared" si="81"/>
        <v>2011517.1151335936</v>
      </c>
      <c r="DJ53" s="364">
        <f>_xll.LVCELL($E$1,Q$2,$C53,$D$2,$C$4,$C$5,$C$6,$C$7,$C$8,$D$3)+_xll.LVCELL($E$2,Q$2,$C53,$D$2,$C$4,$C$5,$C$6,$C$7,$C$8,$D$3)</f>
        <v>4670540.3207656117</v>
      </c>
      <c r="DK53" s="82">
        <f t="shared" si="44"/>
        <v>-2659023.2056320179</v>
      </c>
      <c r="DM53" s="518">
        <f t="shared" si="82"/>
        <v>98.393119434913586</v>
      </c>
      <c r="DO53" s="64" t="str">
        <f t="shared" si="83"/>
        <v>E5395</v>
      </c>
      <c r="DP53" s="64" t="str">
        <f t="shared" si="84"/>
        <v>BEV6</v>
      </c>
      <c r="DQ53" s="74" t="str">
        <f t="shared" si="85"/>
        <v>Haut de Conge 1</v>
      </c>
      <c r="DR53" s="365">
        <f>_xll.LVCELL($DP$3,DR$3,$DP53,$DQ$2,$DP$4,$DP$5,$DP$6,$DP$7,$DP$8,$DQ$3)/100</f>
        <v>0.97</v>
      </c>
      <c r="DS53" s="365">
        <f>_xll.LVCELL($DP$3,DS$3,$DP53,$DQ$2,$DP$4,$DP$5,$DP$6,$DP$7,$DP$8,$DQ$3)/100</f>
        <v>0.97</v>
      </c>
      <c r="DT53" s="365">
        <f>_xll.LVCELL($DP$3,DT$3,$DP53,$DQ$2,$DP$4,$DP$5,$DP$6,$DP$7,$DP$8,$DQ$3)/100</f>
        <v>0.97</v>
      </c>
      <c r="DU53" s="365">
        <f>_xll.LVCELL($DP$3,DU$3,$DP53,$DQ$2,$DP$4,$DP$5,$DP$6,$DP$7,$DP$8,$DQ$3)/100</f>
        <v>0.97</v>
      </c>
      <c r="DV53" s="365">
        <f>_xll.LVCELL($DP$3,DV$3,$DP53,$DQ$2,$DP$4,$DP$5,$DP$6,$DP$7,$DP$8,$DQ$3)/100</f>
        <v>0.97</v>
      </c>
      <c r="DW53" s="365">
        <f>_xll.LVCELL($DP$3,DW$3,$DP53,$DQ$2,$DP$4,$DP$5,$DP$6,$DP$7,$DP$8,$DQ$3)/100</f>
        <v>0.97</v>
      </c>
      <c r="DX53" s="365">
        <f>_xll.LVCELL($DP$3,DX$3,$DP53,$DQ$2,$DP$4,$DP$5,$DP$6,$DP$7,$DP$8,$DQ$3)/100</f>
        <v>0.97</v>
      </c>
      <c r="DY53" s="365">
        <f>_xll.LVCELL($DP$3,DY$3,$DP53,$DQ$2,$DP$4,$DP$5,$DP$6,$DP$7,$DP$8,$DQ$3)/100</f>
        <v>0.97</v>
      </c>
      <c r="DZ53" s="365">
        <f>_xll.LVCELL($DP$3,DZ$3,$DP53,$DQ$2,$DP$4,$DP$5,$DP$6,$DP$7,$DP$8,$DQ$3)/100</f>
        <v>0.97</v>
      </c>
      <c r="EA53" s="365">
        <f>_xll.LVCELL($DP$3,EA$3,$DP53,$DQ$2,$DP$4,$DP$5,$DP$6,$DP$7,$DP$8,$DQ$3)/100</f>
        <v>0.97</v>
      </c>
      <c r="EB53" s="365">
        <f>_xll.LVCELL($DP$3,EB$3,$DP53,$DQ$2,$DP$4,$DP$5,$DP$6,$DP$7,$DP$8,$DQ$3)/100</f>
        <v>0.97</v>
      </c>
      <c r="EC53" s="365">
        <f>_xll.LVCELL($DP$3,EC$3,$DP53,$DQ$2,$DP$4,$DP$5,$DP$6,$DP$7,$DP$8,$DQ$3)/100</f>
        <v>0.97</v>
      </c>
      <c r="ED53" s="582">
        <f t="shared" si="45"/>
        <v>11.64</v>
      </c>
      <c r="EF53" s="64" t="s">
        <v>448</v>
      </c>
      <c r="EG53" s="64" t="s">
        <v>271</v>
      </c>
      <c r="EH53" s="74" t="s">
        <v>2635</v>
      </c>
      <c r="EI53" s="366" t="e">
        <f ca="1">_xll.LVCELL($EG$3,EI$3,$DP53,$DQ$2,$DP$4,$DP$5,$DP$6,$DP$7,$DP$8,$DQ$3)-CW53-CW54-CW55</f>
        <v>#NAME?</v>
      </c>
      <c r="EJ53" s="367" t="e">
        <f ca="1">_xll.LVCELL($EG$3,EJ$3,$DP53,$DQ$2,$DP$4,$DP$5,$DP$6,$DP$7,$DP$8,$DQ$3)-CX53-CX54-CX55</f>
        <v>#NAME?</v>
      </c>
      <c r="EK53" s="368" t="e">
        <f ca="1">_xll.LVCELL($EG$3,EK$3,$DP53,$DQ$2,$DP$4,$DP$5,$DP$6,$DP$7,$DP$8,$DQ$3)-CY53-CY54-CY55</f>
        <v>#NAME?</v>
      </c>
      <c r="EL53" s="367" t="e">
        <f ca="1">_xll.LVCELL($EG$3,EL$3,$DP53,$DQ$2,$DP$4,$DP$5,$DP$6,$DP$7,$DP$8,$DQ$3)-CZ53-CZ54-CZ55</f>
        <v>#NAME?</v>
      </c>
      <c r="EM53" s="368" t="e">
        <f ca="1">_xll.LVCELL($EG$3,EM$3,$DP53,$DQ$2,$DP$4,$DP$5,$DP$6,$DP$7,$DP$8,$DQ$3)-DA53-DA54-DA55</f>
        <v>#NAME?</v>
      </c>
      <c r="EN53" s="367" t="e">
        <f ca="1">_xll.LVCELL($EG$3,EN$3,$DP53,$DQ$2,$DP$4,$DP$5,$DP$6,$DP$7,$DP$8,$DQ$3)-DB53-DB54-DB55</f>
        <v>#NAME?</v>
      </c>
      <c r="EO53" s="368" t="e">
        <f ca="1">_xll.LVCELL($EG$3,EO$3,$DP53,$DQ$2,$DP$4,$DP$5,$DP$6,$DP$7,$DP$8,$DQ$3)-DC53-DC54-DC55</f>
        <v>#NAME?</v>
      </c>
      <c r="EP53" s="367" t="e">
        <f ca="1">_xll.LVCELL($EG$3,EP$3,$DP53,$DQ$2,$DP$4,$DP$5,$DP$6,$DP$7,$DP$8,$DQ$3)-DD53-DD54-DD55</f>
        <v>#NAME?</v>
      </c>
      <c r="EQ53" s="368" t="e">
        <f ca="1">_xll.LVCELL($EG$3,EQ$3,$DP53,$DQ$2,$DP$4,$DP$5,$DP$6,$DP$7,$DP$8,$DQ$3)-DE53-DE54-DE55</f>
        <v>#NAME?</v>
      </c>
      <c r="ER53" s="367" t="e">
        <f ca="1">_xll.LVCELL($EG$3,ER$3,$DP53,$DQ$2,$DP$4,$DP$5,$DP$6,$DP$7,$DP$8,$DQ$3)-DF53-DF54-DF55</f>
        <v>#NAME?</v>
      </c>
      <c r="ES53" s="368" t="e">
        <f ca="1">_xll.LVCELL($EG$3,ES$3,$DP53,$DQ$2,$DP$4,$DP$5,$DP$6,$DP$7,$DP$8,$DQ$3)-DG53-DG54-DG55</f>
        <v>#NAME?</v>
      </c>
      <c r="ET53" s="367" t="e">
        <f ca="1">_xll.LVCELL($EG$3,ET$3,$DP53,$DQ$2,$DP$4,$DP$5,$DP$6,$DP$7,$DP$8,$DQ$3)-DH53-DH54-DH55</f>
        <v>#NAME?</v>
      </c>
      <c r="EW53" s="64" t="s">
        <v>448</v>
      </c>
      <c r="EX53" s="64" t="s">
        <v>271</v>
      </c>
      <c r="EY53" s="74" t="s">
        <v>2635</v>
      </c>
      <c r="EZ53" s="364">
        <f>_xll.LVCELL($EX$3,EZ$3,$DP53,$DQ$2,$DP$4,$DP$5,$DP$6,$DP$7,$DP$8,$DQ$3)</f>
        <v>28000</v>
      </c>
      <c r="FA53" s="364">
        <f>_xll.LVCELL($EX$3,FA$3,$DP53,$DQ$2,$DP$4,$DP$5,$DP$6,$DP$7,$DP$8,$DQ$3)</f>
        <v>28000</v>
      </c>
      <c r="FB53" s="364">
        <f>_xll.LVCELL($EX$3,FB$3,$DP53,$DQ$2,$DP$4,$DP$5,$DP$6,$DP$7,$DP$8,$DQ$3)</f>
        <v>28000</v>
      </c>
      <c r="FC53" s="364">
        <f>_xll.LVCELL($EX$3,FC$3,$DP53,$DQ$2,$DP$4,$DP$5,$DP$6,$DP$7,$DP$8,$DQ$3)</f>
        <v>28000</v>
      </c>
      <c r="FD53" s="364">
        <f>_xll.LVCELL($EX$3,FD$3,$DP53,$DQ$2,$DP$4,$DP$5,$DP$6,$DP$7,$DP$8,$DQ$3)</f>
        <v>28000</v>
      </c>
      <c r="FE53" s="364">
        <f>_xll.LVCELL($EX$3,FE$3,$DP53,$DQ$2,$DP$4,$DP$5,$DP$6,$DP$7,$DP$8,$DQ$3)</f>
        <v>28000</v>
      </c>
      <c r="FF53" s="364">
        <f>_xll.LVCELL($EX$3,FF$3,$DP53,$DQ$2,$DP$4,$DP$5,$DP$6,$DP$7,$DP$8,$DQ$3)</f>
        <v>28000</v>
      </c>
      <c r="FG53" s="364">
        <f>_xll.LVCELL($EX$3,FG$3,$DP53,$DQ$2,$DP$4,$DP$5,$DP$6,$DP$7,$DP$8,$DQ$3)</f>
        <v>28000</v>
      </c>
      <c r="FH53" s="364">
        <f>_xll.LVCELL($EX$3,FH$3,$DP53,$DQ$2,$DP$4,$DP$5,$DP$6,$DP$7,$DP$8,$DQ$3)</f>
        <v>28000</v>
      </c>
      <c r="FI53" s="364">
        <f>_xll.LVCELL($EX$3,FI$3,$DP53,$DQ$2,$DP$4,$DP$5,$DP$6,$DP$7,$DP$8,$DQ$3)</f>
        <v>28000</v>
      </c>
      <c r="FJ53" s="364">
        <f>_xll.LVCELL($EX$3,FJ$3,$DP53,$DQ$2,$DP$4,$DP$5,$DP$6,$DP$7,$DP$8,$DQ$3)</f>
        <v>28000</v>
      </c>
      <c r="FK53" s="276">
        <f>_xll.LVCELL($EX$3,FK$3,$DP53,$DQ$2,$DP$4,$DP$5,$DP$6,$DP$7,$DP$8,$DQ$3)</f>
        <v>28000</v>
      </c>
      <c r="FN53" s="64" t="s">
        <v>448</v>
      </c>
      <c r="FO53" s="64" t="s">
        <v>271</v>
      </c>
      <c r="FP53" s="74" t="s">
        <v>2635</v>
      </c>
      <c r="FQ53" s="364">
        <f>_xll.LVCELL($FO$3,FQ$3,$DP53,$DQ$2,$DP$4,$DP$5,$DP$6,$DP$7,$DP$8,$DQ$3)</f>
        <v>14</v>
      </c>
      <c r="FR53" s="364">
        <f>_xll.LVCELL($FO$3,FR$3,$DP53,$DQ$2,$DP$4,$DP$5,$DP$6,$DP$7,$DP$8,$DQ$3)</f>
        <v>14</v>
      </c>
      <c r="FS53" s="364">
        <f>_xll.LVCELL($FO$3,FS$3,$DP53,$DQ$2,$DP$4,$DP$5,$DP$6,$DP$7,$DP$8,$DQ$3)</f>
        <v>14</v>
      </c>
      <c r="FT53" s="364">
        <f>_xll.LVCELL($FO$3,FT$3,$DP53,$DQ$2,$DP$4,$DP$5,$DP$6,$DP$7,$DP$8,$DQ$3)</f>
        <v>14</v>
      </c>
      <c r="FU53" s="364">
        <f>_xll.LVCELL($FO$3,FU$3,$DP53,$DQ$2,$DP$4,$DP$5,$DP$6,$DP$7,$DP$8,$DQ$3)</f>
        <v>14</v>
      </c>
      <c r="FV53" s="364">
        <f>_xll.LVCELL($FO$3,FV$3,$DP53,$DQ$2,$DP$4,$DP$5,$DP$6,$DP$7,$DP$8,$DQ$3)</f>
        <v>14</v>
      </c>
      <c r="FW53" s="364">
        <f>_xll.LVCELL($FO$3,FW$3,$DP53,$DQ$2,$DP$4,$DP$5,$DP$6,$DP$7,$DP$8,$DQ$3)</f>
        <v>14</v>
      </c>
      <c r="FX53" s="364">
        <f>_xll.LVCELL($FO$3,FX$3,$DP53,$DQ$2,$DP$4,$DP$5,$DP$6,$DP$7,$DP$8,$DQ$3)</f>
        <v>14</v>
      </c>
      <c r="FY53" s="364">
        <f>_xll.LVCELL($FO$3,FY$3,$DP53,$DQ$2,$DP$4,$DP$5,$DP$6,$DP$7,$DP$8,$DQ$3)</f>
        <v>14</v>
      </c>
      <c r="FZ53" s="364">
        <f>_xll.LVCELL($FO$3,FZ$3,$DP53,$DQ$2,$DP$4,$DP$5,$DP$6,$DP$7,$DP$8,$DQ$3)</f>
        <v>14</v>
      </c>
      <c r="GA53" s="364">
        <f>_xll.LVCELL($FO$3,GA$3,$DP53,$DQ$2,$DP$4,$DP$5,$DP$6,$DP$7,$DP$8,$DQ$3)</f>
        <v>14</v>
      </c>
      <c r="GB53" s="172">
        <f>_xll.LVCELL($FO$3,GB$3,$DP53,$DQ$2,$DP$4,$DP$5,$DP$6,$DP$7,$DP$8,$DQ$3)</f>
        <v>14</v>
      </c>
    </row>
    <row r="54" spans="1:184" ht="15">
      <c r="A54" s="286"/>
      <c r="B54" s="64" t="s">
        <v>448</v>
      </c>
      <c r="C54" s="108" t="s">
        <v>271</v>
      </c>
      <c r="D54" s="74" t="s">
        <v>351</v>
      </c>
      <c r="E54" s="357"/>
      <c r="F54" s="103">
        <f>'distribution mensuelle Prod B22'!$AT$36</f>
        <v>755613.34792346961</v>
      </c>
      <c r="G54" s="103">
        <f>'distribution mensuelle Prod B22'!$AT$37</f>
        <v>636914.47548032959</v>
      </c>
      <c r="H54" s="103">
        <f>'distribution mensuelle Prod B22'!$AT$38</f>
        <v>648851.56445754552</v>
      </c>
      <c r="I54" s="103">
        <f>'distribution mensuelle Prod B22'!$AT$39</f>
        <v>534137.05321009911</v>
      </c>
      <c r="J54" s="103">
        <f>'distribution mensuelle Prod B22'!$AT$40</f>
        <v>439349.15697827504</v>
      </c>
      <c r="K54" s="103">
        <f>'distribution mensuelle Prod B22'!$AT$41</f>
        <v>339370.24940220814</v>
      </c>
      <c r="L54" s="103">
        <f>'distribution mensuelle Prod B22'!$AT$42</f>
        <v>326354.57636085642</v>
      </c>
      <c r="M54" s="103">
        <f>'distribution mensuelle Prod B22'!$AT$43</f>
        <v>296195.88046652777</v>
      </c>
      <c r="N54" s="103">
        <f>'distribution mensuelle Prod B22'!$AT$44</f>
        <v>434710.6428746024</v>
      </c>
      <c r="O54" s="103">
        <f>'distribution mensuelle Prod B22'!$AT$45</f>
        <v>619497.10045373219</v>
      </c>
      <c r="P54" s="103">
        <f>'distribution mensuelle Prod B22'!$AT$46</f>
        <v>626364.29097727244</v>
      </c>
      <c r="Q54" s="103">
        <f>'distribution mensuelle Prod B22'!$AT$47</f>
        <v>787380.50759882922</v>
      </c>
      <c r="R54" s="67">
        <f t="shared" si="60"/>
        <v>6444738.846183748</v>
      </c>
      <c r="S54" s="358"/>
      <c r="T54" s="169"/>
      <c r="W54" s="113" t="str">
        <f t="shared" si="61"/>
        <v>E5395</v>
      </c>
      <c r="X54" s="359" t="str">
        <f t="shared" si="62"/>
        <v>Haut de Conge 2</v>
      </c>
      <c r="Y54" s="299" cm="1">
        <f t="array" ref="Y54">_xll.LVCELL($D$4,F$1,$B54,$D$2,$C$4,$C$5,$C$6,$C$7,$C$8,$D$3)*1000</f>
        <v>95.619911999999999</v>
      </c>
      <c r="Z54" s="299" cm="1">
        <f t="array" ref="Z54">_xll.LVCELL($D$4,G$1,$B54,$D$2,$C$4,$C$5,$C$6,$C$7,$C$8,$D$3)*1000</f>
        <v>95.705016999999998</v>
      </c>
      <c r="AA54" s="299" cm="1">
        <f t="array" ref="AA54">_xll.LVCELL($D$4,H$1,$B54,$D$2,$C$4,$C$5,$C$6,$C$7,$C$8,$D$3)*1000</f>
        <v>95.703657204515665</v>
      </c>
      <c r="AB54" s="299" cm="1">
        <f t="array" ref="AB54">_xll.LVCELL($D$4,I$1,$B54,$D$2,$C$4,$C$5,$C$6,$C$7,$C$8,$D$3)*1000</f>
        <v>95.721778556019146</v>
      </c>
      <c r="AC54" s="299" cm="1">
        <f t="array" ref="AC54">_xll.LVCELL($D$4,J$1,$B54,$D$2,$C$4,$C$5,$C$6,$C$7,$C$8,$D$3)*1000</f>
        <v>95.664936250789964</v>
      </c>
      <c r="AD54" s="299" cm="1">
        <f t="array" ref="AD54">_xll.LVCELL($D$4,K$1,$B54,$D$2,$C$4,$C$5,$C$6,$C$7,$C$8,$D$3)*1000</f>
        <v>95.675789153881212</v>
      </c>
      <c r="AE54" s="299" cm="1">
        <f t="array" ref="AE54">_xll.LVCELL($D$4,L$1,$B54,$D$2,$C$4,$C$5,$C$6,$C$7,$C$8,$D$3)*1000</f>
        <v>95.698124399246751</v>
      </c>
      <c r="AF54" s="299">
        <f>AE54</f>
        <v>95.698124399246751</v>
      </c>
      <c r="AG54" s="299">
        <f t="shared" si="53"/>
        <v>95.698124399246751</v>
      </c>
      <c r="AH54" s="299">
        <f t="shared" si="53"/>
        <v>95.698124399246751</v>
      </c>
      <c r="AI54" s="299">
        <f t="shared" si="54"/>
        <v>97.89918126042943</v>
      </c>
      <c r="AJ54" s="412">
        <f t="shared" si="55"/>
        <v>97.89918126042943</v>
      </c>
      <c r="AK54" s="67"/>
      <c r="AL54" s="134">
        <f t="shared" si="63"/>
        <v>2.3E-2</v>
      </c>
      <c r="AM54" s="134"/>
      <c r="AN54" s="134"/>
      <c r="AO54" s="134"/>
      <c r="AP54" s="113" t="str">
        <f t="shared" si="38"/>
        <v>E5395</v>
      </c>
      <c r="AQ54" s="567" t="str">
        <f t="shared" si="39"/>
        <v>Haut de Conge 2</v>
      </c>
      <c r="AR54" s="377"/>
      <c r="AS54" s="377"/>
      <c r="AT54" s="377"/>
      <c r="AU54" s="377"/>
      <c r="AV54" s="377"/>
      <c r="AW54" s="377"/>
      <c r="AX54" s="377"/>
      <c r="AY54" s="377"/>
      <c r="AZ54" s="377"/>
      <c r="BA54" s="377"/>
      <c r="BB54" s="377"/>
      <c r="BC54" s="378"/>
      <c r="BD54" s="414"/>
      <c r="BE54" s="134"/>
      <c r="BF54" s="134"/>
      <c r="BG54" s="134"/>
      <c r="BH54" s="134"/>
      <c r="BI54" s="113" t="str">
        <f t="shared" si="40"/>
        <v>E5395</v>
      </c>
      <c r="BJ54" s="567" t="str">
        <f t="shared" si="41"/>
        <v>Haut de Conge 2</v>
      </c>
      <c r="BK54" s="299">
        <f t="shared" ref="BK54:BK74" si="87">$AJ54</f>
        <v>97.89918126042943</v>
      </c>
      <c r="BL54" s="299">
        <f t="shared" si="86"/>
        <v>97.89918126042943</v>
      </c>
      <c r="BM54" s="299">
        <f t="shared" si="86"/>
        <v>97.89918126042943</v>
      </c>
      <c r="BN54" s="299">
        <f t="shared" si="86"/>
        <v>97.89918126042943</v>
      </c>
      <c r="BO54" s="299">
        <f t="shared" si="86"/>
        <v>97.89918126042943</v>
      </c>
      <c r="BP54" s="299">
        <f t="shared" si="86"/>
        <v>97.89918126042943</v>
      </c>
      <c r="BQ54" s="299">
        <f t="shared" si="86"/>
        <v>97.89918126042943</v>
      </c>
      <c r="BR54" s="299">
        <f t="shared" si="86"/>
        <v>97.89918126042943</v>
      </c>
      <c r="BS54" s="299">
        <f t="shared" si="86"/>
        <v>97.89918126042943</v>
      </c>
      <c r="BT54" s="299">
        <f t="shared" si="86"/>
        <v>97.89918126042943</v>
      </c>
      <c r="BU54" s="299">
        <f t="shared" si="57"/>
        <v>100.15086242941931</v>
      </c>
      <c r="BV54" s="370">
        <f t="shared" si="58"/>
        <v>100.15086242941931</v>
      </c>
      <c r="BW54" s="414"/>
      <c r="BX54" s="134"/>
      <c r="BY54" s="134"/>
      <c r="BZ54" s="134"/>
      <c r="CA54" s="134"/>
      <c r="CB54" s="113" t="str">
        <f t="shared" si="64"/>
        <v>E5395</v>
      </c>
      <c r="CC54" s="309" t="str">
        <f t="shared" si="65"/>
        <v>Haut de Conge 2</v>
      </c>
      <c r="CD54" s="299">
        <f t="shared" si="43"/>
        <v>97.89918126042943</v>
      </c>
      <c r="CE54" s="299">
        <f t="shared" si="7"/>
        <v>97.89918126042943</v>
      </c>
      <c r="CF54" s="299">
        <f t="shared" si="8"/>
        <v>97.89918126042943</v>
      </c>
      <c r="CG54" s="299">
        <f t="shared" si="9"/>
        <v>97.89918126042943</v>
      </c>
      <c r="CH54" s="299">
        <f t="shared" si="10"/>
        <v>97.89918126042943</v>
      </c>
      <c r="CI54" s="299">
        <f t="shared" si="11"/>
        <v>97.89918126042943</v>
      </c>
      <c r="CJ54" s="299">
        <f t="shared" si="12"/>
        <v>97.89918126042943</v>
      </c>
      <c r="CK54" s="299">
        <f t="shared" si="13"/>
        <v>97.89918126042943</v>
      </c>
      <c r="CL54" s="299">
        <f t="shared" si="14"/>
        <v>97.89918126042943</v>
      </c>
      <c r="CM54" s="299">
        <f t="shared" si="15"/>
        <v>97.89918126042943</v>
      </c>
      <c r="CN54" s="299">
        <f t="shared" si="16"/>
        <v>100.15086242941931</v>
      </c>
      <c r="CO54" s="370">
        <f t="shared" si="17"/>
        <v>100.15086242941931</v>
      </c>
      <c r="CP54" s="414"/>
      <c r="CQ54" s="134">
        <f t="shared" si="66"/>
        <v>4.0000000000000001E-3</v>
      </c>
      <c r="CU54" s="113" t="str">
        <f t="shared" si="67"/>
        <v>E5395</v>
      </c>
      <c r="CV54" s="74" t="str">
        <f t="shared" si="68"/>
        <v>Haut de Conge 2</v>
      </c>
      <c r="CW54" s="300">
        <f t="shared" si="69"/>
        <v>73973.928111159679</v>
      </c>
      <c r="CX54" s="298">
        <f t="shared" si="70"/>
        <v>62353.40568244012</v>
      </c>
      <c r="CY54" s="298">
        <f t="shared" si="71"/>
        <v>63522.03691994246</v>
      </c>
      <c r="CZ54" s="298">
        <f t="shared" si="72"/>
        <v>52291.580190127133</v>
      </c>
      <c r="DA54" s="298">
        <f t="shared" si="73"/>
        <v>43011.922755633015</v>
      </c>
      <c r="DB54" s="298">
        <f t="shared" si="74"/>
        <v>33224.069560623917</v>
      </c>
      <c r="DC54" s="298">
        <f t="shared" si="75"/>
        <v>31949.84582632214</v>
      </c>
      <c r="DD54" s="298">
        <f t="shared" si="76"/>
        <v>28997.334190385092</v>
      </c>
      <c r="DE54" s="298">
        <f t="shared" si="77"/>
        <v>42557.816022618506</v>
      </c>
      <c r="DF54" s="298">
        <f t="shared" si="78"/>
        <v>60648.258927630384</v>
      </c>
      <c r="DG54" s="371">
        <f t="shared" si="79"/>
        <v>62730.923936365572</v>
      </c>
      <c r="DH54" s="372">
        <f t="shared" si="80"/>
        <v>78856.83689613668</v>
      </c>
      <c r="DI54" s="67">
        <f t="shared" si="81"/>
        <v>634117.95901938458</v>
      </c>
      <c r="DJ54" s="364"/>
      <c r="DK54" s="82">
        <f t="shared" si="44"/>
        <v>634117.95901938458</v>
      </c>
      <c r="DM54" s="518">
        <f t="shared" si="82"/>
        <v>98.393119434913558</v>
      </c>
      <c r="DO54" s="64" t="str">
        <f t="shared" si="83"/>
        <v>E5395</v>
      </c>
      <c r="DP54" s="64" t="str">
        <f t="shared" si="84"/>
        <v>BEV6</v>
      </c>
      <c r="DQ54" s="74" t="str">
        <f t="shared" si="85"/>
        <v>Haut de Conge 2</v>
      </c>
      <c r="DR54" s="365">
        <f>_xll.LVCELL($DP$3,DR$3,$DP54,$DQ$2,$DP$4,$DP$5,$DP$6,$DP$7,$DP$8,$DQ$3)/100</f>
        <v>0.97</v>
      </c>
      <c r="DS54" s="365">
        <f>_xll.LVCELL($DP$3,DS$3,$DP54,$DQ$2,$DP$4,$DP$5,$DP$6,$DP$7,$DP$8,$DQ$3)/100</f>
        <v>0.97</v>
      </c>
      <c r="DT54" s="365">
        <f>_xll.LVCELL($DP$3,DT$3,$DP54,$DQ$2,$DP$4,$DP$5,$DP$6,$DP$7,$DP$8,$DQ$3)/100</f>
        <v>0.97</v>
      </c>
      <c r="DU54" s="365">
        <f>_xll.LVCELL($DP$3,DU$3,$DP54,$DQ$2,$DP$4,$DP$5,$DP$6,$DP$7,$DP$8,$DQ$3)/100</f>
        <v>0.97</v>
      </c>
      <c r="DV54" s="365">
        <f>_xll.LVCELL($DP$3,DV$3,$DP54,$DQ$2,$DP$4,$DP$5,$DP$6,$DP$7,$DP$8,$DQ$3)/100</f>
        <v>0.97</v>
      </c>
      <c r="DW54" s="365">
        <f>_xll.LVCELL($DP$3,DW$3,$DP54,$DQ$2,$DP$4,$DP$5,$DP$6,$DP$7,$DP$8,$DQ$3)/100</f>
        <v>0.97</v>
      </c>
      <c r="DX54" s="365">
        <f>_xll.LVCELL($DP$3,DX$3,$DP54,$DQ$2,$DP$4,$DP$5,$DP$6,$DP$7,$DP$8,$DQ$3)/100</f>
        <v>0.97</v>
      </c>
      <c r="DY54" s="365">
        <f>_xll.LVCELL($DP$3,DY$3,$DP54,$DQ$2,$DP$4,$DP$5,$DP$6,$DP$7,$DP$8,$DQ$3)/100</f>
        <v>0.97</v>
      </c>
      <c r="DZ54" s="365">
        <f>_xll.LVCELL($DP$3,DZ$3,$DP54,$DQ$2,$DP$4,$DP$5,$DP$6,$DP$7,$DP$8,$DQ$3)/100</f>
        <v>0.97</v>
      </c>
      <c r="EA54" s="365">
        <f>_xll.LVCELL($DP$3,EA$3,$DP54,$DQ$2,$DP$4,$DP$5,$DP$6,$DP$7,$DP$8,$DQ$3)/100</f>
        <v>0.97</v>
      </c>
      <c r="EB54" s="365">
        <f>_xll.LVCELL($DP$3,EB$3,$DP54,$DQ$2,$DP$4,$DP$5,$DP$6,$DP$7,$DP$8,$DQ$3)/100</f>
        <v>0.97</v>
      </c>
      <c r="EC54" s="365">
        <f>_xll.LVCELL($DP$3,EC$3,$DP54,$DQ$2,$DP$4,$DP$5,$DP$6,$DP$7,$DP$8,$DQ$3)/100</f>
        <v>0.97</v>
      </c>
      <c r="ED54" s="582">
        <f t="shared" si="45"/>
        <v>11.64</v>
      </c>
      <c r="EF54" s="64" t="s">
        <v>448</v>
      </c>
      <c r="EH54" s="74"/>
      <c r="EI54" s="366"/>
      <c r="EJ54" s="367"/>
      <c r="EK54" s="368"/>
      <c r="EL54" s="367"/>
      <c r="EM54" s="368"/>
      <c r="EN54" s="367"/>
      <c r="EO54" s="368"/>
      <c r="EP54" s="367"/>
      <c r="EQ54" s="368"/>
      <c r="ER54" s="367"/>
      <c r="ES54" s="368"/>
      <c r="ET54" s="367"/>
      <c r="EY54" s="74"/>
      <c r="EZ54" s="364"/>
      <c r="FA54" s="364"/>
      <c r="FB54" s="364"/>
      <c r="FC54" s="364"/>
      <c r="FD54" s="364"/>
      <c r="FE54" s="364"/>
      <c r="FF54" s="364"/>
      <c r="FG54" s="364"/>
      <c r="FH54" s="364"/>
      <c r="FI54" s="364"/>
      <c r="FJ54" s="364"/>
      <c r="FK54" s="364"/>
      <c r="FP54" s="74"/>
      <c r="FQ54" s="364"/>
      <c r="FR54" s="364"/>
      <c r="FS54" s="364"/>
      <c r="FT54" s="364"/>
      <c r="FU54" s="364"/>
      <c r="FV54" s="364"/>
      <c r="FW54" s="364"/>
      <c r="FX54" s="364"/>
      <c r="FY54" s="364"/>
      <c r="FZ54" s="364"/>
      <c r="GA54" s="364"/>
      <c r="GB54" s="172"/>
    </row>
    <row r="55" spans="1:184" ht="15">
      <c r="A55" s="286"/>
      <c r="B55" s="64" t="s">
        <v>448</v>
      </c>
      <c r="C55" s="108" t="s">
        <v>271</v>
      </c>
      <c r="D55" s="74" t="s">
        <v>352</v>
      </c>
      <c r="E55" s="357"/>
      <c r="F55" s="103">
        <f>'distribution mensuelle Prod B22'!$AU$36</f>
        <v>2412871.9626174746</v>
      </c>
      <c r="G55" s="103">
        <f>'distribution mensuelle Prod B22'!$AU$37</f>
        <v>2033835.2739466857</v>
      </c>
      <c r="H55" s="103">
        <f>'distribution mensuelle Prod B22'!$AU$38</f>
        <v>2071953.5356046464</v>
      </c>
      <c r="I55" s="103">
        <f>'distribution mensuelle Prod B22'!$AU$39</f>
        <v>1705639.9591505092</v>
      </c>
      <c r="J55" s="103">
        <f>'distribution mensuelle Prod B22'!$AU$40</f>
        <v>1402957.3002988722</v>
      </c>
      <c r="K55" s="103">
        <f>'distribution mensuelle Prod B22'!$AU$41</f>
        <v>1083698.3782504906</v>
      </c>
      <c r="L55" s="103">
        <f>'distribution mensuelle Prod B22'!$AU$42</f>
        <v>1042135.9142702295</v>
      </c>
      <c r="M55" s="103">
        <f>'distribution mensuelle Prod B22'!$AU$43</f>
        <v>945831.27387112624</v>
      </c>
      <c r="N55" s="103">
        <f>'distribution mensuelle Prod B22'!$AU$44</f>
        <v>1388145.3059637868</v>
      </c>
      <c r="O55" s="103">
        <f>'distribution mensuelle Prod B22'!$AU$45</f>
        <v>1978217.0189495187</v>
      </c>
      <c r="P55" s="103">
        <f>'distribution mensuelle Prod B22'!$AU$46</f>
        <v>2000145.7626935756</v>
      </c>
      <c r="Q55" s="103">
        <f>'distribution mensuelle Prod B22'!$AU$47</f>
        <v>2514312.8505045301</v>
      </c>
      <c r="R55" s="67">
        <f t="shared" si="60"/>
        <v>20579744.536121443</v>
      </c>
      <c r="S55" s="358"/>
      <c r="T55" s="169"/>
      <c r="W55" s="113" t="str">
        <f t="shared" si="61"/>
        <v>E5395</v>
      </c>
      <c r="X55" s="359" t="str">
        <f t="shared" si="62"/>
        <v>Haut de Conge 3</v>
      </c>
      <c r="Y55" s="299" cm="1">
        <f t="array" ref="Y55">_xll.LVCELL($D$4,F$1,$B55,$D$2,$C$4,$C$5,$C$6,$C$7,$C$8,$D$3)*1000</f>
        <v>95.619911999999999</v>
      </c>
      <c r="Z55" s="299" cm="1">
        <f t="array" ref="Z55">_xll.LVCELL($D$4,G$1,$B55,$D$2,$C$4,$C$5,$C$6,$C$7,$C$8,$D$3)*1000</f>
        <v>95.705016999999998</v>
      </c>
      <c r="AA55" s="299" cm="1">
        <f t="array" ref="AA55">_xll.LVCELL($D$4,H$1,$B55,$D$2,$C$4,$C$5,$C$6,$C$7,$C$8,$D$3)*1000</f>
        <v>95.703657204515665</v>
      </c>
      <c r="AB55" s="299" cm="1">
        <f t="array" ref="AB55">_xll.LVCELL($D$4,I$1,$B55,$D$2,$C$4,$C$5,$C$6,$C$7,$C$8,$D$3)*1000</f>
        <v>95.721778556019146</v>
      </c>
      <c r="AC55" s="299" cm="1">
        <f t="array" ref="AC55">_xll.LVCELL($D$4,J$1,$B55,$D$2,$C$4,$C$5,$C$6,$C$7,$C$8,$D$3)*1000</f>
        <v>95.664936250789964</v>
      </c>
      <c r="AD55" s="299" cm="1">
        <f t="array" ref="AD55">_xll.LVCELL($D$4,K$1,$B55,$D$2,$C$4,$C$5,$C$6,$C$7,$C$8,$D$3)*1000</f>
        <v>95.675789153881212</v>
      </c>
      <c r="AE55" s="299" cm="1">
        <f t="array" ref="AE55">_xll.LVCELL($D$4,L$1,$B55,$D$2,$C$4,$C$5,$C$6,$C$7,$C$8,$D$3)*1000</f>
        <v>95.698124399246751</v>
      </c>
      <c r="AF55" s="299">
        <f>AE55</f>
        <v>95.698124399246751</v>
      </c>
      <c r="AG55" s="299">
        <f t="shared" si="53"/>
        <v>95.698124399246751</v>
      </c>
      <c r="AH55" s="299">
        <f t="shared" si="53"/>
        <v>95.698124399246751</v>
      </c>
      <c r="AI55" s="299">
        <f t="shared" si="54"/>
        <v>97.89918126042943</v>
      </c>
      <c r="AJ55" s="412">
        <f t="shared" si="55"/>
        <v>97.89918126042943</v>
      </c>
      <c r="AK55" s="67"/>
      <c r="AL55" s="134">
        <f t="shared" si="63"/>
        <v>2.3E-2</v>
      </c>
      <c r="AM55" s="134"/>
      <c r="AN55" s="134"/>
      <c r="AO55" s="134"/>
      <c r="AP55" s="113" t="str">
        <f t="shared" si="38"/>
        <v>E5395</v>
      </c>
      <c r="AQ55" s="567" t="str">
        <f t="shared" si="39"/>
        <v>Haut de Conge 3</v>
      </c>
      <c r="AR55" s="377"/>
      <c r="AS55" s="377"/>
      <c r="AT55" s="377"/>
      <c r="AU55" s="377"/>
      <c r="AV55" s="377"/>
      <c r="AW55" s="377"/>
      <c r="AX55" s="377"/>
      <c r="AY55" s="377"/>
      <c r="AZ55" s="377"/>
      <c r="BA55" s="377"/>
      <c r="BB55" s="377"/>
      <c r="BC55" s="378"/>
      <c r="BD55" s="414"/>
      <c r="BE55" s="134"/>
      <c r="BF55" s="134"/>
      <c r="BG55" s="134"/>
      <c r="BH55" s="134"/>
      <c r="BI55" s="113" t="str">
        <f t="shared" si="40"/>
        <v>E5395</v>
      </c>
      <c r="BJ55" s="567" t="str">
        <f t="shared" si="41"/>
        <v>Haut de Conge 3</v>
      </c>
      <c r="BK55" s="299">
        <f t="shared" si="87"/>
        <v>97.89918126042943</v>
      </c>
      <c r="BL55" s="299">
        <f t="shared" ref="BL55:BT64" si="88">$AJ55</f>
        <v>97.89918126042943</v>
      </c>
      <c r="BM55" s="299">
        <f t="shared" si="88"/>
        <v>97.89918126042943</v>
      </c>
      <c r="BN55" s="299">
        <f t="shared" si="88"/>
        <v>97.89918126042943</v>
      </c>
      <c r="BO55" s="299">
        <f t="shared" si="88"/>
        <v>97.89918126042943</v>
      </c>
      <c r="BP55" s="299">
        <f t="shared" si="88"/>
        <v>97.89918126042943</v>
      </c>
      <c r="BQ55" s="299">
        <f t="shared" si="88"/>
        <v>97.89918126042943</v>
      </c>
      <c r="BR55" s="299">
        <f t="shared" si="88"/>
        <v>97.89918126042943</v>
      </c>
      <c r="BS55" s="299">
        <f t="shared" si="88"/>
        <v>97.89918126042943</v>
      </c>
      <c r="BT55" s="299">
        <f t="shared" si="88"/>
        <v>97.89918126042943</v>
      </c>
      <c r="BU55" s="299">
        <f t="shared" si="57"/>
        <v>100.15086242941931</v>
      </c>
      <c r="BV55" s="370">
        <f t="shared" si="58"/>
        <v>100.15086242941931</v>
      </c>
      <c r="BW55" s="414"/>
      <c r="BX55" s="134"/>
      <c r="BY55" s="134"/>
      <c r="BZ55" s="134"/>
      <c r="CA55" s="134"/>
      <c r="CB55" s="113" t="str">
        <f t="shared" si="64"/>
        <v>E5395</v>
      </c>
      <c r="CC55" s="309" t="str">
        <f t="shared" si="65"/>
        <v>Haut de Conge 3</v>
      </c>
      <c r="CD55" s="299">
        <f t="shared" si="43"/>
        <v>97.89918126042943</v>
      </c>
      <c r="CE55" s="299">
        <f t="shared" si="7"/>
        <v>97.89918126042943</v>
      </c>
      <c r="CF55" s="299">
        <f t="shared" si="8"/>
        <v>97.89918126042943</v>
      </c>
      <c r="CG55" s="299">
        <f t="shared" si="9"/>
        <v>97.89918126042943</v>
      </c>
      <c r="CH55" s="299">
        <f t="shared" si="10"/>
        <v>97.89918126042943</v>
      </c>
      <c r="CI55" s="299">
        <f t="shared" si="11"/>
        <v>97.89918126042943</v>
      </c>
      <c r="CJ55" s="299">
        <f t="shared" si="12"/>
        <v>97.89918126042943</v>
      </c>
      <c r="CK55" s="299">
        <f t="shared" si="13"/>
        <v>97.89918126042943</v>
      </c>
      <c r="CL55" s="299">
        <f t="shared" si="14"/>
        <v>97.89918126042943</v>
      </c>
      <c r="CM55" s="299">
        <f t="shared" si="15"/>
        <v>97.89918126042943</v>
      </c>
      <c r="CN55" s="299">
        <f t="shared" si="16"/>
        <v>100.15086242941931</v>
      </c>
      <c r="CO55" s="370">
        <f t="shared" si="17"/>
        <v>100.15086242941931</v>
      </c>
      <c r="CP55" s="414"/>
      <c r="CQ55" s="134">
        <f t="shared" si="66"/>
        <v>4.0000000000000001E-3</v>
      </c>
      <c r="CU55" s="113" t="str">
        <f t="shared" si="67"/>
        <v>E5395</v>
      </c>
      <c r="CV55" s="74" t="str">
        <f t="shared" si="68"/>
        <v>Haut de Conge 3</v>
      </c>
      <c r="CW55" s="300">
        <f t="shared" si="69"/>
        <v>236218.18962649626</v>
      </c>
      <c r="CX55" s="298">
        <f t="shared" si="70"/>
        <v>199110.80813796172</v>
      </c>
      <c r="CY55" s="298">
        <f t="shared" si="71"/>
        <v>202842.55474534689</v>
      </c>
      <c r="CZ55" s="298">
        <f t="shared" si="72"/>
        <v>166980.75552590715</v>
      </c>
      <c r="DA55" s="298">
        <f t="shared" si="73"/>
        <v>137348.371042602</v>
      </c>
      <c r="DB55" s="298">
        <f t="shared" si="74"/>
        <v>106093.1839639782</v>
      </c>
      <c r="DC55" s="298">
        <f t="shared" si="75"/>
        <v>102024.25276914454</v>
      </c>
      <c r="DD55" s="298">
        <f t="shared" si="76"/>
        <v>92596.107322492258</v>
      </c>
      <c r="DE55" s="298">
        <f t="shared" si="77"/>
        <v>135898.28892436303</v>
      </c>
      <c r="DF55" s="298">
        <f t="shared" si="78"/>
        <v>193665.82651060529</v>
      </c>
      <c r="DG55" s="371">
        <f t="shared" si="79"/>
        <v>200316.32311831022</v>
      </c>
      <c r="DH55" s="372">
        <f t="shared" si="80"/>
        <v>251810.60039540028</v>
      </c>
      <c r="DI55" s="67">
        <f t="shared" si="81"/>
        <v>2024905.2620826075</v>
      </c>
      <c r="DJ55" s="364"/>
      <c r="DK55" s="82">
        <f t="shared" si="44"/>
        <v>2024905.2620826075</v>
      </c>
      <c r="DM55" s="518">
        <f t="shared" si="82"/>
        <v>98.393119434913586</v>
      </c>
      <c r="DO55" s="64" t="str">
        <f t="shared" si="83"/>
        <v>E5395</v>
      </c>
      <c r="DP55" s="64" t="str">
        <f t="shared" si="84"/>
        <v>BEV6</v>
      </c>
      <c r="DQ55" s="74" t="str">
        <f t="shared" si="85"/>
        <v>Haut de Conge 3</v>
      </c>
      <c r="DR55" s="365">
        <f>_xll.LVCELL($DP$3,DR$3,$DP55,$DQ$2,$DP$4,$DP$5,$DP$6,$DP$7,$DP$8,$DQ$3)/100</f>
        <v>0.97</v>
      </c>
      <c r="DS55" s="365">
        <f>_xll.LVCELL($DP$3,DS$3,$DP55,$DQ$2,$DP$4,$DP$5,$DP$6,$DP$7,$DP$8,$DQ$3)/100</f>
        <v>0.97</v>
      </c>
      <c r="DT55" s="365">
        <f>_xll.LVCELL($DP$3,DT$3,$DP55,$DQ$2,$DP$4,$DP$5,$DP$6,$DP$7,$DP$8,$DQ$3)/100</f>
        <v>0.97</v>
      </c>
      <c r="DU55" s="365">
        <f>_xll.LVCELL($DP$3,DU$3,$DP55,$DQ$2,$DP$4,$DP$5,$DP$6,$DP$7,$DP$8,$DQ$3)/100</f>
        <v>0.97</v>
      </c>
      <c r="DV55" s="365">
        <f>_xll.LVCELL($DP$3,DV$3,$DP55,$DQ$2,$DP$4,$DP$5,$DP$6,$DP$7,$DP$8,$DQ$3)/100</f>
        <v>0.97</v>
      </c>
      <c r="DW55" s="365">
        <f>_xll.LVCELL($DP$3,DW$3,$DP55,$DQ$2,$DP$4,$DP$5,$DP$6,$DP$7,$DP$8,$DQ$3)/100</f>
        <v>0.97</v>
      </c>
      <c r="DX55" s="365">
        <f>_xll.LVCELL($DP$3,DX$3,$DP55,$DQ$2,$DP$4,$DP$5,$DP$6,$DP$7,$DP$8,$DQ$3)/100</f>
        <v>0.97</v>
      </c>
      <c r="DY55" s="365">
        <f>_xll.LVCELL($DP$3,DY$3,$DP55,$DQ$2,$DP$4,$DP$5,$DP$6,$DP$7,$DP$8,$DQ$3)/100</f>
        <v>0.97</v>
      </c>
      <c r="DZ55" s="365">
        <f>_xll.LVCELL($DP$3,DZ$3,$DP55,$DQ$2,$DP$4,$DP$5,$DP$6,$DP$7,$DP$8,$DQ$3)/100</f>
        <v>0.97</v>
      </c>
      <c r="EA55" s="365">
        <f>_xll.LVCELL($DP$3,EA$3,$DP55,$DQ$2,$DP$4,$DP$5,$DP$6,$DP$7,$DP$8,$DQ$3)/100</f>
        <v>0.97</v>
      </c>
      <c r="EB55" s="365">
        <f>_xll.LVCELL($DP$3,EB$3,$DP55,$DQ$2,$DP$4,$DP$5,$DP$6,$DP$7,$DP$8,$DQ$3)/100</f>
        <v>0.97</v>
      </c>
      <c r="EC55" s="365">
        <f>_xll.LVCELL($DP$3,EC$3,$DP55,$DQ$2,$DP$4,$DP$5,$DP$6,$DP$7,$DP$8,$DQ$3)/100</f>
        <v>0.97</v>
      </c>
      <c r="ED55" s="582">
        <f t="shared" si="45"/>
        <v>11.64</v>
      </c>
      <c r="EF55" s="64" t="s">
        <v>448</v>
      </c>
      <c r="EH55" s="74"/>
      <c r="EI55" s="366"/>
      <c r="EJ55" s="367"/>
      <c r="EK55" s="368"/>
      <c r="EL55" s="367"/>
      <c r="EM55" s="368"/>
      <c r="EN55" s="367"/>
      <c r="EO55" s="368"/>
      <c r="EP55" s="367"/>
      <c r="EQ55" s="368"/>
      <c r="ER55" s="367"/>
      <c r="ES55" s="368"/>
      <c r="ET55" s="367"/>
      <c r="EY55" s="74"/>
      <c r="EZ55" s="364"/>
      <c r="FA55" s="364"/>
      <c r="FB55" s="364"/>
      <c r="FC55" s="364"/>
      <c r="FD55" s="364"/>
      <c r="FE55" s="364"/>
      <c r="FF55" s="364"/>
      <c r="FG55" s="364"/>
      <c r="FH55" s="364"/>
      <c r="FI55" s="364"/>
      <c r="FJ55" s="364"/>
      <c r="FK55" s="364"/>
      <c r="FP55" s="74"/>
      <c r="FQ55" s="364"/>
      <c r="FR55" s="364"/>
      <c r="FS55" s="364"/>
      <c r="FT55" s="364"/>
      <c r="FU55" s="364"/>
      <c r="FV55" s="364"/>
      <c r="FW55" s="364"/>
      <c r="FX55" s="364"/>
      <c r="FY55" s="364"/>
      <c r="FZ55" s="364"/>
      <c r="GA55" s="364"/>
      <c r="GB55" s="172"/>
    </row>
    <row r="56" spans="1:184" ht="15">
      <c r="B56" s="64" t="s">
        <v>452</v>
      </c>
      <c r="C56" s="108" t="s">
        <v>272</v>
      </c>
      <c r="D56" s="359" t="s">
        <v>305</v>
      </c>
      <c r="E56" s="357">
        <f>_xll.LVCELL($C$3,Q$3,$C56,$D$2,$C$4,$C$5,$C$6,$C$7,$C$8,$D$3)/1000</f>
        <v>10</v>
      </c>
      <c r="F56" s="103">
        <f>'distribution mensuelle Prod B22'!$AV$36</f>
        <v>2750878.6620253208</v>
      </c>
      <c r="G56" s="103">
        <f>'distribution mensuelle Prod B22'!$AV$37</f>
        <v>2286715.4141694289</v>
      </c>
      <c r="H56" s="103">
        <f>'distribution mensuelle Prod B22'!$AV$38</f>
        <v>2222969.3138712756</v>
      </c>
      <c r="I56" s="103">
        <f>'distribution mensuelle Prod B22'!$AV$39</f>
        <v>1808485.0897115518</v>
      </c>
      <c r="J56" s="103">
        <f>'distribution mensuelle Prod B22'!$AV$40</f>
        <v>1603456.1585182627</v>
      </c>
      <c r="K56" s="103">
        <f>'distribution mensuelle Prod B22'!$AV$41</f>
        <v>1243102.451730832</v>
      </c>
      <c r="L56" s="103">
        <f>'distribution mensuelle Prod B22'!$AV$42</f>
        <v>1257397.3313221657</v>
      </c>
      <c r="M56" s="103">
        <f>'distribution mensuelle Prod B22'!$AV$43</f>
        <v>1167829.164283176</v>
      </c>
      <c r="N56" s="103">
        <f>'distribution mensuelle Prod B22'!$AV$44</f>
        <v>1534658.6552888337</v>
      </c>
      <c r="O56" s="103">
        <f>'distribution mensuelle Prod B22'!$AV$45</f>
        <v>2145614.9877921478</v>
      </c>
      <c r="P56" s="103">
        <f>'distribution mensuelle Prod B22'!$AV$46</f>
        <v>2232686.2327261223</v>
      </c>
      <c r="Q56" s="103">
        <f>'distribution mensuelle Prod B22'!$AV$47</f>
        <v>2804483.852904717</v>
      </c>
      <c r="R56" s="67">
        <f t="shared" si="60"/>
        <v>23058277.31434384</v>
      </c>
      <c r="S56" s="358"/>
      <c r="W56" s="113" t="str">
        <f t="shared" si="61"/>
        <v>E5397</v>
      </c>
      <c r="X56" s="359" t="str">
        <f t="shared" si="62"/>
        <v>Charmoy</v>
      </c>
      <c r="Y56" s="299" cm="1">
        <f t="array" ref="Y56">_xll.LVCELL($D$4,F$1,$B56,$D$2,$C$4,$C$5,$C$6,$C$7,$C$8,$D$3)*1000</f>
        <v>88.840009999999992</v>
      </c>
      <c r="Z56" s="299" cm="1">
        <f t="array" ref="Z56">_xll.LVCELL($D$4,G$1,$B56,$D$2,$C$4,$C$5,$C$6,$C$7,$C$8,$D$3)*1000</f>
        <v>88.839995999999999</v>
      </c>
      <c r="AA56" s="299" cm="1">
        <f t="array" ref="AA56">_xll.LVCELL($D$4,H$1,$B56,$D$2,$C$4,$C$5,$C$6,$C$7,$C$8,$D$3)*1000</f>
        <v>88.839994368234642</v>
      </c>
      <c r="AB56" s="299" cm="1">
        <f t="array" ref="AB56">_xll.LVCELL($D$4,I$1,$B56,$D$2,$C$4,$C$5,$C$6,$C$7,$C$8,$D$3)*1000</f>
        <v>88.839972654563411</v>
      </c>
      <c r="AC56" s="299" cm="1">
        <f t="array" ref="AC56">_xll.LVCELL($D$4,J$1,$B56,$D$2,$C$4,$C$5,$C$6,$C$7,$C$8,$D$3)*1000</f>
        <v>88.840034739515062</v>
      </c>
      <c r="AD56" s="299" cm="1">
        <f t="array" ref="AD56">_xll.LVCELL($D$4,K$1,$B56,$D$2,$C$4,$C$5,$C$6,$C$7,$C$8,$D$3)*1000</f>
        <v>88.84002503369922</v>
      </c>
      <c r="AE56" s="299" cm="1">
        <f t="array" ref="AE56">_xll.LVCELL($D$4,L$1,$B56,$D$2,$C$4,$C$5,$C$6,$C$7,$C$8,$D$3)*1000</f>
        <v>88.840026725221207</v>
      </c>
      <c r="AF56" s="299">
        <f>$AD$56</f>
        <v>88.84002503369922</v>
      </c>
      <c r="AG56" s="299">
        <f t="shared" si="53"/>
        <v>88.84002503369922</v>
      </c>
      <c r="AH56" s="299">
        <f t="shared" si="53"/>
        <v>88.84002503369922</v>
      </c>
      <c r="AI56" s="299">
        <f t="shared" si="54"/>
        <v>90.883345609474304</v>
      </c>
      <c r="AJ56" s="412">
        <f t="shared" si="55"/>
        <v>90.883345609474304</v>
      </c>
      <c r="AK56" s="67"/>
      <c r="AL56" s="134">
        <f t="shared" si="63"/>
        <v>2.3E-2</v>
      </c>
      <c r="AM56" s="134"/>
      <c r="AN56" s="134"/>
      <c r="AO56" s="134"/>
      <c r="AP56" s="113" t="str">
        <f t="shared" si="38"/>
        <v>E5397</v>
      </c>
      <c r="AQ56" s="567" t="str">
        <f t="shared" si="39"/>
        <v>Charmoy</v>
      </c>
      <c r="AR56" s="377"/>
      <c r="AS56" s="377"/>
      <c r="AT56" s="377"/>
      <c r="AU56" s="377"/>
      <c r="AV56" s="377"/>
      <c r="AW56" s="377"/>
      <c r="AX56" s="377"/>
      <c r="AY56" s="377"/>
      <c r="AZ56" s="377"/>
      <c r="BA56" s="377"/>
      <c r="BB56" s="377"/>
      <c r="BC56" s="378"/>
      <c r="BD56" s="414"/>
      <c r="BE56" s="134"/>
      <c r="BF56" s="134"/>
      <c r="BG56" s="134"/>
      <c r="BH56" s="134"/>
      <c r="BI56" s="113" t="str">
        <f t="shared" si="40"/>
        <v>E5397</v>
      </c>
      <c r="BJ56" s="567" t="str">
        <f t="shared" si="41"/>
        <v>Charmoy</v>
      </c>
      <c r="BK56" s="299">
        <f t="shared" si="87"/>
        <v>90.883345609474304</v>
      </c>
      <c r="BL56" s="299">
        <f t="shared" si="88"/>
        <v>90.883345609474304</v>
      </c>
      <c r="BM56" s="299">
        <f t="shared" si="88"/>
        <v>90.883345609474304</v>
      </c>
      <c r="BN56" s="299">
        <f t="shared" si="88"/>
        <v>90.883345609474304</v>
      </c>
      <c r="BO56" s="299">
        <f t="shared" si="88"/>
        <v>90.883345609474304</v>
      </c>
      <c r="BP56" s="299">
        <f t="shared" si="88"/>
        <v>90.883345609474304</v>
      </c>
      <c r="BQ56" s="299">
        <f t="shared" si="88"/>
        <v>90.883345609474304</v>
      </c>
      <c r="BR56" s="299">
        <f t="shared" si="88"/>
        <v>90.883345609474304</v>
      </c>
      <c r="BS56" s="299">
        <f t="shared" si="88"/>
        <v>90.883345609474304</v>
      </c>
      <c r="BT56" s="299">
        <f t="shared" si="88"/>
        <v>90.883345609474304</v>
      </c>
      <c r="BU56" s="299">
        <f t="shared" si="57"/>
        <v>92.973662558492208</v>
      </c>
      <c r="BV56" s="370">
        <f t="shared" si="58"/>
        <v>92.973662558492208</v>
      </c>
      <c r="BW56" s="414"/>
      <c r="BX56" s="134"/>
      <c r="BY56" s="134"/>
      <c r="BZ56" s="134"/>
      <c r="CA56" s="134"/>
      <c r="CB56" s="113" t="str">
        <f t="shared" si="64"/>
        <v>E5397</v>
      </c>
      <c r="CC56" s="373" t="str">
        <f t="shared" si="65"/>
        <v>Charmoy</v>
      </c>
      <c r="CD56" s="299">
        <f t="shared" si="43"/>
        <v>90.883345609474304</v>
      </c>
      <c r="CE56" s="299">
        <f t="shared" si="7"/>
        <v>90.883345609474304</v>
      </c>
      <c r="CF56" s="299">
        <f t="shared" si="8"/>
        <v>90.883345609474304</v>
      </c>
      <c r="CG56" s="299">
        <f t="shared" si="9"/>
        <v>90.883345609474304</v>
      </c>
      <c r="CH56" s="299">
        <f t="shared" si="10"/>
        <v>90.883345609474304</v>
      </c>
      <c r="CI56" s="299">
        <f t="shared" si="11"/>
        <v>90.883345609474304</v>
      </c>
      <c r="CJ56" s="299">
        <f t="shared" si="12"/>
        <v>90.883345609474304</v>
      </c>
      <c r="CK56" s="299">
        <f t="shared" si="13"/>
        <v>90.883345609474304</v>
      </c>
      <c r="CL56" s="299">
        <f t="shared" si="14"/>
        <v>90.883345609474304</v>
      </c>
      <c r="CM56" s="299">
        <f t="shared" si="15"/>
        <v>90.883345609474304</v>
      </c>
      <c r="CN56" s="299">
        <f t="shared" si="16"/>
        <v>92.973662558492208</v>
      </c>
      <c r="CO56" s="370">
        <f t="shared" si="17"/>
        <v>92.973662558492208</v>
      </c>
      <c r="CP56" s="414"/>
      <c r="CQ56" s="134">
        <f t="shared" si="66"/>
        <v>4.0000000000000001E-3</v>
      </c>
      <c r="CU56" s="113" t="str">
        <f t="shared" si="67"/>
        <v>E5397</v>
      </c>
      <c r="CV56" s="359" t="str">
        <f t="shared" si="68"/>
        <v>Charmoy</v>
      </c>
      <c r="CW56" s="300">
        <f t="shared" si="69"/>
        <v>250009.0561705755</v>
      </c>
      <c r="CX56" s="298">
        <f t="shared" si="70"/>
        <v>207824.34729647238</v>
      </c>
      <c r="CY56" s="298">
        <f t="shared" si="71"/>
        <v>202030.88843181913</v>
      </c>
      <c r="CZ56" s="298">
        <f t="shared" si="72"/>
        <v>164361.17543783612</v>
      </c>
      <c r="DA56" s="298">
        <f t="shared" si="73"/>
        <v>145727.46022425528</v>
      </c>
      <c r="DB56" s="298">
        <f t="shared" si="74"/>
        <v>112977.30974863806</v>
      </c>
      <c r="DC56" s="298">
        <f t="shared" si="75"/>
        <v>114276.47623098305</v>
      </c>
      <c r="DD56" s="298">
        <f t="shared" si="76"/>
        <v>106136.22155037143</v>
      </c>
      <c r="DE56" s="298">
        <f t="shared" si="77"/>
        <v>139474.91296118617</v>
      </c>
      <c r="DF56" s="298">
        <f t="shared" si="78"/>
        <v>195000.66848038178</v>
      </c>
      <c r="DG56" s="371">
        <f t="shared" si="79"/>
        <v>207581.0164004697</v>
      </c>
      <c r="DH56" s="372">
        <f t="shared" si="80"/>
        <v>260743.13539070325</v>
      </c>
      <c r="DI56" s="67">
        <f t="shared" si="81"/>
        <v>2106142.6683236919</v>
      </c>
      <c r="DJ56" s="364">
        <f>_xll.LVCELL($E$1,Q$2,$C56,$D$2,$C$4,$C$5,$C$6,$C$7,$C$8,$D$3)+_xll.LVCELL($E$2,Q$2,$C56,$D$2,$C$4,$C$5,$C$6,$C$7,$C$8,$D$3)</f>
        <v>2106142.5579543859</v>
      </c>
      <c r="DK56" s="82">
        <f t="shared" si="44"/>
        <v>0.11036930605769157</v>
      </c>
      <c r="DM56" s="518">
        <f t="shared" si="82"/>
        <v>91.339983451995607</v>
      </c>
      <c r="DO56" s="64" t="str">
        <f t="shared" si="83"/>
        <v>E5397</v>
      </c>
      <c r="DP56" s="64" t="str">
        <f t="shared" si="84"/>
        <v>BEV8</v>
      </c>
      <c r="DQ56" s="359" t="str">
        <f t="shared" si="85"/>
        <v>Charmoy</v>
      </c>
      <c r="DR56" s="365">
        <f>_xll.LVCELL($DP$3,DR$3,$DP56,$DQ$2,$DP$4,$DP$5,$DP$6,$DP$7,$DP$8,$DQ$3)/100</f>
        <v>0.96999999999999986</v>
      </c>
      <c r="DS56" s="365">
        <f>_xll.LVCELL($DP$3,DS$3,$DP56,$DQ$2,$DP$4,$DP$5,$DP$6,$DP$7,$DP$8,$DQ$3)/100</f>
        <v>0.97</v>
      </c>
      <c r="DT56" s="365">
        <f>_xll.LVCELL($DP$3,DT$3,$DP56,$DQ$2,$DP$4,$DP$5,$DP$6,$DP$7,$DP$8,$DQ$3)/100</f>
        <v>0.96999999999999986</v>
      </c>
      <c r="DU56" s="365">
        <f>_xll.LVCELL($DP$3,DU$3,$DP56,$DQ$2,$DP$4,$DP$5,$DP$6,$DP$7,$DP$8,$DQ$3)/100</f>
        <v>0.97</v>
      </c>
      <c r="DV56" s="365">
        <f>_xll.LVCELL($DP$3,DV$3,$DP56,$DQ$2,$DP$4,$DP$5,$DP$6,$DP$7,$DP$8,$DQ$3)/100</f>
        <v>0.96999999999999986</v>
      </c>
      <c r="DW56" s="365">
        <f>_xll.LVCELL($DP$3,DW$3,$DP56,$DQ$2,$DP$4,$DP$5,$DP$6,$DP$7,$DP$8,$DQ$3)/100</f>
        <v>0.97</v>
      </c>
      <c r="DX56" s="365">
        <f>_xll.LVCELL($DP$3,DX$3,$DP56,$DQ$2,$DP$4,$DP$5,$DP$6,$DP$7,$DP$8,$DQ$3)/100</f>
        <v>0.96999999999999986</v>
      </c>
      <c r="DY56" s="365">
        <f>_xll.LVCELL($DP$3,DY$3,$DP56,$DQ$2,$DP$4,$DP$5,$DP$6,$DP$7,$DP$8,$DQ$3)/100</f>
        <v>0.96999999999999986</v>
      </c>
      <c r="DZ56" s="365">
        <f>_xll.LVCELL($DP$3,DZ$3,$DP56,$DQ$2,$DP$4,$DP$5,$DP$6,$DP$7,$DP$8,$DQ$3)/100</f>
        <v>0.97</v>
      </c>
      <c r="EA56" s="365">
        <f>_xll.LVCELL($DP$3,EA$3,$DP56,$DQ$2,$DP$4,$DP$5,$DP$6,$DP$7,$DP$8,$DQ$3)/100</f>
        <v>0.96999999999999986</v>
      </c>
      <c r="EB56" s="365">
        <f>_xll.LVCELL($DP$3,EB$3,$DP56,$DQ$2,$DP$4,$DP$5,$DP$6,$DP$7,$DP$8,$DQ$3)/100</f>
        <v>0.97</v>
      </c>
      <c r="EC56" s="365">
        <f>_xll.LVCELL($DP$3,EC$3,$DP56,$DQ$2,$DP$4,$DP$5,$DP$6,$DP$7,$DP$8,$DQ$3)/100</f>
        <v>0.96999999999999986</v>
      </c>
      <c r="ED56" s="582">
        <f t="shared" si="45"/>
        <v>11.64</v>
      </c>
      <c r="EF56" s="64" t="s">
        <v>452</v>
      </c>
      <c r="EG56" s="64" t="s">
        <v>272</v>
      </c>
      <c r="EH56" s="359" t="s">
        <v>305</v>
      </c>
      <c r="EI56" s="366" t="e">
        <f ca="1">_xll.LVCELL($EG$3,EI$3,$DP56,$DQ$2,$DP$4,$DP$5,$DP$6,$DP$7,$DP$8,$DQ$3)-CW56</f>
        <v>#NAME?</v>
      </c>
      <c r="EJ56" s="367" t="e">
        <f ca="1">_xll.LVCELL($EG$3,EJ$3,$DP56,$DQ$2,$DP$4,$DP$5,$DP$6,$DP$7,$DP$8,$DQ$3)-CX56</f>
        <v>#NAME?</v>
      </c>
      <c r="EK56" s="368" t="e">
        <f ca="1">_xll.LVCELL($EG$3,EK$3,$DP56,$DQ$2,$DP$4,$DP$5,$DP$6,$DP$7,$DP$8,$DQ$3)-CY56</f>
        <v>#NAME?</v>
      </c>
      <c r="EL56" s="367" t="e">
        <f ca="1">_xll.LVCELL($EG$3,EL$3,$DP56,$DQ$2,$DP$4,$DP$5,$DP$6,$DP$7,$DP$8,$DQ$3)-CZ56</f>
        <v>#NAME?</v>
      </c>
      <c r="EM56" s="368" t="e">
        <f ca="1">_xll.LVCELL($EG$3,EM$3,$DP56,$DQ$2,$DP$4,$DP$5,$DP$6,$DP$7,$DP$8,$DQ$3)-DA56</f>
        <v>#NAME?</v>
      </c>
      <c r="EN56" s="367" t="e">
        <f ca="1">_xll.LVCELL($EG$3,EN$3,$DP56,$DQ$2,$DP$4,$DP$5,$DP$6,$DP$7,$DP$8,$DQ$3)-DB56</f>
        <v>#NAME?</v>
      </c>
      <c r="EO56" s="368" t="e">
        <f ca="1">_xll.LVCELL($EG$3,EO$3,$DP56,$DQ$2,$DP$4,$DP$5,$DP$6,$DP$7,$DP$8,$DQ$3)-DC56</f>
        <v>#NAME?</v>
      </c>
      <c r="EP56" s="367" t="e">
        <f ca="1">_xll.LVCELL($EG$3,EP$3,$DP56,$DQ$2,$DP$4,$DP$5,$DP$6,$DP$7,$DP$8,$DQ$3)-DD56</f>
        <v>#NAME?</v>
      </c>
      <c r="EQ56" s="368" t="e">
        <f ca="1">_xll.LVCELL($EG$3,EQ$3,$DP56,$DQ$2,$DP$4,$DP$5,$DP$6,$DP$7,$DP$8,$DQ$3)-DE56</f>
        <v>#NAME?</v>
      </c>
      <c r="ER56" s="367" t="e">
        <f ca="1">_xll.LVCELL($EG$3,ER$3,$DP56,$DQ$2,$DP$4,$DP$5,$DP$6,$DP$7,$DP$8,$DQ$3)-DF56</f>
        <v>#NAME?</v>
      </c>
      <c r="ES56" s="368" t="e">
        <f ca="1">_xll.LVCELL($EG$3,ES$3,$DP56,$DQ$2,$DP$4,$DP$5,$DP$6,$DP$7,$DP$8,$DQ$3)-DG56</f>
        <v>#NAME?</v>
      </c>
      <c r="ET56" s="367" t="e">
        <f ca="1">_xll.LVCELL($EG$3,ET$3,$DP56,$DQ$2,$DP$4,$DP$5,$DP$6,$DP$7,$DP$8,$DQ$3)-DH56</f>
        <v>#NAME?</v>
      </c>
      <c r="EW56" s="64" t="s">
        <v>452</v>
      </c>
      <c r="EX56" s="64" t="s">
        <v>272</v>
      </c>
      <c r="EY56" s="359" t="s">
        <v>305</v>
      </c>
      <c r="EZ56" s="364">
        <f>_xll.LVCELL($EX$3,EZ$3,$DP56,$DQ$2,$DP$4,$DP$5,$DP$6,$DP$7,$DP$8,$DQ$3)</f>
        <v>10000</v>
      </c>
      <c r="FA56" s="364">
        <f>_xll.LVCELL($EX$3,FA$3,$DP56,$DQ$2,$DP$4,$DP$5,$DP$6,$DP$7,$DP$8,$DQ$3)</f>
        <v>10000</v>
      </c>
      <c r="FB56" s="364">
        <f>_xll.LVCELL($EX$3,FB$3,$DP56,$DQ$2,$DP$4,$DP$5,$DP$6,$DP$7,$DP$8,$DQ$3)</f>
        <v>10000</v>
      </c>
      <c r="FC56" s="364">
        <f>_xll.LVCELL($EX$3,FC$3,$DP56,$DQ$2,$DP$4,$DP$5,$DP$6,$DP$7,$DP$8,$DQ$3)</f>
        <v>10000</v>
      </c>
      <c r="FD56" s="364">
        <f>_xll.LVCELL($EX$3,FD$3,$DP56,$DQ$2,$DP$4,$DP$5,$DP$6,$DP$7,$DP$8,$DQ$3)</f>
        <v>10000</v>
      </c>
      <c r="FE56" s="364">
        <f>_xll.LVCELL($EX$3,FE$3,$DP56,$DQ$2,$DP$4,$DP$5,$DP$6,$DP$7,$DP$8,$DQ$3)</f>
        <v>10000</v>
      </c>
      <c r="FF56" s="364">
        <f>_xll.LVCELL($EX$3,FF$3,$DP56,$DQ$2,$DP$4,$DP$5,$DP$6,$DP$7,$DP$8,$DQ$3)</f>
        <v>10000</v>
      </c>
      <c r="FG56" s="364">
        <f>_xll.LVCELL($EX$3,FG$3,$DP56,$DQ$2,$DP$4,$DP$5,$DP$6,$DP$7,$DP$8,$DQ$3)</f>
        <v>10000</v>
      </c>
      <c r="FH56" s="364">
        <f>_xll.LVCELL($EX$3,FH$3,$DP56,$DQ$2,$DP$4,$DP$5,$DP$6,$DP$7,$DP$8,$DQ$3)</f>
        <v>10000</v>
      </c>
      <c r="FI56" s="364">
        <f>_xll.LVCELL($EX$3,FI$3,$DP56,$DQ$2,$DP$4,$DP$5,$DP$6,$DP$7,$DP$8,$DQ$3)</f>
        <v>10000</v>
      </c>
      <c r="FJ56" s="364">
        <f>_xll.LVCELL($EX$3,FJ$3,$DP56,$DQ$2,$DP$4,$DP$5,$DP$6,$DP$7,$DP$8,$DQ$3)</f>
        <v>10000</v>
      </c>
      <c r="FK56" s="276">
        <f>_xll.LVCELL($EX$3,FK$3,$DP56,$DQ$2,$DP$4,$DP$5,$DP$6,$DP$7,$DP$8,$DQ$3)</f>
        <v>10000</v>
      </c>
      <c r="FN56" s="64" t="s">
        <v>452</v>
      </c>
      <c r="FO56" s="64" t="s">
        <v>272</v>
      </c>
      <c r="FP56" s="359" t="s">
        <v>305</v>
      </c>
      <c r="FQ56" s="364">
        <f>_xll.LVCELL($FO$3,FQ$3,$DP56,$DQ$2,$DP$4,$DP$5,$DP$6,$DP$7,$DP$8,$DQ$3)</f>
        <v>5</v>
      </c>
      <c r="FR56" s="364">
        <f>_xll.LVCELL($FO$3,FR$3,$DP56,$DQ$2,$DP$4,$DP$5,$DP$6,$DP$7,$DP$8,$DQ$3)</f>
        <v>5</v>
      </c>
      <c r="FS56" s="364">
        <f>_xll.LVCELL($FO$3,FS$3,$DP56,$DQ$2,$DP$4,$DP$5,$DP$6,$DP$7,$DP$8,$DQ$3)</f>
        <v>5</v>
      </c>
      <c r="FT56" s="364">
        <f>_xll.LVCELL($FO$3,FT$3,$DP56,$DQ$2,$DP$4,$DP$5,$DP$6,$DP$7,$DP$8,$DQ$3)</f>
        <v>5</v>
      </c>
      <c r="FU56" s="364">
        <f>_xll.LVCELL($FO$3,FU$3,$DP56,$DQ$2,$DP$4,$DP$5,$DP$6,$DP$7,$DP$8,$DQ$3)</f>
        <v>5</v>
      </c>
      <c r="FV56" s="364">
        <f>_xll.LVCELL($FO$3,FV$3,$DP56,$DQ$2,$DP$4,$DP$5,$DP$6,$DP$7,$DP$8,$DQ$3)</f>
        <v>5</v>
      </c>
      <c r="FW56" s="364">
        <f>_xll.LVCELL($FO$3,FW$3,$DP56,$DQ$2,$DP$4,$DP$5,$DP$6,$DP$7,$DP$8,$DQ$3)</f>
        <v>5</v>
      </c>
      <c r="FX56" s="364">
        <f>_xll.LVCELL($FO$3,FX$3,$DP56,$DQ$2,$DP$4,$DP$5,$DP$6,$DP$7,$DP$8,$DQ$3)</f>
        <v>5</v>
      </c>
      <c r="FY56" s="364">
        <f>_xll.LVCELL($FO$3,FY$3,$DP56,$DQ$2,$DP$4,$DP$5,$DP$6,$DP$7,$DP$8,$DQ$3)</f>
        <v>5</v>
      </c>
      <c r="FZ56" s="364">
        <f>_xll.LVCELL($FO$3,FZ$3,$DP56,$DQ$2,$DP$4,$DP$5,$DP$6,$DP$7,$DP$8,$DQ$3)</f>
        <v>5</v>
      </c>
      <c r="GA56" s="364">
        <f>_xll.LVCELL($FO$3,GA$3,$DP56,$DQ$2,$DP$4,$DP$5,$DP$6,$DP$7,$DP$8,$DQ$3)</f>
        <v>5</v>
      </c>
      <c r="GB56" s="172">
        <f>_xll.LVCELL($FO$3,GB$3,$DP56,$DQ$2,$DP$4,$DP$5,$DP$6,$DP$7,$DP$8,$DQ$3)</f>
        <v>5</v>
      </c>
    </row>
    <row r="57" spans="1:184" ht="15">
      <c r="A57" s="286"/>
      <c r="B57" s="64" t="s">
        <v>456</v>
      </c>
      <c r="C57" s="108" t="s">
        <v>273</v>
      </c>
      <c r="D57" s="359" t="s">
        <v>355</v>
      </c>
      <c r="E57" s="357">
        <f>_xll.LVCELL($C$3,Q$3,$C57,$D$2,$C$4,$C$5,$C$6,$C$7,$C$8,$D$3)/1000</f>
        <v>36</v>
      </c>
      <c r="F57" s="103">
        <f>'distribution mensuelle Prod B22'!$AW$36</f>
        <v>3306210.0323993526</v>
      </c>
      <c r="G57" s="103">
        <f>'distribution mensuelle Prod B22'!$AW$37</f>
        <v>2846142.1901577902</v>
      </c>
      <c r="H57" s="103">
        <f>'distribution mensuelle Prod B22'!$AW$38</f>
        <v>2646367.5287009343</v>
      </c>
      <c r="I57" s="103">
        <f>'distribution mensuelle Prod B22'!$AW$39</f>
        <v>2212475.305925034</v>
      </c>
      <c r="J57" s="103">
        <f>'distribution mensuelle Prod B22'!$AW$40</f>
        <v>1849687.4574416485</v>
      </c>
      <c r="K57" s="103">
        <f>'distribution mensuelle Prod B22'!$AW$41</f>
        <v>1411435.2805043985</v>
      </c>
      <c r="L57" s="103">
        <f>'distribution mensuelle Prod B22'!$AW$42</f>
        <v>1313250.6128318654</v>
      </c>
      <c r="M57" s="103">
        <f>'distribution mensuelle Prod B22'!$AW$43</f>
        <v>1198239.8965383759</v>
      </c>
      <c r="N57" s="103">
        <f>'distribution mensuelle Prod B22'!$AW$44</f>
        <v>1667345.6334531822</v>
      </c>
      <c r="O57" s="103">
        <f>'distribution mensuelle Prod B22'!$AW$45</f>
        <v>2418025.0846729828</v>
      </c>
      <c r="P57" s="103">
        <f>'distribution mensuelle Prod B22'!$AW$46</f>
        <v>2751105.6678458066</v>
      </c>
      <c r="Q57" s="103">
        <f>'distribution mensuelle Prod B22'!$AW$47</f>
        <v>3357419.1834497382</v>
      </c>
      <c r="R57" s="67">
        <f t="shared" si="60"/>
        <v>26977703.873921111</v>
      </c>
      <c r="S57" s="380"/>
      <c r="T57" s="169"/>
      <c r="U57" s="340"/>
      <c r="W57" s="113" t="str">
        <f t="shared" si="61"/>
        <v>E5399</v>
      </c>
      <c r="X57" s="359" t="str">
        <f t="shared" si="62"/>
        <v>Coulonges (CL)</v>
      </c>
      <c r="Y57" s="299" cm="1">
        <f t="array" ref="Y57">_xll.LVCELL($D$4,F$1,$B57,$D$2,$C$4,$C$5,$C$6,$C$7,$C$8,$D$3)*1000</f>
        <v>93.899222000000009</v>
      </c>
      <c r="Z57" s="299" cm="1">
        <f t="array" ref="Z57">_xll.LVCELL($D$4,G$1,$B57,$D$2,$C$4,$C$5,$C$6,$C$7,$C$8,$D$3)*1000</f>
        <v>93.899954999999991</v>
      </c>
      <c r="AA57" s="299" cm="1">
        <f t="array" ref="AA57">_xll.LVCELL($D$4,H$1,$B57,$D$2,$C$4,$C$5,$C$6,$C$7,$C$8,$D$3)*1000</f>
        <v>93.898954748059083</v>
      </c>
      <c r="AB57" s="299" cm="1">
        <f t="array" ref="AB57">_xll.LVCELL($D$4,I$1,$B57,$D$2,$C$4,$C$5,$C$6,$C$7,$C$8,$D$3)*1000</f>
        <v>93.899295231869814</v>
      </c>
      <c r="AC57" s="299" cm="1">
        <f t="array" ref="AC57">_xll.LVCELL($D$4,J$1,$B57,$D$2,$C$4,$C$5,$C$6,$C$7,$C$8,$D$3)*1000</f>
        <v>93.901108682498858</v>
      </c>
      <c r="AD57" s="299" cm="1">
        <f t="array" ref="AD57">_xll.LVCELL($D$4,K$1,$B57,$D$2,$C$4,$C$5,$C$6,$C$7,$C$8,$D$3)*1000</f>
        <v>93.883072911765751</v>
      </c>
      <c r="AE57" s="299" cm="1">
        <f t="array" ref="AE57">_xll.LVCELL($D$4,L$1,$B57,$D$2,$C$4,$C$5,$C$6,$C$7,$C$8,$D$3)*1000</f>
        <v>93.902725169865988</v>
      </c>
      <c r="AF57" s="299">
        <f>$AC$57</f>
        <v>93.901108682498858</v>
      </c>
      <c r="AG57" s="299">
        <f t="shared" si="53"/>
        <v>93.901108682498858</v>
      </c>
      <c r="AH57" s="299">
        <f t="shared" si="53"/>
        <v>93.901108682498858</v>
      </c>
      <c r="AI57" s="299">
        <f t="shared" si="54"/>
        <v>96.060834182196331</v>
      </c>
      <c r="AJ57" s="412">
        <f t="shared" si="55"/>
        <v>96.060834182196331</v>
      </c>
      <c r="AK57" s="67"/>
      <c r="AL57" s="134">
        <f t="shared" si="63"/>
        <v>2.3E-2</v>
      </c>
      <c r="AM57" s="134"/>
      <c r="AN57" s="134"/>
      <c r="AO57" s="134"/>
      <c r="AP57" s="113" t="str">
        <f t="shared" si="38"/>
        <v>E5399</v>
      </c>
      <c r="AQ57" s="567" t="str">
        <f t="shared" si="39"/>
        <v>Coulonges (CL)</v>
      </c>
      <c r="AR57" s="377"/>
      <c r="AS57" s="377"/>
      <c r="AT57" s="377"/>
      <c r="AU57" s="377"/>
      <c r="AV57" s="377"/>
      <c r="AW57" s="377"/>
      <c r="AX57" s="377"/>
      <c r="AY57" s="377"/>
      <c r="AZ57" s="377"/>
      <c r="BA57" s="377"/>
      <c r="BB57" s="377"/>
      <c r="BC57" s="378"/>
      <c r="BD57" s="414"/>
      <c r="BE57" s="134"/>
      <c r="BF57" s="134"/>
      <c r="BG57" s="134"/>
      <c r="BH57" s="134"/>
      <c r="BI57" s="113" t="str">
        <f t="shared" si="40"/>
        <v>E5399</v>
      </c>
      <c r="BJ57" s="567" t="str">
        <f t="shared" si="41"/>
        <v>Coulonges (CL)</v>
      </c>
      <c r="BK57" s="299">
        <f t="shared" si="87"/>
        <v>96.060834182196331</v>
      </c>
      <c r="BL57" s="299">
        <f t="shared" si="88"/>
        <v>96.060834182196331</v>
      </c>
      <c r="BM57" s="299">
        <f t="shared" si="88"/>
        <v>96.060834182196331</v>
      </c>
      <c r="BN57" s="299">
        <f t="shared" si="88"/>
        <v>96.060834182196331</v>
      </c>
      <c r="BO57" s="299">
        <f t="shared" si="88"/>
        <v>96.060834182196331</v>
      </c>
      <c r="BP57" s="299">
        <f t="shared" si="88"/>
        <v>96.060834182196331</v>
      </c>
      <c r="BQ57" s="299">
        <f t="shared" si="88"/>
        <v>96.060834182196331</v>
      </c>
      <c r="BR57" s="299">
        <f t="shared" si="88"/>
        <v>96.060834182196331</v>
      </c>
      <c r="BS57" s="299">
        <f t="shared" si="88"/>
        <v>96.060834182196331</v>
      </c>
      <c r="BT57" s="299">
        <f t="shared" si="88"/>
        <v>96.060834182196331</v>
      </c>
      <c r="BU57" s="299">
        <f t="shared" ref="BU57:BU74" si="89">$BT57+($BT57*$BX$9)</f>
        <v>98.27023336838684</v>
      </c>
      <c r="BV57" s="370">
        <f t="shared" ref="BV57:BV74" si="90">BU57</f>
        <v>98.27023336838684</v>
      </c>
      <c r="BW57" s="414"/>
      <c r="BX57" s="134"/>
      <c r="BY57" s="134"/>
      <c r="BZ57" s="134"/>
      <c r="CA57" s="134"/>
      <c r="CB57" s="113" t="str">
        <f t="shared" si="64"/>
        <v>E5399</v>
      </c>
      <c r="CC57" s="373" t="str">
        <f t="shared" si="65"/>
        <v>Coulonges (CL)</v>
      </c>
      <c r="CD57" s="299">
        <f t="shared" si="43"/>
        <v>96.060834182196331</v>
      </c>
      <c r="CE57" s="299">
        <f t="shared" si="7"/>
        <v>96.060834182196331</v>
      </c>
      <c r="CF57" s="299">
        <f t="shared" si="8"/>
        <v>96.060834182196331</v>
      </c>
      <c r="CG57" s="299">
        <f t="shared" si="9"/>
        <v>96.060834182196331</v>
      </c>
      <c r="CH57" s="299">
        <f t="shared" si="10"/>
        <v>96.060834182196331</v>
      </c>
      <c r="CI57" s="299">
        <f t="shared" si="11"/>
        <v>96.060834182196331</v>
      </c>
      <c r="CJ57" s="299">
        <f t="shared" si="12"/>
        <v>96.060834182196331</v>
      </c>
      <c r="CK57" s="299">
        <f t="shared" si="13"/>
        <v>96.060834182196331</v>
      </c>
      <c r="CL57" s="299">
        <f t="shared" si="14"/>
        <v>96.060834182196331</v>
      </c>
      <c r="CM57" s="299">
        <f t="shared" si="15"/>
        <v>96.060834182196331</v>
      </c>
      <c r="CN57" s="299">
        <f t="shared" si="16"/>
        <v>98.27023336838684</v>
      </c>
      <c r="CO57" s="370">
        <f t="shared" si="17"/>
        <v>98.27023336838684</v>
      </c>
      <c r="CP57" s="414"/>
      <c r="CQ57" s="134">
        <f t="shared" si="66"/>
        <v>4.0000000000000001E-3</v>
      </c>
      <c r="CU57" s="113" t="str">
        <f t="shared" si="67"/>
        <v>E5399</v>
      </c>
      <c r="CV57" s="359" t="str">
        <f t="shared" si="68"/>
        <v>Coulonges (CL)</v>
      </c>
      <c r="CW57" s="300">
        <f t="shared" si="69"/>
        <v>317597.29369382816</v>
      </c>
      <c r="CX57" s="298">
        <f t="shared" si="70"/>
        <v>273402.79298770055</v>
      </c>
      <c r="CY57" s="298">
        <f t="shared" si="71"/>
        <v>254212.27235968912</v>
      </c>
      <c r="CZ57" s="298">
        <f t="shared" si="72"/>
        <v>212532.22349466878</v>
      </c>
      <c r="DA57" s="298">
        <f t="shared" si="73"/>
        <v>177682.52013819051</v>
      </c>
      <c r="DB57" s="298">
        <f t="shared" si="74"/>
        <v>135583.65043943477</v>
      </c>
      <c r="DC57" s="298">
        <f t="shared" si="75"/>
        <v>126151.94935890954</v>
      </c>
      <c r="DD57" s="298">
        <f t="shared" si="76"/>
        <v>115103.92401186501</v>
      </c>
      <c r="DE57" s="298">
        <f t="shared" si="77"/>
        <v>160166.61241955523</v>
      </c>
      <c r="DF57" s="298">
        <f t="shared" si="78"/>
        <v>232277.50670716263</v>
      </c>
      <c r="DG57" s="371">
        <f t="shared" si="79"/>
        <v>270351.7960002991</v>
      </c>
      <c r="DH57" s="372">
        <f t="shared" si="80"/>
        <v>329934.36667310452</v>
      </c>
      <c r="DI57" s="67">
        <f t="shared" si="81"/>
        <v>2604996.908284408</v>
      </c>
      <c r="DJ57" s="364">
        <f>_xll.LVCELL($E$1,Q$2,$C57,$D$2,$C$4,$C$5,$C$6,$C$7,$C$8,$D$3)+_xll.LVCELL($E$2,Q$2,$C57,$D$2,$C$4,$C$5,$C$6,$C$7,$C$8,$D$3)</f>
        <v>7458267.8527727081</v>
      </c>
      <c r="DK57" s="82">
        <f t="shared" si="44"/>
        <v>-4853270.9444883</v>
      </c>
      <c r="DM57" s="518">
        <f t="shared" si="82"/>
        <v>96.561105439466786</v>
      </c>
      <c r="DO57" s="64" t="str">
        <f t="shared" si="83"/>
        <v>E5399</v>
      </c>
      <c r="DP57" s="64" t="str">
        <f t="shared" si="84"/>
        <v>BEV10</v>
      </c>
      <c r="DQ57" s="359" t="str">
        <f t="shared" si="85"/>
        <v>Coulonges (CL)</v>
      </c>
      <c r="DR57" s="365">
        <f>_xll.LVCELL($DP$3,DR$3,$DP57,$DQ$2,$DP$4,$DP$5,$DP$6,$DP$7,$DP$8,$DQ$3)/100</f>
        <v>0.97</v>
      </c>
      <c r="DS57" s="365">
        <f>_xll.LVCELL($DP$3,DS$3,$DP57,$DQ$2,$DP$4,$DP$5,$DP$6,$DP$7,$DP$8,$DQ$3)/100</f>
        <v>0.97</v>
      </c>
      <c r="DT57" s="365">
        <f>_xll.LVCELL($DP$3,DT$3,$DP57,$DQ$2,$DP$4,$DP$5,$DP$6,$DP$7,$DP$8,$DQ$3)/100</f>
        <v>0.97</v>
      </c>
      <c r="DU57" s="365">
        <f>_xll.LVCELL($DP$3,DU$3,$DP57,$DQ$2,$DP$4,$DP$5,$DP$6,$DP$7,$DP$8,$DQ$3)/100</f>
        <v>0.97</v>
      </c>
      <c r="DV57" s="365">
        <f>_xll.LVCELL($DP$3,DV$3,$DP57,$DQ$2,$DP$4,$DP$5,$DP$6,$DP$7,$DP$8,$DQ$3)/100</f>
        <v>0.97</v>
      </c>
      <c r="DW57" s="365">
        <f>_xll.LVCELL($DP$3,DW$3,$DP57,$DQ$2,$DP$4,$DP$5,$DP$6,$DP$7,$DP$8,$DQ$3)/100</f>
        <v>0.97</v>
      </c>
      <c r="DX57" s="365">
        <f>_xll.LVCELL($DP$3,DX$3,$DP57,$DQ$2,$DP$4,$DP$5,$DP$6,$DP$7,$DP$8,$DQ$3)/100</f>
        <v>0.97</v>
      </c>
      <c r="DY57" s="365">
        <f>_xll.LVCELL($DP$3,DY$3,$DP57,$DQ$2,$DP$4,$DP$5,$DP$6,$DP$7,$DP$8,$DQ$3)/100</f>
        <v>0.97</v>
      </c>
      <c r="DZ57" s="365">
        <f>_xll.LVCELL($DP$3,DZ$3,$DP57,$DQ$2,$DP$4,$DP$5,$DP$6,$DP$7,$DP$8,$DQ$3)/100</f>
        <v>0.97</v>
      </c>
      <c r="EA57" s="365">
        <f>_xll.LVCELL($DP$3,EA$3,$DP57,$DQ$2,$DP$4,$DP$5,$DP$6,$DP$7,$DP$8,$DQ$3)/100</f>
        <v>0.97</v>
      </c>
      <c r="EB57" s="365">
        <f>_xll.LVCELL($DP$3,EB$3,$DP57,$DQ$2,$DP$4,$DP$5,$DP$6,$DP$7,$DP$8,$DQ$3)/100</f>
        <v>0.97</v>
      </c>
      <c r="EC57" s="365">
        <f>_xll.LVCELL($DP$3,EC$3,$DP57,$DQ$2,$DP$4,$DP$5,$DP$6,$DP$7,$DP$8,$DQ$3)/100</f>
        <v>0.97</v>
      </c>
      <c r="ED57" s="582">
        <f t="shared" si="45"/>
        <v>11.64</v>
      </c>
      <c r="EF57" s="64" t="s">
        <v>456</v>
      </c>
      <c r="EG57" s="64" t="s">
        <v>273</v>
      </c>
      <c r="EH57" s="359" t="s">
        <v>2636</v>
      </c>
      <c r="EI57" s="366" t="e">
        <f ca="1">_xll.LVCELL($EG$3,EI$3,$DP57,$DQ$2,$DP$4,$DP$5,$DP$6,$DP$7,$DP$8,$DQ$3)-CW57-CW58-CW59</f>
        <v>#NAME?</v>
      </c>
      <c r="EJ57" s="367" t="e">
        <f ca="1">_xll.LVCELL($EG$3,EJ$3,$DP57,$DQ$2,$DP$4,$DP$5,$DP$6,$DP$7,$DP$8,$DQ$3)-CX57-CX58-CX59</f>
        <v>#NAME?</v>
      </c>
      <c r="EK57" s="368" t="e">
        <f ca="1">_xll.LVCELL($EG$3,EK$3,$DP57,$DQ$2,$DP$4,$DP$5,$DP$6,$DP$7,$DP$8,$DQ$3)-CY57-CY58-CY59</f>
        <v>#NAME?</v>
      </c>
      <c r="EL57" s="367" t="e">
        <f ca="1">_xll.LVCELL($EG$3,EL$3,$DP57,$DQ$2,$DP$4,$DP$5,$DP$6,$DP$7,$DP$8,$DQ$3)-CZ57-CZ58-CZ59</f>
        <v>#NAME?</v>
      </c>
      <c r="EM57" s="368" t="e">
        <f ca="1">_xll.LVCELL($EG$3,EM$3,$DP57,$DQ$2,$DP$4,$DP$5,$DP$6,$DP$7,$DP$8,$DQ$3)-DA57-DA58-DA59</f>
        <v>#NAME?</v>
      </c>
      <c r="EN57" s="367" t="e">
        <f ca="1">_xll.LVCELL($EG$3,EN$3,$DP57,$DQ$2,$DP$4,$DP$5,$DP$6,$DP$7,$DP$8,$DQ$3)-DB57-DB58-DB59</f>
        <v>#NAME?</v>
      </c>
      <c r="EO57" s="368" t="e">
        <f ca="1">_xll.LVCELL($EG$3,EO$3,$DP57,$DQ$2,$DP$4,$DP$5,$DP$6,$DP$7,$DP$8,$DQ$3)-DC57-DC58-DC59</f>
        <v>#NAME?</v>
      </c>
      <c r="EP57" s="367" t="e">
        <f ca="1">_xll.LVCELL($EG$3,EP$3,$DP57,$DQ$2,$DP$4,$DP$5,$DP$6,$DP$7,$DP$8,$DQ$3)-DD57-DD58-DD59</f>
        <v>#NAME?</v>
      </c>
      <c r="EQ57" s="368" t="e">
        <f ca="1">_xll.LVCELL($EG$3,EQ$3,$DP57,$DQ$2,$DP$4,$DP$5,$DP$6,$DP$7,$DP$8,$DQ$3)-DE57-DE58-DE59</f>
        <v>#NAME?</v>
      </c>
      <c r="ER57" s="367" t="e">
        <f ca="1">_xll.LVCELL($EG$3,ER$3,$DP57,$DQ$2,$DP$4,$DP$5,$DP$6,$DP$7,$DP$8,$DQ$3)-DF57-DF58-DF59</f>
        <v>#NAME?</v>
      </c>
      <c r="ES57" s="368" t="e">
        <f ca="1">_xll.LVCELL($EG$3,ES$3,$DP57,$DQ$2,$DP$4,$DP$5,$DP$6,$DP$7,$DP$8,$DQ$3)-DG57-DG58-DG59</f>
        <v>#NAME?</v>
      </c>
      <c r="ET57" s="367" t="e">
        <f ca="1">_xll.LVCELL($EG$3,ET$3,$DP57,$DQ$2,$DP$4,$DP$5,$DP$6,$DP$7,$DP$8,$DQ$3)-DH57-DH58-DH59</f>
        <v>#NAME?</v>
      </c>
      <c r="EW57" s="64" t="s">
        <v>456</v>
      </c>
      <c r="EX57" s="64" t="s">
        <v>273</v>
      </c>
      <c r="EY57" s="359" t="s">
        <v>2636</v>
      </c>
      <c r="EZ57" s="364">
        <f>_xll.LVCELL($EX$3,EZ$3,$DP57,$DQ$2,$DP$4,$DP$5,$DP$6,$DP$7,$DP$8,$DQ$3)</f>
        <v>36000</v>
      </c>
      <c r="FA57" s="364">
        <f>_xll.LVCELL($EX$3,FA$3,$DP57,$DQ$2,$DP$4,$DP$5,$DP$6,$DP$7,$DP$8,$DQ$3)</f>
        <v>36000</v>
      </c>
      <c r="FB57" s="364">
        <f>_xll.LVCELL($EX$3,FB$3,$DP57,$DQ$2,$DP$4,$DP$5,$DP$6,$DP$7,$DP$8,$DQ$3)</f>
        <v>36000</v>
      </c>
      <c r="FC57" s="364">
        <f>_xll.LVCELL($EX$3,FC$3,$DP57,$DQ$2,$DP$4,$DP$5,$DP$6,$DP$7,$DP$8,$DQ$3)</f>
        <v>36000</v>
      </c>
      <c r="FD57" s="364">
        <f>_xll.LVCELL($EX$3,FD$3,$DP57,$DQ$2,$DP$4,$DP$5,$DP$6,$DP$7,$DP$8,$DQ$3)</f>
        <v>36000</v>
      </c>
      <c r="FE57" s="364">
        <f>_xll.LVCELL($EX$3,FE$3,$DP57,$DQ$2,$DP$4,$DP$5,$DP$6,$DP$7,$DP$8,$DQ$3)</f>
        <v>36000</v>
      </c>
      <c r="FF57" s="364">
        <f>_xll.LVCELL($EX$3,FF$3,$DP57,$DQ$2,$DP$4,$DP$5,$DP$6,$DP$7,$DP$8,$DQ$3)</f>
        <v>36000</v>
      </c>
      <c r="FG57" s="364">
        <f>_xll.LVCELL($EX$3,FG$3,$DP57,$DQ$2,$DP$4,$DP$5,$DP$6,$DP$7,$DP$8,$DQ$3)</f>
        <v>36000</v>
      </c>
      <c r="FH57" s="364">
        <f>_xll.LVCELL($EX$3,FH$3,$DP57,$DQ$2,$DP$4,$DP$5,$DP$6,$DP$7,$DP$8,$DQ$3)</f>
        <v>36000</v>
      </c>
      <c r="FI57" s="364">
        <f>_xll.LVCELL($EX$3,FI$3,$DP57,$DQ$2,$DP$4,$DP$5,$DP$6,$DP$7,$DP$8,$DQ$3)</f>
        <v>36000</v>
      </c>
      <c r="FJ57" s="364">
        <f>_xll.LVCELL($EX$3,FJ$3,$DP57,$DQ$2,$DP$4,$DP$5,$DP$6,$DP$7,$DP$8,$DQ$3)</f>
        <v>36000</v>
      </c>
      <c r="FK57" s="276">
        <f>_xll.LVCELL($EX$3,FK$3,$DP57,$DQ$2,$DP$4,$DP$5,$DP$6,$DP$7,$DP$8,$DQ$3)</f>
        <v>36000</v>
      </c>
      <c r="FN57" s="64" t="s">
        <v>456</v>
      </c>
      <c r="FO57" s="64" t="s">
        <v>273</v>
      </c>
      <c r="FP57" s="359" t="s">
        <v>2636</v>
      </c>
      <c r="FQ57" s="364">
        <f>_xll.LVCELL($FO$3,FQ$3,$DP57,$DQ$2,$DP$4,$DP$5,$DP$6,$DP$7,$DP$8,$DQ$3)</f>
        <v>18</v>
      </c>
      <c r="FR57" s="364">
        <f>_xll.LVCELL($FO$3,FR$3,$DP57,$DQ$2,$DP$4,$DP$5,$DP$6,$DP$7,$DP$8,$DQ$3)</f>
        <v>18</v>
      </c>
      <c r="FS57" s="364">
        <f>_xll.LVCELL($FO$3,FS$3,$DP57,$DQ$2,$DP$4,$DP$5,$DP$6,$DP$7,$DP$8,$DQ$3)</f>
        <v>18</v>
      </c>
      <c r="FT57" s="364">
        <f>_xll.LVCELL($FO$3,FT$3,$DP57,$DQ$2,$DP$4,$DP$5,$DP$6,$DP$7,$DP$8,$DQ$3)</f>
        <v>18</v>
      </c>
      <c r="FU57" s="364">
        <f>_xll.LVCELL($FO$3,FU$3,$DP57,$DQ$2,$DP$4,$DP$5,$DP$6,$DP$7,$DP$8,$DQ$3)</f>
        <v>18</v>
      </c>
      <c r="FV57" s="364">
        <f>_xll.LVCELL($FO$3,FV$3,$DP57,$DQ$2,$DP$4,$DP$5,$DP$6,$DP$7,$DP$8,$DQ$3)</f>
        <v>18</v>
      </c>
      <c r="FW57" s="364">
        <f>_xll.LVCELL($FO$3,FW$3,$DP57,$DQ$2,$DP$4,$DP$5,$DP$6,$DP$7,$DP$8,$DQ$3)</f>
        <v>18</v>
      </c>
      <c r="FX57" s="364">
        <f>_xll.LVCELL($FO$3,FX$3,$DP57,$DQ$2,$DP$4,$DP$5,$DP$6,$DP$7,$DP$8,$DQ$3)</f>
        <v>18</v>
      </c>
      <c r="FY57" s="364">
        <f>_xll.LVCELL($FO$3,FY$3,$DP57,$DQ$2,$DP$4,$DP$5,$DP$6,$DP$7,$DP$8,$DQ$3)</f>
        <v>18</v>
      </c>
      <c r="FZ57" s="364">
        <f>_xll.LVCELL($FO$3,FZ$3,$DP57,$DQ$2,$DP$4,$DP$5,$DP$6,$DP$7,$DP$8,$DQ$3)</f>
        <v>18</v>
      </c>
      <c r="GA57" s="364">
        <f>_xll.LVCELL($FO$3,GA$3,$DP57,$DQ$2,$DP$4,$DP$5,$DP$6,$DP$7,$DP$8,$DQ$3)</f>
        <v>18</v>
      </c>
      <c r="GB57" s="172">
        <f>_xll.LVCELL($FO$3,GB$3,$DP57,$DQ$2,$DP$4,$DP$5,$DP$6,$DP$7,$DP$8,$DQ$3)</f>
        <v>18</v>
      </c>
    </row>
    <row r="58" spans="1:184" ht="15">
      <c r="A58" s="286"/>
      <c r="B58" s="64" t="s">
        <v>456</v>
      </c>
      <c r="C58" s="108" t="s">
        <v>273</v>
      </c>
      <c r="D58" s="359" t="s">
        <v>356</v>
      </c>
      <c r="E58" s="357"/>
      <c r="F58" s="103">
        <f>'distribution mensuelle Prod B22'!$AX$36</f>
        <v>3115585.0116709019</v>
      </c>
      <c r="G58" s="103">
        <f>'distribution mensuelle Prod B22'!$AX$37</f>
        <v>2682043.1436125785</v>
      </c>
      <c r="H58" s="103">
        <f>'distribution mensuelle Prod B22'!$AX$38</f>
        <v>2493786.8214650969</v>
      </c>
      <c r="I58" s="103">
        <f>'distribution mensuelle Prod B22'!$AX$39</f>
        <v>2084911.37413602</v>
      </c>
      <c r="J58" s="103">
        <f>'distribution mensuelle Prod B22'!$AX$40</f>
        <v>1743040.6605168667</v>
      </c>
      <c r="K58" s="103">
        <f>'distribution mensuelle Prod B22'!$AX$41</f>
        <v>1330056.6394119081</v>
      </c>
      <c r="L58" s="103">
        <f>'distribution mensuelle Prod B22'!$AX$42</f>
        <v>1237532.9715327579</v>
      </c>
      <c r="M58" s="103">
        <f>'distribution mensuelle Prod B22'!$AX$43</f>
        <v>1129153.3887615176</v>
      </c>
      <c r="N58" s="103">
        <f>'distribution mensuelle Prod B22'!$AX$44</f>
        <v>1571212.0566919239</v>
      </c>
      <c r="O58" s="103">
        <f>'distribution mensuelle Prod B22'!$AX$45</f>
        <v>2278609.8396127061</v>
      </c>
      <c r="P58" s="103">
        <f>'distribution mensuelle Prod B22'!$AX$46</f>
        <v>2592486.1095539578</v>
      </c>
      <c r="Q58" s="103">
        <f>'distribution mensuelle Prod B22'!$AX$47</f>
        <v>3163841.6142186802</v>
      </c>
      <c r="R58" s="67">
        <f t="shared" si="60"/>
        <v>25422259.631184921</v>
      </c>
      <c r="S58" s="358"/>
      <c r="T58" s="169"/>
      <c r="W58" s="113" t="str">
        <f t="shared" si="61"/>
        <v>E5399</v>
      </c>
      <c r="X58" s="359" t="str">
        <f t="shared" si="62"/>
        <v>Coulonges (NT)</v>
      </c>
      <c r="Y58" s="299" cm="1">
        <f t="array" ref="Y58">_xll.LVCELL($D$4,F$1,$B58,$D$2,$C$4,$C$5,$C$6,$C$7,$C$8,$D$3)*1000</f>
        <v>93.899222000000009</v>
      </c>
      <c r="Z58" s="299" cm="1">
        <f t="array" ref="Z58">_xll.LVCELL($D$4,G$1,$B58,$D$2,$C$4,$C$5,$C$6,$C$7,$C$8,$D$3)*1000</f>
        <v>93.899954999999991</v>
      </c>
      <c r="AA58" s="299" cm="1">
        <f t="array" ref="AA58">_xll.LVCELL($D$4,H$1,$B58,$D$2,$C$4,$C$5,$C$6,$C$7,$C$8,$D$3)*1000</f>
        <v>93.898954748059083</v>
      </c>
      <c r="AB58" s="299" cm="1">
        <f t="array" ref="AB58">_xll.LVCELL($D$4,I$1,$B58,$D$2,$C$4,$C$5,$C$6,$C$7,$C$8,$D$3)*1000</f>
        <v>93.899295231869814</v>
      </c>
      <c r="AC58" s="299" cm="1">
        <f t="array" ref="AC58">_xll.LVCELL($D$4,J$1,$B58,$D$2,$C$4,$C$5,$C$6,$C$7,$C$8,$D$3)*1000</f>
        <v>93.901108682498858</v>
      </c>
      <c r="AD58" s="299" cm="1">
        <f t="array" ref="AD58">_xll.LVCELL($D$4,K$1,$B58,$D$2,$C$4,$C$5,$C$6,$C$7,$C$8,$D$3)*1000</f>
        <v>93.883072911765751</v>
      </c>
      <c r="AE58" s="299" cm="1">
        <f t="array" ref="AE58">_xll.LVCELL($D$4,L$1,$B58,$D$2,$C$4,$C$5,$C$6,$C$7,$C$8,$D$3)*1000</f>
        <v>93.902725169865988</v>
      </c>
      <c r="AF58" s="299">
        <f>$AC$58</f>
        <v>93.901108682498858</v>
      </c>
      <c r="AG58" s="299">
        <f t="shared" si="53"/>
        <v>93.901108682498858</v>
      </c>
      <c r="AH58" s="299">
        <f t="shared" si="53"/>
        <v>93.901108682498858</v>
      </c>
      <c r="AI58" s="299">
        <f t="shared" si="54"/>
        <v>96.060834182196331</v>
      </c>
      <c r="AJ58" s="412">
        <f t="shared" si="55"/>
        <v>96.060834182196331</v>
      </c>
      <c r="AK58" s="67"/>
      <c r="AL58" s="134">
        <f t="shared" si="63"/>
        <v>2.3E-2</v>
      </c>
      <c r="AM58" s="134"/>
      <c r="AN58" s="134"/>
      <c r="AO58" s="134"/>
      <c r="AP58" s="113" t="str">
        <f t="shared" si="38"/>
        <v>E5399</v>
      </c>
      <c r="AQ58" s="567" t="str">
        <f t="shared" si="39"/>
        <v>Coulonges (NT)</v>
      </c>
      <c r="AR58" s="377"/>
      <c r="AS58" s="377"/>
      <c r="AT58" s="377"/>
      <c r="AU58" s="377"/>
      <c r="AV58" s="377"/>
      <c r="AW58" s="377"/>
      <c r="AX58" s="377"/>
      <c r="AY58" s="377"/>
      <c r="AZ58" s="377"/>
      <c r="BA58" s="377"/>
      <c r="BB58" s="377"/>
      <c r="BC58" s="378"/>
      <c r="BD58" s="414"/>
      <c r="BE58" s="134"/>
      <c r="BF58" s="134"/>
      <c r="BG58" s="134"/>
      <c r="BH58" s="134"/>
      <c r="BI58" s="113" t="str">
        <f t="shared" si="40"/>
        <v>E5399</v>
      </c>
      <c r="BJ58" s="567" t="str">
        <f t="shared" si="41"/>
        <v>Coulonges (NT)</v>
      </c>
      <c r="BK58" s="299">
        <f t="shared" si="87"/>
        <v>96.060834182196331</v>
      </c>
      <c r="BL58" s="299">
        <f t="shared" si="88"/>
        <v>96.060834182196331</v>
      </c>
      <c r="BM58" s="299">
        <f t="shared" si="88"/>
        <v>96.060834182196331</v>
      </c>
      <c r="BN58" s="299">
        <f t="shared" si="88"/>
        <v>96.060834182196331</v>
      </c>
      <c r="BO58" s="299">
        <f t="shared" si="88"/>
        <v>96.060834182196331</v>
      </c>
      <c r="BP58" s="299">
        <f t="shared" si="88"/>
        <v>96.060834182196331</v>
      </c>
      <c r="BQ58" s="299">
        <f t="shared" si="88"/>
        <v>96.060834182196331</v>
      </c>
      <c r="BR58" s="299">
        <f t="shared" si="88"/>
        <v>96.060834182196331</v>
      </c>
      <c r="BS58" s="299">
        <f t="shared" si="88"/>
        <v>96.060834182196331</v>
      </c>
      <c r="BT58" s="299">
        <f t="shared" si="88"/>
        <v>96.060834182196331</v>
      </c>
      <c r="BU58" s="299">
        <f t="shared" si="89"/>
        <v>98.27023336838684</v>
      </c>
      <c r="BV58" s="370">
        <f t="shared" si="90"/>
        <v>98.27023336838684</v>
      </c>
      <c r="BW58" s="414"/>
      <c r="BX58" s="134"/>
      <c r="BY58" s="134"/>
      <c r="BZ58" s="134"/>
      <c r="CA58" s="134"/>
      <c r="CB58" s="113" t="str">
        <f t="shared" si="64"/>
        <v>E5399</v>
      </c>
      <c r="CC58" s="373" t="str">
        <f t="shared" si="65"/>
        <v>Coulonges (NT)</v>
      </c>
      <c r="CD58" s="299">
        <f t="shared" si="43"/>
        <v>96.060834182196331</v>
      </c>
      <c r="CE58" s="299">
        <f t="shared" si="7"/>
        <v>96.060834182196331</v>
      </c>
      <c r="CF58" s="299">
        <f t="shared" si="8"/>
        <v>96.060834182196331</v>
      </c>
      <c r="CG58" s="299">
        <f t="shared" si="9"/>
        <v>96.060834182196331</v>
      </c>
      <c r="CH58" s="299">
        <f t="shared" si="10"/>
        <v>96.060834182196331</v>
      </c>
      <c r="CI58" s="299">
        <f t="shared" si="11"/>
        <v>96.060834182196331</v>
      </c>
      <c r="CJ58" s="299">
        <f t="shared" si="12"/>
        <v>96.060834182196331</v>
      </c>
      <c r="CK58" s="299">
        <f t="shared" si="13"/>
        <v>96.060834182196331</v>
      </c>
      <c r="CL58" s="299">
        <f t="shared" si="14"/>
        <v>96.060834182196331</v>
      </c>
      <c r="CM58" s="299">
        <f t="shared" si="15"/>
        <v>96.060834182196331</v>
      </c>
      <c r="CN58" s="299">
        <f t="shared" si="16"/>
        <v>98.27023336838684</v>
      </c>
      <c r="CO58" s="370">
        <f t="shared" si="17"/>
        <v>98.27023336838684</v>
      </c>
      <c r="CP58" s="414"/>
      <c r="CQ58" s="134">
        <f t="shared" si="66"/>
        <v>4.0000000000000001E-3</v>
      </c>
      <c r="CU58" s="113" t="str">
        <f t="shared" si="67"/>
        <v>E5399</v>
      </c>
      <c r="CV58" s="359" t="str">
        <f t="shared" si="68"/>
        <v>Coulonges (NT)</v>
      </c>
      <c r="CW58" s="300">
        <f t="shared" si="69"/>
        <v>299285.69518665469</v>
      </c>
      <c r="CX58" s="298">
        <f t="shared" si="70"/>
        <v>257639.30168806447</v>
      </c>
      <c r="CY58" s="298">
        <f t="shared" si="71"/>
        <v>239555.24234250511</v>
      </c>
      <c r="CZ58" s="298">
        <f t="shared" si="72"/>
        <v>200278.32579545531</v>
      </c>
      <c r="DA58" s="298">
        <f t="shared" si="73"/>
        <v>167437.9398627367</v>
      </c>
      <c r="DB58" s="298">
        <f t="shared" si="74"/>
        <v>127766.3502914766</v>
      </c>
      <c r="DC58" s="298">
        <f t="shared" si="75"/>
        <v>118878.44957340894</v>
      </c>
      <c r="DD58" s="298">
        <f t="shared" si="76"/>
        <v>108467.4164440852</v>
      </c>
      <c r="DE58" s="298">
        <f t="shared" si="77"/>
        <v>150931.94084295054</v>
      </c>
      <c r="DF58" s="298">
        <f t="shared" si="78"/>
        <v>218885.16196895714</v>
      </c>
      <c r="DG58" s="371">
        <f t="shared" si="79"/>
        <v>254764.21499016872</v>
      </c>
      <c r="DH58" s="372">
        <f t="shared" si="80"/>
        <v>310911.45376988343</v>
      </c>
      <c r="DI58" s="67">
        <f t="shared" si="81"/>
        <v>2454801.4927563472</v>
      </c>
      <c r="DJ58" s="364"/>
      <c r="DK58" s="82">
        <f t="shared" si="44"/>
        <v>2454801.4927563472</v>
      </c>
      <c r="DM58" s="518">
        <f t="shared" si="82"/>
        <v>96.561105439466786</v>
      </c>
      <c r="DO58" s="64" t="str">
        <f t="shared" si="83"/>
        <v>E5399</v>
      </c>
      <c r="DP58" s="64" t="str">
        <f t="shared" si="84"/>
        <v>BEV10</v>
      </c>
      <c r="DQ58" s="359" t="str">
        <f t="shared" si="85"/>
        <v>Coulonges (NT)</v>
      </c>
      <c r="DR58" s="365">
        <f>_xll.LVCELL($DP$3,DR$3,$DP58,$DQ$2,$DP$4,$DP$5,$DP$6,$DP$7,$DP$8,$DQ$3)/100</f>
        <v>0.97</v>
      </c>
      <c r="DS58" s="365">
        <f>_xll.LVCELL($DP$3,DS$3,$DP58,$DQ$2,$DP$4,$DP$5,$DP$6,$DP$7,$DP$8,$DQ$3)/100</f>
        <v>0.97</v>
      </c>
      <c r="DT58" s="365">
        <f>_xll.LVCELL($DP$3,DT$3,$DP58,$DQ$2,$DP$4,$DP$5,$DP$6,$DP$7,$DP$8,$DQ$3)/100</f>
        <v>0.97</v>
      </c>
      <c r="DU58" s="365">
        <f>_xll.LVCELL($DP$3,DU$3,$DP58,$DQ$2,$DP$4,$DP$5,$DP$6,$DP$7,$DP$8,$DQ$3)/100</f>
        <v>0.97</v>
      </c>
      <c r="DV58" s="365">
        <f>_xll.LVCELL($DP$3,DV$3,$DP58,$DQ$2,$DP$4,$DP$5,$DP$6,$DP$7,$DP$8,$DQ$3)/100</f>
        <v>0.97</v>
      </c>
      <c r="DW58" s="365">
        <f>_xll.LVCELL($DP$3,DW$3,$DP58,$DQ$2,$DP$4,$DP$5,$DP$6,$DP$7,$DP$8,$DQ$3)/100</f>
        <v>0.97</v>
      </c>
      <c r="DX58" s="365">
        <f>_xll.LVCELL($DP$3,DX$3,$DP58,$DQ$2,$DP$4,$DP$5,$DP$6,$DP$7,$DP$8,$DQ$3)/100</f>
        <v>0.97</v>
      </c>
      <c r="DY58" s="365">
        <f>_xll.LVCELL($DP$3,DY$3,$DP58,$DQ$2,$DP$4,$DP$5,$DP$6,$DP$7,$DP$8,$DQ$3)/100</f>
        <v>0.97</v>
      </c>
      <c r="DZ58" s="365">
        <f>_xll.LVCELL($DP$3,DZ$3,$DP58,$DQ$2,$DP$4,$DP$5,$DP$6,$DP$7,$DP$8,$DQ$3)/100</f>
        <v>0.97</v>
      </c>
      <c r="EA58" s="365">
        <f>_xll.LVCELL($DP$3,EA$3,$DP58,$DQ$2,$DP$4,$DP$5,$DP$6,$DP$7,$DP$8,$DQ$3)/100</f>
        <v>0.97</v>
      </c>
      <c r="EB58" s="365">
        <f>_xll.LVCELL($DP$3,EB$3,$DP58,$DQ$2,$DP$4,$DP$5,$DP$6,$DP$7,$DP$8,$DQ$3)/100</f>
        <v>0.97</v>
      </c>
      <c r="EC58" s="365">
        <f>_xll.LVCELL($DP$3,EC$3,$DP58,$DQ$2,$DP$4,$DP$5,$DP$6,$DP$7,$DP$8,$DQ$3)/100</f>
        <v>0.97</v>
      </c>
      <c r="ED58" s="582">
        <f t="shared" si="45"/>
        <v>11.64</v>
      </c>
      <c r="EF58" s="64" t="s">
        <v>456</v>
      </c>
      <c r="EH58" s="359"/>
      <c r="EI58" s="366"/>
      <c r="EJ58" s="367"/>
      <c r="EK58" s="368"/>
      <c r="EL58" s="367"/>
      <c r="EM58" s="368"/>
      <c r="EN58" s="367"/>
      <c r="EO58" s="368"/>
      <c r="EP58" s="367"/>
      <c r="EQ58" s="368"/>
      <c r="ER58" s="367"/>
      <c r="ES58" s="368"/>
      <c r="ET58" s="367"/>
      <c r="EY58" s="359"/>
      <c r="EZ58" s="364"/>
      <c r="FA58" s="364"/>
      <c r="FB58" s="364"/>
      <c r="FC58" s="364"/>
      <c r="FD58" s="364"/>
      <c r="FE58" s="364"/>
      <c r="FF58" s="364"/>
      <c r="FG58" s="364"/>
      <c r="FH58" s="364"/>
      <c r="FI58" s="364"/>
      <c r="FJ58" s="364"/>
      <c r="FK58" s="364"/>
      <c r="FP58" s="359"/>
      <c r="FQ58" s="364"/>
      <c r="FR58" s="364"/>
      <c r="FS58" s="364"/>
      <c r="FT58" s="364"/>
      <c r="FU58" s="364"/>
      <c r="FV58" s="364"/>
      <c r="FW58" s="364"/>
      <c r="FX58" s="364"/>
      <c r="FY58" s="364"/>
      <c r="FZ58" s="364"/>
      <c r="GA58" s="364"/>
      <c r="GB58" s="172"/>
    </row>
    <row r="59" spans="1:184" ht="15">
      <c r="A59" s="286"/>
      <c r="B59" s="64" t="s">
        <v>456</v>
      </c>
      <c r="C59" s="108" t="s">
        <v>273</v>
      </c>
      <c r="D59" s="359" t="s">
        <v>357</v>
      </c>
      <c r="E59" s="357"/>
      <c r="F59" s="103">
        <f>'distribution mensuelle Prod B22'!$AY$36</f>
        <v>3044089.4896009564</v>
      </c>
      <c r="G59" s="103">
        <f>'distribution mensuelle Prod B22'!$AY$37</f>
        <v>2620496.4119238611</v>
      </c>
      <c r="H59" s="103">
        <f>'distribution mensuelle Prod B22'!$AY$38</f>
        <v>2436560.1400990263</v>
      </c>
      <c r="I59" s="103">
        <f>'distribution mensuelle Prod B22'!$AY$39</f>
        <v>2037067.4454340138</v>
      </c>
      <c r="J59" s="103">
        <f>'distribution mensuelle Prod B22'!$AY$40</f>
        <v>1703041.8796952961</v>
      </c>
      <c r="K59" s="103">
        <f>'distribution mensuelle Prod B22'!$AY$41</f>
        <v>1299534.8935885283</v>
      </c>
      <c r="L59" s="103">
        <f>'distribution mensuelle Prod B22'!$AY$42</f>
        <v>1209134.4314360928</v>
      </c>
      <c r="M59" s="103">
        <f>'distribution mensuelle Prod B22'!$AY$43</f>
        <v>1103241.9112302859</v>
      </c>
      <c r="N59" s="103">
        <f>'distribution mensuelle Prod B22'!$AY$44</f>
        <v>1535156.3477785164</v>
      </c>
      <c r="O59" s="103">
        <f>'distribution mensuelle Prod B22'!$AY$45</f>
        <v>2226320.9758947953</v>
      </c>
      <c r="P59" s="103">
        <f>'distribution mensuelle Prod B22'!$AY$46</f>
        <v>2532994.5061577028</v>
      </c>
      <c r="Q59" s="103">
        <f>'distribution mensuelle Prod B22'!$AY$47</f>
        <v>3091238.7139261696</v>
      </c>
      <c r="R59" s="67">
        <f t="shared" si="60"/>
        <v>24838877.146765247</v>
      </c>
      <c r="S59" s="358"/>
      <c r="T59" s="169"/>
      <c r="W59" s="113" t="str">
        <f t="shared" si="61"/>
        <v>E5399</v>
      </c>
      <c r="X59" s="359" t="str">
        <f t="shared" si="62"/>
        <v>Coulonges (CP)</v>
      </c>
      <c r="Y59" s="299" cm="1">
        <f t="array" ref="Y59">_xll.LVCELL($D$4,F$1,$B59,$D$2,$C$4,$C$5,$C$6,$C$7,$C$8,$D$3)*1000</f>
        <v>93.899222000000009</v>
      </c>
      <c r="Z59" s="299" cm="1">
        <f t="array" ref="Z59">_xll.LVCELL($D$4,G$1,$B59,$D$2,$C$4,$C$5,$C$6,$C$7,$C$8,$D$3)*1000</f>
        <v>93.899954999999991</v>
      </c>
      <c r="AA59" s="299" cm="1">
        <f t="array" ref="AA59">_xll.LVCELL($D$4,H$1,$B59,$D$2,$C$4,$C$5,$C$6,$C$7,$C$8,$D$3)*1000</f>
        <v>93.898954748059083</v>
      </c>
      <c r="AB59" s="299" cm="1">
        <f t="array" ref="AB59">_xll.LVCELL($D$4,I$1,$B59,$D$2,$C$4,$C$5,$C$6,$C$7,$C$8,$D$3)*1000</f>
        <v>93.899295231869814</v>
      </c>
      <c r="AC59" s="299" cm="1">
        <f t="array" ref="AC59">_xll.LVCELL($D$4,J$1,$B59,$D$2,$C$4,$C$5,$C$6,$C$7,$C$8,$D$3)*1000</f>
        <v>93.901108682498858</v>
      </c>
      <c r="AD59" s="299" cm="1">
        <f t="array" ref="AD59">_xll.LVCELL($D$4,K$1,$B59,$D$2,$C$4,$C$5,$C$6,$C$7,$C$8,$D$3)*1000</f>
        <v>93.883072911765751</v>
      </c>
      <c r="AE59" s="299" cm="1">
        <f t="array" ref="AE59">_xll.LVCELL($D$4,L$1,$B59,$D$2,$C$4,$C$5,$C$6,$C$7,$C$8,$D$3)*1000</f>
        <v>93.902725169865988</v>
      </c>
      <c r="AF59" s="299">
        <f>$AC$59</f>
        <v>93.901108682498858</v>
      </c>
      <c r="AG59" s="299">
        <f t="shared" si="53"/>
        <v>93.901108682498858</v>
      </c>
      <c r="AH59" s="299">
        <f t="shared" si="53"/>
        <v>93.901108682498858</v>
      </c>
      <c r="AI59" s="299">
        <f t="shared" si="54"/>
        <v>96.060834182196331</v>
      </c>
      <c r="AJ59" s="412">
        <f t="shared" si="55"/>
        <v>96.060834182196331</v>
      </c>
      <c r="AK59" s="67"/>
      <c r="AL59" s="134">
        <f t="shared" si="63"/>
        <v>2.3E-2</v>
      </c>
      <c r="AM59" s="134"/>
      <c r="AN59" s="134"/>
      <c r="AO59" s="134"/>
      <c r="AP59" s="113" t="str">
        <f t="shared" si="38"/>
        <v>E5399</v>
      </c>
      <c r="AQ59" s="567" t="str">
        <f t="shared" si="39"/>
        <v>Coulonges (CP)</v>
      </c>
      <c r="AR59" s="377"/>
      <c r="AS59" s="377"/>
      <c r="AT59" s="377"/>
      <c r="AU59" s="377"/>
      <c r="AV59" s="377"/>
      <c r="AW59" s="377"/>
      <c r="AX59" s="377"/>
      <c r="AY59" s="377"/>
      <c r="AZ59" s="377"/>
      <c r="BA59" s="377"/>
      <c r="BB59" s="377"/>
      <c r="BC59" s="378"/>
      <c r="BD59" s="414"/>
      <c r="BE59" s="134"/>
      <c r="BF59" s="134"/>
      <c r="BG59" s="134"/>
      <c r="BH59" s="134"/>
      <c r="BI59" s="113" t="str">
        <f t="shared" si="40"/>
        <v>E5399</v>
      </c>
      <c r="BJ59" s="567" t="str">
        <f t="shared" si="41"/>
        <v>Coulonges (CP)</v>
      </c>
      <c r="BK59" s="299">
        <f t="shared" si="87"/>
        <v>96.060834182196331</v>
      </c>
      <c r="BL59" s="299">
        <f t="shared" si="88"/>
        <v>96.060834182196331</v>
      </c>
      <c r="BM59" s="299">
        <f t="shared" si="88"/>
        <v>96.060834182196331</v>
      </c>
      <c r="BN59" s="299">
        <f t="shared" si="88"/>
        <v>96.060834182196331</v>
      </c>
      <c r="BO59" s="299">
        <f t="shared" si="88"/>
        <v>96.060834182196331</v>
      </c>
      <c r="BP59" s="299">
        <f t="shared" si="88"/>
        <v>96.060834182196331</v>
      </c>
      <c r="BQ59" s="299">
        <f t="shared" si="88"/>
        <v>96.060834182196331</v>
      </c>
      <c r="BR59" s="299">
        <f t="shared" si="88"/>
        <v>96.060834182196331</v>
      </c>
      <c r="BS59" s="299">
        <f t="shared" si="88"/>
        <v>96.060834182196331</v>
      </c>
      <c r="BT59" s="299">
        <f t="shared" si="88"/>
        <v>96.060834182196331</v>
      </c>
      <c r="BU59" s="299">
        <f t="shared" si="89"/>
        <v>98.27023336838684</v>
      </c>
      <c r="BV59" s="370">
        <f t="shared" si="90"/>
        <v>98.27023336838684</v>
      </c>
      <c r="BW59" s="414"/>
      <c r="BX59" s="134"/>
      <c r="BY59" s="134"/>
      <c r="BZ59" s="134"/>
      <c r="CA59" s="134"/>
      <c r="CB59" s="113" t="str">
        <f t="shared" si="64"/>
        <v>E5399</v>
      </c>
      <c r="CC59" s="373" t="str">
        <f t="shared" si="65"/>
        <v>Coulonges (CP)</v>
      </c>
      <c r="CD59" s="299">
        <f t="shared" si="43"/>
        <v>96.060834182196331</v>
      </c>
      <c r="CE59" s="299">
        <f t="shared" si="7"/>
        <v>96.060834182196331</v>
      </c>
      <c r="CF59" s="299">
        <f t="shared" si="8"/>
        <v>96.060834182196331</v>
      </c>
      <c r="CG59" s="299">
        <f t="shared" si="9"/>
        <v>96.060834182196331</v>
      </c>
      <c r="CH59" s="299">
        <f t="shared" si="10"/>
        <v>96.060834182196331</v>
      </c>
      <c r="CI59" s="299">
        <f t="shared" si="11"/>
        <v>96.060834182196331</v>
      </c>
      <c r="CJ59" s="299">
        <f t="shared" si="12"/>
        <v>96.060834182196331</v>
      </c>
      <c r="CK59" s="299">
        <f t="shared" si="13"/>
        <v>96.060834182196331</v>
      </c>
      <c r="CL59" s="299">
        <f t="shared" si="14"/>
        <v>96.060834182196331</v>
      </c>
      <c r="CM59" s="299">
        <f t="shared" si="15"/>
        <v>96.060834182196331</v>
      </c>
      <c r="CN59" s="299">
        <f t="shared" si="16"/>
        <v>98.27023336838684</v>
      </c>
      <c r="CO59" s="370">
        <f t="shared" si="17"/>
        <v>98.27023336838684</v>
      </c>
      <c r="CP59" s="414"/>
      <c r="CQ59" s="134">
        <f t="shared" si="66"/>
        <v>4.0000000000000001E-3</v>
      </c>
      <c r="CU59" s="113" t="str">
        <f t="shared" si="67"/>
        <v>E5399</v>
      </c>
      <c r="CV59" s="359" t="str">
        <f t="shared" si="68"/>
        <v>Coulonges (CP)</v>
      </c>
      <c r="CW59" s="300">
        <f t="shared" si="69"/>
        <v>292417.77569632413</v>
      </c>
      <c r="CX59" s="298">
        <f t="shared" si="70"/>
        <v>251727.07130085846</v>
      </c>
      <c r="CY59" s="298">
        <f t="shared" si="71"/>
        <v>234057.99959300162</v>
      </c>
      <c r="CZ59" s="298">
        <f t="shared" si="72"/>
        <v>195682.39809378705</v>
      </c>
      <c r="DA59" s="298">
        <f t="shared" si="73"/>
        <v>163595.62361074577</v>
      </c>
      <c r="DB59" s="298">
        <f t="shared" si="74"/>
        <v>124834.40592698575</v>
      </c>
      <c r="DC59" s="298">
        <f t="shared" si="75"/>
        <v>116150.46212216675</v>
      </c>
      <c r="DD59" s="298">
        <f t="shared" si="76"/>
        <v>105978.33829754185</v>
      </c>
      <c r="DE59" s="298">
        <f t="shared" si="77"/>
        <v>147468.39936769818</v>
      </c>
      <c r="DF59" s="298">
        <f t="shared" si="78"/>
        <v>213862.25010177543</v>
      </c>
      <c r="DG59" s="371">
        <f t="shared" si="79"/>
        <v>248917.96124095921</v>
      </c>
      <c r="DH59" s="372">
        <f t="shared" si="80"/>
        <v>303776.74981491669</v>
      </c>
      <c r="DI59" s="67">
        <f t="shared" si="81"/>
        <v>2398469.4351667608</v>
      </c>
      <c r="DJ59" s="364"/>
      <c r="DK59" s="82">
        <f t="shared" si="44"/>
        <v>2398469.4351667608</v>
      </c>
      <c r="DM59" s="518">
        <f t="shared" si="82"/>
        <v>96.561105439466772</v>
      </c>
      <c r="DO59" s="64" t="str">
        <f t="shared" si="83"/>
        <v>E5399</v>
      </c>
      <c r="DP59" s="64" t="str">
        <f t="shared" si="84"/>
        <v>BEV10</v>
      </c>
      <c r="DQ59" s="359" t="str">
        <f t="shared" si="85"/>
        <v>Coulonges (CP)</v>
      </c>
      <c r="DR59" s="365">
        <f>_xll.LVCELL($DP$3,DR$3,$DP59,$DQ$2,$DP$4,$DP$5,$DP$6,$DP$7,$DP$8,$DQ$3)/100</f>
        <v>0.97</v>
      </c>
      <c r="DS59" s="365">
        <f>_xll.LVCELL($DP$3,DS$3,$DP59,$DQ$2,$DP$4,$DP$5,$DP$6,$DP$7,$DP$8,$DQ$3)/100</f>
        <v>0.97</v>
      </c>
      <c r="DT59" s="365">
        <f>_xll.LVCELL($DP$3,DT$3,$DP59,$DQ$2,$DP$4,$DP$5,$DP$6,$DP$7,$DP$8,$DQ$3)/100</f>
        <v>0.97</v>
      </c>
      <c r="DU59" s="365">
        <f>_xll.LVCELL($DP$3,DU$3,$DP59,$DQ$2,$DP$4,$DP$5,$DP$6,$DP$7,$DP$8,$DQ$3)/100</f>
        <v>0.97</v>
      </c>
      <c r="DV59" s="365">
        <f>_xll.LVCELL($DP$3,DV$3,$DP59,$DQ$2,$DP$4,$DP$5,$DP$6,$DP$7,$DP$8,$DQ$3)/100</f>
        <v>0.97</v>
      </c>
      <c r="DW59" s="365">
        <f>_xll.LVCELL($DP$3,DW$3,$DP59,$DQ$2,$DP$4,$DP$5,$DP$6,$DP$7,$DP$8,$DQ$3)/100</f>
        <v>0.97</v>
      </c>
      <c r="DX59" s="365">
        <f>_xll.LVCELL($DP$3,DX$3,$DP59,$DQ$2,$DP$4,$DP$5,$DP$6,$DP$7,$DP$8,$DQ$3)/100</f>
        <v>0.97</v>
      </c>
      <c r="DY59" s="365">
        <f>_xll.LVCELL($DP$3,DY$3,$DP59,$DQ$2,$DP$4,$DP$5,$DP$6,$DP$7,$DP$8,$DQ$3)/100</f>
        <v>0.97</v>
      </c>
      <c r="DZ59" s="365">
        <f>_xll.LVCELL($DP$3,DZ$3,$DP59,$DQ$2,$DP$4,$DP$5,$DP$6,$DP$7,$DP$8,$DQ$3)/100</f>
        <v>0.97</v>
      </c>
      <c r="EA59" s="365">
        <f>_xll.LVCELL($DP$3,EA$3,$DP59,$DQ$2,$DP$4,$DP$5,$DP$6,$DP$7,$DP$8,$DQ$3)/100</f>
        <v>0.97</v>
      </c>
      <c r="EB59" s="365">
        <f>_xll.LVCELL($DP$3,EB$3,$DP59,$DQ$2,$DP$4,$DP$5,$DP$6,$DP$7,$DP$8,$DQ$3)/100</f>
        <v>0.97</v>
      </c>
      <c r="EC59" s="365">
        <f>_xll.LVCELL($DP$3,EC$3,$DP59,$DQ$2,$DP$4,$DP$5,$DP$6,$DP$7,$DP$8,$DQ$3)/100</f>
        <v>0.97</v>
      </c>
      <c r="ED59" s="582">
        <f t="shared" si="45"/>
        <v>11.64</v>
      </c>
      <c r="EF59" s="64" t="s">
        <v>456</v>
      </c>
      <c r="EH59" s="359"/>
      <c r="EI59" s="366"/>
      <c r="EJ59" s="367"/>
      <c r="EK59" s="368"/>
      <c r="EL59" s="367"/>
      <c r="EM59" s="368"/>
      <c r="EN59" s="367"/>
      <c r="EO59" s="368"/>
      <c r="EP59" s="367"/>
      <c r="EQ59" s="368"/>
      <c r="ER59" s="367"/>
      <c r="ES59" s="368"/>
      <c r="ET59" s="367"/>
      <c r="EY59" s="359"/>
      <c r="EZ59" s="364"/>
      <c r="FA59" s="364"/>
      <c r="FB59" s="364"/>
      <c r="FC59" s="364"/>
      <c r="FD59" s="364"/>
      <c r="FE59" s="364"/>
      <c r="FF59" s="364"/>
      <c r="FG59" s="364"/>
      <c r="FH59" s="364"/>
      <c r="FI59" s="364"/>
      <c r="FJ59" s="364"/>
      <c r="FK59" s="364"/>
      <c r="FP59" s="359"/>
      <c r="FQ59" s="364"/>
      <c r="FR59" s="364"/>
      <c r="FS59" s="364"/>
      <c r="FT59" s="364"/>
      <c r="FU59" s="364"/>
      <c r="FV59" s="364"/>
      <c r="FW59" s="364"/>
      <c r="FX59" s="364"/>
      <c r="FY59" s="364"/>
      <c r="FZ59" s="364"/>
      <c r="GA59" s="364"/>
      <c r="GB59" s="172"/>
    </row>
    <row r="60" spans="1:184" ht="15">
      <c r="A60" s="286">
        <v>0.65901757518039672</v>
      </c>
      <c r="B60" s="64" t="s">
        <v>458</v>
      </c>
      <c r="C60" s="108" t="s">
        <v>274</v>
      </c>
      <c r="D60" s="359" t="s">
        <v>553</v>
      </c>
      <c r="E60" s="357">
        <f>_xll.LVCELL($C$3,Q$3,$C60,$D$2,$C$4,$C$5,$C$6,$C$7,$C$8,$D$3)/1000</f>
        <v>18</v>
      </c>
      <c r="F60" s="103">
        <f>'distribution mensuelle Prod B22'!$AZ$36</f>
        <v>3168981.5522897649</v>
      </c>
      <c r="G60" s="103">
        <f>'distribution mensuelle Prod B22'!$AZ$37</f>
        <v>2820767.92116781</v>
      </c>
      <c r="H60" s="103">
        <f>'distribution mensuelle Prod B22'!$AZ$38</f>
        <v>2829613.5366287013</v>
      </c>
      <c r="I60" s="103">
        <f>'distribution mensuelle Prod B22'!$AZ$39</f>
        <v>2447766.8930057837</v>
      </c>
      <c r="J60" s="103">
        <f>'distribution mensuelle Prod B22'!$AZ$40</f>
        <v>2104286.3031564988</v>
      </c>
      <c r="K60" s="103">
        <f>'distribution mensuelle Prod B22'!$AZ$41</f>
        <v>1715778.4721294083</v>
      </c>
      <c r="L60" s="103">
        <f>'distribution mensuelle Prod B22'!$AZ$42</f>
        <v>1685540.6838323411</v>
      </c>
      <c r="M60" s="103">
        <f>'distribution mensuelle Prod B22'!$AZ$43</f>
        <v>1496875.0751258519</v>
      </c>
      <c r="N60" s="103">
        <f>'distribution mensuelle Prod B22'!$AZ$44</f>
        <v>1893348.2867754647</v>
      </c>
      <c r="O60" s="103">
        <f>'distribution mensuelle Prod B22'!$AZ$45</f>
        <v>2425823.1179946917</v>
      </c>
      <c r="P60" s="103">
        <f>'distribution mensuelle Prod B22'!$AZ$46</f>
        <v>2978249.7561960393</v>
      </c>
      <c r="Q60" s="103">
        <f>'distribution mensuelle Prod B22'!$AZ$47</f>
        <v>3136195.1507767467</v>
      </c>
      <c r="R60" s="67">
        <f t="shared" si="60"/>
        <v>28703226.749079108</v>
      </c>
      <c r="S60" s="379"/>
      <c r="T60" s="169"/>
      <c r="U60" s="340"/>
      <c r="W60" s="113" t="str">
        <f t="shared" si="61"/>
        <v>E5400</v>
      </c>
      <c r="X60" s="359" t="str">
        <f t="shared" si="62"/>
        <v>SdlL1</v>
      </c>
      <c r="Y60" s="299" cm="1">
        <f t="array" ref="Y60">_xll.LVCELL($D$4,F$1,$B60,$D$2,$C$4,$C$5,$C$6,$C$7,$C$8,$D$3)*1000</f>
        <v>93.170082000000008</v>
      </c>
      <c r="Z60" s="299" cm="1">
        <f t="array" ref="Z60">_xll.LVCELL($D$4,G$1,$B60,$D$2,$C$4,$C$5,$C$6,$C$7,$C$8,$D$3)*1000</f>
        <v>93.169685999999999</v>
      </c>
      <c r="AA60" s="299" cm="1">
        <f t="array" ref="AA60">_xll.LVCELL($D$4,H$1,$B60,$D$2,$C$4,$C$5,$C$6,$C$7,$C$8,$D$3)*1000</f>
        <v>93.170129128828179</v>
      </c>
      <c r="AB60" s="299" cm="1">
        <f t="array" ref="AB60">_xll.LVCELL($D$4,I$1,$B60,$D$2,$C$4,$C$5,$C$6,$C$7,$C$8,$D$3)*1000</f>
        <v>93.170198750250606</v>
      </c>
      <c r="AC60" s="299" cm="1">
        <f t="array" ref="AC60">_xll.LVCELL($D$4,J$1,$B60,$D$2,$C$4,$C$5,$C$6,$C$7,$C$8,$D$3)*1000</f>
        <v>93.170234719989693</v>
      </c>
      <c r="AD60" s="299" cm="1">
        <f t="array" ref="AD60">_xll.LVCELL($D$4,K$1,$B60,$D$2,$C$4,$C$5,$C$6,$C$7,$C$8,$D$3)*1000</f>
        <v>93.169910391932419</v>
      </c>
      <c r="AE60" s="299" cm="1">
        <f t="array" ref="AE60">_xll.LVCELL($D$4,L$1,$B60,$D$2,$C$4,$C$5,$C$6,$C$7,$C$8,$D$3)*1000</f>
        <v>93.170315112810016</v>
      </c>
      <c r="AF60" s="299">
        <f>$AD$60</f>
        <v>93.169910391932419</v>
      </c>
      <c r="AG60" s="299">
        <f t="shared" si="53"/>
        <v>93.169910391932419</v>
      </c>
      <c r="AH60" s="299">
        <f t="shared" si="53"/>
        <v>93.169910391932419</v>
      </c>
      <c r="AI60" s="299">
        <f t="shared" si="54"/>
        <v>95.312818330946868</v>
      </c>
      <c r="AJ60" s="412">
        <f t="shared" si="55"/>
        <v>95.312818330946868</v>
      </c>
      <c r="AK60" s="67"/>
      <c r="AL60" s="134">
        <f t="shared" si="63"/>
        <v>2.3E-2</v>
      </c>
      <c r="AM60" s="134"/>
      <c r="AN60" s="134"/>
      <c r="AO60" s="134"/>
      <c r="AP60" s="113" t="str">
        <f t="shared" si="38"/>
        <v>E5400</v>
      </c>
      <c r="AQ60" s="567" t="str">
        <f t="shared" si="39"/>
        <v>SdlL1</v>
      </c>
      <c r="AR60" s="377"/>
      <c r="AS60" s="377"/>
      <c r="AT60" s="377"/>
      <c r="AU60" s="377"/>
      <c r="AV60" s="377"/>
      <c r="AW60" s="377"/>
      <c r="AX60" s="377"/>
      <c r="AY60" s="377"/>
      <c r="AZ60" s="377"/>
      <c r="BA60" s="377"/>
      <c r="BB60" s="377"/>
      <c r="BC60" s="378"/>
      <c r="BD60" s="414"/>
      <c r="BE60" s="134"/>
      <c r="BF60" s="134"/>
      <c r="BG60" s="134"/>
      <c r="BH60" s="134"/>
      <c r="BI60" s="113" t="str">
        <f t="shared" si="40"/>
        <v>E5400</v>
      </c>
      <c r="BJ60" s="567" t="str">
        <f t="shared" si="41"/>
        <v>SdlL1</v>
      </c>
      <c r="BK60" s="299">
        <f t="shared" si="87"/>
        <v>95.312818330946868</v>
      </c>
      <c r="BL60" s="299">
        <f t="shared" si="88"/>
        <v>95.312818330946868</v>
      </c>
      <c r="BM60" s="299">
        <f t="shared" si="88"/>
        <v>95.312818330946868</v>
      </c>
      <c r="BN60" s="299">
        <f t="shared" si="88"/>
        <v>95.312818330946868</v>
      </c>
      <c r="BO60" s="299">
        <f t="shared" si="88"/>
        <v>95.312818330946868</v>
      </c>
      <c r="BP60" s="299">
        <f t="shared" si="88"/>
        <v>95.312818330946868</v>
      </c>
      <c r="BQ60" s="299">
        <f t="shared" si="88"/>
        <v>95.312818330946868</v>
      </c>
      <c r="BR60" s="299">
        <f t="shared" si="88"/>
        <v>95.312818330946868</v>
      </c>
      <c r="BS60" s="299">
        <f t="shared" si="88"/>
        <v>95.312818330946868</v>
      </c>
      <c r="BT60" s="299">
        <f t="shared" si="88"/>
        <v>95.312818330946868</v>
      </c>
      <c r="BU60" s="299">
        <f t="shared" si="89"/>
        <v>97.505013152558647</v>
      </c>
      <c r="BV60" s="370">
        <f t="shared" si="90"/>
        <v>97.505013152558647</v>
      </c>
      <c r="BW60" s="414"/>
      <c r="BX60" s="134"/>
      <c r="BY60" s="134"/>
      <c r="BZ60" s="134"/>
      <c r="CA60" s="134"/>
      <c r="CB60" s="113" t="str">
        <f t="shared" si="64"/>
        <v>E5400</v>
      </c>
      <c r="CC60" s="373" t="str">
        <f t="shared" si="65"/>
        <v>SdlL1</v>
      </c>
      <c r="CD60" s="299">
        <f t="shared" si="43"/>
        <v>95.312818330946868</v>
      </c>
      <c r="CE60" s="299">
        <f t="shared" si="7"/>
        <v>95.312818330946868</v>
      </c>
      <c r="CF60" s="299">
        <f t="shared" si="8"/>
        <v>95.312818330946868</v>
      </c>
      <c r="CG60" s="299">
        <f t="shared" si="9"/>
        <v>95.312818330946868</v>
      </c>
      <c r="CH60" s="299">
        <f t="shared" si="10"/>
        <v>95.312818330946868</v>
      </c>
      <c r="CI60" s="299">
        <f t="shared" si="11"/>
        <v>95.312818330946868</v>
      </c>
      <c r="CJ60" s="299">
        <f t="shared" si="12"/>
        <v>95.312818330946868</v>
      </c>
      <c r="CK60" s="299">
        <f t="shared" si="13"/>
        <v>95.312818330946868</v>
      </c>
      <c r="CL60" s="299">
        <f t="shared" si="14"/>
        <v>95.312818330946868</v>
      </c>
      <c r="CM60" s="299">
        <f t="shared" si="15"/>
        <v>95.312818330946868</v>
      </c>
      <c r="CN60" s="299">
        <f t="shared" si="16"/>
        <v>97.505013152558647</v>
      </c>
      <c r="CO60" s="370">
        <f t="shared" si="17"/>
        <v>97.505013152558647</v>
      </c>
      <c r="CP60" s="414"/>
      <c r="CQ60" s="134">
        <f t="shared" si="66"/>
        <v>4.0000000000000001E-3</v>
      </c>
      <c r="CU60" s="113" t="str">
        <f t="shared" si="67"/>
        <v>E5400</v>
      </c>
      <c r="CV60" s="359" t="str">
        <f t="shared" si="68"/>
        <v>SdlL1</v>
      </c>
      <c r="CW60" s="300">
        <f t="shared" si="69"/>
        <v>302044.5629875164</v>
      </c>
      <c r="CX60" s="298">
        <f t="shared" si="70"/>
        <v>268855.34042403015</v>
      </c>
      <c r="CY60" s="298">
        <f t="shared" si="71"/>
        <v>269698.44096347952</v>
      </c>
      <c r="CZ60" s="298">
        <f t="shared" si="72"/>
        <v>233303.56118956654</v>
      </c>
      <c r="DA60" s="298">
        <f t="shared" si="73"/>
        <v>200565.45812905519</v>
      </c>
      <c r="DB60" s="298">
        <f t="shared" si="74"/>
        <v>163535.68181021989</v>
      </c>
      <c r="DC60" s="298">
        <f t="shared" si="75"/>
        <v>160653.63298753189</v>
      </c>
      <c r="DD60" s="298">
        <f t="shared" si="76"/>
        <v>142671.38209959277</v>
      </c>
      <c r="DE60" s="298">
        <f t="shared" si="77"/>
        <v>180460.36129463936</v>
      </c>
      <c r="DF60" s="298">
        <f t="shared" si="78"/>
        <v>231212.03814843917</v>
      </c>
      <c r="DG60" s="371">
        <f t="shared" si="79"/>
        <v>290394.28164949937</v>
      </c>
      <c r="DH60" s="372">
        <f t="shared" si="80"/>
        <v>305794.74942547735</v>
      </c>
      <c r="DI60" s="67">
        <f t="shared" si="81"/>
        <v>2749189.4911090471</v>
      </c>
      <c r="DJ60" s="364">
        <f>_xll.LVCELL($E$1,Q$2,$C60,$D$2,$C$4,$C$5,$C$6,$C$7,$C$8,$D$3)+_xll.LVCELL($E$2,Q$2,$C60,$D$2,$C$4,$C$5,$C$6,$C$7,$C$8,$D$3)</f>
        <v>4146200.9962331099</v>
      </c>
      <c r="DK60" s="82">
        <f t="shared" si="44"/>
        <v>-1397011.5051240628</v>
      </c>
      <c r="DM60" s="518">
        <f t="shared" si="82"/>
        <v>95.779806052545993</v>
      </c>
      <c r="DO60" s="64" t="str">
        <f t="shared" si="83"/>
        <v>E5400</v>
      </c>
      <c r="DP60" s="64" t="str">
        <f t="shared" si="84"/>
        <v>BEV11</v>
      </c>
      <c r="DQ60" s="359" t="str">
        <f t="shared" si="85"/>
        <v>SdlL1</v>
      </c>
      <c r="DR60" s="365">
        <f>_xll.LVCELL($DP$3,DR$3,$DP60,$DQ$2,$DP$4,$DP$5,$DP$6,$DP$7,$DP$8,$DQ$3)/100</f>
        <v>0.97</v>
      </c>
      <c r="DS60" s="365">
        <f>_xll.LVCELL($DP$3,DS$3,$DP60,$DQ$2,$DP$4,$DP$5,$DP$6,$DP$7,$DP$8,$DQ$3)/100</f>
        <v>0.97</v>
      </c>
      <c r="DT60" s="365">
        <f>_xll.LVCELL($DP$3,DT$3,$DP60,$DQ$2,$DP$4,$DP$5,$DP$6,$DP$7,$DP$8,$DQ$3)/100</f>
        <v>0.97</v>
      </c>
      <c r="DU60" s="365">
        <f>_xll.LVCELL($DP$3,DU$3,$DP60,$DQ$2,$DP$4,$DP$5,$DP$6,$DP$7,$DP$8,$DQ$3)/100</f>
        <v>0.97</v>
      </c>
      <c r="DV60" s="365">
        <f>_xll.LVCELL($DP$3,DV$3,$DP60,$DQ$2,$DP$4,$DP$5,$DP$6,$DP$7,$DP$8,$DQ$3)/100</f>
        <v>0.97</v>
      </c>
      <c r="DW60" s="365">
        <f>_xll.LVCELL($DP$3,DW$3,$DP60,$DQ$2,$DP$4,$DP$5,$DP$6,$DP$7,$DP$8,$DQ$3)/100</f>
        <v>0.97</v>
      </c>
      <c r="DX60" s="365">
        <f>_xll.LVCELL($DP$3,DX$3,$DP60,$DQ$2,$DP$4,$DP$5,$DP$6,$DP$7,$DP$8,$DQ$3)/100</f>
        <v>0.97</v>
      </c>
      <c r="DY60" s="365">
        <f>_xll.LVCELL($DP$3,DY$3,$DP60,$DQ$2,$DP$4,$DP$5,$DP$6,$DP$7,$DP$8,$DQ$3)/100</f>
        <v>0.97</v>
      </c>
      <c r="DZ60" s="365">
        <f>_xll.LVCELL($DP$3,DZ$3,$DP60,$DQ$2,$DP$4,$DP$5,$DP$6,$DP$7,$DP$8,$DQ$3)/100</f>
        <v>0.97</v>
      </c>
      <c r="EA60" s="365">
        <f>_xll.LVCELL($DP$3,EA$3,$DP60,$DQ$2,$DP$4,$DP$5,$DP$6,$DP$7,$DP$8,$DQ$3)/100</f>
        <v>0.97</v>
      </c>
      <c r="EB60" s="365">
        <f>_xll.LVCELL($DP$3,EB$3,$DP60,$DQ$2,$DP$4,$DP$5,$DP$6,$DP$7,$DP$8,$DQ$3)/100</f>
        <v>0.97</v>
      </c>
      <c r="EC60" s="365">
        <f>_xll.LVCELL($DP$3,EC$3,$DP60,$DQ$2,$DP$4,$DP$5,$DP$6,$DP$7,$DP$8,$DQ$3)/100</f>
        <v>0.97</v>
      </c>
      <c r="ED60" s="582">
        <f t="shared" si="45"/>
        <v>11.64</v>
      </c>
      <c r="EF60" s="64" t="s">
        <v>458</v>
      </c>
      <c r="EG60" s="64" t="s">
        <v>274</v>
      </c>
      <c r="EH60" s="359" t="s">
        <v>2644</v>
      </c>
      <c r="EI60" s="366" t="e">
        <f ca="1">_xll.LVCELL($EG$3,EI$3,$DP60,$DQ$2,$DP$4,$DP$5,$DP$6,$DP$7,$DP$8,$DQ$3)-CW60-CW61</f>
        <v>#NAME?</v>
      </c>
      <c r="EJ60" s="367" t="e">
        <f ca="1">_xll.LVCELL($EG$3,EJ$3,$DP60,$DQ$2,$DP$4,$DP$5,$DP$6,$DP$7,$DP$8,$DQ$3)-CX60-CX61</f>
        <v>#NAME?</v>
      </c>
      <c r="EK60" s="368" t="e">
        <f ca="1">_xll.LVCELL($EG$3,EK$3,$DP60,$DQ$2,$DP$4,$DP$5,$DP$6,$DP$7,$DP$8,$DQ$3)-CY60-CY61</f>
        <v>#NAME?</v>
      </c>
      <c r="EL60" s="367" t="e">
        <f ca="1">_xll.LVCELL($EG$3,EL$3,$DP60,$DQ$2,$DP$4,$DP$5,$DP$6,$DP$7,$DP$8,$DQ$3)-CZ60-CZ61</f>
        <v>#NAME?</v>
      </c>
      <c r="EM60" s="368" t="e">
        <f ca="1">_xll.LVCELL($EG$3,EM$3,$DP60,$DQ$2,$DP$4,$DP$5,$DP$6,$DP$7,$DP$8,$DQ$3)-DA60-DA61</f>
        <v>#NAME?</v>
      </c>
      <c r="EN60" s="367" t="e">
        <f ca="1">_xll.LVCELL($EG$3,EN$3,$DP60,$DQ$2,$DP$4,$DP$5,$DP$6,$DP$7,$DP$8,$DQ$3)-DB60-DB61</f>
        <v>#NAME?</v>
      </c>
      <c r="EO60" s="368" t="e">
        <f ca="1">_xll.LVCELL($EG$3,EO$3,$DP60,$DQ$2,$DP$4,$DP$5,$DP$6,$DP$7,$DP$8,$DQ$3)-DC60-DC61</f>
        <v>#NAME?</v>
      </c>
      <c r="EP60" s="367" t="e">
        <f ca="1">_xll.LVCELL($EG$3,EP$3,$DP60,$DQ$2,$DP$4,$DP$5,$DP$6,$DP$7,$DP$8,$DQ$3)-DD60-DD61</f>
        <v>#NAME?</v>
      </c>
      <c r="EQ60" s="368" t="e">
        <f ca="1">_xll.LVCELL($EG$3,EQ$3,$DP60,$DQ$2,$DP$4,$DP$5,$DP$6,$DP$7,$DP$8,$DQ$3)-DE60-DE61</f>
        <v>#NAME?</v>
      </c>
      <c r="ER60" s="367" t="e">
        <f ca="1">_xll.LVCELL($EG$3,ER$3,$DP60,$DQ$2,$DP$4,$DP$5,$DP$6,$DP$7,$DP$8,$DQ$3)-DF60-DF61</f>
        <v>#NAME?</v>
      </c>
      <c r="ES60" s="368" t="e">
        <f ca="1">_xll.LVCELL($EG$3,ES$3,$DP60,$DQ$2,$DP$4,$DP$5,$DP$6,$DP$7,$DP$8,$DQ$3)-DG60-DG61</f>
        <v>#NAME?</v>
      </c>
      <c r="ET60" s="367" t="e">
        <f ca="1">_xll.LVCELL($EG$3,ET$3,$DP60,$DQ$2,$DP$4,$DP$5,$DP$6,$DP$7,$DP$8,$DQ$3)-DH60-DH61</f>
        <v>#NAME?</v>
      </c>
      <c r="EW60" s="64" t="s">
        <v>458</v>
      </c>
      <c r="EX60" s="64" t="s">
        <v>274</v>
      </c>
      <c r="EY60" s="359" t="s">
        <v>2644</v>
      </c>
      <c r="EZ60" s="364">
        <f>_xll.LVCELL($EX$3,EZ$3,$DP60,$DQ$2,$DP$4,$DP$5,$DP$6,$DP$7,$DP$8,$DQ$3)</f>
        <v>18000</v>
      </c>
      <c r="FA60" s="364">
        <f>_xll.LVCELL($EX$3,FA$3,$DP60,$DQ$2,$DP$4,$DP$5,$DP$6,$DP$7,$DP$8,$DQ$3)</f>
        <v>18000</v>
      </c>
      <c r="FB60" s="364">
        <f>_xll.LVCELL($EX$3,FB$3,$DP60,$DQ$2,$DP$4,$DP$5,$DP$6,$DP$7,$DP$8,$DQ$3)</f>
        <v>18000</v>
      </c>
      <c r="FC60" s="364">
        <f>_xll.LVCELL($EX$3,FC$3,$DP60,$DQ$2,$DP$4,$DP$5,$DP$6,$DP$7,$DP$8,$DQ$3)</f>
        <v>18000</v>
      </c>
      <c r="FD60" s="364">
        <f>_xll.LVCELL($EX$3,FD$3,$DP60,$DQ$2,$DP$4,$DP$5,$DP$6,$DP$7,$DP$8,$DQ$3)</f>
        <v>18000</v>
      </c>
      <c r="FE60" s="364">
        <f>_xll.LVCELL($EX$3,FE$3,$DP60,$DQ$2,$DP$4,$DP$5,$DP$6,$DP$7,$DP$8,$DQ$3)</f>
        <v>18000</v>
      </c>
      <c r="FF60" s="364">
        <f>_xll.LVCELL($EX$3,FF$3,$DP60,$DQ$2,$DP$4,$DP$5,$DP$6,$DP$7,$DP$8,$DQ$3)</f>
        <v>18000</v>
      </c>
      <c r="FG60" s="364">
        <f>_xll.LVCELL($EX$3,FG$3,$DP60,$DQ$2,$DP$4,$DP$5,$DP$6,$DP$7,$DP$8,$DQ$3)</f>
        <v>18000</v>
      </c>
      <c r="FH60" s="364">
        <f>_xll.LVCELL($EX$3,FH$3,$DP60,$DQ$2,$DP$4,$DP$5,$DP$6,$DP$7,$DP$8,$DQ$3)</f>
        <v>18000</v>
      </c>
      <c r="FI60" s="364">
        <f>_xll.LVCELL($EX$3,FI$3,$DP60,$DQ$2,$DP$4,$DP$5,$DP$6,$DP$7,$DP$8,$DQ$3)</f>
        <v>18000</v>
      </c>
      <c r="FJ60" s="364">
        <f>_xll.LVCELL($EX$3,FJ$3,$DP60,$DQ$2,$DP$4,$DP$5,$DP$6,$DP$7,$DP$8,$DQ$3)</f>
        <v>18000</v>
      </c>
      <c r="FK60" s="276">
        <f>_xll.LVCELL($EX$3,FK$3,$DP60,$DQ$2,$DP$4,$DP$5,$DP$6,$DP$7,$DP$8,$DQ$3)</f>
        <v>18000</v>
      </c>
      <c r="FN60" s="64" t="s">
        <v>458</v>
      </c>
      <c r="FO60" s="64" t="s">
        <v>274</v>
      </c>
      <c r="FP60" s="359" t="s">
        <v>2644</v>
      </c>
      <c r="FQ60" s="364">
        <f>_xll.LVCELL($FO$3,FQ$3,$DP60,$DQ$2,$DP$4,$DP$5,$DP$6,$DP$7,$DP$8,$DQ$3)</f>
        <v>9</v>
      </c>
      <c r="FR60" s="364">
        <f>_xll.LVCELL($FO$3,FR$3,$DP60,$DQ$2,$DP$4,$DP$5,$DP$6,$DP$7,$DP$8,$DQ$3)</f>
        <v>9</v>
      </c>
      <c r="FS60" s="364">
        <f>_xll.LVCELL($FO$3,FS$3,$DP60,$DQ$2,$DP$4,$DP$5,$DP$6,$DP$7,$DP$8,$DQ$3)</f>
        <v>9</v>
      </c>
      <c r="FT60" s="364">
        <f>_xll.LVCELL($FO$3,FT$3,$DP60,$DQ$2,$DP$4,$DP$5,$DP$6,$DP$7,$DP$8,$DQ$3)</f>
        <v>9</v>
      </c>
      <c r="FU60" s="364">
        <f>_xll.LVCELL($FO$3,FU$3,$DP60,$DQ$2,$DP$4,$DP$5,$DP$6,$DP$7,$DP$8,$DQ$3)</f>
        <v>9</v>
      </c>
      <c r="FV60" s="364">
        <f>_xll.LVCELL($FO$3,FV$3,$DP60,$DQ$2,$DP$4,$DP$5,$DP$6,$DP$7,$DP$8,$DQ$3)</f>
        <v>9</v>
      </c>
      <c r="FW60" s="364">
        <f>_xll.LVCELL($FO$3,FW$3,$DP60,$DQ$2,$DP$4,$DP$5,$DP$6,$DP$7,$DP$8,$DQ$3)</f>
        <v>9</v>
      </c>
      <c r="FX60" s="364">
        <f>_xll.LVCELL($FO$3,FX$3,$DP60,$DQ$2,$DP$4,$DP$5,$DP$6,$DP$7,$DP$8,$DQ$3)</f>
        <v>9</v>
      </c>
      <c r="FY60" s="364">
        <f>_xll.LVCELL($FO$3,FY$3,$DP60,$DQ$2,$DP$4,$DP$5,$DP$6,$DP$7,$DP$8,$DQ$3)</f>
        <v>9</v>
      </c>
      <c r="FZ60" s="364">
        <f>_xll.LVCELL($FO$3,FZ$3,$DP60,$DQ$2,$DP$4,$DP$5,$DP$6,$DP$7,$DP$8,$DQ$3)</f>
        <v>9</v>
      </c>
      <c r="GA60" s="364">
        <f>_xll.LVCELL($FO$3,GA$3,$DP60,$DQ$2,$DP$4,$DP$5,$DP$6,$DP$7,$DP$8,$DQ$3)</f>
        <v>9</v>
      </c>
      <c r="GB60" s="172">
        <f>_xll.LVCELL($FO$3,GB$3,$DP60,$DQ$2,$DP$4,$DP$5,$DP$6,$DP$7,$DP$8,$DQ$3)</f>
        <v>9</v>
      </c>
    </row>
    <row r="61" spans="1:184" ht="15">
      <c r="A61" s="286">
        <v>0.34098242481960328</v>
      </c>
      <c r="B61" s="64" t="s">
        <v>458</v>
      </c>
      <c r="C61" s="108" t="s">
        <v>274</v>
      </c>
      <c r="D61" s="359" t="s">
        <v>554</v>
      </c>
      <c r="E61" s="357"/>
      <c r="F61" s="103">
        <f>'distribution mensuelle Prod B22'!$BA$36</f>
        <v>1610330.5600876859</v>
      </c>
      <c r="G61" s="103">
        <f>'distribution mensuelle Prod B22'!$BA$37</f>
        <v>1433384.420647518</v>
      </c>
      <c r="H61" s="103">
        <f>'distribution mensuelle Prod B22'!$BA$38</f>
        <v>1437879.3552706512</v>
      </c>
      <c r="I61" s="103">
        <f>'distribution mensuelle Prod B22'!$BA$39</f>
        <v>1243842.4669686044</v>
      </c>
      <c r="J61" s="103">
        <f>'distribution mensuelle Prod B22'!$BA$40</f>
        <v>1069301.4412464479</v>
      </c>
      <c r="K61" s="103">
        <f>'distribution mensuelle Prod B22'!$BA$41</f>
        <v>871879.64411283645</v>
      </c>
      <c r="L61" s="103">
        <f>'distribution mensuelle Prod B22'!$BA$42</f>
        <v>856514.19191288727</v>
      </c>
      <c r="M61" s="103">
        <f>'distribution mensuelle Prod B22'!$BA$43</f>
        <v>760643.01364172238</v>
      </c>
      <c r="N61" s="103">
        <f>'distribution mensuelle Prod B22'!$BA$44</f>
        <v>962112.45056986308</v>
      </c>
      <c r="O61" s="103">
        <f>'distribution mensuelle Prod B22'!$BA$45</f>
        <v>1232691.6505561462</v>
      </c>
      <c r="P61" s="103">
        <f>'distribution mensuelle Prod B22'!$BA$46</f>
        <v>1513409.4404906936</v>
      </c>
      <c r="Q61" s="103">
        <f>'distribution mensuelle Prod B22'!$BA$47</f>
        <v>1593670.0199612945</v>
      </c>
      <c r="R61" s="67">
        <f t="shared" si="60"/>
        <v>14585658.655466348</v>
      </c>
      <c r="S61" s="379"/>
      <c r="T61" s="169"/>
      <c r="W61" s="113" t="str">
        <f t="shared" si="61"/>
        <v>E5400</v>
      </c>
      <c r="X61" s="359" t="str">
        <f t="shared" si="62"/>
        <v>SdlL2</v>
      </c>
      <c r="Y61" s="299" cm="1">
        <f t="array" ref="Y61">_xll.LVCELL($D$4,F$1,$B61,$D$2,$C$4,$C$5,$C$6,$C$7,$C$8,$D$3)*1000</f>
        <v>93.170082000000008</v>
      </c>
      <c r="Z61" s="299" cm="1">
        <f t="array" ref="Z61">_xll.LVCELL($D$4,G$1,$B61,$D$2,$C$4,$C$5,$C$6,$C$7,$C$8,$D$3)*1000</f>
        <v>93.169685999999999</v>
      </c>
      <c r="AA61" s="299" cm="1">
        <f t="array" ref="AA61">_xll.LVCELL($D$4,H$1,$B61,$D$2,$C$4,$C$5,$C$6,$C$7,$C$8,$D$3)*1000</f>
        <v>93.170129128828179</v>
      </c>
      <c r="AB61" s="299" cm="1">
        <f t="array" ref="AB61">_xll.LVCELL($D$4,I$1,$B61,$D$2,$C$4,$C$5,$C$6,$C$7,$C$8,$D$3)*1000</f>
        <v>93.170198750250606</v>
      </c>
      <c r="AC61" s="299" cm="1">
        <f t="array" ref="AC61">_xll.LVCELL($D$4,J$1,$B61,$D$2,$C$4,$C$5,$C$6,$C$7,$C$8,$D$3)*1000</f>
        <v>93.170234719989693</v>
      </c>
      <c r="AD61" s="299" cm="1">
        <f t="array" ref="AD61">_xll.LVCELL($D$4,K$1,$B61,$D$2,$C$4,$C$5,$C$6,$C$7,$C$8,$D$3)*1000</f>
        <v>93.169910391932419</v>
      </c>
      <c r="AE61" s="299" cm="1">
        <f t="array" ref="AE61">_xll.LVCELL($D$4,L$1,$B61,$D$2,$C$4,$C$5,$C$6,$C$7,$C$8,$D$3)*1000</f>
        <v>93.170315112810016</v>
      </c>
      <c r="AF61" s="299">
        <f>$AD$61</f>
        <v>93.169910391932419</v>
      </c>
      <c r="AG61" s="299">
        <f t="shared" si="53"/>
        <v>93.169910391932419</v>
      </c>
      <c r="AH61" s="299">
        <f t="shared" si="53"/>
        <v>93.169910391932419</v>
      </c>
      <c r="AI61" s="299">
        <f t="shared" si="54"/>
        <v>95.312818330946868</v>
      </c>
      <c r="AJ61" s="412">
        <f t="shared" si="55"/>
        <v>95.312818330946868</v>
      </c>
      <c r="AK61" s="67"/>
      <c r="AL61" s="134">
        <f t="shared" si="63"/>
        <v>2.3E-2</v>
      </c>
      <c r="AM61" s="134"/>
      <c r="AN61" s="134"/>
      <c r="AO61" s="134"/>
      <c r="AP61" s="113" t="str">
        <f t="shared" si="38"/>
        <v>E5400</v>
      </c>
      <c r="AQ61" s="567" t="str">
        <f t="shared" si="39"/>
        <v>SdlL2</v>
      </c>
      <c r="AR61" s="377"/>
      <c r="AS61" s="377"/>
      <c r="AT61" s="377"/>
      <c r="AU61" s="377"/>
      <c r="AV61" s="377"/>
      <c r="AW61" s="377"/>
      <c r="AX61" s="377"/>
      <c r="AY61" s="377"/>
      <c r="AZ61" s="377"/>
      <c r="BA61" s="377"/>
      <c r="BB61" s="377"/>
      <c r="BC61" s="378"/>
      <c r="BD61" s="414"/>
      <c r="BE61" s="134"/>
      <c r="BF61" s="134"/>
      <c r="BG61" s="134"/>
      <c r="BH61" s="134"/>
      <c r="BI61" s="113" t="str">
        <f t="shared" si="40"/>
        <v>E5400</v>
      </c>
      <c r="BJ61" s="567" t="str">
        <f t="shared" si="41"/>
        <v>SdlL2</v>
      </c>
      <c r="BK61" s="299">
        <f t="shared" si="87"/>
        <v>95.312818330946868</v>
      </c>
      <c r="BL61" s="299">
        <f t="shared" si="88"/>
        <v>95.312818330946868</v>
      </c>
      <c r="BM61" s="299">
        <f t="shared" si="88"/>
        <v>95.312818330946868</v>
      </c>
      <c r="BN61" s="299">
        <f t="shared" si="88"/>
        <v>95.312818330946868</v>
      </c>
      <c r="BO61" s="299">
        <f t="shared" si="88"/>
        <v>95.312818330946868</v>
      </c>
      <c r="BP61" s="299">
        <f t="shared" si="88"/>
        <v>95.312818330946868</v>
      </c>
      <c r="BQ61" s="299">
        <f t="shared" si="88"/>
        <v>95.312818330946868</v>
      </c>
      <c r="BR61" s="299">
        <f t="shared" si="88"/>
        <v>95.312818330946868</v>
      </c>
      <c r="BS61" s="299">
        <f t="shared" si="88"/>
        <v>95.312818330946868</v>
      </c>
      <c r="BT61" s="299">
        <f t="shared" si="88"/>
        <v>95.312818330946868</v>
      </c>
      <c r="BU61" s="299">
        <f t="shared" si="89"/>
        <v>97.505013152558647</v>
      </c>
      <c r="BV61" s="370">
        <f t="shared" si="90"/>
        <v>97.505013152558647</v>
      </c>
      <c r="BW61" s="414"/>
      <c r="BX61" s="134"/>
      <c r="BY61" s="134"/>
      <c r="BZ61" s="134"/>
      <c r="CA61" s="134"/>
      <c r="CB61" s="113" t="str">
        <f t="shared" si="64"/>
        <v>E5400</v>
      </c>
      <c r="CC61" s="373" t="str">
        <f t="shared" si="65"/>
        <v>SdlL2</v>
      </c>
      <c r="CD61" s="299">
        <f t="shared" si="43"/>
        <v>95.312818330946868</v>
      </c>
      <c r="CE61" s="299">
        <f t="shared" si="7"/>
        <v>95.312818330946868</v>
      </c>
      <c r="CF61" s="299">
        <f t="shared" si="8"/>
        <v>95.312818330946868</v>
      </c>
      <c r="CG61" s="299">
        <f t="shared" si="9"/>
        <v>95.312818330946868</v>
      </c>
      <c r="CH61" s="299">
        <f t="shared" si="10"/>
        <v>95.312818330946868</v>
      </c>
      <c r="CI61" s="299">
        <f t="shared" si="11"/>
        <v>95.312818330946868</v>
      </c>
      <c r="CJ61" s="299">
        <f t="shared" si="12"/>
        <v>95.312818330946868</v>
      </c>
      <c r="CK61" s="299">
        <f t="shared" si="13"/>
        <v>95.312818330946868</v>
      </c>
      <c r="CL61" s="299">
        <f t="shared" si="14"/>
        <v>95.312818330946868</v>
      </c>
      <c r="CM61" s="299">
        <f t="shared" si="15"/>
        <v>95.312818330946868</v>
      </c>
      <c r="CN61" s="299">
        <f t="shared" si="16"/>
        <v>97.505013152558647</v>
      </c>
      <c r="CO61" s="370">
        <f t="shared" si="17"/>
        <v>97.505013152558647</v>
      </c>
      <c r="CP61" s="414"/>
      <c r="CQ61" s="134">
        <f t="shared" si="66"/>
        <v>4.0000000000000001E-3</v>
      </c>
      <c r="CU61" s="113" t="str">
        <f t="shared" si="67"/>
        <v>E5400</v>
      </c>
      <c r="CV61" s="359" t="str">
        <f t="shared" si="68"/>
        <v>SdlL2</v>
      </c>
      <c r="CW61" s="300">
        <f t="shared" si="69"/>
        <v>153485.14412640955</v>
      </c>
      <c r="CX61" s="298">
        <f t="shared" si="70"/>
        <v>136619.90888358641</v>
      </c>
      <c r="CY61" s="298">
        <f t="shared" si="71"/>
        <v>137048.33377073059</v>
      </c>
      <c r="CZ61" s="298">
        <f t="shared" si="72"/>
        <v>118554.13108649537</v>
      </c>
      <c r="DA61" s="298">
        <f t="shared" si="73"/>
        <v>101918.13401054234</v>
      </c>
      <c r="DB61" s="298">
        <f t="shared" si="74"/>
        <v>83101.306125777395</v>
      </c>
      <c r="DC61" s="298">
        <f t="shared" si="75"/>
        <v>81636.781571670785</v>
      </c>
      <c r="DD61" s="298">
        <f t="shared" si="76"/>
        <v>72499.029373937432</v>
      </c>
      <c r="DE61" s="298">
        <f t="shared" si="77"/>
        <v>91701.649215107464</v>
      </c>
      <c r="DF61" s="298">
        <f t="shared" si="78"/>
        <v>117491.315347533</v>
      </c>
      <c r="DG61" s="371">
        <f t="shared" si="79"/>
        <v>147565.00740025149</v>
      </c>
      <c r="DH61" s="372">
        <f t="shared" si="80"/>
        <v>155390.81625716444</v>
      </c>
      <c r="DI61" s="67">
        <f t="shared" si="81"/>
        <v>1397011.5571692062</v>
      </c>
      <c r="DJ61" s="364"/>
      <c r="DK61" s="82">
        <f t="shared" si="44"/>
        <v>1397011.5571692062</v>
      </c>
      <c r="DM61" s="518">
        <f t="shared" si="82"/>
        <v>95.779806052546036</v>
      </c>
      <c r="DO61" s="64" t="str">
        <f t="shared" si="83"/>
        <v>E5400</v>
      </c>
      <c r="DP61" s="64" t="str">
        <f t="shared" si="84"/>
        <v>BEV11</v>
      </c>
      <c r="DQ61" s="359" t="str">
        <f t="shared" si="85"/>
        <v>SdlL2</v>
      </c>
      <c r="DR61" s="365">
        <f>_xll.LVCELL($DP$3,DR$3,$DP61,$DQ$2,$DP$4,$DP$5,$DP$6,$DP$7,$DP$8,$DQ$3)/100</f>
        <v>0.97</v>
      </c>
      <c r="DS61" s="365">
        <f>_xll.LVCELL($DP$3,DS$3,$DP61,$DQ$2,$DP$4,$DP$5,$DP$6,$DP$7,$DP$8,$DQ$3)/100</f>
        <v>0.97</v>
      </c>
      <c r="DT61" s="365">
        <f>_xll.LVCELL($DP$3,DT$3,$DP61,$DQ$2,$DP$4,$DP$5,$DP$6,$DP$7,$DP$8,$DQ$3)/100</f>
        <v>0.97</v>
      </c>
      <c r="DU61" s="365">
        <f>_xll.LVCELL($DP$3,DU$3,$DP61,$DQ$2,$DP$4,$DP$5,$DP$6,$DP$7,$DP$8,$DQ$3)/100</f>
        <v>0.97</v>
      </c>
      <c r="DV61" s="365">
        <f>_xll.LVCELL($DP$3,DV$3,$DP61,$DQ$2,$DP$4,$DP$5,$DP$6,$DP$7,$DP$8,$DQ$3)/100</f>
        <v>0.97</v>
      </c>
      <c r="DW61" s="365">
        <f>_xll.LVCELL($DP$3,DW$3,$DP61,$DQ$2,$DP$4,$DP$5,$DP$6,$DP$7,$DP$8,$DQ$3)/100</f>
        <v>0.97</v>
      </c>
      <c r="DX61" s="365">
        <f>_xll.LVCELL($DP$3,DX$3,$DP61,$DQ$2,$DP$4,$DP$5,$DP$6,$DP$7,$DP$8,$DQ$3)/100</f>
        <v>0.97</v>
      </c>
      <c r="DY61" s="365">
        <f>_xll.LVCELL($DP$3,DY$3,$DP61,$DQ$2,$DP$4,$DP$5,$DP$6,$DP$7,$DP$8,$DQ$3)/100</f>
        <v>0.97</v>
      </c>
      <c r="DZ61" s="365">
        <f>_xll.LVCELL($DP$3,DZ$3,$DP61,$DQ$2,$DP$4,$DP$5,$DP$6,$DP$7,$DP$8,$DQ$3)/100</f>
        <v>0.97</v>
      </c>
      <c r="EA61" s="365">
        <f>_xll.LVCELL($DP$3,EA$3,$DP61,$DQ$2,$DP$4,$DP$5,$DP$6,$DP$7,$DP$8,$DQ$3)/100</f>
        <v>0.97</v>
      </c>
      <c r="EB61" s="365">
        <f>_xll.LVCELL($DP$3,EB$3,$DP61,$DQ$2,$DP$4,$DP$5,$DP$6,$DP$7,$DP$8,$DQ$3)/100</f>
        <v>0.97</v>
      </c>
      <c r="EC61" s="365">
        <f>_xll.LVCELL($DP$3,EC$3,$DP61,$DQ$2,$DP$4,$DP$5,$DP$6,$DP$7,$DP$8,$DQ$3)/100</f>
        <v>0.97</v>
      </c>
      <c r="ED61" s="582">
        <f t="shared" si="45"/>
        <v>11.64</v>
      </c>
      <c r="EF61" s="64" t="s">
        <v>458</v>
      </c>
      <c r="EH61" s="359"/>
      <c r="EI61" s="366"/>
      <c r="EJ61" s="367"/>
      <c r="EK61" s="368"/>
      <c r="EL61" s="367"/>
      <c r="EM61" s="368"/>
      <c r="EN61" s="367"/>
      <c r="EO61" s="368"/>
      <c r="EP61" s="367"/>
      <c r="EQ61" s="368"/>
      <c r="ER61" s="367"/>
      <c r="ES61" s="368"/>
      <c r="ET61" s="367"/>
      <c r="EY61" s="359"/>
      <c r="EZ61" s="364"/>
      <c r="FA61" s="364"/>
      <c r="FB61" s="364"/>
      <c r="FC61" s="364"/>
      <c r="FD61" s="364"/>
      <c r="FE61" s="364"/>
      <c r="FF61" s="364"/>
      <c r="FG61" s="364"/>
      <c r="FH61" s="364"/>
      <c r="FI61" s="364"/>
      <c r="FJ61" s="364"/>
      <c r="FK61" s="364"/>
      <c r="FP61" s="359"/>
      <c r="FQ61" s="364"/>
      <c r="FR61" s="364"/>
      <c r="FS61" s="364"/>
      <c r="FT61" s="364"/>
      <c r="FU61" s="364"/>
      <c r="FV61" s="364"/>
      <c r="FW61" s="364"/>
      <c r="FX61" s="364"/>
      <c r="FY61" s="364"/>
      <c r="FZ61" s="364"/>
      <c r="GA61" s="364"/>
      <c r="GB61" s="172"/>
    </row>
    <row r="62" spans="1:184" ht="15">
      <c r="B62" s="64" t="s">
        <v>460</v>
      </c>
      <c r="C62" s="64" t="s">
        <v>275</v>
      </c>
      <c r="D62" s="359" t="s">
        <v>555</v>
      </c>
      <c r="E62" s="357">
        <f>_xll.LVCELL($C$3,Q$3,$C62,$D$2,$C$4,$C$5,$C$6,$C$7,$C$8,$D$3)/1000</f>
        <v>8</v>
      </c>
      <c r="F62" s="103">
        <f>'distribution mensuelle Prod B22'!$BB$36</f>
        <v>2207150.9261205378</v>
      </c>
      <c r="G62" s="103">
        <f>'distribution mensuelle Prod B22'!$BB$37</f>
        <v>1829226.4555675862</v>
      </c>
      <c r="H62" s="103">
        <f>'distribution mensuelle Prod B22'!$BB$38</f>
        <v>1783953.9636232925</v>
      </c>
      <c r="I62" s="103">
        <f>'distribution mensuelle Prod B22'!$BB$39</f>
        <v>1472224.6612031762</v>
      </c>
      <c r="J62" s="103">
        <f>'distribution mensuelle Prod B22'!$BB$40</f>
        <v>1282670.335787846</v>
      </c>
      <c r="K62" s="103">
        <f>'distribution mensuelle Prod B22'!$BB$41</f>
        <v>981298.56984841102</v>
      </c>
      <c r="L62" s="103">
        <f>'distribution mensuelle Prod B22'!$BB$42</f>
        <v>973600.03801566432</v>
      </c>
      <c r="M62" s="103">
        <f>'distribution mensuelle Prod B22'!$BB$43</f>
        <v>902612.16043548111</v>
      </c>
      <c r="N62" s="103">
        <f>'distribution mensuelle Prod B22'!$BB$44</f>
        <v>1223326.7182235268</v>
      </c>
      <c r="O62" s="103">
        <f>'distribution mensuelle Prod B22'!$BB$45</f>
        <v>1724433.3585752931</v>
      </c>
      <c r="P62" s="103">
        <f>'distribution mensuelle Prod B22'!$BB$46</f>
        <v>1813072.1627358173</v>
      </c>
      <c r="Q62" s="103">
        <f>'distribution mensuelle Prod B22'!$BB$47</f>
        <v>2250289.713265419</v>
      </c>
      <c r="R62" s="67">
        <f t="shared" si="60"/>
        <v>18443859.063402049</v>
      </c>
      <c r="S62" s="379"/>
      <c r="W62" s="113" t="str">
        <f t="shared" si="61"/>
        <v>E5401</v>
      </c>
      <c r="X62" s="359" t="str">
        <f t="shared" si="62"/>
        <v>Pays d'Othe 1</v>
      </c>
      <c r="Y62" s="299" cm="1">
        <f t="array" ref="Y62">_xll.LVCELL($D$4,F$1,$B62,$D$2,$C$4,$C$5,$C$6,$C$7,$C$8,$D$3)*1000</f>
        <v>89.120193</v>
      </c>
      <c r="Z62" s="299" cm="1">
        <f t="array" ref="Z62">_xll.LVCELL($D$4,G$1,$B62,$D$2,$C$4,$C$5,$C$6,$C$7,$C$8,$D$3)*1000</f>
        <v>89.119951</v>
      </c>
      <c r="AA62" s="299" cm="1">
        <f t="array" ref="AA62">_xll.LVCELL($D$4,H$1,$B62,$D$2,$C$4,$C$5,$C$6,$C$7,$C$8,$D$3)*1000</f>
        <v>89.120433166815531</v>
      </c>
      <c r="AB62" s="299" cm="1">
        <f t="array" ref="AB62">_xll.LVCELL($D$4,I$1,$B62,$D$2,$C$4,$C$5,$C$6,$C$7,$C$8,$D$3)*1000</f>
        <v>89.120040058719795</v>
      </c>
      <c r="AC62" s="299" cm="1">
        <f t="array" ref="AC62">_xll.LVCELL($D$4,J$1,$B62,$D$2,$C$4,$C$5,$C$6,$C$7,$C$8,$D$3)*1000</f>
        <v>89.119733483770247</v>
      </c>
      <c r="AD62" s="299" cm="1">
        <f t="array" ref="AD62">_xll.LVCELL($D$4,K$1,$B62,$D$2,$C$4,$C$5,$C$6,$C$7,$C$8,$D$3)*1000</f>
        <v>89.122264150943408</v>
      </c>
      <c r="AE62" s="299" cm="1">
        <f t="array" ref="AE62">_xll.LVCELL($D$4,L$1,$B62,$D$2,$C$4,$C$5,$C$6,$C$7,$C$8,$D$3)*1000</f>
        <v>89.119203389830503</v>
      </c>
      <c r="AF62" s="299">
        <f>$AD$62</f>
        <v>89.122264150943408</v>
      </c>
      <c r="AG62" s="299">
        <f t="shared" si="53"/>
        <v>89.122264150943408</v>
      </c>
      <c r="AH62" s="299">
        <f t="shared" si="53"/>
        <v>89.122264150943408</v>
      </c>
      <c r="AI62" s="299">
        <f t="shared" si="54"/>
        <v>91.172076226415101</v>
      </c>
      <c r="AJ62" s="412">
        <f t="shared" si="55"/>
        <v>91.172076226415101</v>
      </c>
      <c r="AK62" s="67"/>
      <c r="AL62" s="134">
        <f t="shared" si="63"/>
        <v>2.3E-2</v>
      </c>
      <c r="AM62" s="134"/>
      <c r="AN62" s="134"/>
      <c r="AO62" s="134"/>
      <c r="AP62" s="113" t="str">
        <f t="shared" si="38"/>
        <v>E5401</v>
      </c>
      <c r="AQ62" s="567" t="str">
        <f t="shared" si="39"/>
        <v>Pays d'Othe 1</v>
      </c>
      <c r="AR62" s="377"/>
      <c r="AS62" s="377"/>
      <c r="AT62" s="377"/>
      <c r="AU62" s="377"/>
      <c r="AV62" s="377"/>
      <c r="AW62" s="377"/>
      <c r="AX62" s="377"/>
      <c r="AY62" s="377"/>
      <c r="AZ62" s="377"/>
      <c r="BA62" s="377"/>
      <c r="BB62" s="377"/>
      <c r="BC62" s="378"/>
      <c r="BD62" s="414"/>
      <c r="BE62" s="134"/>
      <c r="BF62" s="134"/>
      <c r="BG62" s="134"/>
      <c r="BH62" s="134"/>
      <c r="BI62" s="113" t="str">
        <f t="shared" si="40"/>
        <v>E5401</v>
      </c>
      <c r="BJ62" s="567" t="str">
        <f t="shared" si="41"/>
        <v>Pays d'Othe 1</v>
      </c>
      <c r="BK62" s="299">
        <f t="shared" si="87"/>
        <v>91.172076226415101</v>
      </c>
      <c r="BL62" s="299">
        <f t="shared" si="88"/>
        <v>91.172076226415101</v>
      </c>
      <c r="BM62" s="299">
        <f t="shared" si="88"/>
        <v>91.172076226415101</v>
      </c>
      <c r="BN62" s="299">
        <f t="shared" si="88"/>
        <v>91.172076226415101</v>
      </c>
      <c r="BO62" s="299">
        <f t="shared" si="88"/>
        <v>91.172076226415101</v>
      </c>
      <c r="BP62" s="299">
        <f t="shared" si="88"/>
        <v>91.172076226415101</v>
      </c>
      <c r="BQ62" s="299">
        <f t="shared" si="88"/>
        <v>91.172076226415101</v>
      </c>
      <c r="BR62" s="299">
        <f t="shared" si="88"/>
        <v>91.172076226415101</v>
      </c>
      <c r="BS62" s="299">
        <f t="shared" si="88"/>
        <v>91.172076226415101</v>
      </c>
      <c r="BT62" s="299">
        <f t="shared" si="88"/>
        <v>91.172076226415101</v>
      </c>
      <c r="BU62" s="299">
        <f t="shared" si="89"/>
        <v>93.269033979622648</v>
      </c>
      <c r="BV62" s="370">
        <f t="shared" si="90"/>
        <v>93.269033979622648</v>
      </c>
      <c r="BW62" s="414"/>
      <c r="BX62" s="134"/>
      <c r="BY62" s="134"/>
      <c r="BZ62" s="134"/>
      <c r="CA62" s="134"/>
      <c r="CB62" s="113" t="str">
        <f t="shared" si="64"/>
        <v>E5401</v>
      </c>
      <c r="CC62" s="373" t="str">
        <f t="shared" si="65"/>
        <v>Pays d'Othe 1</v>
      </c>
      <c r="CD62" s="299">
        <f t="shared" si="43"/>
        <v>91.172076226415101</v>
      </c>
      <c r="CE62" s="299">
        <f t="shared" si="7"/>
        <v>91.172076226415101</v>
      </c>
      <c r="CF62" s="299">
        <f t="shared" si="8"/>
        <v>91.172076226415101</v>
      </c>
      <c r="CG62" s="299">
        <f t="shared" si="9"/>
        <v>91.172076226415101</v>
      </c>
      <c r="CH62" s="299">
        <f t="shared" si="10"/>
        <v>91.172076226415101</v>
      </c>
      <c r="CI62" s="299">
        <f t="shared" si="11"/>
        <v>91.172076226415101</v>
      </c>
      <c r="CJ62" s="299">
        <f t="shared" si="12"/>
        <v>91.172076226415101</v>
      </c>
      <c r="CK62" s="299">
        <f t="shared" si="13"/>
        <v>91.172076226415101</v>
      </c>
      <c r="CL62" s="299">
        <f t="shared" si="14"/>
        <v>91.172076226415101</v>
      </c>
      <c r="CM62" s="299">
        <f t="shared" si="15"/>
        <v>91.172076226415101</v>
      </c>
      <c r="CN62" s="299">
        <f t="shared" si="16"/>
        <v>93.269033979622648</v>
      </c>
      <c r="CO62" s="370">
        <f t="shared" si="17"/>
        <v>93.269033979622648</v>
      </c>
      <c r="CP62" s="414"/>
      <c r="CQ62" s="134">
        <f t="shared" si="66"/>
        <v>4.0000000000000001E-3</v>
      </c>
      <c r="CU62" s="113" t="str">
        <f t="shared" si="67"/>
        <v>E5401</v>
      </c>
      <c r="CV62" s="359" t="str">
        <f t="shared" si="68"/>
        <v>Pays d'Othe 1</v>
      </c>
      <c r="CW62" s="300">
        <f t="shared" si="69"/>
        <v>201230.53247946437</v>
      </c>
      <c r="CX62" s="298">
        <f t="shared" si="70"/>
        <v>166774.37384238309</v>
      </c>
      <c r="CY62" s="298">
        <f t="shared" si="71"/>
        <v>162646.78675587819</v>
      </c>
      <c r="CZ62" s="298">
        <f t="shared" si="72"/>
        <v>134225.77903362413</v>
      </c>
      <c r="DA62" s="298">
        <f t="shared" si="73"/>
        <v>116943.71762781095</v>
      </c>
      <c r="DB62" s="298">
        <f t="shared" si="74"/>
        <v>89467.028011091446</v>
      </c>
      <c r="DC62" s="298">
        <f t="shared" si="75"/>
        <v>88765.136880004793</v>
      </c>
      <c r="DD62" s="298">
        <f t="shared" si="76"/>
        <v>82293.024694112901</v>
      </c>
      <c r="DE62" s="298">
        <f t="shared" si="77"/>
        <v>111533.23680368562</v>
      </c>
      <c r="DF62" s="298">
        <f t="shared" si="78"/>
        <v>157220.16961539962</v>
      </c>
      <c r="DG62" s="371">
        <f t="shared" si="79"/>
        <v>169103.48915371485</v>
      </c>
      <c r="DH62" s="372">
        <f t="shared" si="80"/>
        <v>209882.34773054768</v>
      </c>
      <c r="DI62" s="67">
        <f t="shared" si="81"/>
        <v>1690085.6226277174</v>
      </c>
      <c r="DJ62" s="364">
        <f>_xll.LVCELL($E$1,Q$2,$C62,$D$2,$C$4,$C$5,$C$6,$C$7,$C$8,$D$3)+_xll.LVCELL($E$2,Q$2,$C62,$D$2,$C$4,$C$5,$C$6,$C$7,$C$8,$D$3)</f>
        <v>1690085.6139340799</v>
      </c>
      <c r="DK62" s="82">
        <f t="shared" si="44"/>
        <v>8.6936375591903925E-3</v>
      </c>
      <c r="DM62" s="518">
        <f t="shared" si="82"/>
        <v>91.634056453041126</v>
      </c>
      <c r="DO62" s="64" t="str">
        <f t="shared" si="83"/>
        <v>E5401</v>
      </c>
      <c r="DP62" s="64" t="str">
        <f t="shared" si="84"/>
        <v>BEV12</v>
      </c>
      <c r="DQ62" s="359" t="str">
        <f t="shared" si="85"/>
        <v>Pays d'Othe 1</v>
      </c>
      <c r="DR62" s="365">
        <f>_xll.LVCELL($DP$3,DR$3,$DP62,$DQ$2,$DP$4,$DP$5,$DP$6,$DP$7,$DP$8,$DQ$3)/100</f>
        <v>0.97</v>
      </c>
      <c r="DS62" s="365">
        <f>_xll.LVCELL($DP$3,DS$3,$DP62,$DQ$2,$DP$4,$DP$5,$DP$6,$DP$7,$DP$8,$DQ$3)/100</f>
        <v>0.97</v>
      </c>
      <c r="DT62" s="365">
        <f>_xll.LVCELL($DP$3,DT$3,$DP62,$DQ$2,$DP$4,$DP$5,$DP$6,$DP$7,$DP$8,$DQ$3)/100</f>
        <v>0.97</v>
      </c>
      <c r="DU62" s="365">
        <f>_xll.LVCELL($DP$3,DU$3,$DP62,$DQ$2,$DP$4,$DP$5,$DP$6,$DP$7,$DP$8,$DQ$3)/100</f>
        <v>0.97</v>
      </c>
      <c r="DV62" s="365">
        <f>_xll.LVCELL($DP$3,DV$3,$DP62,$DQ$2,$DP$4,$DP$5,$DP$6,$DP$7,$DP$8,$DQ$3)/100</f>
        <v>0.97</v>
      </c>
      <c r="DW62" s="365">
        <f>_xll.LVCELL($DP$3,DW$3,$DP62,$DQ$2,$DP$4,$DP$5,$DP$6,$DP$7,$DP$8,$DQ$3)/100</f>
        <v>0.97</v>
      </c>
      <c r="DX62" s="365">
        <f>_xll.LVCELL($DP$3,DX$3,$DP62,$DQ$2,$DP$4,$DP$5,$DP$6,$DP$7,$DP$8,$DQ$3)/100</f>
        <v>0.97</v>
      </c>
      <c r="DY62" s="365">
        <f>_xll.LVCELL($DP$3,DY$3,$DP62,$DQ$2,$DP$4,$DP$5,$DP$6,$DP$7,$DP$8,$DQ$3)/100</f>
        <v>0.97</v>
      </c>
      <c r="DZ62" s="365">
        <f>_xll.LVCELL($DP$3,DZ$3,$DP62,$DQ$2,$DP$4,$DP$5,$DP$6,$DP$7,$DP$8,$DQ$3)/100</f>
        <v>0.97</v>
      </c>
      <c r="EA62" s="365">
        <f>_xll.LVCELL($DP$3,EA$3,$DP62,$DQ$2,$DP$4,$DP$5,$DP$6,$DP$7,$DP$8,$DQ$3)/100</f>
        <v>0.97</v>
      </c>
      <c r="EB62" s="365">
        <f>_xll.LVCELL($DP$3,EB$3,$DP62,$DQ$2,$DP$4,$DP$5,$DP$6,$DP$7,$DP$8,$DQ$3)/100</f>
        <v>0.97</v>
      </c>
      <c r="EC62" s="365">
        <f>_xll.LVCELL($DP$3,EC$3,$DP62,$DQ$2,$DP$4,$DP$5,$DP$6,$DP$7,$DP$8,$DQ$3)/100</f>
        <v>0.97</v>
      </c>
      <c r="ED62" s="582">
        <f t="shared" si="45"/>
        <v>11.64</v>
      </c>
      <c r="EF62" s="64" t="s">
        <v>460</v>
      </c>
      <c r="EG62" s="64" t="s">
        <v>275</v>
      </c>
      <c r="EH62" s="359" t="s">
        <v>555</v>
      </c>
      <c r="EI62" s="366" t="e">
        <f ca="1">_xll.LVCELL($EG$3,EI$3,$DP62,$DQ$2,$DP$4,$DP$5,$DP$6,$DP$7,$DP$8,$DQ$3)-CW62</f>
        <v>#NAME?</v>
      </c>
      <c r="EJ62" s="367" t="e">
        <f ca="1">_xll.LVCELL($EG$3,EJ$3,$DP62,$DQ$2,$DP$4,$DP$5,$DP$6,$DP$7,$DP$8,$DQ$3)-CX62</f>
        <v>#NAME?</v>
      </c>
      <c r="EK62" s="368" t="e">
        <f ca="1">_xll.LVCELL($EG$3,EK$3,$DP62,$DQ$2,$DP$4,$DP$5,$DP$6,$DP$7,$DP$8,$DQ$3)-CY62</f>
        <v>#NAME?</v>
      </c>
      <c r="EL62" s="367" t="e">
        <f ca="1">_xll.LVCELL($EG$3,EL$3,$DP62,$DQ$2,$DP$4,$DP$5,$DP$6,$DP$7,$DP$8,$DQ$3)-CZ62</f>
        <v>#NAME?</v>
      </c>
      <c r="EM62" s="368" t="e">
        <f ca="1">_xll.LVCELL($EG$3,EM$3,$DP62,$DQ$2,$DP$4,$DP$5,$DP$6,$DP$7,$DP$8,$DQ$3)-DA62</f>
        <v>#NAME?</v>
      </c>
      <c r="EN62" s="367" t="e">
        <f ca="1">_xll.LVCELL($EG$3,EN$3,$DP62,$DQ$2,$DP$4,$DP$5,$DP$6,$DP$7,$DP$8,$DQ$3)-DB62</f>
        <v>#NAME?</v>
      </c>
      <c r="EO62" s="368" t="e">
        <f ca="1">_xll.LVCELL($EG$3,EO$3,$DP62,$DQ$2,$DP$4,$DP$5,$DP$6,$DP$7,$DP$8,$DQ$3)-DC62</f>
        <v>#NAME?</v>
      </c>
      <c r="EP62" s="367" t="e">
        <f ca="1">_xll.LVCELL($EG$3,EP$3,$DP62,$DQ$2,$DP$4,$DP$5,$DP$6,$DP$7,$DP$8,$DQ$3)-DD62</f>
        <v>#NAME?</v>
      </c>
      <c r="EQ62" s="368" t="e">
        <f ca="1">_xll.LVCELL($EG$3,EQ$3,$DP62,$DQ$2,$DP$4,$DP$5,$DP$6,$DP$7,$DP$8,$DQ$3)-DE62</f>
        <v>#NAME?</v>
      </c>
      <c r="ER62" s="367" t="e">
        <f ca="1">_xll.LVCELL($EG$3,ER$3,$DP62,$DQ$2,$DP$4,$DP$5,$DP$6,$DP$7,$DP$8,$DQ$3)-DF62</f>
        <v>#NAME?</v>
      </c>
      <c r="ES62" s="368" t="e">
        <f ca="1">_xll.LVCELL($EG$3,ES$3,$DP62,$DQ$2,$DP$4,$DP$5,$DP$6,$DP$7,$DP$8,$DQ$3)-DG62</f>
        <v>#NAME?</v>
      </c>
      <c r="ET62" s="367" t="e">
        <f ca="1">_xll.LVCELL($EG$3,ET$3,$DP62,$DQ$2,$DP$4,$DP$5,$DP$6,$DP$7,$DP$8,$DQ$3)-DH62</f>
        <v>#NAME?</v>
      </c>
      <c r="EW62" s="64" t="s">
        <v>460</v>
      </c>
      <c r="EX62" s="64" t="s">
        <v>275</v>
      </c>
      <c r="EY62" s="359" t="s">
        <v>555</v>
      </c>
      <c r="EZ62" s="364">
        <f>_xll.LVCELL($EX$3,EZ$3,$DP62,$DQ$2,$DP$4,$DP$5,$DP$6,$DP$7,$DP$8,$DQ$3)</f>
        <v>8000</v>
      </c>
      <c r="FA62" s="364">
        <f>_xll.LVCELL($EX$3,FA$3,$DP62,$DQ$2,$DP$4,$DP$5,$DP$6,$DP$7,$DP$8,$DQ$3)</f>
        <v>8000</v>
      </c>
      <c r="FB62" s="364">
        <f>_xll.LVCELL($EX$3,FB$3,$DP62,$DQ$2,$DP$4,$DP$5,$DP$6,$DP$7,$DP$8,$DQ$3)</f>
        <v>8000</v>
      </c>
      <c r="FC62" s="364">
        <f>_xll.LVCELL($EX$3,FC$3,$DP62,$DQ$2,$DP$4,$DP$5,$DP$6,$DP$7,$DP$8,$DQ$3)</f>
        <v>8000</v>
      </c>
      <c r="FD62" s="364">
        <f>_xll.LVCELL($EX$3,FD$3,$DP62,$DQ$2,$DP$4,$DP$5,$DP$6,$DP$7,$DP$8,$DQ$3)</f>
        <v>8000</v>
      </c>
      <c r="FE62" s="364">
        <f>_xll.LVCELL($EX$3,FE$3,$DP62,$DQ$2,$DP$4,$DP$5,$DP$6,$DP$7,$DP$8,$DQ$3)</f>
        <v>8000</v>
      </c>
      <c r="FF62" s="364">
        <f>_xll.LVCELL($EX$3,FF$3,$DP62,$DQ$2,$DP$4,$DP$5,$DP$6,$DP$7,$DP$8,$DQ$3)</f>
        <v>8000</v>
      </c>
      <c r="FG62" s="364">
        <f>_xll.LVCELL($EX$3,FG$3,$DP62,$DQ$2,$DP$4,$DP$5,$DP$6,$DP$7,$DP$8,$DQ$3)</f>
        <v>8000</v>
      </c>
      <c r="FH62" s="364">
        <f>_xll.LVCELL($EX$3,FH$3,$DP62,$DQ$2,$DP$4,$DP$5,$DP$6,$DP$7,$DP$8,$DQ$3)</f>
        <v>8000</v>
      </c>
      <c r="FI62" s="364">
        <f>_xll.LVCELL($EX$3,FI$3,$DP62,$DQ$2,$DP$4,$DP$5,$DP$6,$DP$7,$DP$8,$DQ$3)</f>
        <v>8000</v>
      </c>
      <c r="FJ62" s="364">
        <f>_xll.LVCELL($EX$3,FJ$3,$DP62,$DQ$2,$DP$4,$DP$5,$DP$6,$DP$7,$DP$8,$DQ$3)</f>
        <v>8000</v>
      </c>
      <c r="FK62" s="276">
        <f>_xll.LVCELL($EX$3,FK$3,$DP62,$DQ$2,$DP$4,$DP$5,$DP$6,$DP$7,$DP$8,$DQ$3)</f>
        <v>8000</v>
      </c>
      <c r="FN62" s="64" t="s">
        <v>460</v>
      </c>
      <c r="FO62" s="64" t="s">
        <v>275</v>
      </c>
      <c r="FP62" s="359" t="s">
        <v>555</v>
      </c>
      <c r="FQ62" s="364">
        <f>_xll.LVCELL($FO$3,FQ$3,$DP62,$DQ$2,$DP$4,$DP$5,$DP$6,$DP$7,$DP$8,$DQ$3)</f>
        <v>4</v>
      </c>
      <c r="FR62" s="364">
        <f>_xll.LVCELL($FO$3,FR$3,$DP62,$DQ$2,$DP$4,$DP$5,$DP$6,$DP$7,$DP$8,$DQ$3)</f>
        <v>4</v>
      </c>
      <c r="FS62" s="364">
        <f>_xll.LVCELL($FO$3,FS$3,$DP62,$DQ$2,$DP$4,$DP$5,$DP$6,$DP$7,$DP$8,$DQ$3)</f>
        <v>4</v>
      </c>
      <c r="FT62" s="364">
        <f>_xll.LVCELL($FO$3,FT$3,$DP62,$DQ$2,$DP$4,$DP$5,$DP$6,$DP$7,$DP$8,$DQ$3)</f>
        <v>4</v>
      </c>
      <c r="FU62" s="364">
        <f>_xll.LVCELL($FO$3,FU$3,$DP62,$DQ$2,$DP$4,$DP$5,$DP$6,$DP$7,$DP$8,$DQ$3)</f>
        <v>4</v>
      </c>
      <c r="FV62" s="364">
        <f>_xll.LVCELL($FO$3,FV$3,$DP62,$DQ$2,$DP$4,$DP$5,$DP$6,$DP$7,$DP$8,$DQ$3)</f>
        <v>4</v>
      </c>
      <c r="FW62" s="364">
        <f>_xll.LVCELL($FO$3,FW$3,$DP62,$DQ$2,$DP$4,$DP$5,$DP$6,$DP$7,$DP$8,$DQ$3)</f>
        <v>4</v>
      </c>
      <c r="FX62" s="364">
        <f>_xll.LVCELL($FO$3,FX$3,$DP62,$DQ$2,$DP$4,$DP$5,$DP$6,$DP$7,$DP$8,$DQ$3)</f>
        <v>4</v>
      </c>
      <c r="FY62" s="364">
        <f>_xll.LVCELL($FO$3,FY$3,$DP62,$DQ$2,$DP$4,$DP$5,$DP$6,$DP$7,$DP$8,$DQ$3)</f>
        <v>4</v>
      </c>
      <c r="FZ62" s="364">
        <f>_xll.LVCELL($FO$3,FZ$3,$DP62,$DQ$2,$DP$4,$DP$5,$DP$6,$DP$7,$DP$8,$DQ$3)</f>
        <v>4</v>
      </c>
      <c r="GA62" s="364">
        <f>_xll.LVCELL($FO$3,GA$3,$DP62,$DQ$2,$DP$4,$DP$5,$DP$6,$DP$7,$DP$8,$DQ$3)</f>
        <v>4</v>
      </c>
      <c r="GB62" s="172">
        <f>_xll.LVCELL($FO$3,GB$3,$DP62,$DQ$2,$DP$4,$DP$5,$DP$6,$DP$7,$DP$8,$DQ$3)</f>
        <v>4</v>
      </c>
    </row>
    <row r="63" spans="1:184" ht="15">
      <c r="B63" s="64" t="s">
        <v>462</v>
      </c>
      <c r="C63" s="64" t="s">
        <v>276</v>
      </c>
      <c r="D63" s="359" t="s">
        <v>307</v>
      </c>
      <c r="E63" s="357">
        <f>_xll.LVCELL($C$3,Q$3,$C63,$D$2,$C$4,$C$5,$C$6,$C$7,$C$8,$D$3)/1000</f>
        <v>10</v>
      </c>
      <c r="F63" s="103">
        <f>'distribution mensuelle Prod B22'!$BC$36</f>
        <v>2888157.5800849721</v>
      </c>
      <c r="G63" s="103">
        <f>'distribution mensuelle Prod B22'!$BC$37</f>
        <v>2375791.341411747</v>
      </c>
      <c r="H63" s="103">
        <f>'distribution mensuelle Prod B22'!$BC$38</f>
        <v>2346146.1263232371</v>
      </c>
      <c r="I63" s="103">
        <f>'distribution mensuelle Prod B22'!$BC$39</f>
        <v>1945243.6542782935</v>
      </c>
      <c r="J63" s="103">
        <f>'distribution mensuelle Prod B22'!$BC$40</f>
        <v>1650367.6234198539</v>
      </c>
      <c r="K63" s="103">
        <f>'distribution mensuelle Prod B22'!$BC$41</f>
        <v>1278642.9595611813</v>
      </c>
      <c r="L63" s="103">
        <f>'distribution mensuelle Prod B22'!$BC$42</f>
        <v>1240554.0852097617</v>
      </c>
      <c r="M63" s="103">
        <f>'distribution mensuelle Prod B22'!$BC$43</f>
        <v>1172367.7919252303</v>
      </c>
      <c r="N63" s="103">
        <f>'distribution mensuelle Prod B22'!$BC$44</f>
        <v>1628103.3237613642</v>
      </c>
      <c r="O63" s="103">
        <f>'distribution mensuelle Prod B22'!$BC$45</f>
        <v>2327360.1067448459</v>
      </c>
      <c r="P63" s="103">
        <f>'distribution mensuelle Prod B22'!$BC$46</f>
        <v>2409844.1384750684</v>
      </c>
      <c r="Q63" s="103">
        <f>'distribution mensuelle Prod B22'!$BC$47</f>
        <v>2949386.0883404701</v>
      </c>
      <c r="R63" s="67">
        <f t="shared" si="60"/>
        <v>24211964.819536023</v>
      </c>
      <c r="S63" s="380"/>
      <c r="W63" s="113" t="str">
        <f t="shared" si="61"/>
        <v>E5402</v>
      </c>
      <c r="X63" s="359" t="str">
        <f t="shared" si="62"/>
        <v>Comes de l'Arce</v>
      </c>
      <c r="Y63" s="299" cm="1">
        <f t="array" ref="Y63">_xll.LVCELL($D$4,F$1,$B63,$D$2,$C$4,$C$5,$C$6,$C$7,$C$8,$D$3)*1000</f>
        <v>88.970186000000012</v>
      </c>
      <c r="Z63" s="299" cm="1">
        <f t="array" ref="Z63">_xll.LVCELL($D$4,G$1,$B63,$D$2,$C$4,$C$5,$C$6,$C$7,$C$8,$D$3)*1000</f>
        <v>88.970026999999988</v>
      </c>
      <c r="AA63" s="299" cm="1">
        <f t="array" ref="AA63">_xll.LVCELL($D$4,H$1,$B63,$D$2,$C$4,$C$5,$C$6,$C$7,$C$8,$D$3)*1000</f>
        <v>88.970204811249388</v>
      </c>
      <c r="AB63" s="299" cm="1">
        <f t="array" ref="AB63">_xll.LVCELL($D$4,I$1,$B63,$D$2,$C$4,$C$5,$C$6,$C$7,$C$8,$D$3)*1000</f>
        <v>88.970152253388434</v>
      </c>
      <c r="AC63" s="299" cm="1">
        <f t="array" ref="AC63">_xll.LVCELL($D$4,J$1,$B63,$D$2,$C$4,$C$5,$C$6,$C$7,$C$8,$D$3)*1000</f>
        <v>88.96971882078293</v>
      </c>
      <c r="AD63" s="299" cm="1">
        <f t="array" ref="AD63">_xll.LVCELL($D$4,K$1,$B63,$D$2,$C$4,$C$5,$C$6,$C$7,$C$8,$D$3)*1000</f>
        <v>88.97173353672801</v>
      </c>
      <c r="AE63" s="299" cm="1">
        <f t="array" ref="AE63">_xll.LVCELL($D$4,L$1,$B63,$D$2,$C$4,$C$5,$C$6,$C$7,$C$8,$D$3)*1000</f>
        <v>88.969638524552337</v>
      </c>
      <c r="AF63" s="299">
        <f>$AD$63</f>
        <v>88.97173353672801</v>
      </c>
      <c r="AG63" s="299">
        <f t="shared" si="53"/>
        <v>88.97173353672801</v>
      </c>
      <c r="AH63" s="299">
        <f t="shared" si="53"/>
        <v>88.97173353672801</v>
      </c>
      <c r="AI63" s="299">
        <f t="shared" si="54"/>
        <v>91.018083408072755</v>
      </c>
      <c r="AJ63" s="412">
        <f t="shared" si="55"/>
        <v>91.018083408072755</v>
      </c>
      <c r="AK63" s="67"/>
      <c r="AL63" s="134">
        <f t="shared" si="63"/>
        <v>2.3E-2</v>
      </c>
      <c r="AM63" s="134"/>
      <c r="AN63" s="134"/>
      <c r="AO63" s="134"/>
      <c r="AP63" s="113" t="str">
        <f t="shared" si="38"/>
        <v>E5402</v>
      </c>
      <c r="AQ63" s="567" t="str">
        <f t="shared" si="39"/>
        <v>Comes de l'Arce</v>
      </c>
      <c r="AR63" s="377"/>
      <c r="AS63" s="377"/>
      <c r="AT63" s="377"/>
      <c r="AU63" s="377"/>
      <c r="AV63" s="377"/>
      <c r="AW63" s="377"/>
      <c r="AX63" s="377"/>
      <c r="AY63" s="377"/>
      <c r="AZ63" s="377"/>
      <c r="BA63" s="377"/>
      <c r="BB63" s="377"/>
      <c r="BC63" s="378"/>
      <c r="BD63" s="414"/>
      <c r="BE63" s="134"/>
      <c r="BF63" s="134"/>
      <c r="BG63" s="134"/>
      <c r="BH63" s="134"/>
      <c r="BI63" s="113" t="str">
        <f t="shared" si="40"/>
        <v>E5402</v>
      </c>
      <c r="BJ63" s="567" t="str">
        <f t="shared" si="41"/>
        <v>Comes de l'Arce</v>
      </c>
      <c r="BK63" s="299">
        <f t="shared" si="87"/>
        <v>91.018083408072755</v>
      </c>
      <c r="BL63" s="299">
        <f t="shared" si="88"/>
        <v>91.018083408072755</v>
      </c>
      <c r="BM63" s="299">
        <f t="shared" si="88"/>
        <v>91.018083408072755</v>
      </c>
      <c r="BN63" s="299">
        <f t="shared" si="88"/>
        <v>91.018083408072755</v>
      </c>
      <c r="BO63" s="299">
        <f t="shared" si="88"/>
        <v>91.018083408072755</v>
      </c>
      <c r="BP63" s="299">
        <f t="shared" si="88"/>
        <v>91.018083408072755</v>
      </c>
      <c r="BQ63" s="299">
        <f t="shared" si="88"/>
        <v>91.018083408072755</v>
      </c>
      <c r="BR63" s="299">
        <f t="shared" si="88"/>
        <v>91.018083408072755</v>
      </c>
      <c r="BS63" s="299">
        <f t="shared" si="88"/>
        <v>91.018083408072755</v>
      </c>
      <c r="BT63" s="299">
        <f t="shared" si="88"/>
        <v>91.018083408072755</v>
      </c>
      <c r="BU63" s="299">
        <f t="shared" si="89"/>
        <v>93.111499326458429</v>
      </c>
      <c r="BV63" s="370">
        <f t="shared" si="90"/>
        <v>93.111499326458429</v>
      </c>
      <c r="BW63" s="414"/>
      <c r="BX63" s="134"/>
      <c r="BY63" s="134"/>
      <c r="BZ63" s="134"/>
      <c r="CA63" s="134"/>
      <c r="CB63" s="113" t="str">
        <f t="shared" si="64"/>
        <v>E5402</v>
      </c>
      <c r="CC63" s="373" t="str">
        <f t="shared" si="65"/>
        <v>Comes de l'Arce</v>
      </c>
      <c r="CD63" s="299">
        <f t="shared" si="43"/>
        <v>91.018083408072755</v>
      </c>
      <c r="CE63" s="299">
        <f t="shared" si="7"/>
        <v>91.018083408072755</v>
      </c>
      <c r="CF63" s="299">
        <f t="shared" si="8"/>
        <v>91.018083408072755</v>
      </c>
      <c r="CG63" s="299">
        <f t="shared" si="9"/>
        <v>91.018083408072755</v>
      </c>
      <c r="CH63" s="299">
        <f t="shared" si="10"/>
        <v>91.018083408072755</v>
      </c>
      <c r="CI63" s="299">
        <f t="shared" si="11"/>
        <v>91.018083408072755</v>
      </c>
      <c r="CJ63" s="299">
        <f t="shared" si="12"/>
        <v>91.018083408072755</v>
      </c>
      <c r="CK63" s="299">
        <f t="shared" si="13"/>
        <v>91.018083408072755</v>
      </c>
      <c r="CL63" s="299">
        <f t="shared" si="14"/>
        <v>91.018083408072755</v>
      </c>
      <c r="CM63" s="299">
        <f t="shared" si="15"/>
        <v>91.018083408072755</v>
      </c>
      <c r="CN63" s="299">
        <f t="shared" si="16"/>
        <v>93.111499326458429</v>
      </c>
      <c r="CO63" s="370">
        <f t="shared" si="17"/>
        <v>93.111499326458429</v>
      </c>
      <c r="CP63" s="414"/>
      <c r="CQ63" s="134">
        <f t="shared" si="66"/>
        <v>4.0000000000000001E-3</v>
      </c>
      <c r="CU63" s="113" t="str">
        <f t="shared" si="67"/>
        <v>E5402</v>
      </c>
      <c r="CV63" s="359" t="str">
        <f t="shared" si="68"/>
        <v>Comes de l'Arce</v>
      </c>
      <c r="CW63" s="300">
        <f t="shared" si="69"/>
        <v>262874.56751983159</v>
      </c>
      <c r="CX63" s="298">
        <f t="shared" si="70"/>
        <v>216239.97447279145</v>
      </c>
      <c r="CY63" s="298">
        <f t="shared" si="71"/>
        <v>213541.72381321518</v>
      </c>
      <c r="CZ63" s="298">
        <f t="shared" si="72"/>
        <v>177052.34917412596</v>
      </c>
      <c r="DA63" s="298">
        <f t="shared" si="73"/>
        <v>150213.29800241106</v>
      </c>
      <c r="DB63" s="298">
        <f t="shared" si="74"/>
        <v>116379.6315424846</v>
      </c>
      <c r="DC63" s="298">
        <f t="shared" si="75"/>
        <v>112912.85519984749</v>
      </c>
      <c r="DD63" s="298">
        <f t="shared" si="76"/>
        <v>106706.66947038869</v>
      </c>
      <c r="DE63" s="298">
        <f t="shared" si="77"/>
        <v>148186.84411907234</v>
      </c>
      <c r="DF63" s="298">
        <f t="shared" si="78"/>
        <v>211831.85631632348</v>
      </c>
      <c r="DG63" s="371">
        <f t="shared" si="79"/>
        <v>224384.20087649112</v>
      </c>
      <c r="DH63" s="372">
        <f t="shared" si="80"/>
        <v>274621.76077797957</v>
      </c>
      <c r="DI63" s="67">
        <f t="shared" si="81"/>
        <v>2214945.731284962</v>
      </c>
      <c r="DJ63" s="364">
        <f>_xll.LVCELL($E$1,Q$2,$C63,$D$2,$C$4,$C$5,$C$6,$C$7,$C$8,$D$3)+_xll.LVCELL($E$2,Q$2,$C63,$D$2,$C$4,$C$5,$C$6,$C$7,$C$8,$D$3)</f>
        <v>2214945.737792775</v>
      </c>
      <c r="DK63" s="82">
        <f t="shared" si="44"/>
        <v>-6.5078129991889E-3</v>
      </c>
      <c r="DM63" s="518">
        <f t="shared" si="82"/>
        <v>91.481453396866755</v>
      </c>
      <c r="DO63" s="64" t="str">
        <f t="shared" si="83"/>
        <v>E5402</v>
      </c>
      <c r="DP63" s="64" t="str">
        <f t="shared" si="84"/>
        <v>BEV13</v>
      </c>
      <c r="DQ63" s="359" t="str">
        <f t="shared" si="85"/>
        <v>Comes de l'Arce</v>
      </c>
      <c r="DR63" s="365">
        <f>_xll.LVCELL($DP$3,DR$3,$DP63,$DQ$2,$DP$4,$DP$5,$DP$6,$DP$7,$DP$8,$DQ$3)/100</f>
        <v>0.96999999999999986</v>
      </c>
      <c r="DS63" s="365">
        <f>_xll.LVCELL($DP$3,DS$3,$DP63,$DQ$2,$DP$4,$DP$5,$DP$6,$DP$7,$DP$8,$DQ$3)/100</f>
        <v>0.97</v>
      </c>
      <c r="DT63" s="365">
        <f>_xll.LVCELL($DP$3,DT$3,$DP63,$DQ$2,$DP$4,$DP$5,$DP$6,$DP$7,$DP$8,$DQ$3)/100</f>
        <v>0.96999999999999986</v>
      </c>
      <c r="DU63" s="365">
        <f>_xll.LVCELL($DP$3,DU$3,$DP63,$DQ$2,$DP$4,$DP$5,$DP$6,$DP$7,$DP$8,$DQ$3)/100</f>
        <v>0.97</v>
      </c>
      <c r="DV63" s="365">
        <f>_xll.LVCELL($DP$3,DV$3,$DP63,$DQ$2,$DP$4,$DP$5,$DP$6,$DP$7,$DP$8,$DQ$3)/100</f>
        <v>0.96999999999999986</v>
      </c>
      <c r="DW63" s="365">
        <f>_xll.LVCELL($DP$3,DW$3,$DP63,$DQ$2,$DP$4,$DP$5,$DP$6,$DP$7,$DP$8,$DQ$3)/100</f>
        <v>0.97</v>
      </c>
      <c r="DX63" s="365">
        <f>_xll.LVCELL($DP$3,DX$3,$DP63,$DQ$2,$DP$4,$DP$5,$DP$6,$DP$7,$DP$8,$DQ$3)/100</f>
        <v>0.96999999999999986</v>
      </c>
      <c r="DY63" s="365">
        <f>_xll.LVCELL($DP$3,DY$3,$DP63,$DQ$2,$DP$4,$DP$5,$DP$6,$DP$7,$DP$8,$DQ$3)/100</f>
        <v>0.96999999999999986</v>
      </c>
      <c r="DZ63" s="365">
        <f>_xll.LVCELL($DP$3,DZ$3,$DP63,$DQ$2,$DP$4,$DP$5,$DP$6,$DP$7,$DP$8,$DQ$3)/100</f>
        <v>0.97</v>
      </c>
      <c r="EA63" s="365">
        <f>_xll.LVCELL($DP$3,EA$3,$DP63,$DQ$2,$DP$4,$DP$5,$DP$6,$DP$7,$DP$8,$DQ$3)/100</f>
        <v>0.96999999999999986</v>
      </c>
      <c r="EB63" s="365">
        <f>_xll.LVCELL($DP$3,EB$3,$DP63,$DQ$2,$DP$4,$DP$5,$DP$6,$DP$7,$DP$8,$DQ$3)/100</f>
        <v>0.97</v>
      </c>
      <c r="EC63" s="365">
        <f>_xll.LVCELL($DP$3,EC$3,$DP63,$DQ$2,$DP$4,$DP$5,$DP$6,$DP$7,$DP$8,$DQ$3)/100</f>
        <v>0.96999999999999986</v>
      </c>
      <c r="ED63" s="582">
        <f t="shared" si="45"/>
        <v>11.64</v>
      </c>
      <c r="EF63" s="64" t="s">
        <v>462</v>
      </c>
      <c r="EG63" s="64" t="s">
        <v>276</v>
      </c>
      <c r="EH63" s="359" t="s">
        <v>307</v>
      </c>
      <c r="EI63" s="366" t="e">
        <f ca="1">_xll.LVCELL($EG$3,EI$3,$DP63,$DQ$2,$DP$4,$DP$5,$DP$6,$DP$7,$DP$8,$DQ$3)-CW63</f>
        <v>#NAME?</v>
      </c>
      <c r="EJ63" s="367" t="e">
        <f ca="1">_xll.LVCELL($EG$3,EJ$3,$DP63,$DQ$2,$DP$4,$DP$5,$DP$6,$DP$7,$DP$8,$DQ$3)-CX63</f>
        <v>#NAME?</v>
      </c>
      <c r="EK63" s="368" t="e">
        <f ca="1">_xll.LVCELL($EG$3,EK$3,$DP63,$DQ$2,$DP$4,$DP$5,$DP$6,$DP$7,$DP$8,$DQ$3)-CY63</f>
        <v>#NAME?</v>
      </c>
      <c r="EL63" s="367" t="e">
        <f ca="1">_xll.LVCELL($EG$3,EL$3,$DP63,$DQ$2,$DP$4,$DP$5,$DP$6,$DP$7,$DP$8,$DQ$3)-CZ63</f>
        <v>#NAME?</v>
      </c>
      <c r="EM63" s="368" t="e">
        <f ca="1">_xll.LVCELL($EG$3,EM$3,$DP63,$DQ$2,$DP$4,$DP$5,$DP$6,$DP$7,$DP$8,$DQ$3)-DA63</f>
        <v>#NAME?</v>
      </c>
      <c r="EN63" s="367" t="e">
        <f ca="1">_xll.LVCELL($EG$3,EN$3,$DP63,$DQ$2,$DP$4,$DP$5,$DP$6,$DP$7,$DP$8,$DQ$3)-DB63</f>
        <v>#NAME?</v>
      </c>
      <c r="EO63" s="368" t="e">
        <f ca="1">_xll.LVCELL($EG$3,EO$3,$DP63,$DQ$2,$DP$4,$DP$5,$DP$6,$DP$7,$DP$8,$DQ$3)-DC63</f>
        <v>#NAME?</v>
      </c>
      <c r="EP63" s="367" t="e">
        <f ca="1">_xll.LVCELL($EG$3,EP$3,$DP63,$DQ$2,$DP$4,$DP$5,$DP$6,$DP$7,$DP$8,$DQ$3)-DD63</f>
        <v>#NAME?</v>
      </c>
      <c r="EQ63" s="368" t="e">
        <f ca="1">_xll.LVCELL($EG$3,EQ$3,$DP63,$DQ$2,$DP$4,$DP$5,$DP$6,$DP$7,$DP$8,$DQ$3)-DE63</f>
        <v>#NAME?</v>
      </c>
      <c r="ER63" s="367" t="e">
        <f ca="1">_xll.LVCELL($EG$3,ER$3,$DP63,$DQ$2,$DP$4,$DP$5,$DP$6,$DP$7,$DP$8,$DQ$3)-DF63</f>
        <v>#NAME?</v>
      </c>
      <c r="ES63" s="368" t="e">
        <f ca="1">_xll.LVCELL($EG$3,ES$3,$DP63,$DQ$2,$DP$4,$DP$5,$DP$6,$DP$7,$DP$8,$DQ$3)-DG63</f>
        <v>#NAME?</v>
      </c>
      <c r="ET63" s="367" t="e">
        <f ca="1">_xll.LVCELL($EG$3,ET$3,$DP63,$DQ$2,$DP$4,$DP$5,$DP$6,$DP$7,$DP$8,$DQ$3)-DH63</f>
        <v>#NAME?</v>
      </c>
      <c r="EW63" s="64" t="s">
        <v>462</v>
      </c>
      <c r="EX63" s="64" t="s">
        <v>276</v>
      </c>
      <c r="EY63" s="359" t="s">
        <v>307</v>
      </c>
      <c r="EZ63" s="364">
        <f>_xll.LVCELL($EX$3,EZ$3,$DP63,$DQ$2,$DP$4,$DP$5,$DP$6,$DP$7,$DP$8,$DQ$3)</f>
        <v>10000</v>
      </c>
      <c r="FA63" s="364">
        <f>_xll.LVCELL($EX$3,FA$3,$DP63,$DQ$2,$DP$4,$DP$5,$DP$6,$DP$7,$DP$8,$DQ$3)</f>
        <v>10000</v>
      </c>
      <c r="FB63" s="364">
        <f>_xll.LVCELL($EX$3,FB$3,$DP63,$DQ$2,$DP$4,$DP$5,$DP$6,$DP$7,$DP$8,$DQ$3)</f>
        <v>10000</v>
      </c>
      <c r="FC63" s="364">
        <f>_xll.LVCELL($EX$3,FC$3,$DP63,$DQ$2,$DP$4,$DP$5,$DP$6,$DP$7,$DP$8,$DQ$3)</f>
        <v>10000</v>
      </c>
      <c r="FD63" s="364">
        <f>_xll.LVCELL($EX$3,FD$3,$DP63,$DQ$2,$DP$4,$DP$5,$DP$6,$DP$7,$DP$8,$DQ$3)</f>
        <v>10000</v>
      </c>
      <c r="FE63" s="364">
        <f>_xll.LVCELL($EX$3,FE$3,$DP63,$DQ$2,$DP$4,$DP$5,$DP$6,$DP$7,$DP$8,$DQ$3)</f>
        <v>10000</v>
      </c>
      <c r="FF63" s="364">
        <f>_xll.LVCELL($EX$3,FF$3,$DP63,$DQ$2,$DP$4,$DP$5,$DP$6,$DP$7,$DP$8,$DQ$3)</f>
        <v>10000</v>
      </c>
      <c r="FG63" s="364">
        <f>_xll.LVCELL($EX$3,FG$3,$DP63,$DQ$2,$DP$4,$DP$5,$DP$6,$DP$7,$DP$8,$DQ$3)</f>
        <v>10000</v>
      </c>
      <c r="FH63" s="364">
        <f>_xll.LVCELL($EX$3,FH$3,$DP63,$DQ$2,$DP$4,$DP$5,$DP$6,$DP$7,$DP$8,$DQ$3)</f>
        <v>10000</v>
      </c>
      <c r="FI63" s="364">
        <f>_xll.LVCELL($EX$3,FI$3,$DP63,$DQ$2,$DP$4,$DP$5,$DP$6,$DP$7,$DP$8,$DQ$3)</f>
        <v>10000</v>
      </c>
      <c r="FJ63" s="364">
        <f>_xll.LVCELL($EX$3,FJ$3,$DP63,$DQ$2,$DP$4,$DP$5,$DP$6,$DP$7,$DP$8,$DQ$3)</f>
        <v>10000</v>
      </c>
      <c r="FK63" s="276">
        <f>_xll.LVCELL($EX$3,FK$3,$DP63,$DQ$2,$DP$4,$DP$5,$DP$6,$DP$7,$DP$8,$DQ$3)</f>
        <v>10000</v>
      </c>
      <c r="FN63" s="64" t="s">
        <v>462</v>
      </c>
      <c r="FO63" s="64" t="s">
        <v>276</v>
      </c>
      <c r="FP63" s="359" t="s">
        <v>307</v>
      </c>
      <c r="FQ63" s="364">
        <f>_xll.LVCELL($FO$3,FQ$3,$DP63,$DQ$2,$DP$4,$DP$5,$DP$6,$DP$7,$DP$8,$DQ$3)</f>
        <v>5</v>
      </c>
      <c r="FR63" s="364">
        <f>_xll.LVCELL($FO$3,FR$3,$DP63,$DQ$2,$DP$4,$DP$5,$DP$6,$DP$7,$DP$8,$DQ$3)</f>
        <v>5</v>
      </c>
      <c r="FS63" s="364">
        <f>_xll.LVCELL($FO$3,FS$3,$DP63,$DQ$2,$DP$4,$DP$5,$DP$6,$DP$7,$DP$8,$DQ$3)</f>
        <v>5</v>
      </c>
      <c r="FT63" s="364">
        <f>_xll.LVCELL($FO$3,FT$3,$DP63,$DQ$2,$DP$4,$DP$5,$DP$6,$DP$7,$DP$8,$DQ$3)</f>
        <v>5</v>
      </c>
      <c r="FU63" s="364">
        <f>_xll.LVCELL($FO$3,FU$3,$DP63,$DQ$2,$DP$4,$DP$5,$DP$6,$DP$7,$DP$8,$DQ$3)</f>
        <v>5</v>
      </c>
      <c r="FV63" s="364">
        <f>_xll.LVCELL($FO$3,FV$3,$DP63,$DQ$2,$DP$4,$DP$5,$DP$6,$DP$7,$DP$8,$DQ$3)</f>
        <v>5</v>
      </c>
      <c r="FW63" s="364">
        <f>_xll.LVCELL($FO$3,FW$3,$DP63,$DQ$2,$DP$4,$DP$5,$DP$6,$DP$7,$DP$8,$DQ$3)</f>
        <v>5</v>
      </c>
      <c r="FX63" s="364">
        <f>_xll.LVCELL($FO$3,FX$3,$DP63,$DQ$2,$DP$4,$DP$5,$DP$6,$DP$7,$DP$8,$DQ$3)</f>
        <v>5</v>
      </c>
      <c r="FY63" s="364">
        <f>_xll.LVCELL($FO$3,FY$3,$DP63,$DQ$2,$DP$4,$DP$5,$DP$6,$DP$7,$DP$8,$DQ$3)</f>
        <v>5</v>
      </c>
      <c r="FZ63" s="364">
        <f>_xll.LVCELL($FO$3,FZ$3,$DP63,$DQ$2,$DP$4,$DP$5,$DP$6,$DP$7,$DP$8,$DQ$3)</f>
        <v>5</v>
      </c>
      <c r="GA63" s="364">
        <f>_xll.LVCELL($FO$3,GA$3,$DP63,$DQ$2,$DP$4,$DP$5,$DP$6,$DP$7,$DP$8,$DQ$3)</f>
        <v>5</v>
      </c>
      <c r="GB63" s="172">
        <f>_xll.LVCELL($FO$3,GB$3,$DP63,$DQ$2,$DP$4,$DP$5,$DP$6,$DP$7,$DP$8,$DQ$3)</f>
        <v>5</v>
      </c>
    </row>
    <row r="64" spans="1:184" ht="15">
      <c r="B64" s="64" t="s">
        <v>264</v>
      </c>
      <c r="C64" s="64" t="s">
        <v>264</v>
      </c>
      <c r="D64" s="359" t="s">
        <v>215</v>
      </c>
      <c r="E64" s="357">
        <f>_xll.LVCELL($C$3,Q$3,$C64,$D$2,$C$4,$C$5,$C$6,$C$7,$C$8,$D$3)/1000</f>
        <v>13.8</v>
      </c>
      <c r="F64" s="103">
        <f>'distribution mensuelle Prod B22'!$BD$36</f>
        <v>3917473.295707135</v>
      </c>
      <c r="G64" s="103">
        <f>'distribution mensuelle Prod B22'!$BD$37</f>
        <v>3140709.3508238574</v>
      </c>
      <c r="H64" s="103">
        <f>'distribution mensuelle Prod B22'!$BD$38</f>
        <v>2828122.5568972304</v>
      </c>
      <c r="I64" s="103">
        <f>'distribution mensuelle Prod B22'!$BD$39</f>
        <v>1997393.1375383355</v>
      </c>
      <c r="J64" s="103">
        <f>'distribution mensuelle Prod B22'!$BD$40</f>
        <v>2007099.1754380921</v>
      </c>
      <c r="K64" s="103">
        <f>'distribution mensuelle Prod B22'!$BD$41</f>
        <v>1667158.5567875679</v>
      </c>
      <c r="L64" s="103">
        <f>'distribution mensuelle Prod B22'!$BD$42</f>
        <v>1811686.8608456862</v>
      </c>
      <c r="M64" s="103">
        <f>'distribution mensuelle Prod B22'!$BD$43</f>
        <v>1645440.5633566242</v>
      </c>
      <c r="N64" s="103">
        <f>'distribution mensuelle Prod B22'!$BD$44</f>
        <v>1743366.5369608216</v>
      </c>
      <c r="O64" s="103">
        <f>'distribution mensuelle Prod B22'!$BD$45</f>
        <v>2685209.0730908439</v>
      </c>
      <c r="P64" s="103">
        <f>'distribution mensuelle Prod B22'!$BD$46</f>
        <v>2944347.8541356227</v>
      </c>
      <c r="Q64" s="103">
        <f>'distribution mensuelle Prod B22'!$BD$47</f>
        <v>3617063.3195426897</v>
      </c>
      <c r="R64" s="67">
        <f t="shared" si="60"/>
        <v>30005070.281124506</v>
      </c>
      <c r="S64" s="381"/>
      <c r="W64" s="113" t="str">
        <f t="shared" si="61"/>
        <v>E5560</v>
      </c>
      <c r="X64" s="359" t="str">
        <f t="shared" si="62"/>
        <v>Touvent</v>
      </c>
      <c r="Y64" s="299" cm="1">
        <f t="array" ref="Y64">_xll.LVCELL($D$4,F$1,$B64,$D$2,$C$4,$C$5,$C$6,$C$7,$C$8,$D$3)*1000</f>
        <v>88.670017999999999</v>
      </c>
      <c r="Z64" s="299" cm="1">
        <f t="array" ref="Z64">_xll.LVCELL($D$4,G$1,$B64,$D$2,$C$4,$C$5,$C$6,$C$7,$C$8,$D$3)*1000</f>
        <v>88.669987000000006</v>
      </c>
      <c r="AA64" s="299" cm="1">
        <f t="array" ref="AA64">_xll.LVCELL($D$4,H$1,$B64,$D$2,$C$4,$C$5,$C$6,$C$7,$C$8,$D$3)*1000</f>
        <v>88.670005076576004</v>
      </c>
      <c r="AB64" s="299" cm="1">
        <f t="array" ref="AB64">_xll.LVCELL($D$4,I$1,$B64,$D$2,$C$4,$C$5,$C$6,$C$7,$C$8,$D$3)*1000</f>
        <v>88.670003447410778</v>
      </c>
      <c r="AC64" s="299" cm="1">
        <f t="array" ref="AC64">_xll.LVCELL($D$4,J$1,$B64,$D$2,$C$4,$C$5,$C$6,$C$7,$C$8,$D$3)*1000</f>
        <v>88.669986873242181</v>
      </c>
      <c r="AD64" s="299" cm="1">
        <f t="array" ref="AD64">_xll.LVCELL($D$4,K$1,$B64,$D$2,$C$4,$C$5,$C$6,$C$7,$C$8,$D$3)*1000</f>
        <v>88.670010675516082</v>
      </c>
      <c r="AE64" s="299" cm="1">
        <f t="array" ref="AE64">_xll.LVCELL($D$4,L$1,$B64,$D$2,$C$4,$C$5,$C$6,$C$7,$C$8,$D$3)*1000</f>
        <v>88.670011942497055</v>
      </c>
      <c r="AF64" s="299">
        <f>$AD$64</f>
        <v>88.670010675516082</v>
      </c>
      <c r="AG64" s="299">
        <f t="shared" si="53"/>
        <v>88.670010675516082</v>
      </c>
      <c r="AH64" s="299">
        <f t="shared" si="53"/>
        <v>88.670010675516082</v>
      </c>
      <c r="AI64" s="299">
        <f t="shared" si="54"/>
        <v>90.709420921052953</v>
      </c>
      <c r="AJ64" s="412">
        <f t="shared" si="55"/>
        <v>90.709420921052953</v>
      </c>
      <c r="AK64" s="67"/>
      <c r="AL64" s="134">
        <f t="shared" si="63"/>
        <v>2.3E-2</v>
      </c>
      <c r="AM64" s="134"/>
      <c r="AN64" s="134"/>
      <c r="AO64" s="134"/>
      <c r="AP64" s="113" t="str">
        <f t="shared" si="38"/>
        <v>E5560</v>
      </c>
      <c r="AQ64" s="567" t="str">
        <f t="shared" si="39"/>
        <v>Touvent</v>
      </c>
      <c r="AR64" s="377"/>
      <c r="AS64" s="377"/>
      <c r="AT64" s="377"/>
      <c r="AU64" s="377"/>
      <c r="AV64" s="377"/>
      <c r="AW64" s="377"/>
      <c r="AX64" s="377"/>
      <c r="AY64" s="377"/>
      <c r="AZ64" s="377"/>
      <c r="BA64" s="377"/>
      <c r="BB64" s="377"/>
      <c r="BC64" s="378"/>
      <c r="BD64" s="414"/>
      <c r="BE64" s="134"/>
      <c r="BF64" s="134"/>
      <c r="BG64" s="134"/>
      <c r="BH64" s="134"/>
      <c r="BI64" s="113" t="str">
        <f t="shared" si="40"/>
        <v>E5560</v>
      </c>
      <c r="BJ64" s="567" t="str">
        <f t="shared" si="41"/>
        <v>Touvent</v>
      </c>
      <c r="BK64" s="299">
        <f t="shared" si="87"/>
        <v>90.709420921052953</v>
      </c>
      <c r="BL64" s="299">
        <f t="shared" si="88"/>
        <v>90.709420921052953</v>
      </c>
      <c r="BM64" s="299">
        <f t="shared" si="88"/>
        <v>90.709420921052953</v>
      </c>
      <c r="BN64" s="299">
        <f t="shared" si="88"/>
        <v>90.709420921052953</v>
      </c>
      <c r="BO64" s="299">
        <f t="shared" si="88"/>
        <v>90.709420921052953</v>
      </c>
      <c r="BP64" s="299">
        <f t="shared" si="88"/>
        <v>90.709420921052953</v>
      </c>
      <c r="BQ64" s="299">
        <f t="shared" si="88"/>
        <v>90.709420921052953</v>
      </c>
      <c r="BR64" s="299">
        <f t="shared" si="88"/>
        <v>90.709420921052953</v>
      </c>
      <c r="BS64" s="299">
        <f t="shared" si="88"/>
        <v>90.709420921052953</v>
      </c>
      <c r="BT64" s="299">
        <f t="shared" si="88"/>
        <v>90.709420921052953</v>
      </c>
      <c r="BU64" s="299">
        <f t="shared" si="89"/>
        <v>92.795737602237168</v>
      </c>
      <c r="BV64" s="370">
        <f t="shared" si="90"/>
        <v>92.795737602237168</v>
      </c>
      <c r="BW64" s="414"/>
      <c r="BX64" s="134"/>
      <c r="BY64" s="134"/>
      <c r="BZ64" s="134"/>
      <c r="CA64" s="134"/>
      <c r="CB64" s="113" t="str">
        <f t="shared" si="64"/>
        <v>E5560</v>
      </c>
      <c r="CC64" s="373" t="str">
        <f t="shared" si="65"/>
        <v>Touvent</v>
      </c>
      <c r="CD64" s="299">
        <f t="shared" si="43"/>
        <v>90.709420921052953</v>
      </c>
      <c r="CE64" s="299">
        <f t="shared" si="7"/>
        <v>90.709420921052953</v>
      </c>
      <c r="CF64" s="299">
        <f t="shared" si="8"/>
        <v>90.709420921052953</v>
      </c>
      <c r="CG64" s="299">
        <f t="shared" si="9"/>
        <v>90.709420921052953</v>
      </c>
      <c r="CH64" s="299">
        <f t="shared" si="10"/>
        <v>90.709420921052953</v>
      </c>
      <c r="CI64" s="299">
        <f t="shared" si="11"/>
        <v>90.709420921052953</v>
      </c>
      <c r="CJ64" s="299">
        <f t="shared" si="12"/>
        <v>90.709420921052953</v>
      </c>
      <c r="CK64" s="299">
        <f t="shared" si="13"/>
        <v>90.709420921052953</v>
      </c>
      <c r="CL64" s="299">
        <f t="shared" si="14"/>
        <v>90.709420921052953</v>
      </c>
      <c r="CM64" s="299">
        <f t="shared" si="15"/>
        <v>90.709420921052953</v>
      </c>
      <c r="CN64" s="299">
        <f t="shared" si="16"/>
        <v>92.795737602237168</v>
      </c>
      <c r="CO64" s="370">
        <f t="shared" si="17"/>
        <v>92.795737602237168</v>
      </c>
      <c r="CP64" s="414"/>
      <c r="CQ64" s="134">
        <f t="shared" si="66"/>
        <v>4.0000000000000001E-3</v>
      </c>
      <c r="CU64" s="113" t="str">
        <f t="shared" si="67"/>
        <v>E5560</v>
      </c>
      <c r="CV64" s="359" t="str">
        <f t="shared" si="68"/>
        <v>Touvent</v>
      </c>
      <c r="CW64" s="300">
        <f t="shared" si="69"/>
        <v>355351.73412728304</v>
      </c>
      <c r="CX64" s="298">
        <f t="shared" si="70"/>
        <v>284891.92649456824</v>
      </c>
      <c r="CY64" s="298">
        <f t="shared" si="71"/>
        <v>256537.35942991541</v>
      </c>
      <c r="CZ64" s="298">
        <f t="shared" si="72"/>
        <v>181182.37485778751</v>
      </c>
      <c r="DA64" s="298">
        <f t="shared" si="73"/>
        <v>182062.8039351122</v>
      </c>
      <c r="DB64" s="298">
        <f t="shared" si="74"/>
        <v>151226.98726977868</v>
      </c>
      <c r="DC64" s="298">
        <f t="shared" si="75"/>
        <v>164337.06603759245</v>
      </c>
      <c r="DD64" s="298">
        <f t="shared" si="76"/>
        <v>149256.96066209054</v>
      </c>
      <c r="DE64" s="298">
        <f t="shared" si="77"/>
        <v>158139.76902085758</v>
      </c>
      <c r="DF64" s="298">
        <f t="shared" si="78"/>
        <v>243573.7600720278</v>
      </c>
      <c r="DG64" s="371">
        <f t="shared" si="79"/>
        <v>273222.93088207929</v>
      </c>
      <c r="DH64" s="372">
        <f t="shared" si="80"/>
        <v>335648.05869096034</v>
      </c>
      <c r="DI64" s="67">
        <f t="shared" si="81"/>
        <v>2735431.7314800536</v>
      </c>
      <c r="DJ64" s="364">
        <f>_xll.LVCELL($E$1,Q$2,$C64,$D$2,$C$4,$C$5,$C$6,$C$7,$C$8,$D$3)+_xll.LVCELL($E$2,Q$2,$C64,$D$2,$C$4,$C$5,$C$6,$C$7,$C$8,$D$3)</f>
        <v>2735431.8007871779</v>
      </c>
      <c r="DK64" s="82">
        <f t="shared" si="44"/>
        <v>-6.9307124242186546E-2</v>
      </c>
      <c r="DM64" s="518">
        <f t="shared" si="82"/>
        <v>91.165649866877686</v>
      </c>
      <c r="DO64" s="64" t="str">
        <f t="shared" si="83"/>
        <v>E5560</v>
      </c>
      <c r="DP64" s="64" t="str">
        <f t="shared" si="84"/>
        <v>E5560</v>
      </c>
      <c r="DQ64" s="359" t="str">
        <f t="shared" si="85"/>
        <v>Touvent</v>
      </c>
      <c r="DR64" s="365">
        <f>_xll.LVCELL($DP$3,DR$3,$DP64,$DQ$2,$DP$4,$DP$5,$DP$6,$DP$7,$DP$8,$DQ$3)/100</f>
        <v>0.97</v>
      </c>
      <c r="DS64" s="365">
        <f>_xll.LVCELL($DP$3,DS$3,$DP64,$DQ$2,$DP$4,$DP$5,$DP$6,$DP$7,$DP$8,$DQ$3)/100</f>
        <v>0.97</v>
      </c>
      <c r="DT64" s="365">
        <f>_xll.LVCELL($DP$3,DT$3,$DP64,$DQ$2,$DP$4,$DP$5,$DP$6,$DP$7,$DP$8,$DQ$3)/100</f>
        <v>0.97</v>
      </c>
      <c r="DU64" s="365">
        <f>_xll.LVCELL($DP$3,DU$3,$DP64,$DQ$2,$DP$4,$DP$5,$DP$6,$DP$7,$DP$8,$DQ$3)/100</f>
        <v>0.97</v>
      </c>
      <c r="DV64" s="365">
        <f>_xll.LVCELL($DP$3,DV$3,$DP64,$DQ$2,$DP$4,$DP$5,$DP$6,$DP$7,$DP$8,$DQ$3)/100</f>
        <v>0.97</v>
      </c>
      <c r="DW64" s="365">
        <f>_xll.LVCELL($DP$3,DW$3,$DP64,$DQ$2,$DP$4,$DP$5,$DP$6,$DP$7,$DP$8,$DQ$3)/100</f>
        <v>0.97</v>
      </c>
      <c r="DX64" s="365">
        <f>_xll.LVCELL($DP$3,DX$3,$DP64,$DQ$2,$DP$4,$DP$5,$DP$6,$DP$7,$DP$8,$DQ$3)/100</f>
        <v>0.97</v>
      </c>
      <c r="DY64" s="365">
        <f>_xll.LVCELL($DP$3,DY$3,$DP64,$DQ$2,$DP$4,$DP$5,$DP$6,$DP$7,$DP$8,$DQ$3)/100</f>
        <v>0.97</v>
      </c>
      <c r="DZ64" s="365">
        <f>_xll.LVCELL($DP$3,DZ$3,$DP64,$DQ$2,$DP$4,$DP$5,$DP$6,$DP$7,$DP$8,$DQ$3)/100</f>
        <v>0.97</v>
      </c>
      <c r="EA64" s="365">
        <f>_xll.LVCELL($DP$3,EA$3,$DP64,$DQ$2,$DP$4,$DP$5,$DP$6,$DP$7,$DP$8,$DQ$3)/100</f>
        <v>0.97</v>
      </c>
      <c r="EB64" s="365">
        <f>_xll.LVCELL($DP$3,EB$3,$DP64,$DQ$2,$DP$4,$DP$5,$DP$6,$DP$7,$DP$8,$DQ$3)/100</f>
        <v>0.97</v>
      </c>
      <c r="EC64" s="365">
        <f>_xll.LVCELL($DP$3,EC$3,$DP64,$DQ$2,$DP$4,$DP$5,$DP$6,$DP$7,$DP$8,$DQ$3)/100</f>
        <v>0.97</v>
      </c>
      <c r="ED64" s="582">
        <f t="shared" si="45"/>
        <v>11.64</v>
      </c>
      <c r="EF64" s="64" t="s">
        <v>264</v>
      </c>
      <c r="EG64" s="64" t="s">
        <v>264</v>
      </c>
      <c r="EH64" s="359" t="s">
        <v>215</v>
      </c>
      <c r="EI64" s="366" t="e">
        <f ca="1">_xll.LVCELL($EG$3,EI$3,$DP64,$DQ$2,$DP$4,$DP$5,$DP$6,$DP$7,$DP$8,$DQ$3)-CW64</f>
        <v>#NAME?</v>
      </c>
      <c r="EJ64" s="367" t="e">
        <f ca="1">_xll.LVCELL($EG$3,EJ$3,$DP64,$DQ$2,$DP$4,$DP$5,$DP$6,$DP$7,$DP$8,$DQ$3)-CX64</f>
        <v>#NAME?</v>
      </c>
      <c r="EK64" s="368" t="e">
        <f ca="1">_xll.LVCELL($EG$3,EK$3,$DP64,$DQ$2,$DP$4,$DP$5,$DP$6,$DP$7,$DP$8,$DQ$3)-CY64</f>
        <v>#NAME?</v>
      </c>
      <c r="EL64" s="367" t="e">
        <f ca="1">_xll.LVCELL($EG$3,EL$3,$DP64,$DQ$2,$DP$4,$DP$5,$DP$6,$DP$7,$DP$8,$DQ$3)-CZ64</f>
        <v>#NAME?</v>
      </c>
      <c r="EM64" s="368" t="e">
        <f ca="1">_xll.LVCELL($EG$3,EM$3,$DP64,$DQ$2,$DP$4,$DP$5,$DP$6,$DP$7,$DP$8,$DQ$3)-DA64</f>
        <v>#NAME?</v>
      </c>
      <c r="EN64" s="367" t="e">
        <f ca="1">_xll.LVCELL($EG$3,EN$3,$DP64,$DQ$2,$DP$4,$DP$5,$DP$6,$DP$7,$DP$8,$DQ$3)-DB64</f>
        <v>#NAME?</v>
      </c>
      <c r="EO64" s="368" t="e">
        <f ca="1">_xll.LVCELL($EG$3,EO$3,$DP64,$DQ$2,$DP$4,$DP$5,$DP$6,$DP$7,$DP$8,$DQ$3)-DC64</f>
        <v>#NAME?</v>
      </c>
      <c r="EP64" s="367" t="e">
        <f ca="1">_xll.LVCELL($EG$3,EP$3,$DP64,$DQ$2,$DP$4,$DP$5,$DP$6,$DP$7,$DP$8,$DQ$3)-DD64</f>
        <v>#NAME?</v>
      </c>
      <c r="EQ64" s="368" t="e">
        <f ca="1">_xll.LVCELL($EG$3,EQ$3,$DP64,$DQ$2,$DP$4,$DP$5,$DP$6,$DP$7,$DP$8,$DQ$3)-DE64</f>
        <v>#NAME?</v>
      </c>
      <c r="ER64" s="367" t="e">
        <f ca="1">_xll.LVCELL($EG$3,ER$3,$DP64,$DQ$2,$DP$4,$DP$5,$DP$6,$DP$7,$DP$8,$DQ$3)-DF64</f>
        <v>#NAME?</v>
      </c>
      <c r="ES64" s="368" t="e">
        <f ca="1">_xll.LVCELL($EG$3,ES$3,$DP64,$DQ$2,$DP$4,$DP$5,$DP$6,$DP$7,$DP$8,$DQ$3)-DG64</f>
        <v>#NAME?</v>
      </c>
      <c r="ET64" s="367" t="e">
        <f ca="1">_xll.LVCELL($EG$3,ET$3,$DP64,$DQ$2,$DP$4,$DP$5,$DP$6,$DP$7,$DP$8,$DQ$3)-DH64</f>
        <v>#NAME?</v>
      </c>
      <c r="EW64" s="64" t="s">
        <v>264</v>
      </c>
      <c r="EX64" s="64" t="s">
        <v>264</v>
      </c>
      <c r="EY64" s="359" t="s">
        <v>215</v>
      </c>
      <c r="EZ64" s="364">
        <f>_xll.LVCELL($EX$3,EZ$3,$DP64,$DQ$2,$DP$4,$DP$5,$DP$6,$DP$7,$DP$8,$DQ$3)</f>
        <v>13800</v>
      </c>
      <c r="FA64" s="364">
        <f>_xll.LVCELL($EX$3,FA$3,$DP64,$DQ$2,$DP$4,$DP$5,$DP$6,$DP$7,$DP$8,$DQ$3)</f>
        <v>13800</v>
      </c>
      <c r="FB64" s="364">
        <f>_xll.LVCELL($EX$3,FB$3,$DP64,$DQ$2,$DP$4,$DP$5,$DP$6,$DP$7,$DP$8,$DQ$3)</f>
        <v>13800</v>
      </c>
      <c r="FC64" s="364">
        <f>_xll.LVCELL($EX$3,FC$3,$DP64,$DQ$2,$DP$4,$DP$5,$DP$6,$DP$7,$DP$8,$DQ$3)</f>
        <v>13800</v>
      </c>
      <c r="FD64" s="364">
        <f>_xll.LVCELL($EX$3,FD$3,$DP64,$DQ$2,$DP$4,$DP$5,$DP$6,$DP$7,$DP$8,$DQ$3)</f>
        <v>13800</v>
      </c>
      <c r="FE64" s="364">
        <f>_xll.LVCELL($EX$3,FE$3,$DP64,$DQ$2,$DP$4,$DP$5,$DP$6,$DP$7,$DP$8,$DQ$3)</f>
        <v>13800</v>
      </c>
      <c r="FF64" s="364">
        <f>_xll.LVCELL($EX$3,FF$3,$DP64,$DQ$2,$DP$4,$DP$5,$DP$6,$DP$7,$DP$8,$DQ$3)</f>
        <v>13800</v>
      </c>
      <c r="FG64" s="364">
        <f>_xll.LVCELL($EX$3,FG$3,$DP64,$DQ$2,$DP$4,$DP$5,$DP$6,$DP$7,$DP$8,$DQ$3)</f>
        <v>13800</v>
      </c>
      <c r="FH64" s="364">
        <f>_xll.LVCELL($EX$3,FH$3,$DP64,$DQ$2,$DP$4,$DP$5,$DP$6,$DP$7,$DP$8,$DQ$3)</f>
        <v>13800</v>
      </c>
      <c r="FI64" s="364">
        <f>_xll.LVCELL($EX$3,FI$3,$DP64,$DQ$2,$DP$4,$DP$5,$DP$6,$DP$7,$DP$8,$DQ$3)</f>
        <v>13800</v>
      </c>
      <c r="FJ64" s="364">
        <f>_xll.LVCELL($EX$3,FJ$3,$DP64,$DQ$2,$DP$4,$DP$5,$DP$6,$DP$7,$DP$8,$DQ$3)</f>
        <v>13800</v>
      </c>
      <c r="FK64" s="276">
        <f>_xll.LVCELL($EX$3,FK$3,$DP64,$DQ$2,$DP$4,$DP$5,$DP$6,$DP$7,$DP$8,$DQ$3)</f>
        <v>13800</v>
      </c>
      <c r="FN64" s="64" t="s">
        <v>264</v>
      </c>
      <c r="FO64" s="64" t="s">
        <v>264</v>
      </c>
      <c r="FP64" s="359" t="s">
        <v>215</v>
      </c>
      <c r="FQ64" s="364">
        <f>_xll.LVCELL($FO$3,FQ$3,$DP64,$DQ$2,$DP$4,$DP$5,$DP$6,$DP$7,$DP$8,$DQ$3)</f>
        <v>6</v>
      </c>
      <c r="FR64" s="364">
        <f>_xll.LVCELL($FO$3,FR$3,$DP64,$DQ$2,$DP$4,$DP$5,$DP$6,$DP$7,$DP$8,$DQ$3)</f>
        <v>6</v>
      </c>
      <c r="FS64" s="364">
        <f>_xll.LVCELL($FO$3,FS$3,$DP64,$DQ$2,$DP$4,$DP$5,$DP$6,$DP$7,$DP$8,$DQ$3)</f>
        <v>6</v>
      </c>
      <c r="FT64" s="364">
        <f>_xll.LVCELL($FO$3,FT$3,$DP64,$DQ$2,$DP$4,$DP$5,$DP$6,$DP$7,$DP$8,$DQ$3)</f>
        <v>6</v>
      </c>
      <c r="FU64" s="364">
        <f>_xll.LVCELL($FO$3,FU$3,$DP64,$DQ$2,$DP$4,$DP$5,$DP$6,$DP$7,$DP$8,$DQ$3)</f>
        <v>6</v>
      </c>
      <c r="FV64" s="364">
        <f>_xll.LVCELL($FO$3,FV$3,$DP64,$DQ$2,$DP$4,$DP$5,$DP$6,$DP$7,$DP$8,$DQ$3)</f>
        <v>6</v>
      </c>
      <c r="FW64" s="364">
        <f>_xll.LVCELL($FO$3,FW$3,$DP64,$DQ$2,$DP$4,$DP$5,$DP$6,$DP$7,$DP$8,$DQ$3)</f>
        <v>6</v>
      </c>
      <c r="FX64" s="364">
        <f>_xll.LVCELL($FO$3,FX$3,$DP64,$DQ$2,$DP$4,$DP$5,$DP$6,$DP$7,$DP$8,$DQ$3)</f>
        <v>6</v>
      </c>
      <c r="FY64" s="364">
        <f>_xll.LVCELL($FO$3,FY$3,$DP64,$DQ$2,$DP$4,$DP$5,$DP$6,$DP$7,$DP$8,$DQ$3)</f>
        <v>6</v>
      </c>
      <c r="FZ64" s="364">
        <f>_xll.LVCELL($FO$3,FZ$3,$DP64,$DQ$2,$DP$4,$DP$5,$DP$6,$DP$7,$DP$8,$DQ$3)</f>
        <v>6</v>
      </c>
      <c r="GA64" s="364">
        <f>_xll.LVCELL($FO$3,GA$3,$DP64,$DQ$2,$DP$4,$DP$5,$DP$6,$DP$7,$DP$8,$DQ$3)</f>
        <v>6</v>
      </c>
      <c r="GB64" s="172">
        <f>_xll.LVCELL($FO$3,GB$3,$DP64,$DQ$2,$DP$4,$DP$5,$DP$6,$DP$7,$DP$8,$DQ$3)</f>
        <v>6</v>
      </c>
    </row>
    <row r="65" spans="2:184" ht="15">
      <c r="B65" s="64" t="s">
        <v>277</v>
      </c>
      <c r="C65" s="64" t="s">
        <v>277</v>
      </c>
      <c r="D65" s="359" t="s">
        <v>556</v>
      </c>
      <c r="E65" s="357">
        <f>_xll.LVCELL($C$3,Q$3,$C65,$D$2,$C$4,$C$5,$C$6,$C$7,$C$8,$D$3)/1000</f>
        <v>16</v>
      </c>
      <c r="F65" s="103">
        <f>'distribution mensuelle Prod B22'!$BE$36</f>
        <v>2950786.2845914913</v>
      </c>
      <c r="G65" s="103">
        <f>'distribution mensuelle Prod B22'!$BE$37</f>
        <v>2522109.4628949934</v>
      </c>
      <c r="H65" s="103">
        <f>'distribution mensuelle Prod B22'!$BE$38</f>
        <v>2450839.4677612041</v>
      </c>
      <c r="I65" s="103">
        <f>'distribution mensuelle Prod B22'!$BE$39</f>
        <v>2101169.223223262</v>
      </c>
      <c r="J65" s="103">
        <f>'distribution mensuelle Prod B22'!$BE$40</f>
        <v>1788589.1862754519</v>
      </c>
      <c r="K65" s="103">
        <f>'distribution mensuelle Prod B22'!$BE$41</f>
        <v>1395310.0046089399</v>
      </c>
      <c r="L65" s="103">
        <f>'distribution mensuelle Prod B22'!$BE$42</f>
        <v>1381852.7929219974</v>
      </c>
      <c r="M65" s="103">
        <f>'distribution mensuelle Prod B22'!$BE$43</f>
        <v>1257354.9545718217</v>
      </c>
      <c r="N65" s="103">
        <f>'distribution mensuelle Prod B22'!$BE$44</f>
        <v>1658982.1702754162</v>
      </c>
      <c r="O65" s="103">
        <f>'distribution mensuelle Prod B22'!$BE$45</f>
        <v>2289839.6453921283</v>
      </c>
      <c r="P65" s="103">
        <f>'distribution mensuelle Prod B22'!$BE$46</f>
        <v>2530109.5884223143</v>
      </c>
      <c r="Q65" s="103">
        <f>'distribution mensuelle Prod B22'!$BE$47</f>
        <v>3032263.9274908211</v>
      </c>
      <c r="R65" s="67">
        <f t="shared" si="60"/>
        <v>25359206.708429843</v>
      </c>
      <c r="S65" s="358"/>
      <c r="T65" s="169"/>
      <c r="W65" s="113" t="str">
        <f t="shared" si="61"/>
        <v>E5570</v>
      </c>
      <c r="X65" s="359" t="str">
        <f t="shared" si="62"/>
        <v>Plateau de Savernat 1</v>
      </c>
      <c r="Y65" s="299" cm="1">
        <f t="array" ref="Y65">_xll.LVCELL($D$4,F$1,$B65,$D$2,$C$4,$C$5,$C$6,$C$7,$C$8,$D$3)*1000</f>
        <v>88.299949999999995</v>
      </c>
      <c r="Z65" s="299" cm="1">
        <f t="array" ref="Z65">_xll.LVCELL($D$4,G$1,$B65,$D$2,$C$4,$C$5,$C$6,$C$7,$C$8,$D$3)*1000</f>
        <v>88.302038999999994</v>
      </c>
      <c r="AA65" s="299" cm="1">
        <f t="array" ref="AA65">_xll.LVCELL($D$4,H$1,$B65,$D$2,$C$4,$C$5,$C$6,$C$7,$C$8,$D$3)*1000</f>
        <v>88.300860980272986</v>
      </c>
      <c r="AB65" s="299" cm="1">
        <f t="array" ref="AB65">_xll.LVCELL($D$4,I$1,$B65,$D$2,$C$4,$C$5,$C$6,$C$7,$C$8,$D$3)*1000</f>
        <v>88.299290821997303</v>
      </c>
      <c r="AC65" s="299" cm="1">
        <f t="array" ref="AC65">_xll.LVCELL($D$4,J$1,$B65,$D$2,$C$4,$C$5,$C$6,$C$7,$C$8,$D$3)*1000</f>
        <v>88.313103093576615</v>
      </c>
      <c r="AD65" s="299" cm="1">
        <f t="array" ref="AD65">_xll.LVCELL($D$4,K$1,$B65,$D$2,$C$4,$C$5,$C$6,$C$7,$C$8,$D$3)*1000</f>
        <v>88.300722722897888</v>
      </c>
      <c r="AE65" s="299" cm="1">
        <f t="array" ref="AE65">_xll.LVCELL($D$4,L$1,$B65,$D$2,$C$4,$C$5,$C$6,$C$7,$C$8,$D$3)*1000</f>
        <v>88.306470608184867</v>
      </c>
      <c r="AF65" s="299">
        <f>$AD$65</f>
        <v>88.300722722897888</v>
      </c>
      <c r="AG65" s="299">
        <f t="shared" si="53"/>
        <v>88.300722722897888</v>
      </c>
      <c r="AH65" s="299">
        <f t="shared" si="53"/>
        <v>88.300722722897888</v>
      </c>
      <c r="AI65" s="299">
        <f t="shared" si="54"/>
        <v>90.331639345524536</v>
      </c>
      <c r="AJ65" s="412">
        <f t="shared" si="55"/>
        <v>90.331639345524536</v>
      </c>
      <c r="AK65" s="67"/>
      <c r="AL65" s="134">
        <f t="shared" si="63"/>
        <v>2.3E-2</v>
      </c>
      <c r="AM65" s="134"/>
      <c r="AN65" s="134"/>
      <c r="AO65" s="134"/>
      <c r="AP65" s="113" t="str">
        <f t="shared" si="38"/>
        <v>E5570</v>
      </c>
      <c r="AQ65" s="567" t="str">
        <f t="shared" si="39"/>
        <v>Plateau de Savernat 1</v>
      </c>
      <c r="AR65" s="377"/>
      <c r="AS65" s="377"/>
      <c r="AT65" s="377"/>
      <c r="AU65" s="377"/>
      <c r="AV65" s="377"/>
      <c r="AW65" s="377"/>
      <c r="AX65" s="377"/>
      <c r="AY65" s="377"/>
      <c r="AZ65" s="377"/>
      <c r="BA65" s="377"/>
      <c r="BB65" s="377"/>
      <c r="BC65" s="378"/>
      <c r="BD65" s="414"/>
      <c r="BE65" s="134"/>
      <c r="BF65" s="134"/>
      <c r="BG65" s="134"/>
      <c r="BH65" s="134"/>
      <c r="BI65" s="113" t="str">
        <f t="shared" si="40"/>
        <v>E5570</v>
      </c>
      <c r="BJ65" s="567" t="str">
        <f t="shared" si="41"/>
        <v>Plateau de Savernat 1</v>
      </c>
      <c r="BK65" s="299">
        <f t="shared" si="87"/>
        <v>90.331639345524536</v>
      </c>
      <c r="BL65" s="299">
        <f t="shared" ref="BL65:BT74" si="91">$AJ65</f>
        <v>90.331639345524536</v>
      </c>
      <c r="BM65" s="299">
        <f t="shared" si="91"/>
        <v>90.331639345524536</v>
      </c>
      <c r="BN65" s="299">
        <f t="shared" si="91"/>
        <v>90.331639345524536</v>
      </c>
      <c r="BO65" s="299">
        <f t="shared" si="91"/>
        <v>90.331639345524536</v>
      </c>
      <c r="BP65" s="299">
        <f t="shared" si="91"/>
        <v>90.331639345524536</v>
      </c>
      <c r="BQ65" s="299">
        <f t="shared" si="91"/>
        <v>90.331639345524536</v>
      </c>
      <c r="BR65" s="299">
        <f t="shared" si="91"/>
        <v>90.331639345524536</v>
      </c>
      <c r="BS65" s="299">
        <f t="shared" si="91"/>
        <v>90.331639345524536</v>
      </c>
      <c r="BT65" s="299">
        <f t="shared" si="91"/>
        <v>90.331639345524536</v>
      </c>
      <c r="BU65" s="299">
        <f t="shared" si="89"/>
        <v>92.409267050471598</v>
      </c>
      <c r="BV65" s="370">
        <f t="shared" si="90"/>
        <v>92.409267050471598</v>
      </c>
      <c r="BW65" s="414"/>
      <c r="BX65" s="134"/>
      <c r="BY65" s="134"/>
      <c r="BZ65" s="134"/>
      <c r="CA65" s="134"/>
      <c r="CB65" s="113" t="str">
        <f t="shared" si="64"/>
        <v>E5570</v>
      </c>
      <c r="CC65" s="373" t="str">
        <f t="shared" si="65"/>
        <v>Plateau de Savernat 1</v>
      </c>
      <c r="CD65" s="299">
        <f t="shared" si="43"/>
        <v>90.331639345524536</v>
      </c>
      <c r="CE65" s="299">
        <f t="shared" si="7"/>
        <v>90.331639345524536</v>
      </c>
      <c r="CF65" s="299">
        <f t="shared" si="8"/>
        <v>90.331639345524536</v>
      </c>
      <c r="CG65" s="299">
        <f t="shared" si="9"/>
        <v>90.331639345524536</v>
      </c>
      <c r="CH65" s="299">
        <f t="shared" si="10"/>
        <v>90.331639345524536</v>
      </c>
      <c r="CI65" s="299">
        <f t="shared" si="11"/>
        <v>90.331639345524536</v>
      </c>
      <c r="CJ65" s="299">
        <f t="shared" si="12"/>
        <v>90.331639345524536</v>
      </c>
      <c r="CK65" s="299">
        <f t="shared" si="13"/>
        <v>90.331639345524536</v>
      </c>
      <c r="CL65" s="299">
        <f t="shared" si="14"/>
        <v>90.331639345524536</v>
      </c>
      <c r="CM65" s="299">
        <f t="shared" si="15"/>
        <v>90.331639345524536</v>
      </c>
      <c r="CN65" s="299">
        <f t="shared" si="16"/>
        <v>92.409267050471598</v>
      </c>
      <c r="CO65" s="370">
        <f t="shared" si="17"/>
        <v>92.409267050471598</v>
      </c>
      <c r="CP65" s="414"/>
      <c r="CQ65" s="134">
        <f t="shared" si="66"/>
        <v>4.0000000000000001E-3</v>
      </c>
      <c r="CU65" s="113" t="str">
        <f t="shared" si="67"/>
        <v>E5570</v>
      </c>
      <c r="CV65" s="359" t="str">
        <f t="shared" si="68"/>
        <v>Plateau de Savernat 1</v>
      </c>
      <c r="CW65" s="300">
        <f t="shared" si="69"/>
        <v>266549.36244543892</v>
      </c>
      <c r="CX65" s="298">
        <f t="shared" si="70"/>
        <v>227826.28239216513</v>
      </c>
      <c r="CY65" s="298">
        <f t="shared" si="71"/>
        <v>221388.34689558239</v>
      </c>
      <c r="CZ65" s="298">
        <f t="shared" si="72"/>
        <v>189802.06047611963</v>
      </c>
      <c r="DA65" s="298">
        <f t="shared" si="73"/>
        <v>161566.19331193931</v>
      </c>
      <c r="DB65" s="298">
        <f t="shared" si="74"/>
        <v>126040.64011153692</v>
      </c>
      <c r="DC65" s="298">
        <f t="shared" si="75"/>
        <v>124825.02811883566</v>
      </c>
      <c r="DD65" s="298">
        <f t="shared" si="76"/>
        <v>113578.93428569018</v>
      </c>
      <c r="DE65" s="298">
        <f t="shared" si="77"/>
        <v>149858.57908597446</v>
      </c>
      <c r="DF65" s="298">
        <f t="shared" si="78"/>
        <v>206844.96900664552</v>
      </c>
      <c r="DG65" s="371">
        <f t="shared" si="79"/>
        <v>233805.57262347644</v>
      </c>
      <c r="DH65" s="372">
        <f t="shared" si="80"/>
        <v>280209.28704301117</v>
      </c>
      <c r="DI65" s="67">
        <f t="shared" si="81"/>
        <v>2302295.2557964157</v>
      </c>
      <c r="DJ65" s="364">
        <f>_xll.LVCELL($E$1,Q$2,$C65,$D$2,$C$4,$C$5,$C$6,$C$7,$C$8,$D$3)+_xll.LVCELL($E$2,Q$2,$C65,$D$2,$C$4,$C$5,$C$6,$C$7,$C$8,$D$3)</f>
        <v>3056505.1269808728</v>
      </c>
      <c r="DK65" s="82">
        <f t="shared" si="44"/>
        <v>-754209.87118445709</v>
      </c>
      <c r="DM65" s="518">
        <f t="shared" si="82"/>
        <v>90.787353179746461</v>
      </c>
      <c r="DO65" s="64" t="str">
        <f t="shared" si="83"/>
        <v>E5570</v>
      </c>
      <c r="DP65" s="64" t="str">
        <f t="shared" si="84"/>
        <v>E5570</v>
      </c>
      <c r="DQ65" s="359" t="str">
        <f t="shared" si="85"/>
        <v>Plateau de Savernat 1</v>
      </c>
      <c r="DR65" s="365">
        <f>_xll.LVCELL($DP$3,DR$3,$DP65,$DQ$2,$DP$4,$DP$5,$DP$6,$DP$7,$DP$8,$DQ$3)/100</f>
        <v>0.97</v>
      </c>
      <c r="DS65" s="365">
        <f>_xll.LVCELL($DP$3,DS$3,$DP65,$DQ$2,$DP$4,$DP$5,$DP$6,$DP$7,$DP$8,$DQ$3)/100</f>
        <v>0.97</v>
      </c>
      <c r="DT65" s="365">
        <f>_xll.LVCELL($DP$3,DT$3,$DP65,$DQ$2,$DP$4,$DP$5,$DP$6,$DP$7,$DP$8,$DQ$3)/100</f>
        <v>0.97</v>
      </c>
      <c r="DU65" s="365">
        <f>_xll.LVCELL($DP$3,DU$3,$DP65,$DQ$2,$DP$4,$DP$5,$DP$6,$DP$7,$DP$8,$DQ$3)/100</f>
        <v>0.97</v>
      </c>
      <c r="DV65" s="365">
        <f>_xll.LVCELL($DP$3,DV$3,$DP65,$DQ$2,$DP$4,$DP$5,$DP$6,$DP$7,$DP$8,$DQ$3)/100</f>
        <v>0.97</v>
      </c>
      <c r="DW65" s="365">
        <f>_xll.LVCELL($DP$3,DW$3,$DP65,$DQ$2,$DP$4,$DP$5,$DP$6,$DP$7,$DP$8,$DQ$3)/100</f>
        <v>0.97</v>
      </c>
      <c r="DX65" s="365">
        <f>_xll.LVCELL($DP$3,DX$3,$DP65,$DQ$2,$DP$4,$DP$5,$DP$6,$DP$7,$DP$8,$DQ$3)/100</f>
        <v>0.97</v>
      </c>
      <c r="DY65" s="365">
        <f>_xll.LVCELL($DP$3,DY$3,$DP65,$DQ$2,$DP$4,$DP$5,$DP$6,$DP$7,$DP$8,$DQ$3)/100</f>
        <v>0.97</v>
      </c>
      <c r="DZ65" s="365">
        <f>_xll.LVCELL($DP$3,DZ$3,$DP65,$DQ$2,$DP$4,$DP$5,$DP$6,$DP$7,$DP$8,$DQ$3)/100</f>
        <v>0.97</v>
      </c>
      <c r="EA65" s="365">
        <f>_xll.LVCELL($DP$3,EA$3,$DP65,$DQ$2,$DP$4,$DP$5,$DP$6,$DP$7,$DP$8,$DQ$3)/100</f>
        <v>0.97</v>
      </c>
      <c r="EB65" s="365">
        <f>_xll.LVCELL($DP$3,EB$3,$DP65,$DQ$2,$DP$4,$DP$5,$DP$6,$DP$7,$DP$8,$DQ$3)/100</f>
        <v>0.97</v>
      </c>
      <c r="EC65" s="365">
        <f>_xll.LVCELL($DP$3,EC$3,$DP65,$DQ$2,$DP$4,$DP$5,$DP$6,$DP$7,$DP$8,$DQ$3)/100</f>
        <v>0.97</v>
      </c>
      <c r="ED65" s="582">
        <f t="shared" si="45"/>
        <v>11.64</v>
      </c>
      <c r="EF65" s="64" t="s">
        <v>277</v>
      </c>
      <c r="EG65" s="64" t="s">
        <v>277</v>
      </c>
      <c r="EH65" s="359" t="s">
        <v>2637</v>
      </c>
      <c r="EI65" s="366" t="e">
        <f ca="1">_xll.LVCELL($EG$3,EI$3,$DP65,$DQ$2,$DP$4,$DP$5,$DP$6,$DP$7,$DP$8,$DQ$3)-CW65-CW66</f>
        <v>#NAME?</v>
      </c>
      <c r="EJ65" s="367" t="e">
        <f ca="1">_xll.LVCELL($EG$3,EJ$3,$DP65,$DQ$2,$DP$4,$DP$5,$DP$6,$DP$7,$DP$8,$DQ$3)-CX65-CX66</f>
        <v>#NAME?</v>
      </c>
      <c r="EK65" s="368" t="e">
        <f ca="1">_xll.LVCELL($EG$3,EK$3,$DP65,$DQ$2,$DP$4,$DP$5,$DP$6,$DP$7,$DP$8,$DQ$3)-CY65-CY66</f>
        <v>#NAME?</v>
      </c>
      <c r="EL65" s="367" t="e">
        <f ca="1">_xll.LVCELL($EG$3,EL$3,$DP65,$DQ$2,$DP$4,$DP$5,$DP$6,$DP$7,$DP$8,$DQ$3)-CZ65-CZ66</f>
        <v>#NAME?</v>
      </c>
      <c r="EM65" s="368" t="e">
        <f ca="1">_xll.LVCELL($EG$3,EM$3,$DP65,$DQ$2,$DP$4,$DP$5,$DP$6,$DP$7,$DP$8,$DQ$3)-DA65-DA66</f>
        <v>#NAME?</v>
      </c>
      <c r="EN65" s="367" t="e">
        <f ca="1">_xll.LVCELL($EG$3,EN$3,$DP65,$DQ$2,$DP$4,$DP$5,$DP$6,$DP$7,$DP$8,$DQ$3)-DB65-DB66</f>
        <v>#NAME?</v>
      </c>
      <c r="EO65" s="368" t="e">
        <f ca="1">_xll.LVCELL($EG$3,EO$3,$DP65,$DQ$2,$DP$4,$DP$5,$DP$6,$DP$7,$DP$8,$DQ$3)-DC65-DC66</f>
        <v>#NAME?</v>
      </c>
      <c r="EP65" s="367" t="e">
        <f ca="1">_xll.LVCELL($EG$3,EP$3,$DP65,$DQ$2,$DP$4,$DP$5,$DP$6,$DP$7,$DP$8,$DQ$3)-DD65-DD66</f>
        <v>#NAME?</v>
      </c>
      <c r="EQ65" s="368" t="e">
        <f ca="1">_xll.LVCELL($EG$3,EQ$3,$DP65,$DQ$2,$DP$4,$DP$5,$DP$6,$DP$7,$DP$8,$DQ$3)-DE65-DE66</f>
        <v>#NAME?</v>
      </c>
      <c r="ER65" s="367" t="e">
        <f ca="1">_xll.LVCELL($EG$3,ER$3,$DP65,$DQ$2,$DP$4,$DP$5,$DP$6,$DP$7,$DP$8,$DQ$3)-DF65-DF66</f>
        <v>#NAME?</v>
      </c>
      <c r="ES65" s="368" t="e">
        <f ca="1">_xll.LVCELL($EG$3,ES$3,$DP65,$DQ$2,$DP$4,$DP$5,$DP$6,$DP$7,$DP$8,$DQ$3)-DG65-DG66</f>
        <v>#NAME?</v>
      </c>
      <c r="ET65" s="367" t="e">
        <f ca="1">_xll.LVCELL($EG$3,ET$3,$DP65,$DQ$2,$DP$4,$DP$5,$DP$6,$DP$7,$DP$8,$DQ$3)-DH65-DH66</f>
        <v>#NAME?</v>
      </c>
      <c r="EW65" s="64" t="s">
        <v>277</v>
      </c>
      <c r="EX65" s="64" t="s">
        <v>277</v>
      </c>
      <c r="EY65" s="359" t="s">
        <v>2637</v>
      </c>
      <c r="EZ65" s="364">
        <f>_xll.LVCELL($EX$3,EZ$3,$DP65,$DQ$2,$DP$4,$DP$5,$DP$6,$DP$7,$DP$8,$DQ$3)</f>
        <v>16000</v>
      </c>
      <c r="FA65" s="364">
        <f>_xll.LVCELL($EX$3,FA$3,$DP65,$DQ$2,$DP$4,$DP$5,$DP$6,$DP$7,$DP$8,$DQ$3)</f>
        <v>16000</v>
      </c>
      <c r="FB65" s="364">
        <f>_xll.LVCELL($EX$3,FB$3,$DP65,$DQ$2,$DP$4,$DP$5,$DP$6,$DP$7,$DP$8,$DQ$3)</f>
        <v>16000</v>
      </c>
      <c r="FC65" s="364">
        <f>_xll.LVCELL($EX$3,FC$3,$DP65,$DQ$2,$DP$4,$DP$5,$DP$6,$DP$7,$DP$8,$DQ$3)</f>
        <v>16000</v>
      </c>
      <c r="FD65" s="364">
        <f>_xll.LVCELL($EX$3,FD$3,$DP65,$DQ$2,$DP$4,$DP$5,$DP$6,$DP$7,$DP$8,$DQ$3)</f>
        <v>16000</v>
      </c>
      <c r="FE65" s="364">
        <f>_xll.LVCELL($EX$3,FE$3,$DP65,$DQ$2,$DP$4,$DP$5,$DP$6,$DP$7,$DP$8,$DQ$3)</f>
        <v>16000</v>
      </c>
      <c r="FF65" s="364">
        <f>_xll.LVCELL($EX$3,FF$3,$DP65,$DQ$2,$DP$4,$DP$5,$DP$6,$DP$7,$DP$8,$DQ$3)</f>
        <v>16000</v>
      </c>
      <c r="FG65" s="364">
        <f>_xll.LVCELL($EX$3,FG$3,$DP65,$DQ$2,$DP$4,$DP$5,$DP$6,$DP$7,$DP$8,$DQ$3)</f>
        <v>16000</v>
      </c>
      <c r="FH65" s="364">
        <f>_xll.LVCELL($EX$3,FH$3,$DP65,$DQ$2,$DP$4,$DP$5,$DP$6,$DP$7,$DP$8,$DQ$3)</f>
        <v>16000</v>
      </c>
      <c r="FI65" s="364">
        <f>_xll.LVCELL($EX$3,FI$3,$DP65,$DQ$2,$DP$4,$DP$5,$DP$6,$DP$7,$DP$8,$DQ$3)</f>
        <v>16000</v>
      </c>
      <c r="FJ65" s="364">
        <f>_xll.LVCELL($EX$3,FJ$3,$DP65,$DQ$2,$DP$4,$DP$5,$DP$6,$DP$7,$DP$8,$DQ$3)</f>
        <v>16000</v>
      </c>
      <c r="FK65" s="276">
        <f>_xll.LVCELL($EX$3,FK$3,$DP65,$DQ$2,$DP$4,$DP$5,$DP$6,$DP$7,$DP$8,$DQ$3)</f>
        <v>16000</v>
      </c>
      <c r="FN65" s="64" t="s">
        <v>277</v>
      </c>
      <c r="FO65" s="64" t="s">
        <v>277</v>
      </c>
      <c r="FP65" s="359" t="s">
        <v>2637</v>
      </c>
      <c r="FQ65" s="364">
        <f>_xll.LVCELL($FO$3,FQ$3,$DP65,$DQ$2,$DP$4,$DP$5,$DP$6,$DP$7,$DP$8,$DQ$3)</f>
        <v>8</v>
      </c>
      <c r="FR65" s="364">
        <f>_xll.LVCELL($FO$3,FR$3,$DP65,$DQ$2,$DP$4,$DP$5,$DP$6,$DP$7,$DP$8,$DQ$3)</f>
        <v>8</v>
      </c>
      <c r="FS65" s="364">
        <f>_xll.LVCELL($FO$3,FS$3,$DP65,$DQ$2,$DP$4,$DP$5,$DP$6,$DP$7,$DP$8,$DQ$3)</f>
        <v>8</v>
      </c>
      <c r="FT65" s="364">
        <f>_xll.LVCELL($FO$3,FT$3,$DP65,$DQ$2,$DP$4,$DP$5,$DP$6,$DP$7,$DP$8,$DQ$3)</f>
        <v>8</v>
      </c>
      <c r="FU65" s="364">
        <f>_xll.LVCELL($FO$3,FU$3,$DP65,$DQ$2,$DP$4,$DP$5,$DP$6,$DP$7,$DP$8,$DQ$3)</f>
        <v>8</v>
      </c>
      <c r="FV65" s="364">
        <f>_xll.LVCELL($FO$3,FV$3,$DP65,$DQ$2,$DP$4,$DP$5,$DP$6,$DP$7,$DP$8,$DQ$3)</f>
        <v>8</v>
      </c>
      <c r="FW65" s="364">
        <f>_xll.LVCELL($FO$3,FW$3,$DP65,$DQ$2,$DP$4,$DP$5,$DP$6,$DP$7,$DP$8,$DQ$3)</f>
        <v>8</v>
      </c>
      <c r="FX65" s="364">
        <f>_xll.LVCELL($FO$3,FX$3,$DP65,$DQ$2,$DP$4,$DP$5,$DP$6,$DP$7,$DP$8,$DQ$3)</f>
        <v>8</v>
      </c>
      <c r="FY65" s="364">
        <f>_xll.LVCELL($FO$3,FY$3,$DP65,$DQ$2,$DP$4,$DP$5,$DP$6,$DP$7,$DP$8,$DQ$3)</f>
        <v>8</v>
      </c>
      <c r="FZ65" s="364">
        <f>_xll.LVCELL($FO$3,FZ$3,$DP65,$DQ$2,$DP$4,$DP$5,$DP$6,$DP$7,$DP$8,$DQ$3)</f>
        <v>8</v>
      </c>
      <c r="GA65" s="364">
        <f>_xll.LVCELL($FO$3,GA$3,$DP65,$DQ$2,$DP$4,$DP$5,$DP$6,$DP$7,$DP$8,$DQ$3)</f>
        <v>8</v>
      </c>
      <c r="GB65" s="172">
        <f>_xll.LVCELL($FO$3,GB$3,$DP65,$DQ$2,$DP$4,$DP$5,$DP$6,$DP$7,$DP$8,$DQ$3)</f>
        <v>8</v>
      </c>
    </row>
    <row r="66" spans="2:184" ht="15">
      <c r="B66" s="64" t="s">
        <v>277</v>
      </c>
      <c r="C66" s="64" t="s">
        <v>277</v>
      </c>
      <c r="D66" s="359" t="s">
        <v>557</v>
      </c>
      <c r="E66" s="357"/>
      <c r="F66" s="103">
        <f>'distribution mensuelle Prod B22'!$BF$36</f>
        <v>966649.33355673216</v>
      </c>
      <c r="G66" s="103">
        <f>'distribution mensuelle Prod B22'!$BF$37</f>
        <v>826218.91127641953</v>
      </c>
      <c r="H66" s="103">
        <f>'distribution mensuelle Prod B22'!$BF$38</f>
        <v>802871.54326863901</v>
      </c>
      <c r="I66" s="103">
        <f>'distribution mensuelle Prod B22'!$BF$39</f>
        <v>688322.91919096699</v>
      </c>
      <c r="J66" s="103">
        <f>'distribution mensuelle Prod B22'!$BF$40</f>
        <v>585924.69198740995</v>
      </c>
      <c r="K66" s="103">
        <f>'distribution mensuelle Prod B22'!$BF$41</f>
        <v>457090.19765455421</v>
      </c>
      <c r="L66" s="103">
        <f>'distribution mensuelle Prod B22'!$BF$42</f>
        <v>452681.74395641877</v>
      </c>
      <c r="M66" s="103">
        <f>'distribution mensuelle Prod B22'!$BF$43</f>
        <v>411897.44415847125</v>
      </c>
      <c r="N66" s="103">
        <f>'distribution mensuelle Prod B22'!$BF$44</f>
        <v>543466.67451087292</v>
      </c>
      <c r="O66" s="103">
        <f>'distribution mensuelle Prod B22'!$BF$45</f>
        <v>750129.54300637171</v>
      </c>
      <c r="P66" s="103">
        <f>'distribution mensuelle Prod B22'!$BF$46</f>
        <v>828839.67579933233</v>
      </c>
      <c r="Q66" s="103">
        <f>'distribution mensuelle Prod B22'!$BF$47</f>
        <v>993340.62923601712</v>
      </c>
      <c r="R66" s="67">
        <f t="shared" si="60"/>
        <v>8307433.3076022072</v>
      </c>
      <c r="S66" s="358"/>
      <c r="T66" s="169"/>
      <c r="W66" s="113" t="str">
        <f t="shared" si="61"/>
        <v>E5570</v>
      </c>
      <c r="X66" s="359" t="str">
        <f t="shared" si="62"/>
        <v>Plateau de Savernat 2</v>
      </c>
      <c r="Y66" s="299" cm="1">
        <f t="array" ref="Y66">_xll.LVCELL($D$4,F$1,$B66,$D$2,$C$4,$C$5,$C$6,$C$7,$C$8,$D$3)*1000</f>
        <v>88.299949999999995</v>
      </c>
      <c r="Z66" s="299" cm="1">
        <f t="array" ref="Z66">_xll.LVCELL($D$4,G$1,$B66,$D$2,$C$4,$C$5,$C$6,$C$7,$C$8,$D$3)*1000</f>
        <v>88.302038999999994</v>
      </c>
      <c r="AA66" s="299" cm="1">
        <f t="array" ref="AA66">_xll.LVCELL($D$4,H$1,$B66,$D$2,$C$4,$C$5,$C$6,$C$7,$C$8,$D$3)*1000</f>
        <v>88.300860980272986</v>
      </c>
      <c r="AB66" s="299" cm="1">
        <f t="array" ref="AB66">_xll.LVCELL($D$4,I$1,$B66,$D$2,$C$4,$C$5,$C$6,$C$7,$C$8,$D$3)*1000</f>
        <v>88.299290821997303</v>
      </c>
      <c r="AC66" s="299" cm="1">
        <f t="array" ref="AC66">_xll.LVCELL($D$4,J$1,$B66,$D$2,$C$4,$C$5,$C$6,$C$7,$C$8,$D$3)*1000</f>
        <v>88.313103093576615</v>
      </c>
      <c r="AD66" s="299" cm="1">
        <f t="array" ref="AD66">_xll.LVCELL($D$4,K$1,$B66,$D$2,$C$4,$C$5,$C$6,$C$7,$C$8,$D$3)*1000</f>
        <v>88.300722722897888</v>
      </c>
      <c r="AE66" s="299" cm="1">
        <f t="array" ref="AE66">_xll.LVCELL($D$4,L$1,$B66,$D$2,$C$4,$C$5,$C$6,$C$7,$C$8,$D$3)*1000</f>
        <v>88.306470608184867</v>
      </c>
      <c r="AF66" s="299">
        <f>$AD$66</f>
        <v>88.300722722897888</v>
      </c>
      <c r="AG66" s="299">
        <f t="shared" si="53"/>
        <v>88.300722722897888</v>
      </c>
      <c r="AH66" s="299">
        <f t="shared" si="53"/>
        <v>88.300722722897888</v>
      </c>
      <c r="AI66" s="299">
        <f t="shared" si="54"/>
        <v>90.331639345524536</v>
      </c>
      <c r="AJ66" s="412">
        <f t="shared" si="55"/>
        <v>90.331639345524536</v>
      </c>
      <c r="AK66" s="67"/>
      <c r="AL66" s="134">
        <f t="shared" si="63"/>
        <v>2.3E-2</v>
      </c>
      <c r="AM66" s="134"/>
      <c r="AN66" s="134"/>
      <c r="AO66" s="134"/>
      <c r="AP66" s="113" t="str">
        <f t="shared" si="38"/>
        <v>E5570</v>
      </c>
      <c r="AQ66" s="567" t="str">
        <f t="shared" si="39"/>
        <v>Plateau de Savernat 2</v>
      </c>
      <c r="AR66" s="377"/>
      <c r="AS66" s="377"/>
      <c r="AT66" s="377"/>
      <c r="AU66" s="377"/>
      <c r="AV66" s="377"/>
      <c r="AW66" s="377"/>
      <c r="AX66" s="377"/>
      <c r="AY66" s="377"/>
      <c r="AZ66" s="377"/>
      <c r="BA66" s="377"/>
      <c r="BB66" s="377"/>
      <c r="BC66" s="378"/>
      <c r="BD66" s="414"/>
      <c r="BE66" s="134"/>
      <c r="BF66" s="134"/>
      <c r="BG66" s="134"/>
      <c r="BH66" s="134"/>
      <c r="BI66" s="113" t="str">
        <f t="shared" si="40"/>
        <v>E5570</v>
      </c>
      <c r="BJ66" s="567" t="str">
        <f t="shared" si="41"/>
        <v>Plateau de Savernat 2</v>
      </c>
      <c r="BK66" s="299">
        <f t="shared" si="87"/>
        <v>90.331639345524536</v>
      </c>
      <c r="BL66" s="299">
        <f t="shared" si="91"/>
        <v>90.331639345524536</v>
      </c>
      <c r="BM66" s="299">
        <f t="shared" si="91"/>
        <v>90.331639345524536</v>
      </c>
      <c r="BN66" s="299">
        <f t="shared" si="91"/>
        <v>90.331639345524536</v>
      </c>
      <c r="BO66" s="299">
        <f t="shared" si="91"/>
        <v>90.331639345524536</v>
      </c>
      <c r="BP66" s="299">
        <f t="shared" si="91"/>
        <v>90.331639345524536</v>
      </c>
      <c r="BQ66" s="299">
        <f t="shared" si="91"/>
        <v>90.331639345524536</v>
      </c>
      <c r="BR66" s="299">
        <f t="shared" si="91"/>
        <v>90.331639345524536</v>
      </c>
      <c r="BS66" s="299">
        <f t="shared" si="91"/>
        <v>90.331639345524536</v>
      </c>
      <c r="BT66" s="299">
        <f t="shared" si="91"/>
        <v>90.331639345524536</v>
      </c>
      <c r="BU66" s="299">
        <f t="shared" si="89"/>
        <v>92.409267050471598</v>
      </c>
      <c r="BV66" s="370">
        <f t="shared" si="90"/>
        <v>92.409267050471598</v>
      </c>
      <c r="BW66" s="414"/>
      <c r="BX66" s="134"/>
      <c r="BY66" s="134"/>
      <c r="BZ66" s="134"/>
      <c r="CA66" s="134"/>
      <c r="CB66" s="113" t="str">
        <f t="shared" si="64"/>
        <v>E5570</v>
      </c>
      <c r="CC66" s="373" t="str">
        <f t="shared" si="65"/>
        <v>Plateau de Savernat 2</v>
      </c>
      <c r="CD66" s="299">
        <f t="shared" si="43"/>
        <v>90.331639345524536</v>
      </c>
      <c r="CE66" s="299">
        <f t="shared" si="7"/>
        <v>90.331639345524536</v>
      </c>
      <c r="CF66" s="299">
        <f t="shared" si="8"/>
        <v>90.331639345524536</v>
      </c>
      <c r="CG66" s="299">
        <f t="shared" si="9"/>
        <v>90.331639345524536</v>
      </c>
      <c r="CH66" s="299">
        <f t="shared" si="10"/>
        <v>90.331639345524536</v>
      </c>
      <c r="CI66" s="299">
        <f t="shared" si="11"/>
        <v>90.331639345524536</v>
      </c>
      <c r="CJ66" s="299">
        <f t="shared" si="12"/>
        <v>90.331639345524536</v>
      </c>
      <c r="CK66" s="299">
        <f t="shared" si="13"/>
        <v>90.331639345524536</v>
      </c>
      <c r="CL66" s="299">
        <f t="shared" si="14"/>
        <v>90.331639345524536</v>
      </c>
      <c r="CM66" s="299">
        <f t="shared" si="15"/>
        <v>90.331639345524536</v>
      </c>
      <c r="CN66" s="299">
        <f t="shared" si="16"/>
        <v>92.409267050471598</v>
      </c>
      <c r="CO66" s="370">
        <f t="shared" si="17"/>
        <v>92.409267050471598</v>
      </c>
      <c r="CP66" s="414"/>
      <c r="CQ66" s="134">
        <f t="shared" si="66"/>
        <v>4.0000000000000001E-3</v>
      </c>
      <c r="CU66" s="113" t="str">
        <f t="shared" si="67"/>
        <v>E5570</v>
      </c>
      <c r="CV66" s="359" t="str">
        <f t="shared" si="68"/>
        <v>Plateau de Savernat 2</v>
      </c>
      <c r="CW66" s="300">
        <f t="shared" si="69"/>
        <v>87319.018972438367</v>
      </c>
      <c r="CX66" s="298">
        <f t="shared" si="70"/>
        <v>74633.708713873464</v>
      </c>
      <c r="CY66" s="298">
        <f t="shared" si="71"/>
        <v>72524.702687327386</v>
      </c>
      <c r="CZ66" s="298">
        <f t="shared" si="72"/>
        <v>62177.337689617059</v>
      </c>
      <c r="DA66" s="298">
        <f t="shared" si="73"/>
        <v>52927.537960244263</v>
      </c>
      <c r="DB66" s="298">
        <f t="shared" si="74"/>
        <v>41289.706882905717</v>
      </c>
      <c r="DC66" s="298">
        <f t="shared" si="75"/>
        <v>40891.484033374298</v>
      </c>
      <c r="DD66" s="298">
        <f t="shared" si="76"/>
        <v>37207.371373066351</v>
      </c>
      <c r="DE66" s="298">
        <f t="shared" si="77"/>
        <v>49092.235638227743</v>
      </c>
      <c r="DF66" s="298">
        <f t="shared" si="78"/>
        <v>67760.4313412747</v>
      </c>
      <c r="DG66" s="371">
        <f t="shared" si="79"/>
        <v>76592.466942966799</v>
      </c>
      <c r="DH66" s="372">
        <f t="shared" si="80"/>
        <v>91793.87947915461</v>
      </c>
      <c r="DI66" s="67">
        <f t="shared" si="81"/>
        <v>754209.88171447068</v>
      </c>
      <c r="DJ66" s="364"/>
      <c r="DK66" s="82">
        <f t="shared" si="44"/>
        <v>754209.88171447068</v>
      </c>
      <c r="DM66" s="518">
        <f t="shared" si="82"/>
        <v>90.787353179746447</v>
      </c>
      <c r="DO66" s="64" t="str">
        <f t="shared" si="83"/>
        <v>E5570</v>
      </c>
      <c r="DP66" s="64" t="str">
        <f t="shared" si="84"/>
        <v>E5570</v>
      </c>
      <c r="DQ66" s="359" t="str">
        <f t="shared" si="85"/>
        <v>Plateau de Savernat 2</v>
      </c>
      <c r="DR66" s="365">
        <f>_xll.LVCELL($DP$3,DR$3,$DP66,$DQ$2,$DP$4,$DP$5,$DP$6,$DP$7,$DP$8,$DQ$3)/100</f>
        <v>0.97</v>
      </c>
      <c r="DS66" s="365">
        <f>_xll.LVCELL($DP$3,DS$3,$DP66,$DQ$2,$DP$4,$DP$5,$DP$6,$DP$7,$DP$8,$DQ$3)/100</f>
        <v>0.97</v>
      </c>
      <c r="DT66" s="365">
        <f>_xll.LVCELL($DP$3,DT$3,$DP66,$DQ$2,$DP$4,$DP$5,$DP$6,$DP$7,$DP$8,$DQ$3)/100</f>
        <v>0.97</v>
      </c>
      <c r="DU66" s="365">
        <f>_xll.LVCELL($DP$3,DU$3,$DP66,$DQ$2,$DP$4,$DP$5,$DP$6,$DP$7,$DP$8,$DQ$3)/100</f>
        <v>0.97</v>
      </c>
      <c r="DV66" s="365">
        <f>_xll.LVCELL($DP$3,DV$3,$DP66,$DQ$2,$DP$4,$DP$5,$DP$6,$DP$7,$DP$8,$DQ$3)/100</f>
        <v>0.97</v>
      </c>
      <c r="DW66" s="365">
        <f>_xll.LVCELL($DP$3,DW$3,$DP66,$DQ$2,$DP$4,$DP$5,$DP$6,$DP$7,$DP$8,$DQ$3)/100</f>
        <v>0.97</v>
      </c>
      <c r="DX66" s="365">
        <f>_xll.LVCELL($DP$3,DX$3,$DP66,$DQ$2,$DP$4,$DP$5,$DP$6,$DP$7,$DP$8,$DQ$3)/100</f>
        <v>0.97</v>
      </c>
      <c r="DY66" s="365">
        <f>_xll.LVCELL($DP$3,DY$3,$DP66,$DQ$2,$DP$4,$DP$5,$DP$6,$DP$7,$DP$8,$DQ$3)/100</f>
        <v>0.97</v>
      </c>
      <c r="DZ66" s="365">
        <f>_xll.LVCELL($DP$3,DZ$3,$DP66,$DQ$2,$DP$4,$DP$5,$DP$6,$DP$7,$DP$8,$DQ$3)/100</f>
        <v>0.97</v>
      </c>
      <c r="EA66" s="365">
        <f>_xll.LVCELL($DP$3,EA$3,$DP66,$DQ$2,$DP$4,$DP$5,$DP$6,$DP$7,$DP$8,$DQ$3)/100</f>
        <v>0.97</v>
      </c>
      <c r="EB66" s="365">
        <f>_xll.LVCELL($DP$3,EB$3,$DP66,$DQ$2,$DP$4,$DP$5,$DP$6,$DP$7,$DP$8,$DQ$3)/100</f>
        <v>0.97</v>
      </c>
      <c r="EC66" s="365">
        <f>_xll.LVCELL($DP$3,EC$3,$DP66,$DQ$2,$DP$4,$DP$5,$DP$6,$DP$7,$DP$8,$DQ$3)/100</f>
        <v>0.97</v>
      </c>
      <c r="ED66" s="582">
        <f t="shared" si="45"/>
        <v>11.64</v>
      </c>
      <c r="EF66" s="64" t="s">
        <v>277</v>
      </c>
      <c r="EH66" s="359"/>
      <c r="EI66" s="366"/>
      <c r="EJ66" s="367"/>
      <c r="EK66" s="368"/>
      <c r="EL66" s="367"/>
      <c r="EM66" s="368"/>
      <c r="EN66" s="367"/>
      <c r="EO66" s="368"/>
      <c r="EP66" s="367"/>
      <c r="EQ66" s="368"/>
      <c r="ER66" s="367"/>
      <c r="ES66" s="368"/>
      <c r="ET66" s="367"/>
      <c r="EY66" s="359"/>
      <c r="EZ66" s="364"/>
      <c r="FA66" s="364"/>
      <c r="FB66" s="364"/>
      <c r="FC66" s="364"/>
      <c r="FD66" s="364"/>
      <c r="FE66" s="364"/>
      <c r="FF66" s="364"/>
      <c r="FG66" s="364"/>
      <c r="FH66" s="364"/>
      <c r="FI66" s="364"/>
      <c r="FJ66" s="364"/>
      <c r="FK66" s="364"/>
      <c r="FP66" s="359"/>
      <c r="FQ66" s="364"/>
      <c r="FR66" s="364"/>
      <c r="FS66" s="364"/>
      <c r="FT66" s="364"/>
      <c r="FU66" s="364"/>
      <c r="FV66" s="364"/>
      <c r="FW66" s="364"/>
      <c r="FX66" s="364"/>
      <c r="FY66" s="364"/>
      <c r="FZ66" s="364"/>
      <c r="GA66" s="364"/>
      <c r="GB66" s="172"/>
    </row>
    <row r="67" spans="2:184" ht="15">
      <c r="B67" s="64" t="s">
        <v>473</v>
      </c>
      <c r="C67" s="64" t="s">
        <v>473</v>
      </c>
      <c r="D67" s="359" t="s">
        <v>558</v>
      </c>
      <c r="E67" s="357">
        <f>_xll.LVCELL($C$3,Q$3,$C67,$D$2,$C$4,$C$5,$C$6,$C$7,$C$8,$D$3)/1000</f>
        <v>10</v>
      </c>
      <c r="F67" s="103">
        <f>'distribution mensuelle Prod B22'!$BG$36</f>
        <v>3221106.5958923837</v>
      </c>
      <c r="G67" s="103">
        <f>'distribution mensuelle Prod B22'!$BG$37</f>
        <v>2711826.6934335493</v>
      </c>
      <c r="H67" s="103">
        <f>'distribution mensuelle Prod B22'!$BG$38</f>
        <v>2700411.3571018744</v>
      </c>
      <c r="I67" s="103">
        <f>'distribution mensuelle Prod B22'!$BG$39</f>
        <v>2247618.4292791616</v>
      </c>
      <c r="J67" s="103">
        <f>'distribution mensuelle Prod B22'!$BG$40</f>
        <v>2154097.6563782534</v>
      </c>
      <c r="K67" s="103">
        <f>'distribution mensuelle Prod B22'!$BG$41</f>
        <v>1804460.3579362095</v>
      </c>
      <c r="L67" s="103">
        <f>'distribution mensuelle Prod B22'!$BG$42</f>
        <v>1781989.4967997957</v>
      </c>
      <c r="M67" s="103">
        <f>'distribution mensuelle Prod B22'!$BG$43</f>
        <v>1762775.6503499614</v>
      </c>
      <c r="N67" s="103">
        <f>'distribution mensuelle Prod B22'!$BG$44</f>
        <v>2062917.5827613997</v>
      </c>
      <c r="O67" s="103">
        <f>'distribution mensuelle Prod B22'!$BG$45</f>
        <v>2713220.5880684303</v>
      </c>
      <c r="P67" s="103">
        <f>'distribution mensuelle Prod B22'!$BG$46</f>
        <v>2718047.7665509102</v>
      </c>
      <c r="Q67" s="103">
        <f>'distribution mensuelle Prod B22'!$BG$47</f>
        <v>3142329.8254480627</v>
      </c>
      <c r="R67" s="67">
        <f t="shared" si="60"/>
        <v>29020801.999999985</v>
      </c>
      <c r="S67" s="358"/>
      <c r="W67" s="113" t="str">
        <f t="shared" si="61"/>
        <v>E5690</v>
      </c>
      <c r="X67" s="359" t="str">
        <f t="shared" si="62"/>
        <v>Voie des monts</v>
      </c>
      <c r="Y67" s="299" cm="1">
        <f t="array" ref="Y67">_xll.LVCELL($D$4,F$1,$B67,$D$2,$C$4,$C$5,$C$6,$C$7,$C$8,$D$3)*1000</f>
        <v>86.68999199999999</v>
      </c>
      <c r="Z67" s="299" cm="1">
        <f t="array" ref="Z67">_xll.LVCELL($D$4,G$1,$B67,$D$2,$C$4,$C$5,$C$6,$C$7,$C$8,$D$3)*1000</f>
        <v>86.68999199999999</v>
      </c>
      <c r="AA67" s="299" cm="1">
        <f t="array" ref="AA67">_xll.LVCELL($D$4,H$1,$B67,$D$2,$C$4,$C$5,$C$6,$C$7,$C$8,$D$3)*1000</f>
        <v>86.689994849637145</v>
      </c>
      <c r="AB67" s="299" cm="1">
        <f t="array" ref="AB67">_xll.LVCELL($D$4,I$1,$B67,$D$2,$C$4,$C$5,$C$6,$C$7,$C$8,$D$3)*1000</f>
        <v>86.689998301438109</v>
      </c>
      <c r="AC67" s="299" cm="1">
        <f t="array" ref="AC67">_xll.LVCELL($D$4,J$1,$B67,$D$2,$C$4,$C$5,$C$6,$C$7,$C$8,$D$3)*1000</f>
        <v>86.690008224632393</v>
      </c>
      <c r="AD67" s="299" cm="1">
        <f t="array" ref="AD67">_xll.LVCELL($D$4,K$1,$B67,$D$2,$C$4,$C$5,$C$6,$C$7,$C$8,$D$3)*1000</f>
        <v>86.690024747909504</v>
      </c>
      <c r="AE67" s="299" cm="1">
        <f t="array" ref="AE67">_xll.LVCELL($D$4,L$1,$B67,$D$2,$C$4,$C$5,$C$6,$C$7,$C$8,$D$3)*1000</f>
        <v>86.690007658852494</v>
      </c>
      <c r="AF67" s="299">
        <f>$AD$67</f>
        <v>86.690024747909504</v>
      </c>
      <c r="AG67" s="299">
        <f t="shared" si="53"/>
        <v>86.690024747909504</v>
      </c>
      <c r="AH67" s="299">
        <f t="shared" si="53"/>
        <v>86.690024747909504</v>
      </c>
      <c r="AI67" s="299">
        <f t="shared" si="54"/>
        <v>88.683895317111421</v>
      </c>
      <c r="AJ67" s="412">
        <f t="shared" si="55"/>
        <v>88.683895317111421</v>
      </c>
      <c r="AK67" s="67"/>
      <c r="AL67" s="134">
        <f t="shared" si="63"/>
        <v>2.3E-2</v>
      </c>
      <c r="AM67" s="134"/>
      <c r="AN67" s="134"/>
      <c r="AO67" s="134"/>
      <c r="AP67" s="113" t="str">
        <f t="shared" si="38"/>
        <v>E5690</v>
      </c>
      <c r="AQ67" s="567" t="str">
        <f t="shared" si="39"/>
        <v>Voie des monts</v>
      </c>
      <c r="AR67" s="377"/>
      <c r="AS67" s="377"/>
      <c r="AT67" s="377"/>
      <c r="AU67" s="377"/>
      <c r="AV67" s="377"/>
      <c r="AW67" s="377"/>
      <c r="AX67" s="377"/>
      <c r="AY67" s="377"/>
      <c r="AZ67" s="377"/>
      <c r="BA67" s="377"/>
      <c r="BB67" s="377"/>
      <c r="BC67" s="378"/>
      <c r="BD67" s="414"/>
      <c r="BE67" s="134"/>
      <c r="BF67" s="134"/>
      <c r="BG67" s="134"/>
      <c r="BH67" s="134"/>
      <c r="BI67" s="113" t="str">
        <f t="shared" si="40"/>
        <v>E5690</v>
      </c>
      <c r="BJ67" s="567" t="str">
        <f t="shared" si="41"/>
        <v>Voie des monts</v>
      </c>
      <c r="BK67" s="299">
        <f t="shared" si="87"/>
        <v>88.683895317111421</v>
      </c>
      <c r="BL67" s="299">
        <f t="shared" si="91"/>
        <v>88.683895317111421</v>
      </c>
      <c r="BM67" s="299">
        <f t="shared" si="91"/>
        <v>88.683895317111421</v>
      </c>
      <c r="BN67" s="299">
        <f t="shared" si="91"/>
        <v>88.683895317111421</v>
      </c>
      <c r="BO67" s="299">
        <f t="shared" si="91"/>
        <v>88.683895317111421</v>
      </c>
      <c r="BP67" s="299">
        <f t="shared" si="91"/>
        <v>88.683895317111421</v>
      </c>
      <c r="BQ67" s="299">
        <f t="shared" si="91"/>
        <v>88.683895317111421</v>
      </c>
      <c r="BR67" s="299">
        <f t="shared" si="91"/>
        <v>88.683895317111421</v>
      </c>
      <c r="BS67" s="299">
        <f t="shared" si="91"/>
        <v>88.683895317111421</v>
      </c>
      <c r="BT67" s="299">
        <f t="shared" si="91"/>
        <v>88.683895317111421</v>
      </c>
      <c r="BU67" s="299">
        <f t="shared" si="89"/>
        <v>90.72362490940499</v>
      </c>
      <c r="BV67" s="370">
        <f t="shared" si="90"/>
        <v>90.72362490940499</v>
      </c>
      <c r="BW67" s="414"/>
      <c r="BX67" s="134"/>
      <c r="BY67" s="134"/>
      <c r="BZ67" s="134"/>
      <c r="CA67" s="134"/>
      <c r="CB67" s="113" t="str">
        <f t="shared" si="64"/>
        <v>E5690</v>
      </c>
      <c r="CC67" s="373" t="str">
        <f t="shared" si="65"/>
        <v>Voie des monts</v>
      </c>
      <c r="CD67" s="299">
        <f t="shared" si="43"/>
        <v>88.683895317111421</v>
      </c>
      <c r="CE67" s="299">
        <f t="shared" si="7"/>
        <v>88.683895317111421</v>
      </c>
      <c r="CF67" s="299">
        <f t="shared" si="8"/>
        <v>88.683895317111421</v>
      </c>
      <c r="CG67" s="299">
        <f t="shared" si="9"/>
        <v>88.683895317111421</v>
      </c>
      <c r="CH67" s="299">
        <f t="shared" si="10"/>
        <v>88.683895317111421</v>
      </c>
      <c r="CI67" s="299">
        <f t="shared" si="11"/>
        <v>88.683895317111421</v>
      </c>
      <c r="CJ67" s="299">
        <f t="shared" si="12"/>
        <v>88.683895317111421</v>
      </c>
      <c r="CK67" s="299">
        <f t="shared" si="13"/>
        <v>88.683895317111421</v>
      </c>
      <c r="CL67" s="299">
        <f t="shared" si="14"/>
        <v>88.683895317111421</v>
      </c>
      <c r="CM67" s="299">
        <f t="shared" si="15"/>
        <v>88.683895317111421</v>
      </c>
      <c r="CN67" s="299">
        <f t="shared" si="16"/>
        <v>90.72362490940499</v>
      </c>
      <c r="CO67" s="370">
        <f t="shared" si="17"/>
        <v>90.72362490940499</v>
      </c>
      <c r="CP67" s="414"/>
      <c r="CQ67" s="134">
        <f t="shared" si="66"/>
        <v>4.0000000000000001E-3</v>
      </c>
      <c r="CU67" s="113" t="str">
        <f t="shared" si="67"/>
        <v>E5690</v>
      </c>
      <c r="CV67" s="359" t="str">
        <f t="shared" si="68"/>
        <v>Voie des monts</v>
      </c>
      <c r="CW67" s="300">
        <f t="shared" si="69"/>
        <v>285660.28015537729</v>
      </c>
      <c r="CX67" s="298">
        <f t="shared" si="70"/>
        <v>240495.35459860929</v>
      </c>
      <c r="CY67" s="298">
        <f t="shared" si="71"/>
        <v>239482.99810636143</v>
      </c>
      <c r="CZ67" s="298">
        <f t="shared" si="72"/>
        <v>199327.55749500357</v>
      </c>
      <c r="DA67" s="298">
        <f t="shared" si="73"/>
        <v>191033.77106108406</v>
      </c>
      <c r="DB67" s="298">
        <f t="shared" si="74"/>
        <v>160026.57348709222</v>
      </c>
      <c r="DC67" s="298">
        <f t="shared" si="75"/>
        <v>158033.76999038513</v>
      </c>
      <c r="DD67" s="298">
        <f t="shared" si="76"/>
        <v>156329.81124318897</v>
      </c>
      <c r="DE67" s="298">
        <f t="shared" si="77"/>
        <v>182947.56695744049</v>
      </c>
      <c r="DF67" s="298">
        <f t="shared" si="78"/>
        <v>240618.97060449215</v>
      </c>
      <c r="DG67" s="371">
        <f t="shared" si="79"/>
        <v>246591.14605841073</v>
      </c>
      <c r="DH67" s="372">
        <f t="shared" si="80"/>
        <v>285083.55242558609</v>
      </c>
      <c r="DI67" s="67">
        <f t="shared" si="81"/>
        <v>2585631.3521830314</v>
      </c>
      <c r="DJ67" s="364">
        <f>_xll.LVCELL($E$1,Q$2,$C67,$D$2,$C$4,$C$5,$C$6,$C$7,$C$8,$D$3)+_xll.LVCELL($E$2,Q$2,$C67,$D$2,$C$4,$C$5,$C$6,$C$7,$C$8,$D$3)</f>
        <v>2585631.4348856248</v>
      </c>
      <c r="DK67" s="82">
        <f t="shared" si="44"/>
        <v>-8.270259341225028E-2</v>
      </c>
      <c r="DM67" s="518">
        <f t="shared" si="82"/>
        <v>89.095792465798581</v>
      </c>
      <c r="DO67" s="64" t="str">
        <f t="shared" si="83"/>
        <v>E5690</v>
      </c>
      <c r="DP67" s="64" t="str">
        <f t="shared" si="84"/>
        <v>E5690</v>
      </c>
      <c r="DQ67" s="359" t="str">
        <f t="shared" si="85"/>
        <v>Voie des monts</v>
      </c>
      <c r="DR67" s="365">
        <f>_xll.LVCELL($DP$3,DR$3,$DP67,$DQ$2,$DP$4,$DP$5,$DP$6,$DP$7,$DP$8,$DQ$3)/100</f>
        <v>0.96999999999999986</v>
      </c>
      <c r="DS67" s="365">
        <f>_xll.LVCELL($DP$3,DS$3,$DP67,$DQ$2,$DP$4,$DP$5,$DP$6,$DP$7,$DP$8,$DQ$3)/100</f>
        <v>0.97</v>
      </c>
      <c r="DT67" s="365">
        <f>_xll.LVCELL($DP$3,DT$3,$DP67,$DQ$2,$DP$4,$DP$5,$DP$6,$DP$7,$DP$8,$DQ$3)/100</f>
        <v>0.96999999999999986</v>
      </c>
      <c r="DU67" s="365">
        <f>_xll.LVCELL($DP$3,DU$3,$DP67,$DQ$2,$DP$4,$DP$5,$DP$6,$DP$7,$DP$8,$DQ$3)/100</f>
        <v>0.97</v>
      </c>
      <c r="DV67" s="365">
        <f>_xll.LVCELL($DP$3,DV$3,$DP67,$DQ$2,$DP$4,$DP$5,$DP$6,$DP$7,$DP$8,$DQ$3)/100</f>
        <v>0.96999999999999986</v>
      </c>
      <c r="DW67" s="365">
        <f>_xll.LVCELL($DP$3,DW$3,$DP67,$DQ$2,$DP$4,$DP$5,$DP$6,$DP$7,$DP$8,$DQ$3)/100</f>
        <v>0.97</v>
      </c>
      <c r="DX67" s="365">
        <f>_xll.LVCELL($DP$3,DX$3,$DP67,$DQ$2,$DP$4,$DP$5,$DP$6,$DP$7,$DP$8,$DQ$3)/100</f>
        <v>0.96999999999999986</v>
      </c>
      <c r="DY67" s="365">
        <f>_xll.LVCELL($DP$3,DY$3,$DP67,$DQ$2,$DP$4,$DP$5,$DP$6,$DP$7,$DP$8,$DQ$3)/100</f>
        <v>0.96999999999999986</v>
      </c>
      <c r="DZ67" s="365">
        <f>_xll.LVCELL($DP$3,DZ$3,$DP67,$DQ$2,$DP$4,$DP$5,$DP$6,$DP$7,$DP$8,$DQ$3)/100</f>
        <v>0.97</v>
      </c>
      <c r="EA67" s="365">
        <f>_xll.LVCELL($DP$3,EA$3,$DP67,$DQ$2,$DP$4,$DP$5,$DP$6,$DP$7,$DP$8,$DQ$3)/100</f>
        <v>0.96999999999999986</v>
      </c>
      <c r="EB67" s="365">
        <f>_xll.LVCELL($DP$3,EB$3,$DP67,$DQ$2,$DP$4,$DP$5,$DP$6,$DP$7,$DP$8,$DQ$3)/100</f>
        <v>0.97</v>
      </c>
      <c r="EC67" s="365">
        <f>_xll.LVCELL($DP$3,EC$3,$DP67,$DQ$2,$DP$4,$DP$5,$DP$6,$DP$7,$DP$8,$DQ$3)/100</f>
        <v>0.96999999999999986</v>
      </c>
      <c r="ED67" s="582">
        <f t="shared" si="45"/>
        <v>11.64</v>
      </c>
      <c r="EF67" s="64" t="s">
        <v>473</v>
      </c>
      <c r="EG67" s="64" t="s">
        <v>473</v>
      </c>
      <c r="EH67" s="359" t="s">
        <v>558</v>
      </c>
      <c r="EI67" s="366" t="e">
        <f ca="1">_xll.LVCELL($EG$3,EI$3,$DP67,$DQ$2,$DP$4,$DP$5,$DP$6,$DP$7,$DP$8,$DQ$3)-CW67</f>
        <v>#NAME?</v>
      </c>
      <c r="EJ67" s="367" t="e">
        <f ca="1">_xll.LVCELL($EG$3,EJ$3,$DP67,$DQ$2,$DP$4,$DP$5,$DP$6,$DP$7,$DP$8,$DQ$3)-CX67</f>
        <v>#NAME?</v>
      </c>
      <c r="EK67" s="368" t="e">
        <f ca="1">_xll.LVCELL($EG$3,EK$3,$DP67,$DQ$2,$DP$4,$DP$5,$DP$6,$DP$7,$DP$8,$DQ$3)-CY67</f>
        <v>#NAME?</v>
      </c>
      <c r="EL67" s="367" t="e">
        <f ca="1">_xll.LVCELL($EG$3,EL$3,$DP67,$DQ$2,$DP$4,$DP$5,$DP$6,$DP$7,$DP$8,$DQ$3)-CZ67</f>
        <v>#NAME?</v>
      </c>
      <c r="EM67" s="368" t="e">
        <f ca="1">_xll.LVCELL($EG$3,EM$3,$DP67,$DQ$2,$DP$4,$DP$5,$DP$6,$DP$7,$DP$8,$DQ$3)-DA67</f>
        <v>#NAME?</v>
      </c>
      <c r="EN67" s="367" t="e">
        <f ca="1">_xll.LVCELL($EG$3,EN$3,$DP67,$DQ$2,$DP$4,$DP$5,$DP$6,$DP$7,$DP$8,$DQ$3)-DB67</f>
        <v>#NAME?</v>
      </c>
      <c r="EO67" s="368" t="e">
        <f ca="1">_xll.LVCELL($EG$3,EO$3,$DP67,$DQ$2,$DP$4,$DP$5,$DP$6,$DP$7,$DP$8,$DQ$3)-DC67</f>
        <v>#NAME?</v>
      </c>
      <c r="EP67" s="367" t="e">
        <f ca="1">_xll.LVCELL($EG$3,EP$3,$DP67,$DQ$2,$DP$4,$DP$5,$DP$6,$DP$7,$DP$8,$DQ$3)-DD67</f>
        <v>#NAME?</v>
      </c>
      <c r="EQ67" s="368" t="e">
        <f ca="1">_xll.LVCELL($EG$3,EQ$3,$DP67,$DQ$2,$DP$4,$DP$5,$DP$6,$DP$7,$DP$8,$DQ$3)-DE67</f>
        <v>#NAME?</v>
      </c>
      <c r="ER67" s="367" t="e">
        <f ca="1">_xll.LVCELL($EG$3,ER$3,$DP67,$DQ$2,$DP$4,$DP$5,$DP$6,$DP$7,$DP$8,$DQ$3)-DF67</f>
        <v>#NAME?</v>
      </c>
      <c r="ES67" s="368" t="e">
        <f ca="1">_xll.LVCELL($EG$3,ES$3,$DP67,$DQ$2,$DP$4,$DP$5,$DP$6,$DP$7,$DP$8,$DQ$3)-DG67</f>
        <v>#NAME?</v>
      </c>
      <c r="ET67" s="367" t="e">
        <f ca="1">_xll.LVCELL($EG$3,ET$3,$DP67,$DQ$2,$DP$4,$DP$5,$DP$6,$DP$7,$DP$8,$DQ$3)-DH67</f>
        <v>#NAME?</v>
      </c>
      <c r="EW67" s="64" t="s">
        <v>473</v>
      </c>
      <c r="EX67" s="64" t="s">
        <v>473</v>
      </c>
      <c r="EY67" s="359" t="s">
        <v>558</v>
      </c>
      <c r="EZ67" s="364">
        <f>_xll.LVCELL($EX$3,EZ$3,$DP67,$DQ$2,$DP$4,$DP$5,$DP$6,$DP$7,$DP$8,$DQ$3)</f>
        <v>10000</v>
      </c>
      <c r="FA67" s="364">
        <f>_xll.LVCELL($EX$3,FA$3,$DP67,$DQ$2,$DP$4,$DP$5,$DP$6,$DP$7,$DP$8,$DQ$3)</f>
        <v>10000</v>
      </c>
      <c r="FB67" s="364">
        <f>_xll.LVCELL($EX$3,FB$3,$DP67,$DQ$2,$DP$4,$DP$5,$DP$6,$DP$7,$DP$8,$DQ$3)</f>
        <v>10000</v>
      </c>
      <c r="FC67" s="364">
        <f>_xll.LVCELL($EX$3,FC$3,$DP67,$DQ$2,$DP$4,$DP$5,$DP$6,$DP$7,$DP$8,$DQ$3)</f>
        <v>10000</v>
      </c>
      <c r="FD67" s="364">
        <f>_xll.LVCELL($EX$3,FD$3,$DP67,$DQ$2,$DP$4,$DP$5,$DP$6,$DP$7,$DP$8,$DQ$3)</f>
        <v>10000</v>
      </c>
      <c r="FE67" s="364">
        <f>_xll.LVCELL($EX$3,FE$3,$DP67,$DQ$2,$DP$4,$DP$5,$DP$6,$DP$7,$DP$8,$DQ$3)</f>
        <v>10000</v>
      </c>
      <c r="FF67" s="364">
        <f>_xll.LVCELL($EX$3,FF$3,$DP67,$DQ$2,$DP$4,$DP$5,$DP$6,$DP$7,$DP$8,$DQ$3)</f>
        <v>10000</v>
      </c>
      <c r="FG67" s="364">
        <f>_xll.LVCELL($EX$3,FG$3,$DP67,$DQ$2,$DP$4,$DP$5,$DP$6,$DP$7,$DP$8,$DQ$3)</f>
        <v>10000</v>
      </c>
      <c r="FH67" s="364">
        <f>_xll.LVCELL($EX$3,FH$3,$DP67,$DQ$2,$DP$4,$DP$5,$DP$6,$DP$7,$DP$8,$DQ$3)</f>
        <v>10000</v>
      </c>
      <c r="FI67" s="364">
        <f>_xll.LVCELL($EX$3,FI$3,$DP67,$DQ$2,$DP$4,$DP$5,$DP$6,$DP$7,$DP$8,$DQ$3)</f>
        <v>10000</v>
      </c>
      <c r="FJ67" s="364">
        <f>_xll.LVCELL($EX$3,FJ$3,$DP67,$DQ$2,$DP$4,$DP$5,$DP$6,$DP$7,$DP$8,$DQ$3)</f>
        <v>10000</v>
      </c>
      <c r="FK67" s="276">
        <f>_xll.LVCELL($EX$3,FK$3,$DP67,$DQ$2,$DP$4,$DP$5,$DP$6,$DP$7,$DP$8,$DQ$3)</f>
        <v>10000</v>
      </c>
      <c r="FN67" s="64" t="s">
        <v>473</v>
      </c>
      <c r="FO67" s="64" t="s">
        <v>473</v>
      </c>
      <c r="FP67" s="359" t="s">
        <v>558</v>
      </c>
      <c r="FQ67" s="364">
        <f>_xll.LVCELL($FO$3,FQ$3,$DP67,$DQ$2,$DP$4,$DP$5,$DP$6,$DP$7,$DP$8,$DQ$3)</f>
        <v>5</v>
      </c>
      <c r="FR67" s="364">
        <f>_xll.LVCELL($FO$3,FR$3,$DP67,$DQ$2,$DP$4,$DP$5,$DP$6,$DP$7,$DP$8,$DQ$3)</f>
        <v>5</v>
      </c>
      <c r="FS67" s="364">
        <f>_xll.LVCELL($FO$3,FS$3,$DP67,$DQ$2,$DP$4,$DP$5,$DP$6,$DP$7,$DP$8,$DQ$3)</f>
        <v>5</v>
      </c>
      <c r="FT67" s="364">
        <f>_xll.LVCELL($FO$3,FT$3,$DP67,$DQ$2,$DP$4,$DP$5,$DP$6,$DP$7,$DP$8,$DQ$3)</f>
        <v>5</v>
      </c>
      <c r="FU67" s="364">
        <f>_xll.LVCELL($FO$3,FU$3,$DP67,$DQ$2,$DP$4,$DP$5,$DP$6,$DP$7,$DP$8,$DQ$3)</f>
        <v>5</v>
      </c>
      <c r="FV67" s="364">
        <f>_xll.LVCELL($FO$3,FV$3,$DP67,$DQ$2,$DP$4,$DP$5,$DP$6,$DP$7,$DP$8,$DQ$3)</f>
        <v>5</v>
      </c>
      <c r="FW67" s="364">
        <f>_xll.LVCELL($FO$3,FW$3,$DP67,$DQ$2,$DP$4,$DP$5,$DP$6,$DP$7,$DP$8,$DQ$3)</f>
        <v>5</v>
      </c>
      <c r="FX67" s="364">
        <f>_xll.LVCELL($FO$3,FX$3,$DP67,$DQ$2,$DP$4,$DP$5,$DP$6,$DP$7,$DP$8,$DQ$3)</f>
        <v>5</v>
      </c>
      <c r="FY67" s="364">
        <f>_xll.LVCELL($FO$3,FY$3,$DP67,$DQ$2,$DP$4,$DP$5,$DP$6,$DP$7,$DP$8,$DQ$3)</f>
        <v>5</v>
      </c>
      <c r="FZ67" s="364">
        <f>_xll.LVCELL($FO$3,FZ$3,$DP67,$DQ$2,$DP$4,$DP$5,$DP$6,$DP$7,$DP$8,$DQ$3)</f>
        <v>5</v>
      </c>
      <c r="GA67" s="364">
        <f>_xll.LVCELL($FO$3,GA$3,$DP67,$DQ$2,$DP$4,$DP$5,$DP$6,$DP$7,$DP$8,$DQ$3)</f>
        <v>5</v>
      </c>
      <c r="GB67" s="172">
        <f>_xll.LVCELL($FO$3,GB$3,$DP67,$DQ$2,$DP$4,$DP$5,$DP$6,$DP$7,$DP$8,$DQ$3)</f>
        <v>5</v>
      </c>
    </row>
    <row r="68" spans="2:184" ht="15">
      <c r="B68" s="64" t="s">
        <v>467</v>
      </c>
      <c r="C68" s="64" t="s">
        <v>467</v>
      </c>
      <c r="D68" s="359" t="s">
        <v>559</v>
      </c>
      <c r="E68" s="357">
        <v>24.8</v>
      </c>
      <c r="F68" s="103">
        <f>'distribution mensuelle Prod B22'!$BH$36</f>
        <v>3912964.8457532222</v>
      </c>
      <c r="G68" s="103">
        <f>'distribution mensuelle Prod B22'!$BH$37</f>
        <v>3176659.9345946736</v>
      </c>
      <c r="H68" s="103">
        <f>'distribution mensuelle Prod B22'!$BH$38</f>
        <v>3040433.1052771281</v>
      </c>
      <c r="I68" s="103">
        <f>'distribution mensuelle Prod B22'!$BH$39</f>
        <v>2411782.8514618133</v>
      </c>
      <c r="J68" s="103">
        <f>'distribution mensuelle Prod B22'!$BH$40</f>
        <v>2241448.1015461455</v>
      </c>
      <c r="K68" s="103">
        <f>'distribution mensuelle Prod B22'!$BH$41</f>
        <v>1805992.8314241837</v>
      </c>
      <c r="L68" s="103">
        <f>'distribution mensuelle Prod B22'!$BH$42</f>
        <v>1743336.1117724366</v>
      </c>
      <c r="M68" s="103">
        <f>'distribution mensuelle Prod B22'!$BH$43</f>
        <v>1743336.1117724366</v>
      </c>
      <c r="N68" s="103">
        <f>'distribution mensuelle Prod B22'!$BH$44</f>
        <v>2212818.4390061963</v>
      </c>
      <c r="O68" s="103">
        <f>'distribution mensuelle Prod B22'!$BH$45</f>
        <v>3170811.4113252801</v>
      </c>
      <c r="P68" s="103">
        <f>'distribution mensuelle Prod B22'!$BH$46</f>
        <v>3249698.0193643286</v>
      </c>
      <c r="Q68" s="103">
        <f>'distribution mensuelle Prod B22'!$BH$47</f>
        <v>3786765.3315655873</v>
      </c>
      <c r="R68" s="67">
        <f t="shared" si="60"/>
        <v>32496047.094863433</v>
      </c>
      <c r="S68" s="310"/>
      <c r="W68" s="113" t="str">
        <f t="shared" si="61"/>
        <v>E5630</v>
      </c>
      <c r="X68" s="359" t="str">
        <f t="shared" si="62"/>
        <v>Monts de Bagny 1</v>
      </c>
      <c r="Y68" s="299" cm="1">
        <f t="array" ref="Y68">_xll.LVCELL($D$4,F$1,$B68,$D$2,$C$4,$C$5,$C$6,$C$7,$C$8,$D$3)*1000</f>
        <v>87.670004999999989</v>
      </c>
      <c r="Z68" s="299" cm="1">
        <f t="array" ref="Z68">_xll.LVCELL($D$4,G$1,$B68,$D$2,$C$4,$C$5,$C$6,$C$7,$C$8,$D$3)*1000</f>
        <v>87.670001999999997</v>
      </c>
      <c r="AA68" s="299" cm="1">
        <f t="array" ref="AA68">_xll.LVCELL($D$4,H$1,$B68,$D$2,$C$4,$C$5,$C$6,$C$7,$C$8,$D$3)*1000</f>
        <v>87.669994667809746</v>
      </c>
      <c r="AB68" s="299" cm="1">
        <f t="array" ref="AB68">_xll.LVCELL($D$4,I$1,$B68,$D$2,$C$4,$C$5,$C$6,$C$7,$C$8,$D$3)*1000</f>
        <v>87.670009417410739</v>
      </c>
      <c r="AC68" s="299" cm="1">
        <f t="array" ref="AC68">_xll.LVCELL($D$4,J$1,$B68,$D$2,$C$4,$C$5,$C$6,$C$7,$C$8,$D$3)*1000</f>
        <v>87.67000756691688</v>
      </c>
      <c r="AD68" s="299" cm="1">
        <f t="array" ref="AD68">_xll.LVCELL($D$4,K$1,$B68,$D$2,$C$4,$C$5,$C$6,$C$7,$C$8,$D$3)*1000</f>
        <v>87.670008810572682</v>
      </c>
      <c r="AE68" s="299" cm="1">
        <f t="array" ref="AE68">_xll.LVCELL($D$4,L$1,$B68,$D$2,$C$4,$C$5,$C$6,$C$7,$C$8,$D$3)*1000</f>
        <v>87.669999661531662</v>
      </c>
      <c r="AF68" s="299">
        <f>$AD$68</f>
        <v>87.670008810572682</v>
      </c>
      <c r="AG68" s="299">
        <f t="shared" si="53"/>
        <v>87.670008810572682</v>
      </c>
      <c r="AH68" s="299">
        <f t="shared" si="53"/>
        <v>87.670008810572682</v>
      </c>
      <c r="AI68" s="299">
        <f t="shared" si="54"/>
        <v>89.686419013215854</v>
      </c>
      <c r="AJ68" s="412">
        <f t="shared" si="55"/>
        <v>89.686419013215854</v>
      </c>
      <c r="AK68" s="67"/>
      <c r="AL68" s="134">
        <f t="shared" si="63"/>
        <v>2.3E-2</v>
      </c>
      <c r="AM68" s="134"/>
      <c r="AN68" s="134"/>
      <c r="AO68" s="134"/>
      <c r="AP68" s="113" t="str">
        <f t="shared" si="38"/>
        <v>E5630</v>
      </c>
      <c r="AQ68" s="567" t="str">
        <f t="shared" si="39"/>
        <v>Monts de Bagny 1</v>
      </c>
      <c r="AR68" s="377"/>
      <c r="AS68" s="377"/>
      <c r="AT68" s="377"/>
      <c r="AU68" s="377"/>
      <c r="AV68" s="377"/>
      <c r="AW68" s="377"/>
      <c r="AX68" s="377"/>
      <c r="AY68" s="377"/>
      <c r="AZ68" s="377"/>
      <c r="BA68" s="377"/>
      <c r="BB68" s="377"/>
      <c r="BC68" s="378"/>
      <c r="BD68" s="414"/>
      <c r="BE68" s="134"/>
      <c r="BF68" s="134"/>
      <c r="BG68" s="134"/>
      <c r="BH68" s="134"/>
      <c r="BI68" s="113" t="str">
        <f t="shared" si="40"/>
        <v>E5630</v>
      </c>
      <c r="BJ68" s="567" t="str">
        <f t="shared" si="41"/>
        <v>Monts de Bagny 1</v>
      </c>
      <c r="BK68" s="299">
        <f t="shared" si="87"/>
        <v>89.686419013215854</v>
      </c>
      <c r="BL68" s="299">
        <f t="shared" si="91"/>
        <v>89.686419013215854</v>
      </c>
      <c r="BM68" s="299">
        <f t="shared" si="91"/>
        <v>89.686419013215854</v>
      </c>
      <c r="BN68" s="299">
        <f t="shared" si="91"/>
        <v>89.686419013215854</v>
      </c>
      <c r="BO68" s="299">
        <f t="shared" si="91"/>
        <v>89.686419013215854</v>
      </c>
      <c r="BP68" s="299">
        <f t="shared" si="91"/>
        <v>89.686419013215854</v>
      </c>
      <c r="BQ68" s="299">
        <f t="shared" si="91"/>
        <v>89.686419013215854</v>
      </c>
      <c r="BR68" s="299">
        <f t="shared" si="91"/>
        <v>89.686419013215854</v>
      </c>
      <c r="BS68" s="299">
        <f t="shared" si="91"/>
        <v>89.686419013215854</v>
      </c>
      <c r="BT68" s="299">
        <f t="shared" si="91"/>
        <v>89.686419013215854</v>
      </c>
      <c r="BU68" s="299">
        <f t="shared" si="89"/>
        <v>91.749206650519824</v>
      </c>
      <c r="BV68" s="370">
        <f t="shared" si="90"/>
        <v>91.749206650519824</v>
      </c>
      <c r="BW68" s="414"/>
      <c r="BX68" s="134"/>
      <c r="BY68" s="134"/>
      <c r="BZ68" s="134"/>
      <c r="CA68" s="134"/>
      <c r="CB68" s="113" t="str">
        <f t="shared" si="64"/>
        <v>E5630</v>
      </c>
      <c r="CC68" s="373" t="str">
        <f t="shared" si="65"/>
        <v>Monts de Bagny 1</v>
      </c>
      <c r="CD68" s="299">
        <f t="shared" si="43"/>
        <v>89.686419013215854</v>
      </c>
      <c r="CE68" s="299">
        <f t="shared" si="7"/>
        <v>89.686419013215854</v>
      </c>
      <c r="CF68" s="299">
        <f t="shared" si="8"/>
        <v>89.686419013215854</v>
      </c>
      <c r="CG68" s="299">
        <f t="shared" si="9"/>
        <v>89.686419013215854</v>
      </c>
      <c r="CH68" s="299">
        <f t="shared" si="10"/>
        <v>89.686419013215854</v>
      </c>
      <c r="CI68" s="299">
        <f t="shared" si="11"/>
        <v>89.686419013215854</v>
      </c>
      <c r="CJ68" s="299">
        <f t="shared" si="12"/>
        <v>89.686419013215854</v>
      </c>
      <c r="CK68" s="299">
        <f t="shared" si="13"/>
        <v>89.686419013215854</v>
      </c>
      <c r="CL68" s="299">
        <f t="shared" si="14"/>
        <v>89.686419013215854</v>
      </c>
      <c r="CM68" s="299">
        <f t="shared" si="15"/>
        <v>89.686419013215854</v>
      </c>
      <c r="CN68" s="299">
        <f t="shared" si="16"/>
        <v>91.749206650519824</v>
      </c>
      <c r="CO68" s="370">
        <f t="shared" si="17"/>
        <v>91.749206650519824</v>
      </c>
      <c r="CP68" s="414"/>
      <c r="CQ68" s="134">
        <f t="shared" si="66"/>
        <v>4.0000000000000001E-3</v>
      </c>
      <c r="CU68" s="113" t="str">
        <f t="shared" si="67"/>
        <v>E5630</v>
      </c>
      <c r="CV68" s="359" t="str">
        <f t="shared" si="68"/>
        <v>Monts de Bagny 1</v>
      </c>
      <c r="CW68" s="300">
        <f t="shared" si="69"/>
        <v>350939.80474020704</v>
      </c>
      <c r="CX68" s="298">
        <f t="shared" si="70"/>
        <v>284903.25395655277</v>
      </c>
      <c r="CY68" s="298">
        <f t="shared" si="71"/>
        <v>272685.55746153754</v>
      </c>
      <c r="CZ68" s="298">
        <f t="shared" si="72"/>
        <v>216304.1673850927</v>
      </c>
      <c r="DA68" s="298">
        <f t="shared" si="73"/>
        <v>201027.45363164481</v>
      </c>
      <c r="DB68" s="298">
        <f t="shared" si="74"/>
        <v>161973.02981397344</v>
      </c>
      <c r="DC68" s="298">
        <f t="shared" si="75"/>
        <v>156353.57300129326</v>
      </c>
      <c r="DD68" s="298">
        <f t="shared" si="76"/>
        <v>156353.57300129326</v>
      </c>
      <c r="DE68" s="298">
        <f t="shared" si="77"/>
        <v>198459.76172087993</v>
      </c>
      <c r="DF68" s="298">
        <f t="shared" si="78"/>
        <v>284378.72084800538</v>
      </c>
      <c r="DG68" s="371">
        <f t="shared" si="79"/>
        <v>298157.21513044275</v>
      </c>
      <c r="DH68" s="372">
        <f t="shared" si="80"/>
        <v>347432.71494283527</v>
      </c>
      <c r="DI68" s="67">
        <f t="shared" si="81"/>
        <v>2928968.8256337582</v>
      </c>
      <c r="DJ68" s="364">
        <f>_xll.LVCELL($E$1,Q$2,$C68,$D$2,$C$4,$C$5,$C$6,$C$7,$C$8,$D$3)+_xll.LVCELL($E$2,Q$2,$C68,$D$2,$C$4,$C$5,$C$6,$C$7,$C$8,$D$3)</f>
        <v>5910049.5197319239</v>
      </c>
      <c r="DK68" s="82">
        <f t="shared" si="44"/>
        <v>-2981080.6940981657</v>
      </c>
      <c r="DM68" s="518">
        <f t="shared" si="82"/>
        <v>90.133080404623513</v>
      </c>
      <c r="DO68" s="64" t="str">
        <f t="shared" si="83"/>
        <v>E5630</v>
      </c>
      <c r="DP68" s="64" t="str">
        <f t="shared" si="84"/>
        <v>E5630</v>
      </c>
      <c r="DQ68" s="359" t="str">
        <f t="shared" si="85"/>
        <v>Monts de Bagny 1</v>
      </c>
      <c r="DR68" s="365">
        <f>_xll.LVCELL($DP$3,DR$3,$DP68,$DQ$2,$DP$4,$DP$5,$DP$6,$DP$7,$DP$8,$DQ$3)/100</f>
        <v>0.97</v>
      </c>
      <c r="DS68" s="365">
        <f>_xll.LVCELL($DP$3,DS$3,$DP68,$DQ$2,$DP$4,$DP$5,$DP$6,$DP$7,$DP$8,$DQ$3)/100</f>
        <v>0.97</v>
      </c>
      <c r="DT68" s="365">
        <f>_xll.LVCELL($DP$3,DT$3,$DP68,$DQ$2,$DP$4,$DP$5,$DP$6,$DP$7,$DP$8,$DQ$3)/100</f>
        <v>0.97</v>
      </c>
      <c r="DU68" s="365">
        <f>_xll.LVCELL($DP$3,DU$3,$DP68,$DQ$2,$DP$4,$DP$5,$DP$6,$DP$7,$DP$8,$DQ$3)/100</f>
        <v>0.97</v>
      </c>
      <c r="DV68" s="365">
        <f>_xll.LVCELL($DP$3,DV$3,$DP68,$DQ$2,$DP$4,$DP$5,$DP$6,$DP$7,$DP$8,$DQ$3)/100</f>
        <v>0.97</v>
      </c>
      <c r="DW68" s="365">
        <f>_xll.LVCELL($DP$3,DW$3,$DP68,$DQ$2,$DP$4,$DP$5,$DP$6,$DP$7,$DP$8,$DQ$3)/100</f>
        <v>0.97</v>
      </c>
      <c r="DX68" s="365">
        <f>_xll.LVCELL($DP$3,DX$3,$DP68,$DQ$2,$DP$4,$DP$5,$DP$6,$DP$7,$DP$8,$DQ$3)/100</f>
        <v>0.97</v>
      </c>
      <c r="DY68" s="365">
        <f>_xll.LVCELL($DP$3,DY$3,$DP68,$DQ$2,$DP$4,$DP$5,$DP$6,$DP$7,$DP$8,$DQ$3)/100</f>
        <v>0.97</v>
      </c>
      <c r="DZ68" s="365">
        <f>_xll.LVCELL($DP$3,DZ$3,$DP68,$DQ$2,$DP$4,$DP$5,$DP$6,$DP$7,$DP$8,$DQ$3)/100</f>
        <v>0.97</v>
      </c>
      <c r="EA68" s="365">
        <f>_xll.LVCELL($DP$3,EA$3,$DP68,$DQ$2,$DP$4,$DP$5,$DP$6,$DP$7,$DP$8,$DQ$3)/100</f>
        <v>0.97</v>
      </c>
      <c r="EB68" s="365">
        <f>_xll.LVCELL($DP$3,EB$3,$DP68,$DQ$2,$DP$4,$DP$5,$DP$6,$DP$7,$DP$8,$DQ$3)/100</f>
        <v>0.97</v>
      </c>
      <c r="EC68" s="365">
        <f>_xll.LVCELL($DP$3,EC$3,$DP68,$DQ$2,$DP$4,$DP$5,$DP$6,$DP$7,$DP$8,$DQ$3)/100</f>
        <v>0.97</v>
      </c>
      <c r="ED68" s="582">
        <f t="shared" si="45"/>
        <v>11.64</v>
      </c>
      <c r="EF68" s="64" t="s">
        <v>467</v>
      </c>
      <c r="EG68" s="64" t="s">
        <v>467</v>
      </c>
      <c r="EH68" s="359" t="s">
        <v>2645</v>
      </c>
      <c r="EI68" s="366" t="e">
        <f ca="1">_xll.LVCELL($EG$3,EI$3,$DP68,$DQ$2,$DP$4,$DP$5,$DP$6,$DP$7,$DP$8,$DQ$3)-CW68-CW69</f>
        <v>#NAME?</v>
      </c>
      <c r="EJ68" s="367" t="e">
        <f ca="1">_xll.LVCELL($EG$3,EJ$3,$DP68,$DQ$2,$DP$4,$DP$5,$DP$6,$DP$7,$DP$8,$DQ$3)-CX68-CX69</f>
        <v>#NAME?</v>
      </c>
      <c r="EK68" s="368" t="e">
        <f ca="1">_xll.LVCELL($EG$3,EK$3,$DP68,$DQ$2,$DP$4,$DP$5,$DP$6,$DP$7,$DP$8,$DQ$3)-CY68-CY69</f>
        <v>#NAME?</v>
      </c>
      <c r="EL68" s="367" t="e">
        <f ca="1">_xll.LVCELL($EG$3,EL$3,$DP68,$DQ$2,$DP$4,$DP$5,$DP$6,$DP$7,$DP$8,$DQ$3)-CZ68-CZ69</f>
        <v>#NAME?</v>
      </c>
      <c r="EM68" s="368" t="e">
        <f ca="1">_xll.LVCELL($EG$3,EM$3,$DP68,$DQ$2,$DP$4,$DP$5,$DP$6,$DP$7,$DP$8,$DQ$3)-DA68-DA69</f>
        <v>#NAME?</v>
      </c>
      <c r="EN68" s="367" t="e">
        <f ca="1">_xll.LVCELL($EG$3,EN$3,$DP68,$DQ$2,$DP$4,$DP$5,$DP$6,$DP$7,$DP$8,$DQ$3)-DB68-DB69</f>
        <v>#NAME?</v>
      </c>
      <c r="EO68" s="368" t="e">
        <f ca="1">_xll.LVCELL($EG$3,EO$3,$DP68,$DQ$2,$DP$4,$DP$5,$DP$6,$DP$7,$DP$8,$DQ$3)-DC68-DC69</f>
        <v>#NAME?</v>
      </c>
      <c r="EP68" s="367" t="e">
        <f ca="1">_xll.LVCELL($EG$3,EP$3,$DP68,$DQ$2,$DP$4,$DP$5,$DP$6,$DP$7,$DP$8,$DQ$3)-DD68-DD69</f>
        <v>#NAME?</v>
      </c>
      <c r="EQ68" s="368" t="e">
        <f ca="1">_xll.LVCELL($EG$3,EQ$3,$DP68,$DQ$2,$DP$4,$DP$5,$DP$6,$DP$7,$DP$8,$DQ$3)-DE68-DE69</f>
        <v>#NAME?</v>
      </c>
      <c r="ER68" s="367" t="e">
        <f ca="1">_xll.LVCELL($EG$3,ER$3,$DP68,$DQ$2,$DP$4,$DP$5,$DP$6,$DP$7,$DP$8,$DQ$3)-DF68-DF69</f>
        <v>#NAME?</v>
      </c>
      <c r="ES68" s="368" t="e">
        <f ca="1">_xll.LVCELL($EG$3,ES$3,$DP68,$DQ$2,$DP$4,$DP$5,$DP$6,$DP$7,$DP$8,$DQ$3)-DG68-DG69</f>
        <v>#NAME?</v>
      </c>
      <c r="ET68" s="367" t="e">
        <f ca="1">_xll.LVCELL($EG$3,ET$3,$DP68,$DQ$2,$DP$4,$DP$5,$DP$6,$DP$7,$DP$8,$DQ$3)-DH68-DH69</f>
        <v>#NAME?</v>
      </c>
      <c r="EW68" s="64" t="s">
        <v>467</v>
      </c>
      <c r="EX68" s="64" t="s">
        <v>467</v>
      </c>
      <c r="EY68" s="359" t="s">
        <v>2645</v>
      </c>
      <c r="EZ68" s="364">
        <f>_xll.LVCELL($EX$3,EZ$3,$DP68,$DQ$2,$DP$4,$DP$5,$DP$6,$DP$7,$DP$8,$DQ$3)</f>
        <v>25600</v>
      </c>
      <c r="FA68" s="364">
        <f>_xll.LVCELL($EX$3,FA$3,$DP68,$DQ$2,$DP$4,$DP$5,$DP$6,$DP$7,$DP$8,$DQ$3)</f>
        <v>25600</v>
      </c>
      <c r="FB68" s="364">
        <f>_xll.LVCELL($EX$3,FB$3,$DP68,$DQ$2,$DP$4,$DP$5,$DP$6,$DP$7,$DP$8,$DQ$3)</f>
        <v>25600</v>
      </c>
      <c r="FC68" s="364">
        <f>_xll.LVCELL($EX$3,FC$3,$DP68,$DQ$2,$DP$4,$DP$5,$DP$6,$DP$7,$DP$8,$DQ$3)</f>
        <v>25600</v>
      </c>
      <c r="FD68" s="364">
        <f>_xll.LVCELL($EX$3,FD$3,$DP68,$DQ$2,$DP$4,$DP$5,$DP$6,$DP$7,$DP$8,$DQ$3)</f>
        <v>25600</v>
      </c>
      <c r="FE68" s="364">
        <f>_xll.LVCELL($EX$3,FE$3,$DP68,$DQ$2,$DP$4,$DP$5,$DP$6,$DP$7,$DP$8,$DQ$3)</f>
        <v>25600</v>
      </c>
      <c r="FF68" s="364">
        <f>_xll.LVCELL($EX$3,FF$3,$DP68,$DQ$2,$DP$4,$DP$5,$DP$6,$DP$7,$DP$8,$DQ$3)</f>
        <v>25600</v>
      </c>
      <c r="FG68" s="364">
        <f>_xll.LVCELL($EX$3,FG$3,$DP68,$DQ$2,$DP$4,$DP$5,$DP$6,$DP$7,$DP$8,$DQ$3)</f>
        <v>25600</v>
      </c>
      <c r="FH68" s="364">
        <f>_xll.LVCELL($EX$3,FH$3,$DP68,$DQ$2,$DP$4,$DP$5,$DP$6,$DP$7,$DP$8,$DQ$3)</f>
        <v>25600</v>
      </c>
      <c r="FI68" s="364">
        <f>_xll.LVCELL($EX$3,FI$3,$DP68,$DQ$2,$DP$4,$DP$5,$DP$6,$DP$7,$DP$8,$DQ$3)</f>
        <v>25600</v>
      </c>
      <c r="FJ68" s="364">
        <f>_xll.LVCELL($EX$3,FJ$3,$DP68,$DQ$2,$DP$4,$DP$5,$DP$6,$DP$7,$DP$8,$DQ$3)</f>
        <v>25600</v>
      </c>
      <c r="FK68" s="276">
        <f>_xll.LVCELL($EX$3,FK$3,$DP68,$DQ$2,$DP$4,$DP$5,$DP$6,$DP$7,$DP$8,$DQ$3)</f>
        <v>25600</v>
      </c>
      <c r="FL68" s="187" t="s">
        <v>3089</v>
      </c>
      <c r="FN68" s="64" t="s">
        <v>467</v>
      </c>
      <c r="FO68" s="64" t="s">
        <v>467</v>
      </c>
      <c r="FP68" s="359" t="s">
        <v>2645</v>
      </c>
      <c r="FQ68" s="364">
        <f>_xll.LVCELL($FO$3,FQ$3,$DP68,$DQ$2,$DP$4,$DP$5,$DP$6,$DP$7,$DP$8,$DQ$3)</f>
        <v>8</v>
      </c>
      <c r="FR68" s="364">
        <f>_xll.LVCELL($FO$3,FR$3,$DP68,$DQ$2,$DP$4,$DP$5,$DP$6,$DP$7,$DP$8,$DQ$3)</f>
        <v>8</v>
      </c>
      <c r="FS68" s="364">
        <f>_xll.LVCELL($FO$3,FS$3,$DP68,$DQ$2,$DP$4,$DP$5,$DP$6,$DP$7,$DP$8,$DQ$3)</f>
        <v>8</v>
      </c>
      <c r="FT68" s="364">
        <f>_xll.LVCELL($FO$3,FT$3,$DP68,$DQ$2,$DP$4,$DP$5,$DP$6,$DP$7,$DP$8,$DQ$3)</f>
        <v>8</v>
      </c>
      <c r="FU68" s="364">
        <f>_xll.LVCELL($FO$3,FU$3,$DP68,$DQ$2,$DP$4,$DP$5,$DP$6,$DP$7,$DP$8,$DQ$3)</f>
        <v>8</v>
      </c>
      <c r="FV68" s="364">
        <f>_xll.LVCELL($FO$3,FV$3,$DP68,$DQ$2,$DP$4,$DP$5,$DP$6,$DP$7,$DP$8,$DQ$3)</f>
        <v>8</v>
      </c>
      <c r="FW68" s="364">
        <f>_xll.LVCELL($FO$3,FW$3,$DP68,$DQ$2,$DP$4,$DP$5,$DP$6,$DP$7,$DP$8,$DQ$3)</f>
        <v>8</v>
      </c>
      <c r="FX68" s="364">
        <f>_xll.LVCELL($FO$3,FX$3,$DP68,$DQ$2,$DP$4,$DP$5,$DP$6,$DP$7,$DP$8,$DQ$3)</f>
        <v>8</v>
      </c>
      <c r="FY68" s="364">
        <f>_xll.LVCELL($FO$3,FY$3,$DP68,$DQ$2,$DP$4,$DP$5,$DP$6,$DP$7,$DP$8,$DQ$3)</f>
        <v>8</v>
      </c>
      <c r="FZ68" s="364">
        <f>_xll.LVCELL($FO$3,FZ$3,$DP68,$DQ$2,$DP$4,$DP$5,$DP$6,$DP$7,$DP$8,$DQ$3)</f>
        <v>8</v>
      </c>
      <c r="GA68" s="364">
        <f>_xll.LVCELL($FO$3,GA$3,$DP68,$DQ$2,$DP$4,$DP$5,$DP$6,$DP$7,$DP$8,$DQ$3)</f>
        <v>8</v>
      </c>
      <c r="GB68" s="172">
        <f>_xll.LVCELL($FO$3,GB$3,$DP68,$DQ$2,$DP$4,$DP$5,$DP$6,$DP$7,$DP$8,$DQ$3)</f>
        <v>8</v>
      </c>
    </row>
    <row r="69" spans="2:184" ht="15">
      <c r="B69" s="64" t="s">
        <v>467</v>
      </c>
      <c r="C69" s="64" t="s">
        <v>467</v>
      </c>
      <c r="D69" s="359" t="s">
        <v>560</v>
      </c>
      <c r="E69" s="357"/>
      <c r="F69" s="103">
        <f>'distribution mensuelle Prod B22'!$BI$36</f>
        <v>3982583.9340203381</v>
      </c>
      <c r="G69" s="103">
        <f>'distribution mensuelle Prod B22'!$BI$37</f>
        <v>3233178.7578141517</v>
      </c>
      <c r="H69" s="103">
        <f>'distribution mensuelle Prod B22'!$BI$38</f>
        <v>3094528.1940577696</v>
      </c>
      <c r="I69" s="103">
        <f>'distribution mensuelle Prod B22'!$BI$39</f>
        <v>2454693.0563411815</v>
      </c>
      <c r="J69" s="103">
        <f>'distribution mensuelle Prod B22'!$BI$40</f>
        <v>2281327.7271954943</v>
      </c>
      <c r="K69" s="103">
        <f>'distribution mensuelle Prod B22'!$BI$41</f>
        <v>1838124.879448371</v>
      </c>
      <c r="L69" s="103">
        <f>'distribution mensuelle Prod B22'!$BI$42</f>
        <v>1774353.377561691</v>
      </c>
      <c r="M69" s="103">
        <f>'distribution mensuelle Prod B22'!$BI$43</f>
        <v>1774353.377561691</v>
      </c>
      <c r="N69" s="103">
        <f>'distribution mensuelle Prod B22'!$BI$44</f>
        <v>2252188.6884965468</v>
      </c>
      <c r="O69" s="103">
        <f>'distribution mensuelle Prod B22'!$BI$45</f>
        <v>3227226.1781901075</v>
      </c>
      <c r="P69" s="103">
        <f>'distribution mensuelle Prod B22'!$BI$46</f>
        <v>3307516.3290527323</v>
      </c>
      <c r="Q69" s="103">
        <f>'distribution mensuelle Prod B22'!$BI$47</f>
        <v>3854139.0904050618</v>
      </c>
      <c r="R69" s="67">
        <f t="shared" si="60"/>
        <v>33074213.590145137</v>
      </c>
      <c r="S69" s="310"/>
      <c r="T69" s="16"/>
      <c r="W69" s="113" t="str">
        <f t="shared" si="61"/>
        <v>E5630</v>
      </c>
      <c r="X69" s="359" t="str">
        <f t="shared" si="62"/>
        <v>Monts de Bagny 2</v>
      </c>
      <c r="Y69" s="299" cm="1">
        <f t="array" ref="Y69">_xll.LVCELL($D$4,F$1,$B69,$D$2,$C$4,$C$5,$C$6,$C$7,$C$8,$D$3)*1000</f>
        <v>87.670004999999989</v>
      </c>
      <c r="Z69" s="299" cm="1">
        <f t="array" ref="Z69">_xll.LVCELL($D$4,G$1,$B69,$D$2,$C$4,$C$5,$C$6,$C$7,$C$8,$D$3)*1000</f>
        <v>87.670001999999997</v>
      </c>
      <c r="AA69" s="299" cm="1">
        <f t="array" ref="AA69">_xll.LVCELL($D$4,H$1,$B69,$D$2,$C$4,$C$5,$C$6,$C$7,$C$8,$D$3)*1000</f>
        <v>87.669994667809746</v>
      </c>
      <c r="AB69" s="299" cm="1">
        <f t="array" ref="AB69">_xll.LVCELL($D$4,I$1,$B69,$D$2,$C$4,$C$5,$C$6,$C$7,$C$8,$D$3)*1000</f>
        <v>87.670009417410739</v>
      </c>
      <c r="AC69" s="299" cm="1">
        <f t="array" ref="AC69">_xll.LVCELL($D$4,J$1,$B69,$D$2,$C$4,$C$5,$C$6,$C$7,$C$8,$D$3)*1000</f>
        <v>87.67000756691688</v>
      </c>
      <c r="AD69" s="299" cm="1">
        <f t="array" ref="AD69">_xll.LVCELL($D$4,K$1,$B69,$D$2,$C$4,$C$5,$C$6,$C$7,$C$8,$D$3)*1000</f>
        <v>87.670008810572682</v>
      </c>
      <c r="AE69" s="299" cm="1">
        <f t="array" ref="AE69">_xll.LVCELL($D$4,L$1,$B69,$D$2,$C$4,$C$5,$C$6,$C$7,$C$8,$D$3)*1000</f>
        <v>87.669999661531662</v>
      </c>
      <c r="AF69" s="299">
        <f>$AD$69</f>
        <v>87.670008810572682</v>
      </c>
      <c r="AG69" s="299">
        <f t="shared" si="53"/>
        <v>87.670008810572682</v>
      </c>
      <c r="AH69" s="299">
        <f t="shared" si="53"/>
        <v>87.670008810572682</v>
      </c>
      <c r="AI69" s="299">
        <f t="shared" si="54"/>
        <v>89.686419013215854</v>
      </c>
      <c r="AJ69" s="412">
        <f t="shared" si="55"/>
        <v>89.686419013215854</v>
      </c>
      <c r="AK69" s="67"/>
      <c r="AL69" s="134">
        <f t="shared" si="63"/>
        <v>2.3E-2</v>
      </c>
      <c r="AM69" s="134"/>
      <c r="AN69" s="134"/>
      <c r="AO69" s="134"/>
      <c r="AP69" s="113" t="str">
        <f t="shared" si="38"/>
        <v>E5630</v>
      </c>
      <c r="AQ69" s="567" t="str">
        <f t="shared" si="39"/>
        <v>Monts de Bagny 2</v>
      </c>
      <c r="AR69" s="377"/>
      <c r="AS69" s="377"/>
      <c r="AT69" s="377"/>
      <c r="AU69" s="377"/>
      <c r="AV69" s="377"/>
      <c r="AW69" s="377"/>
      <c r="AX69" s="377"/>
      <c r="AY69" s="377"/>
      <c r="AZ69" s="377"/>
      <c r="BA69" s="377"/>
      <c r="BB69" s="377"/>
      <c r="BC69" s="378"/>
      <c r="BD69" s="414"/>
      <c r="BE69" s="134"/>
      <c r="BF69" s="134"/>
      <c r="BG69" s="134"/>
      <c r="BH69" s="134"/>
      <c r="BI69" s="113" t="str">
        <f t="shared" si="40"/>
        <v>E5630</v>
      </c>
      <c r="BJ69" s="567" t="str">
        <f t="shared" si="41"/>
        <v>Monts de Bagny 2</v>
      </c>
      <c r="BK69" s="299">
        <f t="shared" si="87"/>
        <v>89.686419013215854</v>
      </c>
      <c r="BL69" s="299">
        <f t="shared" si="91"/>
        <v>89.686419013215854</v>
      </c>
      <c r="BM69" s="299">
        <f t="shared" si="91"/>
        <v>89.686419013215854</v>
      </c>
      <c r="BN69" s="299">
        <f t="shared" si="91"/>
        <v>89.686419013215854</v>
      </c>
      <c r="BO69" s="299">
        <f t="shared" si="91"/>
        <v>89.686419013215854</v>
      </c>
      <c r="BP69" s="299">
        <f t="shared" si="91"/>
        <v>89.686419013215854</v>
      </c>
      <c r="BQ69" s="299">
        <f t="shared" si="91"/>
        <v>89.686419013215854</v>
      </c>
      <c r="BR69" s="299">
        <f t="shared" si="91"/>
        <v>89.686419013215854</v>
      </c>
      <c r="BS69" s="299">
        <f t="shared" si="91"/>
        <v>89.686419013215854</v>
      </c>
      <c r="BT69" s="299">
        <f t="shared" si="91"/>
        <v>89.686419013215854</v>
      </c>
      <c r="BU69" s="299">
        <f t="shared" si="89"/>
        <v>91.749206650519824</v>
      </c>
      <c r="BV69" s="370">
        <f t="shared" si="90"/>
        <v>91.749206650519824</v>
      </c>
      <c r="BW69" s="414"/>
      <c r="BX69" s="134"/>
      <c r="BY69" s="134"/>
      <c r="BZ69" s="134"/>
      <c r="CA69" s="134"/>
      <c r="CB69" s="113" t="str">
        <f t="shared" si="64"/>
        <v>E5630</v>
      </c>
      <c r="CC69" s="373" t="str">
        <f t="shared" si="65"/>
        <v>Monts de Bagny 2</v>
      </c>
      <c r="CD69" s="299">
        <f t="shared" si="43"/>
        <v>89.686419013215854</v>
      </c>
      <c r="CE69" s="299">
        <f t="shared" si="7"/>
        <v>89.686419013215854</v>
      </c>
      <c r="CF69" s="299">
        <f t="shared" si="8"/>
        <v>89.686419013215854</v>
      </c>
      <c r="CG69" s="299">
        <f t="shared" si="9"/>
        <v>89.686419013215854</v>
      </c>
      <c r="CH69" s="299">
        <f t="shared" si="10"/>
        <v>89.686419013215854</v>
      </c>
      <c r="CI69" s="299">
        <f t="shared" si="11"/>
        <v>89.686419013215854</v>
      </c>
      <c r="CJ69" s="299">
        <f t="shared" si="12"/>
        <v>89.686419013215854</v>
      </c>
      <c r="CK69" s="299">
        <f t="shared" si="13"/>
        <v>89.686419013215854</v>
      </c>
      <c r="CL69" s="299">
        <f t="shared" si="14"/>
        <v>89.686419013215854</v>
      </c>
      <c r="CM69" s="299">
        <f t="shared" si="15"/>
        <v>89.686419013215854</v>
      </c>
      <c r="CN69" s="299">
        <f t="shared" si="16"/>
        <v>91.749206650519824</v>
      </c>
      <c r="CO69" s="370">
        <f t="shared" si="17"/>
        <v>91.749206650519824</v>
      </c>
      <c r="CP69" s="414"/>
      <c r="CQ69" s="134">
        <f t="shared" si="66"/>
        <v>4.0000000000000001E-3</v>
      </c>
      <c r="CU69" s="113" t="str">
        <f t="shared" si="67"/>
        <v>E5630</v>
      </c>
      <c r="CV69" s="359" t="str">
        <f t="shared" si="68"/>
        <v>Monts de Bagny 2</v>
      </c>
      <c r="CW69" s="300">
        <f t="shared" si="69"/>
        <v>357183.69146184961</v>
      </c>
      <c r="CX69" s="298">
        <f t="shared" si="70"/>
        <v>289972.22481794871</v>
      </c>
      <c r="CY69" s="298">
        <f t="shared" si="71"/>
        <v>277537.15226047527</v>
      </c>
      <c r="CZ69" s="298">
        <f t="shared" si="72"/>
        <v>220152.62999984666</v>
      </c>
      <c r="DA69" s="298">
        <f t="shared" si="73"/>
        <v>204604.11444772247</v>
      </c>
      <c r="DB69" s="298">
        <f t="shared" si="74"/>
        <v>164854.83813682347</v>
      </c>
      <c r="DC69" s="298">
        <f t="shared" si="75"/>
        <v>159135.4004975126</v>
      </c>
      <c r="DD69" s="298">
        <f t="shared" si="76"/>
        <v>159135.4004975126</v>
      </c>
      <c r="DE69" s="298">
        <f t="shared" si="77"/>
        <v>201990.73841332635</v>
      </c>
      <c r="DF69" s="298">
        <f t="shared" si="78"/>
        <v>289438.35926757718</v>
      </c>
      <c r="DG69" s="371">
        <f t="shared" si="79"/>
        <v>303461.99917422782</v>
      </c>
      <c r="DH69" s="372">
        <f t="shared" si="80"/>
        <v>353614.20386542048</v>
      </c>
      <c r="DI69" s="67">
        <f t="shared" si="81"/>
        <v>2981080.7528402437</v>
      </c>
      <c r="DJ69" s="364"/>
      <c r="DK69" s="82">
        <f t="shared" si="44"/>
        <v>2981080.7528402437</v>
      </c>
      <c r="DM69" s="518">
        <f t="shared" si="82"/>
        <v>90.133080404623513</v>
      </c>
      <c r="DO69" s="64" t="str">
        <f t="shared" si="83"/>
        <v>E5630</v>
      </c>
      <c r="DP69" s="64" t="str">
        <f t="shared" si="84"/>
        <v>E5630</v>
      </c>
      <c r="DQ69" s="359" t="str">
        <f t="shared" si="85"/>
        <v>Monts de Bagny 2</v>
      </c>
      <c r="DR69" s="365">
        <f>_xll.LVCELL($DP$3,DR$3,$DP69,$DQ$2,$DP$4,$DP$5,$DP$6,$DP$7,$DP$8,$DQ$3)/100</f>
        <v>0.97</v>
      </c>
      <c r="DS69" s="365">
        <f>_xll.LVCELL($DP$3,DS$3,$DP69,$DQ$2,$DP$4,$DP$5,$DP$6,$DP$7,$DP$8,$DQ$3)/100</f>
        <v>0.97</v>
      </c>
      <c r="DT69" s="365">
        <f>_xll.LVCELL($DP$3,DT$3,$DP69,$DQ$2,$DP$4,$DP$5,$DP$6,$DP$7,$DP$8,$DQ$3)/100</f>
        <v>0.97</v>
      </c>
      <c r="DU69" s="365">
        <f>_xll.LVCELL($DP$3,DU$3,$DP69,$DQ$2,$DP$4,$DP$5,$DP$6,$DP$7,$DP$8,$DQ$3)/100</f>
        <v>0.97</v>
      </c>
      <c r="DV69" s="365">
        <f>_xll.LVCELL($DP$3,DV$3,$DP69,$DQ$2,$DP$4,$DP$5,$DP$6,$DP$7,$DP$8,$DQ$3)/100</f>
        <v>0.97</v>
      </c>
      <c r="DW69" s="365">
        <f>_xll.LVCELL($DP$3,DW$3,$DP69,$DQ$2,$DP$4,$DP$5,$DP$6,$DP$7,$DP$8,$DQ$3)/100</f>
        <v>0.97</v>
      </c>
      <c r="DX69" s="365">
        <f>_xll.LVCELL($DP$3,DX$3,$DP69,$DQ$2,$DP$4,$DP$5,$DP$6,$DP$7,$DP$8,$DQ$3)/100</f>
        <v>0.97</v>
      </c>
      <c r="DY69" s="365">
        <f>_xll.LVCELL($DP$3,DY$3,$DP69,$DQ$2,$DP$4,$DP$5,$DP$6,$DP$7,$DP$8,$DQ$3)/100</f>
        <v>0.97</v>
      </c>
      <c r="DZ69" s="365">
        <f>_xll.LVCELL($DP$3,DZ$3,$DP69,$DQ$2,$DP$4,$DP$5,$DP$6,$DP$7,$DP$8,$DQ$3)/100</f>
        <v>0.97</v>
      </c>
      <c r="EA69" s="365">
        <f>_xll.LVCELL($DP$3,EA$3,$DP69,$DQ$2,$DP$4,$DP$5,$DP$6,$DP$7,$DP$8,$DQ$3)/100</f>
        <v>0.97</v>
      </c>
      <c r="EB69" s="365">
        <f>_xll.LVCELL($DP$3,EB$3,$DP69,$DQ$2,$DP$4,$DP$5,$DP$6,$DP$7,$DP$8,$DQ$3)/100</f>
        <v>0.97</v>
      </c>
      <c r="EC69" s="365">
        <f>_xll.LVCELL($DP$3,EC$3,$DP69,$DQ$2,$DP$4,$DP$5,$DP$6,$DP$7,$DP$8,$DQ$3)/100</f>
        <v>0.97</v>
      </c>
      <c r="ED69" s="582">
        <f t="shared" si="45"/>
        <v>11.64</v>
      </c>
      <c r="EF69" s="64" t="s">
        <v>467</v>
      </c>
      <c r="EH69" s="359"/>
      <c r="EI69" s="366"/>
      <c r="EJ69" s="367"/>
      <c r="EK69" s="368"/>
      <c r="EL69" s="367"/>
      <c r="EM69" s="368"/>
      <c r="EN69" s="367"/>
      <c r="EO69" s="368"/>
      <c r="EP69" s="367"/>
      <c r="EQ69" s="368"/>
      <c r="ER69" s="367"/>
      <c r="ES69" s="368"/>
      <c r="ET69" s="367"/>
      <c r="EY69" s="359"/>
      <c r="EZ69" s="364"/>
      <c r="FA69" s="364"/>
      <c r="FB69" s="364"/>
      <c r="FC69" s="364"/>
      <c r="FD69" s="364"/>
      <c r="FE69" s="364"/>
      <c r="FF69" s="364"/>
      <c r="FG69" s="364"/>
      <c r="FH69" s="364"/>
      <c r="FI69" s="364"/>
      <c r="FJ69" s="364"/>
      <c r="FK69" s="364"/>
      <c r="FP69" s="359"/>
      <c r="FQ69" s="364"/>
      <c r="FR69" s="364"/>
      <c r="FS69" s="364"/>
      <c r="FT69" s="364"/>
      <c r="FU69" s="364"/>
      <c r="FV69" s="364"/>
      <c r="FW69" s="364"/>
      <c r="FX69" s="364"/>
      <c r="FY69" s="364"/>
      <c r="FZ69" s="364"/>
      <c r="GA69" s="364"/>
      <c r="GB69" s="172"/>
    </row>
    <row r="70" spans="2:184" ht="15">
      <c r="B70" s="64" t="s">
        <v>470</v>
      </c>
      <c r="C70" s="64" t="s">
        <v>470</v>
      </c>
      <c r="D70" s="359" t="s">
        <v>561</v>
      </c>
      <c r="E70" s="357">
        <f>_xll.LVCELL($C$3,Q$3,$C70,$D$2,$C$4,$C$5,$C$6,$C$7,$C$8,$D$3)/1000</f>
        <v>23.55</v>
      </c>
      <c r="F70" s="103">
        <f>'distribution mensuelle Prod B22'!$BJ$36</f>
        <v>3958719.9812285132</v>
      </c>
      <c r="G70" s="103">
        <f>'distribution mensuelle Prod B22'!$BJ$37</f>
        <v>3268532.3776633642</v>
      </c>
      <c r="H70" s="103">
        <f>'distribution mensuelle Prod B22'!$BJ$38</f>
        <v>3157407.830446816</v>
      </c>
      <c r="I70" s="103">
        <f>'distribution mensuelle Prod B22'!$BJ$39</f>
        <v>2552381.994336525</v>
      </c>
      <c r="J70" s="103">
        <f>'distribution mensuelle Prod B22'!$BJ$40</f>
        <v>2461970.4072797145</v>
      </c>
      <c r="K70" s="103">
        <f>'distribution mensuelle Prod B22'!$BJ$41</f>
        <v>2103946.614669757</v>
      </c>
      <c r="L70" s="103">
        <f>'distribution mensuelle Prod B22'!$BJ$42</f>
        <v>2100110.8930353099</v>
      </c>
      <c r="M70" s="103">
        <f>'distribution mensuelle Prod B22'!$BJ$43</f>
        <v>2082706.8282219514</v>
      </c>
      <c r="N70" s="103">
        <f>'distribution mensuelle Prod B22'!$BJ$44</f>
        <v>2401499.9808336208</v>
      </c>
      <c r="O70" s="103">
        <f>'distribution mensuelle Prod B22'!$BJ$45</f>
        <v>3219047.2266607927</v>
      </c>
      <c r="P70" s="103">
        <f>'distribution mensuelle Prod B22'!$BJ$46</f>
        <v>3298370.7401671568</v>
      </c>
      <c r="Q70" s="103">
        <f>'distribution mensuelle Prod B22'!$BJ$47</f>
        <v>3849219.4067778024</v>
      </c>
      <c r="R70" s="67">
        <f t="shared" si="60"/>
        <v>34453914.281321324</v>
      </c>
      <c r="S70" s="358"/>
      <c r="W70" s="113" t="str">
        <f t="shared" si="61"/>
        <v>E5640</v>
      </c>
      <c r="X70" s="359" t="str">
        <f t="shared" si="62"/>
        <v>Artois 1</v>
      </c>
      <c r="Y70" s="299" cm="1">
        <f t="array" ref="Y70">_xll.LVCELL($D$4,F$1,$B70,$D$2,$C$4,$C$5,$C$6,$C$7,$C$8,$D$3)*1000</f>
        <v>86.760005000000007</v>
      </c>
      <c r="Z70" s="299" cm="1">
        <f t="array" ref="Z70">_xll.LVCELL($D$4,G$1,$B70,$D$2,$C$4,$C$5,$C$6,$C$7,$C$8,$D$3)*1000</f>
        <v>86.759990000000002</v>
      </c>
      <c r="AA70" s="299" cm="1">
        <f t="array" ref="AA70">_xll.LVCELL($D$4,H$1,$B70,$D$2,$C$4,$C$5,$C$6,$C$7,$C$8,$D$3)*1000</f>
        <v>86.759998776708386</v>
      </c>
      <c r="AB70" s="299" cm="1">
        <f t="array" ref="AB70">_xll.LVCELL($D$4,I$1,$B70,$D$2,$C$4,$C$5,$C$6,$C$7,$C$8,$D$3)*1000</f>
        <v>86.760005199116733</v>
      </c>
      <c r="AC70" s="299" cm="1">
        <f t="array" ref="AC70">_xll.LVCELL($D$4,J$1,$B70,$D$2,$C$4,$C$5,$C$6,$C$7,$C$8,$D$3)*1000</f>
        <v>86.759999807348692</v>
      </c>
      <c r="AD70" s="299" cm="1">
        <f t="array" ref="AD70">_xll.LVCELL($D$4,K$1,$B70,$D$2,$C$4,$C$5,$C$6,$C$7,$C$8,$D$3)*1000</f>
        <v>86.760043750000008</v>
      </c>
      <c r="AE70" s="299" cm="1">
        <f t="array" ref="AE70">_xll.LVCELL($D$4,L$1,$B70,$D$2,$C$4,$C$5,$C$6,$C$7,$C$8,$D$3)*1000</f>
        <v>86.759999030250142</v>
      </c>
      <c r="AF70" s="299">
        <f>$AD$70</f>
        <v>86.760043750000008</v>
      </c>
      <c r="AG70" s="299">
        <f t="shared" si="53"/>
        <v>86.760043750000008</v>
      </c>
      <c r="AH70" s="299">
        <f t="shared" si="53"/>
        <v>86.760043750000008</v>
      </c>
      <c r="AI70" s="299">
        <f t="shared" si="54"/>
        <v>88.755524756250011</v>
      </c>
      <c r="AJ70" s="412">
        <f t="shared" si="55"/>
        <v>88.755524756250011</v>
      </c>
      <c r="AK70" s="67"/>
      <c r="AL70" s="134">
        <f t="shared" si="63"/>
        <v>2.3E-2</v>
      </c>
      <c r="AM70" s="134"/>
      <c r="AN70" s="134"/>
      <c r="AO70" s="134"/>
      <c r="AP70" s="113" t="str">
        <f t="shared" si="38"/>
        <v>E5640</v>
      </c>
      <c r="AQ70" s="567" t="str">
        <f t="shared" si="39"/>
        <v>Artois 1</v>
      </c>
      <c r="AR70" s="377"/>
      <c r="AS70" s="377"/>
      <c r="AT70" s="377"/>
      <c r="AU70" s="377"/>
      <c r="AV70" s="377"/>
      <c r="AW70" s="377"/>
      <c r="AX70" s="377"/>
      <c r="AY70" s="377"/>
      <c r="AZ70" s="377"/>
      <c r="BA70" s="377"/>
      <c r="BB70" s="377"/>
      <c r="BC70" s="378"/>
      <c r="BD70" s="414"/>
      <c r="BE70" s="134"/>
      <c r="BF70" s="134"/>
      <c r="BG70" s="134"/>
      <c r="BH70" s="134"/>
      <c r="BI70" s="113" t="str">
        <f t="shared" si="40"/>
        <v>E5640</v>
      </c>
      <c r="BJ70" s="567" t="str">
        <f t="shared" si="41"/>
        <v>Artois 1</v>
      </c>
      <c r="BK70" s="299">
        <f t="shared" si="87"/>
        <v>88.755524756250011</v>
      </c>
      <c r="BL70" s="299">
        <f t="shared" si="91"/>
        <v>88.755524756250011</v>
      </c>
      <c r="BM70" s="299">
        <f t="shared" si="91"/>
        <v>88.755524756250011</v>
      </c>
      <c r="BN70" s="299">
        <f t="shared" si="91"/>
        <v>88.755524756250011</v>
      </c>
      <c r="BO70" s="299">
        <f t="shared" si="91"/>
        <v>88.755524756250011</v>
      </c>
      <c r="BP70" s="299">
        <f t="shared" si="91"/>
        <v>88.755524756250011</v>
      </c>
      <c r="BQ70" s="299">
        <f t="shared" si="91"/>
        <v>88.755524756250011</v>
      </c>
      <c r="BR70" s="299">
        <f t="shared" si="91"/>
        <v>88.755524756250011</v>
      </c>
      <c r="BS70" s="299">
        <f t="shared" si="91"/>
        <v>88.755524756250011</v>
      </c>
      <c r="BT70" s="299">
        <f t="shared" si="91"/>
        <v>88.755524756250011</v>
      </c>
      <c r="BU70" s="299">
        <f t="shared" si="89"/>
        <v>90.796901825643758</v>
      </c>
      <c r="BV70" s="370">
        <f t="shared" si="90"/>
        <v>90.796901825643758</v>
      </c>
      <c r="BW70" s="414"/>
      <c r="BX70" s="134"/>
      <c r="BY70" s="134"/>
      <c r="BZ70" s="134"/>
      <c r="CA70" s="134"/>
      <c r="CB70" s="113" t="str">
        <f t="shared" si="64"/>
        <v>E5640</v>
      </c>
      <c r="CC70" s="373" t="str">
        <f t="shared" si="65"/>
        <v>Artois 1</v>
      </c>
      <c r="CD70" s="299">
        <f t="shared" si="43"/>
        <v>88.755524756250011</v>
      </c>
      <c r="CE70" s="299">
        <f t="shared" si="7"/>
        <v>88.755524756250011</v>
      </c>
      <c r="CF70" s="299">
        <f t="shared" si="8"/>
        <v>88.755524756250011</v>
      </c>
      <c r="CG70" s="299">
        <f t="shared" si="9"/>
        <v>88.755524756250011</v>
      </c>
      <c r="CH70" s="299">
        <f t="shared" si="10"/>
        <v>88.755524756250011</v>
      </c>
      <c r="CI70" s="299">
        <f t="shared" si="11"/>
        <v>88.755524756250011</v>
      </c>
      <c r="CJ70" s="299">
        <f t="shared" si="12"/>
        <v>88.755524756250011</v>
      </c>
      <c r="CK70" s="299">
        <f t="shared" si="13"/>
        <v>88.755524756250011</v>
      </c>
      <c r="CL70" s="299">
        <f t="shared" si="14"/>
        <v>88.755524756250011</v>
      </c>
      <c r="CM70" s="299">
        <f t="shared" si="15"/>
        <v>88.755524756250011</v>
      </c>
      <c r="CN70" s="299">
        <f t="shared" si="16"/>
        <v>90.796901825643758</v>
      </c>
      <c r="CO70" s="370">
        <f t="shared" si="17"/>
        <v>90.796901825643758</v>
      </c>
      <c r="CP70" s="414"/>
      <c r="CQ70" s="134">
        <f t="shared" si="66"/>
        <v>4.0000000000000001E-3</v>
      </c>
      <c r="CU70" s="113" t="str">
        <f t="shared" si="67"/>
        <v>E5640</v>
      </c>
      <c r="CV70" s="359" t="str">
        <f t="shared" si="68"/>
        <v>Artois 1</v>
      </c>
      <c r="CW70" s="300">
        <f t="shared" si="69"/>
        <v>351358.26929698884</v>
      </c>
      <c r="CX70" s="298">
        <f t="shared" si="70"/>
        <v>290100.30636230542</v>
      </c>
      <c r="CY70" s="298">
        <f t="shared" si="71"/>
        <v>280237.38886080001</v>
      </c>
      <c r="CZ70" s="298">
        <f t="shared" si="72"/>
        <v>226538.00328574222</v>
      </c>
      <c r="DA70" s="298">
        <f t="shared" si="73"/>
        <v>218513.47543246963</v>
      </c>
      <c r="DB70" s="298">
        <f t="shared" si="74"/>
        <v>186736.88584415001</v>
      </c>
      <c r="DC70" s="298">
        <f t="shared" si="75"/>
        <v>186396.44435766575</v>
      </c>
      <c r="DD70" s="298">
        <f t="shared" si="76"/>
        <v>184851.73745226435</v>
      </c>
      <c r="DE70" s="298">
        <f t="shared" si="77"/>
        <v>213146.39100101235</v>
      </c>
      <c r="DF70" s="298">
        <f t="shared" si="78"/>
        <v>285708.22581742995</v>
      </c>
      <c r="DG70" s="371">
        <f t="shared" si="79"/>
        <v>299481.84427953331</v>
      </c>
      <c r="DH70" s="372">
        <f t="shared" si="80"/>
        <v>349497.19658256683</v>
      </c>
      <c r="DI70" s="67">
        <f t="shared" si="81"/>
        <v>3072566.1685729283</v>
      </c>
      <c r="DJ70" s="364">
        <f>_xll.LVCELL($E$1,Q$2,$C70,$D$2,$C$4,$C$5,$C$6,$C$7,$C$8,$D$3)+_xll.LVCELL($E$2,Q$2,$C70,$D$2,$C$4,$C$5,$C$6,$C$7,$C$8,$D$3)</f>
        <v>5275946.2561881281</v>
      </c>
      <c r="DK70" s="82">
        <f t="shared" si="44"/>
        <v>-2203380.0876151999</v>
      </c>
      <c r="DM70" s="518">
        <f t="shared" si="82"/>
        <v>89.179015872767593</v>
      </c>
      <c r="DO70" s="64" t="str">
        <f t="shared" si="83"/>
        <v>E5640</v>
      </c>
      <c r="DP70" s="64" t="str">
        <f t="shared" si="84"/>
        <v>E5640</v>
      </c>
      <c r="DQ70" s="359" t="str">
        <f t="shared" si="85"/>
        <v>Artois 1</v>
      </c>
      <c r="DR70" s="365">
        <f>_xll.LVCELL($DP$3,DR$3,$DP70,$DQ$2,$DP$4,$DP$5,$DP$6,$DP$7,$DP$8,$DQ$3)/100</f>
        <v>0.97</v>
      </c>
      <c r="DS70" s="365">
        <f>_xll.LVCELL($DP$3,DS$3,$DP70,$DQ$2,$DP$4,$DP$5,$DP$6,$DP$7,$DP$8,$DQ$3)/100</f>
        <v>0.97</v>
      </c>
      <c r="DT70" s="365">
        <f>_xll.LVCELL($DP$3,DT$3,$DP70,$DQ$2,$DP$4,$DP$5,$DP$6,$DP$7,$DP$8,$DQ$3)/100</f>
        <v>0.97</v>
      </c>
      <c r="DU70" s="365">
        <f>_xll.LVCELL($DP$3,DU$3,$DP70,$DQ$2,$DP$4,$DP$5,$DP$6,$DP$7,$DP$8,$DQ$3)/100</f>
        <v>0.97</v>
      </c>
      <c r="DV70" s="365">
        <f>_xll.LVCELL($DP$3,DV$3,$DP70,$DQ$2,$DP$4,$DP$5,$DP$6,$DP$7,$DP$8,$DQ$3)/100</f>
        <v>0.97</v>
      </c>
      <c r="DW70" s="365">
        <f>_xll.LVCELL($DP$3,DW$3,$DP70,$DQ$2,$DP$4,$DP$5,$DP$6,$DP$7,$DP$8,$DQ$3)/100</f>
        <v>0.97</v>
      </c>
      <c r="DX70" s="365">
        <f>_xll.LVCELL($DP$3,DX$3,$DP70,$DQ$2,$DP$4,$DP$5,$DP$6,$DP$7,$DP$8,$DQ$3)/100</f>
        <v>0.97</v>
      </c>
      <c r="DY70" s="365">
        <f>_xll.LVCELL($DP$3,DY$3,$DP70,$DQ$2,$DP$4,$DP$5,$DP$6,$DP$7,$DP$8,$DQ$3)/100</f>
        <v>0.97</v>
      </c>
      <c r="DZ70" s="365">
        <f>_xll.LVCELL($DP$3,DZ$3,$DP70,$DQ$2,$DP$4,$DP$5,$DP$6,$DP$7,$DP$8,$DQ$3)/100</f>
        <v>0.97</v>
      </c>
      <c r="EA70" s="365">
        <f>_xll.LVCELL($DP$3,EA$3,$DP70,$DQ$2,$DP$4,$DP$5,$DP$6,$DP$7,$DP$8,$DQ$3)/100</f>
        <v>0.97</v>
      </c>
      <c r="EB70" s="365">
        <f>_xll.LVCELL($DP$3,EB$3,$DP70,$DQ$2,$DP$4,$DP$5,$DP$6,$DP$7,$DP$8,$DQ$3)/100</f>
        <v>0.97</v>
      </c>
      <c r="EC70" s="365">
        <f>_xll.LVCELL($DP$3,EC$3,$DP70,$DQ$2,$DP$4,$DP$5,$DP$6,$DP$7,$DP$8,$DQ$3)/100</f>
        <v>0.97</v>
      </c>
      <c r="ED70" s="582">
        <f t="shared" si="45"/>
        <v>11.64</v>
      </c>
      <c r="EF70" s="64" t="s">
        <v>470</v>
      </c>
      <c r="EG70" s="64" t="s">
        <v>470</v>
      </c>
      <c r="EH70" s="359" t="s">
        <v>561</v>
      </c>
      <c r="EI70" s="366" t="e">
        <f ca="1">_xll.LVCELL($EG$3,EI$3,$DP70,$DQ$2,$DP$4,$DP$5,$DP$6,$DP$7,$DP$8,$DQ$3)-CW70-CW71</f>
        <v>#NAME?</v>
      </c>
      <c r="EJ70" s="367" t="e">
        <f ca="1">_xll.LVCELL($EG$3,EJ$3,$DP70,$DQ$2,$DP$4,$DP$5,$DP$6,$DP$7,$DP$8,$DQ$3)-CX70-CX71</f>
        <v>#NAME?</v>
      </c>
      <c r="EK70" s="368" t="e">
        <f ca="1">_xll.LVCELL($EG$3,EK$3,$DP70,$DQ$2,$DP$4,$DP$5,$DP$6,$DP$7,$DP$8,$DQ$3)-CY70-CY71</f>
        <v>#NAME?</v>
      </c>
      <c r="EL70" s="367" t="e">
        <f ca="1">_xll.LVCELL($EG$3,EL$3,$DP70,$DQ$2,$DP$4,$DP$5,$DP$6,$DP$7,$DP$8,$DQ$3)-CZ70-CZ71</f>
        <v>#NAME?</v>
      </c>
      <c r="EM70" s="368" t="e">
        <f ca="1">_xll.LVCELL($EG$3,EM$3,$DP70,$DQ$2,$DP$4,$DP$5,$DP$6,$DP$7,$DP$8,$DQ$3)-DA70-DA71</f>
        <v>#NAME?</v>
      </c>
      <c r="EN70" s="367" t="e">
        <f ca="1">_xll.LVCELL($EG$3,EN$3,$DP70,$DQ$2,$DP$4,$DP$5,$DP$6,$DP$7,$DP$8,$DQ$3)-DB70-DB71</f>
        <v>#NAME?</v>
      </c>
      <c r="EO70" s="368" t="e">
        <f ca="1">_xll.LVCELL($EG$3,EO$3,$DP70,$DQ$2,$DP$4,$DP$5,$DP$6,$DP$7,$DP$8,$DQ$3)-DC70-DC71</f>
        <v>#NAME?</v>
      </c>
      <c r="EP70" s="367" t="e">
        <f ca="1">_xll.LVCELL($EG$3,EP$3,$DP70,$DQ$2,$DP$4,$DP$5,$DP$6,$DP$7,$DP$8,$DQ$3)-DD70-DD71</f>
        <v>#NAME?</v>
      </c>
      <c r="EQ70" s="368" t="e">
        <f ca="1">_xll.LVCELL($EG$3,EQ$3,$DP70,$DQ$2,$DP$4,$DP$5,$DP$6,$DP$7,$DP$8,$DQ$3)-DE70-DE71</f>
        <v>#NAME?</v>
      </c>
      <c r="ER70" s="367" t="e">
        <f ca="1">_xll.LVCELL($EG$3,ER$3,$DP70,$DQ$2,$DP$4,$DP$5,$DP$6,$DP$7,$DP$8,$DQ$3)-DF70-DF71</f>
        <v>#NAME?</v>
      </c>
      <c r="ES70" s="368" t="e">
        <f ca="1">_xll.LVCELL($EG$3,ES$3,$DP70,$DQ$2,$DP$4,$DP$5,$DP$6,$DP$7,$DP$8,$DQ$3)-DG70-DG71</f>
        <v>#NAME?</v>
      </c>
      <c r="ET70" s="367" t="e">
        <f ca="1">_xll.LVCELL($EG$3,ET$3,$DP70,$DQ$2,$DP$4,$DP$5,$DP$6,$DP$7,$DP$8,$DQ$3)-DH70-DH71</f>
        <v>#NAME?</v>
      </c>
      <c r="EW70" s="64" t="s">
        <v>470</v>
      </c>
      <c r="EX70" s="64" t="s">
        <v>470</v>
      </c>
      <c r="EY70" s="359" t="s">
        <v>561</v>
      </c>
      <c r="EZ70" s="364">
        <f>_xll.LVCELL($EX$3,EZ$3,$DP70,$DQ$2,$DP$4,$DP$5,$DP$6,$DP$7,$DP$8,$DQ$3)</f>
        <v>23550</v>
      </c>
      <c r="FA70" s="364">
        <f>_xll.LVCELL($EX$3,FA$3,$DP70,$DQ$2,$DP$4,$DP$5,$DP$6,$DP$7,$DP$8,$DQ$3)</f>
        <v>23550</v>
      </c>
      <c r="FB70" s="364">
        <f>_xll.LVCELL($EX$3,FB$3,$DP70,$DQ$2,$DP$4,$DP$5,$DP$6,$DP$7,$DP$8,$DQ$3)</f>
        <v>23550</v>
      </c>
      <c r="FC70" s="364">
        <f>_xll.LVCELL($EX$3,FC$3,$DP70,$DQ$2,$DP$4,$DP$5,$DP$6,$DP$7,$DP$8,$DQ$3)</f>
        <v>23550</v>
      </c>
      <c r="FD70" s="364">
        <f>_xll.LVCELL($EX$3,FD$3,$DP70,$DQ$2,$DP$4,$DP$5,$DP$6,$DP$7,$DP$8,$DQ$3)</f>
        <v>23550</v>
      </c>
      <c r="FE70" s="364">
        <f>_xll.LVCELL($EX$3,FE$3,$DP70,$DQ$2,$DP$4,$DP$5,$DP$6,$DP$7,$DP$8,$DQ$3)</f>
        <v>23550</v>
      </c>
      <c r="FF70" s="364">
        <f>_xll.LVCELL($EX$3,FF$3,$DP70,$DQ$2,$DP$4,$DP$5,$DP$6,$DP$7,$DP$8,$DQ$3)</f>
        <v>23550</v>
      </c>
      <c r="FG70" s="364">
        <f>_xll.LVCELL($EX$3,FG$3,$DP70,$DQ$2,$DP$4,$DP$5,$DP$6,$DP$7,$DP$8,$DQ$3)</f>
        <v>23550</v>
      </c>
      <c r="FH70" s="364">
        <f>_xll.LVCELL($EX$3,FH$3,$DP70,$DQ$2,$DP$4,$DP$5,$DP$6,$DP$7,$DP$8,$DQ$3)</f>
        <v>23550</v>
      </c>
      <c r="FI70" s="364">
        <f>_xll.LVCELL($EX$3,FI$3,$DP70,$DQ$2,$DP$4,$DP$5,$DP$6,$DP$7,$DP$8,$DQ$3)</f>
        <v>23550</v>
      </c>
      <c r="FJ70" s="364">
        <f>_xll.LVCELL($EX$3,FJ$3,$DP70,$DQ$2,$DP$4,$DP$5,$DP$6,$DP$7,$DP$8,$DQ$3)</f>
        <v>23550</v>
      </c>
      <c r="FK70" s="276">
        <f>_xll.LVCELL($EX$3,FK$3,$DP70,$DQ$2,$DP$4,$DP$5,$DP$6,$DP$7,$DP$8,$DQ$3)</f>
        <v>23550</v>
      </c>
      <c r="FN70" s="64" t="s">
        <v>470</v>
      </c>
      <c r="FO70" s="64" t="s">
        <v>470</v>
      </c>
      <c r="FP70" s="359" t="s">
        <v>561</v>
      </c>
      <c r="FQ70" s="364">
        <f>_xll.LVCELL($FO$3,FQ$3,$DP70,$DQ$2,$DP$4,$DP$5,$DP$6,$DP$7,$DP$8,$DQ$3)</f>
        <v>7</v>
      </c>
      <c r="FR70" s="364">
        <f>_xll.LVCELL($FO$3,FR$3,$DP70,$DQ$2,$DP$4,$DP$5,$DP$6,$DP$7,$DP$8,$DQ$3)</f>
        <v>7</v>
      </c>
      <c r="FS70" s="364">
        <f>_xll.LVCELL($FO$3,FS$3,$DP70,$DQ$2,$DP$4,$DP$5,$DP$6,$DP$7,$DP$8,$DQ$3)</f>
        <v>7</v>
      </c>
      <c r="FT70" s="364">
        <f>_xll.LVCELL($FO$3,FT$3,$DP70,$DQ$2,$DP$4,$DP$5,$DP$6,$DP$7,$DP$8,$DQ$3)</f>
        <v>7</v>
      </c>
      <c r="FU70" s="364">
        <f>_xll.LVCELL($FO$3,FU$3,$DP70,$DQ$2,$DP$4,$DP$5,$DP$6,$DP$7,$DP$8,$DQ$3)</f>
        <v>7</v>
      </c>
      <c r="FV70" s="364">
        <f>_xll.LVCELL($FO$3,FV$3,$DP70,$DQ$2,$DP$4,$DP$5,$DP$6,$DP$7,$DP$8,$DQ$3)</f>
        <v>7</v>
      </c>
      <c r="FW70" s="364">
        <f>_xll.LVCELL($FO$3,FW$3,$DP70,$DQ$2,$DP$4,$DP$5,$DP$6,$DP$7,$DP$8,$DQ$3)</f>
        <v>7</v>
      </c>
      <c r="FX70" s="364">
        <f>_xll.LVCELL($FO$3,FX$3,$DP70,$DQ$2,$DP$4,$DP$5,$DP$6,$DP$7,$DP$8,$DQ$3)</f>
        <v>7</v>
      </c>
      <c r="FY70" s="364">
        <f>_xll.LVCELL($FO$3,FY$3,$DP70,$DQ$2,$DP$4,$DP$5,$DP$6,$DP$7,$DP$8,$DQ$3)</f>
        <v>7</v>
      </c>
      <c r="FZ70" s="364">
        <f>_xll.LVCELL($FO$3,FZ$3,$DP70,$DQ$2,$DP$4,$DP$5,$DP$6,$DP$7,$DP$8,$DQ$3)</f>
        <v>7</v>
      </c>
      <c r="GA70" s="364">
        <f>_xll.LVCELL($FO$3,GA$3,$DP70,$DQ$2,$DP$4,$DP$5,$DP$6,$DP$7,$DP$8,$DQ$3)</f>
        <v>7</v>
      </c>
      <c r="GB70" s="172">
        <f>_xll.LVCELL($FO$3,GB$3,$DP70,$DQ$2,$DP$4,$DP$5,$DP$6,$DP$7,$DP$8,$DQ$3)</f>
        <v>7</v>
      </c>
    </row>
    <row r="71" spans="2:184" ht="15">
      <c r="B71" s="64" t="s">
        <v>470</v>
      </c>
      <c r="C71" s="64" t="s">
        <v>470</v>
      </c>
      <c r="D71" s="359" t="s">
        <v>562</v>
      </c>
      <c r="E71" s="357"/>
      <c r="F71" s="103">
        <f>'distribution mensuelle Prod B22'!$BK$36</f>
        <v>2838853.3153059534</v>
      </c>
      <c r="G71" s="103">
        <f>'distribution mensuelle Prod B22'!$BK$37</f>
        <v>2343910.1579584233</v>
      </c>
      <c r="H71" s="103">
        <f>'distribution mensuelle Prod B22'!$BK$38</f>
        <v>2264221.1951690749</v>
      </c>
      <c r="I71" s="103">
        <f>'distribution mensuelle Prod B22'!$BK$39</f>
        <v>1830348.7291113874</v>
      </c>
      <c r="J71" s="103">
        <f>'distribution mensuelle Prod B22'!$BK$40</f>
        <v>1765513.3189597838</v>
      </c>
      <c r="K71" s="103">
        <f>'distribution mensuelle Prod B22'!$BK$41</f>
        <v>1508769.4635144244</v>
      </c>
      <c r="L71" s="103">
        <f>'distribution mensuelle Prod B22'!$BK$42</f>
        <v>1506018.8140291933</v>
      </c>
      <c r="M71" s="103">
        <f>'distribution mensuelle Prod B22'!$BK$43</f>
        <v>1493538.1163972607</v>
      </c>
      <c r="N71" s="103">
        <f>'distribution mensuelle Prod B22'!$BK$44</f>
        <v>1722149.1327055229</v>
      </c>
      <c r="O71" s="103">
        <f>'distribution mensuelle Prod B22'!$BK$45</f>
        <v>2308423.6659488343</v>
      </c>
      <c r="P71" s="103">
        <f>'distribution mensuelle Prod B22'!$BK$46</f>
        <v>2365307.6638994487</v>
      </c>
      <c r="Q71" s="103">
        <f>'distribution mensuelle Prod B22'!$BK$47</f>
        <v>2760328.9260383802</v>
      </c>
      <c r="R71" s="67">
        <f t="shared" si="60"/>
        <v>24707382.499037687</v>
      </c>
      <c r="S71" s="358"/>
      <c r="W71" s="113" t="str">
        <f t="shared" si="61"/>
        <v>E5640</v>
      </c>
      <c r="X71" s="359" t="str">
        <f t="shared" si="62"/>
        <v>Artois 2</v>
      </c>
      <c r="Y71" s="299" cm="1">
        <f t="array" ref="Y71">_xll.LVCELL($D$4,F$1,$B71,$D$2,$C$4,$C$5,$C$6,$C$7,$C$8,$D$3)*1000</f>
        <v>86.760005000000007</v>
      </c>
      <c r="Z71" s="299" cm="1">
        <f t="array" ref="Z71">_xll.LVCELL($D$4,G$1,$B71,$D$2,$C$4,$C$5,$C$6,$C$7,$C$8,$D$3)*1000</f>
        <v>86.759990000000002</v>
      </c>
      <c r="AA71" s="299" cm="1">
        <f t="array" ref="AA71">_xll.LVCELL($D$4,H$1,$B71,$D$2,$C$4,$C$5,$C$6,$C$7,$C$8,$D$3)*1000</f>
        <v>86.759998776708386</v>
      </c>
      <c r="AB71" s="299" cm="1">
        <f t="array" ref="AB71">_xll.LVCELL($D$4,I$1,$B71,$D$2,$C$4,$C$5,$C$6,$C$7,$C$8,$D$3)*1000</f>
        <v>86.760005199116733</v>
      </c>
      <c r="AC71" s="299" cm="1">
        <f t="array" ref="AC71">_xll.LVCELL($D$4,J$1,$B71,$D$2,$C$4,$C$5,$C$6,$C$7,$C$8,$D$3)*1000</f>
        <v>86.759999807348692</v>
      </c>
      <c r="AD71" s="299" cm="1">
        <f t="array" ref="AD71">_xll.LVCELL($D$4,K$1,$B71,$D$2,$C$4,$C$5,$C$6,$C$7,$C$8,$D$3)*1000</f>
        <v>86.760043750000008</v>
      </c>
      <c r="AE71" s="299" cm="1">
        <f t="array" ref="AE71">_xll.LVCELL($D$4,L$1,$B71,$D$2,$C$4,$C$5,$C$6,$C$7,$C$8,$D$3)*1000</f>
        <v>86.759999030250142</v>
      </c>
      <c r="AF71" s="299">
        <f>$AD$71</f>
        <v>86.760043750000008</v>
      </c>
      <c r="AG71" s="299">
        <f t="shared" si="53"/>
        <v>86.760043750000008</v>
      </c>
      <c r="AH71" s="299">
        <f t="shared" si="53"/>
        <v>86.760043750000008</v>
      </c>
      <c r="AI71" s="299">
        <f t="shared" si="54"/>
        <v>88.755524756250011</v>
      </c>
      <c r="AJ71" s="412">
        <f t="shared" si="55"/>
        <v>88.755524756250011</v>
      </c>
      <c r="AK71" s="67"/>
      <c r="AL71" s="134">
        <f t="shared" si="63"/>
        <v>2.3E-2</v>
      </c>
      <c r="AM71" s="134"/>
      <c r="AN71" s="134"/>
      <c r="AO71" s="134"/>
      <c r="AP71" s="113" t="str">
        <f t="shared" si="38"/>
        <v>E5640</v>
      </c>
      <c r="AQ71" s="567" t="str">
        <f t="shared" si="39"/>
        <v>Artois 2</v>
      </c>
      <c r="AR71" s="377"/>
      <c r="AS71" s="377"/>
      <c r="AT71" s="377"/>
      <c r="AU71" s="377"/>
      <c r="AV71" s="377"/>
      <c r="AW71" s="377"/>
      <c r="AX71" s="377"/>
      <c r="AY71" s="377"/>
      <c r="AZ71" s="377"/>
      <c r="BA71" s="377"/>
      <c r="BB71" s="377"/>
      <c r="BC71" s="378"/>
      <c r="BD71" s="414"/>
      <c r="BE71" s="134"/>
      <c r="BF71" s="134"/>
      <c r="BG71" s="134"/>
      <c r="BH71" s="134"/>
      <c r="BI71" s="113" t="str">
        <f t="shared" si="40"/>
        <v>E5640</v>
      </c>
      <c r="BJ71" s="567" t="str">
        <f t="shared" si="41"/>
        <v>Artois 2</v>
      </c>
      <c r="BK71" s="299">
        <f t="shared" si="87"/>
        <v>88.755524756250011</v>
      </c>
      <c r="BL71" s="299">
        <f t="shared" si="91"/>
        <v>88.755524756250011</v>
      </c>
      <c r="BM71" s="299">
        <f t="shared" si="91"/>
        <v>88.755524756250011</v>
      </c>
      <c r="BN71" s="299">
        <f t="shared" si="91"/>
        <v>88.755524756250011</v>
      </c>
      <c r="BO71" s="299">
        <f t="shared" si="91"/>
        <v>88.755524756250011</v>
      </c>
      <c r="BP71" s="299">
        <f t="shared" si="91"/>
        <v>88.755524756250011</v>
      </c>
      <c r="BQ71" s="299">
        <f t="shared" si="91"/>
        <v>88.755524756250011</v>
      </c>
      <c r="BR71" s="299">
        <f t="shared" si="91"/>
        <v>88.755524756250011</v>
      </c>
      <c r="BS71" s="299">
        <f t="shared" si="91"/>
        <v>88.755524756250011</v>
      </c>
      <c r="BT71" s="299">
        <f t="shared" si="91"/>
        <v>88.755524756250011</v>
      </c>
      <c r="BU71" s="299">
        <f t="shared" si="89"/>
        <v>90.796901825643758</v>
      </c>
      <c r="BV71" s="370">
        <f t="shared" si="90"/>
        <v>90.796901825643758</v>
      </c>
      <c r="BW71" s="414"/>
      <c r="BX71" s="134"/>
      <c r="BY71" s="134"/>
      <c r="BZ71" s="134"/>
      <c r="CA71" s="134"/>
      <c r="CB71" s="113" t="str">
        <f t="shared" si="64"/>
        <v>E5640</v>
      </c>
      <c r="CC71" s="373" t="str">
        <f t="shared" si="65"/>
        <v>Artois 2</v>
      </c>
      <c r="CD71" s="299">
        <f t="shared" si="43"/>
        <v>88.755524756250011</v>
      </c>
      <c r="CE71" s="299">
        <f t="shared" si="7"/>
        <v>88.755524756250011</v>
      </c>
      <c r="CF71" s="299">
        <f t="shared" si="8"/>
        <v>88.755524756250011</v>
      </c>
      <c r="CG71" s="299">
        <f t="shared" si="9"/>
        <v>88.755524756250011</v>
      </c>
      <c r="CH71" s="299">
        <f t="shared" si="10"/>
        <v>88.755524756250011</v>
      </c>
      <c r="CI71" s="299">
        <f t="shared" si="11"/>
        <v>88.755524756250011</v>
      </c>
      <c r="CJ71" s="299">
        <f t="shared" si="12"/>
        <v>88.755524756250011</v>
      </c>
      <c r="CK71" s="299">
        <f t="shared" si="13"/>
        <v>88.755524756250011</v>
      </c>
      <c r="CL71" s="299">
        <f t="shared" si="14"/>
        <v>88.755524756250011</v>
      </c>
      <c r="CM71" s="299">
        <f t="shared" si="15"/>
        <v>88.755524756250011</v>
      </c>
      <c r="CN71" s="299">
        <f t="shared" si="16"/>
        <v>90.796901825643758</v>
      </c>
      <c r="CO71" s="370">
        <f t="shared" si="17"/>
        <v>90.796901825643758</v>
      </c>
      <c r="CP71" s="414"/>
      <c r="CQ71" s="134">
        <f t="shared" si="66"/>
        <v>4.0000000000000001E-3</v>
      </c>
      <c r="CU71" s="113" t="str">
        <f t="shared" si="67"/>
        <v>E5640</v>
      </c>
      <c r="CV71" s="359" t="str">
        <f t="shared" si="68"/>
        <v>Artois 2</v>
      </c>
      <c r="CW71" s="300">
        <f t="shared" si="69"/>
        <v>251963.91570599997</v>
      </c>
      <c r="CX71" s="298">
        <f t="shared" si="70"/>
        <v>208034.97605110469</v>
      </c>
      <c r="CY71" s="298">
        <f t="shared" si="71"/>
        <v>200962.14034145483</v>
      </c>
      <c r="CZ71" s="298">
        <f t="shared" si="72"/>
        <v>162453.56193921648</v>
      </c>
      <c r="DA71" s="298">
        <f t="shared" si="73"/>
        <v>156699.06108842421</v>
      </c>
      <c r="DB71" s="298">
        <f t="shared" si="74"/>
        <v>133911.62547042855</v>
      </c>
      <c r="DC71" s="298">
        <f t="shared" si="75"/>
        <v>133667.49013194634</v>
      </c>
      <c r="DD71" s="298">
        <f t="shared" si="76"/>
        <v>132559.75926430008</v>
      </c>
      <c r="DE71" s="298">
        <f t="shared" si="77"/>
        <v>152850.24998179951</v>
      </c>
      <c r="DF71" s="298">
        <f t="shared" si="78"/>
        <v>204885.35383103517</v>
      </c>
      <c r="DG71" s="371">
        <f t="shared" si="79"/>
        <v>214762.60774652104</v>
      </c>
      <c r="DH71" s="372">
        <f t="shared" si="80"/>
        <v>250629.31450399148</v>
      </c>
      <c r="DI71" s="67">
        <f t="shared" si="81"/>
        <v>2203380.0560562219</v>
      </c>
      <c r="DJ71" s="364"/>
      <c r="DK71" s="82">
        <f t="shared" si="44"/>
        <v>2203380.0560562219</v>
      </c>
      <c r="DM71" s="518">
        <f t="shared" si="82"/>
        <v>89.179015872767579</v>
      </c>
      <c r="DO71" s="64" t="str">
        <f t="shared" si="83"/>
        <v>E5640</v>
      </c>
      <c r="DP71" s="64" t="str">
        <f t="shared" si="84"/>
        <v>E5640</v>
      </c>
      <c r="DQ71" s="359" t="str">
        <f t="shared" si="85"/>
        <v>Artois 2</v>
      </c>
      <c r="DR71" s="365">
        <f>_xll.LVCELL($DP$3,DR$3,$DP71,$DQ$2,$DP$4,$DP$5,$DP$6,$DP$7,$DP$8,$DQ$3)/100</f>
        <v>0.97</v>
      </c>
      <c r="DS71" s="365">
        <f>_xll.LVCELL($DP$3,DS$3,$DP71,$DQ$2,$DP$4,$DP$5,$DP$6,$DP$7,$DP$8,$DQ$3)/100</f>
        <v>0.97</v>
      </c>
      <c r="DT71" s="365">
        <f>_xll.LVCELL($DP$3,DT$3,$DP71,$DQ$2,$DP$4,$DP$5,$DP$6,$DP$7,$DP$8,$DQ$3)/100</f>
        <v>0.97</v>
      </c>
      <c r="DU71" s="365">
        <f>_xll.LVCELL($DP$3,DU$3,$DP71,$DQ$2,$DP$4,$DP$5,$DP$6,$DP$7,$DP$8,$DQ$3)/100</f>
        <v>0.97</v>
      </c>
      <c r="DV71" s="365">
        <f>_xll.LVCELL($DP$3,DV$3,$DP71,$DQ$2,$DP$4,$DP$5,$DP$6,$DP$7,$DP$8,$DQ$3)/100</f>
        <v>0.97</v>
      </c>
      <c r="DW71" s="365">
        <f>_xll.LVCELL($DP$3,DW$3,$DP71,$DQ$2,$DP$4,$DP$5,$DP$6,$DP$7,$DP$8,$DQ$3)/100</f>
        <v>0.97</v>
      </c>
      <c r="DX71" s="365">
        <f>_xll.LVCELL($DP$3,DX$3,$DP71,$DQ$2,$DP$4,$DP$5,$DP$6,$DP$7,$DP$8,$DQ$3)/100</f>
        <v>0.97</v>
      </c>
      <c r="DY71" s="365">
        <f>_xll.LVCELL($DP$3,DY$3,$DP71,$DQ$2,$DP$4,$DP$5,$DP$6,$DP$7,$DP$8,$DQ$3)/100</f>
        <v>0.97</v>
      </c>
      <c r="DZ71" s="365">
        <f>_xll.LVCELL($DP$3,DZ$3,$DP71,$DQ$2,$DP$4,$DP$5,$DP$6,$DP$7,$DP$8,$DQ$3)/100</f>
        <v>0.97</v>
      </c>
      <c r="EA71" s="365">
        <f>_xll.LVCELL($DP$3,EA$3,$DP71,$DQ$2,$DP$4,$DP$5,$DP$6,$DP$7,$DP$8,$DQ$3)/100</f>
        <v>0.97</v>
      </c>
      <c r="EB71" s="365">
        <f>_xll.LVCELL($DP$3,EB$3,$DP71,$DQ$2,$DP$4,$DP$5,$DP$6,$DP$7,$DP$8,$DQ$3)/100</f>
        <v>0.97</v>
      </c>
      <c r="EC71" s="365">
        <f>_xll.LVCELL($DP$3,EC$3,$DP71,$DQ$2,$DP$4,$DP$5,$DP$6,$DP$7,$DP$8,$DQ$3)/100</f>
        <v>0.97</v>
      </c>
      <c r="ED71" s="582">
        <f t="shared" si="45"/>
        <v>11.64</v>
      </c>
      <c r="EF71" s="64" t="s">
        <v>470</v>
      </c>
      <c r="EH71" s="359"/>
      <c r="EI71" s="366"/>
      <c r="EJ71" s="367"/>
      <c r="EK71" s="368"/>
      <c r="EL71" s="367"/>
      <c r="EM71" s="368"/>
      <c r="EN71" s="367"/>
      <c r="EO71" s="368"/>
      <c r="EP71" s="367"/>
      <c r="EQ71" s="368"/>
      <c r="ER71" s="367"/>
      <c r="ES71" s="368"/>
      <c r="ET71" s="367"/>
      <c r="EY71" s="359"/>
      <c r="EZ71" s="364"/>
      <c r="FA71" s="364"/>
      <c r="FB71" s="364"/>
      <c r="FC71" s="364"/>
      <c r="FD71" s="364"/>
      <c r="FE71" s="364"/>
      <c r="FF71" s="364"/>
      <c r="FG71" s="364"/>
      <c r="FH71" s="364"/>
      <c r="FI71" s="364"/>
      <c r="FJ71" s="364"/>
      <c r="FK71" s="364"/>
      <c r="FP71" s="359"/>
      <c r="FQ71" s="364"/>
      <c r="FR71" s="364"/>
      <c r="FS71" s="364"/>
      <c r="FT71" s="364"/>
      <c r="FU71" s="364"/>
      <c r="FV71" s="364"/>
      <c r="FW71" s="364"/>
      <c r="FX71" s="364"/>
      <c r="FY71" s="364"/>
      <c r="FZ71" s="364"/>
      <c r="GA71" s="364"/>
      <c r="GB71" s="172"/>
    </row>
    <row r="72" spans="2:184" ht="15">
      <c r="B72" s="64" t="s">
        <v>465</v>
      </c>
      <c r="C72" s="64" t="s">
        <v>465</v>
      </c>
      <c r="D72" s="359" t="s">
        <v>563</v>
      </c>
      <c r="E72" s="357">
        <f>_xll.LVCELL($C$3,Q$3,$C72,$D$2,$C$4,$C$5,$C$6,$C$7,$C$8,$D$3)/1000</f>
        <v>29.7</v>
      </c>
      <c r="F72" s="103">
        <f>'distribution mensuelle Prod B22'!$BL$36</f>
        <v>8874750.5252606366</v>
      </c>
      <c r="G72" s="103">
        <f>'distribution mensuelle Prod B22'!$BL$37</f>
        <v>7213936.7498536594</v>
      </c>
      <c r="H72" s="103">
        <f>'distribution mensuelle Prod B22'!$BL$38</f>
        <v>6920148.7093920596</v>
      </c>
      <c r="I72" s="103">
        <f>'distribution mensuelle Prod B22'!$BL$39</f>
        <v>5541886.1797163757</v>
      </c>
      <c r="J72" s="103">
        <f>'distribution mensuelle Prod B22'!$BL$40</f>
        <v>5220939.1168512581</v>
      </c>
      <c r="K72" s="103">
        <f>'distribution mensuelle Prod B22'!$BL$41</f>
        <v>4345661.9594843425</v>
      </c>
      <c r="L72" s="103">
        <f>'distribution mensuelle Prod B22'!$BL$42</f>
        <v>4265772.2016053768</v>
      </c>
      <c r="M72" s="103">
        <f>'distribution mensuelle Prod B22'!$BL$43</f>
        <v>4281095.7350050444</v>
      </c>
      <c r="N72" s="103">
        <f>'distribution mensuelle Prod B22'!$BL$44</f>
        <v>5218938.594088994</v>
      </c>
      <c r="O72" s="103">
        <f>'distribution mensuelle Prod B22'!$BL$45</f>
        <v>7291318.7406284278</v>
      </c>
      <c r="P72" s="103">
        <f>'distribution mensuelle Prod B22'!$BL$46</f>
        <v>7469685.5429002326</v>
      </c>
      <c r="Q72" s="103">
        <f>'distribution mensuelle Prod B22'!$BL$47</f>
        <v>8617655.6871106755</v>
      </c>
      <c r="R72" s="67">
        <f t="shared" si="60"/>
        <v>75261789.741897076</v>
      </c>
      <c r="S72" s="379"/>
      <c r="T72" s="160"/>
      <c r="W72" s="113" t="str">
        <f t="shared" si="61"/>
        <v>E5620</v>
      </c>
      <c r="X72" s="359" t="str">
        <f t="shared" si="62"/>
        <v>Chemin de Grès</v>
      </c>
      <c r="Y72" s="299" cm="1">
        <f t="array" ref="Y72">_xll.LVCELL($D$4,F$1,$B72,$D$2,$C$4,$C$5,$C$6,$C$7,$C$8,$D$3)*1000+_xll.LVCELL($D$5,F$1,$B72,$D$2,$C$4,$C$5,$C$6,$C$7,$C$8,$D$3)*1000</f>
        <v>86.76</v>
      </c>
      <c r="Z72" s="299" cm="1">
        <f t="array" ref="Z72">_xll.LVCELL($D$4,G$1,$B72,$D$2,$C$4,$C$5,$C$6,$C$7,$C$8,$D$3)*1000+_xll.LVCELL($D$5,G$1,$B72,$D$2,$C$4,$C$5,$C$6,$C$7,$C$8,$D$3)*1000</f>
        <v>86.759999000000008</v>
      </c>
      <c r="AA72" s="299" cm="1">
        <f t="array" ref="AA72">_xll.LVCELL($D$4,H$1,$B72,$D$2,$C$4,$C$5,$C$6,$C$7,$C$8,$D$3)*1000+_xll.LVCELL($D$5,H$1,$B72,$D$2,$C$4,$C$5,$C$6,$C$7,$C$8,$D$3)*1000</f>
        <v>86.760000104855067</v>
      </c>
      <c r="AB72" s="299" cm="1">
        <f t="array" ref="AB72">_xll.LVCELL($D$4,I$1,$B72,$D$2,$C$4,$C$5,$C$6,$C$7,$C$8,$D$3)*1000+_xll.LVCELL($D$5,I$1,$B72,$D$2,$C$4,$C$5,$C$6,$C$7,$C$8,$D$3)*1000</f>
        <v>86.759999809345871</v>
      </c>
      <c r="AC72" s="299" cm="1">
        <f t="array" ref="AC72">_xll.LVCELL($D$4,J$1,$B72,$D$2,$C$4,$C$5,$C$6,$C$7,$C$8,$D$3)*1000+_xll.LVCELL($D$5,J$1,$B72,$D$2,$C$4,$C$5,$C$6,$C$7,$C$8,$D$3)*1000</f>
        <v>86.759999373049098</v>
      </c>
      <c r="AD72" s="299" cm="1">
        <f t="array" ref="AD72">_xll.LVCELL($D$4,K$1,$B72,$D$2,$C$4,$C$5,$C$6,$C$7,$C$8,$D$3)*1000+_xll.LVCELL($D$5,K$1,$B72,$D$2,$C$4,$C$5,$C$6,$C$7,$C$8,$D$3)*1000</f>
        <v>86.760000051359683</v>
      </c>
      <c r="AE72" s="299" cm="1">
        <f t="array" ref="AE72">_xll.LVCELL($D$4,L$1,$B72,$D$2,$C$4,$C$5,$C$6,$C$7,$C$8,$D$3)*1000+_xll.LVCELL($D$5,L$1,$B72,$D$2,$C$4,$C$5,$C$6,$C$7,$C$8,$D$3)*1000</f>
        <v>86.760001133833541</v>
      </c>
      <c r="AF72" s="299">
        <f>$AD$72</f>
        <v>86.760000051359683</v>
      </c>
      <c r="AG72" s="299">
        <f t="shared" si="53"/>
        <v>86.760000051359683</v>
      </c>
      <c r="AH72" s="299">
        <f t="shared" si="53"/>
        <v>86.760000051359683</v>
      </c>
      <c r="AI72" s="299">
        <f t="shared" si="54"/>
        <v>88.75548005254096</v>
      </c>
      <c r="AJ72" s="412">
        <f t="shared" si="55"/>
        <v>88.75548005254096</v>
      </c>
      <c r="AK72" s="67"/>
      <c r="AL72" s="134">
        <f t="shared" si="63"/>
        <v>2.3E-2</v>
      </c>
      <c r="AM72" s="134"/>
      <c r="AN72" s="134"/>
      <c r="AO72" s="134"/>
      <c r="AP72" s="113" t="str">
        <f t="shared" si="38"/>
        <v>E5620</v>
      </c>
      <c r="AQ72" s="567" t="str">
        <f t="shared" si="39"/>
        <v>Chemin de Grès</v>
      </c>
      <c r="AR72" s="377"/>
      <c r="AS72" s="377"/>
      <c r="AT72" s="377"/>
      <c r="AU72" s="377"/>
      <c r="AV72" s="377"/>
      <c r="AW72" s="377"/>
      <c r="AX72" s="377"/>
      <c r="AY72" s="377"/>
      <c r="AZ72" s="377"/>
      <c r="BA72" s="377"/>
      <c r="BB72" s="377"/>
      <c r="BC72" s="378"/>
      <c r="BD72" s="414"/>
      <c r="BE72" s="134"/>
      <c r="BF72" s="134"/>
      <c r="BG72" s="134"/>
      <c r="BH72" s="134"/>
      <c r="BI72" s="113" t="str">
        <f t="shared" si="40"/>
        <v>E5620</v>
      </c>
      <c r="BJ72" s="567" t="str">
        <f t="shared" si="41"/>
        <v>Chemin de Grès</v>
      </c>
      <c r="BK72" s="299">
        <f t="shared" si="87"/>
        <v>88.75548005254096</v>
      </c>
      <c r="BL72" s="299">
        <f t="shared" si="91"/>
        <v>88.75548005254096</v>
      </c>
      <c r="BM72" s="299">
        <f t="shared" si="91"/>
        <v>88.75548005254096</v>
      </c>
      <c r="BN72" s="299">
        <f t="shared" si="91"/>
        <v>88.75548005254096</v>
      </c>
      <c r="BO72" s="299">
        <f t="shared" si="91"/>
        <v>88.75548005254096</v>
      </c>
      <c r="BP72" s="299">
        <f t="shared" si="91"/>
        <v>88.75548005254096</v>
      </c>
      <c r="BQ72" s="299">
        <f t="shared" si="91"/>
        <v>88.75548005254096</v>
      </c>
      <c r="BR72" s="299">
        <f t="shared" si="91"/>
        <v>88.75548005254096</v>
      </c>
      <c r="BS72" s="299">
        <f t="shared" si="91"/>
        <v>88.75548005254096</v>
      </c>
      <c r="BT72" s="299">
        <f t="shared" si="91"/>
        <v>88.75548005254096</v>
      </c>
      <c r="BU72" s="299">
        <f t="shared" si="89"/>
        <v>90.796856093749398</v>
      </c>
      <c r="BV72" s="370">
        <f t="shared" si="90"/>
        <v>90.796856093749398</v>
      </c>
      <c r="BW72" s="414"/>
      <c r="BX72" s="134"/>
      <c r="BY72" s="134"/>
      <c r="BZ72" s="134"/>
      <c r="CA72" s="134"/>
      <c r="CB72" s="113" t="str">
        <f t="shared" si="64"/>
        <v>E5620</v>
      </c>
      <c r="CC72" s="373" t="str">
        <f t="shared" si="65"/>
        <v>Chemin de Grès</v>
      </c>
      <c r="CD72" s="299">
        <f t="shared" si="43"/>
        <v>88.75548005254096</v>
      </c>
      <c r="CE72" s="299">
        <f t="shared" si="7"/>
        <v>88.75548005254096</v>
      </c>
      <c r="CF72" s="299">
        <f t="shared" si="8"/>
        <v>88.75548005254096</v>
      </c>
      <c r="CG72" s="299">
        <f t="shared" si="9"/>
        <v>88.75548005254096</v>
      </c>
      <c r="CH72" s="299">
        <f t="shared" si="10"/>
        <v>88.75548005254096</v>
      </c>
      <c r="CI72" s="299">
        <f t="shared" si="11"/>
        <v>88.75548005254096</v>
      </c>
      <c r="CJ72" s="299">
        <f t="shared" si="12"/>
        <v>88.75548005254096</v>
      </c>
      <c r="CK72" s="299">
        <f t="shared" si="13"/>
        <v>88.75548005254096</v>
      </c>
      <c r="CL72" s="299">
        <f t="shared" si="14"/>
        <v>88.75548005254096</v>
      </c>
      <c r="CM72" s="299">
        <f t="shared" si="15"/>
        <v>88.75548005254096</v>
      </c>
      <c r="CN72" s="299">
        <f t="shared" si="16"/>
        <v>90.796856093749398</v>
      </c>
      <c r="CO72" s="370">
        <f t="shared" si="17"/>
        <v>90.796856093749398</v>
      </c>
      <c r="CP72" s="414"/>
      <c r="CQ72" s="134">
        <f t="shared" si="66"/>
        <v>4.0000000000000001E-3</v>
      </c>
      <c r="CU72" s="113" t="str">
        <f t="shared" si="67"/>
        <v>E5620</v>
      </c>
      <c r="CV72" s="359" t="str">
        <f t="shared" si="68"/>
        <v>Chemin de Grès</v>
      </c>
      <c r="CW72" s="300">
        <f t="shared" si="69"/>
        <v>787682.74321604776</v>
      </c>
      <c r="CX72" s="298">
        <f t="shared" si="70"/>
        <v>640276.4193019286</v>
      </c>
      <c r="CY72" s="298">
        <f t="shared" si="71"/>
        <v>614201.12073706393</v>
      </c>
      <c r="CZ72" s="298">
        <f t="shared" si="72"/>
        <v>491872.76827726921</v>
      </c>
      <c r="DA72" s="298">
        <f t="shared" si="73"/>
        <v>463386.95764122263</v>
      </c>
      <c r="DB72" s="298">
        <f t="shared" si="74"/>
        <v>385701.31336009857</v>
      </c>
      <c r="DC72" s="298">
        <f t="shared" si="75"/>
        <v>378610.65954826976</v>
      </c>
      <c r="DD72" s="298">
        <f t="shared" si="76"/>
        <v>379970.70711125835</v>
      </c>
      <c r="DE72" s="298">
        <f t="shared" si="77"/>
        <v>463209.40028310183</v>
      </c>
      <c r="DF72" s="298">
        <f t="shared" si="78"/>
        <v>647144.49504056445</v>
      </c>
      <c r="DG72" s="371">
        <f t="shared" si="79"/>
        <v>678223.96330427274</v>
      </c>
      <c r="DH72" s="372">
        <f t="shared" si="80"/>
        <v>782456.04328806908</v>
      </c>
      <c r="DI72" s="67">
        <f t="shared" si="81"/>
        <v>6712736.5911091669</v>
      </c>
      <c r="DJ72" s="364">
        <f>_xll.LVCELL($E$1,Q$2,$C72,$D$2,$C$4,$C$5,$C$6,$C$7,$C$8,$D$3)+_xll.LVCELL($E$2,Q$2,$C72,$D$2,$C$4,$C$5,$C$6,$C$7,$C$8,$D$3)</f>
        <v>6712736.7884827517</v>
      </c>
      <c r="DK72" s="82">
        <f t="shared" si="44"/>
        <v>-0.197373584844172</v>
      </c>
      <c r="DM72" s="518">
        <f t="shared" si="82"/>
        <v>89.191827807043097</v>
      </c>
      <c r="DO72" s="64" t="str">
        <f t="shared" si="83"/>
        <v>E5620</v>
      </c>
      <c r="DP72" s="64" t="str">
        <f t="shared" si="84"/>
        <v>E5620</v>
      </c>
      <c r="DQ72" s="359" t="str">
        <f t="shared" si="85"/>
        <v>Chemin de Grès</v>
      </c>
      <c r="DR72" s="365">
        <f>_xll.LVCELL($DP$3,DR$3,$DP72,$DQ$2,$DP$4,$DP$5,$DP$6,$DP$7,$DP$8,$DQ$3)/100</f>
        <v>0.97</v>
      </c>
      <c r="DS72" s="365">
        <f>_xll.LVCELL($DP$3,DS$3,$DP72,$DQ$2,$DP$4,$DP$5,$DP$6,$DP$7,$DP$8,$DQ$3)/100</f>
        <v>0.97</v>
      </c>
      <c r="DT72" s="365">
        <f>_xll.LVCELL($DP$3,DT$3,$DP72,$DQ$2,$DP$4,$DP$5,$DP$6,$DP$7,$DP$8,$DQ$3)/100</f>
        <v>0.97</v>
      </c>
      <c r="DU72" s="365">
        <f>_xll.LVCELL($DP$3,DU$3,$DP72,$DQ$2,$DP$4,$DP$5,$DP$6,$DP$7,$DP$8,$DQ$3)/100</f>
        <v>0.97</v>
      </c>
      <c r="DV72" s="365">
        <f>_xll.LVCELL($DP$3,DV$3,$DP72,$DQ$2,$DP$4,$DP$5,$DP$6,$DP$7,$DP$8,$DQ$3)/100</f>
        <v>0.97</v>
      </c>
      <c r="DW72" s="365">
        <f>_xll.LVCELL($DP$3,DW$3,$DP72,$DQ$2,$DP$4,$DP$5,$DP$6,$DP$7,$DP$8,$DQ$3)/100</f>
        <v>0.97</v>
      </c>
      <c r="DX72" s="365">
        <f>_xll.LVCELL($DP$3,DX$3,$DP72,$DQ$2,$DP$4,$DP$5,$DP$6,$DP$7,$DP$8,$DQ$3)/100</f>
        <v>0.97</v>
      </c>
      <c r="DY72" s="365">
        <f>_xll.LVCELL($DP$3,DY$3,$DP72,$DQ$2,$DP$4,$DP$5,$DP$6,$DP$7,$DP$8,$DQ$3)/100</f>
        <v>0.97</v>
      </c>
      <c r="DZ72" s="365">
        <f>_xll.LVCELL($DP$3,DZ$3,$DP72,$DQ$2,$DP$4,$DP$5,$DP$6,$DP$7,$DP$8,$DQ$3)/100</f>
        <v>0.97</v>
      </c>
      <c r="EA72" s="365">
        <f>_xll.LVCELL($DP$3,EA$3,$DP72,$DQ$2,$DP$4,$DP$5,$DP$6,$DP$7,$DP$8,$DQ$3)/100</f>
        <v>0.97</v>
      </c>
      <c r="EB72" s="365">
        <f>_xll.LVCELL($DP$3,EB$3,$DP72,$DQ$2,$DP$4,$DP$5,$DP$6,$DP$7,$DP$8,$DQ$3)/100</f>
        <v>0.97</v>
      </c>
      <c r="EC72" s="365">
        <f>_xll.LVCELL($DP$3,EC$3,$DP72,$DQ$2,$DP$4,$DP$5,$DP$6,$DP$7,$DP$8,$DQ$3)/100</f>
        <v>0.97</v>
      </c>
      <c r="ED72" s="582">
        <f t="shared" si="45"/>
        <v>11.64</v>
      </c>
      <c r="EF72" s="64" t="s">
        <v>465</v>
      </c>
      <c r="EG72" s="64" t="s">
        <v>465</v>
      </c>
      <c r="EH72" s="359" t="s">
        <v>563</v>
      </c>
      <c r="EI72" s="366" t="e">
        <f ca="1">_xll.LVCELL($EG$3,EI$3,$DP72,$DQ$2,$DP$4,$DP$5,$DP$6,$DP$7,$DP$8,$DQ$3)-CW72</f>
        <v>#NAME?</v>
      </c>
      <c r="EJ72" s="367" t="e">
        <f ca="1">_xll.LVCELL($EG$3,EJ$3,$DP72,$DQ$2,$DP$4,$DP$5,$DP$6,$DP$7,$DP$8,$DQ$3)-CX72</f>
        <v>#NAME?</v>
      </c>
      <c r="EK72" s="368" t="e">
        <f ca="1">_xll.LVCELL($EG$3,EK$3,$DP72,$DQ$2,$DP$4,$DP$5,$DP$6,$DP$7,$DP$8,$DQ$3)-CY72</f>
        <v>#NAME?</v>
      </c>
      <c r="EL72" s="367" t="e">
        <f ca="1">_xll.LVCELL($EG$3,EL$3,$DP72,$DQ$2,$DP$4,$DP$5,$DP$6,$DP$7,$DP$8,$DQ$3)-CZ72</f>
        <v>#NAME?</v>
      </c>
      <c r="EM72" s="368" t="e">
        <f ca="1">_xll.LVCELL($EG$3,EM$3,$DP72,$DQ$2,$DP$4,$DP$5,$DP$6,$DP$7,$DP$8,$DQ$3)-DA72</f>
        <v>#NAME?</v>
      </c>
      <c r="EN72" s="367" t="e">
        <f ca="1">_xll.LVCELL($EG$3,EN$3,$DP72,$DQ$2,$DP$4,$DP$5,$DP$6,$DP$7,$DP$8,$DQ$3)-DB72</f>
        <v>#NAME?</v>
      </c>
      <c r="EO72" s="368" t="e">
        <f ca="1">_xll.LVCELL($EG$3,EO$3,$DP72,$DQ$2,$DP$4,$DP$5,$DP$6,$DP$7,$DP$8,$DQ$3)-DC72</f>
        <v>#NAME?</v>
      </c>
      <c r="EP72" s="367" t="e">
        <f ca="1">_xll.LVCELL($EG$3,EP$3,$DP72,$DQ$2,$DP$4,$DP$5,$DP$6,$DP$7,$DP$8,$DQ$3)-DD72</f>
        <v>#NAME?</v>
      </c>
      <c r="EQ72" s="368" t="e">
        <f ca="1">_xll.LVCELL($EG$3,EQ$3,$DP72,$DQ$2,$DP$4,$DP$5,$DP$6,$DP$7,$DP$8,$DQ$3)-DE72</f>
        <v>#NAME?</v>
      </c>
      <c r="ER72" s="367" t="e">
        <f ca="1">_xll.LVCELL($EG$3,ER$3,$DP72,$DQ$2,$DP$4,$DP$5,$DP$6,$DP$7,$DP$8,$DQ$3)-DF72</f>
        <v>#NAME?</v>
      </c>
      <c r="ES72" s="368" t="e">
        <f ca="1">_xll.LVCELL($EG$3,ES$3,$DP72,$DQ$2,$DP$4,$DP$5,$DP$6,$DP$7,$DP$8,$DQ$3)-DG72</f>
        <v>#NAME?</v>
      </c>
      <c r="ET72" s="367" t="e">
        <f ca="1">_xll.LVCELL($EG$3,ET$3,$DP72,$DQ$2,$DP$4,$DP$5,$DP$6,$DP$7,$DP$8,$DQ$3)-DH72</f>
        <v>#NAME?</v>
      </c>
      <c r="EW72" s="64" t="s">
        <v>465</v>
      </c>
      <c r="EX72" s="64" t="s">
        <v>465</v>
      </c>
      <c r="EY72" s="359" t="s">
        <v>563</v>
      </c>
      <c r="EZ72" s="364">
        <f>_xll.LVCELL($EX$3,EZ$3,$DP72,$DQ$2,$DP$4,$DP$5,$DP$6,$DP$7,$DP$8,$DQ$3)</f>
        <v>29700</v>
      </c>
      <c r="FA72" s="364">
        <f>_xll.LVCELL($EX$3,FA$3,$DP72,$DQ$2,$DP$4,$DP$5,$DP$6,$DP$7,$DP$8,$DQ$3)</f>
        <v>29700</v>
      </c>
      <c r="FB72" s="364">
        <f>_xll.LVCELL($EX$3,FB$3,$DP72,$DQ$2,$DP$4,$DP$5,$DP$6,$DP$7,$DP$8,$DQ$3)</f>
        <v>29700</v>
      </c>
      <c r="FC72" s="364">
        <f>_xll.LVCELL($EX$3,FC$3,$DP72,$DQ$2,$DP$4,$DP$5,$DP$6,$DP$7,$DP$8,$DQ$3)</f>
        <v>29700</v>
      </c>
      <c r="FD72" s="364">
        <f>_xll.LVCELL($EX$3,FD$3,$DP72,$DQ$2,$DP$4,$DP$5,$DP$6,$DP$7,$DP$8,$DQ$3)</f>
        <v>29700</v>
      </c>
      <c r="FE72" s="364">
        <f>_xll.LVCELL($EX$3,FE$3,$DP72,$DQ$2,$DP$4,$DP$5,$DP$6,$DP$7,$DP$8,$DQ$3)</f>
        <v>29700</v>
      </c>
      <c r="FF72" s="364">
        <f>_xll.LVCELL($EX$3,FF$3,$DP72,$DQ$2,$DP$4,$DP$5,$DP$6,$DP$7,$DP$8,$DQ$3)</f>
        <v>29700</v>
      </c>
      <c r="FG72" s="364">
        <f>_xll.LVCELL($EX$3,FG$3,$DP72,$DQ$2,$DP$4,$DP$5,$DP$6,$DP$7,$DP$8,$DQ$3)</f>
        <v>29700</v>
      </c>
      <c r="FH72" s="364">
        <f>_xll.LVCELL($EX$3,FH$3,$DP72,$DQ$2,$DP$4,$DP$5,$DP$6,$DP$7,$DP$8,$DQ$3)</f>
        <v>29700</v>
      </c>
      <c r="FI72" s="364">
        <f>_xll.LVCELL($EX$3,FI$3,$DP72,$DQ$2,$DP$4,$DP$5,$DP$6,$DP$7,$DP$8,$DQ$3)</f>
        <v>29700</v>
      </c>
      <c r="FJ72" s="364">
        <f>_xll.LVCELL($EX$3,FJ$3,$DP72,$DQ$2,$DP$4,$DP$5,$DP$6,$DP$7,$DP$8,$DQ$3)</f>
        <v>29700</v>
      </c>
      <c r="FK72" s="276">
        <f>_xll.LVCELL($EX$3,FK$3,$DP72,$DQ$2,$DP$4,$DP$5,$DP$6,$DP$7,$DP$8,$DQ$3)</f>
        <v>29700</v>
      </c>
      <c r="FN72" s="64" t="s">
        <v>465</v>
      </c>
      <c r="FO72" s="64" t="s">
        <v>465</v>
      </c>
      <c r="FP72" s="359" t="s">
        <v>563</v>
      </c>
      <c r="FQ72" s="364">
        <f>_xll.LVCELL($FO$3,FQ$3,$DP72,$DQ$2,$DP$4,$DP$5,$DP$6,$DP$7,$DP$8,$DQ$3)</f>
        <v>9</v>
      </c>
      <c r="FR72" s="364">
        <f>_xll.LVCELL($FO$3,FR$3,$DP72,$DQ$2,$DP$4,$DP$5,$DP$6,$DP$7,$DP$8,$DQ$3)</f>
        <v>9</v>
      </c>
      <c r="FS72" s="364">
        <f>_xll.LVCELL($FO$3,FS$3,$DP72,$DQ$2,$DP$4,$DP$5,$DP$6,$DP$7,$DP$8,$DQ$3)</f>
        <v>9</v>
      </c>
      <c r="FT72" s="364">
        <f>_xll.LVCELL($FO$3,FT$3,$DP72,$DQ$2,$DP$4,$DP$5,$DP$6,$DP$7,$DP$8,$DQ$3)</f>
        <v>9</v>
      </c>
      <c r="FU72" s="364">
        <f>_xll.LVCELL($FO$3,FU$3,$DP72,$DQ$2,$DP$4,$DP$5,$DP$6,$DP$7,$DP$8,$DQ$3)</f>
        <v>9</v>
      </c>
      <c r="FV72" s="364">
        <f>_xll.LVCELL($FO$3,FV$3,$DP72,$DQ$2,$DP$4,$DP$5,$DP$6,$DP$7,$DP$8,$DQ$3)</f>
        <v>9</v>
      </c>
      <c r="FW72" s="364">
        <f>_xll.LVCELL($FO$3,FW$3,$DP72,$DQ$2,$DP$4,$DP$5,$DP$6,$DP$7,$DP$8,$DQ$3)</f>
        <v>9</v>
      </c>
      <c r="FX72" s="364">
        <f>_xll.LVCELL($FO$3,FX$3,$DP72,$DQ$2,$DP$4,$DP$5,$DP$6,$DP$7,$DP$8,$DQ$3)</f>
        <v>9</v>
      </c>
      <c r="FY72" s="364">
        <f>_xll.LVCELL($FO$3,FY$3,$DP72,$DQ$2,$DP$4,$DP$5,$DP$6,$DP$7,$DP$8,$DQ$3)</f>
        <v>9</v>
      </c>
      <c r="FZ72" s="364">
        <f>_xll.LVCELL($FO$3,FZ$3,$DP72,$DQ$2,$DP$4,$DP$5,$DP$6,$DP$7,$DP$8,$DQ$3)</f>
        <v>9</v>
      </c>
      <c r="GA72" s="364">
        <f>_xll.LVCELL($FO$3,GA$3,$DP72,$DQ$2,$DP$4,$DP$5,$DP$6,$DP$7,$DP$8,$DQ$3)</f>
        <v>9</v>
      </c>
      <c r="GB72" s="172">
        <f>_xll.LVCELL($FO$3,GB$3,$DP72,$DQ$2,$DP$4,$DP$5,$DP$6,$DP$7,$DP$8,$DQ$3)</f>
        <v>9</v>
      </c>
    </row>
    <row r="73" spans="2:184" ht="15">
      <c r="B73" s="64" t="s">
        <v>471</v>
      </c>
      <c r="C73" s="64" t="s">
        <v>471</v>
      </c>
      <c r="D73" s="359" t="s">
        <v>564</v>
      </c>
      <c r="E73" s="357">
        <f>_xll.LVCELL($C$3,Q$3,$C73,$D$2,$C$4,$C$5,$C$6,$C$7,$C$8,$D$3)/1000</f>
        <v>33</v>
      </c>
      <c r="F73" s="103">
        <f>'distribution mensuelle Prod B22'!$BM$36</f>
        <v>8819434.337221453</v>
      </c>
      <c r="G73" s="103">
        <f>'distribution mensuelle Prod B22'!$BM$37</f>
        <v>7222650.4756442215</v>
      </c>
      <c r="H73" s="103">
        <f>'distribution mensuelle Prod B22'!$BM$38</f>
        <v>6928297.7629543794</v>
      </c>
      <c r="I73" s="103">
        <f>'distribution mensuelle Prod B22'!$BM$39</f>
        <v>5535210.6775090145</v>
      </c>
      <c r="J73" s="103">
        <f>'distribution mensuelle Prod B22'!$BM$40</f>
        <v>5235557.6146691237</v>
      </c>
      <c r="K73" s="103">
        <f>'distribution mensuelle Prod B22'!$BM$41</f>
        <v>4312773.9835340222</v>
      </c>
      <c r="L73" s="103">
        <f>'distribution mensuelle Prod B22'!$BM$42</f>
        <v>4199891.8680300796</v>
      </c>
      <c r="M73" s="103">
        <f>'distribution mensuelle Prod B22'!$BM$43</f>
        <v>4168949.3061797046</v>
      </c>
      <c r="N73" s="103">
        <f>'distribution mensuelle Prod B22'!$BM$44</f>
        <v>5086044.4571003364</v>
      </c>
      <c r="O73" s="103">
        <f>'distribution mensuelle Prod B22'!$BM$45</f>
        <v>7097571.777782904</v>
      </c>
      <c r="P73" s="103">
        <f>'distribution mensuelle Prod B22'!$BM$46</f>
        <v>7284316.7828651601</v>
      </c>
      <c r="Q73" s="103">
        <f>'distribution mensuelle Prod B22'!$BM$47</f>
        <v>8555512.4861447196</v>
      </c>
      <c r="R73" s="67">
        <f t="shared" si="60"/>
        <v>74446211.529635116</v>
      </c>
      <c r="S73" s="381"/>
      <c r="W73" s="113" t="str">
        <f t="shared" si="61"/>
        <v>E5600</v>
      </c>
      <c r="X73" s="359" t="str">
        <f t="shared" si="62"/>
        <v>Inter deux bos (MET)</v>
      </c>
      <c r="Y73" s="299" cm="1">
        <f t="array" ref="Y73">_xll.LVCELL($D$4,F$1,$B73,$D$2,$C$4,$C$5,$C$6,$C$7,$C$8,$D$3)*1000+_xll.LVCELL($D$5,F$1,$B73,$D$2,$C$4,$C$5,$C$6,$C$7,$C$8,$D$3)*1000</f>
        <v>83.919995</v>
      </c>
      <c r="Z73" s="299" cm="1">
        <f t="array" ref="Z73">_xll.LVCELL($D$4,G$1,$B73,$D$2,$C$4,$C$5,$C$6,$C$7,$C$8,$D$3)*1000+_xll.LVCELL($D$5,G$1,$B73,$D$2,$C$4,$C$5,$C$6,$C$7,$C$8,$D$3)*1000</f>
        <v>83.920004000000006</v>
      </c>
      <c r="AA73" s="299" cm="1">
        <f t="array" ref="AA73">_xll.LVCELL($D$4,H$1,$B73,$D$2,$C$4,$C$5,$C$6,$C$7,$C$8,$D$3)*1000+_xll.LVCELL($D$5,H$1,$B73,$D$2,$C$4,$C$5,$C$6,$C$7,$C$8,$D$3)*1000</f>
        <v>83.919982314279608</v>
      </c>
      <c r="AB73" s="299" cm="1">
        <f t="array" ref="AB73">_xll.LVCELL($D$4,I$1,$B73,$D$2,$C$4,$C$5,$C$6,$C$7,$C$8,$D$3)*1000+_xll.LVCELL($D$5,I$1,$B73,$D$2,$C$4,$C$5,$C$6,$C$7,$C$8,$D$3)*1000</f>
        <v>83.919974442145389</v>
      </c>
      <c r="AC73" s="299" cm="1">
        <f t="array" ref="AC73">_xll.LVCELL($D$4,J$1,$B73,$D$2,$C$4,$C$5,$C$6,$C$7,$C$8,$D$3)*1000+_xll.LVCELL($D$5,J$1,$B73,$D$2,$C$4,$C$5,$C$6,$C$7,$C$8,$D$3)*1000</f>
        <v>83.920025534152927</v>
      </c>
      <c r="AD73" s="299" cm="1">
        <f t="array" ref="AD73">_xll.LVCELL($D$4,K$1,$B73,$D$2,$C$4,$C$5,$C$6,$C$7,$C$8,$D$3)*1000+_xll.LVCELL($D$5,K$1,$B73,$D$2,$C$4,$C$5,$C$6,$C$7,$C$8,$D$3)*1000</f>
        <v>83.919843983064979</v>
      </c>
      <c r="AE73" s="299" cm="1">
        <f t="array" ref="AE73">_xll.LVCELL($D$4,L$1,$B73,$D$2,$C$4,$C$5,$C$6,$C$7,$C$8,$D$3)*1000+_xll.LVCELL($D$5,L$1,$B73,$D$2,$C$4,$C$5,$C$6,$C$7,$C$8,$D$3)*1000</f>
        <v>83.920017108639868</v>
      </c>
      <c r="AF73" s="299">
        <f>$AD$73</f>
        <v>83.919843983064979</v>
      </c>
      <c r="AG73" s="299">
        <f t="shared" si="53"/>
        <v>83.919843983064979</v>
      </c>
      <c r="AH73" s="299">
        <f t="shared" si="53"/>
        <v>83.919843983064979</v>
      </c>
      <c r="AI73" s="411">
        <f t="shared" si="54"/>
        <v>85.850000394675476</v>
      </c>
      <c r="AJ73" s="412">
        <f t="shared" si="55"/>
        <v>85.850000394675476</v>
      </c>
      <c r="AK73" s="414"/>
      <c r="AL73" s="134">
        <f t="shared" si="63"/>
        <v>2.3E-2</v>
      </c>
      <c r="AM73" s="134"/>
      <c r="AN73" s="134"/>
      <c r="AO73" s="134"/>
      <c r="AP73" s="113" t="str">
        <f t="shared" si="38"/>
        <v>E5600</v>
      </c>
      <c r="AQ73" s="567" t="str">
        <f t="shared" si="39"/>
        <v>Inter deux bos (MET)</v>
      </c>
      <c r="AR73" s="377"/>
      <c r="AS73" s="377"/>
      <c r="AT73" s="377"/>
      <c r="AU73" s="377"/>
      <c r="AV73" s="377"/>
      <c r="AW73" s="377"/>
      <c r="AX73" s="377"/>
      <c r="AY73" s="377"/>
      <c r="AZ73" s="377"/>
      <c r="BA73" s="377"/>
      <c r="BB73" s="377"/>
      <c r="BC73" s="378"/>
      <c r="BD73" s="414"/>
      <c r="BE73" s="134"/>
      <c r="BF73" s="134"/>
      <c r="BG73" s="134"/>
      <c r="BH73" s="134"/>
      <c r="BI73" s="113" t="str">
        <f t="shared" si="40"/>
        <v>E5600</v>
      </c>
      <c r="BJ73" s="567" t="str">
        <f t="shared" si="41"/>
        <v>Inter deux bos (MET)</v>
      </c>
      <c r="BK73" s="299">
        <f t="shared" si="87"/>
        <v>85.850000394675476</v>
      </c>
      <c r="BL73" s="299">
        <f t="shared" si="91"/>
        <v>85.850000394675476</v>
      </c>
      <c r="BM73" s="299">
        <f t="shared" si="91"/>
        <v>85.850000394675476</v>
      </c>
      <c r="BN73" s="299">
        <f t="shared" si="91"/>
        <v>85.850000394675476</v>
      </c>
      <c r="BO73" s="299">
        <f t="shared" si="91"/>
        <v>85.850000394675476</v>
      </c>
      <c r="BP73" s="299">
        <f t="shared" si="91"/>
        <v>85.850000394675476</v>
      </c>
      <c r="BQ73" s="299">
        <f t="shared" si="91"/>
        <v>85.850000394675476</v>
      </c>
      <c r="BR73" s="299">
        <f t="shared" si="91"/>
        <v>85.850000394675476</v>
      </c>
      <c r="BS73" s="299">
        <f t="shared" si="91"/>
        <v>85.850000394675476</v>
      </c>
      <c r="BT73" s="299">
        <f t="shared" si="91"/>
        <v>85.850000394675476</v>
      </c>
      <c r="BU73" s="299">
        <f t="shared" si="89"/>
        <v>87.824550403753008</v>
      </c>
      <c r="BV73" s="370">
        <f t="shared" si="90"/>
        <v>87.824550403753008</v>
      </c>
      <c r="BW73" s="414"/>
      <c r="BX73" s="134"/>
      <c r="BY73" s="134"/>
      <c r="BZ73" s="134"/>
      <c r="CA73" s="134"/>
      <c r="CB73" s="113" t="str">
        <f t="shared" si="64"/>
        <v>E5600</v>
      </c>
      <c r="CC73" s="373" t="str">
        <f t="shared" si="65"/>
        <v>Inter deux bos (MET)</v>
      </c>
      <c r="CD73" s="299">
        <f t="shared" si="43"/>
        <v>85.850000394675476</v>
      </c>
      <c r="CE73" s="299">
        <f t="shared" si="7"/>
        <v>85.850000394675476</v>
      </c>
      <c r="CF73" s="299">
        <f t="shared" si="8"/>
        <v>85.850000394675476</v>
      </c>
      <c r="CG73" s="299">
        <f t="shared" si="9"/>
        <v>85.850000394675476</v>
      </c>
      <c r="CH73" s="299">
        <f t="shared" si="10"/>
        <v>85.850000394675476</v>
      </c>
      <c r="CI73" s="299">
        <f t="shared" si="11"/>
        <v>85.850000394675476</v>
      </c>
      <c r="CJ73" s="299">
        <f t="shared" si="12"/>
        <v>85.850000394675476</v>
      </c>
      <c r="CK73" s="299">
        <f t="shared" si="13"/>
        <v>85.850000394675476</v>
      </c>
      <c r="CL73" s="299">
        <f t="shared" si="14"/>
        <v>85.850000394675476</v>
      </c>
      <c r="CM73" s="299">
        <f t="shared" si="15"/>
        <v>85.850000394675476</v>
      </c>
      <c r="CN73" s="299">
        <f t="shared" si="16"/>
        <v>87.824550403753008</v>
      </c>
      <c r="CO73" s="370">
        <f t="shared" si="17"/>
        <v>87.824550403753008</v>
      </c>
      <c r="CP73" s="414"/>
      <c r="CQ73" s="134">
        <f t="shared" si="66"/>
        <v>4.0000000000000001E-3</v>
      </c>
      <c r="CU73" s="113" t="str">
        <f t="shared" si="67"/>
        <v>E5600</v>
      </c>
      <c r="CV73" s="359" t="str">
        <f t="shared" si="68"/>
        <v>Inter deux bos (MET)</v>
      </c>
      <c r="CW73" s="300">
        <f t="shared" si="69"/>
        <v>757148.4413312762</v>
      </c>
      <c r="CX73" s="298">
        <f t="shared" si="70"/>
        <v>620064.54618465947</v>
      </c>
      <c r="CY73" s="298">
        <f t="shared" si="71"/>
        <v>594794.36568406271</v>
      </c>
      <c r="CZ73" s="298">
        <f t="shared" si="72"/>
        <v>475197.83884876082</v>
      </c>
      <c r="DA73" s="298">
        <f t="shared" si="73"/>
        <v>449472.6232856905</v>
      </c>
      <c r="DB73" s="298">
        <f t="shared" si="74"/>
        <v>370251.64818854193</v>
      </c>
      <c r="DC73" s="298">
        <f t="shared" si="75"/>
        <v>360560.71852797671</v>
      </c>
      <c r="DD73" s="298">
        <f t="shared" si="76"/>
        <v>357904.29958090972</v>
      </c>
      <c r="DE73" s="298">
        <f t="shared" si="77"/>
        <v>436636.91864940093</v>
      </c>
      <c r="DF73" s="298">
        <f t="shared" si="78"/>
        <v>609326.53992389992</v>
      </c>
      <c r="DG73" s="371">
        <f t="shared" si="79"/>
        <v>639741.84645364515</v>
      </c>
      <c r="DH73" s="372">
        <f t="shared" si="80"/>
        <v>751384.0375693551</v>
      </c>
      <c r="DI73" s="67">
        <f t="shared" si="81"/>
        <v>6422483.8242281796</v>
      </c>
      <c r="DJ73" s="364">
        <f>_xll.LVCELL($E$1,Q$2,$C73,$D$2,$C$4,$C$5,$C$6,$C$7,$C$8,$D$3)+_xll.LVCELL($E$2,Q$2,$C73,$D$2,$C$4,$C$5,$C$6,$C$7,$C$8,$D$3)</f>
        <v>6422483.7487019524</v>
      </c>
      <c r="DK73" s="82">
        <f t="shared" si="44"/>
        <v>7.5526227243244648E-2</v>
      </c>
      <c r="DM73" s="518">
        <f t="shared" si="82"/>
        <v>86.270122982303207</v>
      </c>
      <c r="DO73" s="64" t="str">
        <f t="shared" si="83"/>
        <v>E5600</v>
      </c>
      <c r="DP73" s="64" t="str">
        <f t="shared" si="84"/>
        <v>E5600</v>
      </c>
      <c r="DQ73" s="359" t="str">
        <f t="shared" si="85"/>
        <v>Inter deux bos (MET)</v>
      </c>
      <c r="DR73" s="365">
        <f>_xll.LVCELL($DP$3,DR$3,$DP73,$DQ$2,$DP$4,$DP$5,$DP$6,$DP$7,$DP$8,$DQ$3)/100</f>
        <v>0.97</v>
      </c>
      <c r="DS73" s="365">
        <f>_xll.LVCELL($DP$3,DS$3,$DP73,$DQ$2,$DP$4,$DP$5,$DP$6,$DP$7,$DP$8,$DQ$3)/100</f>
        <v>0.97</v>
      </c>
      <c r="DT73" s="365">
        <f>_xll.LVCELL($DP$3,DT$3,$DP73,$DQ$2,$DP$4,$DP$5,$DP$6,$DP$7,$DP$8,$DQ$3)/100</f>
        <v>0.97</v>
      </c>
      <c r="DU73" s="365">
        <f>_xll.LVCELL($DP$3,DU$3,$DP73,$DQ$2,$DP$4,$DP$5,$DP$6,$DP$7,$DP$8,$DQ$3)/100</f>
        <v>0.97</v>
      </c>
      <c r="DV73" s="365">
        <f>_xll.LVCELL($DP$3,DV$3,$DP73,$DQ$2,$DP$4,$DP$5,$DP$6,$DP$7,$DP$8,$DQ$3)/100</f>
        <v>0.97</v>
      </c>
      <c r="DW73" s="365">
        <f>_xll.LVCELL($DP$3,DW$3,$DP73,$DQ$2,$DP$4,$DP$5,$DP$6,$DP$7,$DP$8,$DQ$3)/100</f>
        <v>0.97</v>
      </c>
      <c r="DX73" s="365">
        <f>_xll.LVCELL($DP$3,DX$3,$DP73,$DQ$2,$DP$4,$DP$5,$DP$6,$DP$7,$DP$8,$DQ$3)/100</f>
        <v>0.97</v>
      </c>
      <c r="DY73" s="365">
        <f>_xll.LVCELL($DP$3,DY$3,$DP73,$DQ$2,$DP$4,$DP$5,$DP$6,$DP$7,$DP$8,$DQ$3)/100</f>
        <v>0.97</v>
      </c>
      <c r="DZ73" s="365">
        <f>_xll.LVCELL($DP$3,DZ$3,$DP73,$DQ$2,$DP$4,$DP$5,$DP$6,$DP$7,$DP$8,$DQ$3)/100</f>
        <v>0.97</v>
      </c>
      <c r="EA73" s="365">
        <f>_xll.LVCELL($DP$3,EA$3,$DP73,$DQ$2,$DP$4,$DP$5,$DP$6,$DP$7,$DP$8,$DQ$3)/100</f>
        <v>0.97</v>
      </c>
      <c r="EB73" s="365">
        <f>_xll.LVCELL($DP$3,EB$3,$DP73,$DQ$2,$DP$4,$DP$5,$DP$6,$DP$7,$DP$8,$DQ$3)/100</f>
        <v>0.97</v>
      </c>
      <c r="EC73" s="365">
        <f>_xll.LVCELL($DP$3,EC$3,$DP73,$DQ$2,$DP$4,$DP$5,$DP$6,$DP$7,$DP$8,$DQ$3)/100</f>
        <v>0.97</v>
      </c>
      <c r="ED73" s="582">
        <f t="shared" si="45"/>
        <v>11.64</v>
      </c>
      <c r="EF73" s="64" t="s">
        <v>471</v>
      </c>
      <c r="EG73" s="64" t="s">
        <v>471</v>
      </c>
      <c r="EH73" s="359" t="s">
        <v>564</v>
      </c>
      <c r="EI73" s="366" t="e">
        <f ca="1">_xll.LVCELL($EG$3,EI$3,$DP73,$DQ$2,$DP$4,$DP$5,$DP$6,$DP$7,$DP$8,$DQ$3)-CW73</f>
        <v>#NAME?</v>
      </c>
      <c r="EJ73" s="367" t="e">
        <f ca="1">_xll.LVCELL($EG$3,EJ$3,$DP73,$DQ$2,$DP$4,$DP$5,$DP$6,$DP$7,$DP$8,$DQ$3)-CX73</f>
        <v>#NAME?</v>
      </c>
      <c r="EK73" s="368" t="e">
        <f ca="1">_xll.LVCELL($EG$3,EK$3,$DP73,$DQ$2,$DP$4,$DP$5,$DP$6,$DP$7,$DP$8,$DQ$3)-CY73</f>
        <v>#NAME?</v>
      </c>
      <c r="EL73" s="367" t="e">
        <f ca="1">_xll.LVCELL($EG$3,EL$3,$DP73,$DQ$2,$DP$4,$DP$5,$DP$6,$DP$7,$DP$8,$DQ$3)-CZ73</f>
        <v>#NAME?</v>
      </c>
      <c r="EM73" s="368" t="e">
        <f ca="1">_xll.LVCELL($EG$3,EM$3,$DP73,$DQ$2,$DP$4,$DP$5,$DP$6,$DP$7,$DP$8,$DQ$3)-DA73</f>
        <v>#NAME?</v>
      </c>
      <c r="EN73" s="367" t="e">
        <f ca="1">_xll.LVCELL($EG$3,EN$3,$DP73,$DQ$2,$DP$4,$DP$5,$DP$6,$DP$7,$DP$8,$DQ$3)-DB73</f>
        <v>#NAME?</v>
      </c>
      <c r="EO73" s="368" t="e">
        <f ca="1">_xll.LVCELL($EG$3,EO$3,$DP73,$DQ$2,$DP$4,$DP$5,$DP$6,$DP$7,$DP$8,$DQ$3)-DC73</f>
        <v>#NAME?</v>
      </c>
      <c r="EP73" s="367" t="e">
        <f ca="1">_xll.LVCELL($EG$3,EP$3,$DP73,$DQ$2,$DP$4,$DP$5,$DP$6,$DP$7,$DP$8,$DQ$3)-DD73</f>
        <v>#NAME?</v>
      </c>
      <c r="EQ73" s="368" t="e">
        <f ca="1">_xll.LVCELL($EG$3,EQ$3,$DP73,$DQ$2,$DP$4,$DP$5,$DP$6,$DP$7,$DP$8,$DQ$3)-DE73</f>
        <v>#NAME?</v>
      </c>
      <c r="ER73" s="367" t="e">
        <f ca="1">_xll.LVCELL($EG$3,ER$3,$DP73,$DQ$2,$DP$4,$DP$5,$DP$6,$DP$7,$DP$8,$DQ$3)-DF73</f>
        <v>#NAME?</v>
      </c>
      <c r="ES73" s="368" t="e">
        <f ca="1">_xll.LVCELL($EG$3,ES$3,$DP73,$DQ$2,$DP$4,$DP$5,$DP$6,$DP$7,$DP$8,$DQ$3)-DG73</f>
        <v>#NAME?</v>
      </c>
      <c r="ET73" s="367" t="e">
        <f ca="1">_xll.LVCELL($EG$3,ET$3,$DP73,$DQ$2,$DP$4,$DP$5,$DP$6,$DP$7,$DP$8,$DQ$3)-DH73</f>
        <v>#NAME?</v>
      </c>
      <c r="EW73" s="64" t="s">
        <v>471</v>
      </c>
      <c r="EX73" s="64" t="s">
        <v>471</v>
      </c>
      <c r="EY73" s="359" t="s">
        <v>564</v>
      </c>
      <c r="EZ73" s="364">
        <f>_xll.LVCELL($EX$3,EZ$3,$DP73,$DQ$2,$DP$4,$DP$5,$DP$6,$DP$7,$DP$8,$DQ$3)</f>
        <v>33000</v>
      </c>
      <c r="FA73" s="364">
        <f>_xll.LVCELL($EX$3,FA$3,$DP73,$DQ$2,$DP$4,$DP$5,$DP$6,$DP$7,$DP$8,$DQ$3)</f>
        <v>33000</v>
      </c>
      <c r="FB73" s="364">
        <f>_xll.LVCELL($EX$3,FB$3,$DP73,$DQ$2,$DP$4,$DP$5,$DP$6,$DP$7,$DP$8,$DQ$3)</f>
        <v>33000</v>
      </c>
      <c r="FC73" s="364">
        <f>_xll.LVCELL($EX$3,FC$3,$DP73,$DQ$2,$DP$4,$DP$5,$DP$6,$DP$7,$DP$8,$DQ$3)</f>
        <v>33000</v>
      </c>
      <c r="FD73" s="364">
        <f>_xll.LVCELL($EX$3,FD$3,$DP73,$DQ$2,$DP$4,$DP$5,$DP$6,$DP$7,$DP$8,$DQ$3)</f>
        <v>33000</v>
      </c>
      <c r="FE73" s="364">
        <f>_xll.LVCELL($EX$3,FE$3,$DP73,$DQ$2,$DP$4,$DP$5,$DP$6,$DP$7,$DP$8,$DQ$3)</f>
        <v>33000</v>
      </c>
      <c r="FF73" s="364">
        <f>_xll.LVCELL($EX$3,FF$3,$DP73,$DQ$2,$DP$4,$DP$5,$DP$6,$DP$7,$DP$8,$DQ$3)</f>
        <v>33000</v>
      </c>
      <c r="FG73" s="364">
        <f>_xll.LVCELL($EX$3,FG$3,$DP73,$DQ$2,$DP$4,$DP$5,$DP$6,$DP$7,$DP$8,$DQ$3)</f>
        <v>33000</v>
      </c>
      <c r="FH73" s="364">
        <f>_xll.LVCELL($EX$3,FH$3,$DP73,$DQ$2,$DP$4,$DP$5,$DP$6,$DP$7,$DP$8,$DQ$3)</f>
        <v>33000</v>
      </c>
      <c r="FI73" s="364">
        <f>_xll.LVCELL($EX$3,FI$3,$DP73,$DQ$2,$DP$4,$DP$5,$DP$6,$DP$7,$DP$8,$DQ$3)</f>
        <v>33000</v>
      </c>
      <c r="FJ73" s="364">
        <f>_xll.LVCELL($EX$3,FJ$3,$DP73,$DQ$2,$DP$4,$DP$5,$DP$6,$DP$7,$DP$8,$DQ$3)</f>
        <v>33000</v>
      </c>
      <c r="FK73" s="276">
        <f>_xll.LVCELL($EX$3,FK$3,$DP73,$DQ$2,$DP$4,$DP$5,$DP$6,$DP$7,$DP$8,$DQ$3)</f>
        <v>33000</v>
      </c>
      <c r="FN73" s="64" t="s">
        <v>471</v>
      </c>
      <c r="FO73" s="64" t="s">
        <v>471</v>
      </c>
      <c r="FP73" s="359" t="s">
        <v>564</v>
      </c>
      <c r="FQ73" s="364">
        <f>_xll.LVCELL($FO$3,FQ$3,$DP73,$DQ$2,$DP$4,$DP$5,$DP$6,$DP$7,$DP$8,$DQ$3)</f>
        <v>10</v>
      </c>
      <c r="FR73" s="364">
        <f>_xll.LVCELL($FO$3,FR$3,$DP73,$DQ$2,$DP$4,$DP$5,$DP$6,$DP$7,$DP$8,$DQ$3)</f>
        <v>10</v>
      </c>
      <c r="FS73" s="364">
        <f>_xll.LVCELL($FO$3,FS$3,$DP73,$DQ$2,$DP$4,$DP$5,$DP$6,$DP$7,$DP$8,$DQ$3)</f>
        <v>10</v>
      </c>
      <c r="FT73" s="364">
        <f>_xll.LVCELL($FO$3,FT$3,$DP73,$DQ$2,$DP$4,$DP$5,$DP$6,$DP$7,$DP$8,$DQ$3)</f>
        <v>10</v>
      </c>
      <c r="FU73" s="364">
        <f>_xll.LVCELL($FO$3,FU$3,$DP73,$DQ$2,$DP$4,$DP$5,$DP$6,$DP$7,$DP$8,$DQ$3)</f>
        <v>10</v>
      </c>
      <c r="FV73" s="364">
        <f>_xll.LVCELL($FO$3,FV$3,$DP73,$DQ$2,$DP$4,$DP$5,$DP$6,$DP$7,$DP$8,$DQ$3)</f>
        <v>10</v>
      </c>
      <c r="FW73" s="364">
        <f>_xll.LVCELL($FO$3,FW$3,$DP73,$DQ$2,$DP$4,$DP$5,$DP$6,$DP$7,$DP$8,$DQ$3)</f>
        <v>10</v>
      </c>
      <c r="FX73" s="364">
        <f>_xll.LVCELL($FO$3,FX$3,$DP73,$DQ$2,$DP$4,$DP$5,$DP$6,$DP$7,$DP$8,$DQ$3)</f>
        <v>10</v>
      </c>
      <c r="FY73" s="364">
        <f>_xll.LVCELL($FO$3,FY$3,$DP73,$DQ$2,$DP$4,$DP$5,$DP$6,$DP$7,$DP$8,$DQ$3)</f>
        <v>10</v>
      </c>
      <c r="FZ73" s="364">
        <f>_xll.LVCELL($FO$3,FZ$3,$DP73,$DQ$2,$DP$4,$DP$5,$DP$6,$DP$7,$DP$8,$DQ$3)</f>
        <v>10</v>
      </c>
      <c r="GA73" s="364">
        <f>_xll.LVCELL($FO$3,GA$3,$DP73,$DQ$2,$DP$4,$DP$5,$DP$6,$DP$7,$DP$8,$DQ$3)</f>
        <v>10</v>
      </c>
      <c r="GB73" s="172">
        <f>_xll.LVCELL($FO$3,GB$3,$DP73,$DQ$2,$DP$4,$DP$5,$DP$6,$DP$7,$DP$8,$DQ$3)</f>
        <v>10</v>
      </c>
    </row>
    <row r="74" spans="2:184" ht="15">
      <c r="B74" s="64" t="s">
        <v>468</v>
      </c>
      <c r="C74" s="64" t="s">
        <v>468</v>
      </c>
      <c r="D74" s="359" t="s">
        <v>565</v>
      </c>
      <c r="E74" s="357">
        <f>_xll.LVCELL($C$3,Q$3,$C74,$D$2,$C$4,$C$5,$C$6,$C$7,$C$8,$D$3)/1000</f>
        <v>19.8</v>
      </c>
      <c r="F74" s="103">
        <f>'distribution mensuelle Prod B22'!$BN$36</f>
        <v>6013001.5640992662</v>
      </c>
      <c r="G74" s="103">
        <f>'distribution mensuelle Prod B22'!$BN$37</f>
        <v>4977170.6908618612</v>
      </c>
      <c r="H74" s="103">
        <f>'distribution mensuelle Prod B22'!$BN$38</f>
        <v>4864098.2751881536</v>
      </c>
      <c r="I74" s="103">
        <f>'distribution mensuelle Prod B22'!$BN$39</f>
        <v>3941622.7795093553</v>
      </c>
      <c r="J74" s="103">
        <f>'distribution mensuelle Prod B22'!$BN$40</f>
        <v>3780916.1489901766</v>
      </c>
      <c r="K74" s="103">
        <f>'distribution mensuelle Prod B22'!$BN$41</f>
        <v>3146608.7144311015</v>
      </c>
      <c r="L74" s="103">
        <f>'distribution mensuelle Prod B22'!$BN$42</f>
        <v>3071371.0034020641</v>
      </c>
      <c r="M74" s="103">
        <f>'distribution mensuelle Prod B22'!$BN$43</f>
        <v>3044595.7148893042</v>
      </c>
      <c r="N74" s="103">
        <f>'distribution mensuelle Prod B22'!$BN$44</f>
        <v>3617728.1604034011</v>
      </c>
      <c r="O74" s="103">
        <f>'distribution mensuelle Prod B22'!$BN$45</f>
        <v>4894524.7394071985</v>
      </c>
      <c r="P74" s="103">
        <f>'distribution mensuelle Prod B22'!$BN$46</f>
        <v>4962774.1786543131</v>
      </c>
      <c r="Q74" s="103">
        <f>'distribution mensuelle Prod B22'!$BN$47</f>
        <v>5830442.7787849996</v>
      </c>
      <c r="R74" s="67">
        <f t="shared" si="60"/>
        <v>52144854.748621196</v>
      </c>
      <c r="S74" s="381"/>
      <c r="W74" s="113" t="str">
        <f t="shared" si="61"/>
        <v>E5700</v>
      </c>
      <c r="X74" s="359" t="str">
        <f t="shared" si="62"/>
        <v>Haut de Comble (HC)</v>
      </c>
      <c r="Y74" s="299" cm="1">
        <f t="array" ref="Y74">_xll.LVCELL($D$4,F$1,$B74,$D$2,$C$4,$C$5,$C$6,$C$7,$C$8,$D$3)*1000+_xll.LVCELL($D$5,F$1,$B74,$D$2,$C$4,$C$5,$C$6,$C$7,$C$8,$D$3)*1000</f>
        <v>83.460000000000008</v>
      </c>
      <c r="Z74" s="299" cm="1">
        <f t="array" ref="Z74">_xll.LVCELL($D$4,G$1,$B74,$D$2,$C$4,$C$5,$C$6,$C$7,$C$8,$D$3)*1000+_xll.LVCELL($D$5,G$1,$B74,$D$2,$C$4,$C$5,$C$6,$C$7,$C$8,$D$3)*1000</f>
        <v>83.459996999999987</v>
      </c>
      <c r="AA74" s="299" cm="1">
        <f t="array" ref="AA74">_xll.LVCELL($D$4,H$1,$B74,$D$2,$C$4,$C$5,$C$6,$C$7,$C$8,$D$3)*1000+_xll.LVCELL($D$5,H$1,$B74,$D$2,$C$4,$C$5,$C$6,$C$7,$C$8,$D$3)*1000</f>
        <v>83.460004949962922</v>
      </c>
      <c r="AB74" s="299" cm="1">
        <f t="array" ref="AB74">_xll.LVCELL($D$4,I$1,$B74,$D$2,$C$4,$C$5,$C$6,$C$7,$C$8,$D$3)*1000+_xll.LVCELL($D$5,I$1,$B74,$D$2,$C$4,$C$5,$C$6,$C$7,$C$8,$D$3)*1000</f>
        <v>83.460003172959517</v>
      </c>
      <c r="AC74" s="299" cm="1">
        <f t="array" ref="AC74">_xll.LVCELL($D$4,J$1,$B74,$D$2,$C$4,$C$5,$C$6,$C$7,$C$8,$D$3)*1000+_xll.LVCELL($D$5,J$1,$B74,$D$2,$C$4,$C$5,$C$6,$C$7,$C$8,$D$3)*1000</f>
        <v>83.46000353299975</v>
      </c>
      <c r="AD74" s="299" cm="1">
        <f t="array" ref="AD74">_xll.LVCELL($D$4,K$1,$B74,$D$2,$C$4,$C$5,$C$6,$C$7,$C$8,$D$3)*1000+_xll.LVCELL($D$5,K$1,$B74,$D$2,$C$4,$C$5,$C$6,$C$7,$C$8,$D$3)*1000</f>
        <v>83.459973751627928</v>
      </c>
      <c r="AE74" s="299" cm="1">
        <f t="array" ref="AE74">_xll.LVCELL($D$4,L$1,$B74,$D$2,$C$4,$C$5,$C$6,$C$7,$C$8,$D$3)*1000+_xll.LVCELL($D$5,L$1,$B74,$D$2,$C$4,$C$5,$C$6,$C$7,$C$8,$D$3)*1000</f>
        <v>83.459996717995892</v>
      </c>
      <c r="AF74" s="299">
        <f>$AD$74</f>
        <v>83.459973751627928</v>
      </c>
      <c r="AG74" s="299">
        <f t="shared" si="53"/>
        <v>83.459973751627928</v>
      </c>
      <c r="AH74" s="299">
        <f t="shared" si="53"/>
        <v>83.459973751627928</v>
      </c>
      <c r="AI74" s="411">
        <f t="shared" si="54"/>
        <v>85.379553147915374</v>
      </c>
      <c r="AJ74" s="412">
        <f t="shared" si="55"/>
        <v>85.379553147915374</v>
      </c>
      <c r="AK74" s="414"/>
      <c r="AL74" s="134">
        <f t="shared" si="63"/>
        <v>2.3E-2</v>
      </c>
      <c r="AM74" s="134"/>
      <c r="AN74" s="134"/>
      <c r="AO74" s="134"/>
      <c r="AP74" s="113" t="str">
        <f t="shared" si="38"/>
        <v>E5700</v>
      </c>
      <c r="AQ74" s="567" t="str">
        <f t="shared" si="39"/>
        <v>Haut de Comble (HC)</v>
      </c>
      <c r="AR74" s="377"/>
      <c r="AS74" s="377"/>
      <c r="AT74" s="377"/>
      <c r="AU74" s="377"/>
      <c r="AV74" s="377"/>
      <c r="AW74" s="377"/>
      <c r="AX74" s="377"/>
      <c r="AY74" s="377"/>
      <c r="AZ74" s="377"/>
      <c r="BA74" s="377"/>
      <c r="BB74" s="377"/>
      <c r="BC74" s="378"/>
      <c r="BD74" s="414"/>
      <c r="BE74" s="134"/>
      <c r="BF74" s="134"/>
      <c r="BG74" s="134"/>
      <c r="BH74" s="134"/>
      <c r="BI74" s="113" t="str">
        <f t="shared" si="40"/>
        <v>E5700</v>
      </c>
      <c r="BJ74" s="567" t="str">
        <f t="shared" si="41"/>
        <v>Haut de Comble (HC)</v>
      </c>
      <c r="BK74" s="299">
        <f t="shared" si="87"/>
        <v>85.379553147915374</v>
      </c>
      <c r="BL74" s="299">
        <f t="shared" si="91"/>
        <v>85.379553147915374</v>
      </c>
      <c r="BM74" s="299">
        <f t="shared" si="91"/>
        <v>85.379553147915374</v>
      </c>
      <c r="BN74" s="299">
        <f t="shared" si="91"/>
        <v>85.379553147915374</v>
      </c>
      <c r="BO74" s="299">
        <f t="shared" si="91"/>
        <v>85.379553147915374</v>
      </c>
      <c r="BP74" s="299">
        <f t="shared" si="91"/>
        <v>85.379553147915374</v>
      </c>
      <c r="BQ74" s="299">
        <f t="shared" si="91"/>
        <v>85.379553147915374</v>
      </c>
      <c r="BR74" s="299">
        <f t="shared" si="91"/>
        <v>85.379553147915374</v>
      </c>
      <c r="BS74" s="299">
        <f t="shared" si="91"/>
        <v>85.379553147915374</v>
      </c>
      <c r="BT74" s="299">
        <f t="shared" si="91"/>
        <v>85.379553147915374</v>
      </c>
      <c r="BU74" s="299">
        <f t="shared" si="89"/>
        <v>87.343282870317424</v>
      </c>
      <c r="BV74" s="370">
        <f t="shared" si="90"/>
        <v>87.343282870317424</v>
      </c>
      <c r="BW74" s="414"/>
      <c r="BX74" s="134"/>
      <c r="BY74" s="134"/>
      <c r="BZ74" s="134"/>
      <c r="CA74" s="134"/>
      <c r="CB74" s="113" t="str">
        <f t="shared" si="64"/>
        <v>E5700</v>
      </c>
      <c r="CC74" s="373" t="str">
        <f t="shared" si="65"/>
        <v>Haut de Comble (HC)</v>
      </c>
      <c r="CD74" s="299">
        <f t="shared" si="43"/>
        <v>85.379553147915374</v>
      </c>
      <c r="CE74" s="299">
        <f t="shared" si="7"/>
        <v>85.379553147915374</v>
      </c>
      <c r="CF74" s="299">
        <f t="shared" si="8"/>
        <v>85.379553147915374</v>
      </c>
      <c r="CG74" s="299">
        <f t="shared" si="9"/>
        <v>85.379553147915374</v>
      </c>
      <c r="CH74" s="299">
        <f t="shared" si="10"/>
        <v>85.379553147915374</v>
      </c>
      <c r="CI74" s="299">
        <f t="shared" si="11"/>
        <v>85.379553147915374</v>
      </c>
      <c r="CJ74" s="299">
        <f t="shared" si="12"/>
        <v>85.379553147915374</v>
      </c>
      <c r="CK74" s="299">
        <f t="shared" si="13"/>
        <v>85.379553147915374</v>
      </c>
      <c r="CL74" s="299">
        <f t="shared" si="14"/>
        <v>85.379553147915374</v>
      </c>
      <c r="CM74" s="299">
        <f t="shared" si="15"/>
        <v>85.379553147915374</v>
      </c>
      <c r="CN74" s="299">
        <f t="shared" si="16"/>
        <v>87.343282870317424</v>
      </c>
      <c r="CO74" s="370">
        <f t="shared" si="17"/>
        <v>87.343282870317424</v>
      </c>
      <c r="CP74" s="414"/>
      <c r="CQ74" s="134">
        <f t="shared" si="66"/>
        <v>4.0000000000000001E-3</v>
      </c>
      <c r="CU74" s="113" t="str">
        <f t="shared" si="67"/>
        <v>E5700</v>
      </c>
      <c r="CV74" s="359" t="str">
        <f t="shared" si="68"/>
        <v>Haut de Comble (HC)</v>
      </c>
      <c r="CW74" s="300">
        <f t="shared" si="69"/>
        <v>513387.38662051153</v>
      </c>
      <c r="CX74" s="298">
        <f t="shared" si="70"/>
        <v>424948.60952668695</v>
      </c>
      <c r="CY74" s="298">
        <f t="shared" si="71"/>
        <v>415294.53720311046</v>
      </c>
      <c r="CZ74" s="298">
        <f t="shared" si="72"/>
        <v>336533.99159215292</v>
      </c>
      <c r="DA74" s="298">
        <f t="shared" si="73"/>
        <v>322812.93129051832</v>
      </c>
      <c r="DB74" s="298">
        <f t="shared" si="74"/>
        <v>268656.04596946388</v>
      </c>
      <c r="DC74" s="298">
        <f t="shared" si="75"/>
        <v>262232.28382193268</v>
      </c>
      <c r="DD74" s="298">
        <f t="shared" si="76"/>
        <v>259946.22165330674</v>
      </c>
      <c r="DE74" s="298">
        <f t="shared" si="77"/>
        <v>308880.0137458723</v>
      </c>
      <c r="DF74" s="298">
        <f t="shared" si="78"/>
        <v>417892.33512200351</v>
      </c>
      <c r="DG74" s="371">
        <f t="shared" si="79"/>
        <v>433464.98890771088</v>
      </c>
      <c r="DH74" s="372">
        <f t="shared" si="80"/>
        <v>509250.0128866178</v>
      </c>
      <c r="DI74" s="67">
        <f t="shared" si="81"/>
        <v>4473299.3583398871</v>
      </c>
      <c r="DJ74" s="364">
        <f>_xll.LVCELL($E$1,Q$2,$C74,$D$2,$C$4,$C$5,$C$6,$C$7,$C$8,$D$3)+_xll.LVCELL($E$2,Q$2,$C74,$D$2,$C$4,$C$5,$C$6,$C$7,$C$8,$D$3)</f>
        <v>4473299.4605487781</v>
      </c>
      <c r="DK74" s="82">
        <f t="shared" si="44"/>
        <v>-0.1022088909521699</v>
      </c>
      <c r="DM74" s="518">
        <f t="shared" si="82"/>
        <v>85.786016279164514</v>
      </c>
      <c r="DO74" s="64" t="str">
        <f t="shared" si="83"/>
        <v>E5700</v>
      </c>
      <c r="DP74" s="64" t="str">
        <f t="shared" si="84"/>
        <v>E5700</v>
      </c>
      <c r="DQ74" s="359" t="str">
        <f t="shared" si="85"/>
        <v>Haut de Comble (HC)</v>
      </c>
      <c r="DR74" s="365">
        <f>_xll.LVCELL($DP$3,DR$3,$DP74,$DQ$2,$DP$4,$DP$5,$DP$6,$DP$7,$DP$8,$DQ$3)/100</f>
        <v>0.96999999999999986</v>
      </c>
      <c r="DS74" s="365">
        <f>_xll.LVCELL($DP$3,DS$3,$DP74,$DQ$2,$DP$4,$DP$5,$DP$6,$DP$7,$DP$8,$DQ$3)/100</f>
        <v>0.97</v>
      </c>
      <c r="DT74" s="365">
        <f>_xll.LVCELL($DP$3,DT$3,$DP74,$DQ$2,$DP$4,$DP$5,$DP$6,$DP$7,$DP$8,$DQ$3)/100</f>
        <v>0.96999999999999986</v>
      </c>
      <c r="DU74" s="365">
        <f>_xll.LVCELL($DP$3,DU$3,$DP74,$DQ$2,$DP$4,$DP$5,$DP$6,$DP$7,$DP$8,$DQ$3)/100</f>
        <v>0.97</v>
      </c>
      <c r="DV74" s="365">
        <f>_xll.LVCELL($DP$3,DV$3,$DP74,$DQ$2,$DP$4,$DP$5,$DP$6,$DP$7,$DP$8,$DQ$3)/100</f>
        <v>0.96999999999999986</v>
      </c>
      <c r="DW74" s="365">
        <f>_xll.LVCELL($DP$3,DW$3,$DP74,$DQ$2,$DP$4,$DP$5,$DP$6,$DP$7,$DP$8,$DQ$3)/100</f>
        <v>0.97</v>
      </c>
      <c r="DX74" s="365">
        <f>_xll.LVCELL($DP$3,DX$3,$DP74,$DQ$2,$DP$4,$DP$5,$DP$6,$DP$7,$DP$8,$DQ$3)/100</f>
        <v>0.96999999999999986</v>
      </c>
      <c r="DY74" s="365">
        <f>_xll.LVCELL($DP$3,DY$3,$DP74,$DQ$2,$DP$4,$DP$5,$DP$6,$DP$7,$DP$8,$DQ$3)/100</f>
        <v>0.96999999999999986</v>
      </c>
      <c r="DZ74" s="365">
        <f>_xll.LVCELL($DP$3,DZ$3,$DP74,$DQ$2,$DP$4,$DP$5,$DP$6,$DP$7,$DP$8,$DQ$3)/100</f>
        <v>0.97</v>
      </c>
      <c r="EA74" s="365">
        <f>_xll.LVCELL($DP$3,EA$3,$DP74,$DQ$2,$DP$4,$DP$5,$DP$6,$DP$7,$DP$8,$DQ$3)/100</f>
        <v>0.96999999999999986</v>
      </c>
      <c r="EB74" s="365">
        <f>_xll.LVCELL($DP$3,EB$3,$DP74,$DQ$2,$DP$4,$DP$5,$DP$6,$DP$7,$DP$8,$DQ$3)/100</f>
        <v>0.97</v>
      </c>
      <c r="EC74" s="365">
        <f>_xll.LVCELL($DP$3,EC$3,$DP74,$DQ$2,$DP$4,$DP$5,$DP$6,$DP$7,$DP$8,$DQ$3)/100</f>
        <v>0.96999999999999986</v>
      </c>
      <c r="ED74" s="582">
        <f t="shared" si="45"/>
        <v>11.64</v>
      </c>
      <c r="EF74" s="64" t="s">
        <v>468</v>
      </c>
      <c r="EG74" s="64" t="s">
        <v>468</v>
      </c>
      <c r="EH74" s="359" t="s">
        <v>565</v>
      </c>
      <c r="EI74" s="366" t="e">
        <f ca="1">_xll.LVCELL($EG$3,EI$3,$DP74,$DQ$2,$DP$4,$DP$5,$DP$6,$DP$7,$DP$8,$DQ$3)-CW74</f>
        <v>#NAME?</v>
      </c>
      <c r="EJ74" s="367" t="e">
        <f ca="1">_xll.LVCELL($EG$3,EJ$3,$DP74,$DQ$2,$DP$4,$DP$5,$DP$6,$DP$7,$DP$8,$DQ$3)-CX74</f>
        <v>#NAME?</v>
      </c>
      <c r="EK74" s="368" t="e">
        <f ca="1">_xll.LVCELL($EG$3,EK$3,$DP74,$DQ$2,$DP$4,$DP$5,$DP$6,$DP$7,$DP$8,$DQ$3)-CY74</f>
        <v>#NAME?</v>
      </c>
      <c r="EL74" s="367" t="e">
        <f ca="1">_xll.LVCELL($EG$3,EL$3,$DP74,$DQ$2,$DP$4,$DP$5,$DP$6,$DP$7,$DP$8,$DQ$3)-CZ74</f>
        <v>#NAME?</v>
      </c>
      <c r="EM74" s="368" t="e">
        <f ca="1">_xll.LVCELL($EG$3,EM$3,$DP74,$DQ$2,$DP$4,$DP$5,$DP$6,$DP$7,$DP$8,$DQ$3)-DA74</f>
        <v>#NAME?</v>
      </c>
      <c r="EN74" s="367" t="e">
        <f ca="1">_xll.LVCELL($EG$3,EN$3,$DP74,$DQ$2,$DP$4,$DP$5,$DP$6,$DP$7,$DP$8,$DQ$3)-DB74</f>
        <v>#NAME?</v>
      </c>
      <c r="EO74" s="368" t="e">
        <f ca="1">_xll.LVCELL($EG$3,EO$3,$DP74,$DQ$2,$DP$4,$DP$5,$DP$6,$DP$7,$DP$8,$DQ$3)-DC74</f>
        <v>#NAME?</v>
      </c>
      <c r="EP74" s="367" t="e">
        <f ca="1">_xll.LVCELL($EG$3,EP$3,$DP74,$DQ$2,$DP$4,$DP$5,$DP$6,$DP$7,$DP$8,$DQ$3)-DD74</f>
        <v>#NAME?</v>
      </c>
      <c r="EQ74" s="368" t="e">
        <f ca="1">_xll.LVCELL($EG$3,EQ$3,$DP74,$DQ$2,$DP$4,$DP$5,$DP$6,$DP$7,$DP$8,$DQ$3)-DE74</f>
        <v>#NAME?</v>
      </c>
      <c r="ER74" s="367" t="e">
        <f ca="1">_xll.LVCELL($EG$3,ER$3,$DP74,$DQ$2,$DP$4,$DP$5,$DP$6,$DP$7,$DP$8,$DQ$3)-DF74</f>
        <v>#NAME?</v>
      </c>
      <c r="ES74" s="368" t="e">
        <f ca="1">_xll.LVCELL($EG$3,ES$3,$DP74,$DQ$2,$DP$4,$DP$5,$DP$6,$DP$7,$DP$8,$DQ$3)-DG74</f>
        <v>#NAME?</v>
      </c>
      <c r="ET74" s="367" t="e">
        <f ca="1">_xll.LVCELL($EG$3,ET$3,$DP74,$DQ$2,$DP$4,$DP$5,$DP$6,$DP$7,$DP$8,$DQ$3)-DH74</f>
        <v>#NAME?</v>
      </c>
      <c r="EW74" s="64" t="s">
        <v>468</v>
      </c>
      <c r="EX74" s="64" t="s">
        <v>468</v>
      </c>
      <c r="EY74" s="359" t="s">
        <v>565</v>
      </c>
      <c r="EZ74" s="364">
        <f>_xll.LVCELL($EX$3,EZ$3,$DP74,$DQ$2,$DP$4,$DP$5,$DP$6,$DP$7,$DP$8,$DQ$3)</f>
        <v>19800</v>
      </c>
      <c r="FA74" s="364">
        <f>_xll.LVCELL($EX$3,FA$3,$DP74,$DQ$2,$DP$4,$DP$5,$DP$6,$DP$7,$DP$8,$DQ$3)</f>
        <v>19800</v>
      </c>
      <c r="FB74" s="364">
        <f>_xll.LVCELL($EX$3,FB$3,$DP74,$DQ$2,$DP$4,$DP$5,$DP$6,$DP$7,$DP$8,$DQ$3)</f>
        <v>19800</v>
      </c>
      <c r="FC74" s="364">
        <f>_xll.LVCELL($EX$3,FC$3,$DP74,$DQ$2,$DP$4,$DP$5,$DP$6,$DP$7,$DP$8,$DQ$3)</f>
        <v>19800</v>
      </c>
      <c r="FD74" s="364">
        <f>_xll.LVCELL($EX$3,FD$3,$DP74,$DQ$2,$DP$4,$DP$5,$DP$6,$DP$7,$DP$8,$DQ$3)</f>
        <v>19800</v>
      </c>
      <c r="FE74" s="364">
        <f>_xll.LVCELL($EX$3,FE$3,$DP74,$DQ$2,$DP$4,$DP$5,$DP$6,$DP$7,$DP$8,$DQ$3)</f>
        <v>19800</v>
      </c>
      <c r="FF74" s="364">
        <f>_xll.LVCELL($EX$3,FF$3,$DP74,$DQ$2,$DP$4,$DP$5,$DP$6,$DP$7,$DP$8,$DQ$3)</f>
        <v>19800</v>
      </c>
      <c r="FG74" s="364">
        <f>_xll.LVCELL($EX$3,FG$3,$DP74,$DQ$2,$DP$4,$DP$5,$DP$6,$DP$7,$DP$8,$DQ$3)</f>
        <v>19800</v>
      </c>
      <c r="FH74" s="364">
        <f>_xll.LVCELL($EX$3,FH$3,$DP74,$DQ$2,$DP$4,$DP$5,$DP$6,$DP$7,$DP$8,$DQ$3)</f>
        <v>19800</v>
      </c>
      <c r="FI74" s="364">
        <f>_xll.LVCELL($EX$3,FI$3,$DP74,$DQ$2,$DP$4,$DP$5,$DP$6,$DP$7,$DP$8,$DQ$3)</f>
        <v>19800</v>
      </c>
      <c r="FJ74" s="364">
        <f>_xll.LVCELL($EX$3,FJ$3,$DP74,$DQ$2,$DP$4,$DP$5,$DP$6,$DP$7,$DP$8,$DQ$3)</f>
        <v>19800</v>
      </c>
      <c r="FK74" s="276">
        <f>_xll.LVCELL($EX$3,FK$3,$DP74,$DQ$2,$DP$4,$DP$5,$DP$6,$DP$7,$DP$8,$DQ$3)</f>
        <v>19800</v>
      </c>
      <c r="FN74" s="64" t="s">
        <v>468</v>
      </c>
      <c r="FO74" s="64" t="s">
        <v>468</v>
      </c>
      <c r="FP74" s="359" t="s">
        <v>565</v>
      </c>
      <c r="FQ74" s="364">
        <f>_xll.LVCELL($FO$3,FQ$3,$DP74,$DQ$2,$DP$4,$DP$5,$DP$6,$DP$7,$DP$8,$DQ$3)</f>
        <v>6</v>
      </c>
      <c r="FR74" s="364">
        <f>_xll.LVCELL($FO$3,FR$3,$DP74,$DQ$2,$DP$4,$DP$5,$DP$6,$DP$7,$DP$8,$DQ$3)</f>
        <v>6</v>
      </c>
      <c r="FS74" s="364">
        <f>_xll.LVCELL($FO$3,FS$3,$DP74,$DQ$2,$DP$4,$DP$5,$DP$6,$DP$7,$DP$8,$DQ$3)</f>
        <v>6</v>
      </c>
      <c r="FT74" s="364">
        <f>_xll.LVCELL($FO$3,FT$3,$DP74,$DQ$2,$DP$4,$DP$5,$DP$6,$DP$7,$DP$8,$DQ$3)</f>
        <v>6</v>
      </c>
      <c r="FU74" s="364">
        <f>_xll.LVCELL($FO$3,FU$3,$DP74,$DQ$2,$DP$4,$DP$5,$DP$6,$DP$7,$DP$8,$DQ$3)</f>
        <v>6</v>
      </c>
      <c r="FV74" s="364">
        <f>_xll.LVCELL($FO$3,FV$3,$DP74,$DQ$2,$DP$4,$DP$5,$DP$6,$DP$7,$DP$8,$DQ$3)</f>
        <v>6</v>
      </c>
      <c r="FW74" s="364">
        <f>_xll.LVCELL($FO$3,FW$3,$DP74,$DQ$2,$DP$4,$DP$5,$DP$6,$DP$7,$DP$8,$DQ$3)</f>
        <v>6</v>
      </c>
      <c r="FX74" s="364">
        <f>_xll.LVCELL($FO$3,FX$3,$DP74,$DQ$2,$DP$4,$DP$5,$DP$6,$DP$7,$DP$8,$DQ$3)</f>
        <v>6</v>
      </c>
      <c r="FY74" s="364">
        <f>_xll.LVCELL($FO$3,FY$3,$DP74,$DQ$2,$DP$4,$DP$5,$DP$6,$DP$7,$DP$8,$DQ$3)</f>
        <v>6</v>
      </c>
      <c r="FZ74" s="364">
        <f>_xll.LVCELL($FO$3,FZ$3,$DP74,$DQ$2,$DP$4,$DP$5,$DP$6,$DP$7,$DP$8,$DQ$3)</f>
        <v>6</v>
      </c>
      <c r="GA74" s="364">
        <f>_xll.LVCELL($FO$3,GA$3,$DP74,$DQ$2,$DP$4,$DP$5,$DP$6,$DP$7,$DP$8,$DQ$3)</f>
        <v>6</v>
      </c>
      <c r="GB74" s="172">
        <f>_xll.LVCELL($FO$3,GB$3,$DP74,$DQ$2,$DP$4,$DP$5,$DP$6,$DP$7,$DP$8,$DQ$3)</f>
        <v>6</v>
      </c>
    </row>
    <row r="75" spans="2:184" ht="15">
      <c r="B75" s="64" t="s">
        <v>474</v>
      </c>
      <c r="C75" s="64" t="s">
        <v>474</v>
      </c>
      <c r="D75" s="359" t="s">
        <v>566</v>
      </c>
      <c r="E75" s="357">
        <f>_xll.LVCELL($C$3,Q$3,$C75,$D$2,$C$4,$C$5,$C$6,$C$7,$C$8,$D$3)/1000</f>
        <v>10</v>
      </c>
      <c r="F75" s="103">
        <f>'distribution mensuelle Prod B22'!$BO$36</f>
        <v>2915344.5743065053</v>
      </c>
      <c r="G75" s="103">
        <f>'distribution mensuelle Prod B22'!$BO$37</f>
        <v>2618482.848174287</v>
      </c>
      <c r="H75" s="103">
        <f>'distribution mensuelle Prod B22'!$BO$38</f>
        <v>2611752.8287644805</v>
      </c>
      <c r="I75" s="103">
        <f>'distribution mensuelle Prod B22'!$BO$39</f>
        <v>2304139.7588389073</v>
      </c>
      <c r="J75" s="103">
        <f>'distribution mensuelle Prod B22'!$BO$40</f>
        <v>1931130.2977220987</v>
      </c>
      <c r="K75" s="103">
        <f>'distribution mensuelle Prod B22'!$BO$41</f>
        <v>1648011.0089807843</v>
      </c>
      <c r="L75" s="103">
        <f>'distribution mensuelle Prod B22'!$BO$42</f>
        <v>1504921.5836782181</v>
      </c>
      <c r="M75" s="103">
        <f>'distribution mensuelle Prod B22'!$BO$43</f>
        <v>1428859.7208642331</v>
      </c>
      <c r="N75" s="103">
        <f>'distribution mensuelle Prod B22'!$BO$44</f>
        <v>1823782.4439040925</v>
      </c>
      <c r="O75" s="103">
        <f>'distribution mensuelle Prod B22'!$BO$45</f>
        <v>2412418.2917347266</v>
      </c>
      <c r="P75" s="103">
        <f>'distribution mensuelle Prod B22'!$BO$46</f>
        <v>2575094.2812658115</v>
      </c>
      <c r="Q75" s="103">
        <f>'distribution mensuelle Prod B22'!$BO$47</f>
        <v>2994684.9656900591</v>
      </c>
      <c r="R75" s="67">
        <f t="shared" si="60"/>
        <v>26768622.603924204</v>
      </c>
      <c r="S75" s="358"/>
      <c r="W75" s="113" t="str">
        <f t="shared" si="61"/>
        <v>E5770</v>
      </c>
      <c r="X75" s="359" t="str">
        <f t="shared" si="62"/>
        <v>Le Pelon</v>
      </c>
      <c r="Y75" s="299" cm="1">
        <f t="array" ref="Y75">_xll.LVCELL($D$4,F$1,$B75,$D$2,$C$4,$C$5,$C$6,$C$7,$C$8,$D$3)*1000+_xll.LVCELL($D$5,F$1,$B75,$D$2,$C$4,$C$5,$C$6,$C$7,$C$8,$D$3)*1000</f>
        <v>84.791279000000003</v>
      </c>
      <c r="Z75" s="299" cm="1">
        <f t="array" ref="Z75">_xll.LVCELL($D$4,G$1,$B75,$D$2,$C$4,$C$5,$C$6,$C$7,$C$8,$D$3)*1000+_xll.LVCELL($D$5,G$1,$B75,$D$2,$C$4,$C$5,$C$6,$C$7,$C$8,$D$3)*1000</f>
        <v>84.868536000000006</v>
      </c>
      <c r="AA75" s="299" cm="1">
        <f t="array" ref="AA75">_xll.LVCELL($D$4,H$1,$B75,$D$2,$C$4,$C$5,$C$6,$C$7,$C$8,$D$3)*1000+_xll.LVCELL($D$5,H$1,$B75,$D$2,$C$4,$C$5,$C$6,$C$7,$C$8,$D$3)*1000</f>
        <v>84.91485073754248</v>
      </c>
      <c r="AB75" s="299" cm="1">
        <f t="array" ref="AB75">_xll.LVCELL($D$4,I$1,$B75,$D$2,$C$4,$C$5,$C$6,$C$7,$C$8,$D$3)*1000+_xll.LVCELL($D$5,I$1,$B75,$D$2,$C$4,$C$5,$C$6,$C$7,$C$8,$D$3)*1000</f>
        <v>85.46932360421323</v>
      </c>
      <c r="AC75" s="299" cm="1">
        <f t="array" ref="AC75">_xll.LVCELL($D$4,J$1,$B75,$D$2,$C$4,$C$5,$C$6,$C$7,$C$8,$D$3)*1000+_xll.LVCELL($D$5,J$1,$B75,$D$2,$C$4,$C$5,$C$6,$C$7,$C$8,$D$3)*1000</f>
        <v>84.613967013420449</v>
      </c>
      <c r="AD75" s="299" cm="1">
        <f t="array" ref="AD75">_xll.LVCELL($D$4,K$1,$B75,$D$2,$C$4,$C$5,$C$6,$C$7,$C$8,$D$3)*1000+_xll.LVCELL($D$5,K$1,$B75,$D$2,$C$4,$C$5,$C$6,$C$7,$C$8,$D$3)*1000</f>
        <v>84.647854442573447</v>
      </c>
      <c r="AE75" s="299" cm="1">
        <f t="array" ref="AE75">_xll.LVCELL($D$4,L$1,$B75,$D$2,$C$4,$C$5,$C$6,$C$7,$C$8,$D$3)*1000+_xll.LVCELL($D$5,L$1,$B75,$D$2,$C$4,$C$5,$C$6,$C$7,$C$8,$D$3)*1000</f>
        <v>85.313211913443311</v>
      </c>
      <c r="AF75" s="411">
        <f>$AD$75</f>
        <v>84.647854442573447</v>
      </c>
      <c r="AG75" s="299">
        <f t="shared" si="53"/>
        <v>84.647854442573447</v>
      </c>
      <c r="AH75" s="299">
        <f t="shared" si="53"/>
        <v>84.647854442573447</v>
      </c>
      <c r="AI75" s="411">
        <f t="shared" si="54"/>
        <v>86.594755094752642</v>
      </c>
      <c r="AJ75" s="412">
        <f t="shared" si="55"/>
        <v>86.594755094752642</v>
      </c>
      <c r="AK75" s="414"/>
      <c r="AL75" s="134">
        <f t="shared" si="63"/>
        <v>2.3E-2</v>
      </c>
      <c r="AM75" s="134"/>
      <c r="AN75" s="134"/>
      <c r="AO75" s="134"/>
      <c r="AP75" s="113" t="str">
        <f t="shared" si="38"/>
        <v>E5770</v>
      </c>
      <c r="AQ75" s="573" t="str">
        <f t="shared" si="39"/>
        <v>Le Pelon</v>
      </c>
      <c r="AR75" s="411">
        <v>5.8690999999999915</v>
      </c>
      <c r="AS75" s="411">
        <v>4.8990999999999927</v>
      </c>
      <c r="AT75" s="411">
        <v>17.119099999999992</v>
      </c>
      <c r="AU75" s="411">
        <v>31.5091</v>
      </c>
      <c r="AV75" s="411">
        <v>40.829099999999997</v>
      </c>
      <c r="AW75" s="411">
        <v>35.679099999999991</v>
      </c>
      <c r="AX75" s="411">
        <v>33.619099999999996</v>
      </c>
      <c r="AY75" s="411">
        <v>37.339099999999995</v>
      </c>
      <c r="AZ75" s="411">
        <v>39.459099999999992</v>
      </c>
      <c r="BA75" s="411">
        <v>40.259099999999997</v>
      </c>
      <c r="BB75" s="411">
        <v>23.391419299999999</v>
      </c>
      <c r="BC75" s="412">
        <v>11.961419299999992</v>
      </c>
      <c r="BD75" s="414"/>
      <c r="BE75" s="134"/>
      <c r="BF75" s="134"/>
      <c r="BG75" s="134"/>
      <c r="BH75" s="134"/>
      <c r="BI75" s="113" t="str">
        <f t="shared" si="40"/>
        <v>E5770</v>
      </c>
      <c r="BJ75" s="573" t="str">
        <f t="shared" si="41"/>
        <v>Le Pelon</v>
      </c>
      <c r="BK75" s="299">
        <v>80.77000000000001</v>
      </c>
      <c r="BL75" s="299">
        <v>81.740000000000009</v>
      </c>
      <c r="BM75" s="299">
        <v>69.52000000000001</v>
      </c>
      <c r="BN75" s="299">
        <v>55.129999999999995</v>
      </c>
      <c r="BO75" s="299">
        <v>45.809999999999995</v>
      </c>
      <c r="BP75" s="299">
        <v>50.96</v>
      </c>
      <c r="BQ75" s="299">
        <v>53.019999999999996</v>
      </c>
      <c r="BR75" s="299">
        <v>49.3</v>
      </c>
      <c r="BS75" s="299">
        <v>47.18</v>
      </c>
      <c r="BT75" s="299">
        <v>46.379999999999995</v>
      </c>
      <c r="BU75" s="299">
        <v>65.17</v>
      </c>
      <c r="BV75" s="370">
        <v>76.600000000000009</v>
      </c>
      <c r="BW75" s="414"/>
      <c r="BX75" s="134"/>
      <c r="BY75" s="134"/>
      <c r="BZ75" s="134"/>
      <c r="CA75" s="134"/>
      <c r="CB75" s="113" t="str">
        <f t="shared" si="64"/>
        <v>E5770</v>
      </c>
      <c r="CC75" s="373" t="str">
        <f t="shared" si="65"/>
        <v>Le Pelon</v>
      </c>
      <c r="CD75" s="411">
        <f t="shared" si="43"/>
        <v>86.639099999999999</v>
      </c>
      <c r="CE75" s="299">
        <f t="shared" si="7"/>
        <v>86.639099999999999</v>
      </c>
      <c r="CF75" s="299">
        <f t="shared" si="8"/>
        <v>86.639099999999999</v>
      </c>
      <c r="CG75" s="299">
        <f t="shared" si="9"/>
        <v>86.639099999999999</v>
      </c>
      <c r="CH75" s="299">
        <f t="shared" si="10"/>
        <v>86.639099999999985</v>
      </c>
      <c r="CI75" s="299">
        <f t="shared" si="11"/>
        <v>86.639099999999985</v>
      </c>
      <c r="CJ75" s="299">
        <f t="shared" si="12"/>
        <v>86.639099999999985</v>
      </c>
      <c r="CK75" s="299">
        <f t="shared" si="13"/>
        <v>86.639099999999985</v>
      </c>
      <c r="CL75" s="299">
        <f t="shared" si="14"/>
        <v>86.639099999999985</v>
      </c>
      <c r="CM75" s="299">
        <f t="shared" si="15"/>
        <v>86.639099999999985</v>
      </c>
      <c r="CN75" s="299">
        <f t="shared" si="16"/>
        <v>88.561419299999997</v>
      </c>
      <c r="CO75" s="370">
        <f t="shared" si="17"/>
        <v>88.561419299999997</v>
      </c>
      <c r="CP75" s="414"/>
      <c r="CQ75" s="134">
        <f t="shared" si="66"/>
        <v>4.0000000000000001E-3</v>
      </c>
      <c r="CU75" s="113" t="str">
        <f t="shared" si="67"/>
        <v>E5770</v>
      </c>
      <c r="CV75" s="359" t="str">
        <f t="shared" si="68"/>
        <v>Le Pelon</v>
      </c>
      <c r="CW75" s="300">
        <f t="shared" si="69"/>
        <v>252582.83010779874</v>
      </c>
      <c r="CX75" s="298">
        <f t="shared" si="70"/>
        <v>226862.99733125686</v>
      </c>
      <c r="CY75" s="298">
        <f t="shared" si="71"/>
        <v>226279.91450660871</v>
      </c>
      <c r="CZ75" s="298">
        <f t="shared" si="72"/>
        <v>199628.59498001996</v>
      </c>
      <c r="DA75" s="298">
        <f t="shared" si="73"/>
        <v>167311.39097737466</v>
      </c>
      <c r="DB75" s="298">
        <f t="shared" si="74"/>
        <v>142782.19060818705</v>
      </c>
      <c r="DC75" s="298">
        <f t="shared" si="75"/>
        <v>130385.05158045547</v>
      </c>
      <c r="DD75" s="298">
        <f t="shared" si="76"/>
        <v>123795.12024192835</v>
      </c>
      <c r="DE75" s="298">
        <f t="shared" si="77"/>
        <v>158010.86953565103</v>
      </c>
      <c r="DF75" s="298">
        <f t="shared" si="78"/>
        <v>209009.74961943412</v>
      </c>
      <c r="DG75" s="371">
        <f t="shared" si="79"/>
        <v>228054.00438021368</v>
      </c>
      <c r="DH75" s="372">
        <f t="shared" si="80"/>
        <v>265213.55091788346</v>
      </c>
      <c r="DI75" s="67">
        <f t="shared" si="81"/>
        <v>2329916.264786812</v>
      </c>
      <c r="DJ75" s="364">
        <f>_xll.LVCELL($E$1,Q$2,$C75,$D$2,$C$4,$C$5,$C$6,$C$7,$C$8,$D$3)+_xll.LVCELL($E$2,Q$2,$C75,$D$2,$C$4,$C$5,$C$6,$C$7,$C$8,$D$3)</f>
        <v>2329916.2969568009</v>
      </c>
      <c r="DK75" s="82">
        <f t="shared" si="44"/>
        <v>-3.2169988844543695E-2</v>
      </c>
      <c r="DM75" s="518">
        <f t="shared" si="82"/>
        <v>87.039079270565566</v>
      </c>
      <c r="DO75" s="64" t="str">
        <f t="shared" si="83"/>
        <v>E5770</v>
      </c>
      <c r="DP75" s="64" t="str">
        <f t="shared" si="84"/>
        <v>E5770</v>
      </c>
      <c r="DQ75" s="359" t="str">
        <f t="shared" si="85"/>
        <v>Le Pelon</v>
      </c>
      <c r="DR75" s="365">
        <f>_xll.LVCELL($DP$3,DR$3,$DP75,$DQ$2,$DP$4,$DP$5,$DP$6,$DP$7,$DP$8,$DQ$3)/100</f>
        <v>0.96999999999999986</v>
      </c>
      <c r="DS75" s="365">
        <f>_xll.LVCELL($DP$3,DS$3,$DP75,$DQ$2,$DP$4,$DP$5,$DP$6,$DP$7,$DP$8,$DQ$3)/100</f>
        <v>0.97</v>
      </c>
      <c r="DT75" s="365">
        <f>_xll.LVCELL($DP$3,DT$3,$DP75,$DQ$2,$DP$4,$DP$5,$DP$6,$DP$7,$DP$8,$DQ$3)/100</f>
        <v>0.96999999999999986</v>
      </c>
      <c r="DU75" s="365">
        <f>_xll.LVCELL($DP$3,DU$3,$DP75,$DQ$2,$DP$4,$DP$5,$DP$6,$DP$7,$DP$8,$DQ$3)/100</f>
        <v>0.97</v>
      </c>
      <c r="DV75" s="365">
        <f>_xll.LVCELL($DP$3,DV$3,$DP75,$DQ$2,$DP$4,$DP$5,$DP$6,$DP$7,$DP$8,$DQ$3)/100</f>
        <v>0.96999999999999986</v>
      </c>
      <c r="DW75" s="365">
        <f>_xll.LVCELL($DP$3,DW$3,$DP75,$DQ$2,$DP$4,$DP$5,$DP$6,$DP$7,$DP$8,$DQ$3)/100</f>
        <v>0.97</v>
      </c>
      <c r="DX75" s="365">
        <f>_xll.LVCELL($DP$3,DX$3,$DP75,$DQ$2,$DP$4,$DP$5,$DP$6,$DP$7,$DP$8,$DQ$3)/100</f>
        <v>0.96999999999999986</v>
      </c>
      <c r="DY75" s="365">
        <f>_xll.LVCELL($DP$3,DY$3,$DP75,$DQ$2,$DP$4,$DP$5,$DP$6,$DP$7,$DP$8,$DQ$3)/100</f>
        <v>0.96999999999999986</v>
      </c>
      <c r="DZ75" s="365">
        <f>_xll.LVCELL($DP$3,DZ$3,$DP75,$DQ$2,$DP$4,$DP$5,$DP$6,$DP$7,$DP$8,$DQ$3)/100</f>
        <v>0.97</v>
      </c>
      <c r="EA75" s="365">
        <f>_xll.LVCELL($DP$3,EA$3,$DP75,$DQ$2,$DP$4,$DP$5,$DP$6,$DP$7,$DP$8,$DQ$3)/100</f>
        <v>0.96999999999999986</v>
      </c>
      <c r="EB75" s="365">
        <f>_xll.LVCELL($DP$3,EB$3,$DP75,$DQ$2,$DP$4,$DP$5,$DP$6,$DP$7,$DP$8,$DQ$3)/100</f>
        <v>0.97</v>
      </c>
      <c r="EC75" s="365">
        <f>_xll.LVCELL($DP$3,EC$3,$DP75,$DQ$2,$DP$4,$DP$5,$DP$6,$DP$7,$DP$8,$DQ$3)/100</f>
        <v>0.96999999999999986</v>
      </c>
      <c r="ED75" s="582">
        <f t="shared" si="45"/>
        <v>11.64</v>
      </c>
      <c r="EF75" s="64" t="s">
        <v>474</v>
      </c>
      <c r="EG75" s="64" t="s">
        <v>474</v>
      </c>
      <c r="EH75" s="359" t="s">
        <v>566</v>
      </c>
      <c r="EI75" s="366" t="e">
        <f ca="1">_xll.LVCELL($EG$3,EI$3,$DP75,$DQ$2,$DP$4,$DP$5,$DP$6,$DP$7,$DP$8,$DQ$3)-CW75</f>
        <v>#NAME?</v>
      </c>
      <c r="EJ75" s="367" t="e">
        <f ca="1">_xll.LVCELL($EG$3,EJ$3,$DP75,$DQ$2,$DP$4,$DP$5,$DP$6,$DP$7,$DP$8,$DQ$3)-CX75</f>
        <v>#NAME?</v>
      </c>
      <c r="EK75" s="368" t="e">
        <f ca="1">_xll.LVCELL($EG$3,EK$3,$DP75,$DQ$2,$DP$4,$DP$5,$DP$6,$DP$7,$DP$8,$DQ$3)-CY75</f>
        <v>#NAME?</v>
      </c>
      <c r="EL75" s="367" t="e">
        <f ca="1">_xll.LVCELL($EG$3,EL$3,$DP75,$DQ$2,$DP$4,$DP$5,$DP$6,$DP$7,$DP$8,$DQ$3)-CZ75</f>
        <v>#NAME?</v>
      </c>
      <c r="EM75" s="368" t="e">
        <f ca="1">_xll.LVCELL($EG$3,EM$3,$DP75,$DQ$2,$DP$4,$DP$5,$DP$6,$DP$7,$DP$8,$DQ$3)-DA75</f>
        <v>#NAME?</v>
      </c>
      <c r="EN75" s="367" t="e">
        <f ca="1">_xll.LVCELL($EG$3,EN$3,$DP75,$DQ$2,$DP$4,$DP$5,$DP$6,$DP$7,$DP$8,$DQ$3)-DB75</f>
        <v>#NAME?</v>
      </c>
      <c r="EO75" s="368" t="e">
        <f ca="1">_xll.LVCELL($EG$3,EO$3,$DP75,$DQ$2,$DP$4,$DP$5,$DP$6,$DP$7,$DP$8,$DQ$3)-DC75</f>
        <v>#NAME?</v>
      </c>
      <c r="EP75" s="367" t="e">
        <f ca="1">_xll.LVCELL($EG$3,EP$3,$DP75,$DQ$2,$DP$4,$DP$5,$DP$6,$DP$7,$DP$8,$DQ$3)-DD75</f>
        <v>#NAME?</v>
      </c>
      <c r="EQ75" s="368" t="e">
        <f ca="1">_xll.LVCELL($EG$3,EQ$3,$DP75,$DQ$2,$DP$4,$DP$5,$DP$6,$DP$7,$DP$8,$DQ$3)-DE75</f>
        <v>#NAME?</v>
      </c>
      <c r="ER75" s="367" t="e">
        <f ca="1">_xll.LVCELL($EG$3,ER$3,$DP75,$DQ$2,$DP$4,$DP$5,$DP$6,$DP$7,$DP$8,$DQ$3)-DF75</f>
        <v>#NAME?</v>
      </c>
      <c r="ES75" s="368" t="e">
        <f ca="1">_xll.LVCELL($EG$3,ES$3,$DP75,$DQ$2,$DP$4,$DP$5,$DP$6,$DP$7,$DP$8,$DQ$3)-DG75</f>
        <v>#NAME?</v>
      </c>
      <c r="ET75" s="367" t="e">
        <f ca="1">_xll.LVCELL($EG$3,ET$3,$DP75,$DQ$2,$DP$4,$DP$5,$DP$6,$DP$7,$DP$8,$DQ$3)-DH75</f>
        <v>#NAME?</v>
      </c>
      <c r="EW75" s="64" t="s">
        <v>474</v>
      </c>
      <c r="EX75" s="64" t="s">
        <v>474</v>
      </c>
      <c r="EY75" s="359" t="s">
        <v>566</v>
      </c>
      <c r="EZ75" s="364">
        <f>_xll.LVCELL($EX$3,EZ$3,$DP75,$DQ$2,$DP$4,$DP$5,$DP$6,$DP$7,$DP$8,$DQ$3)</f>
        <v>10000</v>
      </c>
      <c r="FA75" s="364">
        <f>_xll.LVCELL($EX$3,FA$3,$DP75,$DQ$2,$DP$4,$DP$5,$DP$6,$DP$7,$DP$8,$DQ$3)</f>
        <v>10000</v>
      </c>
      <c r="FB75" s="364">
        <f>_xll.LVCELL($EX$3,FB$3,$DP75,$DQ$2,$DP$4,$DP$5,$DP$6,$DP$7,$DP$8,$DQ$3)</f>
        <v>10000</v>
      </c>
      <c r="FC75" s="364">
        <f>_xll.LVCELL($EX$3,FC$3,$DP75,$DQ$2,$DP$4,$DP$5,$DP$6,$DP$7,$DP$8,$DQ$3)</f>
        <v>10000</v>
      </c>
      <c r="FD75" s="364">
        <f>_xll.LVCELL($EX$3,FD$3,$DP75,$DQ$2,$DP$4,$DP$5,$DP$6,$DP$7,$DP$8,$DQ$3)</f>
        <v>10000</v>
      </c>
      <c r="FE75" s="364">
        <f>_xll.LVCELL($EX$3,FE$3,$DP75,$DQ$2,$DP$4,$DP$5,$DP$6,$DP$7,$DP$8,$DQ$3)</f>
        <v>10000</v>
      </c>
      <c r="FF75" s="364">
        <f>_xll.LVCELL($EX$3,FF$3,$DP75,$DQ$2,$DP$4,$DP$5,$DP$6,$DP$7,$DP$8,$DQ$3)</f>
        <v>10000</v>
      </c>
      <c r="FG75" s="364">
        <f>_xll.LVCELL($EX$3,FG$3,$DP75,$DQ$2,$DP$4,$DP$5,$DP$6,$DP$7,$DP$8,$DQ$3)</f>
        <v>10000</v>
      </c>
      <c r="FH75" s="364">
        <f>_xll.LVCELL($EX$3,FH$3,$DP75,$DQ$2,$DP$4,$DP$5,$DP$6,$DP$7,$DP$8,$DQ$3)</f>
        <v>10000</v>
      </c>
      <c r="FI75" s="364">
        <f>_xll.LVCELL($EX$3,FI$3,$DP75,$DQ$2,$DP$4,$DP$5,$DP$6,$DP$7,$DP$8,$DQ$3)</f>
        <v>10000</v>
      </c>
      <c r="FJ75" s="364">
        <f>_xll.LVCELL($EX$3,FJ$3,$DP75,$DQ$2,$DP$4,$DP$5,$DP$6,$DP$7,$DP$8,$DQ$3)</f>
        <v>10000</v>
      </c>
      <c r="FK75" s="276">
        <f>_xll.LVCELL($EX$3,FK$3,$DP75,$DQ$2,$DP$4,$DP$5,$DP$6,$DP$7,$DP$8,$DQ$3)</f>
        <v>10000</v>
      </c>
      <c r="FN75" s="64" t="s">
        <v>474</v>
      </c>
      <c r="FO75" s="64" t="s">
        <v>474</v>
      </c>
      <c r="FP75" s="359" t="s">
        <v>566</v>
      </c>
      <c r="FQ75" s="364">
        <f>_xll.LVCELL($FO$3,FQ$3,$DP75,$DQ$2,$DP$4,$DP$5,$DP$6,$DP$7,$DP$8,$DQ$3)</f>
        <v>5</v>
      </c>
      <c r="FR75" s="364">
        <f>_xll.LVCELL($FO$3,FR$3,$DP75,$DQ$2,$DP$4,$DP$5,$DP$6,$DP$7,$DP$8,$DQ$3)</f>
        <v>5</v>
      </c>
      <c r="FS75" s="364">
        <f>_xll.LVCELL($FO$3,FS$3,$DP75,$DQ$2,$DP$4,$DP$5,$DP$6,$DP$7,$DP$8,$DQ$3)</f>
        <v>5</v>
      </c>
      <c r="FT75" s="364">
        <f>_xll.LVCELL($FO$3,FT$3,$DP75,$DQ$2,$DP$4,$DP$5,$DP$6,$DP$7,$DP$8,$DQ$3)</f>
        <v>5</v>
      </c>
      <c r="FU75" s="364">
        <f>_xll.LVCELL($FO$3,FU$3,$DP75,$DQ$2,$DP$4,$DP$5,$DP$6,$DP$7,$DP$8,$DQ$3)</f>
        <v>5</v>
      </c>
      <c r="FV75" s="364">
        <f>_xll.LVCELL($FO$3,FV$3,$DP75,$DQ$2,$DP$4,$DP$5,$DP$6,$DP$7,$DP$8,$DQ$3)</f>
        <v>5</v>
      </c>
      <c r="FW75" s="364">
        <f>_xll.LVCELL($FO$3,FW$3,$DP75,$DQ$2,$DP$4,$DP$5,$DP$6,$DP$7,$DP$8,$DQ$3)</f>
        <v>5</v>
      </c>
      <c r="FX75" s="364">
        <f>_xll.LVCELL($FO$3,FX$3,$DP75,$DQ$2,$DP$4,$DP$5,$DP$6,$DP$7,$DP$8,$DQ$3)</f>
        <v>5</v>
      </c>
      <c r="FY75" s="364">
        <f>_xll.LVCELL($FO$3,FY$3,$DP75,$DQ$2,$DP$4,$DP$5,$DP$6,$DP$7,$DP$8,$DQ$3)</f>
        <v>5</v>
      </c>
      <c r="FZ75" s="364">
        <f>_xll.LVCELL($FO$3,FZ$3,$DP75,$DQ$2,$DP$4,$DP$5,$DP$6,$DP$7,$DP$8,$DQ$3)</f>
        <v>5</v>
      </c>
      <c r="GA75" s="364">
        <f>_xll.LVCELL($FO$3,GA$3,$DP75,$DQ$2,$DP$4,$DP$5,$DP$6,$DP$7,$DP$8,$DQ$3)</f>
        <v>5</v>
      </c>
      <c r="GB75" s="172">
        <f>_xll.LVCELL($FO$3,GB$3,$DP75,$DQ$2,$DP$4,$DP$5,$DP$6,$DP$7,$DP$8,$DQ$3)</f>
        <v>5</v>
      </c>
    </row>
    <row r="76" spans="2:184" ht="15">
      <c r="B76" s="64" t="s">
        <v>481</v>
      </c>
      <c r="C76" s="64" t="s">
        <v>481</v>
      </c>
      <c r="D76" s="109" t="s">
        <v>567</v>
      </c>
      <c r="E76" s="357">
        <f>_xll.LVCELL($C$3,Q$3,$C76,$D$2,$C$4,$C$5,$C$6,$C$7,$C$8,$D$3)/1000</f>
        <v>25.6</v>
      </c>
      <c r="F76" s="103">
        <f>'distribution mensuelle Prod B22'!$BP$36</f>
        <v>3101166.700683821</v>
      </c>
      <c r="G76" s="103">
        <f>'distribution mensuelle Prod B22'!$BP$37</f>
        <v>2525986.63946873</v>
      </c>
      <c r="H76" s="103">
        <f>'distribution mensuelle Prod B22'!$BP$38</f>
        <v>2514303.1000095694</v>
      </c>
      <c r="I76" s="103">
        <f>'distribution mensuelle Prod B22'!$BP$39</f>
        <v>2022472.284389762</v>
      </c>
      <c r="J76" s="103">
        <f>'distribution mensuelle Prod B22'!$BP$40</f>
        <v>1731330.4656935481</v>
      </c>
      <c r="K76" s="103">
        <f>'distribution mensuelle Prod B22'!$BP$41</f>
        <v>1323532.89029578</v>
      </c>
      <c r="L76" s="103">
        <f>'distribution mensuelle Prod B22'!$BP$42</f>
        <v>1308378.8931377917</v>
      </c>
      <c r="M76" s="103">
        <f>'distribution mensuelle Prod B22'!$BP$43</f>
        <v>1230813.379831718</v>
      </c>
      <c r="N76" s="103">
        <f>'distribution mensuelle Prod B22'!$BP$44</f>
        <v>1739922.3165645357</v>
      </c>
      <c r="O76" s="103">
        <f>'distribution mensuelle Prod B22'!$BP$45</f>
        <v>2531865.1030222657</v>
      </c>
      <c r="P76" s="103">
        <f>'distribution mensuelle Prod B22'!$BP$46</f>
        <v>2561370.844577726</v>
      </c>
      <c r="Q76" s="103">
        <f>'distribution mensuelle Prod B22'!$BP$47</f>
        <v>3180927.4643664812</v>
      </c>
      <c r="R76" s="67">
        <f t="shared" ref="R76:R107" si="92">SUM(F76:Q76)</f>
        <v>25772070.082041729</v>
      </c>
      <c r="S76" s="358"/>
      <c r="T76" s="64" t="s">
        <v>3105</v>
      </c>
      <c r="U76" s="340">
        <f>-0.07*1000*CN76</f>
        <v>-6114.0312418458543</v>
      </c>
      <c r="W76" s="113" t="str">
        <f t="shared" ref="W76:W107" si="93">B76</f>
        <v>E5810</v>
      </c>
      <c r="X76" s="359" t="str">
        <f t="shared" ref="X76:X107" si="94">+D76</f>
        <v>Coteaux du Blaiseron</v>
      </c>
      <c r="Y76" s="299" cm="1">
        <f t="array" ref="Y76">_xll.LVCELL($D$4,F$1,$B76,$D$2,$C$4,$C$5,$C$6,$C$7,$C$8,$D$3)*1000+_xll.LVCELL($D$5,F$1,$B76,$D$2,$C$4,$C$5,$C$6,$C$7,$C$8,$D$3)*1000</f>
        <v>83.460007000000004</v>
      </c>
      <c r="Z76" s="299" cm="1">
        <f t="array" ref="Z76">_xll.LVCELL($D$4,G$1,$B76,$D$2,$C$4,$C$5,$C$6,$C$7,$C$8,$D$3)*1000+_xll.LVCELL($D$5,G$1,$B76,$D$2,$C$4,$C$5,$C$6,$C$7,$C$8,$D$3)*1000</f>
        <v>83.460001000000005</v>
      </c>
      <c r="AA76" s="299" cm="1">
        <f t="array" ref="AA76">_xll.LVCELL($D$4,H$1,$B76,$D$2,$C$4,$C$5,$C$6,$C$7,$C$8,$D$3)*1000+_xll.LVCELL($D$5,H$1,$B76,$D$2,$C$4,$C$5,$C$6,$C$7,$C$8,$D$3)*1000</f>
        <v>83.459998414118871</v>
      </c>
      <c r="AB76" s="299" cm="1">
        <f t="array" ref="AB76">_xll.LVCELL($D$4,I$1,$B76,$D$2,$C$4,$C$5,$C$6,$C$7,$C$8,$D$3)*1000+_xll.LVCELL($D$5,I$1,$B76,$D$2,$C$4,$C$5,$C$6,$C$7,$C$8,$D$3)*1000</f>
        <v>83.460001516187162</v>
      </c>
      <c r="AC76" s="299" cm="1">
        <f t="array" ref="AC76">_xll.LVCELL($D$4,J$1,$B76,$D$2,$C$4,$C$5,$C$6,$C$7,$C$8,$D$3)*1000+_xll.LVCELL($D$5,J$1,$B76,$D$2,$C$4,$C$5,$C$6,$C$7,$C$8,$D$3)*1000</f>
        <v>83.460002153866995</v>
      </c>
      <c r="AD76" s="299" cm="1">
        <f t="array" ref="AD76">_xll.LVCELL($D$4,K$1,$B76,$D$2,$C$4,$C$5,$C$6,$C$7,$C$8,$D$3)*1000+_xll.LVCELL($D$5,K$1,$B76,$D$2,$C$4,$C$5,$C$6,$C$7,$C$8,$D$3)*1000</f>
        <v>83.45999342105263</v>
      </c>
      <c r="AE76" s="299" cm="1">
        <f t="array" ref="AE76">_xll.LVCELL($D$4,L$1,$B76,$D$2,$C$4,$C$5,$C$6,$C$7,$C$8,$D$3)*1000+_xll.LVCELL($D$5,L$1,$B76,$D$2,$C$4,$C$5,$C$6,$C$7,$C$8,$D$3)*1000</f>
        <v>83.459997989072917</v>
      </c>
      <c r="AF76" s="299">
        <f>$AD$76</f>
        <v>83.45999342105263</v>
      </c>
      <c r="AG76" s="299">
        <f t="shared" si="53"/>
        <v>83.45999342105263</v>
      </c>
      <c r="AH76" s="299">
        <f t="shared" si="53"/>
        <v>83.45999342105263</v>
      </c>
      <c r="AI76" s="411">
        <f t="shared" si="54"/>
        <v>85.379573269736838</v>
      </c>
      <c r="AJ76" s="412">
        <f t="shared" si="55"/>
        <v>85.379573269736838</v>
      </c>
      <c r="AK76" s="414"/>
      <c r="AL76" s="134">
        <f t="shared" ref="AL76:AL107" si="95">$AL$9</f>
        <v>2.3E-2</v>
      </c>
      <c r="AM76" s="134"/>
      <c r="AN76" s="134"/>
      <c r="AO76" s="134"/>
      <c r="AP76" s="113" t="str">
        <f t="shared" si="38"/>
        <v>E5810</v>
      </c>
      <c r="AQ76" s="567" t="str">
        <f t="shared" si="39"/>
        <v>Coteaux du Blaiseron</v>
      </c>
      <c r="AR76" s="377"/>
      <c r="AS76" s="377"/>
      <c r="AT76" s="377"/>
      <c r="AU76" s="377"/>
      <c r="AV76" s="377"/>
      <c r="AW76" s="377"/>
      <c r="AX76" s="377"/>
      <c r="AY76" s="377"/>
      <c r="AZ76" s="377"/>
      <c r="BA76" s="377"/>
      <c r="BB76" s="377"/>
      <c r="BC76" s="378"/>
      <c r="BD76" s="414"/>
      <c r="BE76" s="134"/>
      <c r="BF76" s="134"/>
      <c r="BG76" s="134"/>
      <c r="BH76" s="134"/>
      <c r="BI76" s="113" t="str">
        <f t="shared" si="40"/>
        <v>E5810</v>
      </c>
      <c r="BJ76" s="567" t="str">
        <f t="shared" si="41"/>
        <v>Coteaux du Blaiseron</v>
      </c>
      <c r="BK76" s="299">
        <f t="shared" ref="BK76:BT85" si="96">$AJ76</f>
        <v>85.379573269736838</v>
      </c>
      <c r="BL76" s="299">
        <f t="shared" si="96"/>
        <v>85.379573269736838</v>
      </c>
      <c r="BM76" s="299">
        <f t="shared" si="96"/>
        <v>85.379573269736838</v>
      </c>
      <c r="BN76" s="299">
        <f t="shared" si="96"/>
        <v>85.379573269736838</v>
      </c>
      <c r="BO76" s="299">
        <f t="shared" si="96"/>
        <v>85.379573269736838</v>
      </c>
      <c r="BP76" s="299">
        <f t="shared" si="96"/>
        <v>85.379573269736838</v>
      </c>
      <c r="BQ76" s="299">
        <f t="shared" si="96"/>
        <v>85.379573269736838</v>
      </c>
      <c r="BR76" s="299">
        <f t="shared" si="96"/>
        <v>85.379573269736838</v>
      </c>
      <c r="BS76" s="299">
        <f t="shared" si="96"/>
        <v>85.379573269736838</v>
      </c>
      <c r="BT76" s="299">
        <f t="shared" si="96"/>
        <v>85.379573269736838</v>
      </c>
      <c r="BU76" s="299">
        <f t="shared" ref="BU76:BU83" si="97">$BT76+($BT76*$BX$9)</f>
        <v>87.343303454940781</v>
      </c>
      <c r="BV76" s="370">
        <f t="shared" ref="BV76:BV93" si="98">BU76</f>
        <v>87.343303454940781</v>
      </c>
      <c r="BW76" s="414"/>
      <c r="BX76" s="134"/>
      <c r="BY76" s="134"/>
      <c r="BZ76" s="134"/>
      <c r="CA76" s="134"/>
      <c r="CB76" s="113" t="str">
        <f t="shared" ref="CB76:CB107" si="99">B76</f>
        <v>E5810</v>
      </c>
      <c r="CC76" s="373" t="str">
        <f t="shared" ref="CC76:CC107" si="100">+D76</f>
        <v>Coteaux du Blaiseron</v>
      </c>
      <c r="CD76" s="299">
        <f t="shared" si="43"/>
        <v>85.379573269736838</v>
      </c>
      <c r="CE76" s="299">
        <f t="shared" ref="CE76:CE118" si="101">BL76+AS76</f>
        <v>85.379573269736838</v>
      </c>
      <c r="CF76" s="299">
        <f t="shared" ref="CF76:CF118" si="102">BM76+AT76</f>
        <v>85.379573269736838</v>
      </c>
      <c r="CG76" s="299">
        <f t="shared" ref="CG76:CG118" si="103">BN76+AU76</f>
        <v>85.379573269736838</v>
      </c>
      <c r="CH76" s="299">
        <f t="shared" ref="CH76:CH118" si="104">BO76+AV76</f>
        <v>85.379573269736838</v>
      </c>
      <c r="CI76" s="299">
        <f t="shared" ref="CI76:CI118" si="105">BP76+AW76</f>
        <v>85.379573269736838</v>
      </c>
      <c r="CJ76" s="299">
        <f t="shared" ref="CJ76:CJ118" si="106">BQ76+AX76</f>
        <v>85.379573269736838</v>
      </c>
      <c r="CK76" s="299">
        <f t="shared" ref="CK76:CK118" si="107">BR76+AY76</f>
        <v>85.379573269736838</v>
      </c>
      <c r="CL76" s="299">
        <f t="shared" ref="CL76:CL118" si="108">BS76+AZ76</f>
        <v>85.379573269736838</v>
      </c>
      <c r="CM76" s="299">
        <f t="shared" ref="CM76:CM118" si="109">BT76+BA76</f>
        <v>85.379573269736838</v>
      </c>
      <c r="CN76" s="299">
        <f t="shared" ref="CN76:CN118" si="110">BU76+BB76</f>
        <v>87.343303454940781</v>
      </c>
      <c r="CO76" s="370">
        <f t="shared" ref="CO76:CO118" si="111">BV76+BC76</f>
        <v>87.343303454940781</v>
      </c>
      <c r="CP76" s="414"/>
      <c r="CQ76" s="134">
        <f t="shared" ref="CQ76:CQ111" si="112">$CQ$9</f>
        <v>4.0000000000000001E-3</v>
      </c>
      <c r="CU76" s="113" t="str">
        <f t="shared" ref="CU76:CU107" si="113">CB76</f>
        <v>E5810</v>
      </c>
      <c r="CV76" s="359" t="str">
        <f t="shared" ref="CV76:CV107" si="114">CC76</f>
        <v>Coteaux du Blaiseron</v>
      </c>
      <c r="CW76" s="300">
        <f t="shared" ref="CW76:CW111" si="115">F76*(CD76/1000)</f>
        <v>264776.28954270238</v>
      </c>
      <c r="CX76" s="298">
        <f t="shared" ref="CX76:CX111" si="116">G76*(CE76/1000)</f>
        <v>215667.66136289679</v>
      </c>
      <c r="CY76" s="298">
        <f t="shared" ref="CY76:CY111" si="117">H76*(CF76/1000)</f>
        <v>214670.12574959351</v>
      </c>
      <c r="CZ76" s="298">
        <f t="shared" ref="CZ76:CZ111" si="118">I76*(CG76/1000)</f>
        <v>172677.82059106772</v>
      </c>
      <c r="DA76" s="298">
        <f t="shared" ref="DA76:DA111" si="119">J76*(CH76/1000)</f>
        <v>147820.2563498099</v>
      </c>
      <c r="DB76" s="298">
        <f t="shared" ref="DB76:DB111" si="120">K76*(CI76/1000)</f>
        <v>113002.67338191513</v>
      </c>
      <c r="DC76" s="298">
        <f t="shared" ref="DC76:DC111" si="121">L76*(CJ76/1000)</f>
        <v>111708.83157123528</v>
      </c>
      <c r="DD76" s="298">
        <f t="shared" ref="DD76:DD111" si="122">M76*(CK76/1000)</f>
        <v>105086.32114471462</v>
      </c>
      <c r="DE76" s="298">
        <f t="shared" ref="DE76:DE111" si="123">N76*(CL76/1000)</f>
        <v>148553.82491077203</v>
      </c>
      <c r="DF76" s="298">
        <f t="shared" ref="DF76:DF111" si="124">O76*(CM76/1000)</f>
        <v>216169.56207257937</v>
      </c>
      <c r="DG76" s="371">
        <f t="shared" ref="DG76:DG111" si="125">P76*(CN76/1000)</f>
        <v>223718.59093859026</v>
      </c>
      <c r="DH76" s="372">
        <f t="shared" ref="DH76:DH111" si="126">Q76*(CO76/1000)</f>
        <v>277832.71278831689</v>
      </c>
      <c r="DI76" s="67">
        <f t="shared" ref="DI76:DI107" si="127">SUM(CW76:DH76)</f>
        <v>2211684.6704041939</v>
      </c>
      <c r="DJ76" s="364">
        <f>_xll.LVCELL($E$1,Q$2,$C76,$D$2,$C$4,$C$5,$C$6,$C$7,$C$8,$D$3)+_xll.LVCELL($E$2,Q$2,$C76,$D$2,$C$4,$C$5,$C$6,$C$7,$C$8,$D$3)</f>
        <v>4257924.2995906742</v>
      </c>
      <c r="DK76" s="82">
        <f t="shared" si="44"/>
        <v>-2046239.6291864803</v>
      </c>
      <c r="DM76" s="518">
        <f t="shared" ref="DM76:DM111" si="128">+DI76/R76*1000</f>
        <v>85.817113773306133</v>
      </c>
      <c r="DO76" s="64" t="str">
        <f t="shared" ref="DO76:DO111" si="129">B76</f>
        <v>E5810</v>
      </c>
      <c r="DP76" s="64" t="str">
        <f t="shared" ref="DP76:DP111" si="130">C76</f>
        <v>E5810</v>
      </c>
      <c r="DQ76" s="109" t="str">
        <f t="shared" ref="DQ76:DQ112" si="131">D76</f>
        <v>Coteaux du Blaiseron</v>
      </c>
      <c r="DR76" s="365">
        <f>_xll.LVCELL($DP$3,DR$3,$DP76,$DQ$2,$DP$4,$DP$5,$DP$6,$DP$7,$DP$8,$DQ$3)/100</f>
        <v>0.97</v>
      </c>
      <c r="DS76" s="365">
        <f>_xll.LVCELL($DP$3,DS$3,$DP76,$DQ$2,$DP$4,$DP$5,$DP$6,$DP$7,$DP$8,$DQ$3)/100</f>
        <v>0.97</v>
      </c>
      <c r="DT76" s="365">
        <f>_xll.LVCELL($DP$3,DT$3,$DP76,$DQ$2,$DP$4,$DP$5,$DP$6,$DP$7,$DP$8,$DQ$3)/100</f>
        <v>0.97</v>
      </c>
      <c r="DU76" s="365">
        <f>_xll.LVCELL($DP$3,DU$3,$DP76,$DQ$2,$DP$4,$DP$5,$DP$6,$DP$7,$DP$8,$DQ$3)/100</f>
        <v>0.97</v>
      </c>
      <c r="DV76" s="365">
        <f>_xll.LVCELL($DP$3,DV$3,$DP76,$DQ$2,$DP$4,$DP$5,$DP$6,$DP$7,$DP$8,$DQ$3)/100</f>
        <v>0.97</v>
      </c>
      <c r="DW76" s="365">
        <f>_xll.LVCELL($DP$3,DW$3,$DP76,$DQ$2,$DP$4,$DP$5,$DP$6,$DP$7,$DP$8,$DQ$3)/100</f>
        <v>0.97</v>
      </c>
      <c r="DX76" s="365">
        <f>_xll.LVCELL($DP$3,DX$3,$DP76,$DQ$2,$DP$4,$DP$5,$DP$6,$DP$7,$DP$8,$DQ$3)/100</f>
        <v>0.97</v>
      </c>
      <c r="DY76" s="365">
        <f>_xll.LVCELL($DP$3,DY$3,$DP76,$DQ$2,$DP$4,$DP$5,$DP$6,$DP$7,$DP$8,$DQ$3)/100</f>
        <v>0.97</v>
      </c>
      <c r="DZ76" s="365">
        <f>_xll.LVCELL($DP$3,DZ$3,$DP76,$DQ$2,$DP$4,$DP$5,$DP$6,$DP$7,$DP$8,$DQ$3)/100</f>
        <v>0.97</v>
      </c>
      <c r="EA76" s="365">
        <f>_xll.LVCELL($DP$3,EA$3,$DP76,$DQ$2,$DP$4,$DP$5,$DP$6,$DP$7,$DP$8,$DQ$3)/100</f>
        <v>0.97</v>
      </c>
      <c r="EB76" s="365">
        <f>_xll.LVCELL($DP$3,EB$3,$DP76,$DQ$2,$DP$4,$DP$5,$DP$6,$DP$7,$DP$8,$DQ$3)/100</f>
        <v>0.97</v>
      </c>
      <c r="EC76" s="365">
        <f>_xll.LVCELL($DP$3,EC$3,$DP76,$DQ$2,$DP$4,$DP$5,$DP$6,$DP$7,$DP$8,$DQ$3)/100</f>
        <v>0.97</v>
      </c>
      <c r="ED76" s="582">
        <f t="shared" si="45"/>
        <v>11.64</v>
      </c>
      <c r="EF76" s="64" t="s">
        <v>481</v>
      </c>
      <c r="EG76" s="64" t="s">
        <v>481</v>
      </c>
      <c r="EH76" s="109" t="s">
        <v>2646</v>
      </c>
      <c r="EI76" s="366" t="e">
        <f ca="1">_xll.LVCELL($EG$3,EI$3,$DP76,$DQ$2,$DP$4,$DP$5,$DP$6,$DP$7,$DP$8,$DQ$3)-CW76-CW77</f>
        <v>#NAME?</v>
      </c>
      <c r="EJ76" s="367" t="e">
        <f ca="1">_xll.LVCELL($EG$3,EJ$3,$DP76,$DQ$2,$DP$4,$DP$5,$DP$6,$DP$7,$DP$8,$DQ$3)-CX76-CX77</f>
        <v>#NAME?</v>
      </c>
      <c r="EK76" s="368" t="e">
        <f ca="1">_xll.LVCELL($EG$3,EK$3,$DP76,$DQ$2,$DP$4,$DP$5,$DP$6,$DP$7,$DP$8,$DQ$3)-CY76-CY77</f>
        <v>#NAME?</v>
      </c>
      <c r="EL76" s="367" t="e">
        <f ca="1">_xll.LVCELL($EG$3,EL$3,$DP76,$DQ$2,$DP$4,$DP$5,$DP$6,$DP$7,$DP$8,$DQ$3)-CZ76-CZ77</f>
        <v>#NAME?</v>
      </c>
      <c r="EM76" s="368" t="e">
        <f ca="1">_xll.LVCELL($EG$3,EM$3,$DP76,$DQ$2,$DP$4,$DP$5,$DP$6,$DP$7,$DP$8,$DQ$3)-DA76-DA77</f>
        <v>#NAME?</v>
      </c>
      <c r="EN76" s="367" t="e">
        <f ca="1">_xll.LVCELL($EG$3,EN$3,$DP76,$DQ$2,$DP$4,$DP$5,$DP$6,$DP$7,$DP$8,$DQ$3)-DB76-DB77</f>
        <v>#NAME?</v>
      </c>
      <c r="EO76" s="368" t="e">
        <f ca="1">_xll.LVCELL($EG$3,EO$3,$DP76,$DQ$2,$DP$4,$DP$5,$DP$6,$DP$7,$DP$8,$DQ$3)-DC76-DC77</f>
        <v>#NAME?</v>
      </c>
      <c r="EP76" s="367" t="e">
        <f ca="1">_xll.LVCELL($EG$3,EP$3,$DP76,$DQ$2,$DP$4,$DP$5,$DP$6,$DP$7,$DP$8,$DQ$3)-DD76-DD77</f>
        <v>#NAME?</v>
      </c>
      <c r="EQ76" s="368" t="e">
        <f ca="1">_xll.LVCELL($EG$3,EQ$3,$DP76,$DQ$2,$DP$4,$DP$5,$DP$6,$DP$7,$DP$8,$DQ$3)-DE76-DE77</f>
        <v>#NAME?</v>
      </c>
      <c r="ER76" s="367" t="e">
        <f ca="1">_xll.LVCELL($EG$3,ER$3,$DP76,$DQ$2,$DP$4,$DP$5,$DP$6,$DP$7,$DP$8,$DQ$3)-DF76-DF77</f>
        <v>#NAME?</v>
      </c>
      <c r="ES76" s="368" t="e">
        <f ca="1">_xll.LVCELL($EG$3,ES$3,$DP76,$DQ$2,$DP$4,$DP$5,$DP$6,$DP$7,$DP$8,$DQ$3)-DG76-DG77</f>
        <v>#NAME?</v>
      </c>
      <c r="ET76" s="367" t="e">
        <f ca="1">_xll.LVCELL($EG$3,ET$3,$DP76,$DQ$2,$DP$4,$DP$5,$DP$6,$DP$7,$DP$8,$DQ$3)-DH76-DH77</f>
        <v>#NAME?</v>
      </c>
      <c r="EW76" s="64" t="s">
        <v>481</v>
      </c>
      <c r="EX76" s="64" t="s">
        <v>481</v>
      </c>
      <c r="EY76" s="109" t="s">
        <v>2646</v>
      </c>
      <c r="EZ76" s="364">
        <f>_xll.LVCELL($EX$3,EZ$3,$DP76,$DQ$2,$DP$4,$DP$5,$DP$6,$DP$7,$DP$8,$DQ$3)</f>
        <v>25600</v>
      </c>
      <c r="FA76" s="364">
        <f>_xll.LVCELL($EX$3,FA$3,$DP76,$DQ$2,$DP$4,$DP$5,$DP$6,$DP$7,$DP$8,$DQ$3)</f>
        <v>25600</v>
      </c>
      <c r="FB76" s="364">
        <f>_xll.LVCELL($EX$3,FB$3,$DP76,$DQ$2,$DP$4,$DP$5,$DP$6,$DP$7,$DP$8,$DQ$3)</f>
        <v>25600</v>
      </c>
      <c r="FC76" s="364">
        <f>_xll.LVCELL($EX$3,FC$3,$DP76,$DQ$2,$DP$4,$DP$5,$DP$6,$DP$7,$DP$8,$DQ$3)</f>
        <v>25600</v>
      </c>
      <c r="FD76" s="364">
        <f>_xll.LVCELL($EX$3,FD$3,$DP76,$DQ$2,$DP$4,$DP$5,$DP$6,$DP$7,$DP$8,$DQ$3)</f>
        <v>25600</v>
      </c>
      <c r="FE76" s="364">
        <f>_xll.LVCELL($EX$3,FE$3,$DP76,$DQ$2,$DP$4,$DP$5,$DP$6,$DP$7,$DP$8,$DQ$3)</f>
        <v>25600</v>
      </c>
      <c r="FF76" s="364">
        <f>_xll.LVCELL($EX$3,FF$3,$DP76,$DQ$2,$DP$4,$DP$5,$DP$6,$DP$7,$DP$8,$DQ$3)</f>
        <v>25600</v>
      </c>
      <c r="FG76" s="364">
        <f>_xll.LVCELL($EX$3,FG$3,$DP76,$DQ$2,$DP$4,$DP$5,$DP$6,$DP$7,$DP$8,$DQ$3)</f>
        <v>25600</v>
      </c>
      <c r="FH76" s="364">
        <f>_xll.LVCELL($EX$3,FH$3,$DP76,$DQ$2,$DP$4,$DP$5,$DP$6,$DP$7,$DP$8,$DQ$3)</f>
        <v>25600</v>
      </c>
      <c r="FI76" s="364">
        <f>_xll.LVCELL($EX$3,FI$3,$DP76,$DQ$2,$DP$4,$DP$5,$DP$6,$DP$7,$DP$8,$DQ$3)</f>
        <v>25600</v>
      </c>
      <c r="FJ76" s="364">
        <f>_xll.LVCELL($EX$3,FJ$3,$DP76,$DQ$2,$DP$4,$DP$5,$DP$6,$DP$7,$DP$8,$DQ$3)</f>
        <v>25600</v>
      </c>
      <c r="FK76" s="276">
        <f>_xll.LVCELL($EX$3,FK$3,$DP76,$DQ$2,$DP$4,$DP$5,$DP$6,$DP$7,$DP$8,$DQ$3)</f>
        <v>25600</v>
      </c>
      <c r="FN76" s="64" t="s">
        <v>481</v>
      </c>
      <c r="FO76" s="64" t="s">
        <v>481</v>
      </c>
      <c r="FP76" s="109" t="s">
        <v>2646</v>
      </c>
      <c r="FQ76" s="364">
        <f>_xll.LVCELL($FO$3,FQ$3,$DP76,$DQ$2,$DP$4,$DP$5,$DP$6,$DP$7,$DP$8,$DQ$3)</f>
        <v>8</v>
      </c>
      <c r="FR76" s="364">
        <f>_xll.LVCELL($FO$3,FR$3,$DP76,$DQ$2,$DP$4,$DP$5,$DP$6,$DP$7,$DP$8,$DQ$3)</f>
        <v>8</v>
      </c>
      <c r="FS76" s="364">
        <f>_xll.LVCELL($FO$3,FS$3,$DP76,$DQ$2,$DP$4,$DP$5,$DP$6,$DP$7,$DP$8,$DQ$3)</f>
        <v>8</v>
      </c>
      <c r="FT76" s="364">
        <f>_xll.LVCELL($FO$3,FT$3,$DP76,$DQ$2,$DP$4,$DP$5,$DP$6,$DP$7,$DP$8,$DQ$3)</f>
        <v>8</v>
      </c>
      <c r="FU76" s="364">
        <f>_xll.LVCELL($FO$3,FU$3,$DP76,$DQ$2,$DP$4,$DP$5,$DP$6,$DP$7,$DP$8,$DQ$3)</f>
        <v>8</v>
      </c>
      <c r="FV76" s="364">
        <f>_xll.LVCELL($FO$3,FV$3,$DP76,$DQ$2,$DP$4,$DP$5,$DP$6,$DP$7,$DP$8,$DQ$3)</f>
        <v>8</v>
      </c>
      <c r="FW76" s="364">
        <f>_xll.LVCELL($FO$3,FW$3,$DP76,$DQ$2,$DP$4,$DP$5,$DP$6,$DP$7,$DP$8,$DQ$3)</f>
        <v>8</v>
      </c>
      <c r="FX76" s="364">
        <f>_xll.LVCELL($FO$3,FX$3,$DP76,$DQ$2,$DP$4,$DP$5,$DP$6,$DP$7,$DP$8,$DQ$3)</f>
        <v>8</v>
      </c>
      <c r="FY76" s="364">
        <f>_xll.LVCELL($FO$3,FY$3,$DP76,$DQ$2,$DP$4,$DP$5,$DP$6,$DP$7,$DP$8,$DQ$3)</f>
        <v>8</v>
      </c>
      <c r="FZ76" s="364">
        <f>_xll.LVCELL($FO$3,FZ$3,$DP76,$DQ$2,$DP$4,$DP$5,$DP$6,$DP$7,$DP$8,$DQ$3)</f>
        <v>8</v>
      </c>
      <c r="GA76" s="364">
        <f>_xll.LVCELL($FO$3,GA$3,$DP76,$DQ$2,$DP$4,$DP$5,$DP$6,$DP$7,$DP$8,$DQ$3)</f>
        <v>8</v>
      </c>
      <c r="GB76" s="172">
        <f>_xll.LVCELL($FO$3,GB$3,$DP76,$DQ$2,$DP$4,$DP$5,$DP$6,$DP$7,$DP$8,$DQ$3)</f>
        <v>8</v>
      </c>
    </row>
    <row r="77" spans="2:184" ht="15">
      <c r="B77" s="64" t="s">
        <v>481</v>
      </c>
      <c r="C77" s="64" t="s">
        <v>481</v>
      </c>
      <c r="D77" s="109" t="s">
        <v>568</v>
      </c>
      <c r="E77" s="357"/>
      <c r="F77" s="103">
        <f>'distribution mensuelle Prod B22'!$BQ$36</f>
        <v>2869183.8263972001</v>
      </c>
      <c r="G77" s="103">
        <f>'distribution mensuelle Prod B22'!$BQ$37</f>
        <v>2337030.1280679251</v>
      </c>
      <c r="H77" s="103">
        <f>'distribution mensuelle Prod B22'!$BQ$38</f>
        <v>2326220.5761518977</v>
      </c>
      <c r="I77" s="103">
        <f>'distribution mensuelle Prod B22'!$BQ$39</f>
        <v>1871181.180433851</v>
      </c>
      <c r="J77" s="103">
        <f>'distribution mensuelle Prod B22'!$BQ$40</f>
        <v>1601818.2348021807</v>
      </c>
      <c r="K77" s="103">
        <f>'distribution mensuelle Prod B22'!$BQ$41</f>
        <v>1224525.9700821743</v>
      </c>
      <c r="L77" s="103">
        <f>'distribution mensuelle Prod B22'!$BQ$42</f>
        <v>1210505.5681665398</v>
      </c>
      <c r="M77" s="103">
        <f>'distribution mensuelle Prod B22'!$BQ$43</f>
        <v>1138742.3455655393</v>
      </c>
      <c r="N77" s="103">
        <f>'distribution mensuelle Prod B22'!$BQ$44</f>
        <v>1609767.3719938118</v>
      </c>
      <c r="O77" s="103">
        <f>'distribution mensuelle Prod B22'!$BQ$45</f>
        <v>2342468.852967219</v>
      </c>
      <c r="P77" s="103">
        <f>'distribution mensuelle Prod B22'!$BQ$46</f>
        <v>2369767.4165813951</v>
      </c>
      <c r="Q77" s="103">
        <f>'distribution mensuelle Prod B22'!$BQ$47</f>
        <v>2942978.083600115</v>
      </c>
      <c r="R77" s="67">
        <f t="shared" si="92"/>
        <v>23844189.55480985</v>
      </c>
      <c r="S77" s="358"/>
      <c r="T77" s="64" t="s">
        <v>3105</v>
      </c>
      <c r="W77" s="113" t="str">
        <f t="shared" si="93"/>
        <v>E5810</v>
      </c>
      <c r="X77" s="359" t="str">
        <f t="shared" si="94"/>
        <v>CDB Doux le vent</v>
      </c>
      <c r="Y77" s="299" cm="1">
        <f t="array" ref="Y77">_xll.LVCELL($D$4,F$1,$B77,$D$2,$C$4,$C$5,$C$6,$C$7,$C$8,$D$3)*1000+_xll.LVCELL($D$5,F$1,$B77,$D$2,$C$4,$C$5,$C$6,$C$7,$C$8,$D$3)*1000</f>
        <v>83.460007000000004</v>
      </c>
      <c r="Z77" s="299" cm="1">
        <f t="array" ref="Z77">_xll.LVCELL($D$4,G$1,$B77,$D$2,$C$4,$C$5,$C$6,$C$7,$C$8,$D$3)*1000+_xll.LVCELL($D$5,G$1,$B77,$D$2,$C$4,$C$5,$C$6,$C$7,$C$8,$D$3)*1000</f>
        <v>83.460001000000005</v>
      </c>
      <c r="AA77" s="299" cm="1">
        <f t="array" ref="AA77">_xll.LVCELL($D$4,H$1,$B77,$D$2,$C$4,$C$5,$C$6,$C$7,$C$8,$D$3)*1000+_xll.LVCELL($D$5,H$1,$B77,$D$2,$C$4,$C$5,$C$6,$C$7,$C$8,$D$3)*1000</f>
        <v>83.459998414118871</v>
      </c>
      <c r="AB77" s="299" cm="1">
        <f t="array" ref="AB77">_xll.LVCELL($D$4,I$1,$B77,$D$2,$C$4,$C$5,$C$6,$C$7,$C$8,$D$3)*1000+_xll.LVCELL($D$5,I$1,$B77,$D$2,$C$4,$C$5,$C$6,$C$7,$C$8,$D$3)*1000</f>
        <v>83.460001516187162</v>
      </c>
      <c r="AC77" s="299" cm="1">
        <f t="array" ref="AC77">_xll.LVCELL($D$4,J$1,$B77,$D$2,$C$4,$C$5,$C$6,$C$7,$C$8,$D$3)*1000+_xll.LVCELL($D$5,J$1,$B77,$D$2,$C$4,$C$5,$C$6,$C$7,$C$8,$D$3)*1000</f>
        <v>83.460002153866995</v>
      </c>
      <c r="AD77" s="299" cm="1">
        <f t="array" ref="AD77">_xll.LVCELL($D$4,K$1,$B77,$D$2,$C$4,$C$5,$C$6,$C$7,$C$8,$D$3)*1000+_xll.LVCELL($D$5,K$1,$B77,$D$2,$C$4,$C$5,$C$6,$C$7,$C$8,$D$3)*1000</f>
        <v>83.45999342105263</v>
      </c>
      <c r="AE77" s="299" cm="1">
        <f t="array" ref="AE77">_xll.LVCELL($D$4,L$1,$B77,$D$2,$C$4,$C$5,$C$6,$C$7,$C$8,$D$3)*1000+_xll.LVCELL($D$5,L$1,$B77,$D$2,$C$4,$C$5,$C$6,$C$7,$C$8,$D$3)*1000</f>
        <v>83.459997989072917</v>
      </c>
      <c r="AF77" s="299">
        <f>$AD$77</f>
        <v>83.45999342105263</v>
      </c>
      <c r="AG77" s="299">
        <f t="shared" si="53"/>
        <v>83.45999342105263</v>
      </c>
      <c r="AH77" s="299">
        <f t="shared" si="53"/>
        <v>83.45999342105263</v>
      </c>
      <c r="AI77" s="411">
        <f t="shared" si="54"/>
        <v>85.379573269736838</v>
      </c>
      <c r="AJ77" s="412">
        <f t="shared" si="55"/>
        <v>85.379573269736838</v>
      </c>
      <c r="AK77" s="414"/>
      <c r="AL77" s="134">
        <f t="shared" si="95"/>
        <v>2.3E-2</v>
      </c>
      <c r="AM77" s="134"/>
      <c r="AN77" s="134"/>
      <c r="AO77" s="134"/>
      <c r="AP77" s="113" t="str">
        <f t="shared" ref="AP77:AP118" si="132">W77</f>
        <v>E5810</v>
      </c>
      <c r="AQ77" s="567" t="str">
        <f t="shared" ref="AQ77:AQ118" si="133">X77</f>
        <v>CDB Doux le vent</v>
      </c>
      <c r="AR77" s="377"/>
      <c r="AS77" s="377"/>
      <c r="AT77" s="377"/>
      <c r="AU77" s="377"/>
      <c r="AV77" s="377"/>
      <c r="AW77" s="377"/>
      <c r="AX77" s="377"/>
      <c r="AY77" s="377"/>
      <c r="AZ77" s="377"/>
      <c r="BA77" s="377"/>
      <c r="BB77" s="377"/>
      <c r="BC77" s="378"/>
      <c r="BD77" s="414"/>
      <c r="BE77" s="134"/>
      <c r="BF77" s="134"/>
      <c r="BG77" s="134"/>
      <c r="BH77" s="134"/>
      <c r="BI77" s="113" t="str">
        <f t="shared" ref="BI77:BI118" si="134">AP77</f>
        <v>E5810</v>
      </c>
      <c r="BJ77" s="567" t="str">
        <f t="shared" ref="BJ77:BJ118" si="135">AQ77</f>
        <v>CDB Doux le vent</v>
      </c>
      <c r="BK77" s="299">
        <f t="shared" si="96"/>
        <v>85.379573269736838</v>
      </c>
      <c r="BL77" s="299">
        <f t="shared" si="96"/>
        <v>85.379573269736838</v>
      </c>
      <c r="BM77" s="299">
        <f t="shared" si="96"/>
        <v>85.379573269736838</v>
      </c>
      <c r="BN77" s="299">
        <f t="shared" si="96"/>
        <v>85.379573269736838</v>
      </c>
      <c r="BO77" s="299">
        <f t="shared" si="96"/>
        <v>85.379573269736838</v>
      </c>
      <c r="BP77" s="299">
        <f t="shared" si="96"/>
        <v>85.379573269736838</v>
      </c>
      <c r="BQ77" s="299">
        <f t="shared" si="96"/>
        <v>85.379573269736838</v>
      </c>
      <c r="BR77" s="299">
        <f t="shared" si="96"/>
        <v>85.379573269736838</v>
      </c>
      <c r="BS77" s="299">
        <f t="shared" si="96"/>
        <v>85.379573269736838</v>
      </c>
      <c r="BT77" s="299">
        <f t="shared" si="96"/>
        <v>85.379573269736838</v>
      </c>
      <c r="BU77" s="299">
        <f t="shared" si="97"/>
        <v>87.343303454940781</v>
      </c>
      <c r="BV77" s="370">
        <f t="shared" si="98"/>
        <v>87.343303454940781</v>
      </c>
      <c r="BW77" s="414"/>
      <c r="BX77" s="134"/>
      <c r="BY77" s="134"/>
      <c r="BZ77" s="134"/>
      <c r="CA77" s="134"/>
      <c r="CB77" s="113" t="str">
        <f t="shared" si="99"/>
        <v>E5810</v>
      </c>
      <c r="CC77" s="373" t="str">
        <f t="shared" si="100"/>
        <v>CDB Doux le vent</v>
      </c>
      <c r="CD77" s="299">
        <f t="shared" ref="CD77:CD118" si="136">BK77+AR77</f>
        <v>85.379573269736838</v>
      </c>
      <c r="CE77" s="299">
        <f t="shared" si="101"/>
        <v>85.379573269736838</v>
      </c>
      <c r="CF77" s="299">
        <f t="shared" si="102"/>
        <v>85.379573269736838</v>
      </c>
      <c r="CG77" s="299">
        <f t="shared" si="103"/>
        <v>85.379573269736838</v>
      </c>
      <c r="CH77" s="299">
        <f t="shared" si="104"/>
        <v>85.379573269736838</v>
      </c>
      <c r="CI77" s="299">
        <f t="shared" si="105"/>
        <v>85.379573269736838</v>
      </c>
      <c r="CJ77" s="299">
        <f t="shared" si="106"/>
        <v>85.379573269736838</v>
      </c>
      <c r="CK77" s="299">
        <f t="shared" si="107"/>
        <v>85.379573269736838</v>
      </c>
      <c r="CL77" s="299">
        <f t="shared" si="108"/>
        <v>85.379573269736838</v>
      </c>
      <c r="CM77" s="299">
        <f t="shared" si="109"/>
        <v>85.379573269736838</v>
      </c>
      <c r="CN77" s="299">
        <f t="shared" si="110"/>
        <v>87.343303454940781</v>
      </c>
      <c r="CO77" s="370">
        <f t="shared" si="111"/>
        <v>87.343303454940781</v>
      </c>
      <c r="CP77" s="414"/>
      <c r="CQ77" s="134">
        <f t="shared" si="112"/>
        <v>4.0000000000000001E-3</v>
      </c>
      <c r="CU77" s="113" t="str">
        <f t="shared" si="113"/>
        <v>E5810</v>
      </c>
      <c r="CV77" s="359" t="str">
        <f t="shared" si="114"/>
        <v>CDB Doux le vent</v>
      </c>
      <c r="CW77" s="300">
        <f t="shared" si="115"/>
        <v>244969.69073022367</v>
      </c>
      <c r="CX77" s="298">
        <f t="shared" si="116"/>
        <v>199534.63505295789</v>
      </c>
      <c r="CY77" s="298">
        <f t="shared" si="117"/>
        <v>198611.72012313039</v>
      </c>
      <c r="CZ77" s="298">
        <f t="shared" si="118"/>
        <v>159760.65069580465</v>
      </c>
      <c r="DA77" s="298">
        <f t="shared" si="119"/>
        <v>136762.55734309333</v>
      </c>
      <c r="DB77" s="298">
        <f t="shared" si="120"/>
        <v>104549.50478332659</v>
      </c>
      <c r="DC77" s="298">
        <f t="shared" si="121"/>
        <v>103352.44885069951</v>
      </c>
      <c r="DD77" s="298">
        <f t="shared" si="122"/>
        <v>97225.33552856496</v>
      </c>
      <c r="DE77" s="298">
        <f t="shared" si="123"/>
        <v>137441.25128437739</v>
      </c>
      <c r="DF77" s="298">
        <f t="shared" si="124"/>
        <v>199998.9910639911</v>
      </c>
      <c r="DG77" s="371">
        <f t="shared" si="125"/>
        <v>206983.31458409983</v>
      </c>
      <c r="DH77" s="372">
        <f t="shared" si="126"/>
        <v>257049.4278171249</v>
      </c>
      <c r="DI77" s="67">
        <f t="shared" si="127"/>
        <v>2046239.5278573942</v>
      </c>
      <c r="DJ77" s="364"/>
      <c r="DK77" s="82">
        <f t="shared" ref="DK77:DK119" si="137">DI77-DJ77</f>
        <v>2046239.5278573942</v>
      </c>
      <c r="DM77" s="518">
        <f t="shared" si="128"/>
        <v>85.817113773306119</v>
      </c>
      <c r="DO77" s="64" t="str">
        <f t="shared" si="129"/>
        <v>E5810</v>
      </c>
      <c r="DP77" s="64" t="str">
        <f t="shared" si="130"/>
        <v>E5810</v>
      </c>
      <c r="DQ77" s="109" t="str">
        <f t="shared" si="131"/>
        <v>CDB Doux le vent</v>
      </c>
      <c r="DR77" s="365">
        <f>_xll.LVCELL($DP$3,DR$3,$DP77,$DQ$2,$DP$4,$DP$5,$DP$6,$DP$7,$DP$8,$DQ$3)/100</f>
        <v>0.97</v>
      </c>
      <c r="DS77" s="365">
        <f>_xll.LVCELL($DP$3,DS$3,$DP77,$DQ$2,$DP$4,$DP$5,$DP$6,$DP$7,$DP$8,$DQ$3)/100</f>
        <v>0.97</v>
      </c>
      <c r="DT77" s="365">
        <f>_xll.LVCELL($DP$3,DT$3,$DP77,$DQ$2,$DP$4,$DP$5,$DP$6,$DP$7,$DP$8,$DQ$3)/100</f>
        <v>0.97</v>
      </c>
      <c r="DU77" s="365">
        <f>_xll.LVCELL($DP$3,DU$3,$DP77,$DQ$2,$DP$4,$DP$5,$DP$6,$DP$7,$DP$8,$DQ$3)/100</f>
        <v>0.97</v>
      </c>
      <c r="DV77" s="365">
        <f>_xll.LVCELL($DP$3,DV$3,$DP77,$DQ$2,$DP$4,$DP$5,$DP$6,$DP$7,$DP$8,$DQ$3)/100</f>
        <v>0.97</v>
      </c>
      <c r="DW77" s="365">
        <f>_xll.LVCELL($DP$3,DW$3,$DP77,$DQ$2,$DP$4,$DP$5,$DP$6,$DP$7,$DP$8,$DQ$3)/100</f>
        <v>0.97</v>
      </c>
      <c r="DX77" s="365">
        <f>_xll.LVCELL($DP$3,DX$3,$DP77,$DQ$2,$DP$4,$DP$5,$DP$6,$DP$7,$DP$8,$DQ$3)/100</f>
        <v>0.97</v>
      </c>
      <c r="DY77" s="365">
        <f>_xll.LVCELL($DP$3,DY$3,$DP77,$DQ$2,$DP$4,$DP$5,$DP$6,$DP$7,$DP$8,$DQ$3)/100</f>
        <v>0.97</v>
      </c>
      <c r="DZ77" s="365">
        <f>_xll.LVCELL($DP$3,DZ$3,$DP77,$DQ$2,$DP$4,$DP$5,$DP$6,$DP$7,$DP$8,$DQ$3)/100</f>
        <v>0.97</v>
      </c>
      <c r="EA77" s="365">
        <f>_xll.LVCELL($DP$3,EA$3,$DP77,$DQ$2,$DP$4,$DP$5,$DP$6,$DP$7,$DP$8,$DQ$3)/100</f>
        <v>0.97</v>
      </c>
      <c r="EB77" s="365">
        <f>_xll.LVCELL($DP$3,EB$3,$DP77,$DQ$2,$DP$4,$DP$5,$DP$6,$DP$7,$DP$8,$DQ$3)/100</f>
        <v>0.97</v>
      </c>
      <c r="EC77" s="365">
        <f>_xll.LVCELL($DP$3,EC$3,$DP77,$DQ$2,$DP$4,$DP$5,$DP$6,$DP$7,$DP$8,$DQ$3)/100</f>
        <v>0.97</v>
      </c>
      <c r="ED77" s="582">
        <f t="shared" ref="ED77:ED112" si="138">SUM(DR77:EC77)</f>
        <v>11.64</v>
      </c>
      <c r="EF77" s="64" t="s">
        <v>481</v>
      </c>
      <c r="EH77" s="109"/>
      <c r="EI77" s="366"/>
      <c r="EJ77" s="367"/>
      <c r="EK77" s="368"/>
      <c r="EL77" s="367"/>
      <c r="EM77" s="368"/>
      <c r="EN77" s="367"/>
      <c r="EO77" s="368"/>
      <c r="EP77" s="367"/>
      <c r="EQ77" s="368"/>
      <c r="ER77" s="367"/>
      <c r="ES77" s="368"/>
      <c r="ET77" s="367"/>
      <c r="EY77" s="109"/>
      <c r="EZ77" s="364"/>
      <c r="FA77" s="364"/>
      <c r="FB77" s="364"/>
      <c r="FC77" s="364"/>
      <c r="FD77" s="364"/>
      <c r="FE77" s="364"/>
      <c r="FF77" s="364"/>
      <c r="FG77" s="364"/>
      <c r="FH77" s="364"/>
      <c r="FI77" s="364"/>
      <c r="FJ77" s="364"/>
      <c r="FK77" s="364"/>
      <c r="FP77" s="109"/>
      <c r="FQ77" s="364"/>
      <c r="FR77" s="364"/>
      <c r="FS77" s="364"/>
      <c r="FT77" s="364"/>
      <c r="FU77" s="364"/>
      <c r="FV77" s="364"/>
      <c r="FW77" s="364"/>
      <c r="FX77" s="364"/>
      <c r="FY77" s="364"/>
      <c r="FZ77" s="364"/>
      <c r="GA77" s="364"/>
      <c r="GB77" s="172"/>
    </row>
    <row r="78" spans="2:184" ht="15">
      <c r="B78" s="64" t="s">
        <v>375</v>
      </c>
      <c r="C78" s="64" t="s">
        <v>375</v>
      </c>
      <c r="D78" s="359" t="s">
        <v>483</v>
      </c>
      <c r="E78" s="357">
        <f>_xll.LVCELL($C$3,Q$3,$C78,$D$2,$C$4,$C$5,$C$6,$C$7,$C$8,$D$3)/1000</f>
        <v>0</v>
      </c>
      <c r="F78" s="103">
        <f>'distribution mensuelle Prod B22'!$BR$36</f>
        <v>2736752.7023868919</v>
      </c>
      <c r="G78" s="103">
        <f>'distribution mensuelle Prod B22'!$BR$37</f>
        <v>0</v>
      </c>
      <c r="H78" s="103">
        <f>'distribution mensuelle Prod B22'!$BR$38</f>
        <v>0</v>
      </c>
      <c r="I78" s="103">
        <f>'distribution mensuelle Prod B22'!$BR$39</f>
        <v>0</v>
      </c>
      <c r="J78" s="103">
        <f>'distribution mensuelle Prod B22'!$BR$40</f>
        <v>0</v>
      </c>
      <c r="K78" s="103">
        <f>'distribution mensuelle Prod B22'!$BR$41</f>
        <v>0</v>
      </c>
      <c r="L78" s="103">
        <f>'distribution mensuelle Prod B22'!$BR$42</f>
        <v>0</v>
      </c>
      <c r="M78" s="103">
        <f>'distribution mensuelle Prod B22'!$BR$43</f>
        <v>0</v>
      </c>
      <c r="N78" s="103">
        <f>'distribution mensuelle Prod B22'!$BR$44</f>
        <v>0</v>
      </c>
      <c r="O78" s="103">
        <f>'distribution mensuelle Prod B22'!$BR$45</f>
        <v>0</v>
      </c>
      <c r="P78" s="103">
        <f>'distribution mensuelle Prod B22'!$BR$46</f>
        <v>0</v>
      </c>
      <c r="Q78" s="103">
        <f>'distribution mensuelle Prod B22'!$BR$47</f>
        <v>0</v>
      </c>
      <c r="R78" s="67">
        <f t="shared" si="92"/>
        <v>2736752.7023868919</v>
      </c>
      <c r="S78" s="358"/>
      <c r="W78" s="113" t="str">
        <f t="shared" si="93"/>
        <v>E6190</v>
      </c>
      <c r="X78" s="359" t="str">
        <f t="shared" si="94"/>
        <v>Evits et Josaphats</v>
      </c>
      <c r="Y78" s="299" cm="1">
        <f t="array" ref="Y78">_xll.LVCELL($D$4,F$1,$B78,$D$2,$C$4,$C$5,$C$6,$C$7,$C$8,$D$3)*1000+_xll.LVCELL($D$5,F$1,$B78,$D$2,$C$4,$C$5,$C$6,$C$7,$C$8,$D$3)*1000</f>
        <v>96.330005</v>
      </c>
      <c r="Z78" s="299" cm="1">
        <f t="array" ref="Z78">_xll.LVCELL($D$4,G$1,$B78,$D$2,$C$4,$C$5,$C$6,$C$7,$C$8,$D$3)*1000+_xll.LVCELL($D$5,G$1,$B78,$D$2,$C$4,$C$5,$C$6,$C$7,$C$8,$D$3)*1000</f>
        <v>96.329999000000001</v>
      </c>
      <c r="AA78" s="299" cm="1">
        <f t="array" ref="AA78">_xll.LVCELL($D$4,H$1,$B78,$D$2,$C$4,$C$5,$C$6,$C$7,$C$8,$D$3)*1000+_xll.LVCELL($D$5,H$1,$B78,$D$2,$C$4,$C$5,$C$6,$C$7,$C$8,$D$3)*1000</f>
        <v>96.32999868903795</v>
      </c>
      <c r="AB78" s="299" cm="1">
        <f t="array" ref="AB78">_xll.LVCELL($D$4,I$1,$B78,$D$2,$C$4,$C$5,$C$6,$C$7,$C$8,$D$3)*1000+_xll.LVCELL($D$5,I$1,$B78,$D$2,$C$4,$C$5,$C$6,$C$7,$C$8,$D$3)*1000</f>
        <v>96.329998862644686</v>
      </c>
      <c r="AC78" s="299" cm="1">
        <f t="array" ref="AC78">_xll.LVCELL($D$4,J$1,$B78,$D$2,$C$4,$C$5,$C$6,$C$7,$C$8,$D$3)*1000+_xll.LVCELL($D$5,J$1,$B78,$D$2,$C$4,$C$5,$C$6,$C$7,$C$8,$D$3)*1000</f>
        <v>96.086634877297939</v>
      </c>
      <c r="AD78" s="299" cm="1">
        <f t="array" ref="AD78">_xll.LVCELL($D$4,K$1,$B78,$D$2,$C$4,$C$5,$C$6,$C$7,$C$8,$D$3)*1000+_xll.LVCELL($D$5,K$1,$B78,$D$2,$C$4,$C$5,$C$6,$C$7,$C$8,$D$3)*1000</f>
        <v>96.330066666666667</v>
      </c>
      <c r="AE78" s="299" cm="1">
        <f t="array" ref="AE78">_xll.LVCELL($D$4,L$1,$B78,$D$2,$C$4,$C$5,$C$6,$C$7,$C$8,$D$3)*1000+_xll.LVCELL($D$5,L$1,$B78,$D$2,$C$4,$C$5,$C$6,$C$7,$C$8,$D$3)*1000</f>
        <v>96.329998235699193</v>
      </c>
      <c r="AF78" s="299">
        <f>$AD$78</f>
        <v>96.330066666666667</v>
      </c>
      <c r="AG78" s="299">
        <v>92</v>
      </c>
      <c r="AH78" s="299">
        <f t="shared" si="53"/>
        <v>92</v>
      </c>
      <c r="AI78" s="411">
        <v>92</v>
      </c>
      <c r="AJ78" s="412">
        <f t="shared" si="55"/>
        <v>92</v>
      </c>
      <c r="AK78" s="414"/>
      <c r="AL78" s="134">
        <f t="shared" si="95"/>
        <v>2.3E-2</v>
      </c>
      <c r="AM78" s="134"/>
      <c r="AN78" s="134"/>
      <c r="AO78" s="134"/>
      <c r="AP78" s="113" t="str">
        <f t="shared" si="132"/>
        <v>E6190</v>
      </c>
      <c r="AQ78" s="580" t="str">
        <f t="shared" si="133"/>
        <v>Evits et Josaphats</v>
      </c>
      <c r="AR78" s="377"/>
      <c r="AS78" s="377"/>
      <c r="AT78" s="377"/>
      <c r="AU78" s="377"/>
      <c r="AV78" s="377"/>
      <c r="AW78" s="377"/>
      <c r="AX78" s="377"/>
      <c r="AY78" s="377"/>
      <c r="AZ78" s="377"/>
      <c r="BA78" s="377"/>
      <c r="BB78" s="377"/>
      <c r="BC78" s="377"/>
      <c r="BD78" s="414"/>
      <c r="BE78" s="134"/>
      <c r="BF78" s="134"/>
      <c r="BG78" s="134"/>
      <c r="BH78" s="134"/>
      <c r="BI78" s="113" t="str">
        <f t="shared" si="134"/>
        <v>E6190</v>
      </c>
      <c r="BJ78" s="580" t="str">
        <f t="shared" si="135"/>
        <v>Evits et Josaphats</v>
      </c>
      <c r="BK78" s="411">
        <v>67.37</v>
      </c>
      <c r="BL78" s="377"/>
      <c r="BM78" s="377"/>
      <c r="BN78" s="377"/>
      <c r="BO78" s="377"/>
      <c r="BP78" s="377"/>
      <c r="BQ78" s="377"/>
      <c r="BR78" s="377"/>
      <c r="BS78" s="377"/>
      <c r="BT78" s="377"/>
      <c r="BU78" s="377"/>
      <c r="BV78" s="377"/>
      <c r="BW78" s="414" t="s">
        <v>3566</v>
      </c>
      <c r="BX78" s="134"/>
      <c r="BY78" s="134"/>
      <c r="BZ78" s="134"/>
      <c r="CA78" s="134"/>
      <c r="CB78" s="113" t="str">
        <f t="shared" si="99"/>
        <v>E6190</v>
      </c>
      <c r="CC78" s="373" t="str">
        <f t="shared" si="100"/>
        <v>Evits et Josaphats</v>
      </c>
      <c r="CD78" s="411">
        <f t="shared" si="136"/>
        <v>67.37</v>
      </c>
      <c r="CE78" s="411">
        <f t="shared" si="101"/>
        <v>0</v>
      </c>
      <c r="CF78" s="411">
        <f t="shared" si="102"/>
        <v>0</v>
      </c>
      <c r="CG78" s="411">
        <f t="shared" si="103"/>
        <v>0</v>
      </c>
      <c r="CH78" s="411">
        <f t="shared" si="104"/>
        <v>0</v>
      </c>
      <c r="CI78" s="411">
        <f t="shared" si="105"/>
        <v>0</v>
      </c>
      <c r="CJ78" s="411">
        <f t="shared" si="106"/>
        <v>0</v>
      </c>
      <c r="CK78" s="411">
        <f t="shared" si="107"/>
        <v>0</v>
      </c>
      <c r="CL78" s="411">
        <f t="shared" si="108"/>
        <v>0</v>
      </c>
      <c r="CM78" s="411">
        <f t="shared" si="109"/>
        <v>0</v>
      </c>
      <c r="CN78" s="411">
        <f t="shared" si="110"/>
        <v>0</v>
      </c>
      <c r="CO78" s="411">
        <f t="shared" si="111"/>
        <v>0</v>
      </c>
      <c r="CP78" s="414"/>
      <c r="CQ78" s="134">
        <f t="shared" si="112"/>
        <v>4.0000000000000001E-3</v>
      </c>
      <c r="CU78" s="113" t="str">
        <f t="shared" si="113"/>
        <v>E6190</v>
      </c>
      <c r="CV78" s="382" t="str">
        <f t="shared" si="114"/>
        <v>Evits et Josaphats</v>
      </c>
      <c r="CW78" s="300">
        <f t="shared" si="115"/>
        <v>184375.02955980491</v>
      </c>
      <c r="CX78" s="298">
        <f t="shared" si="116"/>
        <v>0</v>
      </c>
      <c r="CY78" s="298">
        <f t="shared" si="117"/>
        <v>0</v>
      </c>
      <c r="CZ78" s="298">
        <f t="shared" si="118"/>
        <v>0</v>
      </c>
      <c r="DA78" s="298">
        <f t="shared" si="119"/>
        <v>0</v>
      </c>
      <c r="DB78" s="298">
        <f t="shared" si="120"/>
        <v>0</v>
      </c>
      <c r="DC78" s="298">
        <f t="shared" si="121"/>
        <v>0</v>
      </c>
      <c r="DD78" s="298">
        <f t="shared" si="122"/>
        <v>0</v>
      </c>
      <c r="DE78" s="298">
        <f t="shared" si="123"/>
        <v>0</v>
      </c>
      <c r="DF78" s="298">
        <f t="shared" si="124"/>
        <v>0</v>
      </c>
      <c r="DG78" s="371">
        <f t="shared" si="125"/>
        <v>0</v>
      </c>
      <c r="DH78" s="372">
        <f t="shared" si="126"/>
        <v>0</v>
      </c>
      <c r="DI78" s="67">
        <f t="shared" si="127"/>
        <v>184375.02955980491</v>
      </c>
      <c r="DJ78" s="364">
        <f>_xll.LVCELL($E$1,Q$2,$C78,$D$2,$C$4,$C$5,$C$6,$C$7,$C$8,$D$3)+_xll.LVCELL($E$2,Q$2,$C78,$D$2,$C$4,$C$5,$C$6,$C$7,$C$8,$D$3)</f>
        <v>184375.04960999999</v>
      </c>
      <c r="DK78" s="82">
        <f t="shared" si="137"/>
        <v>-2.0050195074873045E-2</v>
      </c>
      <c r="DM78" s="518">
        <f t="shared" si="128"/>
        <v>67.37</v>
      </c>
      <c r="DO78" s="64" t="str">
        <f t="shared" si="129"/>
        <v>E6190</v>
      </c>
      <c r="DP78" s="64" t="str">
        <f t="shared" si="130"/>
        <v>E6190</v>
      </c>
      <c r="DQ78" s="359" t="str">
        <f t="shared" si="131"/>
        <v>Evits et Josaphats</v>
      </c>
      <c r="DR78" s="581">
        <f>_xll.LVCELL($DP$3,DR$3,$DP78,$DQ$2,$DP$4,$DP$5,$DP$6,$DP$7,$DP$8,$DQ$3)/100</f>
        <v>0.97</v>
      </c>
      <c r="DS78" s="504">
        <f>_xll.LVCELL($DP$3,DS$3,$DP78,$DQ$2,$DP$4,$DP$5,$DP$6,$DP$7,$DP$8,$DQ$3)/100</f>
        <v>0</v>
      </c>
      <c r="DT78" s="504">
        <f>_xll.LVCELL($DP$3,DT$3,$DP78,$DQ$2,$DP$4,$DP$5,$DP$6,$DP$7,$DP$8,$DQ$3)/100</f>
        <v>0</v>
      </c>
      <c r="DU78" s="504">
        <f>_xll.LVCELL($DP$3,DU$3,$DP78,$DQ$2,$DP$4,$DP$5,$DP$6,$DP$7,$DP$8,$DQ$3)/100</f>
        <v>0</v>
      </c>
      <c r="DV78" s="504">
        <f>_xll.LVCELL($DP$3,DV$3,$DP78,$DQ$2,$DP$4,$DP$5,$DP$6,$DP$7,$DP$8,$DQ$3)/100</f>
        <v>0</v>
      </c>
      <c r="DW78" s="504">
        <f>_xll.LVCELL($DP$3,DW$3,$DP78,$DQ$2,$DP$4,$DP$5,$DP$6,$DP$7,$DP$8,$DQ$3)/100</f>
        <v>0</v>
      </c>
      <c r="DX78" s="504">
        <f>_xll.LVCELL($DP$3,DX$3,$DP78,$DQ$2,$DP$4,$DP$5,$DP$6,$DP$7,$DP$8,$DQ$3)/100</f>
        <v>0</v>
      </c>
      <c r="DY78" s="504">
        <f>_xll.LVCELL($DP$3,DY$3,$DP78,$DQ$2,$DP$4,$DP$5,$DP$6,$DP$7,$DP$8,$DQ$3)/100</f>
        <v>0</v>
      </c>
      <c r="DZ78" s="504">
        <f>_xll.LVCELL($DP$3,DZ$3,$DP78,$DQ$2,$DP$4,$DP$5,$DP$6,$DP$7,$DP$8,$DQ$3)/100</f>
        <v>0</v>
      </c>
      <c r="EA78" s="504">
        <f>_xll.LVCELL($DP$3,EA$3,$DP78,$DQ$2,$DP$4,$DP$5,$DP$6,$DP$7,$DP$8,$DQ$3)/100</f>
        <v>0</v>
      </c>
      <c r="EB78" s="504">
        <f>_xll.LVCELL($DP$3,EB$3,$DP78,$DQ$2,$DP$4,$DP$5,$DP$6,$DP$7,$DP$8,$DQ$3)/100</f>
        <v>0</v>
      </c>
      <c r="EC78" s="504">
        <f>_xll.LVCELL($DP$3,EC$3,$DP78,$DQ$2,$DP$4,$DP$5,$DP$6,$DP$7,$DP$8,$DQ$3)/100</f>
        <v>0</v>
      </c>
      <c r="ED78" s="583">
        <f t="shared" si="138"/>
        <v>0.97</v>
      </c>
      <c r="EF78" s="64" t="s">
        <v>375</v>
      </c>
      <c r="EG78" s="64" t="s">
        <v>375</v>
      </c>
      <c r="EH78" s="359" t="s">
        <v>483</v>
      </c>
      <c r="EI78" s="366" t="e">
        <f ca="1">_xll.LVCELL($EG$3,EI$3,$DP78,$DQ$2,$DP$4,$DP$5,$DP$6,$DP$7,$DP$8,$DQ$3)-CW78</f>
        <v>#NAME?</v>
      </c>
      <c r="EJ78" s="367" t="e">
        <f ca="1">_xll.LVCELL($EG$3,EJ$3,$DP78,$DQ$2,$DP$4,$DP$5,$DP$6,$DP$7,$DP$8,$DQ$3)-CX78</f>
        <v>#NAME?</v>
      </c>
      <c r="EK78" s="368" t="e">
        <f ca="1">_xll.LVCELL($EG$3,EK$3,$DP78,$DQ$2,$DP$4,$DP$5,$DP$6,$DP$7,$DP$8,$DQ$3)-CY78</f>
        <v>#NAME?</v>
      </c>
      <c r="EL78" s="367" t="e">
        <f ca="1">_xll.LVCELL($EG$3,EL$3,$DP78,$DQ$2,$DP$4,$DP$5,$DP$6,$DP$7,$DP$8,$DQ$3)-CZ78</f>
        <v>#NAME?</v>
      </c>
      <c r="EM78" s="368" t="e">
        <f ca="1">_xll.LVCELL($EG$3,EM$3,$DP78,$DQ$2,$DP$4,$DP$5,$DP$6,$DP$7,$DP$8,$DQ$3)-DA78</f>
        <v>#NAME?</v>
      </c>
      <c r="EN78" s="367" t="e">
        <f ca="1">_xll.LVCELL($EG$3,EN$3,$DP78,$DQ$2,$DP$4,$DP$5,$DP$6,$DP$7,$DP$8,$DQ$3)-DB78</f>
        <v>#NAME?</v>
      </c>
      <c r="EO78" s="368" t="e">
        <f ca="1">_xll.LVCELL($EG$3,EO$3,$DP78,$DQ$2,$DP$4,$DP$5,$DP$6,$DP$7,$DP$8,$DQ$3)-DC78</f>
        <v>#NAME?</v>
      </c>
      <c r="EP78" s="367" t="e">
        <f ca="1">_xll.LVCELL($EG$3,EP$3,$DP78,$DQ$2,$DP$4,$DP$5,$DP$6,$DP$7,$DP$8,$DQ$3)-DD78</f>
        <v>#NAME?</v>
      </c>
      <c r="EQ78" s="368" t="e">
        <f ca="1">_xll.LVCELL($EG$3,EQ$3,$DP78,$DQ$2,$DP$4,$DP$5,$DP$6,$DP$7,$DP$8,$DQ$3)-DE78</f>
        <v>#NAME?</v>
      </c>
      <c r="ER78" s="367" t="e">
        <f ca="1">_xll.LVCELL($EG$3,ER$3,$DP78,$DQ$2,$DP$4,$DP$5,$DP$6,$DP$7,$DP$8,$DQ$3)-DF78</f>
        <v>#NAME?</v>
      </c>
      <c r="ES78" s="368" t="e">
        <f ca="1">_xll.LVCELL($EG$3,ES$3,$DP78,$DQ$2,$DP$4,$DP$5,$DP$6,$DP$7,$DP$8,$DQ$3)-DG78</f>
        <v>#NAME?</v>
      </c>
      <c r="ET78" s="181" t="e">
        <f ca="1">_xll.LVCELL($EG$3,ET$3,$DP78,$DQ$2,$DP$4,$DP$5,$DP$6,$DP$7,$DP$8,$DQ$3)-DH78</f>
        <v>#NAME?</v>
      </c>
      <c r="EW78" s="64" t="s">
        <v>375</v>
      </c>
      <c r="EX78" s="64" t="s">
        <v>375</v>
      </c>
      <c r="EY78" s="359" t="s">
        <v>483</v>
      </c>
      <c r="EZ78" s="276">
        <f>_xll.LVCELL($EX$3,EZ$3,$DP78,$DQ$2,$DP$4,$DP$5,$DP$6,$DP$7,$DP$8,$DQ$3)</f>
        <v>12000</v>
      </c>
      <c r="FA78" s="505">
        <f>_xll.LVCELL($EX$3,FA$3,$DP78,$DQ$2,$DP$4,$DP$5,$DP$6,$DP$7,$DP$8,$DQ$3)</f>
        <v>0</v>
      </c>
      <c r="FB78" s="505">
        <f>_xll.LVCELL($EX$3,FB$3,$DP78,$DQ$2,$DP$4,$DP$5,$DP$6,$DP$7,$DP$8,$DQ$3)</f>
        <v>0</v>
      </c>
      <c r="FC78" s="505">
        <f>_xll.LVCELL($EX$3,FC$3,$DP78,$DQ$2,$DP$4,$DP$5,$DP$6,$DP$7,$DP$8,$DQ$3)</f>
        <v>0</v>
      </c>
      <c r="FD78" s="505">
        <f>_xll.LVCELL($EX$3,FD$3,$DP78,$DQ$2,$DP$4,$DP$5,$DP$6,$DP$7,$DP$8,$DQ$3)</f>
        <v>0</v>
      </c>
      <c r="FE78" s="505">
        <f>_xll.LVCELL($EX$3,FE$3,$DP78,$DQ$2,$DP$4,$DP$5,$DP$6,$DP$7,$DP$8,$DQ$3)</f>
        <v>0</v>
      </c>
      <c r="FF78" s="505">
        <f>_xll.LVCELL($EX$3,FF$3,$DP78,$DQ$2,$DP$4,$DP$5,$DP$6,$DP$7,$DP$8,$DQ$3)</f>
        <v>0</v>
      </c>
      <c r="FG78" s="505">
        <f>_xll.LVCELL($EX$3,FG$3,$DP78,$DQ$2,$DP$4,$DP$5,$DP$6,$DP$7,$DP$8,$DQ$3)</f>
        <v>0</v>
      </c>
      <c r="FH78" s="505">
        <f>_xll.LVCELL($EX$3,FH$3,$DP78,$DQ$2,$DP$4,$DP$5,$DP$6,$DP$7,$DP$8,$DQ$3)</f>
        <v>0</v>
      </c>
      <c r="FI78" s="505">
        <f>_xll.LVCELL($EX$3,FI$3,$DP78,$DQ$2,$DP$4,$DP$5,$DP$6,$DP$7,$DP$8,$DQ$3)</f>
        <v>0</v>
      </c>
      <c r="FJ78" s="505">
        <f>_xll.LVCELL($EX$3,FJ$3,$DP78,$DQ$2,$DP$4,$DP$5,$DP$6,$DP$7,$DP$8,$DQ$3)</f>
        <v>0</v>
      </c>
      <c r="FK78" s="505">
        <f>_xll.LVCELL($EX$3,FK$3,$DP78,$DQ$2,$DP$4,$DP$5,$DP$6,$DP$7,$DP$8,$DQ$3)</f>
        <v>0</v>
      </c>
      <c r="FN78" s="64" t="s">
        <v>375</v>
      </c>
      <c r="FO78" s="64" t="s">
        <v>375</v>
      </c>
      <c r="FP78" s="359" t="s">
        <v>483</v>
      </c>
      <c r="FQ78" s="276">
        <f>_xll.LVCELL($FO$3,FQ$3,$DP78,$DQ$2,$DP$4,$DP$5,$DP$6,$DP$7,$DP$8,$DQ$3)</f>
        <v>6</v>
      </c>
      <c r="FR78" s="505">
        <f>_xll.LVCELL($FO$3,FR$3,$DP78,$DQ$2,$DP$4,$DP$5,$DP$6,$DP$7,$DP$8,$DQ$3)</f>
        <v>0</v>
      </c>
      <c r="FS78" s="505">
        <f>_xll.LVCELL($FO$3,FS$3,$DP78,$DQ$2,$DP$4,$DP$5,$DP$6,$DP$7,$DP$8,$DQ$3)</f>
        <v>0</v>
      </c>
      <c r="FT78" s="505">
        <f>_xll.LVCELL($FO$3,FT$3,$DP78,$DQ$2,$DP$4,$DP$5,$DP$6,$DP$7,$DP$8,$DQ$3)</f>
        <v>0</v>
      </c>
      <c r="FU78" s="505">
        <f>_xll.LVCELL($FO$3,FU$3,$DP78,$DQ$2,$DP$4,$DP$5,$DP$6,$DP$7,$DP$8,$DQ$3)</f>
        <v>0</v>
      </c>
      <c r="FV78" s="505">
        <f>_xll.LVCELL($FO$3,FV$3,$DP78,$DQ$2,$DP$4,$DP$5,$DP$6,$DP$7,$DP$8,$DQ$3)</f>
        <v>0</v>
      </c>
      <c r="FW78" s="505">
        <f>_xll.LVCELL($FO$3,FW$3,$DP78,$DQ$2,$DP$4,$DP$5,$DP$6,$DP$7,$DP$8,$DQ$3)</f>
        <v>0</v>
      </c>
      <c r="FX78" s="505">
        <f>_xll.LVCELL($FO$3,FX$3,$DP78,$DQ$2,$DP$4,$DP$5,$DP$6,$DP$7,$DP$8,$DQ$3)</f>
        <v>0</v>
      </c>
      <c r="FY78" s="505">
        <f>_xll.LVCELL($FO$3,FY$3,$DP78,$DQ$2,$DP$4,$DP$5,$DP$6,$DP$7,$DP$8,$DQ$3)</f>
        <v>0</v>
      </c>
      <c r="FZ78" s="505">
        <f>_xll.LVCELL($FO$3,FZ$3,$DP78,$DQ$2,$DP$4,$DP$5,$DP$6,$DP$7,$DP$8,$DQ$3)</f>
        <v>0</v>
      </c>
      <c r="GA78" s="505">
        <f>_xll.LVCELL($FO$3,GA$3,$DP78,$DQ$2,$DP$4,$DP$5,$DP$6,$DP$7,$DP$8,$DQ$3)</f>
        <v>0</v>
      </c>
      <c r="GB78" s="505">
        <f>_xll.LVCELL($FO$3,GB$3,$DP78,$DQ$2,$DP$4,$DP$5,$DP$6,$DP$7,$DP$8,$DQ$3)</f>
        <v>0</v>
      </c>
    </row>
    <row r="79" spans="2:184" ht="15">
      <c r="B79" s="64" t="s">
        <v>380</v>
      </c>
      <c r="C79" s="64" t="s">
        <v>380</v>
      </c>
      <c r="D79" s="359" t="s">
        <v>484</v>
      </c>
      <c r="E79" s="357">
        <f>_xll.LVCELL($C$3,Q$3,$C79,$D$2,$C$4,$C$5,$C$6,$C$7,$C$8,$D$3)/1000</f>
        <v>0</v>
      </c>
      <c r="F79" s="103">
        <f>'distribution mensuelle Prod B22'!$BS$36</f>
        <v>0</v>
      </c>
      <c r="G79" s="103">
        <f>'distribution mensuelle Prod B22'!$BS$37</f>
        <v>0</v>
      </c>
      <c r="H79" s="103">
        <f>'distribution mensuelle Prod B22'!$BS$38</f>
        <v>0</v>
      </c>
      <c r="I79" s="103">
        <f>'distribution mensuelle Prod B22'!$BS$39</f>
        <v>0</v>
      </c>
      <c r="J79" s="103">
        <f>'distribution mensuelle Prod B22'!$BS$40</f>
        <v>0</v>
      </c>
      <c r="K79" s="103">
        <f>'distribution mensuelle Prod B22'!$BS$41</f>
        <v>0</v>
      </c>
      <c r="L79" s="103">
        <f>'distribution mensuelle Prod B22'!$BS$42</f>
        <v>0</v>
      </c>
      <c r="M79" s="103">
        <f>'distribution mensuelle Prod B22'!$BS$43</f>
        <v>0</v>
      </c>
      <c r="N79" s="103">
        <f>'distribution mensuelle Prod B22'!$BS$44</f>
        <v>0</v>
      </c>
      <c r="O79" s="103">
        <f>'distribution mensuelle Prod B22'!$BS$45</f>
        <v>0</v>
      </c>
      <c r="P79" s="103">
        <f>'distribution mensuelle Prod B22'!$BS$46</f>
        <v>0</v>
      </c>
      <c r="Q79" s="103">
        <f>'distribution mensuelle Prod B22'!$BS$47</f>
        <v>0</v>
      </c>
      <c r="R79" s="67">
        <f t="shared" si="92"/>
        <v>0</v>
      </c>
      <c r="S79" s="358"/>
      <c r="W79" s="113" t="str">
        <f t="shared" si="93"/>
        <v>E6200</v>
      </c>
      <c r="X79" s="359" t="str">
        <f t="shared" si="94"/>
        <v>Remise Reclainville</v>
      </c>
      <c r="Y79" s="299" cm="1">
        <f t="array" ref="Y79">_xll.LVCELL($D$4,F$1,$B79,$D$2,$C$4,$C$5,$C$6,$C$7,$C$8,$D$3)*1000+_xll.LVCELL($D$5,F$1,$B79,$D$2,$C$4,$C$5,$C$6,$C$7,$C$8,$D$3)*1000</f>
        <v>96.33</v>
      </c>
      <c r="Z79" s="299" cm="1">
        <f t="array" ref="Z79">_xll.LVCELL($D$4,G$1,$B79,$D$2,$C$4,$C$5,$C$6,$C$7,$C$8,$D$3)*1000+_xll.LVCELL($D$5,G$1,$B79,$D$2,$C$4,$C$5,$C$6,$C$7,$C$8,$D$3)*1000</f>
        <v>96.329999000000001</v>
      </c>
      <c r="AA79" s="299" cm="1">
        <f t="array" ref="AA79">_xll.LVCELL($D$4,H$1,$B79,$D$2,$C$4,$C$5,$C$6,$C$7,$C$8,$D$3)*1000+_xll.LVCELL($D$5,H$1,$B79,$D$2,$C$4,$C$5,$C$6,$C$7,$C$8,$D$3)*1000</f>
        <v>96.330000328633574</v>
      </c>
      <c r="AB79" s="299" cm="1">
        <f t="array" ref="AB79">_xll.LVCELL($D$4,I$1,$B79,$D$2,$C$4,$C$5,$C$6,$C$7,$C$8,$D$3)*1000+_xll.LVCELL($D$5,I$1,$B79,$D$2,$C$4,$C$5,$C$6,$C$7,$C$8,$D$3)*1000</f>
        <v>96.330000208010787</v>
      </c>
      <c r="AC79" s="299" cm="1">
        <f t="array" ref="AC79">_xll.LVCELL($D$4,J$1,$B79,$D$2,$C$4,$C$5,$C$6,$C$7,$C$8,$D$3)*1000+_xll.LVCELL($D$5,J$1,$B79,$D$2,$C$4,$C$5,$C$6,$C$7,$C$8,$D$3)*1000</f>
        <v>96.329972085635731</v>
      </c>
      <c r="AD79" s="299" cm="1">
        <f t="array" ref="AD79">_xll.LVCELL($D$4,K$1,$B79,$D$2,$C$4,$C$5,$C$6,$C$7,$C$8,$D$3)*1000+_xll.LVCELL($D$5,K$1,$B79,$D$2,$C$4,$C$5,$C$6,$C$7,$C$8,$D$3)*1000</f>
        <v>96.329898531543463</v>
      </c>
      <c r="AE79" s="299" cm="1">
        <f t="array" ref="AE79">_xll.LVCELL($D$4,L$1,$B79,$D$2,$C$4,$C$5,$C$6,$C$7,$C$8,$D$3)*1000+_xll.LVCELL($D$5,L$1,$B79,$D$2,$C$4,$C$5,$C$6,$C$7,$C$8,$D$3)*1000</f>
        <v>96.330028571428585</v>
      </c>
      <c r="AF79" s="299">
        <f>$AD$79</f>
        <v>96.329898531543463</v>
      </c>
      <c r="AG79" s="299">
        <v>92</v>
      </c>
      <c r="AH79" s="299">
        <f t="shared" ref="AH79" si="139">AG79</f>
        <v>92</v>
      </c>
      <c r="AI79" s="411">
        <v>92</v>
      </c>
      <c r="AJ79" s="412">
        <f t="shared" ref="AJ79" si="140">AI79</f>
        <v>92</v>
      </c>
      <c r="AK79" s="414"/>
      <c r="AL79" s="134">
        <f t="shared" si="95"/>
        <v>2.3E-2</v>
      </c>
      <c r="AM79" s="134"/>
      <c r="AN79" s="134"/>
      <c r="AO79" s="134"/>
      <c r="AP79" s="113" t="str">
        <f t="shared" si="132"/>
        <v>E6200</v>
      </c>
      <c r="AQ79" s="567" t="str">
        <f t="shared" si="133"/>
        <v>Remise Reclainville</v>
      </c>
      <c r="AR79" s="377"/>
      <c r="AS79" s="377"/>
      <c r="AT79" s="377"/>
      <c r="AU79" s="377"/>
      <c r="AV79" s="377"/>
      <c r="AW79" s="377"/>
      <c r="AX79" s="377"/>
      <c r="AY79" s="377"/>
      <c r="AZ79" s="377"/>
      <c r="BA79" s="377"/>
      <c r="BB79" s="377"/>
      <c r="BC79" s="377"/>
      <c r="BD79" s="414"/>
      <c r="BE79" s="134"/>
      <c r="BF79" s="134"/>
      <c r="BG79" s="134"/>
      <c r="BH79" s="134"/>
      <c r="BI79" s="113" t="str">
        <f t="shared" si="134"/>
        <v>E6200</v>
      </c>
      <c r="BJ79" s="567" t="str">
        <f t="shared" si="135"/>
        <v>Remise Reclainville</v>
      </c>
      <c r="BK79" s="377"/>
      <c r="BL79" s="377"/>
      <c r="BM79" s="377"/>
      <c r="BN79" s="377"/>
      <c r="BO79" s="377"/>
      <c r="BP79" s="377"/>
      <c r="BQ79" s="377"/>
      <c r="BR79" s="377"/>
      <c r="BS79" s="377"/>
      <c r="BT79" s="377"/>
      <c r="BU79" s="377"/>
      <c r="BV79" s="377"/>
      <c r="BW79" s="414" t="s">
        <v>3449</v>
      </c>
      <c r="BX79" s="134"/>
      <c r="BY79" s="134"/>
      <c r="BZ79" s="134"/>
      <c r="CA79" s="134"/>
      <c r="CB79" s="113" t="str">
        <f t="shared" si="99"/>
        <v>E6200</v>
      </c>
      <c r="CC79" s="373" t="str">
        <f t="shared" si="100"/>
        <v>Remise Reclainville</v>
      </c>
      <c r="CD79" s="411">
        <f t="shared" si="136"/>
        <v>0</v>
      </c>
      <c r="CE79" s="411">
        <f t="shared" si="101"/>
        <v>0</v>
      </c>
      <c r="CF79" s="411">
        <f t="shared" si="102"/>
        <v>0</v>
      </c>
      <c r="CG79" s="411">
        <f t="shared" si="103"/>
        <v>0</v>
      </c>
      <c r="CH79" s="411">
        <f t="shared" si="104"/>
        <v>0</v>
      </c>
      <c r="CI79" s="411">
        <f t="shared" si="105"/>
        <v>0</v>
      </c>
      <c r="CJ79" s="411">
        <f t="shared" si="106"/>
        <v>0</v>
      </c>
      <c r="CK79" s="411">
        <f t="shared" si="107"/>
        <v>0</v>
      </c>
      <c r="CL79" s="411">
        <f t="shared" si="108"/>
        <v>0</v>
      </c>
      <c r="CM79" s="411">
        <f t="shared" si="109"/>
        <v>0</v>
      </c>
      <c r="CN79" s="411">
        <f t="shared" si="110"/>
        <v>0</v>
      </c>
      <c r="CO79" s="411">
        <f t="shared" si="111"/>
        <v>0</v>
      </c>
      <c r="CP79" s="414"/>
      <c r="CQ79" s="134">
        <f t="shared" si="112"/>
        <v>4.0000000000000001E-3</v>
      </c>
      <c r="CU79" s="113" t="str">
        <f t="shared" si="113"/>
        <v>E6200</v>
      </c>
      <c r="CV79" s="383" t="str">
        <f t="shared" si="114"/>
        <v>Remise Reclainville</v>
      </c>
      <c r="CW79" s="384">
        <f t="shared" si="115"/>
        <v>0</v>
      </c>
      <c r="CX79" s="298">
        <f t="shared" si="116"/>
        <v>0</v>
      </c>
      <c r="CY79" s="298">
        <f t="shared" si="117"/>
        <v>0</v>
      </c>
      <c r="CZ79" s="298">
        <f t="shared" si="118"/>
        <v>0</v>
      </c>
      <c r="DA79" s="298">
        <f t="shared" si="119"/>
        <v>0</v>
      </c>
      <c r="DB79" s="298">
        <f t="shared" si="120"/>
        <v>0</v>
      </c>
      <c r="DC79" s="298">
        <f t="shared" si="121"/>
        <v>0</v>
      </c>
      <c r="DD79" s="298">
        <f t="shared" si="122"/>
        <v>0</v>
      </c>
      <c r="DE79" s="298">
        <f t="shared" si="123"/>
        <v>0</v>
      </c>
      <c r="DF79" s="298">
        <f t="shared" si="124"/>
        <v>0</v>
      </c>
      <c r="DG79" s="371">
        <f t="shared" si="125"/>
        <v>0</v>
      </c>
      <c r="DH79" s="372">
        <f t="shared" si="126"/>
        <v>0</v>
      </c>
      <c r="DI79" s="67">
        <f t="shared" si="127"/>
        <v>0</v>
      </c>
      <c r="DJ79" s="364">
        <f>_xll.LVCELL($E$1,Q$2,$C79,$D$2,$C$4,$C$5,$C$6,$C$7,$C$8,$D$3)+_xll.LVCELL($E$2,Q$2,$C79,$D$2,$C$4,$C$5,$C$6,$C$7,$C$8,$D$3)</f>
        <v>0</v>
      </c>
      <c r="DK79" s="82">
        <f t="shared" si="137"/>
        <v>0</v>
      </c>
      <c r="DM79" s="518" t="e">
        <f t="shared" si="128"/>
        <v>#DIV/0!</v>
      </c>
      <c r="DO79" s="64" t="str">
        <f t="shared" si="129"/>
        <v>E6200</v>
      </c>
      <c r="DP79" s="64" t="str">
        <f t="shared" si="130"/>
        <v>E6200</v>
      </c>
      <c r="DQ79" s="359" t="str">
        <f t="shared" si="131"/>
        <v>Remise Reclainville</v>
      </c>
      <c r="DR79" s="504">
        <f>_xll.LVCELL($DP$3,DR$3,$DP79,$DQ$2,$DP$4,$DP$5,$DP$6,$DP$7,$DP$8,$DQ$3)/100</f>
        <v>0</v>
      </c>
      <c r="DS79" s="504">
        <f>_xll.LVCELL($DP$3,DS$3,$DP79,$DQ$2,$DP$4,$DP$5,$DP$6,$DP$7,$DP$8,$DQ$3)/100</f>
        <v>0</v>
      </c>
      <c r="DT79" s="504">
        <f>_xll.LVCELL($DP$3,DT$3,$DP79,$DQ$2,$DP$4,$DP$5,$DP$6,$DP$7,$DP$8,$DQ$3)/100</f>
        <v>0</v>
      </c>
      <c r="DU79" s="504">
        <f>_xll.LVCELL($DP$3,DU$3,$DP79,$DQ$2,$DP$4,$DP$5,$DP$6,$DP$7,$DP$8,$DQ$3)/100</f>
        <v>0</v>
      </c>
      <c r="DV79" s="504">
        <f>_xll.LVCELL($DP$3,DV$3,$DP79,$DQ$2,$DP$4,$DP$5,$DP$6,$DP$7,$DP$8,$DQ$3)/100</f>
        <v>0</v>
      </c>
      <c r="DW79" s="504">
        <f>_xll.LVCELL($DP$3,DW$3,$DP79,$DQ$2,$DP$4,$DP$5,$DP$6,$DP$7,$DP$8,$DQ$3)/100</f>
        <v>0</v>
      </c>
      <c r="DX79" s="504">
        <f>_xll.LVCELL($DP$3,DX$3,$DP79,$DQ$2,$DP$4,$DP$5,$DP$6,$DP$7,$DP$8,$DQ$3)/100</f>
        <v>0</v>
      </c>
      <c r="DY79" s="504">
        <f>_xll.LVCELL($DP$3,DY$3,$DP79,$DQ$2,$DP$4,$DP$5,$DP$6,$DP$7,$DP$8,$DQ$3)/100</f>
        <v>0</v>
      </c>
      <c r="DZ79" s="504">
        <f>_xll.LVCELL($DP$3,DZ$3,$DP79,$DQ$2,$DP$4,$DP$5,$DP$6,$DP$7,$DP$8,$DQ$3)/100</f>
        <v>0</v>
      </c>
      <c r="EA79" s="504">
        <f>_xll.LVCELL($DP$3,EA$3,$DP79,$DQ$2,$DP$4,$DP$5,$DP$6,$DP$7,$DP$8,$DQ$3)/100</f>
        <v>0</v>
      </c>
      <c r="EB79" s="504">
        <f>_xll.LVCELL($DP$3,EB$3,$DP79,$DQ$2,$DP$4,$DP$5,$DP$6,$DP$7,$DP$8,$DQ$3)/100</f>
        <v>0</v>
      </c>
      <c r="EC79" s="504">
        <f>_xll.LVCELL($DP$3,EC$3,$DP79,$DQ$2,$DP$4,$DP$5,$DP$6,$DP$7,$DP$8,$DQ$3)/100</f>
        <v>0</v>
      </c>
      <c r="ED79" s="583">
        <f t="shared" si="138"/>
        <v>0</v>
      </c>
      <c r="EF79" s="64" t="s">
        <v>380</v>
      </c>
      <c r="EG79" s="64" t="s">
        <v>380</v>
      </c>
      <c r="EH79" s="359" t="s">
        <v>484</v>
      </c>
      <c r="EI79" s="366" t="e">
        <f ca="1">_xll.LVCELL($EG$3,EI$3,$DP79,$DQ$2,$DP$4,$DP$5,$DP$6,$DP$7,$DP$8,$DQ$3)-CW79</f>
        <v>#NAME?</v>
      </c>
      <c r="EJ79" s="367" t="e">
        <f ca="1">_xll.LVCELL($EG$3,EJ$3,$DP79,$DQ$2,$DP$4,$DP$5,$DP$6,$DP$7,$DP$8,$DQ$3)-CX79</f>
        <v>#NAME?</v>
      </c>
      <c r="EK79" s="368" t="e">
        <f ca="1">_xll.LVCELL($EG$3,EK$3,$DP79,$DQ$2,$DP$4,$DP$5,$DP$6,$DP$7,$DP$8,$DQ$3)-CY79</f>
        <v>#NAME?</v>
      </c>
      <c r="EL79" s="367" t="e">
        <f ca="1">_xll.LVCELL($EG$3,EL$3,$DP79,$DQ$2,$DP$4,$DP$5,$DP$6,$DP$7,$DP$8,$DQ$3)-CZ79</f>
        <v>#NAME?</v>
      </c>
      <c r="EM79" s="368" t="e">
        <f ca="1">_xll.LVCELL($EG$3,EM$3,$DP79,$DQ$2,$DP$4,$DP$5,$DP$6,$DP$7,$DP$8,$DQ$3)-DA79</f>
        <v>#NAME?</v>
      </c>
      <c r="EN79" s="367" t="e">
        <f ca="1">_xll.LVCELL($EG$3,EN$3,$DP79,$DQ$2,$DP$4,$DP$5,$DP$6,$DP$7,$DP$8,$DQ$3)-DB79</f>
        <v>#NAME?</v>
      </c>
      <c r="EO79" s="368" t="e">
        <f ca="1">_xll.LVCELL($EG$3,EO$3,$DP79,$DQ$2,$DP$4,$DP$5,$DP$6,$DP$7,$DP$8,$DQ$3)-DC79</f>
        <v>#NAME?</v>
      </c>
      <c r="EP79" s="367" t="e">
        <f ca="1">_xll.LVCELL($EG$3,EP$3,$DP79,$DQ$2,$DP$4,$DP$5,$DP$6,$DP$7,$DP$8,$DQ$3)-DD79</f>
        <v>#NAME?</v>
      </c>
      <c r="EQ79" s="368" t="e">
        <f ca="1">_xll.LVCELL($EG$3,EQ$3,$DP79,$DQ$2,$DP$4,$DP$5,$DP$6,$DP$7,$DP$8,$DQ$3)-DE79</f>
        <v>#NAME?</v>
      </c>
      <c r="ER79" s="367" t="e">
        <f ca="1">_xll.LVCELL($EG$3,ER$3,$DP79,$DQ$2,$DP$4,$DP$5,$DP$6,$DP$7,$DP$8,$DQ$3)-DF79</f>
        <v>#NAME?</v>
      </c>
      <c r="ES79" s="368" t="e">
        <f ca="1">_xll.LVCELL($EG$3,ES$3,$DP79,$DQ$2,$DP$4,$DP$5,$DP$6,$DP$7,$DP$8,$DQ$3)-DG79</f>
        <v>#NAME?</v>
      </c>
      <c r="ET79" s="181" t="e">
        <f ca="1">_xll.LVCELL($EG$3,ET$3,$DP79,$DQ$2,$DP$4,$DP$5,$DP$6,$DP$7,$DP$8,$DQ$3)-DH79</f>
        <v>#NAME?</v>
      </c>
      <c r="EW79" s="64" t="s">
        <v>380</v>
      </c>
      <c r="EX79" s="64" t="s">
        <v>380</v>
      </c>
      <c r="EY79" s="359" t="s">
        <v>484</v>
      </c>
      <c r="EZ79" s="505">
        <f>_xll.LVCELL($EX$3,EZ$3,$DP79,$DQ$2,$DP$4,$DP$5,$DP$6,$DP$7,$DP$8,$DQ$3)</f>
        <v>0</v>
      </c>
      <c r="FA79" s="505">
        <f>_xll.LVCELL($EX$3,FA$3,$DP79,$DQ$2,$DP$4,$DP$5,$DP$6,$DP$7,$DP$8,$DQ$3)</f>
        <v>0</v>
      </c>
      <c r="FB79" s="505">
        <f>_xll.LVCELL($EX$3,FB$3,$DP79,$DQ$2,$DP$4,$DP$5,$DP$6,$DP$7,$DP$8,$DQ$3)</f>
        <v>0</v>
      </c>
      <c r="FC79" s="505">
        <f>_xll.LVCELL($EX$3,FC$3,$DP79,$DQ$2,$DP$4,$DP$5,$DP$6,$DP$7,$DP$8,$DQ$3)</f>
        <v>0</v>
      </c>
      <c r="FD79" s="505">
        <f>_xll.LVCELL($EX$3,FD$3,$DP79,$DQ$2,$DP$4,$DP$5,$DP$6,$DP$7,$DP$8,$DQ$3)</f>
        <v>0</v>
      </c>
      <c r="FE79" s="505">
        <f>_xll.LVCELL($EX$3,FE$3,$DP79,$DQ$2,$DP$4,$DP$5,$DP$6,$DP$7,$DP$8,$DQ$3)</f>
        <v>0</v>
      </c>
      <c r="FF79" s="505">
        <f>_xll.LVCELL($EX$3,FF$3,$DP79,$DQ$2,$DP$4,$DP$5,$DP$6,$DP$7,$DP$8,$DQ$3)</f>
        <v>0</v>
      </c>
      <c r="FG79" s="505">
        <f>_xll.LVCELL($EX$3,FG$3,$DP79,$DQ$2,$DP$4,$DP$5,$DP$6,$DP$7,$DP$8,$DQ$3)</f>
        <v>0</v>
      </c>
      <c r="FH79" s="505">
        <f>_xll.LVCELL($EX$3,FH$3,$DP79,$DQ$2,$DP$4,$DP$5,$DP$6,$DP$7,$DP$8,$DQ$3)</f>
        <v>0</v>
      </c>
      <c r="FI79" s="505">
        <f>_xll.LVCELL($EX$3,FI$3,$DP79,$DQ$2,$DP$4,$DP$5,$DP$6,$DP$7,$DP$8,$DQ$3)</f>
        <v>0</v>
      </c>
      <c r="FJ79" s="505">
        <f>_xll.LVCELL($EX$3,FJ$3,$DP79,$DQ$2,$DP$4,$DP$5,$DP$6,$DP$7,$DP$8,$DQ$3)</f>
        <v>0</v>
      </c>
      <c r="FK79" s="505">
        <f>_xll.LVCELL($EX$3,FK$3,$DP79,$DQ$2,$DP$4,$DP$5,$DP$6,$DP$7,$DP$8,$DQ$3)</f>
        <v>0</v>
      </c>
      <c r="FN79" s="64" t="s">
        <v>380</v>
      </c>
      <c r="FO79" s="64" t="s">
        <v>380</v>
      </c>
      <c r="FP79" s="359" t="s">
        <v>484</v>
      </c>
      <c r="FQ79" s="505">
        <f>_xll.LVCELL($FO$3,FQ$3,$DP79,$DQ$2,$DP$4,$DP$5,$DP$6,$DP$7,$DP$8,$DQ$3)</f>
        <v>0</v>
      </c>
      <c r="FR79" s="505">
        <f>_xll.LVCELL($FO$3,FR$3,$DP79,$DQ$2,$DP$4,$DP$5,$DP$6,$DP$7,$DP$8,$DQ$3)</f>
        <v>0</v>
      </c>
      <c r="FS79" s="505">
        <f>_xll.LVCELL($FO$3,FS$3,$DP79,$DQ$2,$DP$4,$DP$5,$DP$6,$DP$7,$DP$8,$DQ$3)</f>
        <v>0</v>
      </c>
      <c r="FT79" s="505">
        <f>_xll.LVCELL($FO$3,FT$3,$DP79,$DQ$2,$DP$4,$DP$5,$DP$6,$DP$7,$DP$8,$DQ$3)</f>
        <v>0</v>
      </c>
      <c r="FU79" s="505">
        <f>_xll.LVCELL($FO$3,FU$3,$DP79,$DQ$2,$DP$4,$DP$5,$DP$6,$DP$7,$DP$8,$DQ$3)</f>
        <v>0</v>
      </c>
      <c r="FV79" s="505">
        <f>_xll.LVCELL($FO$3,FV$3,$DP79,$DQ$2,$DP$4,$DP$5,$DP$6,$DP$7,$DP$8,$DQ$3)</f>
        <v>0</v>
      </c>
      <c r="FW79" s="505">
        <f>_xll.LVCELL($FO$3,FW$3,$DP79,$DQ$2,$DP$4,$DP$5,$DP$6,$DP$7,$DP$8,$DQ$3)</f>
        <v>0</v>
      </c>
      <c r="FX79" s="505">
        <f>_xll.LVCELL($FO$3,FX$3,$DP79,$DQ$2,$DP$4,$DP$5,$DP$6,$DP$7,$DP$8,$DQ$3)</f>
        <v>0</v>
      </c>
      <c r="FY79" s="505">
        <f>_xll.LVCELL($FO$3,FY$3,$DP79,$DQ$2,$DP$4,$DP$5,$DP$6,$DP$7,$DP$8,$DQ$3)</f>
        <v>0</v>
      </c>
      <c r="FZ79" s="505">
        <f>_xll.LVCELL($FO$3,FZ$3,$DP79,$DQ$2,$DP$4,$DP$5,$DP$6,$DP$7,$DP$8,$DQ$3)</f>
        <v>0</v>
      </c>
      <c r="GA79" s="505">
        <f>_xll.LVCELL($FO$3,GA$3,$DP79,$DQ$2,$DP$4,$DP$5,$DP$6,$DP$7,$DP$8,$DQ$3)</f>
        <v>0</v>
      </c>
      <c r="GB79" s="505">
        <f>_xll.LVCELL($FO$3,GB$3,$DP79,$DQ$2,$DP$4,$DP$5,$DP$6,$DP$7,$DP$8,$DQ$3)</f>
        <v>0</v>
      </c>
    </row>
    <row r="80" spans="2:184" ht="15">
      <c r="B80" s="64" t="s">
        <v>376</v>
      </c>
      <c r="C80" s="64" t="s">
        <v>376</v>
      </c>
      <c r="D80" s="359" t="s">
        <v>485</v>
      </c>
      <c r="E80" s="357">
        <f>_xll.LVCELL($C$3,Q$3,$C80,$D$2,$C$4,$C$5,$C$6,$C$7,$C$8,$D$3)/1000</f>
        <v>8</v>
      </c>
      <c r="F80" s="103">
        <f>'distribution mensuelle Prod B22'!$BT$36</f>
        <v>2155643.5111576738</v>
      </c>
      <c r="G80" s="103">
        <f>'distribution mensuelle Prod B22'!$BT$37</f>
        <v>1776950.2598288935</v>
      </c>
      <c r="H80" s="103">
        <f>'distribution mensuelle Prod B22'!$BT$38</f>
        <v>1614904.8568296942</v>
      </c>
      <c r="I80" s="103">
        <f>'distribution mensuelle Prod B22'!$BT$39</f>
        <v>1293725.2694653736</v>
      </c>
      <c r="J80" s="103">
        <f>'distribution mensuelle Prod B22'!$BT$40</f>
        <v>1212515.7244284386</v>
      </c>
      <c r="K80" s="103">
        <f>'distribution mensuelle Prod B22'!$BT$41</f>
        <v>906941.65977775888</v>
      </c>
      <c r="L80" s="103">
        <f>'distribution mensuelle Prod B22'!$BT$42</f>
        <v>922253.0019547235</v>
      </c>
      <c r="M80" s="103">
        <f>'distribution mensuelle Prod B22'!$BT$43</f>
        <v>919540.26623066992</v>
      </c>
      <c r="N80" s="103">
        <f>'distribution mensuelle Prod B22'!$BT$44</f>
        <v>1152838.0270225999</v>
      </c>
      <c r="O80" s="103">
        <f>'distribution mensuelle Prod B22'!$BT$45</f>
        <v>1674585.0427588688</v>
      </c>
      <c r="P80" s="103">
        <f>'distribution mensuelle Prod B22'!$BT$46</f>
        <v>1806957.3669354783</v>
      </c>
      <c r="Q80" s="103">
        <f>'distribution mensuelle Prod B22'!$BT$47</f>
        <v>2065671.1096432358</v>
      </c>
      <c r="R80" s="67">
        <f t="shared" si="92"/>
        <v>17502526.096033409</v>
      </c>
      <c r="S80" s="358"/>
      <c r="W80" s="113" t="str">
        <f t="shared" si="93"/>
        <v>E6150</v>
      </c>
      <c r="X80" s="359" t="str">
        <f t="shared" si="94"/>
        <v>Fierville</v>
      </c>
      <c r="Y80" s="299" cm="1">
        <f t="array" ref="Y80">_xll.LVCELL($D$4,F$1,$B80,$D$2,$C$4,$C$5,$C$6,$C$7,$C$8,$D$3)*1000+_xll.LVCELL($D$5,F$1,$B80,$D$2,$C$4,$C$5,$C$6,$C$7,$C$8,$D$3)*1000</f>
        <v>97.15</v>
      </c>
      <c r="Z80" s="299" cm="1">
        <f t="array" ref="Z80">_xll.LVCELL($D$4,G$1,$B80,$D$2,$C$4,$C$5,$C$6,$C$7,$C$8,$D$3)*1000+_xll.LVCELL($D$5,G$1,$B80,$D$2,$C$4,$C$5,$C$6,$C$7,$C$8,$D$3)*1000</f>
        <v>97.149964000000011</v>
      </c>
      <c r="AA80" s="299" cm="1">
        <f t="array" ref="AA80">_xll.LVCELL($D$4,H$1,$B80,$D$2,$C$4,$C$5,$C$6,$C$7,$C$8,$D$3)*1000+_xll.LVCELL($D$5,H$1,$B80,$D$2,$C$4,$C$5,$C$6,$C$7,$C$8,$D$3)*1000</f>
        <v>97.149959898220459</v>
      </c>
      <c r="AB80" s="299" cm="1">
        <f t="array" ref="AB80">_xll.LVCELL($D$4,I$1,$B80,$D$2,$C$4,$C$5,$C$6,$C$7,$C$8,$D$3)*1000+_xll.LVCELL($D$5,I$1,$B80,$D$2,$C$4,$C$5,$C$6,$C$7,$C$8,$D$3)*1000</f>
        <v>97.150000288428814</v>
      </c>
      <c r="AC80" s="299" cm="1">
        <f t="array" ref="AC80">_xll.LVCELL($D$4,J$1,$B80,$D$2,$C$4,$C$5,$C$6,$C$7,$C$8,$D$3)*1000+_xll.LVCELL($D$5,J$1,$B80,$D$2,$C$4,$C$5,$C$6,$C$7,$C$8,$D$3)*1000</f>
        <v>97.150015340568331</v>
      </c>
      <c r="AD80" s="299" cm="1">
        <f t="array" ref="AD80">_xll.LVCELL($D$4,K$1,$B80,$D$2,$C$4,$C$5,$C$6,$C$7,$C$8,$D$3)*1000+_xll.LVCELL($D$5,K$1,$B80,$D$2,$C$4,$C$5,$C$6,$C$7,$C$8,$D$3)*1000</f>
        <v>97.149912035448622</v>
      </c>
      <c r="AE80" s="299" cm="1">
        <f t="array" ref="AE80">_xll.LVCELL($D$4,L$1,$B80,$D$2,$C$4,$C$5,$C$6,$C$7,$C$8,$D$3)*1000+_xll.LVCELL($D$5,L$1,$B80,$D$2,$C$4,$C$5,$C$6,$C$7,$C$8,$D$3)*1000</f>
        <v>97.149984927955629</v>
      </c>
      <c r="AF80" s="299">
        <f>$AD$80</f>
        <v>97.149912035448622</v>
      </c>
      <c r="AG80" s="299">
        <f t="shared" si="53"/>
        <v>97.149912035448622</v>
      </c>
      <c r="AH80" s="299">
        <f t="shared" si="53"/>
        <v>97.149912035448622</v>
      </c>
      <c r="AI80" s="411">
        <f t="shared" si="54"/>
        <v>99.38436001226394</v>
      </c>
      <c r="AJ80" s="412">
        <f t="shared" si="55"/>
        <v>99.38436001226394</v>
      </c>
      <c r="AK80" s="552"/>
      <c r="AL80" s="134">
        <f t="shared" si="95"/>
        <v>2.3E-2</v>
      </c>
      <c r="AM80" s="134"/>
      <c r="AN80" s="134"/>
      <c r="AO80" s="134"/>
      <c r="AP80" s="113" t="str">
        <f t="shared" si="132"/>
        <v>E6150</v>
      </c>
      <c r="AQ80" s="567" t="str">
        <f t="shared" si="133"/>
        <v>Fierville</v>
      </c>
      <c r="AR80" s="377"/>
      <c r="AS80" s="377"/>
      <c r="AT80" s="377"/>
      <c r="AU80" s="377"/>
      <c r="AV80" s="377"/>
      <c r="AW80" s="377"/>
      <c r="AX80" s="377"/>
      <c r="AY80" s="377"/>
      <c r="AZ80" s="377"/>
      <c r="BA80" s="377"/>
      <c r="BB80" s="377"/>
      <c r="BC80" s="378"/>
      <c r="BD80" s="552"/>
      <c r="BE80" s="134"/>
      <c r="BF80" s="134"/>
      <c r="BG80" s="134"/>
      <c r="BH80" s="134"/>
      <c r="BI80" s="113" t="str">
        <f t="shared" si="134"/>
        <v>E6150</v>
      </c>
      <c r="BJ80" s="567" t="str">
        <f t="shared" si="135"/>
        <v>Fierville</v>
      </c>
      <c r="BK80" s="411">
        <f t="shared" si="96"/>
        <v>99.38436001226394</v>
      </c>
      <c r="BL80" s="411">
        <f t="shared" si="96"/>
        <v>99.38436001226394</v>
      </c>
      <c r="BM80" s="411">
        <f t="shared" si="96"/>
        <v>99.38436001226394</v>
      </c>
      <c r="BN80" s="411">
        <f t="shared" si="96"/>
        <v>99.38436001226394</v>
      </c>
      <c r="BO80" s="411">
        <f t="shared" si="96"/>
        <v>99.38436001226394</v>
      </c>
      <c r="BP80" s="411">
        <f t="shared" si="96"/>
        <v>99.38436001226394</v>
      </c>
      <c r="BQ80" s="411">
        <f t="shared" si="96"/>
        <v>99.38436001226394</v>
      </c>
      <c r="BR80" s="411">
        <f t="shared" si="96"/>
        <v>99.38436001226394</v>
      </c>
      <c r="BS80" s="411">
        <f t="shared" si="96"/>
        <v>99.38436001226394</v>
      </c>
      <c r="BT80" s="411">
        <f t="shared" si="96"/>
        <v>99.38436001226394</v>
      </c>
      <c r="BU80" s="411">
        <f t="shared" si="97"/>
        <v>101.67020029254601</v>
      </c>
      <c r="BV80" s="412">
        <f t="shared" si="98"/>
        <v>101.67020029254601</v>
      </c>
      <c r="BW80" s="552"/>
      <c r="BX80" s="134"/>
      <c r="BY80" s="134"/>
      <c r="BZ80" s="134"/>
      <c r="CA80" s="134"/>
      <c r="CB80" s="113" t="str">
        <f t="shared" si="99"/>
        <v>E6150</v>
      </c>
      <c r="CC80" s="373" t="str">
        <f t="shared" si="100"/>
        <v>Fierville</v>
      </c>
      <c r="CD80" s="411">
        <f t="shared" si="136"/>
        <v>99.38436001226394</v>
      </c>
      <c r="CE80" s="411">
        <f t="shared" si="101"/>
        <v>99.38436001226394</v>
      </c>
      <c r="CF80" s="411">
        <f t="shared" si="102"/>
        <v>99.38436001226394</v>
      </c>
      <c r="CG80" s="411">
        <f t="shared" si="103"/>
        <v>99.38436001226394</v>
      </c>
      <c r="CH80" s="411">
        <f t="shared" si="104"/>
        <v>99.38436001226394</v>
      </c>
      <c r="CI80" s="411">
        <f t="shared" si="105"/>
        <v>99.38436001226394</v>
      </c>
      <c r="CJ80" s="411">
        <f t="shared" si="106"/>
        <v>99.38436001226394</v>
      </c>
      <c r="CK80" s="411">
        <f t="shared" si="107"/>
        <v>99.38436001226394</v>
      </c>
      <c r="CL80" s="411">
        <f t="shared" si="108"/>
        <v>99.38436001226394</v>
      </c>
      <c r="CM80" s="411">
        <f t="shared" si="109"/>
        <v>99.38436001226394</v>
      </c>
      <c r="CN80" s="411">
        <f t="shared" si="110"/>
        <v>101.67020029254601</v>
      </c>
      <c r="CO80" s="412">
        <f t="shared" si="111"/>
        <v>101.67020029254601</v>
      </c>
      <c r="CP80" s="552"/>
      <c r="CQ80" s="134">
        <f t="shared" si="112"/>
        <v>4.0000000000000001E-3</v>
      </c>
      <c r="CU80" s="113" t="str">
        <f t="shared" si="113"/>
        <v>E6150</v>
      </c>
      <c r="CV80" s="383" t="str">
        <f t="shared" si="114"/>
        <v>Fierville</v>
      </c>
      <c r="CW80" s="384">
        <f t="shared" si="115"/>
        <v>214237.25077099496</v>
      </c>
      <c r="CX80" s="298">
        <f t="shared" si="116"/>
        <v>176601.0643467207</v>
      </c>
      <c r="CY80" s="298">
        <f t="shared" si="117"/>
        <v>160496.2856767159</v>
      </c>
      <c r="CZ80" s="298">
        <f t="shared" si="118"/>
        <v>128576.05793750988</v>
      </c>
      <c r="DA80" s="298">
        <f t="shared" si="119"/>
        <v>120505.09927712697</v>
      </c>
      <c r="DB80" s="298">
        <f t="shared" si="120"/>
        <v>90135.816425472993</v>
      </c>
      <c r="DC80" s="298">
        <f t="shared" si="121"/>
        <v>91657.524368659404</v>
      </c>
      <c r="DD80" s="298">
        <f t="shared" si="122"/>
        <v>91387.92086484193</v>
      </c>
      <c r="DE80" s="298">
        <f t="shared" si="123"/>
        <v>114574.06951344214</v>
      </c>
      <c r="DF80" s="298">
        <f t="shared" si="124"/>
        <v>166427.56276069983</v>
      </c>
      <c r="DG80" s="371">
        <f t="shared" si="125"/>
        <v>183713.71741642166</v>
      </c>
      <c r="DH80" s="372">
        <f t="shared" si="126"/>
        <v>210017.19545595357</v>
      </c>
      <c r="DI80" s="67">
        <f t="shared" si="127"/>
        <v>1748329.5648145599</v>
      </c>
      <c r="DJ80" s="364">
        <f>_xll.LVCELL($E$1,Q$2,$C80,$D$2,$C$4,$C$5,$C$6,$C$7,$C$8,$D$3)+_xll.LVCELL($E$2,Q$2,$C80,$D$2,$C$4,$C$5,$C$6,$C$7,$C$8,$D$3)</f>
        <v>1748329.55288088</v>
      </c>
      <c r="DK80" s="82">
        <f t="shared" si="137"/>
        <v>1.1933679925277829E-2</v>
      </c>
      <c r="DM80" s="518">
        <f t="shared" si="128"/>
        <v>99.890127586256426</v>
      </c>
      <c r="DO80" s="64" t="str">
        <f t="shared" si="129"/>
        <v>E6150</v>
      </c>
      <c r="DP80" s="64" t="str">
        <f t="shared" si="130"/>
        <v>E6150</v>
      </c>
      <c r="DQ80" s="359" t="str">
        <f t="shared" si="131"/>
        <v>Fierville</v>
      </c>
      <c r="DR80" s="365">
        <f>_xll.LVCELL($DP$3,DR$3,$DP80,$DQ$2,$DP$4,$DP$5,$DP$6,$DP$7,$DP$8,$DQ$3)/100</f>
        <v>0.97</v>
      </c>
      <c r="DS80" s="365">
        <f>_xll.LVCELL($DP$3,DS$3,$DP80,$DQ$2,$DP$4,$DP$5,$DP$6,$DP$7,$DP$8,$DQ$3)/100</f>
        <v>0.97</v>
      </c>
      <c r="DT80" s="365">
        <f>_xll.LVCELL($DP$3,DT$3,$DP80,$DQ$2,$DP$4,$DP$5,$DP$6,$DP$7,$DP$8,$DQ$3)/100</f>
        <v>0.97</v>
      </c>
      <c r="DU80" s="365">
        <f>_xll.LVCELL($DP$3,DU$3,$DP80,$DQ$2,$DP$4,$DP$5,$DP$6,$DP$7,$DP$8,$DQ$3)/100</f>
        <v>0.97</v>
      </c>
      <c r="DV80" s="365">
        <f>_xll.LVCELL($DP$3,DV$3,$DP80,$DQ$2,$DP$4,$DP$5,$DP$6,$DP$7,$DP$8,$DQ$3)/100</f>
        <v>0.97</v>
      </c>
      <c r="DW80" s="365">
        <f>_xll.LVCELL($DP$3,DW$3,$DP80,$DQ$2,$DP$4,$DP$5,$DP$6,$DP$7,$DP$8,$DQ$3)/100</f>
        <v>0.97</v>
      </c>
      <c r="DX80" s="365">
        <f>_xll.LVCELL($DP$3,DX$3,$DP80,$DQ$2,$DP$4,$DP$5,$DP$6,$DP$7,$DP$8,$DQ$3)/100</f>
        <v>0.97</v>
      </c>
      <c r="DY80" s="365">
        <f>_xll.LVCELL($DP$3,DY$3,$DP80,$DQ$2,$DP$4,$DP$5,$DP$6,$DP$7,$DP$8,$DQ$3)/100</f>
        <v>0.97</v>
      </c>
      <c r="DZ80" s="365">
        <f>_xll.LVCELL($DP$3,DZ$3,$DP80,$DQ$2,$DP$4,$DP$5,$DP$6,$DP$7,$DP$8,$DQ$3)/100</f>
        <v>0.97</v>
      </c>
      <c r="EA80" s="365">
        <f>_xll.LVCELL($DP$3,EA$3,$DP80,$DQ$2,$DP$4,$DP$5,$DP$6,$DP$7,$DP$8,$DQ$3)/100</f>
        <v>0.97</v>
      </c>
      <c r="EB80" s="365">
        <f>_xll.LVCELL($DP$3,EB$3,$DP80,$DQ$2,$DP$4,$DP$5,$DP$6,$DP$7,$DP$8,$DQ$3)/100</f>
        <v>0.97</v>
      </c>
      <c r="EC80" s="365">
        <f>_xll.LVCELL($DP$3,EC$3,$DP80,$DQ$2,$DP$4,$DP$5,$DP$6,$DP$7,$DP$8,$DQ$3)/100</f>
        <v>0.97</v>
      </c>
      <c r="ED80" s="582">
        <f t="shared" si="138"/>
        <v>11.64</v>
      </c>
      <c r="EF80" s="64" t="s">
        <v>376</v>
      </c>
      <c r="EG80" s="64" t="s">
        <v>376</v>
      </c>
      <c r="EH80" s="359" t="s">
        <v>485</v>
      </c>
      <c r="EI80" s="366" t="e">
        <f ca="1">_xll.LVCELL($EG$3,EI$3,$DP80,$DQ$2,$DP$4,$DP$5,$DP$6,$DP$7,$DP$8,$DQ$3)-CW80</f>
        <v>#NAME?</v>
      </c>
      <c r="EJ80" s="367" t="e">
        <f ca="1">_xll.LVCELL($EG$3,EJ$3,$DP80,$DQ$2,$DP$4,$DP$5,$DP$6,$DP$7,$DP$8,$DQ$3)-CX80</f>
        <v>#NAME?</v>
      </c>
      <c r="EK80" s="368" t="e">
        <f ca="1">_xll.LVCELL($EG$3,EK$3,$DP80,$DQ$2,$DP$4,$DP$5,$DP$6,$DP$7,$DP$8,$DQ$3)-CY80</f>
        <v>#NAME?</v>
      </c>
      <c r="EL80" s="367" t="e">
        <f ca="1">_xll.LVCELL($EG$3,EL$3,$DP80,$DQ$2,$DP$4,$DP$5,$DP$6,$DP$7,$DP$8,$DQ$3)-CZ80</f>
        <v>#NAME?</v>
      </c>
      <c r="EM80" s="368" t="e">
        <f ca="1">_xll.LVCELL($EG$3,EM$3,$DP80,$DQ$2,$DP$4,$DP$5,$DP$6,$DP$7,$DP$8,$DQ$3)-DA80</f>
        <v>#NAME?</v>
      </c>
      <c r="EN80" s="367" t="e">
        <f ca="1">_xll.LVCELL($EG$3,EN$3,$DP80,$DQ$2,$DP$4,$DP$5,$DP$6,$DP$7,$DP$8,$DQ$3)-DB80</f>
        <v>#NAME?</v>
      </c>
      <c r="EO80" s="368" t="e">
        <f ca="1">_xll.LVCELL($EG$3,EO$3,$DP80,$DQ$2,$DP$4,$DP$5,$DP$6,$DP$7,$DP$8,$DQ$3)-DC80</f>
        <v>#NAME?</v>
      </c>
      <c r="EP80" s="367" t="e">
        <f ca="1">_xll.LVCELL($EG$3,EP$3,$DP80,$DQ$2,$DP$4,$DP$5,$DP$6,$DP$7,$DP$8,$DQ$3)-DD80</f>
        <v>#NAME?</v>
      </c>
      <c r="EQ80" s="368" t="e">
        <f ca="1">_xll.LVCELL($EG$3,EQ$3,$DP80,$DQ$2,$DP$4,$DP$5,$DP$6,$DP$7,$DP$8,$DQ$3)-DE80</f>
        <v>#NAME?</v>
      </c>
      <c r="ER80" s="367" t="e">
        <f ca="1">_xll.LVCELL($EG$3,ER$3,$DP80,$DQ$2,$DP$4,$DP$5,$DP$6,$DP$7,$DP$8,$DQ$3)-DF80</f>
        <v>#NAME?</v>
      </c>
      <c r="ES80" s="368" t="e">
        <f ca="1">_xll.LVCELL($EG$3,ES$3,$DP80,$DQ$2,$DP$4,$DP$5,$DP$6,$DP$7,$DP$8,$DQ$3)-DG80</f>
        <v>#NAME?</v>
      </c>
      <c r="ET80" s="367" t="e">
        <f ca="1">_xll.LVCELL($EG$3,ET$3,$DP80,$DQ$2,$DP$4,$DP$5,$DP$6,$DP$7,$DP$8,$DQ$3)-DH80</f>
        <v>#NAME?</v>
      </c>
      <c r="EW80" s="64" t="s">
        <v>376</v>
      </c>
      <c r="EX80" s="64" t="s">
        <v>376</v>
      </c>
      <c r="EY80" s="359" t="s">
        <v>485</v>
      </c>
      <c r="EZ80" s="364">
        <f>_xll.LVCELL($EX$3,EZ$3,$DP80,$DQ$2,$DP$4,$DP$5,$DP$6,$DP$7,$DP$8,$DQ$3)</f>
        <v>8000</v>
      </c>
      <c r="FA80" s="364">
        <f>_xll.LVCELL($EX$3,FA$3,$DP80,$DQ$2,$DP$4,$DP$5,$DP$6,$DP$7,$DP$8,$DQ$3)</f>
        <v>8000</v>
      </c>
      <c r="FB80" s="364">
        <f>_xll.LVCELL($EX$3,FB$3,$DP80,$DQ$2,$DP$4,$DP$5,$DP$6,$DP$7,$DP$8,$DQ$3)</f>
        <v>8000</v>
      </c>
      <c r="FC80" s="364">
        <f>_xll.LVCELL($EX$3,FC$3,$DP80,$DQ$2,$DP$4,$DP$5,$DP$6,$DP$7,$DP$8,$DQ$3)</f>
        <v>8000</v>
      </c>
      <c r="FD80" s="364">
        <f>_xll.LVCELL($EX$3,FD$3,$DP80,$DQ$2,$DP$4,$DP$5,$DP$6,$DP$7,$DP$8,$DQ$3)</f>
        <v>8000</v>
      </c>
      <c r="FE80" s="364">
        <f>_xll.LVCELL($EX$3,FE$3,$DP80,$DQ$2,$DP$4,$DP$5,$DP$6,$DP$7,$DP$8,$DQ$3)</f>
        <v>8000</v>
      </c>
      <c r="FF80" s="364">
        <f>_xll.LVCELL($EX$3,FF$3,$DP80,$DQ$2,$DP$4,$DP$5,$DP$6,$DP$7,$DP$8,$DQ$3)</f>
        <v>8000</v>
      </c>
      <c r="FG80" s="364">
        <f>_xll.LVCELL($EX$3,FG$3,$DP80,$DQ$2,$DP$4,$DP$5,$DP$6,$DP$7,$DP$8,$DQ$3)</f>
        <v>8000</v>
      </c>
      <c r="FH80" s="364">
        <f>_xll.LVCELL($EX$3,FH$3,$DP80,$DQ$2,$DP$4,$DP$5,$DP$6,$DP$7,$DP$8,$DQ$3)</f>
        <v>8000</v>
      </c>
      <c r="FI80" s="364">
        <f>_xll.LVCELL($EX$3,FI$3,$DP80,$DQ$2,$DP$4,$DP$5,$DP$6,$DP$7,$DP$8,$DQ$3)</f>
        <v>8000</v>
      </c>
      <c r="FJ80" s="364">
        <f>_xll.LVCELL($EX$3,FJ$3,$DP80,$DQ$2,$DP$4,$DP$5,$DP$6,$DP$7,$DP$8,$DQ$3)</f>
        <v>8000</v>
      </c>
      <c r="FK80" s="276">
        <f>_xll.LVCELL($EX$3,FK$3,$DP80,$DQ$2,$DP$4,$DP$5,$DP$6,$DP$7,$DP$8,$DQ$3)</f>
        <v>8000</v>
      </c>
      <c r="FN80" s="64" t="s">
        <v>376</v>
      </c>
      <c r="FO80" s="64" t="s">
        <v>376</v>
      </c>
      <c r="FP80" s="359" t="s">
        <v>485</v>
      </c>
      <c r="FQ80" s="364">
        <f>_xll.LVCELL($FO$3,FQ$3,$DP80,$DQ$2,$DP$4,$DP$5,$DP$6,$DP$7,$DP$8,$DQ$3)</f>
        <v>4</v>
      </c>
      <c r="FR80" s="364">
        <f>_xll.LVCELL($FO$3,FR$3,$DP80,$DQ$2,$DP$4,$DP$5,$DP$6,$DP$7,$DP$8,$DQ$3)</f>
        <v>4</v>
      </c>
      <c r="FS80" s="364">
        <f>_xll.LVCELL($FO$3,FS$3,$DP80,$DQ$2,$DP$4,$DP$5,$DP$6,$DP$7,$DP$8,$DQ$3)</f>
        <v>4</v>
      </c>
      <c r="FT80" s="364">
        <f>_xll.LVCELL($FO$3,FT$3,$DP80,$DQ$2,$DP$4,$DP$5,$DP$6,$DP$7,$DP$8,$DQ$3)</f>
        <v>4</v>
      </c>
      <c r="FU80" s="364">
        <f>_xll.LVCELL($FO$3,FU$3,$DP80,$DQ$2,$DP$4,$DP$5,$DP$6,$DP$7,$DP$8,$DQ$3)</f>
        <v>4</v>
      </c>
      <c r="FV80" s="364">
        <f>_xll.LVCELL($FO$3,FV$3,$DP80,$DQ$2,$DP$4,$DP$5,$DP$6,$DP$7,$DP$8,$DQ$3)</f>
        <v>4</v>
      </c>
      <c r="FW80" s="364">
        <f>_xll.LVCELL($FO$3,FW$3,$DP80,$DQ$2,$DP$4,$DP$5,$DP$6,$DP$7,$DP$8,$DQ$3)</f>
        <v>4</v>
      </c>
      <c r="FX80" s="364">
        <f>_xll.LVCELL($FO$3,FX$3,$DP80,$DQ$2,$DP$4,$DP$5,$DP$6,$DP$7,$DP$8,$DQ$3)</f>
        <v>4</v>
      </c>
      <c r="FY80" s="364">
        <f>_xll.LVCELL($FO$3,FY$3,$DP80,$DQ$2,$DP$4,$DP$5,$DP$6,$DP$7,$DP$8,$DQ$3)</f>
        <v>4</v>
      </c>
      <c r="FZ80" s="364">
        <f>_xll.LVCELL($FO$3,FZ$3,$DP80,$DQ$2,$DP$4,$DP$5,$DP$6,$DP$7,$DP$8,$DQ$3)</f>
        <v>4</v>
      </c>
      <c r="GA80" s="364">
        <f>_xll.LVCELL($FO$3,GA$3,$DP80,$DQ$2,$DP$4,$DP$5,$DP$6,$DP$7,$DP$8,$DQ$3)</f>
        <v>4</v>
      </c>
      <c r="GB80" s="172">
        <f>_xll.LVCELL($FO$3,GB$3,$DP80,$DQ$2,$DP$4,$DP$5,$DP$6,$DP$7,$DP$8,$DQ$3)</f>
        <v>4</v>
      </c>
    </row>
    <row r="81" spans="2:184" ht="15">
      <c r="B81" s="64" t="s">
        <v>387</v>
      </c>
      <c r="C81" s="64" t="s">
        <v>387</v>
      </c>
      <c r="D81" s="359" t="s">
        <v>486</v>
      </c>
      <c r="E81" s="357">
        <f>_xll.LVCELL($C$3,Q$3,$C81,$D$2,$C$4,$C$5,$C$6,$C$7,$C$8,$D$3)/1000</f>
        <v>12.5</v>
      </c>
      <c r="F81" s="103">
        <f>'distribution mensuelle Prod B22'!$BU$36</f>
        <v>3576606.8987938818</v>
      </c>
      <c r="G81" s="103">
        <f>'distribution mensuelle Prod B22'!$BU$37</f>
        <v>2910100.5820259415</v>
      </c>
      <c r="H81" s="103">
        <f>'distribution mensuelle Prod B22'!$BU$38</f>
        <v>2669130.8474123515</v>
      </c>
      <c r="I81" s="103">
        <f>'distribution mensuelle Prod B22'!$BU$39</f>
        <v>2039959.0638230543</v>
      </c>
      <c r="J81" s="103">
        <f>'distribution mensuelle Prod B22'!$BU$40</f>
        <v>1966926.0265304688</v>
      </c>
      <c r="K81" s="103">
        <f>'distribution mensuelle Prod B22'!$BU$41</f>
        <v>1470449.3027129895</v>
      </c>
      <c r="L81" s="103">
        <f>'distribution mensuelle Prod B22'!$BU$42</f>
        <v>1460393.4217723489</v>
      </c>
      <c r="M81" s="103">
        <f>'distribution mensuelle Prod B22'!$BU$43</f>
        <v>1485498.5362938885</v>
      </c>
      <c r="N81" s="103">
        <f>'distribution mensuelle Prod B22'!$BU$44</f>
        <v>1827732.7162073839</v>
      </c>
      <c r="O81" s="103">
        <f>'distribution mensuelle Prod B22'!$BU$45</f>
        <v>2763644.2197287353</v>
      </c>
      <c r="P81" s="103">
        <f>'distribution mensuelle Prod B22'!$BU$46</f>
        <v>2910301.4590953989</v>
      </c>
      <c r="Q81" s="103">
        <f>'distribution mensuelle Prod B22'!$BU$47</f>
        <v>3389056.9256035555</v>
      </c>
      <c r="R81" s="67">
        <f t="shared" si="92"/>
        <v>28469800</v>
      </c>
      <c r="S81" s="759"/>
      <c r="W81" s="113" t="str">
        <f t="shared" si="93"/>
        <v>E6340</v>
      </c>
      <c r="X81" s="359" t="str">
        <f t="shared" si="94"/>
        <v>Plaine de Beaunay</v>
      </c>
      <c r="Y81" s="299" cm="1">
        <f t="array" ref="Y81">_xll.LVCELL($D$4,F$1,$B81,$D$2,$C$4,$C$5,$C$6,$C$7,$C$8,$D$3)*1000+_xll.LVCELL($D$5,F$1,$B81,$D$2,$C$4,$C$5,$C$6,$C$7,$C$8,$D$3)*1000</f>
        <v>86.759996000000001</v>
      </c>
      <c r="Z81" s="299" cm="1">
        <f t="array" ref="Z81">_xll.LVCELL($D$4,G$1,$B81,$D$2,$C$4,$C$5,$C$6,$C$7,$C$8,$D$3)*1000+_xll.LVCELL($D$5,G$1,$B81,$D$2,$C$4,$C$5,$C$6,$C$7,$C$8,$D$3)*1000</f>
        <v>86.760007999999999</v>
      </c>
      <c r="AA81" s="299" cm="1">
        <f t="array" ref="AA81">_xll.LVCELL($D$4,H$1,$B81,$D$2,$C$4,$C$5,$C$6,$C$7,$C$8,$D$3)*1000+_xll.LVCELL($D$5,H$1,$B81,$D$2,$C$4,$C$5,$C$6,$C$7,$C$8,$D$3)*1000</f>
        <v>86.759979004892671</v>
      </c>
      <c r="AB81" s="299" cm="1">
        <f t="array" ref="AB81">_xll.LVCELL($D$4,I$1,$B81,$D$2,$C$4,$C$5,$C$6,$C$7,$C$8,$D$3)*1000+_xll.LVCELL($D$5,I$1,$B81,$D$2,$C$4,$C$5,$C$6,$C$7,$C$8,$D$3)*1000</f>
        <v>86.760033056728531</v>
      </c>
      <c r="AC81" s="299" cm="1">
        <f t="array" ref="AC81">_xll.LVCELL($D$4,J$1,$B81,$D$2,$C$4,$C$5,$C$6,$C$7,$C$8,$D$3)*1000+_xll.LVCELL($D$5,J$1,$B81,$D$2,$C$4,$C$5,$C$6,$C$7,$C$8,$D$3)*1000</f>
        <v>86.7599988294767</v>
      </c>
      <c r="AD81" s="299" cm="1">
        <f t="array" ref="AD81">_xll.LVCELL($D$4,K$1,$B81,$D$2,$C$4,$C$5,$C$6,$C$7,$C$8,$D$3)*1000+_xll.LVCELL($D$5,K$1,$B81,$D$2,$C$4,$C$5,$C$6,$C$7,$C$8,$D$3)*1000</f>
        <v>86.760001221179763</v>
      </c>
      <c r="AE81" s="299" cm="1">
        <f t="array" ref="AE81">_xll.LVCELL($D$4,L$1,$B81,$D$2,$C$4,$C$5,$C$6,$C$7,$C$8,$D$3)*1000+_xll.LVCELL($D$5,L$1,$B81,$D$2,$C$4,$C$5,$C$6,$C$7,$C$8,$D$3)*1000</f>
        <v>86.75999546255035</v>
      </c>
      <c r="AF81" s="299">
        <f>$AD$81</f>
        <v>86.760001221179763</v>
      </c>
      <c r="AG81" s="299">
        <f t="shared" si="53"/>
        <v>86.760001221179763</v>
      </c>
      <c r="AH81" s="299">
        <f t="shared" si="53"/>
        <v>86.760001221179763</v>
      </c>
      <c r="AI81" s="411">
        <f t="shared" si="54"/>
        <v>88.755481249266893</v>
      </c>
      <c r="AJ81" s="412">
        <f t="shared" si="55"/>
        <v>88.755481249266893</v>
      </c>
      <c r="AK81" s="414"/>
      <c r="AL81" s="134">
        <f t="shared" si="95"/>
        <v>2.3E-2</v>
      </c>
      <c r="AM81" s="134"/>
      <c r="AN81" s="134"/>
      <c r="AO81" s="134"/>
      <c r="AP81" s="113" t="str">
        <f t="shared" si="132"/>
        <v>E6340</v>
      </c>
      <c r="AQ81" s="567" t="str">
        <f t="shared" si="133"/>
        <v>Plaine de Beaunay</v>
      </c>
      <c r="AR81" s="377"/>
      <c r="AS81" s="377"/>
      <c r="AT81" s="377"/>
      <c r="AU81" s="377"/>
      <c r="AV81" s="377"/>
      <c r="AW81" s="377"/>
      <c r="AX81" s="377"/>
      <c r="AY81" s="377"/>
      <c r="AZ81" s="377"/>
      <c r="BA81" s="377"/>
      <c r="BB81" s="377"/>
      <c r="BC81" s="378"/>
      <c r="BD81" s="414"/>
      <c r="BE81" s="134"/>
      <c r="BF81" s="134"/>
      <c r="BG81" s="134"/>
      <c r="BH81" s="134"/>
      <c r="BI81" s="113" t="str">
        <f t="shared" si="134"/>
        <v>E6340</v>
      </c>
      <c r="BJ81" s="567" t="str">
        <f t="shared" si="135"/>
        <v>Plaine de Beaunay</v>
      </c>
      <c r="BK81" s="411">
        <f t="shared" si="96"/>
        <v>88.755481249266893</v>
      </c>
      <c r="BL81" s="411">
        <f t="shared" si="96"/>
        <v>88.755481249266893</v>
      </c>
      <c r="BM81" s="411">
        <f t="shared" si="96"/>
        <v>88.755481249266893</v>
      </c>
      <c r="BN81" s="411">
        <f t="shared" si="96"/>
        <v>88.755481249266893</v>
      </c>
      <c r="BO81" s="411">
        <f t="shared" si="96"/>
        <v>88.755481249266893</v>
      </c>
      <c r="BP81" s="411">
        <f t="shared" si="96"/>
        <v>88.755481249266893</v>
      </c>
      <c r="BQ81" s="411">
        <f t="shared" si="96"/>
        <v>88.755481249266893</v>
      </c>
      <c r="BR81" s="411">
        <f t="shared" si="96"/>
        <v>88.755481249266893</v>
      </c>
      <c r="BS81" s="411">
        <f t="shared" si="96"/>
        <v>88.755481249266893</v>
      </c>
      <c r="BT81" s="411">
        <f t="shared" si="96"/>
        <v>88.755481249266893</v>
      </c>
      <c r="BU81" s="411">
        <f t="shared" si="97"/>
        <v>90.796857318000036</v>
      </c>
      <c r="BV81" s="412">
        <f t="shared" si="98"/>
        <v>90.796857318000036</v>
      </c>
      <c r="BW81" s="414"/>
      <c r="BX81" s="134"/>
      <c r="BY81" s="134"/>
      <c r="BZ81" s="134"/>
      <c r="CA81" s="134"/>
      <c r="CB81" s="113" t="str">
        <f t="shared" si="99"/>
        <v>E6340</v>
      </c>
      <c r="CC81" s="373" t="str">
        <f t="shared" si="100"/>
        <v>Plaine de Beaunay</v>
      </c>
      <c r="CD81" s="411">
        <f t="shared" si="136"/>
        <v>88.755481249266893</v>
      </c>
      <c r="CE81" s="411">
        <f t="shared" si="101"/>
        <v>88.755481249266893</v>
      </c>
      <c r="CF81" s="411">
        <f t="shared" si="102"/>
        <v>88.755481249266893</v>
      </c>
      <c r="CG81" s="411">
        <f t="shared" si="103"/>
        <v>88.755481249266893</v>
      </c>
      <c r="CH81" s="411">
        <f t="shared" si="104"/>
        <v>88.755481249266893</v>
      </c>
      <c r="CI81" s="411">
        <f t="shared" si="105"/>
        <v>88.755481249266893</v>
      </c>
      <c r="CJ81" s="411">
        <f t="shared" si="106"/>
        <v>88.755481249266893</v>
      </c>
      <c r="CK81" s="411">
        <f t="shared" si="107"/>
        <v>88.755481249266893</v>
      </c>
      <c r="CL81" s="411">
        <f t="shared" si="108"/>
        <v>88.755481249266893</v>
      </c>
      <c r="CM81" s="411">
        <f t="shared" si="109"/>
        <v>88.755481249266893</v>
      </c>
      <c r="CN81" s="411">
        <f t="shared" si="110"/>
        <v>90.796857318000036</v>
      </c>
      <c r="CO81" s="412">
        <f t="shared" si="111"/>
        <v>90.796857318000036</v>
      </c>
      <c r="CP81" s="414"/>
      <c r="CQ81" s="134">
        <f t="shared" si="112"/>
        <v>4.0000000000000001E-3</v>
      </c>
      <c r="CU81" s="113" t="str">
        <f t="shared" si="113"/>
        <v>E6340</v>
      </c>
      <c r="CV81" s="373" t="str">
        <f t="shared" si="114"/>
        <v>Plaine de Beaunay</v>
      </c>
      <c r="CW81" s="384">
        <f t="shared" si="115"/>
        <v>317443.46654189902</v>
      </c>
      <c r="CX81" s="298">
        <f t="shared" si="116"/>
        <v>258287.37764148414</v>
      </c>
      <c r="CY81" s="298">
        <f t="shared" si="117"/>
        <v>236899.99287934683</v>
      </c>
      <c r="CZ81" s="298">
        <f t="shared" si="118"/>
        <v>181057.54843841915</v>
      </c>
      <c r="DA81" s="298">
        <f t="shared" si="119"/>
        <v>174575.46606642008</v>
      </c>
      <c r="DB81" s="298">
        <f t="shared" si="120"/>
        <v>130510.43551494033</v>
      </c>
      <c r="DC81" s="298">
        <f t="shared" si="121"/>
        <v>129617.92096266843</v>
      </c>
      <c r="DD81" s="298">
        <f t="shared" si="122"/>
        <v>131846.13748384564</v>
      </c>
      <c r="DE81" s="298">
        <f t="shared" si="123"/>
        <v>162221.29682201613</v>
      </c>
      <c r="DF81" s="298">
        <f t="shared" si="124"/>
        <v>245288.5727237786</v>
      </c>
      <c r="DG81" s="371">
        <f t="shared" si="125"/>
        <v>264246.22633385228</v>
      </c>
      <c r="DH81" s="372">
        <f t="shared" si="126"/>
        <v>307715.71811660589</v>
      </c>
      <c r="DI81" s="67">
        <f t="shared" si="127"/>
        <v>2539710.1595252771</v>
      </c>
      <c r="DJ81" s="364">
        <f>_xll.LVCELL($E$1,Q$2,$C81,$D$2,$C$4,$C$5,$C$6,$C$7,$C$8,$D$3)+_xll.LVCELL($E$2,Q$2,$C81,$D$2,$C$4,$C$5,$C$6,$C$7,$C$8,$D$3)</f>
        <v>2539710.1512104082</v>
      </c>
      <c r="DK81" s="82">
        <f t="shared" si="137"/>
        <v>8.314868900924921E-3</v>
      </c>
      <c r="DM81" s="518">
        <f t="shared" si="128"/>
        <v>89.207165470964924</v>
      </c>
      <c r="DO81" s="64" t="str">
        <f t="shared" si="129"/>
        <v>E6340</v>
      </c>
      <c r="DP81" s="64" t="str">
        <f t="shared" si="130"/>
        <v>E6340</v>
      </c>
      <c r="DQ81" s="359" t="str">
        <f t="shared" si="131"/>
        <v>Plaine de Beaunay</v>
      </c>
      <c r="DR81" s="365">
        <f>_xll.LVCELL($DP$3,DR$3,$DP81,$DQ$2,$DP$4,$DP$5,$DP$6,$DP$7,$DP$8,$DQ$3)/100</f>
        <v>0.97</v>
      </c>
      <c r="DS81" s="365">
        <f>_xll.LVCELL($DP$3,DS$3,$DP81,$DQ$2,$DP$4,$DP$5,$DP$6,$DP$7,$DP$8,$DQ$3)/100</f>
        <v>0.97</v>
      </c>
      <c r="DT81" s="365">
        <f>_xll.LVCELL($DP$3,DT$3,$DP81,$DQ$2,$DP$4,$DP$5,$DP$6,$DP$7,$DP$8,$DQ$3)/100</f>
        <v>0.97</v>
      </c>
      <c r="DU81" s="365">
        <f>_xll.LVCELL($DP$3,DU$3,$DP81,$DQ$2,$DP$4,$DP$5,$DP$6,$DP$7,$DP$8,$DQ$3)/100</f>
        <v>0.97</v>
      </c>
      <c r="DV81" s="365">
        <f>_xll.LVCELL($DP$3,DV$3,$DP81,$DQ$2,$DP$4,$DP$5,$DP$6,$DP$7,$DP$8,$DQ$3)/100</f>
        <v>0.97</v>
      </c>
      <c r="DW81" s="365">
        <f>_xll.LVCELL($DP$3,DW$3,$DP81,$DQ$2,$DP$4,$DP$5,$DP$6,$DP$7,$DP$8,$DQ$3)/100</f>
        <v>0.97</v>
      </c>
      <c r="DX81" s="365">
        <f>_xll.LVCELL($DP$3,DX$3,$DP81,$DQ$2,$DP$4,$DP$5,$DP$6,$DP$7,$DP$8,$DQ$3)/100</f>
        <v>0.97</v>
      </c>
      <c r="DY81" s="365">
        <f>_xll.LVCELL($DP$3,DY$3,$DP81,$DQ$2,$DP$4,$DP$5,$DP$6,$DP$7,$DP$8,$DQ$3)/100</f>
        <v>0.97</v>
      </c>
      <c r="DZ81" s="365">
        <f>_xll.LVCELL($DP$3,DZ$3,$DP81,$DQ$2,$DP$4,$DP$5,$DP$6,$DP$7,$DP$8,$DQ$3)/100</f>
        <v>0.97</v>
      </c>
      <c r="EA81" s="365">
        <f>_xll.LVCELL($DP$3,EA$3,$DP81,$DQ$2,$DP$4,$DP$5,$DP$6,$DP$7,$DP$8,$DQ$3)/100</f>
        <v>0.97</v>
      </c>
      <c r="EB81" s="365">
        <f>_xll.LVCELL($DP$3,EB$3,$DP81,$DQ$2,$DP$4,$DP$5,$DP$6,$DP$7,$DP$8,$DQ$3)/100</f>
        <v>0.97</v>
      </c>
      <c r="EC81" s="365">
        <f>_xll.LVCELL($DP$3,EC$3,$DP81,$DQ$2,$DP$4,$DP$5,$DP$6,$DP$7,$DP$8,$DQ$3)/100</f>
        <v>0.97</v>
      </c>
      <c r="ED81" s="582">
        <f t="shared" si="138"/>
        <v>11.64</v>
      </c>
      <c r="EF81" s="64" t="s">
        <v>387</v>
      </c>
      <c r="EG81" s="64" t="s">
        <v>387</v>
      </c>
      <c r="EH81" s="359" t="s">
        <v>486</v>
      </c>
      <c r="EI81" s="366" t="e">
        <f ca="1">_xll.LVCELL($EG$3,EI$3,$DP81,$DQ$2,$DP$4,$DP$5,$DP$6,$DP$7,$DP$8,$DQ$3)-CW81</f>
        <v>#NAME?</v>
      </c>
      <c r="EJ81" s="367" t="e">
        <f ca="1">_xll.LVCELL($EG$3,EJ$3,$DP81,$DQ$2,$DP$4,$DP$5,$DP$6,$DP$7,$DP$8,$DQ$3)-CX81</f>
        <v>#NAME?</v>
      </c>
      <c r="EK81" s="368" t="e">
        <f ca="1">_xll.LVCELL($EG$3,EK$3,$DP81,$DQ$2,$DP$4,$DP$5,$DP$6,$DP$7,$DP$8,$DQ$3)-CY81</f>
        <v>#NAME?</v>
      </c>
      <c r="EL81" s="367" t="e">
        <f ca="1">_xll.LVCELL($EG$3,EL$3,$DP81,$DQ$2,$DP$4,$DP$5,$DP$6,$DP$7,$DP$8,$DQ$3)-CZ81</f>
        <v>#NAME?</v>
      </c>
      <c r="EM81" s="368" t="e">
        <f ca="1">_xll.LVCELL($EG$3,EM$3,$DP81,$DQ$2,$DP$4,$DP$5,$DP$6,$DP$7,$DP$8,$DQ$3)-DA81</f>
        <v>#NAME?</v>
      </c>
      <c r="EN81" s="367" t="e">
        <f ca="1">_xll.LVCELL($EG$3,EN$3,$DP81,$DQ$2,$DP$4,$DP$5,$DP$6,$DP$7,$DP$8,$DQ$3)-DB81</f>
        <v>#NAME?</v>
      </c>
      <c r="EO81" s="368" t="e">
        <f ca="1">_xll.LVCELL($EG$3,EO$3,$DP81,$DQ$2,$DP$4,$DP$5,$DP$6,$DP$7,$DP$8,$DQ$3)-DC81</f>
        <v>#NAME?</v>
      </c>
      <c r="EP81" s="367" t="e">
        <f ca="1">_xll.LVCELL($EG$3,EP$3,$DP81,$DQ$2,$DP$4,$DP$5,$DP$6,$DP$7,$DP$8,$DQ$3)-DD81</f>
        <v>#NAME?</v>
      </c>
      <c r="EQ81" s="368" t="e">
        <f ca="1">_xll.LVCELL($EG$3,EQ$3,$DP81,$DQ$2,$DP$4,$DP$5,$DP$6,$DP$7,$DP$8,$DQ$3)-DE81</f>
        <v>#NAME?</v>
      </c>
      <c r="ER81" s="367" t="e">
        <f ca="1">_xll.LVCELL($EG$3,ER$3,$DP81,$DQ$2,$DP$4,$DP$5,$DP$6,$DP$7,$DP$8,$DQ$3)-DF81</f>
        <v>#NAME?</v>
      </c>
      <c r="ES81" s="368" t="e">
        <f ca="1">_xll.LVCELL($EG$3,ES$3,$DP81,$DQ$2,$DP$4,$DP$5,$DP$6,$DP$7,$DP$8,$DQ$3)-DG81</f>
        <v>#NAME?</v>
      </c>
      <c r="ET81" s="367" t="e">
        <f ca="1">_xll.LVCELL($EG$3,ET$3,$DP81,$DQ$2,$DP$4,$DP$5,$DP$6,$DP$7,$DP$8,$DQ$3)-DH81</f>
        <v>#NAME?</v>
      </c>
      <c r="EW81" s="64" t="s">
        <v>387</v>
      </c>
      <c r="EX81" s="64" t="s">
        <v>387</v>
      </c>
      <c r="EY81" s="359" t="s">
        <v>486</v>
      </c>
      <c r="EZ81" s="364">
        <f>_xll.LVCELL($EX$3,EZ$3,$DP81,$DQ$2,$DP$4,$DP$5,$DP$6,$DP$7,$DP$8,$DQ$3)</f>
        <v>12500</v>
      </c>
      <c r="FA81" s="364">
        <f>_xll.LVCELL($EX$3,FA$3,$DP81,$DQ$2,$DP$4,$DP$5,$DP$6,$DP$7,$DP$8,$DQ$3)</f>
        <v>12500</v>
      </c>
      <c r="FB81" s="364">
        <f>_xll.LVCELL($EX$3,FB$3,$DP81,$DQ$2,$DP$4,$DP$5,$DP$6,$DP$7,$DP$8,$DQ$3)</f>
        <v>12500</v>
      </c>
      <c r="FC81" s="364">
        <f>_xll.LVCELL($EX$3,FC$3,$DP81,$DQ$2,$DP$4,$DP$5,$DP$6,$DP$7,$DP$8,$DQ$3)</f>
        <v>12500</v>
      </c>
      <c r="FD81" s="364">
        <f>_xll.LVCELL($EX$3,FD$3,$DP81,$DQ$2,$DP$4,$DP$5,$DP$6,$DP$7,$DP$8,$DQ$3)</f>
        <v>12500</v>
      </c>
      <c r="FE81" s="364">
        <f>_xll.LVCELL($EX$3,FE$3,$DP81,$DQ$2,$DP$4,$DP$5,$DP$6,$DP$7,$DP$8,$DQ$3)</f>
        <v>12500</v>
      </c>
      <c r="FF81" s="364">
        <f>_xll.LVCELL($EX$3,FF$3,$DP81,$DQ$2,$DP$4,$DP$5,$DP$6,$DP$7,$DP$8,$DQ$3)</f>
        <v>12500</v>
      </c>
      <c r="FG81" s="364">
        <f>_xll.LVCELL($EX$3,FG$3,$DP81,$DQ$2,$DP$4,$DP$5,$DP$6,$DP$7,$DP$8,$DQ$3)</f>
        <v>12500</v>
      </c>
      <c r="FH81" s="364">
        <f>_xll.LVCELL($EX$3,FH$3,$DP81,$DQ$2,$DP$4,$DP$5,$DP$6,$DP$7,$DP$8,$DQ$3)</f>
        <v>12500</v>
      </c>
      <c r="FI81" s="364">
        <f>_xll.LVCELL($EX$3,FI$3,$DP81,$DQ$2,$DP$4,$DP$5,$DP$6,$DP$7,$DP$8,$DQ$3)</f>
        <v>12500</v>
      </c>
      <c r="FJ81" s="364">
        <f>_xll.LVCELL($EX$3,FJ$3,$DP81,$DQ$2,$DP$4,$DP$5,$DP$6,$DP$7,$DP$8,$DQ$3)</f>
        <v>12500</v>
      </c>
      <c r="FK81" s="276">
        <f>_xll.LVCELL($EX$3,FK$3,$DP81,$DQ$2,$DP$4,$DP$5,$DP$6,$DP$7,$DP$8,$DQ$3)</f>
        <v>12500</v>
      </c>
      <c r="FN81" s="64" t="s">
        <v>387</v>
      </c>
      <c r="FO81" s="64" t="s">
        <v>387</v>
      </c>
      <c r="FP81" s="359" t="s">
        <v>486</v>
      </c>
      <c r="FQ81" s="364">
        <f>_xll.LVCELL($FO$3,FQ$3,$DP81,$DQ$2,$DP$4,$DP$5,$DP$6,$DP$7,$DP$8,$DQ$3)</f>
        <v>5</v>
      </c>
      <c r="FR81" s="364">
        <f>_xll.LVCELL($FO$3,FR$3,$DP81,$DQ$2,$DP$4,$DP$5,$DP$6,$DP$7,$DP$8,$DQ$3)</f>
        <v>5</v>
      </c>
      <c r="FS81" s="364">
        <f>_xll.LVCELL($FO$3,FS$3,$DP81,$DQ$2,$DP$4,$DP$5,$DP$6,$DP$7,$DP$8,$DQ$3)</f>
        <v>5</v>
      </c>
      <c r="FT81" s="364">
        <f>_xll.LVCELL($FO$3,FT$3,$DP81,$DQ$2,$DP$4,$DP$5,$DP$6,$DP$7,$DP$8,$DQ$3)</f>
        <v>5</v>
      </c>
      <c r="FU81" s="364">
        <f>_xll.LVCELL($FO$3,FU$3,$DP81,$DQ$2,$DP$4,$DP$5,$DP$6,$DP$7,$DP$8,$DQ$3)</f>
        <v>5</v>
      </c>
      <c r="FV81" s="364">
        <f>_xll.LVCELL($FO$3,FV$3,$DP81,$DQ$2,$DP$4,$DP$5,$DP$6,$DP$7,$DP$8,$DQ$3)</f>
        <v>5</v>
      </c>
      <c r="FW81" s="364">
        <f>_xll.LVCELL($FO$3,FW$3,$DP81,$DQ$2,$DP$4,$DP$5,$DP$6,$DP$7,$DP$8,$DQ$3)</f>
        <v>5</v>
      </c>
      <c r="FX81" s="364">
        <f>_xll.LVCELL($FO$3,FX$3,$DP81,$DQ$2,$DP$4,$DP$5,$DP$6,$DP$7,$DP$8,$DQ$3)</f>
        <v>5</v>
      </c>
      <c r="FY81" s="364">
        <f>_xll.LVCELL($FO$3,FY$3,$DP81,$DQ$2,$DP$4,$DP$5,$DP$6,$DP$7,$DP$8,$DQ$3)</f>
        <v>5</v>
      </c>
      <c r="FZ81" s="364">
        <f>_xll.LVCELL($FO$3,FZ$3,$DP81,$DQ$2,$DP$4,$DP$5,$DP$6,$DP$7,$DP$8,$DQ$3)</f>
        <v>5</v>
      </c>
      <c r="GA81" s="364">
        <f>_xll.LVCELL($FO$3,GA$3,$DP81,$DQ$2,$DP$4,$DP$5,$DP$6,$DP$7,$DP$8,$DQ$3)</f>
        <v>5</v>
      </c>
      <c r="GB81" s="172">
        <f>_xll.LVCELL($FO$3,GB$3,$DP81,$DQ$2,$DP$4,$DP$5,$DP$6,$DP$7,$DP$8,$DQ$3)</f>
        <v>5</v>
      </c>
    </row>
    <row r="82" spans="2:184" ht="15">
      <c r="B82" s="64" t="s">
        <v>386</v>
      </c>
      <c r="C82" s="64" t="s">
        <v>386</v>
      </c>
      <c r="D82" s="293" t="s">
        <v>569</v>
      </c>
      <c r="E82" s="357">
        <f>_xll.LVCELL($C$3,Q$3,$C82,$D$2,$C$4,$C$5,$C$6,$C$7,$C$8,$D$3)/1000</f>
        <v>15</v>
      </c>
      <c r="F82" s="103">
        <f>'distribution mensuelle Prod B22'!$BV$36</f>
        <v>3032281.6603530585</v>
      </c>
      <c r="G82" s="103">
        <f>'distribution mensuelle Prod B22'!$BV$37</f>
        <v>2473371.7644283497</v>
      </c>
      <c r="H82" s="103">
        <f>'distribution mensuelle Prod B22'!$BV$38</f>
        <v>2339826.2788870651</v>
      </c>
      <c r="I82" s="103">
        <f>'distribution mensuelle Prod B22'!$BV$39</f>
        <v>1819128.6348554122</v>
      </c>
      <c r="J82" s="103">
        <f>'distribution mensuelle Prod B22'!$BV$40</f>
        <v>1754994.1932595095</v>
      </c>
      <c r="K82" s="103">
        <f>'distribution mensuelle Prod B22'!$BV$41</f>
        <v>1373336.9964746444</v>
      </c>
      <c r="L82" s="103">
        <f>'distribution mensuelle Prod B22'!$BV$42</f>
        <v>1364120.5748572713</v>
      </c>
      <c r="M82" s="103">
        <f>'distribution mensuelle Prod B22'!$BV$43</f>
        <v>1386000.0360991512</v>
      </c>
      <c r="N82" s="103">
        <f>'distribution mensuelle Prod B22'!$BV$44</f>
        <v>1662901.2699286477</v>
      </c>
      <c r="O82" s="103">
        <f>'distribution mensuelle Prod B22'!$BV$45</f>
        <v>2414334.7144675218</v>
      </c>
      <c r="P82" s="103">
        <f>'distribution mensuelle Prod B22'!$BV$46</f>
        <v>2472651.165061878</v>
      </c>
      <c r="Q82" s="103">
        <f>'distribution mensuelle Prod B22'!$BV$47</f>
        <v>2901596.2296920982</v>
      </c>
      <c r="R82" s="67">
        <f t="shared" si="92"/>
        <v>24994543.518364605</v>
      </c>
      <c r="S82" s="759"/>
      <c r="W82" s="113" t="str">
        <f t="shared" si="93"/>
        <v>E6370</v>
      </c>
      <c r="X82" s="359" t="str">
        <f t="shared" si="94"/>
        <v>Val au Moines 1</v>
      </c>
      <c r="Y82" s="299" cm="1">
        <f t="array" ref="Y82">_xll.LVCELL($D$4,F$1,$B82,$D$2,$C$4,$C$5,$C$6,$C$7,$C$8,$D$3)*1000+_xll.LVCELL($D$5,F$1,$B82,$D$2,$C$4,$C$5,$C$6,$C$7,$C$8,$D$3)*1000</f>
        <v>86.739993999999996</v>
      </c>
      <c r="Z82" s="299" cm="1">
        <f t="array" ref="Z82">_xll.LVCELL($D$4,G$1,$B82,$D$2,$C$4,$C$5,$C$6,$C$7,$C$8,$D$3)*1000+_xll.LVCELL($D$5,G$1,$B82,$D$2,$C$4,$C$5,$C$6,$C$7,$C$8,$D$3)*1000</f>
        <v>86.739993999999996</v>
      </c>
      <c r="AA82" s="299" cm="1">
        <f t="array" ref="AA82">_xll.LVCELL($D$4,H$1,$B82,$D$2,$C$4,$C$5,$C$6,$C$7,$C$8,$D$3)*1000+_xll.LVCELL($D$5,H$1,$B82,$D$2,$C$4,$C$5,$C$6,$C$7,$C$8,$D$3)*1000</f>
        <v>86.740014981117014</v>
      </c>
      <c r="AB82" s="299" cm="1">
        <f t="array" ref="AB82">_xll.LVCELL($D$4,I$1,$B82,$D$2,$C$4,$C$5,$C$6,$C$7,$C$8,$D$3)*1000+_xll.LVCELL($D$5,I$1,$B82,$D$2,$C$4,$C$5,$C$6,$C$7,$C$8,$D$3)*1000</f>
        <v>86.740007153515336</v>
      </c>
      <c r="AC82" s="299" cm="1">
        <f t="array" ref="AC82">_xll.LVCELL($D$4,J$1,$B82,$D$2,$C$4,$C$5,$C$6,$C$7,$C$8,$D$3)*1000+_xll.LVCELL($D$5,J$1,$B82,$D$2,$C$4,$C$5,$C$6,$C$7,$C$8,$D$3)*1000</f>
        <v>86.739985264731189</v>
      </c>
      <c r="AD82" s="299" cm="1">
        <f t="array" ref="AD82">_xll.LVCELL($D$4,K$1,$B82,$D$2,$C$4,$C$5,$C$6,$C$7,$C$8,$D$3)*1000+_xll.LVCELL($D$5,K$1,$B82,$D$2,$C$4,$C$5,$C$6,$C$7,$C$8,$D$3)*1000</f>
        <v>86.740024207905535</v>
      </c>
      <c r="AE82" s="299" cm="1">
        <f t="array" ref="AE82">_xll.LVCELL($D$4,L$1,$B82,$D$2,$C$4,$C$5,$C$6,$C$7,$C$8,$D$3)*1000+_xll.LVCELL($D$5,L$1,$B82,$D$2,$C$4,$C$5,$C$6,$C$7,$C$8,$D$3)*1000</f>
        <v>86.739991483386348</v>
      </c>
      <c r="AF82" s="299">
        <f>$AD$82</f>
        <v>86.740024207905535</v>
      </c>
      <c r="AG82" s="299">
        <f t="shared" si="53"/>
        <v>86.740024207905535</v>
      </c>
      <c r="AH82" s="299">
        <f t="shared" si="53"/>
        <v>86.740024207905535</v>
      </c>
      <c r="AI82" s="411">
        <f t="shared" si="54"/>
        <v>88.735044764687359</v>
      </c>
      <c r="AJ82" s="412">
        <f t="shared" si="55"/>
        <v>88.735044764687359</v>
      </c>
      <c r="AK82" s="414"/>
      <c r="AL82" s="134">
        <f t="shared" si="95"/>
        <v>2.3E-2</v>
      </c>
      <c r="AM82" s="134"/>
      <c r="AN82" s="134"/>
      <c r="AO82" s="134"/>
      <c r="AP82" s="113" t="str">
        <f t="shared" si="132"/>
        <v>E6370</v>
      </c>
      <c r="AQ82" s="567" t="str">
        <f t="shared" si="133"/>
        <v>Val au Moines 1</v>
      </c>
      <c r="AR82" s="377"/>
      <c r="AS82" s="377"/>
      <c r="AT82" s="377"/>
      <c r="AU82" s="377"/>
      <c r="AV82" s="377"/>
      <c r="AW82" s="377"/>
      <c r="AX82" s="377"/>
      <c r="AY82" s="377"/>
      <c r="AZ82" s="377"/>
      <c r="BA82" s="377"/>
      <c r="BB82" s="377"/>
      <c r="BC82" s="378"/>
      <c r="BD82" s="414"/>
      <c r="BE82" s="134"/>
      <c r="BF82" s="134"/>
      <c r="BG82" s="134"/>
      <c r="BH82" s="134"/>
      <c r="BI82" s="113" t="str">
        <f t="shared" si="134"/>
        <v>E6370</v>
      </c>
      <c r="BJ82" s="567" t="str">
        <f t="shared" si="135"/>
        <v>Val au Moines 1</v>
      </c>
      <c r="BK82" s="411">
        <f t="shared" si="96"/>
        <v>88.735044764687359</v>
      </c>
      <c r="BL82" s="411">
        <f t="shared" si="96"/>
        <v>88.735044764687359</v>
      </c>
      <c r="BM82" s="411">
        <f t="shared" si="96"/>
        <v>88.735044764687359</v>
      </c>
      <c r="BN82" s="411">
        <f t="shared" si="96"/>
        <v>88.735044764687359</v>
      </c>
      <c r="BO82" s="411">
        <f t="shared" si="96"/>
        <v>88.735044764687359</v>
      </c>
      <c r="BP82" s="411">
        <f t="shared" si="96"/>
        <v>88.735044764687359</v>
      </c>
      <c r="BQ82" s="411">
        <f t="shared" si="96"/>
        <v>88.735044764687359</v>
      </c>
      <c r="BR82" s="411">
        <f t="shared" si="96"/>
        <v>88.735044764687359</v>
      </c>
      <c r="BS82" s="411">
        <f t="shared" si="96"/>
        <v>88.735044764687359</v>
      </c>
      <c r="BT82" s="411">
        <f t="shared" si="96"/>
        <v>88.735044764687359</v>
      </c>
      <c r="BU82" s="411">
        <f t="shared" si="97"/>
        <v>90.775950794275161</v>
      </c>
      <c r="BV82" s="412">
        <f t="shared" si="98"/>
        <v>90.775950794275161</v>
      </c>
      <c r="BW82" s="414"/>
      <c r="BX82" s="134"/>
      <c r="BY82" s="134"/>
      <c r="BZ82" s="134"/>
      <c r="CA82" s="134"/>
      <c r="CB82" s="113" t="str">
        <f t="shared" si="99"/>
        <v>E6370</v>
      </c>
      <c r="CC82" s="373" t="str">
        <f t="shared" si="100"/>
        <v>Val au Moines 1</v>
      </c>
      <c r="CD82" s="411">
        <f t="shared" si="136"/>
        <v>88.735044764687359</v>
      </c>
      <c r="CE82" s="411">
        <f t="shared" si="101"/>
        <v>88.735044764687359</v>
      </c>
      <c r="CF82" s="411">
        <f t="shared" si="102"/>
        <v>88.735044764687359</v>
      </c>
      <c r="CG82" s="411">
        <f t="shared" si="103"/>
        <v>88.735044764687359</v>
      </c>
      <c r="CH82" s="411">
        <f t="shared" si="104"/>
        <v>88.735044764687359</v>
      </c>
      <c r="CI82" s="411">
        <f t="shared" si="105"/>
        <v>88.735044764687359</v>
      </c>
      <c r="CJ82" s="411">
        <f t="shared" si="106"/>
        <v>88.735044764687359</v>
      </c>
      <c r="CK82" s="411">
        <f t="shared" si="107"/>
        <v>88.735044764687359</v>
      </c>
      <c r="CL82" s="411">
        <f t="shared" si="108"/>
        <v>88.735044764687359</v>
      </c>
      <c r="CM82" s="411">
        <f t="shared" si="109"/>
        <v>88.735044764687359</v>
      </c>
      <c r="CN82" s="411">
        <f t="shared" si="110"/>
        <v>90.775950794275161</v>
      </c>
      <c r="CO82" s="412">
        <f t="shared" si="111"/>
        <v>90.775950794275161</v>
      </c>
      <c r="CP82" s="414"/>
      <c r="CQ82" s="134">
        <f t="shared" si="112"/>
        <v>4.0000000000000001E-3</v>
      </c>
      <c r="CU82" s="113" t="str">
        <f t="shared" si="113"/>
        <v>E6370</v>
      </c>
      <c r="CV82" s="373" t="str">
        <f t="shared" si="114"/>
        <v>Val au Moines 1</v>
      </c>
      <c r="CW82" s="384">
        <f t="shared" si="115"/>
        <v>269069.64887056913</v>
      </c>
      <c r="CX82" s="298">
        <f t="shared" si="116"/>
        <v>219474.75423626334</v>
      </c>
      <c r="CY82" s="298">
        <f t="shared" si="117"/>
        <v>207624.58959863556</v>
      </c>
      <c r="CZ82" s="298">
        <f t="shared" si="118"/>
        <v>161420.46084661959</v>
      </c>
      <c r="DA82" s="298">
        <f t="shared" si="119"/>
        <v>155729.48830064895</v>
      </c>
      <c r="DB82" s="298">
        <f t="shared" si="120"/>
        <v>121863.11985917886</v>
      </c>
      <c r="DC82" s="298">
        <f t="shared" si="121"/>
        <v>121045.30027439102</v>
      </c>
      <c r="DD82" s="298">
        <f t="shared" si="122"/>
        <v>122986.77524711647</v>
      </c>
      <c r="DE82" s="298">
        <f t="shared" si="123"/>
        <v>147557.61862637399</v>
      </c>
      <c r="DF82" s="298">
        <f t="shared" si="124"/>
        <v>214236.09896521422</v>
      </c>
      <c r="DG82" s="371">
        <f t="shared" si="125"/>
        <v>224457.2604910642</v>
      </c>
      <c r="DH82" s="372">
        <f t="shared" si="126"/>
        <v>263395.15657138423</v>
      </c>
      <c r="DI82" s="67">
        <f t="shared" si="127"/>
        <v>2228860.2718874598</v>
      </c>
      <c r="DJ82" s="364">
        <f>_xll.LVCELL($E$1,Q$2,$C82,$D$2,$C$4,$C$5,$C$6,$C$7,$C$8,$D$3)+_xll.LVCELL($E$2,Q$2,$C82,$D$2,$C$4,$C$5,$C$6,$C$7,$C$8,$D$3)</f>
        <v>3281161.705533341</v>
      </c>
      <c r="DK82" s="82">
        <f t="shared" si="137"/>
        <v>-1052301.4336458812</v>
      </c>
      <c r="DM82" s="518">
        <f t="shared" si="128"/>
        <v>89.173873899710031</v>
      </c>
      <c r="DO82" s="64" t="str">
        <f t="shared" si="129"/>
        <v>E6370</v>
      </c>
      <c r="DP82" s="64" t="str">
        <f t="shared" si="130"/>
        <v>E6370</v>
      </c>
      <c r="DQ82" s="359" t="str">
        <f t="shared" si="131"/>
        <v>Val au Moines 1</v>
      </c>
      <c r="DR82" s="365">
        <f>_xll.LVCELL($DP$3,DR$3,$DP82,$DQ$2,$DP$4,$DP$5,$DP$6,$DP$7,$DP$8,$DQ$3)/100</f>
        <v>0.97</v>
      </c>
      <c r="DS82" s="365">
        <f>_xll.LVCELL($DP$3,DS$3,$DP82,$DQ$2,$DP$4,$DP$5,$DP$6,$DP$7,$DP$8,$DQ$3)/100</f>
        <v>0.97</v>
      </c>
      <c r="DT82" s="365">
        <f>_xll.LVCELL($DP$3,DT$3,$DP82,$DQ$2,$DP$4,$DP$5,$DP$6,$DP$7,$DP$8,$DQ$3)/100</f>
        <v>0.97</v>
      </c>
      <c r="DU82" s="365">
        <f>_xll.LVCELL($DP$3,DU$3,$DP82,$DQ$2,$DP$4,$DP$5,$DP$6,$DP$7,$DP$8,$DQ$3)/100</f>
        <v>0.97</v>
      </c>
      <c r="DV82" s="365">
        <f>_xll.LVCELL($DP$3,DV$3,$DP82,$DQ$2,$DP$4,$DP$5,$DP$6,$DP$7,$DP$8,$DQ$3)/100</f>
        <v>0.97</v>
      </c>
      <c r="DW82" s="365">
        <f>_xll.LVCELL($DP$3,DW$3,$DP82,$DQ$2,$DP$4,$DP$5,$DP$6,$DP$7,$DP$8,$DQ$3)/100</f>
        <v>0.97</v>
      </c>
      <c r="DX82" s="365">
        <f>_xll.LVCELL($DP$3,DX$3,$DP82,$DQ$2,$DP$4,$DP$5,$DP$6,$DP$7,$DP$8,$DQ$3)/100</f>
        <v>0.97</v>
      </c>
      <c r="DY82" s="365">
        <f>_xll.LVCELL($DP$3,DY$3,$DP82,$DQ$2,$DP$4,$DP$5,$DP$6,$DP$7,$DP$8,$DQ$3)/100</f>
        <v>0.97</v>
      </c>
      <c r="DZ82" s="365">
        <f>_xll.LVCELL($DP$3,DZ$3,$DP82,$DQ$2,$DP$4,$DP$5,$DP$6,$DP$7,$DP$8,$DQ$3)/100</f>
        <v>0.97</v>
      </c>
      <c r="EA82" s="365">
        <f>_xll.LVCELL($DP$3,EA$3,$DP82,$DQ$2,$DP$4,$DP$5,$DP$6,$DP$7,$DP$8,$DQ$3)/100</f>
        <v>0.97</v>
      </c>
      <c r="EB82" s="365">
        <f>_xll.LVCELL($DP$3,EB$3,$DP82,$DQ$2,$DP$4,$DP$5,$DP$6,$DP$7,$DP$8,$DQ$3)/100</f>
        <v>0.97</v>
      </c>
      <c r="EC82" s="365">
        <f>_xll.LVCELL($DP$3,EC$3,$DP82,$DQ$2,$DP$4,$DP$5,$DP$6,$DP$7,$DP$8,$DQ$3)/100</f>
        <v>0.97</v>
      </c>
      <c r="ED82" s="582">
        <f t="shared" si="138"/>
        <v>11.64</v>
      </c>
      <c r="EF82" s="64" t="s">
        <v>386</v>
      </c>
      <c r="EG82" s="64" t="s">
        <v>386</v>
      </c>
      <c r="EH82" s="359" t="s">
        <v>2638</v>
      </c>
      <c r="EI82" s="366" t="e">
        <f ca="1">_xll.LVCELL($EG$3,EI$3,$DP82,$DQ$2,$DP$4,$DP$5,$DP$6,$DP$7,$DP$8,$DQ$3)-CW82-CW83</f>
        <v>#NAME?</v>
      </c>
      <c r="EJ82" s="367" t="e">
        <f ca="1">_xll.LVCELL($EG$3,EJ$3,$DP82,$DQ$2,$DP$4,$DP$5,$DP$6,$DP$7,$DP$8,$DQ$3)-CX82-CX83</f>
        <v>#NAME?</v>
      </c>
      <c r="EK82" s="368" t="e">
        <f ca="1">_xll.LVCELL($EG$3,EK$3,$DP82,$DQ$2,$DP$4,$DP$5,$DP$6,$DP$7,$DP$8,$DQ$3)-CY82-CY83</f>
        <v>#NAME?</v>
      </c>
      <c r="EL82" s="367" t="e">
        <f ca="1">_xll.LVCELL($EG$3,EL$3,$DP82,$DQ$2,$DP$4,$DP$5,$DP$6,$DP$7,$DP$8,$DQ$3)-CZ82-CZ83</f>
        <v>#NAME?</v>
      </c>
      <c r="EM82" s="368" t="e">
        <f ca="1">_xll.LVCELL($EG$3,EM$3,$DP82,$DQ$2,$DP$4,$DP$5,$DP$6,$DP$7,$DP$8,$DQ$3)-DA82-DA83</f>
        <v>#NAME?</v>
      </c>
      <c r="EN82" s="367" t="e">
        <f ca="1">_xll.LVCELL($EG$3,EN$3,$DP82,$DQ$2,$DP$4,$DP$5,$DP$6,$DP$7,$DP$8,$DQ$3)-DB82-DB83</f>
        <v>#NAME?</v>
      </c>
      <c r="EO82" s="368" t="e">
        <f ca="1">_xll.LVCELL($EG$3,EO$3,$DP82,$DQ$2,$DP$4,$DP$5,$DP$6,$DP$7,$DP$8,$DQ$3)-DC82-DC83</f>
        <v>#NAME?</v>
      </c>
      <c r="EP82" s="367" t="e">
        <f ca="1">_xll.LVCELL($EG$3,EP$3,$DP82,$DQ$2,$DP$4,$DP$5,$DP$6,$DP$7,$DP$8,$DQ$3)-DD82-DD83</f>
        <v>#NAME?</v>
      </c>
      <c r="EQ82" s="368" t="e">
        <f ca="1">_xll.LVCELL($EG$3,EQ$3,$DP82,$DQ$2,$DP$4,$DP$5,$DP$6,$DP$7,$DP$8,$DQ$3)-DE82-DE83</f>
        <v>#NAME?</v>
      </c>
      <c r="ER82" s="367" t="e">
        <f ca="1">_xll.LVCELL($EG$3,ER$3,$DP82,$DQ$2,$DP$4,$DP$5,$DP$6,$DP$7,$DP$8,$DQ$3)-DF82-DF83</f>
        <v>#NAME?</v>
      </c>
      <c r="ES82" s="368" t="e">
        <f ca="1">_xll.LVCELL($EG$3,ES$3,$DP82,$DQ$2,$DP$4,$DP$5,$DP$6,$DP$7,$DP$8,$DQ$3)-DG82-DG83</f>
        <v>#NAME?</v>
      </c>
      <c r="ET82" s="367" t="e">
        <f ca="1">_xll.LVCELL($EG$3,ET$3,$DP82,$DQ$2,$DP$4,$DP$5,$DP$6,$DP$7,$DP$8,$DQ$3)-DH82-DH83</f>
        <v>#NAME?</v>
      </c>
      <c r="EW82" s="64" t="s">
        <v>386</v>
      </c>
      <c r="EX82" s="64" t="s">
        <v>386</v>
      </c>
      <c r="EY82" s="359" t="s">
        <v>2638</v>
      </c>
      <c r="EZ82" s="364">
        <f>_xll.LVCELL($EX$3,EZ$3,$DP82,$DQ$2,$DP$4,$DP$5,$DP$6,$DP$7,$DP$8,$DQ$3)</f>
        <v>15000</v>
      </c>
      <c r="FA82" s="364">
        <f>_xll.LVCELL($EX$3,FA$3,$DP82,$DQ$2,$DP$4,$DP$5,$DP$6,$DP$7,$DP$8,$DQ$3)</f>
        <v>15000</v>
      </c>
      <c r="FB82" s="364">
        <f>_xll.LVCELL($EX$3,FB$3,$DP82,$DQ$2,$DP$4,$DP$5,$DP$6,$DP$7,$DP$8,$DQ$3)</f>
        <v>15000</v>
      </c>
      <c r="FC82" s="364">
        <f>_xll.LVCELL($EX$3,FC$3,$DP82,$DQ$2,$DP$4,$DP$5,$DP$6,$DP$7,$DP$8,$DQ$3)</f>
        <v>15000</v>
      </c>
      <c r="FD82" s="364">
        <f>_xll.LVCELL($EX$3,FD$3,$DP82,$DQ$2,$DP$4,$DP$5,$DP$6,$DP$7,$DP$8,$DQ$3)</f>
        <v>15000</v>
      </c>
      <c r="FE82" s="364">
        <f>_xll.LVCELL($EX$3,FE$3,$DP82,$DQ$2,$DP$4,$DP$5,$DP$6,$DP$7,$DP$8,$DQ$3)</f>
        <v>15000</v>
      </c>
      <c r="FF82" s="364">
        <f>_xll.LVCELL($EX$3,FF$3,$DP82,$DQ$2,$DP$4,$DP$5,$DP$6,$DP$7,$DP$8,$DQ$3)</f>
        <v>15000</v>
      </c>
      <c r="FG82" s="364">
        <f>_xll.LVCELL($EX$3,FG$3,$DP82,$DQ$2,$DP$4,$DP$5,$DP$6,$DP$7,$DP$8,$DQ$3)</f>
        <v>15000</v>
      </c>
      <c r="FH82" s="364">
        <f>_xll.LVCELL($EX$3,FH$3,$DP82,$DQ$2,$DP$4,$DP$5,$DP$6,$DP$7,$DP$8,$DQ$3)</f>
        <v>15000</v>
      </c>
      <c r="FI82" s="364">
        <f>_xll.LVCELL($EX$3,FI$3,$DP82,$DQ$2,$DP$4,$DP$5,$DP$6,$DP$7,$DP$8,$DQ$3)</f>
        <v>15000</v>
      </c>
      <c r="FJ82" s="364">
        <f>_xll.LVCELL($EX$3,FJ$3,$DP82,$DQ$2,$DP$4,$DP$5,$DP$6,$DP$7,$DP$8,$DQ$3)</f>
        <v>15000</v>
      </c>
      <c r="FK82" s="276">
        <f>_xll.LVCELL($EX$3,FK$3,$DP82,$DQ$2,$DP$4,$DP$5,$DP$6,$DP$7,$DP$8,$DQ$3)</f>
        <v>15000</v>
      </c>
      <c r="FN82" s="64" t="s">
        <v>386</v>
      </c>
      <c r="FO82" s="64" t="s">
        <v>386</v>
      </c>
      <c r="FP82" s="359" t="s">
        <v>2638</v>
      </c>
      <c r="FQ82" s="364">
        <f>_xll.LVCELL($FO$3,FQ$3,$DP82,$DQ$2,$DP$4,$DP$5,$DP$6,$DP$7,$DP$8,$DQ$3)</f>
        <v>6</v>
      </c>
      <c r="FR82" s="364">
        <f>_xll.LVCELL($FO$3,FR$3,$DP82,$DQ$2,$DP$4,$DP$5,$DP$6,$DP$7,$DP$8,$DQ$3)</f>
        <v>6</v>
      </c>
      <c r="FS82" s="364">
        <f>_xll.LVCELL($FO$3,FS$3,$DP82,$DQ$2,$DP$4,$DP$5,$DP$6,$DP$7,$DP$8,$DQ$3)</f>
        <v>6</v>
      </c>
      <c r="FT82" s="364">
        <f>_xll.LVCELL($FO$3,FT$3,$DP82,$DQ$2,$DP$4,$DP$5,$DP$6,$DP$7,$DP$8,$DQ$3)</f>
        <v>6</v>
      </c>
      <c r="FU82" s="364">
        <f>_xll.LVCELL($FO$3,FU$3,$DP82,$DQ$2,$DP$4,$DP$5,$DP$6,$DP$7,$DP$8,$DQ$3)</f>
        <v>6</v>
      </c>
      <c r="FV82" s="364">
        <f>_xll.LVCELL($FO$3,FV$3,$DP82,$DQ$2,$DP$4,$DP$5,$DP$6,$DP$7,$DP$8,$DQ$3)</f>
        <v>6</v>
      </c>
      <c r="FW82" s="364">
        <f>_xll.LVCELL($FO$3,FW$3,$DP82,$DQ$2,$DP$4,$DP$5,$DP$6,$DP$7,$DP$8,$DQ$3)</f>
        <v>6</v>
      </c>
      <c r="FX82" s="364">
        <f>_xll.LVCELL($FO$3,FX$3,$DP82,$DQ$2,$DP$4,$DP$5,$DP$6,$DP$7,$DP$8,$DQ$3)</f>
        <v>6</v>
      </c>
      <c r="FY82" s="364">
        <f>_xll.LVCELL($FO$3,FY$3,$DP82,$DQ$2,$DP$4,$DP$5,$DP$6,$DP$7,$DP$8,$DQ$3)</f>
        <v>6</v>
      </c>
      <c r="FZ82" s="364">
        <f>_xll.LVCELL($FO$3,FZ$3,$DP82,$DQ$2,$DP$4,$DP$5,$DP$6,$DP$7,$DP$8,$DQ$3)</f>
        <v>6</v>
      </c>
      <c r="GA82" s="364">
        <f>_xll.LVCELL($FO$3,GA$3,$DP82,$DQ$2,$DP$4,$DP$5,$DP$6,$DP$7,$DP$8,$DQ$3)</f>
        <v>6</v>
      </c>
      <c r="GB82" s="172">
        <f>_xll.LVCELL($FO$3,GB$3,$DP82,$DQ$2,$DP$4,$DP$5,$DP$6,$DP$7,$DP$8,$DQ$3)</f>
        <v>6</v>
      </c>
    </row>
    <row r="83" spans="2:184" ht="15">
      <c r="B83" s="64" t="s">
        <v>386</v>
      </c>
      <c r="C83" s="64" t="s">
        <v>386</v>
      </c>
      <c r="D83" s="293" t="s">
        <v>570</v>
      </c>
      <c r="E83" s="357"/>
      <c r="F83" s="103">
        <f>'distribution mensuelle Prod B22'!$BW$36</f>
        <v>1431617.0922795031</v>
      </c>
      <c r="G83" s="103">
        <f>'distribution mensuelle Prod B22'!$BW$37</f>
        <v>1167741.5524469642</v>
      </c>
      <c r="H83" s="103">
        <f>'distribution mensuelle Prod B22'!$BW$38</f>
        <v>1104691.3410509001</v>
      </c>
      <c r="I83" s="103">
        <f>'distribution mensuelle Prod B22'!$BW$39</f>
        <v>858856.7746740455</v>
      </c>
      <c r="J83" s="103">
        <f>'distribution mensuelle Prod B22'!$BW$40</f>
        <v>828577.27788686205</v>
      </c>
      <c r="K83" s="103">
        <f>'distribution mensuelle Prod B22'!$BW$41</f>
        <v>648387.23371890793</v>
      </c>
      <c r="L83" s="103">
        <f>'distribution mensuelle Prod B22'!$BW$42</f>
        <v>644035.92727874394</v>
      </c>
      <c r="M83" s="103">
        <f>'distribution mensuelle Prod B22'!$BW$43</f>
        <v>654365.77595121029</v>
      </c>
      <c r="N83" s="103">
        <f>'distribution mensuelle Prod B22'!$BW$44</f>
        <v>785097.87264483818</v>
      </c>
      <c r="O83" s="103">
        <f>'distribution mensuelle Prod B22'!$BW$45</f>
        <v>1139868.6635571374</v>
      </c>
      <c r="P83" s="103">
        <f>'distribution mensuelle Prod B22'!$BW$46</f>
        <v>1167401.3392064809</v>
      </c>
      <c r="Q83" s="103">
        <f>'distribution mensuelle Prod B22'!$BW$47</f>
        <v>1369917.1853439601</v>
      </c>
      <c r="R83" s="67">
        <f t="shared" si="92"/>
        <v>11800558.036039554</v>
      </c>
      <c r="S83" s="759"/>
      <c r="W83" s="113" t="str">
        <f t="shared" si="93"/>
        <v>E6370</v>
      </c>
      <c r="X83" s="359" t="str">
        <f t="shared" si="94"/>
        <v>Val au Moines 2</v>
      </c>
      <c r="Y83" s="299" cm="1">
        <f t="array" ref="Y83">_xll.LVCELL($D$4,F$1,$B83,$D$2,$C$4,$C$5,$C$6,$C$7,$C$8,$D$3)*1000+_xll.LVCELL($D$5,F$1,$B83,$D$2,$C$4,$C$5,$C$6,$C$7,$C$8,$D$3)*1000</f>
        <v>86.739993999999996</v>
      </c>
      <c r="Z83" s="299" cm="1">
        <f t="array" ref="Z83">_xll.LVCELL($D$4,G$1,$B83,$D$2,$C$4,$C$5,$C$6,$C$7,$C$8,$D$3)*1000+_xll.LVCELL($D$5,G$1,$B83,$D$2,$C$4,$C$5,$C$6,$C$7,$C$8,$D$3)*1000</f>
        <v>86.739993999999996</v>
      </c>
      <c r="AA83" s="299" cm="1">
        <f t="array" ref="AA83">_xll.LVCELL($D$4,H$1,$B83,$D$2,$C$4,$C$5,$C$6,$C$7,$C$8,$D$3)*1000+_xll.LVCELL($D$5,H$1,$B83,$D$2,$C$4,$C$5,$C$6,$C$7,$C$8,$D$3)*1000</f>
        <v>86.740014981117014</v>
      </c>
      <c r="AB83" s="299" cm="1">
        <f t="array" ref="AB83">_xll.LVCELL($D$4,I$1,$B83,$D$2,$C$4,$C$5,$C$6,$C$7,$C$8,$D$3)*1000+_xll.LVCELL($D$5,I$1,$B83,$D$2,$C$4,$C$5,$C$6,$C$7,$C$8,$D$3)*1000</f>
        <v>86.740007153515336</v>
      </c>
      <c r="AC83" s="299" cm="1">
        <f t="array" ref="AC83">_xll.LVCELL($D$4,J$1,$B83,$D$2,$C$4,$C$5,$C$6,$C$7,$C$8,$D$3)*1000+_xll.LVCELL($D$5,J$1,$B83,$D$2,$C$4,$C$5,$C$6,$C$7,$C$8,$D$3)*1000</f>
        <v>86.739985264731189</v>
      </c>
      <c r="AD83" s="299" cm="1">
        <f t="array" ref="AD83">_xll.LVCELL($D$4,K$1,$B83,$D$2,$C$4,$C$5,$C$6,$C$7,$C$8,$D$3)*1000+_xll.LVCELL($D$5,K$1,$B83,$D$2,$C$4,$C$5,$C$6,$C$7,$C$8,$D$3)*1000</f>
        <v>86.740024207905535</v>
      </c>
      <c r="AE83" s="299" cm="1">
        <f t="array" ref="AE83">_xll.LVCELL($D$4,L$1,$B83,$D$2,$C$4,$C$5,$C$6,$C$7,$C$8,$D$3)*1000+_xll.LVCELL($D$5,L$1,$B83,$D$2,$C$4,$C$5,$C$6,$C$7,$C$8,$D$3)*1000</f>
        <v>86.739991483386348</v>
      </c>
      <c r="AF83" s="299">
        <f>$AD$83</f>
        <v>86.740024207905535</v>
      </c>
      <c r="AG83" s="299">
        <f t="shared" si="53"/>
        <v>86.740024207905535</v>
      </c>
      <c r="AH83" s="299">
        <f t="shared" si="53"/>
        <v>86.740024207905535</v>
      </c>
      <c r="AI83" s="411">
        <f t="shared" si="54"/>
        <v>88.735044764687359</v>
      </c>
      <c r="AJ83" s="412">
        <f>AI83</f>
        <v>88.735044764687359</v>
      </c>
      <c r="AK83" s="414"/>
      <c r="AL83" s="134">
        <f t="shared" si="95"/>
        <v>2.3E-2</v>
      </c>
      <c r="AM83" s="134"/>
      <c r="AN83" s="134"/>
      <c r="AO83" s="134"/>
      <c r="AP83" s="113" t="str">
        <f t="shared" si="132"/>
        <v>E6370</v>
      </c>
      <c r="AQ83" s="567" t="str">
        <f t="shared" si="133"/>
        <v>Val au Moines 2</v>
      </c>
      <c r="AR83" s="377"/>
      <c r="AS83" s="377"/>
      <c r="AT83" s="377"/>
      <c r="AU83" s="377"/>
      <c r="AV83" s="377"/>
      <c r="AW83" s="377"/>
      <c r="AX83" s="377"/>
      <c r="AY83" s="377"/>
      <c r="AZ83" s="377"/>
      <c r="BA83" s="377"/>
      <c r="BB83" s="377"/>
      <c r="BC83" s="378"/>
      <c r="BD83" s="414"/>
      <c r="BE83" s="134"/>
      <c r="BF83" s="134"/>
      <c r="BG83" s="134"/>
      <c r="BH83" s="134"/>
      <c r="BI83" s="113" t="str">
        <f t="shared" si="134"/>
        <v>E6370</v>
      </c>
      <c r="BJ83" s="567" t="str">
        <f t="shared" si="135"/>
        <v>Val au Moines 2</v>
      </c>
      <c r="BK83" s="411">
        <f t="shared" si="96"/>
        <v>88.735044764687359</v>
      </c>
      <c r="BL83" s="411">
        <f t="shared" si="96"/>
        <v>88.735044764687359</v>
      </c>
      <c r="BM83" s="411">
        <f t="shared" si="96"/>
        <v>88.735044764687359</v>
      </c>
      <c r="BN83" s="411">
        <f t="shared" si="96"/>
        <v>88.735044764687359</v>
      </c>
      <c r="BO83" s="411">
        <f t="shared" si="96"/>
        <v>88.735044764687359</v>
      </c>
      <c r="BP83" s="411">
        <f t="shared" si="96"/>
        <v>88.735044764687359</v>
      </c>
      <c r="BQ83" s="411">
        <f t="shared" si="96"/>
        <v>88.735044764687359</v>
      </c>
      <c r="BR83" s="411">
        <f t="shared" si="96"/>
        <v>88.735044764687359</v>
      </c>
      <c r="BS83" s="411">
        <f t="shared" si="96"/>
        <v>88.735044764687359</v>
      </c>
      <c r="BT83" s="411">
        <f t="shared" si="96"/>
        <v>88.735044764687359</v>
      </c>
      <c r="BU83" s="411">
        <f t="shared" si="97"/>
        <v>90.775950794275161</v>
      </c>
      <c r="BV83" s="412">
        <f t="shared" si="98"/>
        <v>90.775950794275161</v>
      </c>
      <c r="BW83" s="414"/>
      <c r="BX83" s="134"/>
      <c r="BY83" s="134"/>
      <c r="BZ83" s="134"/>
      <c r="CA83" s="134"/>
      <c r="CB83" s="113" t="str">
        <f t="shared" si="99"/>
        <v>E6370</v>
      </c>
      <c r="CC83" s="373" t="str">
        <f t="shared" si="100"/>
        <v>Val au Moines 2</v>
      </c>
      <c r="CD83" s="411">
        <f t="shared" si="136"/>
        <v>88.735044764687359</v>
      </c>
      <c r="CE83" s="411">
        <f t="shared" si="101"/>
        <v>88.735044764687359</v>
      </c>
      <c r="CF83" s="411">
        <f t="shared" si="102"/>
        <v>88.735044764687359</v>
      </c>
      <c r="CG83" s="411">
        <f t="shared" si="103"/>
        <v>88.735044764687359</v>
      </c>
      <c r="CH83" s="411">
        <f t="shared" si="104"/>
        <v>88.735044764687359</v>
      </c>
      <c r="CI83" s="411">
        <f t="shared" si="105"/>
        <v>88.735044764687359</v>
      </c>
      <c r="CJ83" s="411">
        <f t="shared" si="106"/>
        <v>88.735044764687359</v>
      </c>
      <c r="CK83" s="411">
        <f t="shared" si="107"/>
        <v>88.735044764687359</v>
      </c>
      <c r="CL83" s="411">
        <f t="shared" si="108"/>
        <v>88.735044764687359</v>
      </c>
      <c r="CM83" s="411">
        <f t="shared" si="109"/>
        <v>88.735044764687359</v>
      </c>
      <c r="CN83" s="411">
        <f t="shared" si="110"/>
        <v>90.775950794275161</v>
      </c>
      <c r="CO83" s="412">
        <f t="shared" si="111"/>
        <v>90.775950794275161</v>
      </c>
      <c r="CP83" s="414"/>
      <c r="CQ83" s="134">
        <f t="shared" si="112"/>
        <v>4.0000000000000001E-3</v>
      </c>
      <c r="CU83" s="113" t="str">
        <f t="shared" si="113"/>
        <v>E6370</v>
      </c>
      <c r="CV83" s="373" t="str">
        <f t="shared" si="114"/>
        <v>Val au Moines 2</v>
      </c>
      <c r="CW83" s="384">
        <f t="shared" si="115"/>
        <v>127034.60676931325</v>
      </c>
      <c r="CX83" s="298">
        <f t="shared" si="116"/>
        <v>103619.59892996687</v>
      </c>
      <c r="CY83" s="298">
        <f t="shared" si="117"/>
        <v>98024.835599314116</v>
      </c>
      <c r="CZ83" s="298">
        <f t="shared" si="118"/>
        <v>76210.69434715643</v>
      </c>
      <c r="DA83" s="298">
        <f t="shared" si="119"/>
        <v>73523.841844293493</v>
      </c>
      <c r="DB83" s="298">
        <f t="shared" si="120"/>
        <v>57534.670208899093</v>
      </c>
      <c r="DC83" s="298">
        <f t="shared" si="121"/>
        <v>57148.556837146272</v>
      </c>
      <c r="DD83" s="298">
        <f t="shared" si="122"/>
        <v>58065.176421510019</v>
      </c>
      <c r="DE83" s="298">
        <f t="shared" si="123"/>
        <v>69665.69487380053</v>
      </c>
      <c r="DF83" s="298">
        <f t="shared" si="124"/>
        <v>101146.29688660693</v>
      </c>
      <c r="DG83" s="371">
        <f t="shared" si="125"/>
        <v>105971.96652497844</v>
      </c>
      <c r="DH83" s="372">
        <f t="shared" si="126"/>
        <v>124355.53500901525</v>
      </c>
      <c r="DI83" s="67">
        <f t="shared" si="127"/>
        <v>1052301.4742520007</v>
      </c>
      <c r="DJ83" s="364"/>
      <c r="DK83" s="82">
        <f t="shared" si="137"/>
        <v>1052301.4742520007</v>
      </c>
      <c r="DM83" s="518">
        <f t="shared" si="128"/>
        <v>89.173873899710003</v>
      </c>
      <c r="DO83" s="64" t="str">
        <f t="shared" si="129"/>
        <v>E6370</v>
      </c>
      <c r="DP83" s="64" t="str">
        <f t="shared" si="130"/>
        <v>E6370</v>
      </c>
      <c r="DQ83" s="359" t="str">
        <f t="shared" si="131"/>
        <v>Val au Moines 2</v>
      </c>
      <c r="DR83" s="365">
        <f>_xll.LVCELL($DP$3,DR$3,$DP83,$DQ$2,$DP$4,$DP$5,$DP$6,$DP$7,$DP$8,$DQ$3)/100</f>
        <v>0.97</v>
      </c>
      <c r="DS83" s="365">
        <f>_xll.LVCELL($DP$3,DS$3,$DP83,$DQ$2,$DP$4,$DP$5,$DP$6,$DP$7,$DP$8,$DQ$3)/100</f>
        <v>0.97</v>
      </c>
      <c r="DT83" s="365">
        <f>_xll.LVCELL($DP$3,DT$3,$DP83,$DQ$2,$DP$4,$DP$5,$DP$6,$DP$7,$DP$8,$DQ$3)/100</f>
        <v>0.97</v>
      </c>
      <c r="DU83" s="365">
        <f>_xll.LVCELL($DP$3,DU$3,$DP83,$DQ$2,$DP$4,$DP$5,$DP$6,$DP$7,$DP$8,$DQ$3)/100</f>
        <v>0.97</v>
      </c>
      <c r="DV83" s="365">
        <f>_xll.LVCELL($DP$3,DV$3,$DP83,$DQ$2,$DP$4,$DP$5,$DP$6,$DP$7,$DP$8,$DQ$3)/100</f>
        <v>0.97</v>
      </c>
      <c r="DW83" s="365">
        <f>_xll.LVCELL($DP$3,DW$3,$DP83,$DQ$2,$DP$4,$DP$5,$DP$6,$DP$7,$DP$8,$DQ$3)/100</f>
        <v>0.97</v>
      </c>
      <c r="DX83" s="365">
        <f>_xll.LVCELL($DP$3,DX$3,$DP83,$DQ$2,$DP$4,$DP$5,$DP$6,$DP$7,$DP$8,$DQ$3)/100</f>
        <v>0.97</v>
      </c>
      <c r="DY83" s="365">
        <f>_xll.LVCELL($DP$3,DY$3,$DP83,$DQ$2,$DP$4,$DP$5,$DP$6,$DP$7,$DP$8,$DQ$3)/100</f>
        <v>0.97</v>
      </c>
      <c r="DZ83" s="365">
        <f>_xll.LVCELL($DP$3,DZ$3,$DP83,$DQ$2,$DP$4,$DP$5,$DP$6,$DP$7,$DP$8,$DQ$3)/100</f>
        <v>0.97</v>
      </c>
      <c r="EA83" s="365">
        <f>_xll.LVCELL($DP$3,EA$3,$DP83,$DQ$2,$DP$4,$DP$5,$DP$6,$DP$7,$DP$8,$DQ$3)/100</f>
        <v>0.97</v>
      </c>
      <c r="EB83" s="365">
        <f>_xll.LVCELL($DP$3,EB$3,$DP83,$DQ$2,$DP$4,$DP$5,$DP$6,$DP$7,$DP$8,$DQ$3)/100</f>
        <v>0.97</v>
      </c>
      <c r="EC83" s="365">
        <f>_xll.LVCELL($DP$3,EC$3,$DP83,$DQ$2,$DP$4,$DP$5,$DP$6,$DP$7,$DP$8,$DQ$3)/100</f>
        <v>0.97</v>
      </c>
      <c r="ED83" s="582">
        <f t="shared" si="138"/>
        <v>11.64</v>
      </c>
      <c r="EF83" s="64" t="s">
        <v>386</v>
      </c>
      <c r="EH83" s="359"/>
      <c r="EI83" s="366"/>
      <c r="EJ83" s="367"/>
      <c r="EK83" s="368"/>
      <c r="EL83" s="367"/>
      <c r="EM83" s="368"/>
      <c r="EN83" s="367"/>
      <c r="EO83" s="368"/>
      <c r="EP83" s="367"/>
      <c r="EQ83" s="368"/>
      <c r="ER83" s="367"/>
      <c r="ES83" s="368"/>
      <c r="ET83" s="367"/>
      <c r="EY83" s="359"/>
      <c r="EZ83" s="364"/>
      <c r="FA83" s="364"/>
      <c r="FB83" s="364"/>
      <c r="FC83" s="364"/>
      <c r="FD83" s="364"/>
      <c r="FE83" s="364"/>
      <c r="FF83" s="364"/>
      <c r="FG83" s="364"/>
      <c r="FH83" s="364"/>
      <c r="FI83" s="364"/>
      <c r="FJ83" s="364"/>
      <c r="FK83" s="364"/>
      <c r="FP83" s="359"/>
      <c r="FQ83" s="364"/>
      <c r="FR83" s="364"/>
      <c r="FS83" s="364"/>
      <c r="FT83" s="364"/>
      <c r="FU83" s="364"/>
      <c r="FV83" s="364"/>
      <c r="FW83" s="364"/>
      <c r="FX83" s="364"/>
      <c r="FY83" s="364"/>
      <c r="FZ83" s="364"/>
      <c r="GA83" s="364"/>
      <c r="GB83" s="364"/>
    </row>
    <row r="84" spans="2:184" ht="15">
      <c r="B84" s="64" t="s">
        <v>382</v>
      </c>
      <c r="C84" s="64" t="s">
        <v>382</v>
      </c>
      <c r="D84" s="359" t="s">
        <v>488</v>
      </c>
      <c r="E84" s="357">
        <f>_xll.LVCELL($C$3,Q$3,$C84,$D$2,$C$4,$C$5,$C$6,$C$7,$C$8,$D$3)/1000</f>
        <v>0</v>
      </c>
      <c r="F84" s="103">
        <f>'distribution mensuelle Prod B22'!$BX$36</f>
        <v>2310907.0997009515</v>
      </c>
      <c r="G84" s="103">
        <f>'distribution mensuelle Prod B22'!$BX$37</f>
        <v>1880169.2397180772</v>
      </c>
      <c r="H84" s="103">
        <f>'distribution mensuelle Prod B22'!$BX$38</f>
        <v>1760489.8452366083</v>
      </c>
      <c r="I84" s="103">
        <f>'distribution mensuelle Prod B22'!$BX$39</f>
        <v>1337884.3699964392</v>
      </c>
      <c r="J84" s="103">
        <f>'distribution mensuelle Prod B22'!$BX$40</f>
        <v>0</v>
      </c>
      <c r="K84" s="103">
        <f>'distribution mensuelle Prod B22'!$BX$41</f>
        <v>0</v>
      </c>
      <c r="L84" s="103">
        <f>'distribution mensuelle Prod B22'!$BX$42</f>
        <v>0</v>
      </c>
      <c r="M84" s="103">
        <f>'distribution mensuelle Prod B22'!$BX$43</f>
        <v>0</v>
      </c>
      <c r="N84" s="103">
        <f>'distribution mensuelle Prod B22'!$BX$44</f>
        <v>0</v>
      </c>
      <c r="O84" s="103">
        <f>'distribution mensuelle Prod B22'!$BX$45</f>
        <v>0</v>
      </c>
      <c r="P84" s="103">
        <f>'distribution mensuelle Prod B22'!$BX$46</f>
        <v>0</v>
      </c>
      <c r="Q84" s="103">
        <f>'distribution mensuelle Prod B22'!$BX$47</f>
        <v>0</v>
      </c>
      <c r="R84" s="67">
        <f t="shared" si="92"/>
        <v>7289450.5546520762</v>
      </c>
      <c r="S84" s="358"/>
      <c r="W84" s="113" t="str">
        <f t="shared" si="93"/>
        <v>E6250</v>
      </c>
      <c r="X84" s="359" t="str">
        <f t="shared" si="94"/>
        <v>Bougainville</v>
      </c>
      <c r="Y84" s="299" cm="1">
        <f t="array" ref="Y84">_xll.LVCELL($D$4,F$1,$B84,$D$2,$C$4,$C$5,$C$6,$C$7,$C$8,$D$3)*1000+_xll.LVCELL($D$5,F$1,$B84,$D$2,$C$4,$C$5,$C$6,$C$7,$C$8,$D$3)*1000</f>
        <v>95.60158100000001</v>
      </c>
      <c r="Z84" s="299" cm="1">
        <f t="array" ref="Z84">_xll.LVCELL($D$4,G$1,$B84,$D$2,$C$4,$C$5,$C$6,$C$7,$C$8,$D$3)*1000+_xll.LVCELL($D$5,G$1,$B84,$D$2,$C$4,$C$5,$C$6,$C$7,$C$8,$D$3)*1000</f>
        <v>21.376967</v>
      </c>
      <c r="AA84" s="299" cm="1">
        <f t="array" ref="AA84">_xll.LVCELL($D$4,H$1,$B84,$D$2,$C$4,$C$5,$C$6,$C$7,$C$8,$D$3)*1000+_xll.LVCELL($D$5,H$1,$B84,$D$2,$C$4,$C$5,$C$6,$C$7,$C$8,$D$3)*1000</f>
        <v>49.754394320498889</v>
      </c>
      <c r="AB84" s="299" cm="1">
        <f t="array" ref="AB84">_xll.LVCELL($D$4,I$1,$B84,$D$2,$C$4,$C$5,$C$6,$C$7,$C$8,$D$3)*1000+_xll.LVCELL($D$5,I$1,$B84,$D$2,$C$4,$C$5,$C$6,$C$7,$C$8,$D$3)*1000</f>
        <v>93.317591536019037</v>
      </c>
      <c r="AC84" s="299" cm="1">
        <f t="array" ref="AC84">_xll.LVCELL($D$4,J$1,$B84,$D$2,$C$4,$C$5,$C$6,$C$7,$C$8,$D$3)*1000+_xll.LVCELL($D$5,J$1,$B84,$D$2,$C$4,$C$5,$C$6,$C$7,$C$8,$D$3)*1000</f>
        <v>53.007044605611149</v>
      </c>
      <c r="AD84" s="299" cm="1">
        <f t="array" ref="AD84">_xll.LVCELL($D$4,K$1,$B84,$D$2,$C$4,$C$5,$C$6,$C$7,$C$8,$D$3)*1000+_xll.LVCELL($D$5,K$1,$B84,$D$2,$C$4,$C$5,$C$6,$C$7,$C$8,$D$3)*1000</f>
        <v>58.792612244897967</v>
      </c>
      <c r="AE84" s="299">
        <v>68.099999999999994</v>
      </c>
      <c r="AF84" s="411">
        <v>68.099999999999994</v>
      </c>
      <c r="AG84" s="411">
        <v>68.099999999999994</v>
      </c>
      <c r="AH84" s="411">
        <v>68.099999999999994</v>
      </c>
      <c r="AI84" s="411">
        <v>68.099999999999994</v>
      </c>
      <c r="AJ84" s="411">
        <v>68.099999999999994</v>
      </c>
      <c r="AK84" s="414"/>
      <c r="AL84" s="134">
        <f t="shared" si="95"/>
        <v>2.3E-2</v>
      </c>
      <c r="AM84" s="134"/>
      <c r="AN84" s="134"/>
      <c r="AO84" s="134"/>
      <c r="AP84" s="113" t="str">
        <f t="shared" si="132"/>
        <v>E6250</v>
      </c>
      <c r="AQ84" s="580" t="str">
        <f t="shared" si="133"/>
        <v>Bougainville</v>
      </c>
      <c r="AR84" s="377"/>
      <c r="AS84" s="377"/>
      <c r="AT84" s="377"/>
      <c r="AU84" s="377"/>
      <c r="AV84" s="377"/>
      <c r="AW84" s="377"/>
      <c r="AX84" s="377"/>
      <c r="AY84" s="377"/>
      <c r="AZ84" s="377"/>
      <c r="BA84" s="377"/>
      <c r="BB84" s="377"/>
      <c r="BC84" s="565"/>
      <c r="BD84" s="554"/>
      <c r="BE84" s="134"/>
      <c r="BF84" s="134"/>
      <c r="BG84" s="134"/>
      <c r="BH84" s="134"/>
      <c r="BI84" s="113" t="str">
        <f t="shared" si="134"/>
        <v>E6250</v>
      </c>
      <c r="BJ84" s="580" t="str">
        <f t="shared" si="135"/>
        <v>Bougainville</v>
      </c>
      <c r="BK84" s="411">
        <v>69.25</v>
      </c>
      <c r="BL84" s="411">
        <v>76.61</v>
      </c>
      <c r="BM84" s="411">
        <v>67.13</v>
      </c>
      <c r="BN84" s="411">
        <v>46.32</v>
      </c>
      <c r="BO84" s="377"/>
      <c r="BP84" s="377"/>
      <c r="BQ84" s="377"/>
      <c r="BR84" s="377"/>
      <c r="BS84" s="377"/>
      <c r="BT84" s="377"/>
      <c r="BU84" s="377"/>
      <c r="BV84" s="565"/>
      <c r="BW84" s="554" t="s">
        <v>3565</v>
      </c>
      <c r="BX84" s="134"/>
      <c r="BY84" s="134"/>
      <c r="BZ84" s="134"/>
      <c r="CA84" s="134"/>
      <c r="CB84" s="113" t="str">
        <f t="shared" si="99"/>
        <v>E6250</v>
      </c>
      <c r="CC84" s="373" t="str">
        <f t="shared" si="100"/>
        <v>Bougainville</v>
      </c>
      <c r="CD84" s="411">
        <f t="shared" si="136"/>
        <v>69.25</v>
      </c>
      <c r="CE84" s="411">
        <f t="shared" si="101"/>
        <v>76.61</v>
      </c>
      <c r="CF84" s="411">
        <f t="shared" si="102"/>
        <v>67.13</v>
      </c>
      <c r="CG84" s="411">
        <f t="shared" si="103"/>
        <v>46.32</v>
      </c>
      <c r="CH84" s="411">
        <f t="shared" si="104"/>
        <v>0</v>
      </c>
      <c r="CI84" s="411">
        <f t="shared" si="105"/>
        <v>0</v>
      </c>
      <c r="CJ84" s="411">
        <f t="shared" si="106"/>
        <v>0</v>
      </c>
      <c r="CK84" s="411">
        <f t="shared" si="107"/>
        <v>0</v>
      </c>
      <c r="CL84" s="411">
        <f t="shared" si="108"/>
        <v>0</v>
      </c>
      <c r="CM84" s="411">
        <f t="shared" si="109"/>
        <v>0</v>
      </c>
      <c r="CN84" s="411">
        <f t="shared" si="110"/>
        <v>0</v>
      </c>
      <c r="CO84" s="557">
        <f t="shared" si="111"/>
        <v>0</v>
      </c>
      <c r="CP84" s="554"/>
      <c r="CQ84" s="134">
        <f t="shared" si="112"/>
        <v>4.0000000000000001E-3</v>
      </c>
      <c r="CU84" s="113" t="str">
        <f t="shared" si="113"/>
        <v>E6250</v>
      </c>
      <c r="CV84" s="373" t="str">
        <f t="shared" si="114"/>
        <v>Bougainville</v>
      </c>
      <c r="CW84" s="384">
        <f t="shared" si="115"/>
        <v>160030.31665429092</v>
      </c>
      <c r="CX84" s="298">
        <f t="shared" si="116"/>
        <v>144039.76545480191</v>
      </c>
      <c r="CY84" s="298">
        <f t="shared" si="117"/>
        <v>118181.68331073351</v>
      </c>
      <c r="CZ84" s="298">
        <f t="shared" si="118"/>
        <v>61970.804018235067</v>
      </c>
      <c r="DA84" s="298">
        <f t="shared" si="119"/>
        <v>0</v>
      </c>
      <c r="DB84" s="298">
        <f t="shared" si="120"/>
        <v>0</v>
      </c>
      <c r="DC84" s="298">
        <f t="shared" si="121"/>
        <v>0</v>
      </c>
      <c r="DD84" s="298">
        <f t="shared" si="122"/>
        <v>0</v>
      </c>
      <c r="DE84" s="298">
        <f t="shared" si="123"/>
        <v>0</v>
      </c>
      <c r="DF84" s="298">
        <f t="shared" si="124"/>
        <v>0</v>
      </c>
      <c r="DG84" s="371">
        <f t="shared" si="125"/>
        <v>0</v>
      </c>
      <c r="DH84" s="372">
        <f t="shared" si="126"/>
        <v>0</v>
      </c>
      <c r="DI84" s="67">
        <f t="shared" si="127"/>
        <v>484222.56943806144</v>
      </c>
      <c r="DJ84" s="364">
        <f>_xll.LVCELL($E$1,Q$2,$C84,$D$2,$C$4,$C$5,$C$6,$C$7,$C$8,$D$3)+_xll.LVCELL($E$2,Q$2,$C84,$D$2,$C$4,$C$5,$C$6,$C$7,$C$8,$D$3)</f>
        <v>484222.53742000001</v>
      </c>
      <c r="DK84" s="82">
        <f t="shared" si="137"/>
        <v>3.2018061436247081E-2</v>
      </c>
      <c r="DM84" s="518">
        <f t="shared" si="128"/>
        <v>66.427855680979135</v>
      </c>
      <c r="DO84" s="64" t="str">
        <f t="shared" si="129"/>
        <v>E6250</v>
      </c>
      <c r="DP84" s="64" t="str">
        <f t="shared" si="130"/>
        <v>E6250</v>
      </c>
      <c r="DQ84" s="359" t="str">
        <f t="shared" si="131"/>
        <v>Bougainville</v>
      </c>
      <c r="DR84" s="581">
        <f>_xll.LVCELL($DP$3,DR$3,$DP84,$DQ$2,$DP$4,$DP$5,$DP$6,$DP$7,$DP$8,$DQ$3)/100</f>
        <v>0.97</v>
      </c>
      <c r="DS84" s="581">
        <f>_xll.LVCELL($DP$3,DS$3,$DP84,$DQ$2,$DP$4,$DP$5,$DP$6,$DP$7,$DP$8,$DQ$3)/100</f>
        <v>0.97</v>
      </c>
      <c r="DT84" s="581">
        <f>_xll.LVCELL($DP$3,DT$3,$DP84,$DQ$2,$DP$4,$DP$5,$DP$6,$DP$7,$DP$8,$DQ$3)/100</f>
        <v>0.97</v>
      </c>
      <c r="DU84" s="581">
        <f>_xll.LVCELL($DP$3,DU$3,$DP84,$DQ$2,$DP$4,$DP$5,$DP$6,$DP$7,$DP$8,$DQ$3)/100</f>
        <v>0.97</v>
      </c>
      <c r="DV84" s="504">
        <f>_xll.LVCELL($DP$3,DV$3,$DP84,$DQ$2,$DP$4,$DP$5,$DP$6,$DP$7,$DP$8,$DQ$3)/100</f>
        <v>0</v>
      </c>
      <c r="DW84" s="504">
        <f>_xll.LVCELL($DP$3,DW$3,$DP84,$DQ$2,$DP$4,$DP$5,$DP$6,$DP$7,$DP$8,$DQ$3)/100</f>
        <v>0</v>
      </c>
      <c r="DX84" s="504">
        <f>_xll.LVCELL($DP$3,DX$3,$DP84,$DQ$2,$DP$4,$DP$5,$DP$6,$DP$7,$DP$8,$DQ$3)/100</f>
        <v>0</v>
      </c>
      <c r="DY84" s="504">
        <f>_xll.LVCELL($DP$3,DY$3,$DP84,$DQ$2,$DP$4,$DP$5,$DP$6,$DP$7,$DP$8,$DQ$3)/100</f>
        <v>0</v>
      </c>
      <c r="DZ84" s="504">
        <f>_xll.LVCELL($DP$3,DZ$3,$DP84,$DQ$2,$DP$4,$DP$5,$DP$6,$DP$7,$DP$8,$DQ$3)/100</f>
        <v>0</v>
      </c>
      <c r="EA84" s="504">
        <f>_xll.LVCELL($DP$3,EA$3,$DP84,$DQ$2,$DP$4,$DP$5,$DP$6,$DP$7,$DP$8,$DQ$3)/100</f>
        <v>0</v>
      </c>
      <c r="EB84" s="504">
        <f>_xll.LVCELL($DP$3,EB$3,$DP84,$DQ$2,$DP$4,$DP$5,$DP$6,$DP$7,$DP$8,$DQ$3)/100</f>
        <v>0</v>
      </c>
      <c r="EC84" s="504">
        <f>_xll.LVCELL($DP$3,EC$3,$DP84,$DQ$2,$DP$4,$DP$5,$DP$6,$DP$7,$DP$8,$DQ$3)/100</f>
        <v>0</v>
      </c>
      <c r="ED84" s="583">
        <f t="shared" si="138"/>
        <v>3.88</v>
      </c>
      <c r="EF84" s="64" t="s">
        <v>382</v>
      </c>
      <c r="EG84" s="64" t="s">
        <v>382</v>
      </c>
      <c r="EH84" s="359" t="s">
        <v>488</v>
      </c>
      <c r="EI84" s="366" t="e">
        <f ca="1">_xll.LVCELL($EG$3,EI$3,$DP84,$DQ$2,$DP$4,$DP$5,$DP$6,$DP$7,$DP$8,$DQ$3)-CW84</f>
        <v>#NAME?</v>
      </c>
      <c r="EJ84" s="367" t="e">
        <f ca="1">_xll.LVCELL($EG$3,EJ$3,$DP84,$DQ$2,$DP$4,$DP$5,$DP$6,$DP$7,$DP$8,$DQ$3)-CX84</f>
        <v>#NAME?</v>
      </c>
      <c r="EK84" s="368" t="e">
        <f ca="1">_xll.LVCELL($EG$3,EK$3,$DP84,$DQ$2,$DP$4,$DP$5,$DP$6,$DP$7,$DP$8,$DQ$3)-CY84</f>
        <v>#NAME?</v>
      </c>
      <c r="EL84" s="367" t="e">
        <f ca="1">_xll.LVCELL($EG$3,EL$3,$DP84,$DQ$2,$DP$4,$DP$5,$DP$6,$DP$7,$DP$8,$DQ$3)-CZ84</f>
        <v>#NAME?</v>
      </c>
      <c r="EM84" s="368" t="e">
        <f ca="1">_xll.LVCELL($EG$3,EM$3,$DP84,$DQ$2,$DP$4,$DP$5,$DP$6,$DP$7,$DP$8,$DQ$3)-DA84</f>
        <v>#NAME?</v>
      </c>
      <c r="EN84" s="367" t="e">
        <f ca="1">_xll.LVCELL($EG$3,EN$3,$DP84,$DQ$2,$DP$4,$DP$5,$DP$6,$DP$7,$DP$8,$DQ$3)-DB84</f>
        <v>#NAME?</v>
      </c>
      <c r="EO84" s="368" t="e">
        <f ca="1">_xll.LVCELL($EG$3,EO$3,$DP84,$DQ$2,$DP$4,$DP$5,$DP$6,$DP$7,$DP$8,$DQ$3)-DC84</f>
        <v>#NAME?</v>
      </c>
      <c r="EP84" s="367" t="e">
        <f ca="1">_xll.LVCELL($EG$3,EP$3,$DP84,$DQ$2,$DP$4,$DP$5,$DP$6,$DP$7,$DP$8,$DQ$3)-DD84</f>
        <v>#NAME?</v>
      </c>
      <c r="EQ84" s="368" t="e">
        <f ca="1">_xll.LVCELL($EG$3,EQ$3,$DP84,$DQ$2,$DP$4,$DP$5,$DP$6,$DP$7,$DP$8,$DQ$3)-DE84</f>
        <v>#NAME?</v>
      </c>
      <c r="ER84" s="367" t="e">
        <f ca="1">_xll.LVCELL($EG$3,ER$3,$DP84,$DQ$2,$DP$4,$DP$5,$DP$6,$DP$7,$DP$8,$DQ$3)-DF84</f>
        <v>#NAME?</v>
      </c>
      <c r="ES84" s="368" t="e">
        <f ca="1">_xll.LVCELL($EG$3,ES$3,$DP84,$DQ$2,$DP$4,$DP$5,$DP$6,$DP$7,$DP$8,$DQ$3)-DG84</f>
        <v>#NAME?</v>
      </c>
      <c r="ET84" s="367" t="e">
        <f ca="1">_xll.LVCELL($EG$3,ET$3,$DP84,$DQ$2,$DP$4,$DP$5,$DP$6,$DP$7,$DP$8,$DQ$3)-DH84</f>
        <v>#NAME?</v>
      </c>
      <c r="EW84" s="64" t="s">
        <v>382</v>
      </c>
      <c r="EX84" s="64" t="s">
        <v>382</v>
      </c>
      <c r="EY84" s="359" t="s">
        <v>488</v>
      </c>
      <c r="EZ84" s="276">
        <f>_xll.LVCELL($EX$3,EZ$3,$DP84,$DQ$2,$DP$4,$DP$5,$DP$6,$DP$7,$DP$8,$DQ$3)</f>
        <v>12000</v>
      </c>
      <c r="FA84" s="276">
        <f>_xll.LVCELL($EX$3,FA$3,$DP84,$DQ$2,$DP$4,$DP$5,$DP$6,$DP$7,$DP$8,$DQ$3)</f>
        <v>12000</v>
      </c>
      <c r="FB84" s="276">
        <f>_xll.LVCELL($EX$3,FB$3,$DP84,$DQ$2,$DP$4,$DP$5,$DP$6,$DP$7,$DP$8,$DQ$3)</f>
        <v>12000</v>
      </c>
      <c r="FC84" s="276">
        <f>_xll.LVCELL($EX$3,FC$3,$DP84,$DQ$2,$DP$4,$DP$5,$DP$6,$DP$7,$DP$8,$DQ$3)</f>
        <v>12000</v>
      </c>
      <c r="FD84" s="505">
        <f>_xll.LVCELL($EX$3,FD$3,$DP84,$DQ$2,$DP$4,$DP$5,$DP$6,$DP$7,$DP$8,$DQ$3)</f>
        <v>0</v>
      </c>
      <c r="FE84" s="505">
        <f>_xll.LVCELL($EX$3,FE$3,$DP84,$DQ$2,$DP$4,$DP$5,$DP$6,$DP$7,$DP$8,$DQ$3)</f>
        <v>0</v>
      </c>
      <c r="FF84" s="505">
        <f>_xll.LVCELL($EX$3,FF$3,$DP84,$DQ$2,$DP$4,$DP$5,$DP$6,$DP$7,$DP$8,$DQ$3)</f>
        <v>0</v>
      </c>
      <c r="FG84" s="505">
        <f>_xll.LVCELL($EX$3,FG$3,$DP84,$DQ$2,$DP$4,$DP$5,$DP$6,$DP$7,$DP$8,$DQ$3)</f>
        <v>0</v>
      </c>
      <c r="FH84" s="505">
        <f>_xll.LVCELL($EX$3,FH$3,$DP84,$DQ$2,$DP$4,$DP$5,$DP$6,$DP$7,$DP$8,$DQ$3)</f>
        <v>0</v>
      </c>
      <c r="FI84" s="505">
        <f>_xll.LVCELL($EX$3,FI$3,$DP84,$DQ$2,$DP$4,$DP$5,$DP$6,$DP$7,$DP$8,$DQ$3)</f>
        <v>0</v>
      </c>
      <c r="FJ84" s="505">
        <f>_xll.LVCELL($EX$3,FJ$3,$DP84,$DQ$2,$DP$4,$DP$5,$DP$6,$DP$7,$DP$8,$DQ$3)</f>
        <v>0</v>
      </c>
      <c r="FK84" s="505">
        <f>_xll.LVCELL($EX$3,FK$3,$DP84,$DQ$2,$DP$4,$DP$5,$DP$6,$DP$7,$DP$8,$DQ$3)</f>
        <v>0</v>
      </c>
      <c r="FN84" s="64" t="s">
        <v>382</v>
      </c>
      <c r="FO84" s="64" t="s">
        <v>382</v>
      </c>
      <c r="FP84" s="359" t="s">
        <v>488</v>
      </c>
      <c r="FQ84" s="276">
        <f>_xll.LVCELL($FO$3,FQ$3,$DP84,$DQ$2,$DP$4,$DP$5,$DP$6,$DP$7,$DP$8,$DQ$3)</f>
        <v>6</v>
      </c>
      <c r="FR84" s="276">
        <f>_xll.LVCELL($FO$3,FR$3,$DP84,$DQ$2,$DP$4,$DP$5,$DP$6,$DP$7,$DP$8,$DQ$3)</f>
        <v>6</v>
      </c>
      <c r="FS84" s="276">
        <f>_xll.LVCELL($FO$3,FS$3,$DP84,$DQ$2,$DP$4,$DP$5,$DP$6,$DP$7,$DP$8,$DQ$3)</f>
        <v>6</v>
      </c>
      <c r="FT84" s="276">
        <f>_xll.LVCELL($FO$3,FT$3,$DP84,$DQ$2,$DP$4,$DP$5,$DP$6,$DP$7,$DP$8,$DQ$3)</f>
        <v>6</v>
      </c>
      <c r="FU84" s="505">
        <f>_xll.LVCELL($FO$3,FU$3,$DP84,$DQ$2,$DP$4,$DP$5,$DP$6,$DP$7,$DP$8,$DQ$3)</f>
        <v>0</v>
      </c>
      <c r="FV84" s="505">
        <f>_xll.LVCELL($FO$3,FV$3,$DP84,$DQ$2,$DP$4,$DP$5,$DP$6,$DP$7,$DP$8,$DQ$3)</f>
        <v>0</v>
      </c>
      <c r="FW84" s="505">
        <f>_xll.LVCELL($FO$3,FW$3,$DP84,$DQ$2,$DP$4,$DP$5,$DP$6,$DP$7,$DP$8,$DQ$3)</f>
        <v>0</v>
      </c>
      <c r="FX84" s="505">
        <f>_xll.LVCELL($FO$3,FX$3,$DP84,$DQ$2,$DP$4,$DP$5,$DP$6,$DP$7,$DP$8,$DQ$3)</f>
        <v>0</v>
      </c>
      <c r="FY84" s="505">
        <f>_xll.LVCELL($FO$3,FY$3,$DP84,$DQ$2,$DP$4,$DP$5,$DP$6,$DP$7,$DP$8,$DQ$3)</f>
        <v>0</v>
      </c>
      <c r="FZ84" s="505">
        <f>_xll.LVCELL($FO$3,FZ$3,$DP84,$DQ$2,$DP$4,$DP$5,$DP$6,$DP$7,$DP$8,$DQ$3)</f>
        <v>0</v>
      </c>
      <c r="GA84" s="505">
        <f>_xll.LVCELL($FO$3,GA$3,$DP84,$DQ$2,$DP$4,$DP$5,$DP$6,$DP$7,$DP$8,$DQ$3)</f>
        <v>0</v>
      </c>
      <c r="GB84" s="505">
        <f>_xll.LVCELL($FO$3,GB$3,$DP84,$DQ$2,$DP$4,$DP$5,$DP$6,$DP$7,$DP$8,$DQ$3)</f>
        <v>0</v>
      </c>
    </row>
    <row r="85" spans="2:184" ht="15">
      <c r="B85" s="64" t="s">
        <v>383</v>
      </c>
      <c r="C85" s="64" t="s">
        <v>383</v>
      </c>
      <c r="D85" s="359" t="s">
        <v>489</v>
      </c>
      <c r="E85" s="357">
        <f>_xll.LVCELL($C$3,Q$3,$C85,$D$2,$C$4,$C$5,$C$6,$C$7,$C$8,$D$3)/1000</f>
        <v>11.5</v>
      </c>
      <c r="F85" s="103">
        <f>'distribution mensuelle Prod B22'!$BY$36</f>
        <v>2445329.8392554671</v>
      </c>
      <c r="G85" s="103">
        <f>'distribution mensuelle Prod B22'!$BY$37</f>
        <v>2037611.8218602098</v>
      </c>
      <c r="H85" s="103">
        <f>'distribution mensuelle Prod B22'!$BY$38</f>
        <v>1952131.6133720085</v>
      </c>
      <c r="I85" s="103">
        <f>'distribution mensuelle Prod B22'!$BY$39</f>
        <v>1556519.7551361467</v>
      </c>
      <c r="J85" s="103">
        <f>'distribution mensuelle Prod B22'!$BY$40</f>
        <v>1493468.0553841095</v>
      </c>
      <c r="K85" s="103">
        <f>'distribution mensuelle Prod B22'!$BY$41</f>
        <v>1186281.6572840551</v>
      </c>
      <c r="L85" s="103">
        <f>'distribution mensuelle Prod B22'!$BY$42</f>
        <v>1176180.7940936568</v>
      </c>
      <c r="M85" s="103">
        <f>'distribution mensuelle Prod B22'!$BY$43</f>
        <v>1146502.5638709106</v>
      </c>
      <c r="N85" s="103">
        <f>'distribution mensuelle Prod B22'!$BY$44</f>
        <v>1395682.8945741663</v>
      </c>
      <c r="O85" s="103">
        <f>'distribution mensuelle Prod B22'!$BY$45</f>
        <v>1954290.0301154808</v>
      </c>
      <c r="P85" s="103">
        <f>'distribution mensuelle Prod B22'!$BY$46</f>
        <v>1995687.9360862295</v>
      </c>
      <c r="Q85" s="103">
        <f>'distribution mensuelle Prod B22'!$BY$47</f>
        <v>2388131.7955534454</v>
      </c>
      <c r="R85" s="67">
        <f t="shared" si="92"/>
        <v>20727818.756585889</v>
      </c>
      <c r="S85" s="358"/>
      <c r="W85" s="113" t="str">
        <f t="shared" si="93"/>
        <v>E6260</v>
      </c>
      <c r="X85" s="359" t="str">
        <f t="shared" si="94"/>
        <v>Saint André</v>
      </c>
      <c r="Y85" s="299" cm="1">
        <f t="array" ref="Y85">_xll.LVCELL($D$4,F$1,$B85,$D$2,$C$4,$C$5,$C$6,$C$7,$C$8,$D$3)*1000+_xll.LVCELL($D$5,F$1,$B85,$D$2,$C$4,$C$5,$C$6,$C$7,$C$8,$D$3)*1000</f>
        <v>95.120013999999998</v>
      </c>
      <c r="Z85" s="299" cm="1">
        <f t="array" ref="Z85">_xll.LVCELL($D$4,G$1,$B85,$D$2,$C$4,$C$5,$C$6,$C$7,$C$8,$D$3)*1000+_xll.LVCELL($D$5,G$1,$B85,$D$2,$C$4,$C$5,$C$6,$C$7,$C$8,$D$3)*1000</f>
        <v>95.119996</v>
      </c>
      <c r="AA85" s="299" cm="1">
        <f t="array" ref="AA85">_xll.LVCELL($D$4,H$1,$B85,$D$2,$C$4,$C$5,$C$6,$C$7,$C$8,$D$3)*1000+_xll.LVCELL($D$5,H$1,$B85,$D$2,$C$4,$C$5,$C$6,$C$7,$C$8,$D$3)*1000</f>
        <v>95.120017644658219</v>
      </c>
      <c r="AB85" s="299" cm="1">
        <f t="array" ref="AB85">_xll.LVCELL($D$4,I$1,$B85,$D$2,$C$4,$C$5,$C$6,$C$7,$C$8,$D$3)*1000+_xll.LVCELL($D$5,I$1,$B85,$D$2,$C$4,$C$5,$C$6,$C$7,$C$8,$D$3)*1000</f>
        <v>95.120022041446617</v>
      </c>
      <c r="AC85" s="299" cm="1">
        <f t="array" ref="AC85">_xll.LVCELL($D$4,J$1,$B85,$D$2,$C$4,$C$5,$C$6,$C$7,$C$8,$D$3)*1000+_xll.LVCELL($D$5,J$1,$B85,$D$2,$C$4,$C$5,$C$6,$C$7,$C$8,$D$3)*1000</f>
        <v>95.119963605349426</v>
      </c>
      <c r="AD85" s="299" cm="1">
        <f t="array" ref="AD85">_xll.LVCELL($D$4,K$1,$B85,$D$2,$C$4,$C$5,$C$6,$C$7,$C$8,$D$3)*1000+_xll.LVCELL($D$5,K$1,$B85,$D$2,$C$4,$C$5,$C$6,$C$7,$C$8,$D$3)*1000</f>
        <v>95.120152970473143</v>
      </c>
      <c r="AE85" s="299" cm="1">
        <f t="array" ref="AE85">_xll.LVCELL($D$4,L$1,$B85,$D$2,$C$4,$C$5,$C$6,$C$7,$C$8,$D$3)*1000+_xll.LVCELL($D$5,L$1,$B85,$D$2,$C$4,$C$5,$C$6,$C$7,$C$8,$D$3)*1000</f>
        <v>95.119935620617028</v>
      </c>
      <c r="AF85" s="299">
        <f>$AD$85</f>
        <v>95.120152970473143</v>
      </c>
      <c r="AG85" s="299">
        <f t="shared" ref="AG85:AH103" si="141">AF85</f>
        <v>95.120152970473143</v>
      </c>
      <c r="AH85" s="411">
        <f t="shared" si="141"/>
        <v>95.120152970473143</v>
      </c>
      <c r="AI85" s="411">
        <f t="shared" ref="AI85:AI95" si="142">$AH85+($AH85*$AL$9)</f>
        <v>97.307916488794021</v>
      </c>
      <c r="AJ85" s="412">
        <f t="shared" ref="AJ85:AJ94" si="143">AI85</f>
        <v>97.307916488794021</v>
      </c>
      <c r="AK85" s="414"/>
      <c r="AL85" s="134">
        <f t="shared" si="95"/>
        <v>2.3E-2</v>
      </c>
      <c r="AM85" s="134"/>
      <c r="AN85" s="134"/>
      <c r="AO85" s="134"/>
      <c r="AP85" s="113" t="str">
        <f t="shared" si="132"/>
        <v>E6260</v>
      </c>
      <c r="AQ85" s="567" t="str">
        <f t="shared" si="133"/>
        <v>Saint André</v>
      </c>
      <c r="AR85" s="377"/>
      <c r="AS85" s="377"/>
      <c r="AT85" s="377"/>
      <c r="AU85" s="377"/>
      <c r="AV85" s="377"/>
      <c r="AW85" s="377"/>
      <c r="AX85" s="377"/>
      <c r="AY85" s="377"/>
      <c r="AZ85" s="377"/>
      <c r="BA85" s="377"/>
      <c r="BB85" s="377"/>
      <c r="BC85" s="378"/>
      <c r="BD85" s="414"/>
      <c r="BE85" s="134"/>
      <c r="BF85" s="134"/>
      <c r="BG85" s="134"/>
      <c r="BH85" s="134"/>
      <c r="BI85" s="113" t="str">
        <f t="shared" si="134"/>
        <v>E6260</v>
      </c>
      <c r="BJ85" s="567" t="str">
        <f t="shared" si="135"/>
        <v>Saint André</v>
      </c>
      <c r="BK85" s="411">
        <f t="shared" si="96"/>
        <v>97.307916488794021</v>
      </c>
      <c r="BL85" s="411">
        <f t="shared" si="96"/>
        <v>97.307916488794021</v>
      </c>
      <c r="BM85" s="411">
        <f t="shared" si="96"/>
        <v>97.307916488794021</v>
      </c>
      <c r="BN85" s="411">
        <f t="shared" si="96"/>
        <v>97.307916488794021</v>
      </c>
      <c r="BO85" s="411">
        <f t="shared" si="96"/>
        <v>97.307916488794021</v>
      </c>
      <c r="BP85" s="411">
        <f t="shared" si="96"/>
        <v>97.307916488794021</v>
      </c>
      <c r="BQ85" s="411">
        <f t="shared" si="96"/>
        <v>97.307916488794021</v>
      </c>
      <c r="BR85" s="411">
        <f t="shared" si="96"/>
        <v>97.307916488794021</v>
      </c>
      <c r="BS85" s="411">
        <f t="shared" si="96"/>
        <v>97.307916488794021</v>
      </c>
      <c r="BT85" s="411">
        <f t="shared" si="96"/>
        <v>97.307916488794021</v>
      </c>
      <c r="BU85" s="411">
        <f t="shared" ref="BU85:BU93" si="144">$BT85+($BT85*$BX$9)</f>
        <v>99.545998568036282</v>
      </c>
      <c r="BV85" s="412">
        <f t="shared" si="98"/>
        <v>99.545998568036282</v>
      </c>
      <c r="BW85" s="414"/>
      <c r="BX85" s="134"/>
      <c r="BY85" s="134"/>
      <c r="BZ85" s="134"/>
      <c r="CA85" s="134"/>
      <c r="CB85" s="113" t="str">
        <f t="shared" si="99"/>
        <v>E6260</v>
      </c>
      <c r="CC85" s="373" t="str">
        <f t="shared" si="100"/>
        <v>Saint André</v>
      </c>
      <c r="CD85" s="411">
        <f t="shared" si="136"/>
        <v>97.307916488794021</v>
      </c>
      <c r="CE85" s="411">
        <f t="shared" si="101"/>
        <v>97.307916488794021</v>
      </c>
      <c r="CF85" s="411">
        <f t="shared" si="102"/>
        <v>97.307916488794021</v>
      </c>
      <c r="CG85" s="411">
        <f t="shared" si="103"/>
        <v>97.307916488794021</v>
      </c>
      <c r="CH85" s="411">
        <f t="shared" si="104"/>
        <v>97.307916488794021</v>
      </c>
      <c r="CI85" s="411">
        <f t="shared" si="105"/>
        <v>97.307916488794021</v>
      </c>
      <c r="CJ85" s="411">
        <f t="shared" si="106"/>
        <v>97.307916488794021</v>
      </c>
      <c r="CK85" s="411">
        <f t="shared" si="107"/>
        <v>97.307916488794021</v>
      </c>
      <c r="CL85" s="411">
        <f t="shared" si="108"/>
        <v>97.307916488794021</v>
      </c>
      <c r="CM85" s="411">
        <f t="shared" si="109"/>
        <v>97.307916488794021</v>
      </c>
      <c r="CN85" s="411">
        <f t="shared" si="110"/>
        <v>99.545998568036282</v>
      </c>
      <c r="CO85" s="412">
        <f t="shared" si="111"/>
        <v>99.545998568036282</v>
      </c>
      <c r="CP85" s="414"/>
      <c r="CQ85" s="134">
        <f t="shared" si="112"/>
        <v>4.0000000000000001E-3</v>
      </c>
      <c r="CU85" s="113" t="str">
        <f t="shared" si="113"/>
        <v>E6260</v>
      </c>
      <c r="CV85" s="373" t="str">
        <f t="shared" si="114"/>
        <v>Saint André</v>
      </c>
      <c r="CW85" s="384">
        <f t="shared" si="115"/>
        <v>237949.95178582711</v>
      </c>
      <c r="CX85" s="298">
        <f t="shared" si="116"/>
        <v>198275.76099815275</v>
      </c>
      <c r="CY85" s="298">
        <f t="shared" si="117"/>
        <v>189957.86000913815</v>
      </c>
      <c r="CZ85" s="298">
        <f t="shared" si="118"/>
        <v>151461.69434594628</v>
      </c>
      <c r="DA85" s="298">
        <f t="shared" si="119"/>
        <v>145326.26481199855</v>
      </c>
      <c r="DB85" s="298">
        <f t="shared" si="120"/>
        <v>115434.59643918501</v>
      </c>
      <c r="DC85" s="298">
        <f t="shared" si="121"/>
        <v>114451.702487389</v>
      </c>
      <c r="DD85" s="298">
        <f t="shared" si="122"/>
        <v>111563.7757393388</v>
      </c>
      <c r="DE85" s="298">
        <f t="shared" si="123"/>
        <v>135810.9945500613</v>
      </c>
      <c r="DF85" s="298">
        <f t="shared" si="124"/>
        <v>190167.89104535995</v>
      </c>
      <c r="DG85" s="371">
        <f t="shared" si="125"/>
        <v>198662.7484278871</v>
      </c>
      <c r="DH85" s="372">
        <f t="shared" si="126"/>
        <v>237728.96430044519</v>
      </c>
      <c r="DI85" s="67">
        <f t="shared" si="127"/>
        <v>2026792.2049407288</v>
      </c>
      <c r="DJ85" s="364">
        <f>_xll.LVCELL($E$1,Q$2,$C85,$D$2,$C$4,$C$5,$C$6,$C$7,$C$8,$D$3)+_xll.LVCELL($E$2,Q$2,$C85,$D$2,$C$4,$C$5,$C$6,$C$7,$C$8,$D$3)</f>
        <v>2026792.4177480959</v>
      </c>
      <c r="DK85" s="82">
        <f t="shared" si="137"/>
        <v>-0.21280736709013581</v>
      </c>
      <c r="DM85" s="518">
        <f t="shared" si="128"/>
        <v>97.781258546404089</v>
      </c>
      <c r="DO85" s="64" t="str">
        <f t="shared" si="129"/>
        <v>E6260</v>
      </c>
      <c r="DP85" s="64" t="str">
        <f t="shared" si="130"/>
        <v>E6260</v>
      </c>
      <c r="DQ85" s="359" t="str">
        <f t="shared" si="131"/>
        <v>Saint André</v>
      </c>
      <c r="DR85" s="365">
        <f>_xll.LVCELL($DP$3,DR$3,$DP85,$DQ$2,$DP$4,$DP$5,$DP$6,$DP$7,$DP$8,$DQ$3)/100</f>
        <v>0.96999999999999986</v>
      </c>
      <c r="DS85" s="365">
        <f>_xll.LVCELL($DP$3,DS$3,$DP85,$DQ$2,$DP$4,$DP$5,$DP$6,$DP$7,$DP$8,$DQ$3)/100</f>
        <v>0.97</v>
      </c>
      <c r="DT85" s="365">
        <f>_xll.LVCELL($DP$3,DT$3,$DP85,$DQ$2,$DP$4,$DP$5,$DP$6,$DP$7,$DP$8,$DQ$3)/100</f>
        <v>0.96999999999999986</v>
      </c>
      <c r="DU85" s="365">
        <f>_xll.LVCELL($DP$3,DU$3,$DP85,$DQ$2,$DP$4,$DP$5,$DP$6,$DP$7,$DP$8,$DQ$3)/100</f>
        <v>0.97</v>
      </c>
      <c r="DV85" s="365">
        <f>_xll.LVCELL($DP$3,DV$3,$DP85,$DQ$2,$DP$4,$DP$5,$DP$6,$DP$7,$DP$8,$DQ$3)/100</f>
        <v>0.96999999999999986</v>
      </c>
      <c r="DW85" s="365">
        <f>_xll.LVCELL($DP$3,DW$3,$DP85,$DQ$2,$DP$4,$DP$5,$DP$6,$DP$7,$DP$8,$DQ$3)/100</f>
        <v>0.97</v>
      </c>
      <c r="DX85" s="365">
        <f>_xll.LVCELL($DP$3,DX$3,$DP85,$DQ$2,$DP$4,$DP$5,$DP$6,$DP$7,$DP$8,$DQ$3)/100</f>
        <v>0.96999999999999986</v>
      </c>
      <c r="DY85" s="365">
        <f>_xll.LVCELL($DP$3,DY$3,$DP85,$DQ$2,$DP$4,$DP$5,$DP$6,$DP$7,$DP$8,$DQ$3)/100</f>
        <v>0.96999999999999986</v>
      </c>
      <c r="DZ85" s="365">
        <f>_xll.LVCELL($DP$3,DZ$3,$DP85,$DQ$2,$DP$4,$DP$5,$DP$6,$DP$7,$DP$8,$DQ$3)/100</f>
        <v>0.97</v>
      </c>
      <c r="EA85" s="365">
        <f>_xll.LVCELL($DP$3,EA$3,$DP85,$DQ$2,$DP$4,$DP$5,$DP$6,$DP$7,$DP$8,$DQ$3)/100</f>
        <v>0.96999999999999986</v>
      </c>
      <c r="EB85" s="365">
        <f>_xll.LVCELL($DP$3,EB$3,$DP85,$DQ$2,$DP$4,$DP$5,$DP$6,$DP$7,$DP$8,$DQ$3)/100</f>
        <v>0.97</v>
      </c>
      <c r="EC85" s="365">
        <f>_xll.LVCELL($DP$3,EC$3,$DP85,$DQ$2,$DP$4,$DP$5,$DP$6,$DP$7,$DP$8,$DQ$3)/100</f>
        <v>0.96999999999999986</v>
      </c>
      <c r="ED85" s="582">
        <f t="shared" si="138"/>
        <v>11.64</v>
      </c>
      <c r="EF85" s="64" t="s">
        <v>383</v>
      </c>
      <c r="EG85" s="64" t="s">
        <v>383</v>
      </c>
      <c r="EH85" s="359" t="s">
        <v>489</v>
      </c>
      <c r="EI85" s="366" t="e">
        <f ca="1">_xll.LVCELL($EG$3,EI$3,$DP85,$DQ$2,$DP$4,$DP$5,$DP$6,$DP$7,$DP$8,$DQ$3)-CW85</f>
        <v>#NAME?</v>
      </c>
      <c r="EJ85" s="367" t="e">
        <f ca="1">_xll.LVCELL($EG$3,EJ$3,$DP85,$DQ$2,$DP$4,$DP$5,$DP$6,$DP$7,$DP$8,$DQ$3)-CX85</f>
        <v>#NAME?</v>
      </c>
      <c r="EK85" s="368" t="e">
        <f ca="1">_xll.LVCELL($EG$3,EK$3,$DP85,$DQ$2,$DP$4,$DP$5,$DP$6,$DP$7,$DP$8,$DQ$3)-CY85</f>
        <v>#NAME?</v>
      </c>
      <c r="EL85" s="367" t="e">
        <f ca="1">_xll.LVCELL($EG$3,EL$3,$DP85,$DQ$2,$DP$4,$DP$5,$DP$6,$DP$7,$DP$8,$DQ$3)-CZ85</f>
        <v>#NAME?</v>
      </c>
      <c r="EM85" s="368" t="e">
        <f ca="1">_xll.LVCELL($EG$3,EM$3,$DP85,$DQ$2,$DP$4,$DP$5,$DP$6,$DP$7,$DP$8,$DQ$3)-DA85</f>
        <v>#NAME?</v>
      </c>
      <c r="EN85" s="367" t="e">
        <f ca="1">_xll.LVCELL($EG$3,EN$3,$DP85,$DQ$2,$DP$4,$DP$5,$DP$6,$DP$7,$DP$8,$DQ$3)-DB85</f>
        <v>#NAME?</v>
      </c>
      <c r="EO85" s="368" t="e">
        <f ca="1">_xll.LVCELL($EG$3,EO$3,$DP85,$DQ$2,$DP$4,$DP$5,$DP$6,$DP$7,$DP$8,$DQ$3)-DC85</f>
        <v>#NAME?</v>
      </c>
      <c r="EP85" s="367" t="e">
        <f ca="1">_xll.LVCELL($EG$3,EP$3,$DP85,$DQ$2,$DP$4,$DP$5,$DP$6,$DP$7,$DP$8,$DQ$3)-DD85</f>
        <v>#NAME?</v>
      </c>
      <c r="EQ85" s="368" t="e">
        <f ca="1">_xll.LVCELL($EG$3,EQ$3,$DP85,$DQ$2,$DP$4,$DP$5,$DP$6,$DP$7,$DP$8,$DQ$3)-DE85</f>
        <v>#NAME?</v>
      </c>
      <c r="ER85" s="367" t="e">
        <f ca="1">_xll.LVCELL($EG$3,ER$3,$DP85,$DQ$2,$DP$4,$DP$5,$DP$6,$DP$7,$DP$8,$DQ$3)-DF85</f>
        <v>#NAME?</v>
      </c>
      <c r="ES85" s="368" t="e">
        <f ca="1">_xll.LVCELL($EG$3,ES$3,$DP85,$DQ$2,$DP$4,$DP$5,$DP$6,$DP$7,$DP$8,$DQ$3)-DG85</f>
        <v>#NAME?</v>
      </c>
      <c r="ET85" s="367" t="e">
        <f ca="1">_xll.LVCELL($EG$3,ET$3,$DP85,$DQ$2,$DP$4,$DP$5,$DP$6,$DP$7,$DP$8,$DQ$3)-DH85</f>
        <v>#NAME?</v>
      </c>
      <c r="EW85" s="64" t="s">
        <v>383</v>
      </c>
      <c r="EX85" s="64" t="s">
        <v>383</v>
      </c>
      <c r="EY85" s="359" t="s">
        <v>489</v>
      </c>
      <c r="EZ85" s="364">
        <f>_xll.LVCELL($EX$3,EZ$3,$DP85,$DQ$2,$DP$4,$DP$5,$DP$6,$DP$7,$DP$8,$DQ$3)</f>
        <v>11500</v>
      </c>
      <c r="FA85" s="364">
        <f>_xll.LVCELL($EX$3,FA$3,$DP85,$DQ$2,$DP$4,$DP$5,$DP$6,$DP$7,$DP$8,$DQ$3)</f>
        <v>11500</v>
      </c>
      <c r="FB85" s="364">
        <f>_xll.LVCELL($EX$3,FB$3,$DP85,$DQ$2,$DP$4,$DP$5,$DP$6,$DP$7,$DP$8,$DQ$3)</f>
        <v>11500</v>
      </c>
      <c r="FC85" s="364">
        <f>_xll.LVCELL($EX$3,FC$3,$DP85,$DQ$2,$DP$4,$DP$5,$DP$6,$DP$7,$DP$8,$DQ$3)</f>
        <v>11500</v>
      </c>
      <c r="FD85" s="364">
        <f>_xll.LVCELL($EX$3,FD$3,$DP85,$DQ$2,$DP$4,$DP$5,$DP$6,$DP$7,$DP$8,$DQ$3)</f>
        <v>11500</v>
      </c>
      <c r="FE85" s="364">
        <f>_xll.LVCELL($EX$3,FE$3,$DP85,$DQ$2,$DP$4,$DP$5,$DP$6,$DP$7,$DP$8,$DQ$3)</f>
        <v>11500</v>
      </c>
      <c r="FF85" s="364">
        <f>_xll.LVCELL($EX$3,FF$3,$DP85,$DQ$2,$DP$4,$DP$5,$DP$6,$DP$7,$DP$8,$DQ$3)</f>
        <v>11500</v>
      </c>
      <c r="FG85" s="364">
        <f>_xll.LVCELL($EX$3,FG$3,$DP85,$DQ$2,$DP$4,$DP$5,$DP$6,$DP$7,$DP$8,$DQ$3)</f>
        <v>11500</v>
      </c>
      <c r="FH85" s="364">
        <f>_xll.LVCELL($EX$3,FH$3,$DP85,$DQ$2,$DP$4,$DP$5,$DP$6,$DP$7,$DP$8,$DQ$3)</f>
        <v>11500</v>
      </c>
      <c r="FI85" s="364">
        <f>_xll.LVCELL($EX$3,FI$3,$DP85,$DQ$2,$DP$4,$DP$5,$DP$6,$DP$7,$DP$8,$DQ$3)</f>
        <v>11500</v>
      </c>
      <c r="FJ85" s="364">
        <f>_xll.LVCELL($EX$3,FJ$3,$DP85,$DQ$2,$DP$4,$DP$5,$DP$6,$DP$7,$DP$8,$DQ$3)</f>
        <v>11500</v>
      </c>
      <c r="FK85" s="276">
        <f>_xll.LVCELL($EX$3,FK$3,$DP85,$DQ$2,$DP$4,$DP$5,$DP$6,$DP$7,$DP$8,$DQ$3)</f>
        <v>11500</v>
      </c>
      <c r="FN85" s="64" t="s">
        <v>383</v>
      </c>
      <c r="FO85" s="64" t="s">
        <v>383</v>
      </c>
      <c r="FP85" s="359" t="s">
        <v>489</v>
      </c>
      <c r="FQ85" s="364">
        <f>_xll.LVCELL($FO$3,FQ$3,$DP85,$DQ$2,$DP$4,$DP$5,$DP$6,$DP$7,$DP$8,$DQ$3)</f>
        <v>5</v>
      </c>
      <c r="FR85" s="364">
        <f>_xll.LVCELL($FO$3,FR$3,$DP85,$DQ$2,$DP$4,$DP$5,$DP$6,$DP$7,$DP$8,$DQ$3)</f>
        <v>5</v>
      </c>
      <c r="FS85" s="364">
        <f>_xll.LVCELL($FO$3,FS$3,$DP85,$DQ$2,$DP$4,$DP$5,$DP$6,$DP$7,$DP$8,$DQ$3)</f>
        <v>5</v>
      </c>
      <c r="FT85" s="364">
        <f>_xll.LVCELL($FO$3,FT$3,$DP85,$DQ$2,$DP$4,$DP$5,$DP$6,$DP$7,$DP$8,$DQ$3)</f>
        <v>5</v>
      </c>
      <c r="FU85" s="364">
        <f>_xll.LVCELL($FO$3,FU$3,$DP85,$DQ$2,$DP$4,$DP$5,$DP$6,$DP$7,$DP$8,$DQ$3)</f>
        <v>5</v>
      </c>
      <c r="FV85" s="364">
        <f>_xll.LVCELL($FO$3,FV$3,$DP85,$DQ$2,$DP$4,$DP$5,$DP$6,$DP$7,$DP$8,$DQ$3)</f>
        <v>5</v>
      </c>
      <c r="FW85" s="364">
        <f>_xll.LVCELL($FO$3,FW$3,$DP85,$DQ$2,$DP$4,$DP$5,$DP$6,$DP$7,$DP$8,$DQ$3)</f>
        <v>5</v>
      </c>
      <c r="FX85" s="364">
        <f>_xll.LVCELL($FO$3,FX$3,$DP85,$DQ$2,$DP$4,$DP$5,$DP$6,$DP$7,$DP$8,$DQ$3)</f>
        <v>5</v>
      </c>
      <c r="FY85" s="364">
        <f>_xll.LVCELL($FO$3,FY$3,$DP85,$DQ$2,$DP$4,$DP$5,$DP$6,$DP$7,$DP$8,$DQ$3)</f>
        <v>5</v>
      </c>
      <c r="FZ85" s="364">
        <f>_xll.LVCELL($FO$3,FZ$3,$DP85,$DQ$2,$DP$4,$DP$5,$DP$6,$DP$7,$DP$8,$DQ$3)</f>
        <v>5</v>
      </c>
      <c r="GA85" s="364">
        <f>_xll.LVCELL($FO$3,GA$3,$DP85,$DQ$2,$DP$4,$DP$5,$DP$6,$DP$7,$DP$8,$DQ$3)</f>
        <v>5</v>
      </c>
      <c r="GB85" s="172">
        <f>_xll.LVCELL($FO$3,GB$3,$DP85,$DQ$2,$DP$4,$DP$5,$DP$6,$DP$7,$DP$8,$DQ$3)</f>
        <v>5</v>
      </c>
    </row>
    <row r="86" spans="2:184" ht="15">
      <c r="B86" s="64" t="s">
        <v>378</v>
      </c>
      <c r="C86" s="64" t="s">
        <v>378</v>
      </c>
      <c r="D86" s="359" t="s">
        <v>490</v>
      </c>
      <c r="E86" s="357">
        <f>_xll.LVCELL($C$3,Q$3,$C86,$D$2,$C$4,$C$5,$C$6,$C$7,$C$8,$D$3)/1000</f>
        <v>4</v>
      </c>
      <c r="F86" s="103">
        <f>'distribution mensuelle Prod B22'!$BZ$36</f>
        <v>934351.59399757581</v>
      </c>
      <c r="G86" s="103">
        <f>'distribution mensuelle Prod B22'!$BZ$37</f>
        <v>877078.55451491394</v>
      </c>
      <c r="H86" s="103">
        <f>'distribution mensuelle Prod B22'!$BZ$38</f>
        <v>851228.73978949222</v>
      </c>
      <c r="I86" s="103">
        <f>'distribution mensuelle Prod B22'!$BZ$39</f>
        <v>807179.90027923661</v>
      </c>
      <c r="J86" s="103">
        <f>'distribution mensuelle Prod B22'!$BZ$40</f>
        <v>723853.43082314834</v>
      </c>
      <c r="K86" s="103">
        <f>'distribution mensuelle Prod B22'!$BZ$41</f>
        <v>643596.28373605979</v>
      </c>
      <c r="L86" s="103">
        <f>'distribution mensuelle Prod B22'!$BZ$42</f>
        <v>680996.32373744587</v>
      </c>
      <c r="M86" s="103">
        <f>'distribution mensuelle Prod B22'!$BZ$43</f>
        <v>594285.43265707081</v>
      </c>
      <c r="N86" s="103">
        <f>'distribution mensuelle Prod B22'!$BZ$44</f>
        <v>581673.71190780529</v>
      </c>
      <c r="O86" s="103">
        <f>'distribution mensuelle Prod B22'!$BZ$45</f>
        <v>674019.58537465695</v>
      </c>
      <c r="P86" s="103">
        <f>'distribution mensuelle Prod B22'!$BZ$46</f>
        <v>849426.14087234507</v>
      </c>
      <c r="Q86" s="103">
        <f>'distribution mensuelle Prod B22'!$BZ$47</f>
        <v>855813.45357075322</v>
      </c>
      <c r="R86" s="67">
        <f t="shared" si="92"/>
        <v>9073503.1512605026</v>
      </c>
      <c r="S86" s="358"/>
      <c r="W86" s="113" t="str">
        <f t="shared" si="93"/>
        <v>E6120</v>
      </c>
      <c r="X86" s="359" t="str">
        <f t="shared" si="94"/>
        <v>Fond de la Plaine</v>
      </c>
      <c r="Y86" s="299" cm="1">
        <f t="array" ref="Y86">_xll.LVCELL($D$4,F$1,$B86,$D$2,$C$4,$C$5,$C$6,$C$7,$C$8,$D$3)*1000+_xll.LVCELL($D$5,F$1,$B86,$D$2,$C$4,$C$5,$C$6,$C$7,$C$8,$D$3)*1000</f>
        <v>96.029982000000004</v>
      </c>
      <c r="Z86" s="299" cm="1">
        <f t="array" ref="Z86">_xll.LVCELL($D$4,G$1,$B86,$D$2,$C$4,$C$5,$C$6,$C$7,$C$8,$D$3)*1000+_xll.LVCELL($D$5,G$1,$B86,$D$2,$C$4,$C$5,$C$6,$C$7,$C$8,$D$3)*1000</f>
        <v>96.030000999999999</v>
      </c>
      <c r="AA86" s="299" cm="1">
        <f t="array" ref="AA86">_xll.LVCELL($D$4,H$1,$B86,$D$2,$C$4,$C$5,$C$6,$C$7,$C$8,$D$3)*1000+_xll.LVCELL($D$5,H$1,$B86,$D$2,$C$4,$C$5,$C$6,$C$7,$C$8,$D$3)*1000</f>
        <v>96.030085120436354</v>
      </c>
      <c r="AB86" s="299" cm="1">
        <f t="array" ref="AB86">_xll.LVCELL($D$4,I$1,$B86,$D$2,$C$4,$C$5,$C$6,$C$7,$C$8,$D$3)*1000+_xll.LVCELL($D$5,I$1,$B86,$D$2,$C$4,$C$5,$C$6,$C$7,$C$8,$D$3)*1000</f>
        <v>96.030004706620659</v>
      </c>
      <c r="AC86" s="299" cm="1">
        <f t="array" ref="AC86">_xll.LVCELL($D$4,J$1,$B86,$D$2,$C$4,$C$5,$C$6,$C$7,$C$8,$D$3)*1000+_xll.LVCELL($D$5,J$1,$B86,$D$2,$C$4,$C$5,$C$6,$C$7,$C$8,$D$3)*1000</f>
        <v>96.029957504857549</v>
      </c>
      <c r="AD86" s="299" cm="1">
        <f t="array" ref="AD86">_xll.LVCELL($D$4,K$1,$B86,$D$2,$C$4,$C$5,$C$6,$C$7,$C$8,$D$3)*1000+_xll.LVCELL($D$5,K$1,$B86,$D$2,$C$4,$C$5,$C$6,$C$7,$C$8,$D$3)*1000</f>
        <v>96.029913512655725</v>
      </c>
      <c r="AE86" s="299" cm="1">
        <f t="array" ref="AE86">_xll.LVCELL($D$4,L$1,$B86,$D$2,$C$4,$C$5,$C$6,$C$7,$C$8,$D$3)*1000+_xll.LVCELL($D$5,L$1,$B86,$D$2,$C$4,$C$5,$C$6,$C$7,$C$8,$D$3)*1000</f>
        <v>96.030116310292684</v>
      </c>
      <c r="AF86" s="299">
        <f>$AD$86</f>
        <v>96.029913512655725</v>
      </c>
      <c r="AG86" s="299">
        <f t="shared" si="141"/>
        <v>96.029913512655725</v>
      </c>
      <c r="AH86" s="411">
        <f t="shared" si="141"/>
        <v>96.029913512655725</v>
      </c>
      <c r="AI86" s="411">
        <f t="shared" si="142"/>
        <v>98.238601523446803</v>
      </c>
      <c r="AJ86" s="412">
        <f t="shared" si="143"/>
        <v>98.238601523446803</v>
      </c>
      <c r="AK86" s="414"/>
      <c r="AL86" s="134">
        <f t="shared" si="95"/>
        <v>2.3E-2</v>
      </c>
      <c r="AM86" s="134"/>
      <c r="AN86" s="134"/>
      <c r="AO86" s="134"/>
      <c r="AP86" s="113" t="str">
        <f t="shared" si="132"/>
        <v>E6120</v>
      </c>
      <c r="AQ86" s="567" t="str">
        <f t="shared" si="133"/>
        <v>Fond de la Plaine</v>
      </c>
      <c r="AR86" s="377"/>
      <c r="AS86" s="377"/>
      <c r="AT86" s="377"/>
      <c r="AU86" s="377"/>
      <c r="AV86" s="377"/>
      <c r="AW86" s="377"/>
      <c r="AX86" s="377"/>
      <c r="AY86" s="377"/>
      <c r="AZ86" s="377"/>
      <c r="BA86" s="377"/>
      <c r="BB86" s="377"/>
      <c r="BC86" s="378"/>
      <c r="BD86" s="414"/>
      <c r="BE86" s="134"/>
      <c r="BF86" s="134"/>
      <c r="BG86" s="134"/>
      <c r="BH86" s="134"/>
      <c r="BI86" s="113" t="str">
        <f t="shared" si="134"/>
        <v>E6120</v>
      </c>
      <c r="BJ86" s="580" t="str">
        <f t="shared" si="135"/>
        <v>Fond de la Plaine</v>
      </c>
      <c r="BK86" s="411">
        <f t="shared" ref="BK86:BT93" si="145">$AJ86</f>
        <v>98.238601523446803</v>
      </c>
      <c r="BL86" s="411">
        <f t="shared" si="145"/>
        <v>98.238601523446803</v>
      </c>
      <c r="BM86" s="411">
        <f t="shared" si="145"/>
        <v>98.238601523446803</v>
      </c>
      <c r="BN86" s="411">
        <f t="shared" si="145"/>
        <v>98.238601523446803</v>
      </c>
      <c r="BO86" s="411">
        <f t="shared" si="145"/>
        <v>98.238601523446803</v>
      </c>
      <c r="BP86" s="411">
        <f t="shared" si="145"/>
        <v>98.238601523446803</v>
      </c>
      <c r="BQ86" s="411">
        <f t="shared" si="145"/>
        <v>98.238601523446803</v>
      </c>
      <c r="BR86" s="411">
        <f t="shared" si="145"/>
        <v>98.238601523446803</v>
      </c>
      <c r="BS86" s="411">
        <f t="shared" si="145"/>
        <v>98.238601523446803</v>
      </c>
      <c r="BT86" s="411">
        <v>45.35</v>
      </c>
      <c r="BU86" s="411">
        <v>59.09</v>
      </c>
      <c r="BV86" s="412">
        <v>64.239999999999995</v>
      </c>
      <c r="BW86" s="414" t="s">
        <v>3567</v>
      </c>
      <c r="BX86" s="134"/>
      <c r="BY86" s="134"/>
      <c r="BZ86" s="134"/>
      <c r="CA86" s="134"/>
      <c r="CB86" s="113" t="str">
        <f t="shared" si="99"/>
        <v>E6120</v>
      </c>
      <c r="CC86" s="373" t="str">
        <f t="shared" si="100"/>
        <v>Fond de la Plaine</v>
      </c>
      <c r="CD86" s="411">
        <f t="shared" si="136"/>
        <v>98.238601523446803</v>
      </c>
      <c r="CE86" s="411">
        <f t="shared" si="101"/>
        <v>98.238601523446803</v>
      </c>
      <c r="CF86" s="411">
        <f t="shared" si="102"/>
        <v>98.238601523446803</v>
      </c>
      <c r="CG86" s="411">
        <f t="shared" si="103"/>
        <v>98.238601523446803</v>
      </c>
      <c r="CH86" s="411">
        <f t="shared" si="104"/>
        <v>98.238601523446803</v>
      </c>
      <c r="CI86" s="411">
        <f t="shared" si="105"/>
        <v>98.238601523446803</v>
      </c>
      <c r="CJ86" s="411">
        <f t="shared" si="106"/>
        <v>98.238601523446803</v>
      </c>
      <c r="CK86" s="411">
        <f t="shared" si="107"/>
        <v>98.238601523446803</v>
      </c>
      <c r="CL86" s="411">
        <f t="shared" si="108"/>
        <v>98.238601523446803</v>
      </c>
      <c r="CM86" s="411">
        <f t="shared" si="109"/>
        <v>45.35</v>
      </c>
      <c r="CN86" s="411">
        <f t="shared" si="110"/>
        <v>59.09</v>
      </c>
      <c r="CO86" s="412">
        <f t="shared" si="111"/>
        <v>64.239999999999995</v>
      </c>
      <c r="CP86" s="414"/>
      <c r="CQ86" s="134">
        <f t="shared" si="112"/>
        <v>4.0000000000000001E-3</v>
      </c>
      <c r="CU86" s="113" t="str">
        <f t="shared" si="113"/>
        <v>E6120</v>
      </c>
      <c r="CV86" s="373" t="str">
        <f t="shared" si="114"/>
        <v>Fond de la Plaine</v>
      </c>
      <c r="CW86" s="384">
        <f t="shared" si="115"/>
        <v>91789.393925525204</v>
      </c>
      <c r="CX86" s="298">
        <f t="shared" si="116"/>
        <v>86162.970621751345</v>
      </c>
      <c r="CY86" s="298">
        <f t="shared" si="117"/>
        <v>83623.52097348572</v>
      </c>
      <c r="CZ86" s="298">
        <f t="shared" si="118"/>
        <v>79296.224581267452</v>
      </c>
      <c r="DA86" s="298">
        <f t="shared" si="119"/>
        <v>71110.348752015139</v>
      </c>
      <c r="DB86" s="298">
        <f t="shared" si="120"/>
        <v>63225.998859917985</v>
      </c>
      <c r="DC86" s="298">
        <f t="shared" si="121"/>
        <v>66900.126486575129</v>
      </c>
      <c r="DD86" s="298">
        <f t="shared" si="122"/>
        <v>58381.769809987163</v>
      </c>
      <c r="DE86" s="298">
        <f t="shared" si="123"/>
        <v>57142.812000775084</v>
      </c>
      <c r="DF86" s="298">
        <f t="shared" si="124"/>
        <v>30566.788196740694</v>
      </c>
      <c r="DG86" s="371">
        <f t="shared" si="125"/>
        <v>50192.590664146875</v>
      </c>
      <c r="DH86" s="372">
        <f t="shared" si="126"/>
        <v>54977.45625738518</v>
      </c>
      <c r="DI86" s="67">
        <f t="shared" si="127"/>
        <v>793370.00112957298</v>
      </c>
      <c r="DJ86" s="364">
        <f>_xll.LVCELL($E$1,Q$2,$C86,$D$2,$C$4,$C$5,$C$6,$C$7,$C$8,$D$3)+_xll.LVCELL($E$2,Q$2,$C86,$D$2,$C$4,$C$5,$C$6,$C$7,$C$8,$D$3)</f>
        <v>793369.98846688797</v>
      </c>
      <c r="DK86" s="82">
        <f t="shared" si="137"/>
        <v>1.2662685010582209E-2</v>
      </c>
      <c r="DM86" s="518">
        <f t="shared" si="128"/>
        <v>87.438113802755112</v>
      </c>
      <c r="DO86" s="64" t="str">
        <f t="shared" si="129"/>
        <v>E6120</v>
      </c>
      <c r="DP86" s="64" t="str">
        <f t="shared" si="130"/>
        <v>E6120</v>
      </c>
      <c r="DQ86" s="359" t="str">
        <f t="shared" si="131"/>
        <v>Fond de la Plaine</v>
      </c>
      <c r="DR86" s="365">
        <f>_xll.LVCELL($DP$3,DR$3,$DP86,$DQ$2,$DP$4,$DP$5,$DP$6,$DP$7,$DP$8,$DQ$3)/100</f>
        <v>0.97</v>
      </c>
      <c r="DS86" s="365">
        <f>_xll.LVCELL($DP$3,DS$3,$DP86,$DQ$2,$DP$4,$DP$5,$DP$6,$DP$7,$DP$8,$DQ$3)/100</f>
        <v>0.97</v>
      </c>
      <c r="DT86" s="365">
        <f>_xll.LVCELL($DP$3,DT$3,$DP86,$DQ$2,$DP$4,$DP$5,$DP$6,$DP$7,$DP$8,$DQ$3)/100</f>
        <v>0.97</v>
      </c>
      <c r="DU86" s="365">
        <f>_xll.LVCELL($DP$3,DU$3,$DP86,$DQ$2,$DP$4,$DP$5,$DP$6,$DP$7,$DP$8,$DQ$3)/100</f>
        <v>0.97</v>
      </c>
      <c r="DV86" s="365">
        <f>_xll.LVCELL($DP$3,DV$3,$DP86,$DQ$2,$DP$4,$DP$5,$DP$6,$DP$7,$DP$8,$DQ$3)/100</f>
        <v>0.97</v>
      </c>
      <c r="DW86" s="365">
        <f>_xll.LVCELL($DP$3,DW$3,$DP86,$DQ$2,$DP$4,$DP$5,$DP$6,$DP$7,$DP$8,$DQ$3)/100</f>
        <v>0.97</v>
      </c>
      <c r="DX86" s="365">
        <f>_xll.LVCELL($DP$3,DX$3,$DP86,$DQ$2,$DP$4,$DP$5,$DP$6,$DP$7,$DP$8,$DQ$3)/100</f>
        <v>0.97</v>
      </c>
      <c r="DY86" s="365">
        <f>_xll.LVCELL($DP$3,DY$3,$DP86,$DQ$2,$DP$4,$DP$5,$DP$6,$DP$7,$DP$8,$DQ$3)/100</f>
        <v>0.97</v>
      </c>
      <c r="DZ86" s="365">
        <f>_xll.LVCELL($DP$3,DZ$3,$DP86,$DQ$2,$DP$4,$DP$5,$DP$6,$DP$7,$DP$8,$DQ$3)/100</f>
        <v>0.97</v>
      </c>
      <c r="EA86" s="365">
        <f>_xll.LVCELL($DP$3,EA$3,$DP86,$DQ$2,$DP$4,$DP$5,$DP$6,$DP$7,$DP$8,$DQ$3)/100</f>
        <v>0.97</v>
      </c>
      <c r="EB86" s="365">
        <f>_xll.LVCELL($DP$3,EB$3,$DP86,$DQ$2,$DP$4,$DP$5,$DP$6,$DP$7,$DP$8,$DQ$3)/100</f>
        <v>0.97</v>
      </c>
      <c r="EC86" s="365">
        <f>_xll.LVCELL($DP$3,EC$3,$DP86,$DQ$2,$DP$4,$DP$5,$DP$6,$DP$7,$DP$8,$DQ$3)/100</f>
        <v>0.97</v>
      </c>
      <c r="ED86" s="582">
        <f t="shared" si="138"/>
        <v>11.64</v>
      </c>
      <c r="EF86" s="64" t="s">
        <v>378</v>
      </c>
      <c r="EG86" s="64" t="s">
        <v>378</v>
      </c>
      <c r="EH86" s="359" t="s">
        <v>490</v>
      </c>
      <c r="EI86" s="366" t="e">
        <f ca="1">_xll.LVCELL($EG$3,EI$3,$DP86,$DQ$2,$DP$4,$DP$5,$DP$6,$DP$7,$DP$8,$DQ$3)-CW86</f>
        <v>#NAME?</v>
      </c>
      <c r="EJ86" s="367" t="e">
        <f ca="1">_xll.LVCELL($EG$3,EJ$3,$DP86,$DQ$2,$DP$4,$DP$5,$DP$6,$DP$7,$DP$8,$DQ$3)-CX86</f>
        <v>#NAME?</v>
      </c>
      <c r="EK86" s="368" t="e">
        <f ca="1">_xll.LVCELL($EG$3,EK$3,$DP86,$DQ$2,$DP$4,$DP$5,$DP$6,$DP$7,$DP$8,$DQ$3)-CY86</f>
        <v>#NAME?</v>
      </c>
      <c r="EL86" s="367" t="e">
        <f ca="1">_xll.LVCELL($EG$3,EL$3,$DP86,$DQ$2,$DP$4,$DP$5,$DP$6,$DP$7,$DP$8,$DQ$3)-CZ86</f>
        <v>#NAME?</v>
      </c>
      <c r="EM86" s="368" t="e">
        <f ca="1">_xll.LVCELL($EG$3,EM$3,$DP86,$DQ$2,$DP$4,$DP$5,$DP$6,$DP$7,$DP$8,$DQ$3)-DA86</f>
        <v>#NAME?</v>
      </c>
      <c r="EN86" s="367" t="e">
        <f ca="1">_xll.LVCELL($EG$3,EN$3,$DP86,$DQ$2,$DP$4,$DP$5,$DP$6,$DP$7,$DP$8,$DQ$3)-DB86</f>
        <v>#NAME?</v>
      </c>
      <c r="EO86" s="368" t="e">
        <f ca="1">_xll.LVCELL($EG$3,EO$3,$DP86,$DQ$2,$DP$4,$DP$5,$DP$6,$DP$7,$DP$8,$DQ$3)-DC86</f>
        <v>#NAME?</v>
      </c>
      <c r="EP86" s="367" t="e">
        <f ca="1">_xll.LVCELL($EG$3,EP$3,$DP86,$DQ$2,$DP$4,$DP$5,$DP$6,$DP$7,$DP$8,$DQ$3)-DD86</f>
        <v>#NAME?</v>
      </c>
      <c r="EQ86" s="368" t="e">
        <f ca="1">_xll.LVCELL($EG$3,EQ$3,$DP86,$DQ$2,$DP$4,$DP$5,$DP$6,$DP$7,$DP$8,$DQ$3)-DE86</f>
        <v>#NAME?</v>
      </c>
      <c r="ER86" s="367" t="e">
        <f ca="1">_xll.LVCELL($EG$3,ER$3,$DP86,$DQ$2,$DP$4,$DP$5,$DP$6,$DP$7,$DP$8,$DQ$3)-DF86</f>
        <v>#NAME?</v>
      </c>
      <c r="ES86" s="368" t="e">
        <f ca="1">_xll.LVCELL($EG$3,ES$3,$DP86,$DQ$2,$DP$4,$DP$5,$DP$6,$DP$7,$DP$8,$DQ$3)-DG86</f>
        <v>#NAME?</v>
      </c>
      <c r="ET86" s="367" t="e">
        <f ca="1">_xll.LVCELL($EG$3,ET$3,$DP86,$DQ$2,$DP$4,$DP$5,$DP$6,$DP$7,$DP$8,$DQ$3)-DH86</f>
        <v>#NAME?</v>
      </c>
      <c r="EW86" s="64" t="s">
        <v>378</v>
      </c>
      <c r="EX86" s="64" t="s">
        <v>378</v>
      </c>
      <c r="EY86" s="359" t="s">
        <v>490</v>
      </c>
      <c r="EZ86" s="364">
        <f>_xll.LVCELL($EX$3,EZ$3,$DP86,$DQ$2,$DP$4,$DP$5,$DP$6,$DP$7,$DP$8,$DQ$3)</f>
        <v>4000</v>
      </c>
      <c r="FA86" s="364">
        <f>_xll.LVCELL($EX$3,FA$3,$DP86,$DQ$2,$DP$4,$DP$5,$DP$6,$DP$7,$DP$8,$DQ$3)</f>
        <v>4000</v>
      </c>
      <c r="FB86" s="364">
        <f>_xll.LVCELL($EX$3,FB$3,$DP86,$DQ$2,$DP$4,$DP$5,$DP$6,$DP$7,$DP$8,$DQ$3)</f>
        <v>4000</v>
      </c>
      <c r="FC86" s="364">
        <f>_xll.LVCELL($EX$3,FC$3,$DP86,$DQ$2,$DP$4,$DP$5,$DP$6,$DP$7,$DP$8,$DQ$3)</f>
        <v>4000</v>
      </c>
      <c r="FD86" s="364">
        <f>_xll.LVCELL($EX$3,FD$3,$DP86,$DQ$2,$DP$4,$DP$5,$DP$6,$DP$7,$DP$8,$DQ$3)</f>
        <v>4000</v>
      </c>
      <c r="FE86" s="364">
        <f>_xll.LVCELL($EX$3,FE$3,$DP86,$DQ$2,$DP$4,$DP$5,$DP$6,$DP$7,$DP$8,$DQ$3)</f>
        <v>4000</v>
      </c>
      <c r="FF86" s="364">
        <f>_xll.LVCELL($EX$3,FF$3,$DP86,$DQ$2,$DP$4,$DP$5,$DP$6,$DP$7,$DP$8,$DQ$3)</f>
        <v>4000</v>
      </c>
      <c r="FG86" s="364">
        <f>_xll.LVCELL($EX$3,FG$3,$DP86,$DQ$2,$DP$4,$DP$5,$DP$6,$DP$7,$DP$8,$DQ$3)</f>
        <v>4000</v>
      </c>
      <c r="FH86" s="364">
        <f>_xll.LVCELL($EX$3,FH$3,$DP86,$DQ$2,$DP$4,$DP$5,$DP$6,$DP$7,$DP$8,$DQ$3)</f>
        <v>4000</v>
      </c>
      <c r="FI86" s="364">
        <f>_xll.LVCELL($EX$3,FI$3,$DP86,$DQ$2,$DP$4,$DP$5,$DP$6,$DP$7,$DP$8,$DQ$3)</f>
        <v>4000</v>
      </c>
      <c r="FJ86" s="364">
        <f>_xll.LVCELL($EX$3,FJ$3,$DP86,$DQ$2,$DP$4,$DP$5,$DP$6,$DP$7,$DP$8,$DQ$3)</f>
        <v>4000</v>
      </c>
      <c r="FK86" s="276">
        <f>_xll.LVCELL($EX$3,FK$3,$DP86,$DQ$2,$DP$4,$DP$5,$DP$6,$DP$7,$DP$8,$DQ$3)</f>
        <v>4000</v>
      </c>
      <c r="FN86" s="64" t="s">
        <v>378</v>
      </c>
      <c r="FO86" s="64" t="s">
        <v>378</v>
      </c>
      <c r="FP86" s="359" t="s">
        <v>490</v>
      </c>
      <c r="FQ86" s="364">
        <f>_xll.LVCELL($FO$3,FQ$3,$DP86,$DQ$2,$DP$4,$DP$5,$DP$6,$DP$7,$DP$8,$DQ$3)</f>
        <v>2</v>
      </c>
      <c r="FR86" s="364">
        <f>_xll.LVCELL($FO$3,FR$3,$DP86,$DQ$2,$DP$4,$DP$5,$DP$6,$DP$7,$DP$8,$DQ$3)</f>
        <v>2</v>
      </c>
      <c r="FS86" s="364">
        <f>_xll.LVCELL($FO$3,FS$3,$DP86,$DQ$2,$DP$4,$DP$5,$DP$6,$DP$7,$DP$8,$DQ$3)</f>
        <v>2</v>
      </c>
      <c r="FT86" s="364">
        <f>_xll.LVCELL($FO$3,FT$3,$DP86,$DQ$2,$DP$4,$DP$5,$DP$6,$DP$7,$DP$8,$DQ$3)</f>
        <v>2</v>
      </c>
      <c r="FU86" s="364">
        <f>_xll.LVCELL($FO$3,FU$3,$DP86,$DQ$2,$DP$4,$DP$5,$DP$6,$DP$7,$DP$8,$DQ$3)</f>
        <v>2</v>
      </c>
      <c r="FV86" s="364">
        <f>_xll.LVCELL($FO$3,FV$3,$DP86,$DQ$2,$DP$4,$DP$5,$DP$6,$DP$7,$DP$8,$DQ$3)</f>
        <v>2</v>
      </c>
      <c r="FW86" s="364">
        <f>_xll.LVCELL($FO$3,FW$3,$DP86,$DQ$2,$DP$4,$DP$5,$DP$6,$DP$7,$DP$8,$DQ$3)</f>
        <v>2</v>
      </c>
      <c r="FX86" s="364">
        <f>_xll.LVCELL($FO$3,FX$3,$DP86,$DQ$2,$DP$4,$DP$5,$DP$6,$DP$7,$DP$8,$DQ$3)</f>
        <v>2</v>
      </c>
      <c r="FY86" s="364">
        <f>_xll.LVCELL($FO$3,FY$3,$DP86,$DQ$2,$DP$4,$DP$5,$DP$6,$DP$7,$DP$8,$DQ$3)</f>
        <v>2</v>
      </c>
      <c r="FZ86" s="364">
        <f>_xll.LVCELL($FO$3,FZ$3,$DP86,$DQ$2,$DP$4,$DP$5,$DP$6,$DP$7,$DP$8,$DQ$3)</f>
        <v>2</v>
      </c>
      <c r="GA86" s="364">
        <f>_xll.LVCELL($FO$3,GA$3,$DP86,$DQ$2,$DP$4,$DP$5,$DP$6,$DP$7,$DP$8,$DQ$3)</f>
        <v>2</v>
      </c>
      <c r="GB86" s="172">
        <f>_xll.LVCELL($FO$3,GB$3,$DP86,$DQ$2,$DP$4,$DP$5,$DP$6,$DP$7,$DP$8,$DQ$3)</f>
        <v>2</v>
      </c>
    </row>
    <row r="87" spans="2:184" ht="15">
      <c r="B87" s="64" t="s">
        <v>373</v>
      </c>
      <c r="C87" s="64" t="s">
        <v>373</v>
      </c>
      <c r="D87" s="359" t="s">
        <v>491</v>
      </c>
      <c r="E87" s="357">
        <f>_xll.LVCELL($C$3,Q$3,$C87,$D$2,$C$4,$C$5,$C$6,$C$7,$C$8,$D$3)/1000</f>
        <v>12</v>
      </c>
      <c r="F87" s="103">
        <f>'distribution mensuelle Prod B22'!$CA$36</f>
        <v>2306863.9325598166</v>
      </c>
      <c r="G87" s="103">
        <f>'distribution mensuelle Prod B22'!$CA$37</f>
        <v>1980572.0796700176</v>
      </c>
      <c r="H87" s="103">
        <f>'distribution mensuelle Prod B22'!$CA$38</f>
        <v>2039326.7076426111</v>
      </c>
      <c r="I87" s="103">
        <f>'distribution mensuelle Prod B22'!$CA$39</f>
        <v>1722108.5871712591</v>
      </c>
      <c r="J87" s="103">
        <f>'distribution mensuelle Prod B22'!$CA$40</f>
        <v>1481635.7088976731</v>
      </c>
      <c r="K87" s="103">
        <f>'distribution mensuelle Prod B22'!$CA$41</f>
        <v>1205362.2611589106</v>
      </c>
      <c r="L87" s="103">
        <f>'distribution mensuelle Prod B22'!$CA$42</f>
        <v>1173829.9944568465</v>
      </c>
      <c r="M87" s="103">
        <f>'distribution mensuelle Prod B22'!$CA$43</f>
        <v>1083915.4219588989</v>
      </c>
      <c r="N87" s="103">
        <f>'distribution mensuelle Prod B22'!$CA$44</f>
        <v>1452525.0183321722</v>
      </c>
      <c r="O87" s="103">
        <f>'distribution mensuelle Prod B22'!$CA$45</f>
        <v>1946102.3962797082</v>
      </c>
      <c r="P87" s="103">
        <f>'distribution mensuelle Prod B22'!$CA$46</f>
        <v>1952722.6500197444</v>
      </c>
      <c r="Q87" s="103">
        <f>'distribution mensuelle Prod B22'!$CA$47</f>
        <v>2400088.2439227202</v>
      </c>
      <c r="R87" s="67">
        <f t="shared" si="92"/>
        <v>20745053.002070379</v>
      </c>
      <c r="S87" s="358"/>
      <c r="T87" s="64" t="s">
        <v>3105</v>
      </c>
      <c r="U87" s="340">
        <f>-0.15*1000*CN87</f>
        <v>-14621.068201599264</v>
      </c>
      <c r="W87" s="113" t="str">
        <f t="shared" si="93"/>
        <v>E6130</v>
      </c>
      <c r="X87" s="359" t="str">
        <f t="shared" si="94"/>
        <v>Bassigny</v>
      </c>
      <c r="Y87" s="299" cm="1">
        <f t="array" ref="Y87">_xll.LVCELL($D$4,F$1,$B87,$D$2,$C$4,$C$5,$C$6,$C$7,$C$8,$D$3)*1000+_xll.LVCELL($D$5,F$1,$B87,$D$2,$C$4,$C$5,$C$6,$C$7,$C$8,$D$3)*1000</f>
        <v>93.140017</v>
      </c>
      <c r="Z87" s="299" cm="1">
        <f t="array" ref="Z87">_xll.LVCELL($D$4,G$1,$B87,$D$2,$C$4,$C$5,$C$6,$C$7,$C$8,$D$3)*1000+_xll.LVCELL($D$5,G$1,$B87,$D$2,$C$4,$C$5,$C$6,$C$7,$C$8,$D$3)*1000</f>
        <v>93.139990000000012</v>
      </c>
      <c r="AA87" s="299" cm="1">
        <f t="array" ref="AA87">_xll.LVCELL($D$4,H$1,$B87,$D$2,$C$4,$C$5,$C$6,$C$7,$C$8,$D$3)*1000+_xll.LVCELL($D$5,H$1,$B87,$D$2,$C$4,$C$5,$C$6,$C$7,$C$8,$D$3)*1000</f>
        <v>93.140018067805173</v>
      </c>
      <c r="AB87" s="299" cm="1">
        <f t="array" ref="AB87">_xll.LVCELL($D$4,I$1,$B87,$D$2,$C$4,$C$5,$C$6,$C$7,$C$8,$D$3)*1000+_xll.LVCELL($D$5,I$1,$B87,$D$2,$C$4,$C$5,$C$6,$C$7,$C$8,$D$3)*1000</f>
        <v>93.14</v>
      </c>
      <c r="AC87" s="299" cm="1">
        <f t="array" ref="AC87">_xll.LVCELL($D$4,J$1,$B87,$D$2,$C$4,$C$5,$C$6,$C$7,$C$8,$D$3)*1000+_xll.LVCELL($D$5,J$1,$B87,$D$2,$C$4,$C$5,$C$6,$C$7,$C$8,$D$3)*1000</f>
        <v>93.139980215866146</v>
      </c>
      <c r="AD87" s="299" cm="1">
        <f t="array" ref="AD87">_xll.LVCELL($D$4,K$1,$B87,$D$2,$C$4,$C$5,$C$6,$C$7,$C$8,$D$3)*1000+_xll.LVCELL($D$5,K$1,$B87,$D$2,$C$4,$C$5,$C$6,$C$7,$C$8,$D$3)*1000</f>
        <v>93.140073529411765</v>
      </c>
      <c r="AE87" s="299" cm="1">
        <f t="array" ref="AE87">_xll.LVCELL($D$4,L$1,$B87,$D$2,$C$4,$C$5,$C$6,$C$7,$C$8,$D$3)*1000+_xll.LVCELL($D$5,L$1,$B87,$D$2,$C$4,$C$5,$C$6,$C$7,$C$8,$D$3)*1000</f>
        <v>93.139996272214375</v>
      </c>
      <c r="AF87" s="299">
        <f>$AD$87</f>
        <v>93.140073529411765</v>
      </c>
      <c r="AG87" s="299">
        <f t="shared" si="141"/>
        <v>93.140073529411765</v>
      </c>
      <c r="AH87" s="411">
        <f t="shared" si="141"/>
        <v>93.140073529411765</v>
      </c>
      <c r="AI87" s="411">
        <f t="shared" si="142"/>
        <v>95.282295220588239</v>
      </c>
      <c r="AJ87" s="412">
        <f t="shared" si="143"/>
        <v>95.282295220588239</v>
      </c>
      <c r="AK87" s="552"/>
      <c r="AL87" s="134">
        <f t="shared" si="95"/>
        <v>2.3E-2</v>
      </c>
      <c r="AM87" s="134"/>
      <c r="AN87" s="134"/>
      <c r="AO87" s="134"/>
      <c r="AP87" s="113" t="str">
        <f t="shared" si="132"/>
        <v>E6130</v>
      </c>
      <c r="AQ87" s="567" t="str">
        <f t="shared" si="133"/>
        <v>Bassigny</v>
      </c>
      <c r="AR87" s="377"/>
      <c r="AS87" s="377"/>
      <c r="AT87" s="377"/>
      <c r="AU87" s="377"/>
      <c r="AV87" s="377"/>
      <c r="AW87" s="377"/>
      <c r="AX87" s="377"/>
      <c r="AY87" s="377"/>
      <c r="AZ87" s="377"/>
      <c r="BA87" s="377"/>
      <c r="BB87" s="377"/>
      <c r="BC87" s="378"/>
      <c r="BD87" s="552"/>
      <c r="BE87" s="134"/>
      <c r="BF87" s="134"/>
      <c r="BG87" s="134"/>
      <c r="BH87" s="134"/>
      <c r="BI87" s="113" t="str">
        <f t="shared" si="134"/>
        <v>E6130</v>
      </c>
      <c r="BJ87" s="567" t="str">
        <f t="shared" si="135"/>
        <v>Bassigny</v>
      </c>
      <c r="BK87" s="411">
        <f t="shared" si="145"/>
        <v>95.282295220588239</v>
      </c>
      <c r="BL87" s="411">
        <f t="shared" si="145"/>
        <v>95.282295220588239</v>
      </c>
      <c r="BM87" s="411">
        <f t="shared" si="145"/>
        <v>95.282295220588239</v>
      </c>
      <c r="BN87" s="411">
        <f t="shared" si="145"/>
        <v>95.282295220588239</v>
      </c>
      <c r="BO87" s="411">
        <f t="shared" si="145"/>
        <v>95.282295220588239</v>
      </c>
      <c r="BP87" s="411">
        <f t="shared" si="145"/>
        <v>95.282295220588239</v>
      </c>
      <c r="BQ87" s="411">
        <f t="shared" si="145"/>
        <v>95.282295220588239</v>
      </c>
      <c r="BR87" s="411">
        <f t="shared" si="145"/>
        <v>95.282295220588239</v>
      </c>
      <c r="BS87" s="411">
        <f t="shared" si="145"/>
        <v>95.282295220588239</v>
      </c>
      <c r="BT87" s="411">
        <f t="shared" si="145"/>
        <v>95.282295220588239</v>
      </c>
      <c r="BU87" s="411">
        <f t="shared" si="144"/>
        <v>97.473788010661764</v>
      </c>
      <c r="BV87" s="412">
        <f t="shared" si="98"/>
        <v>97.473788010661764</v>
      </c>
      <c r="BW87" s="552"/>
      <c r="BX87" s="134"/>
      <c r="BY87" s="134"/>
      <c r="BZ87" s="134"/>
      <c r="CA87" s="134"/>
      <c r="CB87" s="113" t="str">
        <f t="shared" si="99"/>
        <v>E6130</v>
      </c>
      <c r="CC87" s="373" t="str">
        <f t="shared" si="100"/>
        <v>Bassigny</v>
      </c>
      <c r="CD87" s="411">
        <f t="shared" si="136"/>
        <v>95.282295220588239</v>
      </c>
      <c r="CE87" s="411">
        <f t="shared" si="101"/>
        <v>95.282295220588239</v>
      </c>
      <c r="CF87" s="411">
        <f t="shared" si="102"/>
        <v>95.282295220588239</v>
      </c>
      <c r="CG87" s="411">
        <f t="shared" si="103"/>
        <v>95.282295220588239</v>
      </c>
      <c r="CH87" s="411">
        <f t="shared" si="104"/>
        <v>95.282295220588239</v>
      </c>
      <c r="CI87" s="411">
        <f t="shared" si="105"/>
        <v>95.282295220588239</v>
      </c>
      <c r="CJ87" s="411">
        <f t="shared" si="106"/>
        <v>95.282295220588239</v>
      </c>
      <c r="CK87" s="411">
        <f t="shared" si="107"/>
        <v>95.282295220588239</v>
      </c>
      <c r="CL87" s="411">
        <f t="shared" si="108"/>
        <v>95.282295220588239</v>
      </c>
      <c r="CM87" s="411">
        <f t="shared" si="109"/>
        <v>95.282295220588239</v>
      </c>
      <c r="CN87" s="411">
        <f t="shared" si="110"/>
        <v>97.473788010661764</v>
      </c>
      <c r="CO87" s="412">
        <f t="shared" si="111"/>
        <v>97.473788010661764</v>
      </c>
      <c r="CP87" s="552"/>
      <c r="CQ87" s="134">
        <f t="shared" si="112"/>
        <v>4.0000000000000001E-3</v>
      </c>
      <c r="CU87" s="113" t="str">
        <f t="shared" si="113"/>
        <v>E6130</v>
      </c>
      <c r="CV87" s="373" t="str">
        <f t="shared" si="114"/>
        <v>Bassigny</v>
      </c>
      <c r="CW87" s="384">
        <f t="shared" si="115"/>
        <v>219803.29025589162</v>
      </c>
      <c r="CX87" s="298">
        <f t="shared" si="116"/>
        <v>188713.45360077303</v>
      </c>
      <c r="CY87" s="298">
        <f t="shared" si="117"/>
        <v>194311.72940883352</v>
      </c>
      <c r="CZ87" s="298">
        <f t="shared" si="118"/>
        <v>164086.45880476205</v>
      </c>
      <c r="DA87" s="298">
        <f t="shared" si="119"/>
        <v>141173.65102455363</v>
      </c>
      <c r="DB87" s="298">
        <f t="shared" si="120"/>
        <v>114849.68281549911</v>
      </c>
      <c r="DC87" s="298">
        <f t="shared" si="121"/>
        <v>111845.21607061871</v>
      </c>
      <c r="DD87" s="298">
        <f t="shared" si="122"/>
        <v>103277.94922923628</v>
      </c>
      <c r="DE87" s="298">
        <f t="shared" si="123"/>
        <v>138399.91761201638</v>
      </c>
      <c r="DF87" s="298">
        <f t="shared" si="124"/>
        <v>185429.10305181736</v>
      </c>
      <c r="DG87" s="371">
        <f t="shared" si="125"/>
        <v>190339.27363164225</v>
      </c>
      <c r="DH87" s="372">
        <f t="shared" si="126"/>
        <v>233945.69269500469</v>
      </c>
      <c r="DI87" s="67">
        <f t="shared" si="127"/>
        <v>1986175.4182006486</v>
      </c>
      <c r="DJ87" s="364">
        <f>_xll.LVCELL($E$1,Q$2,$C87,$D$2,$C$4,$C$5,$C$6,$C$7,$C$8,$D$3)+_xll.LVCELL($E$2,Q$2,$C87,$D$2,$C$4,$C$5,$C$6,$C$7,$C$8,$D$3)</f>
        <v>1986175.414573458</v>
      </c>
      <c r="DK87" s="82">
        <f t="shared" si="137"/>
        <v>3.6271905992180109E-3</v>
      </c>
      <c r="DM87" s="518">
        <f t="shared" si="128"/>
        <v>95.742123098091199</v>
      </c>
      <c r="DO87" s="64" t="str">
        <f t="shared" si="129"/>
        <v>E6130</v>
      </c>
      <c r="DP87" s="64" t="str">
        <f t="shared" si="130"/>
        <v>E6130</v>
      </c>
      <c r="DQ87" s="359" t="str">
        <f t="shared" si="131"/>
        <v>Bassigny</v>
      </c>
      <c r="DR87" s="365">
        <f>_xll.LVCELL($DP$3,DR$3,$DP87,$DQ$2,$DP$4,$DP$5,$DP$6,$DP$7,$DP$8,$DQ$3)/100</f>
        <v>0.97</v>
      </c>
      <c r="DS87" s="365">
        <f>_xll.LVCELL($DP$3,DS$3,$DP87,$DQ$2,$DP$4,$DP$5,$DP$6,$DP$7,$DP$8,$DQ$3)/100</f>
        <v>0.97</v>
      </c>
      <c r="DT87" s="365">
        <f>_xll.LVCELL($DP$3,DT$3,$DP87,$DQ$2,$DP$4,$DP$5,$DP$6,$DP$7,$DP$8,$DQ$3)/100</f>
        <v>0.97</v>
      </c>
      <c r="DU87" s="365">
        <f>_xll.LVCELL($DP$3,DU$3,$DP87,$DQ$2,$DP$4,$DP$5,$DP$6,$DP$7,$DP$8,$DQ$3)/100</f>
        <v>0.97</v>
      </c>
      <c r="DV87" s="365">
        <f>_xll.LVCELL($DP$3,DV$3,$DP87,$DQ$2,$DP$4,$DP$5,$DP$6,$DP$7,$DP$8,$DQ$3)/100</f>
        <v>0.97</v>
      </c>
      <c r="DW87" s="365">
        <f>_xll.LVCELL($DP$3,DW$3,$DP87,$DQ$2,$DP$4,$DP$5,$DP$6,$DP$7,$DP$8,$DQ$3)/100</f>
        <v>0.97</v>
      </c>
      <c r="DX87" s="365">
        <f>_xll.LVCELL($DP$3,DX$3,$DP87,$DQ$2,$DP$4,$DP$5,$DP$6,$DP$7,$DP$8,$DQ$3)/100</f>
        <v>0.97</v>
      </c>
      <c r="DY87" s="365">
        <f>_xll.LVCELL($DP$3,DY$3,$DP87,$DQ$2,$DP$4,$DP$5,$DP$6,$DP$7,$DP$8,$DQ$3)/100</f>
        <v>0.97</v>
      </c>
      <c r="DZ87" s="365">
        <f>_xll.LVCELL($DP$3,DZ$3,$DP87,$DQ$2,$DP$4,$DP$5,$DP$6,$DP$7,$DP$8,$DQ$3)/100</f>
        <v>0.97</v>
      </c>
      <c r="EA87" s="365">
        <f>_xll.LVCELL($DP$3,EA$3,$DP87,$DQ$2,$DP$4,$DP$5,$DP$6,$DP$7,$DP$8,$DQ$3)/100</f>
        <v>0.97</v>
      </c>
      <c r="EB87" s="365">
        <f>_xll.LVCELL($DP$3,EB$3,$DP87,$DQ$2,$DP$4,$DP$5,$DP$6,$DP$7,$DP$8,$DQ$3)/100</f>
        <v>0.97</v>
      </c>
      <c r="EC87" s="365">
        <f>_xll.LVCELL($DP$3,EC$3,$DP87,$DQ$2,$DP$4,$DP$5,$DP$6,$DP$7,$DP$8,$DQ$3)/100</f>
        <v>0.97</v>
      </c>
      <c r="ED87" s="582">
        <f t="shared" si="138"/>
        <v>11.64</v>
      </c>
      <c r="EF87" s="64" t="s">
        <v>373</v>
      </c>
      <c r="EG87" s="64" t="s">
        <v>373</v>
      </c>
      <c r="EH87" s="359" t="s">
        <v>491</v>
      </c>
      <c r="EI87" s="366" t="e">
        <f ca="1">_xll.LVCELL($EG$3,EI$3,$DP87,$DQ$2,$DP$4,$DP$5,$DP$6,$DP$7,$DP$8,$DQ$3)-CW87</f>
        <v>#NAME?</v>
      </c>
      <c r="EJ87" s="367" t="e">
        <f ca="1">_xll.LVCELL($EG$3,EJ$3,$DP87,$DQ$2,$DP$4,$DP$5,$DP$6,$DP$7,$DP$8,$DQ$3)-CX87</f>
        <v>#NAME?</v>
      </c>
      <c r="EK87" s="368" t="e">
        <f ca="1">_xll.LVCELL($EG$3,EK$3,$DP87,$DQ$2,$DP$4,$DP$5,$DP$6,$DP$7,$DP$8,$DQ$3)-CY87</f>
        <v>#NAME?</v>
      </c>
      <c r="EL87" s="367" t="e">
        <f ca="1">_xll.LVCELL($EG$3,EL$3,$DP87,$DQ$2,$DP$4,$DP$5,$DP$6,$DP$7,$DP$8,$DQ$3)-CZ87</f>
        <v>#NAME?</v>
      </c>
      <c r="EM87" s="368" t="e">
        <f ca="1">_xll.LVCELL($EG$3,EM$3,$DP87,$DQ$2,$DP$4,$DP$5,$DP$6,$DP$7,$DP$8,$DQ$3)-DA87</f>
        <v>#NAME?</v>
      </c>
      <c r="EN87" s="367" t="e">
        <f ca="1">_xll.LVCELL($EG$3,EN$3,$DP87,$DQ$2,$DP$4,$DP$5,$DP$6,$DP$7,$DP$8,$DQ$3)-DB87</f>
        <v>#NAME?</v>
      </c>
      <c r="EO87" s="368" t="e">
        <f ca="1">_xll.LVCELL($EG$3,EO$3,$DP87,$DQ$2,$DP$4,$DP$5,$DP$6,$DP$7,$DP$8,$DQ$3)-DC87</f>
        <v>#NAME?</v>
      </c>
      <c r="EP87" s="367" t="e">
        <f ca="1">_xll.LVCELL($EG$3,EP$3,$DP87,$DQ$2,$DP$4,$DP$5,$DP$6,$DP$7,$DP$8,$DQ$3)-DD87</f>
        <v>#NAME?</v>
      </c>
      <c r="EQ87" s="368" t="e">
        <f ca="1">_xll.LVCELL($EG$3,EQ$3,$DP87,$DQ$2,$DP$4,$DP$5,$DP$6,$DP$7,$DP$8,$DQ$3)-DE87</f>
        <v>#NAME?</v>
      </c>
      <c r="ER87" s="367" t="e">
        <f ca="1">_xll.LVCELL($EG$3,ER$3,$DP87,$DQ$2,$DP$4,$DP$5,$DP$6,$DP$7,$DP$8,$DQ$3)-DF87</f>
        <v>#NAME?</v>
      </c>
      <c r="ES87" s="368" t="e">
        <f ca="1">_xll.LVCELL($EG$3,ES$3,$DP87,$DQ$2,$DP$4,$DP$5,$DP$6,$DP$7,$DP$8,$DQ$3)-DG87</f>
        <v>#NAME?</v>
      </c>
      <c r="ET87" s="367" t="e">
        <f ca="1">_xll.LVCELL($EG$3,ET$3,$DP87,$DQ$2,$DP$4,$DP$5,$DP$6,$DP$7,$DP$8,$DQ$3)-DH87</f>
        <v>#NAME?</v>
      </c>
      <c r="EW87" s="64" t="s">
        <v>373</v>
      </c>
      <c r="EX87" s="64" t="s">
        <v>373</v>
      </c>
      <c r="EY87" s="359" t="s">
        <v>491</v>
      </c>
      <c r="EZ87" s="364">
        <f>_xll.LVCELL($EX$3,EZ$3,$DP87,$DQ$2,$DP$4,$DP$5,$DP$6,$DP$7,$DP$8,$DQ$3)</f>
        <v>12000</v>
      </c>
      <c r="FA87" s="364">
        <f>_xll.LVCELL($EX$3,FA$3,$DP87,$DQ$2,$DP$4,$DP$5,$DP$6,$DP$7,$DP$8,$DQ$3)</f>
        <v>12000</v>
      </c>
      <c r="FB87" s="364">
        <f>_xll.LVCELL($EX$3,FB$3,$DP87,$DQ$2,$DP$4,$DP$5,$DP$6,$DP$7,$DP$8,$DQ$3)</f>
        <v>12000</v>
      </c>
      <c r="FC87" s="364">
        <f>_xll.LVCELL($EX$3,FC$3,$DP87,$DQ$2,$DP$4,$DP$5,$DP$6,$DP$7,$DP$8,$DQ$3)</f>
        <v>12000</v>
      </c>
      <c r="FD87" s="364">
        <f>_xll.LVCELL($EX$3,FD$3,$DP87,$DQ$2,$DP$4,$DP$5,$DP$6,$DP$7,$DP$8,$DQ$3)</f>
        <v>12000</v>
      </c>
      <c r="FE87" s="364">
        <f>_xll.LVCELL($EX$3,FE$3,$DP87,$DQ$2,$DP$4,$DP$5,$DP$6,$DP$7,$DP$8,$DQ$3)</f>
        <v>12000</v>
      </c>
      <c r="FF87" s="364">
        <f>_xll.LVCELL($EX$3,FF$3,$DP87,$DQ$2,$DP$4,$DP$5,$DP$6,$DP$7,$DP$8,$DQ$3)</f>
        <v>12000</v>
      </c>
      <c r="FG87" s="364">
        <f>_xll.LVCELL($EX$3,FG$3,$DP87,$DQ$2,$DP$4,$DP$5,$DP$6,$DP$7,$DP$8,$DQ$3)</f>
        <v>12000</v>
      </c>
      <c r="FH87" s="364">
        <f>_xll.LVCELL($EX$3,FH$3,$DP87,$DQ$2,$DP$4,$DP$5,$DP$6,$DP$7,$DP$8,$DQ$3)</f>
        <v>12000</v>
      </c>
      <c r="FI87" s="364">
        <f>_xll.LVCELL($EX$3,FI$3,$DP87,$DQ$2,$DP$4,$DP$5,$DP$6,$DP$7,$DP$8,$DQ$3)</f>
        <v>12000</v>
      </c>
      <c r="FJ87" s="364">
        <f>_xll.LVCELL($EX$3,FJ$3,$DP87,$DQ$2,$DP$4,$DP$5,$DP$6,$DP$7,$DP$8,$DQ$3)</f>
        <v>12000</v>
      </c>
      <c r="FK87" s="276">
        <f>_xll.LVCELL($EX$3,FK$3,$DP87,$DQ$2,$DP$4,$DP$5,$DP$6,$DP$7,$DP$8,$DQ$3)</f>
        <v>12000</v>
      </c>
      <c r="FN87" s="64" t="s">
        <v>373</v>
      </c>
      <c r="FO87" s="64" t="s">
        <v>373</v>
      </c>
      <c r="FP87" s="359" t="s">
        <v>491</v>
      </c>
      <c r="FQ87" s="364">
        <f>_xll.LVCELL($FO$3,FQ$3,$DP87,$DQ$2,$DP$4,$DP$5,$DP$6,$DP$7,$DP$8,$DQ$3)</f>
        <v>6</v>
      </c>
      <c r="FR87" s="364">
        <f>_xll.LVCELL($FO$3,FR$3,$DP87,$DQ$2,$DP$4,$DP$5,$DP$6,$DP$7,$DP$8,$DQ$3)</f>
        <v>6</v>
      </c>
      <c r="FS87" s="364">
        <f>_xll.LVCELL($FO$3,FS$3,$DP87,$DQ$2,$DP$4,$DP$5,$DP$6,$DP$7,$DP$8,$DQ$3)</f>
        <v>6</v>
      </c>
      <c r="FT87" s="364">
        <f>_xll.LVCELL($FO$3,FT$3,$DP87,$DQ$2,$DP$4,$DP$5,$DP$6,$DP$7,$DP$8,$DQ$3)</f>
        <v>6</v>
      </c>
      <c r="FU87" s="364">
        <f>_xll.LVCELL($FO$3,FU$3,$DP87,$DQ$2,$DP$4,$DP$5,$DP$6,$DP$7,$DP$8,$DQ$3)</f>
        <v>6</v>
      </c>
      <c r="FV87" s="364">
        <f>_xll.LVCELL($FO$3,FV$3,$DP87,$DQ$2,$DP$4,$DP$5,$DP$6,$DP$7,$DP$8,$DQ$3)</f>
        <v>6</v>
      </c>
      <c r="FW87" s="364">
        <f>_xll.LVCELL($FO$3,FW$3,$DP87,$DQ$2,$DP$4,$DP$5,$DP$6,$DP$7,$DP$8,$DQ$3)</f>
        <v>6</v>
      </c>
      <c r="FX87" s="364">
        <f>_xll.LVCELL($FO$3,FX$3,$DP87,$DQ$2,$DP$4,$DP$5,$DP$6,$DP$7,$DP$8,$DQ$3)</f>
        <v>6</v>
      </c>
      <c r="FY87" s="364">
        <f>_xll.LVCELL($FO$3,FY$3,$DP87,$DQ$2,$DP$4,$DP$5,$DP$6,$DP$7,$DP$8,$DQ$3)</f>
        <v>6</v>
      </c>
      <c r="FZ87" s="364">
        <f>_xll.LVCELL($FO$3,FZ$3,$DP87,$DQ$2,$DP$4,$DP$5,$DP$6,$DP$7,$DP$8,$DQ$3)</f>
        <v>6</v>
      </c>
      <c r="GA87" s="364">
        <f>_xll.LVCELL($FO$3,GA$3,$DP87,$DQ$2,$DP$4,$DP$5,$DP$6,$DP$7,$DP$8,$DQ$3)</f>
        <v>6</v>
      </c>
      <c r="GB87" s="172">
        <f>_xll.LVCELL($FO$3,GB$3,$DP87,$DQ$2,$DP$4,$DP$5,$DP$6,$DP$7,$DP$8,$DQ$3)</f>
        <v>6</v>
      </c>
    </row>
    <row r="88" spans="2:184" ht="15">
      <c r="B88" s="64" t="s">
        <v>374</v>
      </c>
      <c r="C88" s="64" t="s">
        <v>374</v>
      </c>
      <c r="D88" s="359" t="s">
        <v>492</v>
      </c>
      <c r="E88" s="357">
        <f>_xll.LVCELL($C$3,Q$3,$C88,$D$2,$C$4,$C$5,$C$6,$C$7,$C$8,$D$3)/1000</f>
        <v>8</v>
      </c>
      <c r="F88" s="103">
        <f>'distribution mensuelle Prod B22'!$CB$36</f>
        <v>1809755.4956422045</v>
      </c>
      <c r="G88" s="103">
        <f>'distribution mensuelle Prod B22'!$CB$37</f>
        <v>1512766.1059254992</v>
      </c>
      <c r="H88" s="103">
        <f>'distribution mensuelle Prod B22'!$CB$38</f>
        <v>1487366.086760683</v>
      </c>
      <c r="I88" s="103">
        <f>'distribution mensuelle Prod B22'!$CB$39</f>
        <v>1237485.2186346117</v>
      </c>
      <c r="J88" s="103">
        <f>'distribution mensuelle Prod B22'!$CB$40</f>
        <v>1092135.5562071863</v>
      </c>
      <c r="K88" s="103">
        <f>'distribution mensuelle Prod B22'!$CB$41</f>
        <v>844560.88846857881</v>
      </c>
      <c r="L88" s="103">
        <f>'distribution mensuelle Prod B22'!$CB$42</f>
        <v>848432.54419353942</v>
      </c>
      <c r="M88" s="103">
        <f>'distribution mensuelle Prod B22'!$CB$43</f>
        <v>782785.60737805534</v>
      </c>
      <c r="N88" s="103">
        <f>'distribution mensuelle Prod B22'!$CB$44</f>
        <v>1038629.8267344155</v>
      </c>
      <c r="O88" s="103">
        <f>'distribution mensuelle Prod B22'!$CB$45</f>
        <v>1423967.3327128524</v>
      </c>
      <c r="P88" s="103">
        <f>'distribution mensuelle Prod B22'!$CB$46</f>
        <v>1488556.468364181</v>
      </c>
      <c r="Q88" s="103">
        <f>'distribution mensuelle Prod B22'!$CB$47</f>
        <v>1846176.0564781921</v>
      </c>
      <c r="R88" s="67">
        <f t="shared" si="92"/>
        <v>15412617.1875</v>
      </c>
      <c r="S88" s="358"/>
      <c r="W88" s="113" t="str">
        <f t="shared" si="93"/>
        <v>E6210</v>
      </c>
      <c r="X88" s="359" t="str">
        <f t="shared" si="94"/>
        <v>Les Clérimois</v>
      </c>
      <c r="Y88" s="299" cm="1">
        <f t="array" ref="Y88">_xll.LVCELL($D$4,F$1,$B88,$D$2,$C$4,$C$5,$C$6,$C$7,$C$8,$D$3)*1000+_xll.LVCELL($D$5,F$1,$B88,$D$2,$C$4,$C$5,$C$6,$C$7,$C$8,$D$3)*1000</f>
        <v>95.049982</v>
      </c>
      <c r="Z88" s="299" cm="1">
        <f t="array" ref="Z88">_xll.LVCELL($D$4,G$1,$B88,$D$2,$C$4,$C$5,$C$6,$C$7,$C$8,$D$3)*1000+_xll.LVCELL($D$5,G$1,$B88,$D$2,$C$4,$C$5,$C$6,$C$7,$C$8,$D$3)*1000</f>
        <v>95.040820999999994</v>
      </c>
      <c r="AA88" s="299" cm="1">
        <f t="array" ref="AA88">_xll.LVCELL($D$4,H$1,$B88,$D$2,$C$4,$C$5,$C$6,$C$7,$C$8,$D$3)*1000+_xll.LVCELL($D$5,H$1,$B88,$D$2,$C$4,$C$5,$C$6,$C$7,$C$8,$D$3)*1000</f>
        <v>95.05001564176186</v>
      </c>
      <c r="AB88" s="299" cm="1">
        <f t="array" ref="AB88">_xll.LVCELL($D$4,I$1,$B88,$D$2,$C$4,$C$5,$C$6,$C$7,$C$8,$D$3)*1000+_xll.LVCELL($D$5,I$1,$B88,$D$2,$C$4,$C$5,$C$6,$C$7,$C$8,$D$3)*1000</f>
        <v>95.050034779032075</v>
      </c>
      <c r="AC88" s="299" cm="1">
        <f t="array" ref="AC88">_xll.LVCELL($D$4,J$1,$B88,$D$2,$C$4,$C$5,$C$6,$C$7,$C$8,$D$3)*1000+_xll.LVCELL($D$5,J$1,$B88,$D$2,$C$4,$C$5,$C$6,$C$7,$C$8,$D$3)*1000</f>
        <v>80.533924135948482</v>
      </c>
      <c r="AD88" s="299" cm="1">
        <f t="array" ref="AD88">_xll.LVCELL($D$4,K$1,$B88,$D$2,$C$4,$C$5,$C$6,$C$7,$C$8,$D$3)*1000+_xll.LVCELL($D$5,K$1,$B88,$D$2,$C$4,$C$5,$C$6,$C$7,$C$8,$D$3)*1000</f>
        <v>159.91383538326906</v>
      </c>
      <c r="AE88" s="299" cm="1">
        <f t="array" ref="AE88">_xll.LVCELL($D$4,L$1,$B88,$D$2,$C$4,$C$5,$C$6,$C$7,$C$8,$D$3)*1000+_xll.LVCELL($D$5,L$1,$B88,$D$2,$C$4,$C$5,$C$6,$C$7,$C$8,$D$3)*1000</f>
        <v>95.036034792724678</v>
      </c>
      <c r="AF88" s="411">
        <f>$AB$88</f>
        <v>95.050034779032075</v>
      </c>
      <c r="AG88" s="299">
        <f t="shared" si="141"/>
        <v>95.050034779032075</v>
      </c>
      <c r="AH88" s="411">
        <f t="shared" si="141"/>
        <v>95.050034779032075</v>
      </c>
      <c r="AI88" s="411">
        <f t="shared" si="142"/>
        <v>97.236185578949815</v>
      </c>
      <c r="AJ88" s="412">
        <f t="shared" si="143"/>
        <v>97.236185578949815</v>
      </c>
      <c r="AK88" s="414"/>
      <c r="AL88" s="134">
        <f t="shared" si="95"/>
        <v>2.3E-2</v>
      </c>
      <c r="AM88" s="134"/>
      <c r="AN88" s="134"/>
      <c r="AO88" s="134"/>
      <c r="AP88" s="113" t="str">
        <f t="shared" si="132"/>
        <v>E6210</v>
      </c>
      <c r="AQ88" s="567" t="str">
        <f t="shared" si="133"/>
        <v>Les Clérimois</v>
      </c>
      <c r="AR88" s="377"/>
      <c r="AS88" s="377"/>
      <c r="AT88" s="377"/>
      <c r="AU88" s="377"/>
      <c r="AV88" s="377"/>
      <c r="AW88" s="377"/>
      <c r="AX88" s="377"/>
      <c r="AY88" s="377"/>
      <c r="AZ88" s="377"/>
      <c r="BA88" s="377"/>
      <c r="BB88" s="377"/>
      <c r="BC88" s="378"/>
      <c r="BD88" s="414"/>
      <c r="BE88" s="134"/>
      <c r="BF88" s="134"/>
      <c r="BG88" s="134"/>
      <c r="BH88" s="134"/>
      <c r="BI88" s="113" t="str">
        <f t="shared" si="134"/>
        <v>E6210</v>
      </c>
      <c r="BJ88" s="567" t="str">
        <f t="shared" si="135"/>
        <v>Les Clérimois</v>
      </c>
      <c r="BK88" s="411">
        <f t="shared" si="145"/>
        <v>97.236185578949815</v>
      </c>
      <c r="BL88" s="411">
        <f t="shared" si="145"/>
        <v>97.236185578949815</v>
      </c>
      <c r="BM88" s="411">
        <f t="shared" si="145"/>
        <v>97.236185578949815</v>
      </c>
      <c r="BN88" s="411">
        <f t="shared" si="145"/>
        <v>97.236185578949815</v>
      </c>
      <c r="BO88" s="411">
        <f t="shared" si="145"/>
        <v>97.236185578949815</v>
      </c>
      <c r="BP88" s="411">
        <f t="shared" si="145"/>
        <v>97.236185578949815</v>
      </c>
      <c r="BQ88" s="411">
        <f t="shared" si="145"/>
        <v>97.236185578949815</v>
      </c>
      <c r="BR88" s="411">
        <f t="shared" si="145"/>
        <v>97.236185578949815</v>
      </c>
      <c r="BS88" s="411">
        <f t="shared" si="145"/>
        <v>97.236185578949815</v>
      </c>
      <c r="BT88" s="411">
        <f t="shared" si="145"/>
        <v>97.236185578949815</v>
      </c>
      <c r="BU88" s="411">
        <f t="shared" si="144"/>
        <v>99.472617847265667</v>
      </c>
      <c r="BV88" s="412">
        <f t="shared" si="98"/>
        <v>99.472617847265667</v>
      </c>
      <c r="BW88" s="414"/>
      <c r="BX88" s="134"/>
      <c r="BY88" s="134"/>
      <c r="BZ88" s="134"/>
      <c r="CA88" s="134"/>
      <c r="CB88" s="113" t="str">
        <f t="shared" si="99"/>
        <v>E6210</v>
      </c>
      <c r="CC88" s="373" t="str">
        <f t="shared" si="100"/>
        <v>Les Clérimois</v>
      </c>
      <c r="CD88" s="411">
        <f t="shared" si="136"/>
        <v>97.236185578949815</v>
      </c>
      <c r="CE88" s="411">
        <f t="shared" si="101"/>
        <v>97.236185578949815</v>
      </c>
      <c r="CF88" s="411">
        <f t="shared" si="102"/>
        <v>97.236185578949815</v>
      </c>
      <c r="CG88" s="411">
        <f t="shared" si="103"/>
        <v>97.236185578949815</v>
      </c>
      <c r="CH88" s="411">
        <f t="shared" si="104"/>
        <v>97.236185578949815</v>
      </c>
      <c r="CI88" s="411">
        <f t="shared" si="105"/>
        <v>97.236185578949815</v>
      </c>
      <c r="CJ88" s="411">
        <f t="shared" si="106"/>
        <v>97.236185578949815</v>
      </c>
      <c r="CK88" s="411">
        <f t="shared" si="107"/>
        <v>97.236185578949815</v>
      </c>
      <c r="CL88" s="411">
        <f t="shared" si="108"/>
        <v>97.236185578949815</v>
      </c>
      <c r="CM88" s="411">
        <f t="shared" si="109"/>
        <v>97.236185578949815</v>
      </c>
      <c r="CN88" s="411">
        <f t="shared" si="110"/>
        <v>99.472617847265667</v>
      </c>
      <c r="CO88" s="412">
        <f t="shared" si="111"/>
        <v>99.472617847265667</v>
      </c>
      <c r="CP88" s="414"/>
      <c r="CQ88" s="134">
        <f t="shared" si="112"/>
        <v>4.0000000000000001E-3</v>
      </c>
      <c r="CU88" s="113" t="str">
        <f t="shared" si="113"/>
        <v>E6210</v>
      </c>
      <c r="CV88" s="373" t="str">
        <f t="shared" si="114"/>
        <v>Les Clérimois</v>
      </c>
      <c r="CW88" s="384">
        <f t="shared" si="115"/>
        <v>175973.72122678973</v>
      </c>
      <c r="CX88" s="298">
        <f t="shared" si="116"/>
        <v>147095.60581331712</v>
      </c>
      <c r="CY88" s="298">
        <f t="shared" si="117"/>
        <v>144625.80483609816</v>
      </c>
      <c r="CZ88" s="298">
        <f t="shared" si="118"/>
        <v>120328.3423703624</v>
      </c>
      <c r="DA88" s="298">
        <f t="shared" si="119"/>
        <v>106195.09562073155</v>
      </c>
      <c r="DB88" s="298">
        <f t="shared" si="120"/>
        <v>82121.879283853472</v>
      </c>
      <c r="DC88" s="298">
        <f t="shared" si="121"/>
        <v>82498.344318423551</v>
      </c>
      <c r="DD88" s="298">
        <f t="shared" si="122"/>
        <v>76115.086587543541</v>
      </c>
      <c r="DE88" s="298">
        <f t="shared" si="123"/>
        <v>100992.40258018012</v>
      </c>
      <c r="DF88" s="298">
        <f t="shared" si="124"/>
        <v>138461.15182202909</v>
      </c>
      <c r="DG88" s="371">
        <f t="shared" si="125"/>
        <v>148070.6087216656</v>
      </c>
      <c r="DH88" s="372">
        <f t="shared" si="126"/>
        <v>183643.96534482719</v>
      </c>
      <c r="DI88" s="67">
        <f t="shared" si="127"/>
        <v>1506122.0085258214</v>
      </c>
      <c r="DJ88" s="364">
        <f>_xll.LVCELL($E$1,Q$2,$C88,$D$2,$C$4,$C$5,$C$6,$C$7,$C$8,$D$3)+_xll.LVCELL($E$2,Q$2,$C88,$D$2,$C$4,$C$5,$C$6,$C$7,$C$8,$D$3)</f>
        <v>1506121.9947149861</v>
      </c>
      <c r="DK88" s="82">
        <f t="shared" si="137"/>
        <v>1.3810835313051939E-2</v>
      </c>
      <c r="DM88" s="518">
        <f t="shared" si="128"/>
        <v>97.720068577796269</v>
      </c>
      <c r="DO88" s="64" t="str">
        <f t="shared" si="129"/>
        <v>E6210</v>
      </c>
      <c r="DP88" s="64" t="str">
        <f t="shared" si="130"/>
        <v>E6210</v>
      </c>
      <c r="DQ88" s="359" t="str">
        <f t="shared" si="131"/>
        <v>Les Clérimois</v>
      </c>
      <c r="DR88" s="365">
        <f>_xll.LVCELL($DP$3,DR$3,$DP88,$DQ$2,$DP$4,$DP$5,$DP$6,$DP$7,$DP$8,$DQ$3)/100</f>
        <v>0.97</v>
      </c>
      <c r="DS88" s="365">
        <f>_xll.LVCELL($DP$3,DS$3,$DP88,$DQ$2,$DP$4,$DP$5,$DP$6,$DP$7,$DP$8,$DQ$3)/100</f>
        <v>0.97</v>
      </c>
      <c r="DT88" s="365">
        <f>_xll.LVCELL($DP$3,DT$3,$DP88,$DQ$2,$DP$4,$DP$5,$DP$6,$DP$7,$DP$8,$DQ$3)/100</f>
        <v>0.97</v>
      </c>
      <c r="DU88" s="365">
        <f>_xll.LVCELL($DP$3,DU$3,$DP88,$DQ$2,$DP$4,$DP$5,$DP$6,$DP$7,$DP$8,$DQ$3)/100</f>
        <v>0.97</v>
      </c>
      <c r="DV88" s="365">
        <f>_xll.LVCELL($DP$3,DV$3,$DP88,$DQ$2,$DP$4,$DP$5,$DP$6,$DP$7,$DP$8,$DQ$3)/100</f>
        <v>0.97</v>
      </c>
      <c r="DW88" s="365">
        <f>_xll.LVCELL($DP$3,DW$3,$DP88,$DQ$2,$DP$4,$DP$5,$DP$6,$DP$7,$DP$8,$DQ$3)/100</f>
        <v>0.97</v>
      </c>
      <c r="DX88" s="365">
        <f>_xll.LVCELL($DP$3,DX$3,$DP88,$DQ$2,$DP$4,$DP$5,$DP$6,$DP$7,$DP$8,$DQ$3)/100</f>
        <v>0.97</v>
      </c>
      <c r="DY88" s="365">
        <f>_xll.LVCELL($DP$3,DY$3,$DP88,$DQ$2,$DP$4,$DP$5,$DP$6,$DP$7,$DP$8,$DQ$3)/100</f>
        <v>0.97</v>
      </c>
      <c r="DZ88" s="365">
        <f>_xll.LVCELL($DP$3,DZ$3,$DP88,$DQ$2,$DP$4,$DP$5,$DP$6,$DP$7,$DP$8,$DQ$3)/100</f>
        <v>0.97</v>
      </c>
      <c r="EA88" s="365">
        <f>_xll.LVCELL($DP$3,EA$3,$DP88,$DQ$2,$DP$4,$DP$5,$DP$6,$DP$7,$DP$8,$DQ$3)/100</f>
        <v>0.97</v>
      </c>
      <c r="EB88" s="365">
        <f>_xll.LVCELL($DP$3,EB$3,$DP88,$DQ$2,$DP$4,$DP$5,$DP$6,$DP$7,$DP$8,$DQ$3)/100</f>
        <v>0.97</v>
      </c>
      <c r="EC88" s="365">
        <f>_xll.LVCELL($DP$3,EC$3,$DP88,$DQ$2,$DP$4,$DP$5,$DP$6,$DP$7,$DP$8,$DQ$3)/100</f>
        <v>0.97</v>
      </c>
      <c r="ED88" s="582">
        <f t="shared" si="138"/>
        <v>11.64</v>
      </c>
      <c r="EF88" s="64" t="s">
        <v>374</v>
      </c>
      <c r="EG88" s="64" t="s">
        <v>374</v>
      </c>
      <c r="EH88" s="359" t="s">
        <v>492</v>
      </c>
      <c r="EI88" s="366" t="e">
        <f ca="1">_xll.LVCELL($EG$3,EI$3,$DP88,$DQ$2,$DP$4,$DP$5,$DP$6,$DP$7,$DP$8,$DQ$3)-CW88</f>
        <v>#NAME?</v>
      </c>
      <c r="EJ88" s="367" t="e">
        <f ca="1">_xll.LVCELL($EG$3,EJ$3,$DP88,$DQ$2,$DP$4,$DP$5,$DP$6,$DP$7,$DP$8,$DQ$3)-CX88</f>
        <v>#NAME?</v>
      </c>
      <c r="EK88" s="368" t="e">
        <f ca="1">_xll.LVCELL($EG$3,EK$3,$DP88,$DQ$2,$DP$4,$DP$5,$DP$6,$DP$7,$DP$8,$DQ$3)-CY88</f>
        <v>#NAME?</v>
      </c>
      <c r="EL88" s="367" t="e">
        <f ca="1">_xll.LVCELL($EG$3,EL$3,$DP88,$DQ$2,$DP$4,$DP$5,$DP$6,$DP$7,$DP$8,$DQ$3)-CZ88</f>
        <v>#NAME?</v>
      </c>
      <c r="EM88" s="368" t="e">
        <f ca="1">_xll.LVCELL($EG$3,EM$3,$DP88,$DQ$2,$DP$4,$DP$5,$DP$6,$DP$7,$DP$8,$DQ$3)-DA88</f>
        <v>#NAME?</v>
      </c>
      <c r="EN88" s="367" t="e">
        <f ca="1">_xll.LVCELL($EG$3,EN$3,$DP88,$DQ$2,$DP$4,$DP$5,$DP$6,$DP$7,$DP$8,$DQ$3)-DB88</f>
        <v>#NAME?</v>
      </c>
      <c r="EO88" s="368" t="e">
        <f ca="1">_xll.LVCELL($EG$3,EO$3,$DP88,$DQ$2,$DP$4,$DP$5,$DP$6,$DP$7,$DP$8,$DQ$3)-DC88</f>
        <v>#NAME?</v>
      </c>
      <c r="EP88" s="367" t="e">
        <f ca="1">_xll.LVCELL($EG$3,EP$3,$DP88,$DQ$2,$DP$4,$DP$5,$DP$6,$DP$7,$DP$8,$DQ$3)-DD88</f>
        <v>#NAME?</v>
      </c>
      <c r="EQ88" s="368" t="e">
        <f ca="1">_xll.LVCELL($EG$3,EQ$3,$DP88,$DQ$2,$DP$4,$DP$5,$DP$6,$DP$7,$DP$8,$DQ$3)-DE88</f>
        <v>#NAME?</v>
      </c>
      <c r="ER88" s="367" t="e">
        <f ca="1">_xll.LVCELL($EG$3,ER$3,$DP88,$DQ$2,$DP$4,$DP$5,$DP$6,$DP$7,$DP$8,$DQ$3)-DF88</f>
        <v>#NAME?</v>
      </c>
      <c r="ES88" s="368" t="e">
        <f ca="1">_xll.LVCELL($EG$3,ES$3,$DP88,$DQ$2,$DP$4,$DP$5,$DP$6,$DP$7,$DP$8,$DQ$3)-DG88</f>
        <v>#NAME?</v>
      </c>
      <c r="ET88" s="367" t="e">
        <f ca="1">_xll.LVCELL($EG$3,ET$3,$DP88,$DQ$2,$DP$4,$DP$5,$DP$6,$DP$7,$DP$8,$DQ$3)-DH88</f>
        <v>#NAME?</v>
      </c>
      <c r="EW88" s="64" t="s">
        <v>374</v>
      </c>
      <c r="EX88" s="64" t="s">
        <v>374</v>
      </c>
      <c r="EY88" s="359" t="s">
        <v>492</v>
      </c>
      <c r="EZ88" s="364">
        <f>_xll.LVCELL($EX$3,EZ$3,$DP88,$DQ$2,$DP$4,$DP$5,$DP$6,$DP$7,$DP$8,$DQ$3)</f>
        <v>8000</v>
      </c>
      <c r="FA88" s="364">
        <f>_xll.LVCELL($EX$3,FA$3,$DP88,$DQ$2,$DP$4,$DP$5,$DP$6,$DP$7,$DP$8,$DQ$3)</f>
        <v>8000</v>
      </c>
      <c r="FB88" s="364">
        <f>_xll.LVCELL($EX$3,FB$3,$DP88,$DQ$2,$DP$4,$DP$5,$DP$6,$DP$7,$DP$8,$DQ$3)</f>
        <v>8000</v>
      </c>
      <c r="FC88" s="364">
        <f>_xll.LVCELL($EX$3,FC$3,$DP88,$DQ$2,$DP$4,$DP$5,$DP$6,$DP$7,$DP$8,$DQ$3)</f>
        <v>8000</v>
      </c>
      <c r="FD88" s="364">
        <f>_xll.LVCELL($EX$3,FD$3,$DP88,$DQ$2,$DP$4,$DP$5,$DP$6,$DP$7,$DP$8,$DQ$3)</f>
        <v>8000</v>
      </c>
      <c r="FE88" s="364">
        <f>_xll.LVCELL($EX$3,FE$3,$DP88,$DQ$2,$DP$4,$DP$5,$DP$6,$DP$7,$DP$8,$DQ$3)</f>
        <v>8000</v>
      </c>
      <c r="FF88" s="364">
        <f>_xll.LVCELL($EX$3,FF$3,$DP88,$DQ$2,$DP$4,$DP$5,$DP$6,$DP$7,$DP$8,$DQ$3)</f>
        <v>8000</v>
      </c>
      <c r="FG88" s="364">
        <f>_xll.LVCELL($EX$3,FG$3,$DP88,$DQ$2,$DP$4,$DP$5,$DP$6,$DP$7,$DP$8,$DQ$3)</f>
        <v>8000</v>
      </c>
      <c r="FH88" s="364">
        <f>_xll.LVCELL($EX$3,FH$3,$DP88,$DQ$2,$DP$4,$DP$5,$DP$6,$DP$7,$DP$8,$DQ$3)</f>
        <v>8000</v>
      </c>
      <c r="FI88" s="364">
        <f>_xll.LVCELL($EX$3,FI$3,$DP88,$DQ$2,$DP$4,$DP$5,$DP$6,$DP$7,$DP$8,$DQ$3)</f>
        <v>8000</v>
      </c>
      <c r="FJ88" s="364">
        <f>_xll.LVCELL($EX$3,FJ$3,$DP88,$DQ$2,$DP$4,$DP$5,$DP$6,$DP$7,$DP$8,$DQ$3)</f>
        <v>8000</v>
      </c>
      <c r="FK88" s="276">
        <f>_xll.LVCELL($EX$3,FK$3,$DP88,$DQ$2,$DP$4,$DP$5,$DP$6,$DP$7,$DP$8,$DQ$3)</f>
        <v>8000</v>
      </c>
      <c r="FN88" s="64" t="s">
        <v>374</v>
      </c>
      <c r="FO88" s="64" t="s">
        <v>374</v>
      </c>
      <c r="FP88" s="359" t="s">
        <v>492</v>
      </c>
      <c r="FQ88" s="364">
        <f>_xll.LVCELL($FO$3,FQ$3,$DP88,$DQ$2,$DP$4,$DP$5,$DP$6,$DP$7,$DP$8,$DQ$3)</f>
        <v>4</v>
      </c>
      <c r="FR88" s="364">
        <f>_xll.LVCELL($FO$3,FR$3,$DP88,$DQ$2,$DP$4,$DP$5,$DP$6,$DP$7,$DP$8,$DQ$3)</f>
        <v>4</v>
      </c>
      <c r="FS88" s="364">
        <f>_xll.LVCELL($FO$3,FS$3,$DP88,$DQ$2,$DP$4,$DP$5,$DP$6,$DP$7,$DP$8,$DQ$3)</f>
        <v>4</v>
      </c>
      <c r="FT88" s="364">
        <f>_xll.LVCELL($FO$3,FT$3,$DP88,$DQ$2,$DP$4,$DP$5,$DP$6,$DP$7,$DP$8,$DQ$3)</f>
        <v>4</v>
      </c>
      <c r="FU88" s="364">
        <f>_xll.LVCELL($FO$3,FU$3,$DP88,$DQ$2,$DP$4,$DP$5,$DP$6,$DP$7,$DP$8,$DQ$3)</f>
        <v>4</v>
      </c>
      <c r="FV88" s="364">
        <f>_xll.LVCELL($FO$3,FV$3,$DP88,$DQ$2,$DP$4,$DP$5,$DP$6,$DP$7,$DP$8,$DQ$3)</f>
        <v>4</v>
      </c>
      <c r="FW88" s="364">
        <f>_xll.LVCELL($FO$3,FW$3,$DP88,$DQ$2,$DP$4,$DP$5,$DP$6,$DP$7,$DP$8,$DQ$3)</f>
        <v>4</v>
      </c>
      <c r="FX88" s="364">
        <f>_xll.LVCELL($FO$3,FX$3,$DP88,$DQ$2,$DP$4,$DP$5,$DP$6,$DP$7,$DP$8,$DQ$3)</f>
        <v>4</v>
      </c>
      <c r="FY88" s="364">
        <f>_xll.LVCELL($FO$3,FY$3,$DP88,$DQ$2,$DP$4,$DP$5,$DP$6,$DP$7,$DP$8,$DQ$3)</f>
        <v>4</v>
      </c>
      <c r="FZ88" s="364">
        <f>_xll.LVCELL($FO$3,FZ$3,$DP88,$DQ$2,$DP$4,$DP$5,$DP$6,$DP$7,$DP$8,$DQ$3)</f>
        <v>4</v>
      </c>
      <c r="GA88" s="364">
        <f>_xll.LVCELL($FO$3,GA$3,$DP88,$DQ$2,$DP$4,$DP$5,$DP$6,$DP$7,$DP$8,$DQ$3)</f>
        <v>4</v>
      </c>
      <c r="GB88" s="172">
        <f>_xll.LVCELL($FO$3,GB$3,$DP88,$DQ$2,$DP$4,$DP$5,$DP$6,$DP$7,$DP$8,$DQ$3)</f>
        <v>4</v>
      </c>
    </row>
    <row r="89" spans="2:184" ht="15">
      <c r="B89" s="64" t="s">
        <v>377</v>
      </c>
      <c r="C89" s="64" t="s">
        <v>377</v>
      </c>
      <c r="D89" s="359" t="s">
        <v>493</v>
      </c>
      <c r="E89" s="357">
        <f>_xll.LVCELL($C$3,Q$3,$C89,$D$2,$C$4,$C$5,$C$6,$C$7,$C$8,$D$3)/1000</f>
        <v>12</v>
      </c>
      <c r="F89" s="103">
        <f>'distribution mensuelle Prod B22'!$CC$36</f>
        <v>2022133.2825099453</v>
      </c>
      <c r="G89" s="103">
        <f>'distribution mensuelle Prod B22'!$CC$37</f>
        <v>1768176.8432202579</v>
      </c>
      <c r="H89" s="103">
        <f>'distribution mensuelle Prod B22'!$CC$38</f>
        <v>1836645.0816918903</v>
      </c>
      <c r="I89" s="103">
        <f>'distribution mensuelle Prod B22'!$CC$39</f>
        <v>1593574.1236142449</v>
      </c>
      <c r="J89" s="103">
        <f>'distribution mensuelle Prod B22'!$CC$40</f>
        <v>1360525.635741801</v>
      </c>
      <c r="K89" s="103">
        <f>'distribution mensuelle Prod B22'!$CC$41</f>
        <v>1121294.3506153664</v>
      </c>
      <c r="L89" s="103">
        <f>'distribution mensuelle Prod B22'!$CC$42</f>
        <v>1087748.8698328962</v>
      </c>
      <c r="M89" s="103">
        <f>'distribution mensuelle Prod B22'!$CC$43</f>
        <v>1006411.7978164228</v>
      </c>
      <c r="N89" s="103">
        <f>'distribution mensuelle Prod B22'!$CC$44</f>
        <v>1321437.3031972081</v>
      </c>
      <c r="O89" s="103">
        <f>'distribution mensuelle Prod B22'!$CC$45</f>
        <v>1709679.8961051998</v>
      </c>
      <c r="P89" s="103">
        <f>'distribution mensuelle Prod B22'!$CC$46</f>
        <v>1726522.7995499042</v>
      </c>
      <c r="Q89" s="103">
        <f>'distribution mensuelle Prod B22'!$CC$47</f>
        <v>2096030.9881834493</v>
      </c>
      <c r="R89" s="67">
        <f t="shared" si="92"/>
        <v>18650180.972078588</v>
      </c>
      <c r="S89" s="380"/>
      <c r="W89" s="113" t="str">
        <f t="shared" si="93"/>
        <v>E6160</v>
      </c>
      <c r="X89" s="359" t="str">
        <f t="shared" si="94"/>
        <v>Plateau de Langres</v>
      </c>
      <c r="Y89" s="299" cm="1">
        <f t="array" ref="Y89">_xll.LVCELL($D$4,F$1,$B89,$D$2,$C$4,$C$5,$C$6,$C$7,$C$8,$D$3)*1000+_xll.LVCELL($D$5,F$1,$B89,$D$2,$C$4,$C$5,$C$6,$C$7,$C$8,$D$3)*1000</f>
        <v>97.400002999999998</v>
      </c>
      <c r="Z89" s="299" cm="1">
        <f t="array" ref="Z89">_xll.LVCELL($D$4,G$1,$B89,$D$2,$C$4,$C$5,$C$6,$C$7,$C$8,$D$3)*1000+_xll.LVCELL($D$5,G$1,$B89,$D$2,$C$4,$C$5,$C$6,$C$7,$C$8,$D$3)*1000</f>
        <v>97.399996000000002</v>
      </c>
      <c r="AA89" s="299" cm="1">
        <f t="array" ref="AA89">_xll.LVCELL($D$4,H$1,$B89,$D$2,$C$4,$C$5,$C$6,$C$7,$C$8,$D$3)*1000+_xll.LVCELL($D$5,H$1,$B89,$D$2,$C$4,$C$5,$C$6,$C$7,$C$8,$D$3)*1000</f>
        <v>97.399975392384491</v>
      </c>
      <c r="AB89" s="299" cm="1">
        <f t="array" ref="AB89">_xll.LVCELL($D$4,I$1,$B89,$D$2,$C$4,$C$5,$C$6,$C$7,$C$8,$D$3)*1000+_xll.LVCELL($D$5,I$1,$B89,$D$2,$C$4,$C$5,$C$6,$C$7,$C$8,$D$3)*1000</f>
        <v>97.400021997910187</v>
      </c>
      <c r="AC89" s="299" cm="1">
        <f t="array" ref="AC89">_xll.LVCELL($D$4,J$1,$B89,$D$2,$C$4,$C$5,$C$6,$C$7,$C$8,$D$3)*1000+_xll.LVCELL($D$5,J$1,$B89,$D$2,$C$4,$C$5,$C$6,$C$7,$C$8,$D$3)*1000</f>
        <v>97.400007561659038</v>
      </c>
      <c r="AD89" s="299" cm="1">
        <f t="array" ref="AD89">_xll.LVCELL($D$4,K$1,$B89,$D$2,$C$4,$C$5,$C$6,$C$7,$C$8,$D$3)*1000+_xll.LVCELL($D$5,K$1,$B89,$D$2,$C$4,$C$5,$C$6,$C$7,$C$8,$D$3)*1000</f>
        <v>97.399971556997912</v>
      </c>
      <c r="AE89" s="299" cm="1">
        <f t="array" ref="AE89">_xll.LVCELL($D$4,L$1,$B89,$D$2,$C$4,$C$5,$C$6,$C$7,$C$8,$D$3)*1000+_xll.LVCELL($D$5,L$1,$B89,$D$2,$C$4,$C$5,$C$6,$C$7,$C$8,$D$3)*1000</f>
        <v>97.399978047504902</v>
      </c>
      <c r="AF89" s="299">
        <f>$AD$89</f>
        <v>97.399971556997912</v>
      </c>
      <c r="AG89" s="299">
        <f t="shared" si="141"/>
        <v>97.399971556997912</v>
      </c>
      <c r="AH89" s="411">
        <f t="shared" si="141"/>
        <v>97.399971556997912</v>
      </c>
      <c r="AI89" s="411">
        <f t="shared" si="142"/>
        <v>99.640170902808862</v>
      </c>
      <c r="AJ89" s="412">
        <f t="shared" si="143"/>
        <v>99.640170902808862</v>
      </c>
      <c r="AK89" s="552"/>
      <c r="AL89" s="134">
        <f t="shared" si="95"/>
        <v>2.3E-2</v>
      </c>
      <c r="AM89" s="134"/>
      <c r="AN89" s="134"/>
      <c r="AO89" s="134"/>
      <c r="AP89" s="113" t="str">
        <f t="shared" si="132"/>
        <v>E6160</v>
      </c>
      <c r="AQ89" s="567" t="str">
        <f t="shared" si="133"/>
        <v>Plateau de Langres</v>
      </c>
      <c r="AR89" s="377"/>
      <c r="AS89" s="377"/>
      <c r="AT89" s="377"/>
      <c r="AU89" s="377"/>
      <c r="AV89" s="377"/>
      <c r="AW89" s="377"/>
      <c r="AX89" s="377"/>
      <c r="AY89" s="377"/>
      <c r="AZ89" s="377"/>
      <c r="BA89" s="377"/>
      <c r="BB89" s="377"/>
      <c r="BC89" s="378"/>
      <c r="BD89" s="552"/>
      <c r="BE89" s="134"/>
      <c r="BF89" s="134"/>
      <c r="BG89" s="134"/>
      <c r="BH89" s="134"/>
      <c r="BI89" s="113" t="str">
        <f t="shared" si="134"/>
        <v>E6160</v>
      </c>
      <c r="BJ89" s="567" t="str">
        <f t="shared" si="135"/>
        <v>Plateau de Langres</v>
      </c>
      <c r="BK89" s="411">
        <f t="shared" si="145"/>
        <v>99.640170902808862</v>
      </c>
      <c r="BL89" s="411">
        <f t="shared" si="145"/>
        <v>99.640170902808862</v>
      </c>
      <c r="BM89" s="411">
        <f t="shared" si="145"/>
        <v>99.640170902808862</v>
      </c>
      <c r="BN89" s="411">
        <f t="shared" si="145"/>
        <v>99.640170902808862</v>
      </c>
      <c r="BO89" s="411">
        <f t="shared" si="145"/>
        <v>99.640170902808862</v>
      </c>
      <c r="BP89" s="411">
        <f t="shared" si="145"/>
        <v>99.640170902808862</v>
      </c>
      <c r="BQ89" s="411">
        <f t="shared" si="145"/>
        <v>99.640170902808862</v>
      </c>
      <c r="BR89" s="411">
        <f t="shared" si="145"/>
        <v>99.640170902808862</v>
      </c>
      <c r="BS89" s="411">
        <f t="shared" si="145"/>
        <v>99.640170902808862</v>
      </c>
      <c r="BT89" s="411">
        <f t="shared" si="145"/>
        <v>99.640170902808862</v>
      </c>
      <c r="BU89" s="411">
        <f t="shared" si="144"/>
        <v>101.93189483357347</v>
      </c>
      <c r="BV89" s="412">
        <f t="shared" si="98"/>
        <v>101.93189483357347</v>
      </c>
      <c r="BW89" s="552"/>
      <c r="BX89" s="134"/>
      <c r="BY89" s="134"/>
      <c r="BZ89" s="134"/>
      <c r="CA89" s="134"/>
      <c r="CB89" s="113" t="str">
        <f t="shared" si="99"/>
        <v>E6160</v>
      </c>
      <c r="CC89" s="373" t="str">
        <f t="shared" si="100"/>
        <v>Plateau de Langres</v>
      </c>
      <c r="CD89" s="411">
        <f t="shared" si="136"/>
        <v>99.640170902808862</v>
      </c>
      <c r="CE89" s="411">
        <f t="shared" si="101"/>
        <v>99.640170902808862</v>
      </c>
      <c r="CF89" s="411">
        <f t="shared" si="102"/>
        <v>99.640170902808862</v>
      </c>
      <c r="CG89" s="411">
        <f t="shared" si="103"/>
        <v>99.640170902808862</v>
      </c>
      <c r="CH89" s="411">
        <f t="shared" si="104"/>
        <v>99.640170902808862</v>
      </c>
      <c r="CI89" s="411">
        <f t="shared" si="105"/>
        <v>99.640170902808862</v>
      </c>
      <c r="CJ89" s="411">
        <f t="shared" si="106"/>
        <v>99.640170902808862</v>
      </c>
      <c r="CK89" s="411">
        <f t="shared" si="107"/>
        <v>99.640170902808862</v>
      </c>
      <c r="CL89" s="411">
        <f t="shared" si="108"/>
        <v>99.640170902808862</v>
      </c>
      <c r="CM89" s="411">
        <f t="shared" si="109"/>
        <v>99.640170902808862</v>
      </c>
      <c r="CN89" s="411">
        <f t="shared" si="110"/>
        <v>101.93189483357347</v>
      </c>
      <c r="CO89" s="412">
        <f t="shared" si="111"/>
        <v>101.93189483357347</v>
      </c>
      <c r="CP89" s="552"/>
      <c r="CQ89" s="134">
        <f t="shared" si="112"/>
        <v>4.0000000000000001E-3</v>
      </c>
      <c r="CU89" s="113" t="str">
        <f t="shared" si="113"/>
        <v>E6160</v>
      </c>
      <c r="CV89" s="373" t="str">
        <f t="shared" si="114"/>
        <v>Plateau de Langres</v>
      </c>
      <c r="CW89" s="384">
        <f t="shared" si="115"/>
        <v>201485.7058575488</v>
      </c>
      <c r="CX89" s="298">
        <f t="shared" si="116"/>
        <v>176181.44284485557</v>
      </c>
      <c r="CY89" s="298">
        <f t="shared" si="117"/>
        <v>183003.62982758327</v>
      </c>
      <c r="CZ89" s="298">
        <f t="shared" si="118"/>
        <v>158783.99802321719</v>
      </c>
      <c r="DA89" s="298">
        <f t="shared" si="119"/>
        <v>135563.00686296573</v>
      </c>
      <c r="DB89" s="298">
        <f t="shared" si="120"/>
        <v>111725.96072766918</v>
      </c>
      <c r="DC89" s="298">
        <f t="shared" si="121"/>
        <v>108383.48328948696</v>
      </c>
      <c r="DD89" s="298">
        <f t="shared" si="122"/>
        <v>100279.04353303148</v>
      </c>
      <c r="DE89" s="298">
        <f t="shared" si="123"/>
        <v>131668.23872791664</v>
      </c>
      <c r="DF89" s="298">
        <f t="shared" si="124"/>
        <v>170352.79703701861</v>
      </c>
      <c r="DG89" s="371">
        <f t="shared" si="125"/>
        <v>175987.74043148768</v>
      </c>
      <c r="DH89" s="372">
        <f t="shared" si="126"/>
        <v>213652.41025542642</v>
      </c>
      <c r="DI89" s="67">
        <f t="shared" si="127"/>
        <v>1867067.4574182075</v>
      </c>
      <c r="DJ89" s="364">
        <f>_xll.LVCELL($E$1,Q$2,$C89,$D$2,$C$4,$C$5,$C$6,$C$7,$C$8,$D$3)+_xll.LVCELL($E$2,Q$2,$C89,$D$2,$C$4,$C$5,$C$6,$C$7,$C$8,$D$3)</f>
        <v>1867067.4627640471</v>
      </c>
      <c r="DK89" s="82">
        <f t="shared" si="137"/>
        <v>-5.3458395414054394E-3</v>
      </c>
      <c r="DM89" s="518">
        <f t="shared" si="128"/>
        <v>100.10988419969848</v>
      </c>
      <c r="DO89" s="64" t="str">
        <f t="shared" si="129"/>
        <v>E6160</v>
      </c>
      <c r="DP89" s="64" t="str">
        <f t="shared" si="130"/>
        <v>E6160</v>
      </c>
      <c r="DQ89" s="359" t="str">
        <f t="shared" si="131"/>
        <v>Plateau de Langres</v>
      </c>
      <c r="DR89" s="365">
        <f>_xll.LVCELL($DP$3,DR$3,$DP89,$DQ$2,$DP$4,$DP$5,$DP$6,$DP$7,$DP$8,$DQ$3)/100</f>
        <v>0.97</v>
      </c>
      <c r="DS89" s="365">
        <f>_xll.LVCELL($DP$3,DS$3,$DP89,$DQ$2,$DP$4,$DP$5,$DP$6,$DP$7,$DP$8,$DQ$3)/100</f>
        <v>0.97</v>
      </c>
      <c r="DT89" s="365">
        <f>_xll.LVCELL($DP$3,DT$3,$DP89,$DQ$2,$DP$4,$DP$5,$DP$6,$DP$7,$DP$8,$DQ$3)/100</f>
        <v>0.97</v>
      </c>
      <c r="DU89" s="365">
        <f>_xll.LVCELL($DP$3,DU$3,$DP89,$DQ$2,$DP$4,$DP$5,$DP$6,$DP$7,$DP$8,$DQ$3)/100</f>
        <v>0.97</v>
      </c>
      <c r="DV89" s="365">
        <f>_xll.LVCELL($DP$3,DV$3,$DP89,$DQ$2,$DP$4,$DP$5,$DP$6,$DP$7,$DP$8,$DQ$3)/100</f>
        <v>0.97</v>
      </c>
      <c r="DW89" s="365">
        <f>_xll.LVCELL($DP$3,DW$3,$DP89,$DQ$2,$DP$4,$DP$5,$DP$6,$DP$7,$DP$8,$DQ$3)/100</f>
        <v>0.97</v>
      </c>
      <c r="DX89" s="365">
        <f>_xll.LVCELL($DP$3,DX$3,$DP89,$DQ$2,$DP$4,$DP$5,$DP$6,$DP$7,$DP$8,$DQ$3)/100</f>
        <v>0.97</v>
      </c>
      <c r="DY89" s="365">
        <f>_xll.LVCELL($DP$3,DY$3,$DP89,$DQ$2,$DP$4,$DP$5,$DP$6,$DP$7,$DP$8,$DQ$3)/100</f>
        <v>0.97</v>
      </c>
      <c r="DZ89" s="365">
        <f>_xll.LVCELL($DP$3,DZ$3,$DP89,$DQ$2,$DP$4,$DP$5,$DP$6,$DP$7,$DP$8,$DQ$3)/100</f>
        <v>0.97</v>
      </c>
      <c r="EA89" s="365">
        <f>_xll.LVCELL($DP$3,EA$3,$DP89,$DQ$2,$DP$4,$DP$5,$DP$6,$DP$7,$DP$8,$DQ$3)/100</f>
        <v>0.97</v>
      </c>
      <c r="EB89" s="365">
        <f>_xll.LVCELL($DP$3,EB$3,$DP89,$DQ$2,$DP$4,$DP$5,$DP$6,$DP$7,$DP$8,$DQ$3)/100</f>
        <v>0.97</v>
      </c>
      <c r="EC89" s="365">
        <f>_xll.LVCELL($DP$3,EC$3,$DP89,$DQ$2,$DP$4,$DP$5,$DP$6,$DP$7,$DP$8,$DQ$3)/100</f>
        <v>0.97</v>
      </c>
      <c r="ED89" s="582">
        <f t="shared" si="138"/>
        <v>11.64</v>
      </c>
      <c r="EF89" s="64" t="s">
        <v>377</v>
      </c>
      <c r="EG89" s="64" t="s">
        <v>377</v>
      </c>
      <c r="EH89" s="359" t="s">
        <v>493</v>
      </c>
      <c r="EI89" s="366" t="e">
        <f ca="1">_xll.LVCELL($EG$3,EI$3,$DP89,$DQ$2,$DP$4,$DP$5,$DP$6,$DP$7,$DP$8,$DQ$3)-CW89</f>
        <v>#NAME?</v>
      </c>
      <c r="EJ89" s="367" t="e">
        <f ca="1">_xll.LVCELL($EG$3,EJ$3,$DP89,$DQ$2,$DP$4,$DP$5,$DP$6,$DP$7,$DP$8,$DQ$3)-CX89</f>
        <v>#NAME?</v>
      </c>
      <c r="EK89" s="368" t="e">
        <f ca="1">_xll.LVCELL($EG$3,EK$3,$DP89,$DQ$2,$DP$4,$DP$5,$DP$6,$DP$7,$DP$8,$DQ$3)-CY89</f>
        <v>#NAME?</v>
      </c>
      <c r="EL89" s="367" t="e">
        <f ca="1">_xll.LVCELL($EG$3,EL$3,$DP89,$DQ$2,$DP$4,$DP$5,$DP$6,$DP$7,$DP$8,$DQ$3)-CZ89</f>
        <v>#NAME?</v>
      </c>
      <c r="EM89" s="368" t="e">
        <f ca="1">_xll.LVCELL($EG$3,EM$3,$DP89,$DQ$2,$DP$4,$DP$5,$DP$6,$DP$7,$DP$8,$DQ$3)-DA89</f>
        <v>#NAME?</v>
      </c>
      <c r="EN89" s="367" t="e">
        <f ca="1">_xll.LVCELL($EG$3,EN$3,$DP89,$DQ$2,$DP$4,$DP$5,$DP$6,$DP$7,$DP$8,$DQ$3)-DB89</f>
        <v>#NAME?</v>
      </c>
      <c r="EO89" s="368" t="e">
        <f ca="1">_xll.LVCELL($EG$3,EO$3,$DP89,$DQ$2,$DP$4,$DP$5,$DP$6,$DP$7,$DP$8,$DQ$3)-DC89</f>
        <v>#NAME?</v>
      </c>
      <c r="EP89" s="367" t="e">
        <f ca="1">_xll.LVCELL($EG$3,EP$3,$DP89,$DQ$2,$DP$4,$DP$5,$DP$6,$DP$7,$DP$8,$DQ$3)-DD89</f>
        <v>#NAME?</v>
      </c>
      <c r="EQ89" s="368" t="e">
        <f ca="1">_xll.LVCELL($EG$3,EQ$3,$DP89,$DQ$2,$DP$4,$DP$5,$DP$6,$DP$7,$DP$8,$DQ$3)-DE89</f>
        <v>#NAME?</v>
      </c>
      <c r="ER89" s="367" t="e">
        <f ca="1">_xll.LVCELL($EG$3,ER$3,$DP89,$DQ$2,$DP$4,$DP$5,$DP$6,$DP$7,$DP$8,$DQ$3)-DF89</f>
        <v>#NAME?</v>
      </c>
      <c r="ES89" s="368" t="e">
        <f ca="1">_xll.LVCELL($EG$3,ES$3,$DP89,$DQ$2,$DP$4,$DP$5,$DP$6,$DP$7,$DP$8,$DQ$3)-DG89</f>
        <v>#NAME?</v>
      </c>
      <c r="ET89" s="367" t="e">
        <f ca="1">_xll.LVCELL($EG$3,ET$3,$DP89,$DQ$2,$DP$4,$DP$5,$DP$6,$DP$7,$DP$8,$DQ$3)-DH89</f>
        <v>#NAME?</v>
      </c>
      <c r="EW89" s="64" t="s">
        <v>377</v>
      </c>
      <c r="EX89" s="64" t="s">
        <v>377</v>
      </c>
      <c r="EY89" s="359" t="s">
        <v>493</v>
      </c>
      <c r="EZ89" s="364">
        <f>_xll.LVCELL($EX$3,EZ$3,$DP89,$DQ$2,$DP$4,$DP$5,$DP$6,$DP$7,$DP$8,$DQ$3)</f>
        <v>12000</v>
      </c>
      <c r="FA89" s="364">
        <f>_xll.LVCELL($EX$3,FA$3,$DP89,$DQ$2,$DP$4,$DP$5,$DP$6,$DP$7,$DP$8,$DQ$3)</f>
        <v>12000</v>
      </c>
      <c r="FB89" s="364">
        <f>_xll.LVCELL($EX$3,FB$3,$DP89,$DQ$2,$DP$4,$DP$5,$DP$6,$DP$7,$DP$8,$DQ$3)</f>
        <v>12000</v>
      </c>
      <c r="FC89" s="364">
        <f>_xll.LVCELL($EX$3,FC$3,$DP89,$DQ$2,$DP$4,$DP$5,$DP$6,$DP$7,$DP$8,$DQ$3)</f>
        <v>12000</v>
      </c>
      <c r="FD89" s="364">
        <f>_xll.LVCELL($EX$3,FD$3,$DP89,$DQ$2,$DP$4,$DP$5,$DP$6,$DP$7,$DP$8,$DQ$3)</f>
        <v>12000</v>
      </c>
      <c r="FE89" s="364">
        <f>_xll.LVCELL($EX$3,FE$3,$DP89,$DQ$2,$DP$4,$DP$5,$DP$6,$DP$7,$DP$8,$DQ$3)</f>
        <v>12000</v>
      </c>
      <c r="FF89" s="364">
        <f>_xll.LVCELL($EX$3,FF$3,$DP89,$DQ$2,$DP$4,$DP$5,$DP$6,$DP$7,$DP$8,$DQ$3)</f>
        <v>12000</v>
      </c>
      <c r="FG89" s="364">
        <f>_xll.LVCELL($EX$3,FG$3,$DP89,$DQ$2,$DP$4,$DP$5,$DP$6,$DP$7,$DP$8,$DQ$3)</f>
        <v>12000</v>
      </c>
      <c r="FH89" s="364">
        <f>_xll.LVCELL($EX$3,FH$3,$DP89,$DQ$2,$DP$4,$DP$5,$DP$6,$DP$7,$DP$8,$DQ$3)</f>
        <v>12000</v>
      </c>
      <c r="FI89" s="364">
        <f>_xll.LVCELL($EX$3,FI$3,$DP89,$DQ$2,$DP$4,$DP$5,$DP$6,$DP$7,$DP$8,$DQ$3)</f>
        <v>12000</v>
      </c>
      <c r="FJ89" s="364">
        <f>_xll.LVCELL($EX$3,FJ$3,$DP89,$DQ$2,$DP$4,$DP$5,$DP$6,$DP$7,$DP$8,$DQ$3)</f>
        <v>12000</v>
      </c>
      <c r="FK89" s="276">
        <f>_xll.LVCELL($EX$3,FK$3,$DP89,$DQ$2,$DP$4,$DP$5,$DP$6,$DP$7,$DP$8,$DQ$3)</f>
        <v>12000</v>
      </c>
      <c r="FN89" s="64" t="s">
        <v>377</v>
      </c>
      <c r="FO89" s="64" t="s">
        <v>377</v>
      </c>
      <c r="FP89" s="359" t="s">
        <v>493</v>
      </c>
      <c r="FQ89" s="364">
        <f>_xll.LVCELL($FO$3,FQ$3,$DP89,$DQ$2,$DP$4,$DP$5,$DP$6,$DP$7,$DP$8,$DQ$3)</f>
        <v>6</v>
      </c>
      <c r="FR89" s="364">
        <f>_xll.LVCELL($FO$3,FR$3,$DP89,$DQ$2,$DP$4,$DP$5,$DP$6,$DP$7,$DP$8,$DQ$3)</f>
        <v>6</v>
      </c>
      <c r="FS89" s="364">
        <f>_xll.LVCELL($FO$3,FS$3,$DP89,$DQ$2,$DP$4,$DP$5,$DP$6,$DP$7,$DP$8,$DQ$3)</f>
        <v>6</v>
      </c>
      <c r="FT89" s="364">
        <f>_xll.LVCELL($FO$3,FT$3,$DP89,$DQ$2,$DP$4,$DP$5,$DP$6,$DP$7,$DP$8,$DQ$3)</f>
        <v>6</v>
      </c>
      <c r="FU89" s="364">
        <f>_xll.LVCELL($FO$3,FU$3,$DP89,$DQ$2,$DP$4,$DP$5,$DP$6,$DP$7,$DP$8,$DQ$3)</f>
        <v>6</v>
      </c>
      <c r="FV89" s="364">
        <f>_xll.LVCELL($FO$3,FV$3,$DP89,$DQ$2,$DP$4,$DP$5,$DP$6,$DP$7,$DP$8,$DQ$3)</f>
        <v>6</v>
      </c>
      <c r="FW89" s="364">
        <f>_xll.LVCELL($FO$3,FW$3,$DP89,$DQ$2,$DP$4,$DP$5,$DP$6,$DP$7,$DP$8,$DQ$3)</f>
        <v>6</v>
      </c>
      <c r="FX89" s="364">
        <f>_xll.LVCELL($FO$3,FX$3,$DP89,$DQ$2,$DP$4,$DP$5,$DP$6,$DP$7,$DP$8,$DQ$3)</f>
        <v>6</v>
      </c>
      <c r="FY89" s="364">
        <f>_xll.LVCELL($FO$3,FY$3,$DP89,$DQ$2,$DP$4,$DP$5,$DP$6,$DP$7,$DP$8,$DQ$3)</f>
        <v>6</v>
      </c>
      <c r="FZ89" s="364">
        <f>_xll.LVCELL($FO$3,FZ$3,$DP89,$DQ$2,$DP$4,$DP$5,$DP$6,$DP$7,$DP$8,$DQ$3)</f>
        <v>6</v>
      </c>
      <c r="GA89" s="364">
        <f>_xll.LVCELL($FO$3,GA$3,$DP89,$DQ$2,$DP$4,$DP$5,$DP$6,$DP$7,$DP$8,$DQ$3)</f>
        <v>6</v>
      </c>
      <c r="GB89" s="172">
        <f>_xll.LVCELL($FO$3,GB$3,$DP89,$DQ$2,$DP$4,$DP$5,$DP$6,$DP$7,$DP$8,$DQ$3)</f>
        <v>6</v>
      </c>
    </row>
    <row r="90" spans="2:184" ht="15">
      <c r="B90" s="64" t="s">
        <v>379</v>
      </c>
      <c r="C90" s="64" t="s">
        <v>379</v>
      </c>
      <c r="D90" s="359" t="s">
        <v>494</v>
      </c>
      <c r="E90" s="357">
        <f>_xll.LVCELL($C$3,Q$3,$C90,$D$2,$C$4,$C$5,$C$6,$C$7,$C$8,$D$3)/1000</f>
        <v>10</v>
      </c>
      <c r="F90" s="103">
        <f>'distribution mensuelle Prod B22'!$CD$36</f>
        <v>1972327.5153472449</v>
      </c>
      <c r="G90" s="103">
        <f>'distribution mensuelle Prod B22'!$CD$37</f>
        <v>1640682.3232426171</v>
      </c>
      <c r="H90" s="103">
        <f>'distribution mensuelle Prod B22'!$CD$38</f>
        <v>1663028.1231747314</v>
      </c>
      <c r="I90" s="103">
        <f>'distribution mensuelle Prod B22'!$CD$39</f>
        <v>1278781.1312665953</v>
      </c>
      <c r="J90" s="103">
        <f>'distribution mensuelle Prod B22'!$CD$40</f>
        <v>1159350.4482580984</v>
      </c>
      <c r="K90" s="103">
        <f>'distribution mensuelle Prod B22'!$CD$41</f>
        <v>910384.83289734845</v>
      </c>
      <c r="L90" s="103">
        <f>'distribution mensuelle Prod B22'!$CD$42</f>
        <v>963176.52317915985</v>
      </c>
      <c r="M90" s="103">
        <f>'distribution mensuelle Prod B22'!$CD$43</f>
        <v>905267.05788125785</v>
      </c>
      <c r="N90" s="103">
        <f>'distribution mensuelle Prod B22'!$CD$44</f>
        <v>1168870.4431918082</v>
      </c>
      <c r="O90" s="103">
        <f>'distribution mensuelle Prod B22'!$CD$45</f>
        <v>1606914.3002116485</v>
      </c>
      <c r="P90" s="103">
        <f>'distribution mensuelle Prod B22'!$CD$46</f>
        <v>1577234.2644973414</v>
      </c>
      <c r="Q90" s="103">
        <f>'distribution mensuelle Prod B22'!$CD$47</f>
        <v>2002404.5244554577</v>
      </c>
      <c r="R90" s="67">
        <f t="shared" si="92"/>
        <v>16848421.487603307</v>
      </c>
      <c r="S90" s="358"/>
      <c r="W90" s="113" t="str">
        <f t="shared" si="93"/>
        <v>E6170</v>
      </c>
      <c r="X90" s="359" t="str">
        <f t="shared" si="94"/>
        <v>Les Moulins de Boulay</v>
      </c>
      <c r="Y90" s="299" cm="1">
        <f t="array" ref="Y90">_xll.LVCELL($D$4,F$1,$B90,$D$2,$C$4,$C$5,$C$6,$C$7,$C$8,$D$3)*1000+_xll.LVCELL($D$5,F$1,$B90,$D$2,$C$4,$C$5,$C$6,$C$7,$C$8,$D$3)*1000</f>
        <v>95.920361999999997</v>
      </c>
      <c r="Z90" s="299" cm="1">
        <f t="array" ref="Z90">_xll.LVCELL($D$4,G$1,$B90,$D$2,$C$4,$C$5,$C$6,$C$7,$C$8,$D$3)*1000+_xll.LVCELL($D$5,G$1,$B90,$D$2,$C$4,$C$5,$C$6,$C$7,$C$8,$D$3)*1000</f>
        <v>95.919681000000011</v>
      </c>
      <c r="AA90" s="299" cm="1">
        <f t="array" ref="AA90">_xll.LVCELL($D$4,H$1,$B90,$D$2,$C$4,$C$5,$C$6,$C$7,$C$8,$D$3)*1000+_xll.LVCELL($D$5,H$1,$B90,$D$2,$C$4,$C$5,$C$6,$C$7,$C$8,$D$3)*1000</f>
        <v>95.922188354277367</v>
      </c>
      <c r="AB90" s="299" cm="1">
        <f t="array" ref="AB90">_xll.LVCELL($D$4,I$1,$B90,$D$2,$C$4,$C$5,$C$6,$C$7,$C$8,$D$3)*1000+_xll.LVCELL($D$5,I$1,$B90,$D$2,$C$4,$C$5,$C$6,$C$7,$C$8,$D$3)*1000</f>
        <v>95.921677680614934</v>
      </c>
      <c r="AC90" s="299" cm="1">
        <f t="array" ref="AC90">_xll.LVCELL($D$4,J$1,$B90,$D$2,$C$4,$C$5,$C$6,$C$7,$C$8,$D$3)*1000+_xll.LVCELL($D$5,J$1,$B90,$D$2,$C$4,$C$5,$C$6,$C$7,$C$8,$D$3)*1000</f>
        <v>95.918238733943468</v>
      </c>
      <c r="AD90" s="299" cm="1">
        <f t="array" ref="AD90">_xll.LVCELL($D$4,K$1,$B90,$D$2,$C$4,$C$5,$C$6,$C$7,$C$8,$D$3)*1000+_xll.LVCELL($D$5,K$1,$B90,$D$2,$C$4,$C$5,$C$6,$C$7,$C$8,$D$3)*1000</f>
        <v>95.931182607171039</v>
      </c>
      <c r="AE90" s="299" cm="1">
        <f t="array" ref="AE90">_xll.LVCELL($D$4,L$1,$B90,$D$2,$C$4,$C$5,$C$6,$C$7,$C$8,$D$3)*1000+_xll.LVCELL($D$5,L$1,$B90,$D$2,$C$4,$C$5,$C$6,$C$7,$C$8,$D$3)*1000</f>
        <v>95.918615384615379</v>
      </c>
      <c r="AF90" s="299">
        <f>$AD$90</f>
        <v>95.931182607171039</v>
      </c>
      <c r="AG90" s="299">
        <f t="shared" si="141"/>
        <v>95.931182607171039</v>
      </c>
      <c r="AH90" s="411">
        <f t="shared" si="141"/>
        <v>95.931182607171039</v>
      </c>
      <c r="AI90" s="411">
        <f t="shared" si="142"/>
        <v>98.13759980713597</v>
      </c>
      <c r="AJ90" s="412">
        <f t="shared" si="143"/>
        <v>98.13759980713597</v>
      </c>
      <c r="AK90" s="414"/>
      <c r="AL90" s="134">
        <f t="shared" si="95"/>
        <v>2.3E-2</v>
      </c>
      <c r="AM90" s="134"/>
      <c r="AN90" s="134"/>
      <c r="AO90" s="134"/>
      <c r="AP90" s="113" t="str">
        <f t="shared" si="132"/>
        <v>E6170</v>
      </c>
      <c r="AQ90" s="567" t="str">
        <f t="shared" si="133"/>
        <v>Les Moulins de Boulay</v>
      </c>
      <c r="AR90" s="377"/>
      <c r="AS90" s="377"/>
      <c r="AT90" s="377"/>
      <c r="AU90" s="377"/>
      <c r="AV90" s="377"/>
      <c r="AW90" s="377"/>
      <c r="AX90" s="377"/>
      <c r="AY90" s="377"/>
      <c r="AZ90" s="377"/>
      <c r="BA90" s="377"/>
      <c r="BB90" s="377"/>
      <c r="BC90" s="378"/>
      <c r="BD90" s="414"/>
      <c r="BE90" s="134"/>
      <c r="BF90" s="134"/>
      <c r="BG90" s="134"/>
      <c r="BH90" s="134"/>
      <c r="BI90" s="113" t="str">
        <f t="shared" si="134"/>
        <v>E6170</v>
      </c>
      <c r="BJ90" s="580" t="str">
        <f t="shared" si="135"/>
        <v>Les Moulins de Boulay</v>
      </c>
      <c r="BK90" s="411">
        <f t="shared" si="145"/>
        <v>98.13759980713597</v>
      </c>
      <c r="BL90" s="411">
        <f t="shared" si="145"/>
        <v>98.13759980713597</v>
      </c>
      <c r="BM90" s="411">
        <f t="shared" si="145"/>
        <v>98.13759980713597</v>
      </c>
      <c r="BN90" s="411">
        <f t="shared" si="145"/>
        <v>98.13759980713597</v>
      </c>
      <c r="BO90" s="411">
        <f t="shared" si="145"/>
        <v>98.13759980713597</v>
      </c>
      <c r="BP90" s="411">
        <f t="shared" si="145"/>
        <v>98.13759980713597</v>
      </c>
      <c r="BQ90" s="411">
        <f t="shared" si="145"/>
        <v>98.13759980713597</v>
      </c>
      <c r="BR90" s="411">
        <f t="shared" si="145"/>
        <v>98.13759980713597</v>
      </c>
      <c r="BS90" s="411">
        <f t="shared" si="145"/>
        <v>98.13759980713597</v>
      </c>
      <c r="BT90" s="411">
        <f t="shared" si="145"/>
        <v>98.13759980713597</v>
      </c>
      <c r="BU90" s="411">
        <f t="shared" si="144"/>
        <v>100.39476460270009</v>
      </c>
      <c r="BV90" s="412">
        <v>60.16</v>
      </c>
      <c r="BW90" s="414" t="s">
        <v>3568</v>
      </c>
      <c r="BX90" s="134"/>
      <c r="BY90" s="134"/>
      <c r="BZ90" s="134"/>
      <c r="CA90" s="134"/>
      <c r="CB90" s="113" t="str">
        <f t="shared" si="99"/>
        <v>E6170</v>
      </c>
      <c r="CC90" s="373" t="str">
        <f t="shared" si="100"/>
        <v>Les Moulins de Boulay</v>
      </c>
      <c r="CD90" s="411">
        <f t="shared" si="136"/>
        <v>98.13759980713597</v>
      </c>
      <c r="CE90" s="411">
        <f t="shared" si="101"/>
        <v>98.13759980713597</v>
      </c>
      <c r="CF90" s="411">
        <f t="shared" si="102"/>
        <v>98.13759980713597</v>
      </c>
      <c r="CG90" s="411">
        <f t="shared" si="103"/>
        <v>98.13759980713597</v>
      </c>
      <c r="CH90" s="411">
        <f t="shared" si="104"/>
        <v>98.13759980713597</v>
      </c>
      <c r="CI90" s="411">
        <f t="shared" si="105"/>
        <v>98.13759980713597</v>
      </c>
      <c r="CJ90" s="411">
        <f t="shared" si="106"/>
        <v>98.13759980713597</v>
      </c>
      <c r="CK90" s="411">
        <f t="shared" si="107"/>
        <v>98.13759980713597</v>
      </c>
      <c r="CL90" s="411">
        <f t="shared" si="108"/>
        <v>98.13759980713597</v>
      </c>
      <c r="CM90" s="411">
        <f t="shared" si="109"/>
        <v>98.13759980713597</v>
      </c>
      <c r="CN90" s="411">
        <f t="shared" si="110"/>
        <v>100.39476460270009</v>
      </c>
      <c r="CO90" s="412">
        <f t="shared" si="111"/>
        <v>60.16</v>
      </c>
      <c r="CP90" s="414"/>
      <c r="CQ90" s="134">
        <f t="shared" si="112"/>
        <v>4.0000000000000001E-3</v>
      </c>
      <c r="CU90" s="113" t="str">
        <f t="shared" si="113"/>
        <v>E6170</v>
      </c>
      <c r="CV90" s="373" t="str">
        <f t="shared" si="114"/>
        <v>Les Moulins de Boulay</v>
      </c>
      <c r="CW90" s="384">
        <f t="shared" si="115"/>
        <v>193559.48838975077</v>
      </c>
      <c r="CX90" s="298">
        <f t="shared" si="116"/>
        <v>161012.62524902605</v>
      </c>
      <c r="CY90" s="298">
        <f t="shared" si="117"/>
        <v>163205.58842013421</v>
      </c>
      <c r="CZ90" s="298">
        <f t="shared" si="118"/>
        <v>125496.51090115774</v>
      </c>
      <c r="DA90" s="298">
        <f t="shared" si="119"/>
        <v>113775.87032737696</v>
      </c>
      <c r="DB90" s="298">
        <f t="shared" si="120"/>
        <v>89342.982401366346</v>
      </c>
      <c r="DC90" s="298">
        <f t="shared" si="121"/>
        <v>94523.832175385018</v>
      </c>
      <c r="DD90" s="298">
        <f t="shared" si="122"/>
        <v>88840.736244934276</v>
      </c>
      <c r="DE90" s="298">
        <f t="shared" si="123"/>
        <v>114710.13978034734</v>
      </c>
      <c r="DF90" s="298">
        <f t="shared" si="124"/>
        <v>157698.71251853471</v>
      </c>
      <c r="DG90" s="371">
        <f t="shared" si="125"/>
        <v>158346.06270752341</v>
      </c>
      <c r="DH90" s="372">
        <f t="shared" si="126"/>
        <v>120464.65619124033</v>
      </c>
      <c r="DI90" s="67">
        <f t="shared" si="127"/>
        <v>1580977.205306777</v>
      </c>
      <c r="DJ90" s="364">
        <f>_xll.LVCELL($E$1,Q$2,$C90,$D$2,$C$4,$C$5,$C$6,$C$7,$C$8,$D$3)+_xll.LVCELL($E$2,Q$2,$C90,$D$2,$C$4,$C$5,$C$6,$C$7,$C$8,$D$3)</f>
        <v>1580977.1419832101</v>
      </c>
      <c r="DK90" s="82">
        <f t="shared" si="137"/>
        <v>6.3323566922917962E-2</v>
      </c>
      <c r="DM90" s="518">
        <f t="shared" si="128"/>
        <v>93.835330892572046</v>
      </c>
      <c r="DO90" s="64" t="str">
        <f t="shared" si="129"/>
        <v>E6170</v>
      </c>
      <c r="DP90" s="64" t="str">
        <f t="shared" si="130"/>
        <v>E6170</v>
      </c>
      <c r="DQ90" s="359" t="str">
        <f t="shared" si="131"/>
        <v>Les Moulins de Boulay</v>
      </c>
      <c r="DR90" s="365">
        <f>_xll.LVCELL($DP$3,DR$3,$DP90,$DQ$2,$DP$4,$DP$5,$DP$6,$DP$7,$DP$8,$DQ$3)/100</f>
        <v>0.96999999999999986</v>
      </c>
      <c r="DS90" s="365">
        <f>_xll.LVCELL($DP$3,DS$3,$DP90,$DQ$2,$DP$4,$DP$5,$DP$6,$DP$7,$DP$8,$DQ$3)/100</f>
        <v>0.97</v>
      </c>
      <c r="DT90" s="365">
        <f>_xll.LVCELL($DP$3,DT$3,$DP90,$DQ$2,$DP$4,$DP$5,$DP$6,$DP$7,$DP$8,$DQ$3)/100</f>
        <v>0.96999999999999986</v>
      </c>
      <c r="DU90" s="365">
        <f>_xll.LVCELL($DP$3,DU$3,$DP90,$DQ$2,$DP$4,$DP$5,$DP$6,$DP$7,$DP$8,$DQ$3)/100</f>
        <v>0.97</v>
      </c>
      <c r="DV90" s="365">
        <f>_xll.LVCELL($DP$3,DV$3,$DP90,$DQ$2,$DP$4,$DP$5,$DP$6,$DP$7,$DP$8,$DQ$3)/100</f>
        <v>0.96999999999999986</v>
      </c>
      <c r="DW90" s="365">
        <f>_xll.LVCELL($DP$3,DW$3,$DP90,$DQ$2,$DP$4,$DP$5,$DP$6,$DP$7,$DP$8,$DQ$3)/100</f>
        <v>0.97</v>
      </c>
      <c r="DX90" s="365">
        <f>_xll.LVCELL($DP$3,DX$3,$DP90,$DQ$2,$DP$4,$DP$5,$DP$6,$DP$7,$DP$8,$DQ$3)/100</f>
        <v>0.96999999999999986</v>
      </c>
      <c r="DY90" s="365">
        <f>_xll.LVCELL($DP$3,DY$3,$DP90,$DQ$2,$DP$4,$DP$5,$DP$6,$DP$7,$DP$8,$DQ$3)/100</f>
        <v>0.96999999999999986</v>
      </c>
      <c r="DZ90" s="365">
        <f>_xll.LVCELL($DP$3,DZ$3,$DP90,$DQ$2,$DP$4,$DP$5,$DP$6,$DP$7,$DP$8,$DQ$3)/100</f>
        <v>0.97</v>
      </c>
      <c r="EA90" s="365">
        <f>_xll.LVCELL($DP$3,EA$3,$DP90,$DQ$2,$DP$4,$DP$5,$DP$6,$DP$7,$DP$8,$DQ$3)/100</f>
        <v>0.96999999999999986</v>
      </c>
      <c r="EB90" s="365">
        <f>_xll.LVCELL($DP$3,EB$3,$DP90,$DQ$2,$DP$4,$DP$5,$DP$6,$DP$7,$DP$8,$DQ$3)/100</f>
        <v>0.97</v>
      </c>
      <c r="EC90" s="365">
        <f>_xll.LVCELL($DP$3,EC$3,$DP90,$DQ$2,$DP$4,$DP$5,$DP$6,$DP$7,$DP$8,$DQ$3)/100</f>
        <v>0.96999999999999986</v>
      </c>
      <c r="ED90" s="582">
        <f t="shared" si="138"/>
        <v>11.64</v>
      </c>
      <c r="EF90" s="64" t="s">
        <v>379</v>
      </c>
      <c r="EG90" s="64" t="s">
        <v>379</v>
      </c>
      <c r="EH90" s="359" t="s">
        <v>494</v>
      </c>
      <c r="EI90" s="366" t="e">
        <f ca="1">_xll.LVCELL($EG$3,EI$3,$DP90,$DQ$2,$DP$4,$DP$5,$DP$6,$DP$7,$DP$8,$DQ$3)-CW90</f>
        <v>#NAME?</v>
      </c>
      <c r="EJ90" s="367" t="e">
        <f ca="1">_xll.LVCELL($EG$3,EJ$3,$DP90,$DQ$2,$DP$4,$DP$5,$DP$6,$DP$7,$DP$8,$DQ$3)-CX90</f>
        <v>#NAME?</v>
      </c>
      <c r="EK90" s="368" t="e">
        <f ca="1">_xll.LVCELL($EG$3,EK$3,$DP90,$DQ$2,$DP$4,$DP$5,$DP$6,$DP$7,$DP$8,$DQ$3)-CY90</f>
        <v>#NAME?</v>
      </c>
      <c r="EL90" s="367" t="e">
        <f ca="1">_xll.LVCELL($EG$3,EL$3,$DP90,$DQ$2,$DP$4,$DP$5,$DP$6,$DP$7,$DP$8,$DQ$3)-CZ90</f>
        <v>#NAME?</v>
      </c>
      <c r="EM90" s="368" t="e">
        <f ca="1">_xll.LVCELL($EG$3,EM$3,$DP90,$DQ$2,$DP$4,$DP$5,$DP$6,$DP$7,$DP$8,$DQ$3)-DA90</f>
        <v>#NAME?</v>
      </c>
      <c r="EN90" s="367" t="e">
        <f ca="1">_xll.LVCELL($EG$3,EN$3,$DP90,$DQ$2,$DP$4,$DP$5,$DP$6,$DP$7,$DP$8,$DQ$3)-DB90</f>
        <v>#NAME?</v>
      </c>
      <c r="EO90" s="368" t="e">
        <f ca="1">_xll.LVCELL($EG$3,EO$3,$DP90,$DQ$2,$DP$4,$DP$5,$DP$6,$DP$7,$DP$8,$DQ$3)-DC90</f>
        <v>#NAME?</v>
      </c>
      <c r="EP90" s="367" t="e">
        <f ca="1">_xll.LVCELL($EG$3,EP$3,$DP90,$DQ$2,$DP$4,$DP$5,$DP$6,$DP$7,$DP$8,$DQ$3)-DD90</f>
        <v>#NAME?</v>
      </c>
      <c r="EQ90" s="368" t="e">
        <f ca="1">_xll.LVCELL($EG$3,EQ$3,$DP90,$DQ$2,$DP$4,$DP$5,$DP$6,$DP$7,$DP$8,$DQ$3)-DE90</f>
        <v>#NAME?</v>
      </c>
      <c r="ER90" s="367" t="e">
        <f ca="1">_xll.LVCELL($EG$3,ER$3,$DP90,$DQ$2,$DP$4,$DP$5,$DP$6,$DP$7,$DP$8,$DQ$3)-DF90</f>
        <v>#NAME?</v>
      </c>
      <c r="ES90" s="368" t="e">
        <f ca="1">_xll.LVCELL($EG$3,ES$3,$DP90,$DQ$2,$DP$4,$DP$5,$DP$6,$DP$7,$DP$8,$DQ$3)-DG90</f>
        <v>#NAME?</v>
      </c>
      <c r="ET90" s="367" t="e">
        <f ca="1">_xll.LVCELL($EG$3,ET$3,$DP90,$DQ$2,$DP$4,$DP$5,$DP$6,$DP$7,$DP$8,$DQ$3)-DH90</f>
        <v>#NAME?</v>
      </c>
      <c r="EW90" s="64" t="s">
        <v>379</v>
      </c>
      <c r="EX90" s="64" t="s">
        <v>379</v>
      </c>
      <c r="EY90" s="359" t="s">
        <v>494</v>
      </c>
      <c r="EZ90" s="364">
        <f>_xll.LVCELL($EX$3,EZ$3,$DP90,$DQ$2,$DP$4,$DP$5,$DP$6,$DP$7,$DP$8,$DQ$3)</f>
        <v>10000</v>
      </c>
      <c r="FA90" s="364">
        <f>_xll.LVCELL($EX$3,FA$3,$DP90,$DQ$2,$DP$4,$DP$5,$DP$6,$DP$7,$DP$8,$DQ$3)</f>
        <v>10000</v>
      </c>
      <c r="FB90" s="364">
        <f>_xll.LVCELL($EX$3,FB$3,$DP90,$DQ$2,$DP$4,$DP$5,$DP$6,$DP$7,$DP$8,$DQ$3)</f>
        <v>10000</v>
      </c>
      <c r="FC90" s="364">
        <f>_xll.LVCELL($EX$3,FC$3,$DP90,$DQ$2,$DP$4,$DP$5,$DP$6,$DP$7,$DP$8,$DQ$3)</f>
        <v>10000</v>
      </c>
      <c r="FD90" s="364">
        <f>_xll.LVCELL($EX$3,FD$3,$DP90,$DQ$2,$DP$4,$DP$5,$DP$6,$DP$7,$DP$8,$DQ$3)</f>
        <v>10000</v>
      </c>
      <c r="FE90" s="364">
        <f>_xll.LVCELL($EX$3,FE$3,$DP90,$DQ$2,$DP$4,$DP$5,$DP$6,$DP$7,$DP$8,$DQ$3)</f>
        <v>10000</v>
      </c>
      <c r="FF90" s="364">
        <f>_xll.LVCELL($EX$3,FF$3,$DP90,$DQ$2,$DP$4,$DP$5,$DP$6,$DP$7,$DP$8,$DQ$3)</f>
        <v>10000</v>
      </c>
      <c r="FG90" s="364">
        <f>_xll.LVCELL($EX$3,FG$3,$DP90,$DQ$2,$DP$4,$DP$5,$DP$6,$DP$7,$DP$8,$DQ$3)</f>
        <v>10000</v>
      </c>
      <c r="FH90" s="364">
        <f>_xll.LVCELL($EX$3,FH$3,$DP90,$DQ$2,$DP$4,$DP$5,$DP$6,$DP$7,$DP$8,$DQ$3)</f>
        <v>10000</v>
      </c>
      <c r="FI90" s="364">
        <f>_xll.LVCELL($EX$3,FI$3,$DP90,$DQ$2,$DP$4,$DP$5,$DP$6,$DP$7,$DP$8,$DQ$3)</f>
        <v>10000</v>
      </c>
      <c r="FJ90" s="364">
        <f>_xll.LVCELL($EX$3,FJ$3,$DP90,$DQ$2,$DP$4,$DP$5,$DP$6,$DP$7,$DP$8,$DQ$3)</f>
        <v>10000</v>
      </c>
      <c r="FK90" s="276">
        <f>_xll.LVCELL($EX$3,FK$3,$DP90,$DQ$2,$DP$4,$DP$5,$DP$6,$DP$7,$DP$8,$DQ$3)</f>
        <v>10000</v>
      </c>
      <c r="FN90" s="64" t="s">
        <v>379</v>
      </c>
      <c r="FO90" s="64" t="s">
        <v>379</v>
      </c>
      <c r="FP90" s="359" t="s">
        <v>494</v>
      </c>
      <c r="FQ90" s="364">
        <f>_xll.LVCELL($FO$3,FQ$3,$DP90,$DQ$2,$DP$4,$DP$5,$DP$6,$DP$7,$DP$8,$DQ$3)</f>
        <v>4</v>
      </c>
      <c r="FR90" s="364">
        <f>_xll.LVCELL($FO$3,FR$3,$DP90,$DQ$2,$DP$4,$DP$5,$DP$6,$DP$7,$DP$8,$DQ$3)</f>
        <v>4</v>
      </c>
      <c r="FS90" s="364">
        <f>_xll.LVCELL($FO$3,FS$3,$DP90,$DQ$2,$DP$4,$DP$5,$DP$6,$DP$7,$DP$8,$DQ$3)</f>
        <v>4</v>
      </c>
      <c r="FT90" s="364">
        <f>_xll.LVCELL($FO$3,FT$3,$DP90,$DQ$2,$DP$4,$DP$5,$DP$6,$DP$7,$DP$8,$DQ$3)</f>
        <v>4</v>
      </c>
      <c r="FU90" s="364">
        <f>_xll.LVCELL($FO$3,FU$3,$DP90,$DQ$2,$DP$4,$DP$5,$DP$6,$DP$7,$DP$8,$DQ$3)</f>
        <v>4</v>
      </c>
      <c r="FV90" s="364">
        <f>_xll.LVCELL($FO$3,FV$3,$DP90,$DQ$2,$DP$4,$DP$5,$DP$6,$DP$7,$DP$8,$DQ$3)</f>
        <v>4</v>
      </c>
      <c r="FW90" s="364">
        <f>_xll.LVCELL($FO$3,FW$3,$DP90,$DQ$2,$DP$4,$DP$5,$DP$6,$DP$7,$DP$8,$DQ$3)</f>
        <v>4</v>
      </c>
      <c r="FX90" s="364">
        <f>_xll.LVCELL($FO$3,FX$3,$DP90,$DQ$2,$DP$4,$DP$5,$DP$6,$DP$7,$DP$8,$DQ$3)</f>
        <v>4</v>
      </c>
      <c r="FY90" s="364">
        <f>_xll.LVCELL($FO$3,FY$3,$DP90,$DQ$2,$DP$4,$DP$5,$DP$6,$DP$7,$DP$8,$DQ$3)</f>
        <v>4</v>
      </c>
      <c r="FZ90" s="364">
        <f>_xll.LVCELL($FO$3,FZ$3,$DP90,$DQ$2,$DP$4,$DP$5,$DP$6,$DP$7,$DP$8,$DQ$3)</f>
        <v>4</v>
      </c>
      <c r="GA90" s="364">
        <f>_xll.LVCELL($FO$3,GA$3,$DP90,$DQ$2,$DP$4,$DP$5,$DP$6,$DP$7,$DP$8,$DQ$3)</f>
        <v>4</v>
      </c>
      <c r="GB90" s="172">
        <f>_xll.LVCELL($FO$3,GB$3,$DP90,$DQ$2,$DP$4,$DP$5,$DP$6,$DP$7,$DP$8,$DQ$3)</f>
        <v>4</v>
      </c>
    </row>
    <row r="91" spans="2:184" ht="15">
      <c r="B91" s="64" t="s">
        <v>384</v>
      </c>
      <c r="C91" s="64" t="s">
        <v>384</v>
      </c>
      <c r="D91" s="359" t="s">
        <v>495</v>
      </c>
      <c r="E91" s="357">
        <f>_xll.LVCELL($C$3,Q$3,$C91,$D$2,$C$4,$C$5,$C$6,$C$7,$C$8,$D$3)/1000</f>
        <v>9.6</v>
      </c>
      <c r="F91" s="103">
        <f>'distribution mensuelle Prod B22'!$CE$36</f>
        <v>2318949.8525851569</v>
      </c>
      <c r="G91" s="103">
        <f>'distribution mensuelle Prod B22'!$CE$37</f>
        <v>1954763.598253971</v>
      </c>
      <c r="H91" s="103">
        <f>'distribution mensuelle Prod B22'!$CE$38</f>
        <v>2010325.9572123289</v>
      </c>
      <c r="I91" s="103">
        <f>'distribution mensuelle Prod B22'!$CE$39</f>
        <v>1605660.6490464422</v>
      </c>
      <c r="J91" s="103">
        <f>'distribution mensuelle Prod B22'!$CE$40</f>
        <v>1479072.4407191623</v>
      </c>
      <c r="K91" s="103">
        <f>'distribution mensuelle Prod B22'!$CE$41</f>
        <v>1207128.0447150059</v>
      </c>
      <c r="L91" s="103">
        <f>'distribution mensuelle Prod B22'!$CE$42</f>
        <v>1264564.5010560043</v>
      </c>
      <c r="M91" s="103">
        <f>'distribution mensuelle Prod B22'!$CE$43</f>
        <v>1206279.4929515379</v>
      </c>
      <c r="N91" s="103">
        <f>'distribution mensuelle Prod B22'!$CE$44</f>
        <v>1485453.5990160787</v>
      </c>
      <c r="O91" s="103">
        <f>'distribution mensuelle Prod B22'!$CE$45</f>
        <v>1946785.743459099</v>
      </c>
      <c r="P91" s="103">
        <f>'distribution mensuelle Prod B22'!$CE$46</f>
        <v>1905253.6045067331</v>
      </c>
      <c r="Q91" s="103">
        <f>'distribution mensuelle Prod B22'!$CE$47</f>
        <v>2350481.0864777369</v>
      </c>
      <c r="R91" s="67">
        <f t="shared" si="92"/>
        <v>20734718.569999259</v>
      </c>
      <c r="S91" s="759"/>
      <c r="T91" s="64" t="s">
        <v>3105</v>
      </c>
      <c r="U91" s="340">
        <f>-0.15*1000*CN91</f>
        <v>-13875.4047465</v>
      </c>
      <c r="W91" s="113" t="str">
        <f t="shared" si="93"/>
        <v>E6330</v>
      </c>
      <c r="X91" s="359" t="str">
        <f t="shared" si="94"/>
        <v>Morlange</v>
      </c>
      <c r="Y91" s="299" cm="1">
        <f t="array" ref="Y91">_xll.LVCELL($D$4,F$1,$B91,$D$2,$C$4,$C$5,$C$6,$C$7,$C$8,$D$3)*1000+_xll.LVCELL($D$5,F$1,$B91,$D$2,$C$4,$C$5,$C$6,$C$7,$C$8,$D$3)*1000</f>
        <v>88.39</v>
      </c>
      <c r="Z91" s="299" cm="1">
        <f t="array" ref="Z91">_xll.LVCELL($D$4,G$1,$B91,$D$2,$C$4,$C$5,$C$6,$C$7,$C$8,$D$3)*1000+_xll.LVCELL($D$5,G$1,$B91,$D$2,$C$4,$C$5,$C$6,$C$7,$C$8,$D$3)*1000</f>
        <v>88.39</v>
      </c>
      <c r="AA91" s="299" cm="1">
        <f t="array" ref="AA91">_xll.LVCELL($D$4,H$1,$B91,$D$2,$C$4,$C$5,$C$6,$C$7,$C$8,$D$3)*1000+_xll.LVCELL($D$5,H$1,$B91,$D$2,$C$4,$C$5,$C$6,$C$7,$C$8,$D$3)*1000</f>
        <v>88.390002625163575</v>
      </c>
      <c r="AB91" s="299" cm="1">
        <f t="array" ref="AB91">_xll.LVCELL($D$4,I$1,$B91,$D$2,$C$4,$C$5,$C$6,$C$7,$C$8,$D$3)*1000+_xll.LVCELL($D$5,I$1,$B91,$D$2,$C$4,$C$5,$C$6,$C$7,$C$8,$D$3)*1000</f>
        <v>88.389999495974095</v>
      </c>
      <c r="AC91" s="299" cm="1">
        <f t="array" ref="AC91">_xll.LVCELL($D$4,J$1,$B91,$D$2,$C$4,$C$5,$C$6,$C$7,$C$8,$D$3)*1000+_xll.LVCELL($D$5,J$1,$B91,$D$2,$C$4,$C$5,$C$6,$C$7,$C$8,$D$3)*1000</f>
        <v>88.390000408656789</v>
      </c>
      <c r="AD91" s="299" cm="1">
        <f t="array" ref="AD91">_xll.LVCELL($D$4,K$1,$B91,$D$2,$C$4,$C$5,$C$6,$C$7,$C$8,$D$3)*1000+_xll.LVCELL($D$5,K$1,$B91,$D$2,$C$4,$C$5,$C$6,$C$7,$C$8,$D$3)*1000</f>
        <v>88.39</v>
      </c>
      <c r="AE91" s="299" cm="1">
        <f t="array" ref="AE91">_xll.LVCELL($D$4,L$1,$B91,$D$2,$C$4,$C$5,$C$6,$C$7,$C$8,$D$3)*1000+_xll.LVCELL($D$5,L$1,$B91,$D$2,$C$4,$C$5,$C$6,$C$7,$C$8,$D$3)*1000</f>
        <v>88.390003882384207</v>
      </c>
      <c r="AF91" s="299">
        <f>$AD$91</f>
        <v>88.39</v>
      </c>
      <c r="AG91" s="299">
        <f t="shared" si="141"/>
        <v>88.39</v>
      </c>
      <c r="AH91" s="411">
        <f t="shared" si="141"/>
        <v>88.39</v>
      </c>
      <c r="AI91" s="411">
        <f t="shared" si="142"/>
        <v>90.422970000000007</v>
      </c>
      <c r="AJ91" s="412">
        <f t="shared" si="143"/>
        <v>90.422970000000007</v>
      </c>
      <c r="AK91" s="414"/>
      <c r="AL91" s="134">
        <f t="shared" si="95"/>
        <v>2.3E-2</v>
      </c>
      <c r="AM91" s="134"/>
      <c r="AN91" s="134"/>
      <c r="AO91" s="134"/>
      <c r="AP91" s="113" t="str">
        <f t="shared" si="132"/>
        <v>E6330</v>
      </c>
      <c r="AQ91" s="567" t="str">
        <f t="shared" si="133"/>
        <v>Morlange</v>
      </c>
      <c r="AR91" s="377"/>
      <c r="AS91" s="377"/>
      <c r="AT91" s="377"/>
      <c r="AU91" s="377"/>
      <c r="AV91" s="377"/>
      <c r="AW91" s="377"/>
      <c r="AX91" s="377"/>
      <c r="AY91" s="377"/>
      <c r="AZ91" s="377"/>
      <c r="BA91" s="377"/>
      <c r="BB91" s="377"/>
      <c r="BC91" s="378"/>
      <c r="BD91" s="414"/>
      <c r="BE91" s="134"/>
      <c r="BF91" s="134"/>
      <c r="BG91" s="134"/>
      <c r="BH91" s="134"/>
      <c r="BI91" s="113" t="str">
        <f t="shared" si="134"/>
        <v>E6330</v>
      </c>
      <c r="BJ91" s="567" t="str">
        <f t="shared" si="135"/>
        <v>Morlange</v>
      </c>
      <c r="BK91" s="411">
        <f t="shared" si="145"/>
        <v>90.422970000000007</v>
      </c>
      <c r="BL91" s="411">
        <f t="shared" si="145"/>
        <v>90.422970000000007</v>
      </c>
      <c r="BM91" s="411">
        <f t="shared" si="145"/>
        <v>90.422970000000007</v>
      </c>
      <c r="BN91" s="411">
        <f t="shared" si="145"/>
        <v>90.422970000000007</v>
      </c>
      <c r="BO91" s="411">
        <f t="shared" si="145"/>
        <v>90.422970000000007</v>
      </c>
      <c r="BP91" s="411">
        <f t="shared" si="145"/>
        <v>90.422970000000007</v>
      </c>
      <c r="BQ91" s="411">
        <f t="shared" si="145"/>
        <v>90.422970000000007</v>
      </c>
      <c r="BR91" s="411">
        <f t="shared" si="145"/>
        <v>90.422970000000007</v>
      </c>
      <c r="BS91" s="411">
        <f t="shared" si="145"/>
        <v>90.422970000000007</v>
      </c>
      <c r="BT91" s="411">
        <f t="shared" si="145"/>
        <v>90.422970000000007</v>
      </c>
      <c r="BU91" s="411">
        <f t="shared" si="144"/>
        <v>92.50269831</v>
      </c>
      <c r="BV91" s="412">
        <f t="shared" si="98"/>
        <v>92.50269831</v>
      </c>
      <c r="BW91" s="414"/>
      <c r="BX91" s="134"/>
      <c r="BY91" s="134"/>
      <c r="BZ91" s="134"/>
      <c r="CA91" s="134"/>
      <c r="CB91" s="113" t="str">
        <f t="shared" si="99"/>
        <v>E6330</v>
      </c>
      <c r="CC91" s="373" t="str">
        <f t="shared" si="100"/>
        <v>Morlange</v>
      </c>
      <c r="CD91" s="411">
        <f t="shared" si="136"/>
        <v>90.422970000000007</v>
      </c>
      <c r="CE91" s="411">
        <f t="shared" si="101"/>
        <v>90.422970000000007</v>
      </c>
      <c r="CF91" s="411">
        <f t="shared" si="102"/>
        <v>90.422970000000007</v>
      </c>
      <c r="CG91" s="411">
        <f t="shared" si="103"/>
        <v>90.422970000000007</v>
      </c>
      <c r="CH91" s="411">
        <f t="shared" si="104"/>
        <v>90.422970000000007</v>
      </c>
      <c r="CI91" s="411">
        <f t="shared" si="105"/>
        <v>90.422970000000007</v>
      </c>
      <c r="CJ91" s="411">
        <f t="shared" si="106"/>
        <v>90.422970000000007</v>
      </c>
      <c r="CK91" s="411">
        <f t="shared" si="107"/>
        <v>90.422970000000007</v>
      </c>
      <c r="CL91" s="411">
        <f t="shared" si="108"/>
        <v>90.422970000000007</v>
      </c>
      <c r="CM91" s="411">
        <f t="shared" si="109"/>
        <v>90.422970000000007</v>
      </c>
      <c r="CN91" s="411">
        <f t="shared" si="110"/>
        <v>92.50269831</v>
      </c>
      <c r="CO91" s="412">
        <f t="shared" si="111"/>
        <v>92.50269831</v>
      </c>
      <c r="CP91" s="414"/>
      <c r="CQ91" s="134">
        <f t="shared" si="112"/>
        <v>4.0000000000000001E-3</v>
      </c>
      <c r="CU91" s="113" t="str">
        <f t="shared" si="113"/>
        <v>E6330</v>
      </c>
      <c r="CV91" s="373" t="str">
        <f t="shared" si="114"/>
        <v>Morlange</v>
      </c>
      <c r="CW91" s="384">
        <f t="shared" si="115"/>
        <v>209686.33295181207</v>
      </c>
      <c r="CX91" s="298">
        <f t="shared" si="116"/>
        <v>176755.53020201088</v>
      </c>
      <c r="CY91" s="298">
        <f t="shared" si="117"/>
        <v>181779.64371923171</v>
      </c>
      <c r="CZ91" s="298">
        <f t="shared" si="118"/>
        <v>145188.60469890697</v>
      </c>
      <c r="DA91" s="298">
        <f t="shared" si="119"/>
        <v>133742.1229349756</v>
      </c>
      <c r="DB91" s="298">
        <f t="shared" si="120"/>
        <v>109152.10297342365</v>
      </c>
      <c r="DC91" s="298">
        <f t="shared" si="121"/>
        <v>114345.67794205205</v>
      </c>
      <c r="DD91" s="298">
        <f t="shared" si="122"/>
        <v>109075.37440277214</v>
      </c>
      <c r="DE91" s="298">
        <f t="shared" si="123"/>
        <v>134319.12622022291</v>
      </c>
      <c r="DF91" s="298">
        <f t="shared" si="124"/>
        <v>176034.1488772298</v>
      </c>
      <c r="DG91" s="371">
        <f t="shared" si="125"/>
        <v>176241.09938172641</v>
      </c>
      <c r="DH91" s="372">
        <f t="shared" si="126"/>
        <v>217425.84282581112</v>
      </c>
      <c r="DI91" s="67">
        <f t="shared" si="127"/>
        <v>1883745.6071301752</v>
      </c>
      <c r="DJ91" s="364">
        <f>_xll.LVCELL($E$1,Q$2,$C91,$D$2,$C$4,$C$5,$C$6,$C$7,$C$8,$D$3)+_xll.LVCELL($E$2,Q$2,$C91,$D$2,$C$4,$C$5,$C$6,$C$7,$C$8,$D$3)</f>
        <v>1883745.7357584799</v>
      </c>
      <c r="DK91" s="82">
        <f t="shared" si="137"/>
        <v>-0.12862830469384789</v>
      </c>
      <c r="DL91" s="64" t="s">
        <v>3084</v>
      </c>
      <c r="DM91" s="518">
        <f t="shared" si="128"/>
        <v>90.84982758607282</v>
      </c>
      <c r="DO91" s="64" t="str">
        <f t="shared" si="129"/>
        <v>E6330</v>
      </c>
      <c r="DP91" s="64" t="str">
        <f t="shared" si="130"/>
        <v>E6330</v>
      </c>
      <c r="DQ91" s="359" t="str">
        <f t="shared" si="131"/>
        <v>Morlange</v>
      </c>
      <c r="DR91" s="365">
        <f>_xll.LVCELL($DP$3,DR$3,$DP91,$DQ$2,$DP$4,$DP$5,$DP$6,$DP$7,$DP$8,$DQ$3)/100</f>
        <v>0.96999999999999986</v>
      </c>
      <c r="DS91" s="365">
        <f>_xll.LVCELL($DP$3,DS$3,$DP91,$DQ$2,$DP$4,$DP$5,$DP$6,$DP$7,$DP$8,$DQ$3)/100</f>
        <v>0.97</v>
      </c>
      <c r="DT91" s="365">
        <f>_xll.LVCELL($DP$3,DT$3,$DP91,$DQ$2,$DP$4,$DP$5,$DP$6,$DP$7,$DP$8,$DQ$3)/100</f>
        <v>0.96999999999999986</v>
      </c>
      <c r="DU91" s="365">
        <f>_xll.LVCELL($DP$3,DU$3,$DP91,$DQ$2,$DP$4,$DP$5,$DP$6,$DP$7,$DP$8,$DQ$3)/100</f>
        <v>0.97</v>
      </c>
      <c r="DV91" s="365">
        <f>_xll.LVCELL($DP$3,DV$3,$DP91,$DQ$2,$DP$4,$DP$5,$DP$6,$DP$7,$DP$8,$DQ$3)/100</f>
        <v>0.96999999999999986</v>
      </c>
      <c r="DW91" s="365">
        <f>_xll.LVCELL($DP$3,DW$3,$DP91,$DQ$2,$DP$4,$DP$5,$DP$6,$DP$7,$DP$8,$DQ$3)/100</f>
        <v>0.97</v>
      </c>
      <c r="DX91" s="365">
        <f>_xll.LVCELL($DP$3,DX$3,$DP91,$DQ$2,$DP$4,$DP$5,$DP$6,$DP$7,$DP$8,$DQ$3)/100</f>
        <v>0.96999999999999986</v>
      </c>
      <c r="DY91" s="365">
        <f>_xll.LVCELL($DP$3,DY$3,$DP91,$DQ$2,$DP$4,$DP$5,$DP$6,$DP$7,$DP$8,$DQ$3)/100</f>
        <v>0.96999999999999986</v>
      </c>
      <c r="DZ91" s="365">
        <f>_xll.LVCELL($DP$3,DZ$3,$DP91,$DQ$2,$DP$4,$DP$5,$DP$6,$DP$7,$DP$8,$DQ$3)/100</f>
        <v>0.97</v>
      </c>
      <c r="EA91" s="365">
        <f>_xll.LVCELL($DP$3,EA$3,$DP91,$DQ$2,$DP$4,$DP$5,$DP$6,$DP$7,$DP$8,$DQ$3)/100</f>
        <v>0.96999999999999986</v>
      </c>
      <c r="EB91" s="365">
        <f>_xll.LVCELL($DP$3,EB$3,$DP91,$DQ$2,$DP$4,$DP$5,$DP$6,$DP$7,$DP$8,$DQ$3)/100</f>
        <v>0.97</v>
      </c>
      <c r="EC91" s="365">
        <f>_xll.LVCELL($DP$3,EC$3,$DP91,$DQ$2,$DP$4,$DP$5,$DP$6,$DP$7,$DP$8,$DQ$3)/100</f>
        <v>0.96999999999999986</v>
      </c>
      <c r="ED91" s="582">
        <f t="shared" si="138"/>
        <v>11.64</v>
      </c>
      <c r="EF91" s="64" t="s">
        <v>384</v>
      </c>
      <c r="EG91" s="64" t="s">
        <v>384</v>
      </c>
      <c r="EH91" s="359" t="s">
        <v>495</v>
      </c>
      <c r="EI91" s="366" t="e">
        <f ca="1">_xll.LVCELL($EG$3,EI$3,$DP91,$DQ$2,$DP$4,$DP$5,$DP$6,$DP$7,$DP$8,$DQ$3)-CW91</f>
        <v>#NAME?</v>
      </c>
      <c r="EJ91" s="367" t="e">
        <f ca="1">_xll.LVCELL($EG$3,EJ$3,$DP91,$DQ$2,$DP$4,$DP$5,$DP$6,$DP$7,$DP$8,$DQ$3)-CX91</f>
        <v>#NAME?</v>
      </c>
      <c r="EK91" s="368" t="e">
        <f ca="1">_xll.LVCELL($EG$3,EK$3,$DP91,$DQ$2,$DP$4,$DP$5,$DP$6,$DP$7,$DP$8,$DQ$3)-CY91</f>
        <v>#NAME?</v>
      </c>
      <c r="EL91" s="367" t="e">
        <f ca="1">_xll.LVCELL($EG$3,EL$3,$DP91,$DQ$2,$DP$4,$DP$5,$DP$6,$DP$7,$DP$8,$DQ$3)-CZ91</f>
        <v>#NAME?</v>
      </c>
      <c r="EM91" s="368" t="e">
        <f ca="1">_xll.LVCELL($EG$3,EM$3,$DP91,$DQ$2,$DP$4,$DP$5,$DP$6,$DP$7,$DP$8,$DQ$3)-DA91</f>
        <v>#NAME?</v>
      </c>
      <c r="EN91" s="367" t="e">
        <f ca="1">_xll.LVCELL($EG$3,EN$3,$DP91,$DQ$2,$DP$4,$DP$5,$DP$6,$DP$7,$DP$8,$DQ$3)-DB91</f>
        <v>#NAME?</v>
      </c>
      <c r="EO91" s="368" t="e">
        <f ca="1">_xll.LVCELL($EG$3,EO$3,$DP91,$DQ$2,$DP$4,$DP$5,$DP$6,$DP$7,$DP$8,$DQ$3)-DC91</f>
        <v>#NAME?</v>
      </c>
      <c r="EP91" s="367" t="e">
        <f ca="1">_xll.LVCELL($EG$3,EP$3,$DP91,$DQ$2,$DP$4,$DP$5,$DP$6,$DP$7,$DP$8,$DQ$3)-DD91</f>
        <v>#NAME?</v>
      </c>
      <c r="EQ91" s="368" t="e">
        <f ca="1">_xll.LVCELL($EG$3,EQ$3,$DP91,$DQ$2,$DP$4,$DP$5,$DP$6,$DP$7,$DP$8,$DQ$3)-DE91</f>
        <v>#NAME?</v>
      </c>
      <c r="ER91" s="367" t="e">
        <f ca="1">_xll.LVCELL($EG$3,ER$3,$DP91,$DQ$2,$DP$4,$DP$5,$DP$6,$DP$7,$DP$8,$DQ$3)-DF91</f>
        <v>#NAME?</v>
      </c>
      <c r="ES91" s="368" t="e">
        <f ca="1">_xll.LVCELL($EG$3,ES$3,$DP91,$DQ$2,$DP$4,$DP$5,$DP$6,$DP$7,$DP$8,$DQ$3)-DG91</f>
        <v>#NAME?</v>
      </c>
      <c r="ET91" s="367" t="e">
        <f ca="1">_xll.LVCELL($EG$3,ET$3,$DP91,$DQ$2,$DP$4,$DP$5,$DP$6,$DP$7,$DP$8,$DQ$3)-DH91</f>
        <v>#NAME?</v>
      </c>
      <c r="EW91" s="64" t="s">
        <v>384</v>
      </c>
      <c r="EX91" s="64" t="s">
        <v>384</v>
      </c>
      <c r="EY91" s="359" t="s">
        <v>495</v>
      </c>
      <c r="EZ91" s="364">
        <f>_xll.LVCELL($EX$3,EZ$3,$DP91,$DQ$2,$DP$4,$DP$5,$DP$6,$DP$7,$DP$8,$DQ$3)</f>
        <v>9600</v>
      </c>
      <c r="FA91" s="364">
        <f>_xll.LVCELL($EX$3,FA$3,$DP91,$DQ$2,$DP$4,$DP$5,$DP$6,$DP$7,$DP$8,$DQ$3)</f>
        <v>9600</v>
      </c>
      <c r="FB91" s="364">
        <f>_xll.LVCELL($EX$3,FB$3,$DP91,$DQ$2,$DP$4,$DP$5,$DP$6,$DP$7,$DP$8,$DQ$3)</f>
        <v>9600</v>
      </c>
      <c r="FC91" s="364">
        <f>_xll.LVCELL($EX$3,FC$3,$DP91,$DQ$2,$DP$4,$DP$5,$DP$6,$DP$7,$DP$8,$DQ$3)</f>
        <v>9600</v>
      </c>
      <c r="FD91" s="364">
        <f>_xll.LVCELL($EX$3,FD$3,$DP91,$DQ$2,$DP$4,$DP$5,$DP$6,$DP$7,$DP$8,$DQ$3)</f>
        <v>9600</v>
      </c>
      <c r="FE91" s="364">
        <f>_xll.LVCELL($EX$3,FE$3,$DP91,$DQ$2,$DP$4,$DP$5,$DP$6,$DP$7,$DP$8,$DQ$3)</f>
        <v>9600</v>
      </c>
      <c r="FF91" s="364">
        <f>_xll.LVCELL($EX$3,FF$3,$DP91,$DQ$2,$DP$4,$DP$5,$DP$6,$DP$7,$DP$8,$DQ$3)</f>
        <v>9600</v>
      </c>
      <c r="FG91" s="364">
        <f>_xll.LVCELL($EX$3,FG$3,$DP91,$DQ$2,$DP$4,$DP$5,$DP$6,$DP$7,$DP$8,$DQ$3)</f>
        <v>9600</v>
      </c>
      <c r="FH91" s="364">
        <f>_xll.LVCELL($EX$3,FH$3,$DP91,$DQ$2,$DP$4,$DP$5,$DP$6,$DP$7,$DP$8,$DQ$3)</f>
        <v>9600</v>
      </c>
      <c r="FI91" s="364">
        <f>_xll.LVCELL($EX$3,FI$3,$DP91,$DQ$2,$DP$4,$DP$5,$DP$6,$DP$7,$DP$8,$DQ$3)</f>
        <v>9600</v>
      </c>
      <c r="FJ91" s="364">
        <f>_xll.LVCELL($EX$3,FJ$3,$DP91,$DQ$2,$DP$4,$DP$5,$DP$6,$DP$7,$DP$8,$DQ$3)</f>
        <v>9600</v>
      </c>
      <c r="FK91" s="276">
        <f>_xll.LVCELL($EX$3,FK$3,$DP91,$DQ$2,$DP$4,$DP$5,$DP$6,$DP$7,$DP$8,$DQ$3)</f>
        <v>9600</v>
      </c>
      <c r="FN91" s="64" t="s">
        <v>384</v>
      </c>
      <c r="FO91" s="64" t="s">
        <v>384</v>
      </c>
      <c r="FP91" s="359" t="s">
        <v>495</v>
      </c>
      <c r="FQ91" s="364">
        <f>_xll.LVCELL($FO$3,FQ$3,$DP91,$DQ$2,$DP$4,$DP$5,$DP$6,$DP$7,$DP$8,$DQ$3)</f>
        <v>4</v>
      </c>
      <c r="FR91" s="364">
        <f>_xll.LVCELL($FO$3,FR$3,$DP91,$DQ$2,$DP$4,$DP$5,$DP$6,$DP$7,$DP$8,$DQ$3)</f>
        <v>4</v>
      </c>
      <c r="FS91" s="364">
        <f>_xll.LVCELL($FO$3,FS$3,$DP91,$DQ$2,$DP$4,$DP$5,$DP$6,$DP$7,$DP$8,$DQ$3)</f>
        <v>4</v>
      </c>
      <c r="FT91" s="364">
        <f>_xll.LVCELL($FO$3,FT$3,$DP91,$DQ$2,$DP$4,$DP$5,$DP$6,$DP$7,$DP$8,$DQ$3)</f>
        <v>4</v>
      </c>
      <c r="FU91" s="364">
        <f>_xll.LVCELL($FO$3,FU$3,$DP91,$DQ$2,$DP$4,$DP$5,$DP$6,$DP$7,$DP$8,$DQ$3)</f>
        <v>4</v>
      </c>
      <c r="FV91" s="364">
        <f>_xll.LVCELL($FO$3,FV$3,$DP91,$DQ$2,$DP$4,$DP$5,$DP$6,$DP$7,$DP$8,$DQ$3)</f>
        <v>4</v>
      </c>
      <c r="FW91" s="364">
        <f>_xll.LVCELL($FO$3,FW$3,$DP91,$DQ$2,$DP$4,$DP$5,$DP$6,$DP$7,$DP$8,$DQ$3)</f>
        <v>4</v>
      </c>
      <c r="FX91" s="364">
        <f>_xll.LVCELL($FO$3,FX$3,$DP91,$DQ$2,$DP$4,$DP$5,$DP$6,$DP$7,$DP$8,$DQ$3)</f>
        <v>4</v>
      </c>
      <c r="FY91" s="364">
        <f>_xll.LVCELL($FO$3,FY$3,$DP91,$DQ$2,$DP$4,$DP$5,$DP$6,$DP$7,$DP$8,$DQ$3)</f>
        <v>4</v>
      </c>
      <c r="FZ91" s="364">
        <f>_xll.LVCELL($FO$3,FZ$3,$DP91,$DQ$2,$DP$4,$DP$5,$DP$6,$DP$7,$DP$8,$DQ$3)</f>
        <v>4</v>
      </c>
      <c r="GA91" s="364">
        <f>_xll.LVCELL($FO$3,GA$3,$DP91,$DQ$2,$DP$4,$DP$5,$DP$6,$DP$7,$DP$8,$DQ$3)</f>
        <v>4</v>
      </c>
      <c r="GB91" s="172">
        <f>_xll.LVCELL($FO$3,GB$3,$DP91,$DQ$2,$DP$4,$DP$5,$DP$6,$DP$7,$DP$8,$DQ$3)</f>
        <v>4</v>
      </c>
    </row>
    <row r="92" spans="2:184" ht="15">
      <c r="B92" s="64" t="s">
        <v>381</v>
      </c>
      <c r="C92" s="64" t="s">
        <v>381</v>
      </c>
      <c r="D92" s="359" t="s">
        <v>496</v>
      </c>
      <c r="E92" s="357">
        <f>_xll.LVCELL($C$3,Q$3,$C92,$D$2,$C$4,$C$5,$C$6,$C$7,$C$8,$D$3)/1000</f>
        <v>0</v>
      </c>
      <c r="F92" s="103">
        <f>'distribution mensuelle Prod B22'!$CF$36</f>
        <v>2450779.0627046893</v>
      </c>
      <c r="G92" s="103">
        <f>'distribution mensuelle Prod B22'!$CF$37</f>
        <v>2235982.2427850808</v>
      </c>
      <c r="H92" s="103">
        <f>'distribution mensuelle Prod B22'!$CF$38</f>
        <v>2239902.6746391817</v>
      </c>
      <c r="I92" s="103">
        <f>'distribution mensuelle Prod B22'!$CF$39</f>
        <v>1663562.9755846942</v>
      </c>
      <c r="J92" s="103">
        <f>'distribution mensuelle Prod B22'!$CF$40</f>
        <v>1462295.9936476245</v>
      </c>
      <c r="K92" s="103">
        <f>'distribution mensuelle Prod B22'!$CF$41</f>
        <v>1217705.8156846215</v>
      </c>
      <c r="L92" s="103">
        <f>'distribution mensuelle Prod B22'!$CF$42</f>
        <v>0</v>
      </c>
      <c r="M92" s="103">
        <f>'distribution mensuelle Prod B22'!$CF$43</f>
        <v>0</v>
      </c>
      <c r="N92" s="103">
        <f>'distribution mensuelle Prod B22'!$CF$44</f>
        <v>0</v>
      </c>
      <c r="O92" s="103">
        <f>'distribution mensuelle Prod B22'!$CF$45</f>
        <v>0</v>
      </c>
      <c r="P92" s="103">
        <f>'distribution mensuelle Prod B22'!$CF$46</f>
        <v>0</v>
      </c>
      <c r="Q92" s="103">
        <f>'distribution mensuelle Prod B22'!$CF$47</f>
        <v>0</v>
      </c>
      <c r="R92" s="67">
        <f t="shared" si="92"/>
        <v>11270228.765045891</v>
      </c>
      <c r="S92" s="358"/>
      <c r="W92" s="113" t="str">
        <f t="shared" si="93"/>
        <v>E6140</v>
      </c>
      <c r="X92" s="359" t="str">
        <f t="shared" si="94"/>
        <v>Renardières mont de Bezard</v>
      </c>
      <c r="Y92" s="299" cm="1">
        <f t="array" ref="Y92">_xll.LVCELL($D$4,F$1,$B92,$D$2,$C$4,$C$5,$C$6,$C$7,$C$8,$D$3)*1000+_xll.LVCELL($D$5,F$1,$B92,$D$2,$C$4,$C$5,$C$6,$C$7,$C$8,$D$3)*1000</f>
        <v>96.469982999999999</v>
      </c>
      <c r="Z92" s="299" cm="1">
        <f t="array" ref="Z92">_xll.LVCELL($D$4,G$1,$B92,$D$2,$C$4,$C$5,$C$6,$C$7,$C$8,$D$3)*1000+_xll.LVCELL($D$5,G$1,$B92,$D$2,$C$4,$C$5,$C$6,$C$7,$C$8,$D$3)*1000</f>
        <v>96.47</v>
      </c>
      <c r="AA92" s="299" cm="1">
        <f t="array" ref="AA92">_xll.LVCELL($D$4,H$1,$B92,$D$2,$C$4,$C$5,$C$6,$C$7,$C$8,$D$3)*1000+_xll.LVCELL($D$5,H$1,$B92,$D$2,$C$4,$C$5,$C$6,$C$7,$C$8,$D$3)*1000</f>
        <v>96.470000788644555</v>
      </c>
      <c r="AB92" s="299" cm="1">
        <f t="array" ref="AB92">_xll.LVCELL($D$4,I$1,$B92,$D$2,$C$4,$C$5,$C$6,$C$7,$C$8,$D$3)*1000+_xll.LVCELL($D$5,I$1,$B92,$D$2,$C$4,$C$5,$C$6,$C$7,$C$8,$D$3)*1000</f>
        <v>96.469998247405385</v>
      </c>
      <c r="AC92" s="299" cm="1">
        <f t="array" ref="AC92">_xll.LVCELL($D$4,J$1,$B92,$D$2,$C$4,$C$5,$C$6,$C$7,$C$8,$D$3)*1000+_xll.LVCELL($D$5,J$1,$B92,$D$2,$C$4,$C$5,$C$6,$C$7,$C$8,$D$3)*1000</f>
        <v>96.469977562158633</v>
      </c>
      <c r="AD92" s="299" cm="1">
        <f t="array" ref="AD92">_xll.LVCELL($D$4,K$1,$B92,$D$2,$C$4,$C$5,$C$6,$C$7,$C$8,$D$3)*1000+_xll.LVCELL($D$5,K$1,$B92,$D$2,$C$4,$C$5,$C$6,$C$7,$C$8,$D$3)*1000</f>
        <v>96.47007072249707</v>
      </c>
      <c r="AE92" s="299" cm="1">
        <f t="array" ref="AE92">_xll.LVCELL($D$4,L$1,$B92,$D$2,$C$4,$C$5,$C$6,$C$7,$C$8,$D$3)*1000+_xll.LVCELL($D$5,L$1,$B92,$D$2,$C$4,$C$5,$C$6,$C$7,$C$8,$D$3)*1000</f>
        <v>96.47</v>
      </c>
      <c r="AF92" s="299">
        <f>$AD$92</f>
        <v>96.47007072249707</v>
      </c>
      <c r="AG92" s="299">
        <f t="shared" si="141"/>
        <v>96.47007072249707</v>
      </c>
      <c r="AH92" s="411">
        <f t="shared" si="141"/>
        <v>96.47007072249707</v>
      </c>
      <c r="AI92" s="411">
        <f t="shared" si="142"/>
        <v>98.688882349114508</v>
      </c>
      <c r="AJ92" s="412">
        <f t="shared" si="143"/>
        <v>98.688882349114508</v>
      </c>
      <c r="AK92" s="414"/>
      <c r="AL92" s="134">
        <f t="shared" si="95"/>
        <v>2.3E-2</v>
      </c>
      <c r="AM92" s="134"/>
      <c r="AN92" s="134"/>
      <c r="AO92" s="134"/>
      <c r="AP92" s="113" t="str">
        <f t="shared" si="132"/>
        <v>E6140</v>
      </c>
      <c r="AQ92" s="567" t="str">
        <f t="shared" si="133"/>
        <v>Renardières mont de Bezard</v>
      </c>
      <c r="AR92" s="377"/>
      <c r="AS92" s="377"/>
      <c r="AT92" s="377"/>
      <c r="AU92" s="377"/>
      <c r="AV92" s="377"/>
      <c r="AW92" s="377"/>
      <c r="AX92" s="377"/>
      <c r="AY92" s="377"/>
      <c r="AZ92" s="377"/>
      <c r="BA92" s="377"/>
      <c r="BB92" s="377"/>
      <c r="BC92" s="378"/>
      <c r="BD92" s="414"/>
      <c r="BE92" s="134"/>
      <c r="BF92" s="134"/>
      <c r="BG92" s="134"/>
      <c r="BH92" s="134"/>
      <c r="BI92" s="113" t="str">
        <f t="shared" si="134"/>
        <v>E6140</v>
      </c>
      <c r="BJ92" s="567" t="str">
        <f t="shared" si="135"/>
        <v>Renardières mont de Bezard</v>
      </c>
      <c r="BK92" s="411">
        <f t="shared" si="145"/>
        <v>98.688882349114508</v>
      </c>
      <c r="BL92" s="411">
        <f t="shared" si="145"/>
        <v>98.688882349114508</v>
      </c>
      <c r="BM92" s="411">
        <f t="shared" si="145"/>
        <v>98.688882349114508</v>
      </c>
      <c r="BN92" s="411">
        <f t="shared" si="145"/>
        <v>98.688882349114508</v>
      </c>
      <c r="BO92" s="411">
        <f t="shared" si="145"/>
        <v>98.688882349114508</v>
      </c>
      <c r="BP92" s="411">
        <f t="shared" si="145"/>
        <v>98.688882349114508</v>
      </c>
      <c r="BQ92" s="377"/>
      <c r="BR92" s="377"/>
      <c r="BS92" s="377"/>
      <c r="BT92" s="377"/>
      <c r="BU92" s="377"/>
      <c r="BV92" s="378"/>
      <c r="BW92" s="414" t="s">
        <v>3450</v>
      </c>
      <c r="BX92" s="134"/>
      <c r="BY92" s="134"/>
      <c r="BZ92" s="134"/>
      <c r="CA92" s="134"/>
      <c r="CB92" s="113" t="str">
        <f t="shared" si="99"/>
        <v>E6140</v>
      </c>
      <c r="CC92" s="373" t="str">
        <f t="shared" si="100"/>
        <v>Renardières mont de Bezard</v>
      </c>
      <c r="CD92" s="411">
        <f t="shared" si="136"/>
        <v>98.688882349114508</v>
      </c>
      <c r="CE92" s="411">
        <f t="shared" si="101"/>
        <v>98.688882349114508</v>
      </c>
      <c r="CF92" s="411">
        <f t="shared" si="102"/>
        <v>98.688882349114508</v>
      </c>
      <c r="CG92" s="411">
        <f t="shared" si="103"/>
        <v>98.688882349114508</v>
      </c>
      <c r="CH92" s="411">
        <f t="shared" si="104"/>
        <v>98.688882349114508</v>
      </c>
      <c r="CI92" s="411">
        <f t="shared" si="105"/>
        <v>98.688882349114508</v>
      </c>
      <c r="CJ92" s="411">
        <f t="shared" si="106"/>
        <v>0</v>
      </c>
      <c r="CK92" s="411">
        <f t="shared" si="107"/>
        <v>0</v>
      </c>
      <c r="CL92" s="411">
        <f t="shared" si="108"/>
        <v>0</v>
      </c>
      <c r="CM92" s="411">
        <f t="shared" si="109"/>
        <v>0</v>
      </c>
      <c r="CN92" s="411">
        <f t="shared" si="110"/>
        <v>0</v>
      </c>
      <c r="CO92" s="412">
        <f t="shared" si="111"/>
        <v>0</v>
      </c>
      <c r="CP92" s="414"/>
      <c r="CQ92" s="134">
        <f t="shared" si="112"/>
        <v>4.0000000000000001E-3</v>
      </c>
      <c r="CU92" s="113" t="str">
        <f t="shared" si="113"/>
        <v>E6140</v>
      </c>
      <c r="CV92" s="373" t="str">
        <f t="shared" si="114"/>
        <v>Renardières mont de Bezard</v>
      </c>
      <c r="CW92" s="384">
        <f t="shared" si="115"/>
        <v>241864.6465829362</v>
      </c>
      <c r="CX92" s="298">
        <f t="shared" si="116"/>
        <v>220666.58849292604</v>
      </c>
      <c r="CY92" s="298">
        <f t="shared" si="117"/>
        <v>221053.49153093313</v>
      </c>
      <c r="CZ92" s="298">
        <f t="shared" si="118"/>
        <v>164175.17077782072</v>
      </c>
      <c r="DA92" s="298">
        <f t="shared" si="119"/>
        <v>144312.35727667192</v>
      </c>
      <c r="DB92" s="298">
        <f t="shared" si="120"/>
        <v>120174.02597993212</v>
      </c>
      <c r="DC92" s="298">
        <f t="shared" si="121"/>
        <v>0</v>
      </c>
      <c r="DD92" s="298">
        <f t="shared" si="122"/>
        <v>0</v>
      </c>
      <c r="DE92" s="298">
        <f t="shared" si="123"/>
        <v>0</v>
      </c>
      <c r="DF92" s="298">
        <f t="shared" si="124"/>
        <v>0</v>
      </c>
      <c r="DG92" s="371">
        <f t="shared" si="125"/>
        <v>0</v>
      </c>
      <c r="DH92" s="372">
        <f t="shared" si="126"/>
        <v>0</v>
      </c>
      <c r="DI92" s="67">
        <f t="shared" si="127"/>
        <v>1112246.28064122</v>
      </c>
      <c r="DJ92" s="364">
        <f>_xll.LVCELL($E$1,Q$2,$C92,$D$2,$C$4,$C$5,$C$6,$C$7,$C$8,$D$3)+_xll.LVCELL($E$2,Q$2,$C92,$D$2,$C$4,$C$5,$C$6,$C$7,$C$8,$D$3)</f>
        <v>1112246.2998939781</v>
      </c>
      <c r="DK92" s="82">
        <f t="shared" si="137"/>
        <v>-1.9252758007496595E-2</v>
      </c>
      <c r="DM92" s="518">
        <f t="shared" si="128"/>
        <v>98.688882349114508</v>
      </c>
      <c r="DO92" s="64" t="str">
        <f t="shared" si="129"/>
        <v>E6140</v>
      </c>
      <c r="DP92" s="64" t="str">
        <f t="shared" si="130"/>
        <v>E6140</v>
      </c>
      <c r="DQ92" s="359" t="str">
        <f t="shared" si="131"/>
        <v>Renardières mont de Bezard</v>
      </c>
      <c r="DR92" s="581">
        <f>_xll.LVCELL($DP$3,DR$3,$DP92,$DQ$2,$DP$4,$DP$5,$DP$6,$DP$7,$DP$8,$DQ$3)/100</f>
        <v>0.97</v>
      </c>
      <c r="DS92" s="581">
        <f>_xll.LVCELL($DP$3,DS$3,$DP92,$DQ$2,$DP$4,$DP$5,$DP$6,$DP$7,$DP$8,$DQ$3)/100</f>
        <v>0.97</v>
      </c>
      <c r="DT92" s="581">
        <f>_xll.LVCELL($DP$3,DT$3,$DP92,$DQ$2,$DP$4,$DP$5,$DP$6,$DP$7,$DP$8,$DQ$3)/100</f>
        <v>0.97</v>
      </c>
      <c r="DU92" s="581">
        <f>_xll.LVCELL($DP$3,DU$3,$DP92,$DQ$2,$DP$4,$DP$5,$DP$6,$DP$7,$DP$8,$DQ$3)/100</f>
        <v>0.97</v>
      </c>
      <c r="DV92" s="581">
        <f>_xll.LVCELL($DP$3,DV$3,$DP92,$DQ$2,$DP$4,$DP$5,$DP$6,$DP$7,$DP$8,$DQ$3)/100</f>
        <v>0.97</v>
      </c>
      <c r="DW92" s="581">
        <f>_xll.LVCELL($DP$3,DW$3,$DP92,$DQ$2,$DP$4,$DP$5,$DP$6,$DP$7,$DP$8,$DQ$3)/100</f>
        <v>0.97</v>
      </c>
      <c r="DX92" s="504">
        <f>_xll.LVCELL($DP$3,DX$3,$DP92,$DQ$2,$DP$4,$DP$5,$DP$6,$DP$7,$DP$8,$DQ$3)/100</f>
        <v>0</v>
      </c>
      <c r="DY92" s="504">
        <f>_xll.LVCELL($DP$3,DY$3,$DP92,$DQ$2,$DP$4,$DP$5,$DP$6,$DP$7,$DP$8,$DQ$3)/100</f>
        <v>0</v>
      </c>
      <c r="DZ92" s="504">
        <f>_xll.LVCELL($DP$3,DZ$3,$DP92,$DQ$2,$DP$4,$DP$5,$DP$6,$DP$7,$DP$8,$DQ$3)/100</f>
        <v>0</v>
      </c>
      <c r="EA92" s="504">
        <f>_xll.LVCELL($DP$3,EA$3,$DP92,$DQ$2,$DP$4,$DP$5,$DP$6,$DP$7,$DP$8,$DQ$3)/100</f>
        <v>0</v>
      </c>
      <c r="EB92" s="504">
        <f>_xll.LVCELL($DP$3,EB$3,$DP92,$DQ$2,$DP$4,$DP$5,$DP$6,$DP$7,$DP$8,$DQ$3)/100</f>
        <v>0</v>
      </c>
      <c r="EC92" s="504">
        <f>_xll.LVCELL($DP$3,EC$3,$DP92,$DQ$2,$DP$4,$DP$5,$DP$6,$DP$7,$DP$8,$DQ$3)/100</f>
        <v>0</v>
      </c>
      <c r="ED92" s="583">
        <f t="shared" si="138"/>
        <v>5.8199999999999994</v>
      </c>
      <c r="EF92" s="64" t="s">
        <v>381</v>
      </c>
      <c r="EG92" s="64" t="s">
        <v>381</v>
      </c>
      <c r="EH92" s="359" t="s">
        <v>496</v>
      </c>
      <c r="EI92" s="366" t="e">
        <f ca="1">_xll.LVCELL($EG$3,EI$3,$DP92,$DQ$2,$DP$4,$DP$5,$DP$6,$DP$7,$DP$8,$DQ$3)-CW92</f>
        <v>#NAME?</v>
      </c>
      <c r="EJ92" s="367" t="e">
        <f ca="1">_xll.LVCELL($EG$3,EJ$3,$DP92,$DQ$2,$DP$4,$DP$5,$DP$6,$DP$7,$DP$8,$DQ$3)-CX92</f>
        <v>#NAME?</v>
      </c>
      <c r="EK92" s="368" t="e">
        <f ca="1">_xll.LVCELL($EG$3,EK$3,$DP92,$DQ$2,$DP$4,$DP$5,$DP$6,$DP$7,$DP$8,$DQ$3)-CY92</f>
        <v>#NAME?</v>
      </c>
      <c r="EL92" s="367" t="e">
        <f ca="1">_xll.LVCELL($EG$3,EL$3,$DP92,$DQ$2,$DP$4,$DP$5,$DP$6,$DP$7,$DP$8,$DQ$3)-CZ92</f>
        <v>#NAME?</v>
      </c>
      <c r="EM92" s="368" t="e">
        <f ca="1">_xll.LVCELL($EG$3,EM$3,$DP92,$DQ$2,$DP$4,$DP$5,$DP$6,$DP$7,$DP$8,$DQ$3)-DA92</f>
        <v>#NAME?</v>
      </c>
      <c r="EN92" s="367" t="e">
        <f ca="1">_xll.LVCELL($EG$3,EN$3,$DP92,$DQ$2,$DP$4,$DP$5,$DP$6,$DP$7,$DP$8,$DQ$3)-DB92</f>
        <v>#NAME?</v>
      </c>
      <c r="EO92" s="368" t="e">
        <f ca="1">_xll.LVCELL($EG$3,EO$3,$DP92,$DQ$2,$DP$4,$DP$5,$DP$6,$DP$7,$DP$8,$DQ$3)-DC92</f>
        <v>#NAME?</v>
      </c>
      <c r="EP92" s="367" t="e">
        <f ca="1">_xll.LVCELL($EG$3,EP$3,$DP92,$DQ$2,$DP$4,$DP$5,$DP$6,$DP$7,$DP$8,$DQ$3)-DD92</f>
        <v>#NAME?</v>
      </c>
      <c r="EQ92" s="368" t="e">
        <f ca="1">_xll.LVCELL($EG$3,EQ$3,$DP92,$DQ$2,$DP$4,$DP$5,$DP$6,$DP$7,$DP$8,$DQ$3)-DE92</f>
        <v>#NAME?</v>
      </c>
      <c r="ER92" s="367" t="e">
        <f ca="1">_xll.LVCELL($EG$3,ER$3,$DP92,$DQ$2,$DP$4,$DP$5,$DP$6,$DP$7,$DP$8,$DQ$3)-DF92</f>
        <v>#NAME?</v>
      </c>
      <c r="ES92" s="368" t="e">
        <f ca="1">_xll.LVCELL($EG$3,ES$3,$DP92,$DQ$2,$DP$4,$DP$5,$DP$6,$DP$7,$DP$8,$DQ$3)-DG92</f>
        <v>#NAME?</v>
      </c>
      <c r="ET92" s="367" t="e">
        <f ca="1">_xll.LVCELL($EG$3,ET$3,$DP92,$DQ$2,$DP$4,$DP$5,$DP$6,$DP$7,$DP$8,$DQ$3)-DH92</f>
        <v>#NAME?</v>
      </c>
      <c r="EW92" s="64" t="s">
        <v>381</v>
      </c>
      <c r="EX92" s="64" t="s">
        <v>381</v>
      </c>
      <c r="EY92" s="359" t="s">
        <v>496</v>
      </c>
      <c r="EZ92" s="276">
        <f>_xll.LVCELL($EX$3,EZ$3,$DP92,$DQ$2,$DP$4,$DP$5,$DP$6,$DP$7,$DP$8,$DQ$3)</f>
        <v>12000</v>
      </c>
      <c r="FA92" s="276">
        <f>_xll.LVCELL($EX$3,FA$3,$DP92,$DQ$2,$DP$4,$DP$5,$DP$6,$DP$7,$DP$8,$DQ$3)</f>
        <v>12000</v>
      </c>
      <c r="FB92" s="276">
        <f>_xll.LVCELL($EX$3,FB$3,$DP92,$DQ$2,$DP$4,$DP$5,$DP$6,$DP$7,$DP$8,$DQ$3)</f>
        <v>12000</v>
      </c>
      <c r="FC92" s="276">
        <f>_xll.LVCELL($EX$3,FC$3,$DP92,$DQ$2,$DP$4,$DP$5,$DP$6,$DP$7,$DP$8,$DQ$3)</f>
        <v>12000</v>
      </c>
      <c r="FD92" s="276">
        <f>_xll.LVCELL($EX$3,FD$3,$DP92,$DQ$2,$DP$4,$DP$5,$DP$6,$DP$7,$DP$8,$DQ$3)</f>
        <v>12000</v>
      </c>
      <c r="FE92" s="276">
        <f>_xll.LVCELL($EX$3,FE$3,$DP92,$DQ$2,$DP$4,$DP$5,$DP$6,$DP$7,$DP$8,$DQ$3)</f>
        <v>12000</v>
      </c>
      <c r="FF92" s="505">
        <f>_xll.LVCELL($EX$3,FF$3,$DP92,$DQ$2,$DP$4,$DP$5,$DP$6,$DP$7,$DP$8,$DQ$3)</f>
        <v>0</v>
      </c>
      <c r="FG92" s="505">
        <f>_xll.LVCELL($EX$3,FG$3,$DP92,$DQ$2,$DP$4,$DP$5,$DP$6,$DP$7,$DP$8,$DQ$3)</f>
        <v>0</v>
      </c>
      <c r="FH92" s="505">
        <f>_xll.LVCELL($EX$3,FH$3,$DP92,$DQ$2,$DP$4,$DP$5,$DP$6,$DP$7,$DP$8,$DQ$3)</f>
        <v>0</v>
      </c>
      <c r="FI92" s="505">
        <f>_xll.LVCELL($EX$3,FI$3,$DP92,$DQ$2,$DP$4,$DP$5,$DP$6,$DP$7,$DP$8,$DQ$3)</f>
        <v>0</v>
      </c>
      <c r="FJ92" s="505">
        <f>_xll.LVCELL($EX$3,FJ$3,$DP92,$DQ$2,$DP$4,$DP$5,$DP$6,$DP$7,$DP$8,$DQ$3)</f>
        <v>0</v>
      </c>
      <c r="FK92" s="505">
        <f>_xll.LVCELL($EX$3,FK$3,$DP92,$DQ$2,$DP$4,$DP$5,$DP$6,$DP$7,$DP$8,$DQ$3)</f>
        <v>0</v>
      </c>
      <c r="FN92" s="64" t="s">
        <v>381</v>
      </c>
      <c r="FO92" s="64" t="s">
        <v>381</v>
      </c>
      <c r="FP92" s="359" t="s">
        <v>496</v>
      </c>
      <c r="FQ92" s="276">
        <f>_xll.LVCELL($FO$3,FQ$3,$DP92,$DQ$2,$DP$4,$DP$5,$DP$6,$DP$7,$DP$8,$DQ$3)</f>
        <v>6</v>
      </c>
      <c r="FR92" s="276">
        <f>_xll.LVCELL($FO$3,FR$3,$DP92,$DQ$2,$DP$4,$DP$5,$DP$6,$DP$7,$DP$8,$DQ$3)</f>
        <v>6</v>
      </c>
      <c r="FS92" s="276">
        <f>_xll.LVCELL($FO$3,FS$3,$DP92,$DQ$2,$DP$4,$DP$5,$DP$6,$DP$7,$DP$8,$DQ$3)</f>
        <v>6</v>
      </c>
      <c r="FT92" s="276">
        <f>_xll.LVCELL($FO$3,FT$3,$DP92,$DQ$2,$DP$4,$DP$5,$DP$6,$DP$7,$DP$8,$DQ$3)</f>
        <v>6</v>
      </c>
      <c r="FU92" s="276">
        <f>_xll.LVCELL($FO$3,FU$3,$DP92,$DQ$2,$DP$4,$DP$5,$DP$6,$DP$7,$DP$8,$DQ$3)</f>
        <v>6</v>
      </c>
      <c r="FV92" s="276">
        <f>_xll.LVCELL($FO$3,FV$3,$DP92,$DQ$2,$DP$4,$DP$5,$DP$6,$DP$7,$DP$8,$DQ$3)</f>
        <v>6</v>
      </c>
      <c r="FW92" s="505">
        <f>_xll.LVCELL($FO$3,FW$3,$DP92,$DQ$2,$DP$4,$DP$5,$DP$6,$DP$7,$DP$8,$DQ$3)</f>
        <v>0</v>
      </c>
      <c r="FX92" s="505">
        <f>_xll.LVCELL($FO$3,FX$3,$DP92,$DQ$2,$DP$4,$DP$5,$DP$6,$DP$7,$DP$8,$DQ$3)</f>
        <v>0</v>
      </c>
      <c r="FY92" s="505">
        <f>_xll.LVCELL($FO$3,FY$3,$DP92,$DQ$2,$DP$4,$DP$5,$DP$6,$DP$7,$DP$8,$DQ$3)</f>
        <v>0</v>
      </c>
      <c r="FZ92" s="505">
        <f>_xll.LVCELL($FO$3,FZ$3,$DP92,$DQ$2,$DP$4,$DP$5,$DP$6,$DP$7,$DP$8,$DQ$3)</f>
        <v>0</v>
      </c>
      <c r="GA92" s="505">
        <f>_xll.LVCELL($FO$3,GA$3,$DP92,$DQ$2,$DP$4,$DP$5,$DP$6,$DP$7,$DP$8,$DQ$3)</f>
        <v>0</v>
      </c>
      <c r="GB92" s="505">
        <f>_xll.LVCELL($FO$3,GB$3,$DP92,$DQ$2,$DP$4,$DP$5,$DP$6,$DP$7,$DP$8,$DQ$3)</f>
        <v>0</v>
      </c>
    </row>
    <row r="93" spans="2:184" ht="15">
      <c r="B93" s="64" t="s">
        <v>385</v>
      </c>
      <c r="C93" s="64" t="s">
        <v>385</v>
      </c>
      <c r="D93" s="359" t="s">
        <v>497</v>
      </c>
      <c r="E93" s="357">
        <f>_xll.LVCELL($C$3,Q$3,$C93,$D$2,$C$4,$C$5,$C$6,$C$7,$C$8,$D$3)/1000</f>
        <v>12.5</v>
      </c>
      <c r="F93" s="103">
        <f>'distribution mensuelle Prod B22'!$CG$36</f>
        <v>2485544.9450271698</v>
      </c>
      <c r="G93" s="103">
        <f>'distribution mensuelle Prod B22'!$CG$37</f>
        <v>2086157.3163466984</v>
      </c>
      <c r="H93" s="103">
        <f>'distribution mensuelle Prod B22'!$CG$38</f>
        <v>2139951.2056182339</v>
      </c>
      <c r="I93" s="103">
        <f>'distribution mensuelle Prod B22'!$CG$39</f>
        <v>1679322.8789119711</v>
      </c>
      <c r="J93" s="103">
        <f>'distribution mensuelle Prod B22'!$CG$40</f>
        <v>1527506.6041340434</v>
      </c>
      <c r="K93" s="103">
        <f>'distribution mensuelle Prod B22'!$CG$41</f>
        <v>1223693.7298239344</v>
      </c>
      <c r="L93" s="103">
        <f>'distribution mensuelle Prod B22'!$CG$42</f>
        <v>1283075.5890774068</v>
      </c>
      <c r="M93" s="103">
        <f>'distribution mensuelle Prod B22'!$CG$43</f>
        <v>1216909.6990956331</v>
      </c>
      <c r="N93" s="103">
        <f>'distribution mensuelle Prod B22'!$CG$44</f>
        <v>1543322.0759902226</v>
      </c>
      <c r="O93" s="103">
        <f>'distribution mensuelle Prod B22'!$CG$45</f>
        <v>2058474.2005993549</v>
      </c>
      <c r="P93" s="103">
        <f>'distribution mensuelle Prod B22'!$CG$46</f>
        <v>2017472.7352037891</v>
      </c>
      <c r="Q93" s="103">
        <f>'distribution mensuelle Prod B22'!$CG$47</f>
        <v>2521635.4304717742</v>
      </c>
      <c r="R93" s="67">
        <f t="shared" si="92"/>
        <v>21783066.410300232</v>
      </c>
      <c r="S93" s="759"/>
      <c r="W93" s="113" t="str">
        <f t="shared" si="93"/>
        <v>E6350</v>
      </c>
      <c r="X93" s="359" t="str">
        <f t="shared" si="94"/>
        <v>Zondrange</v>
      </c>
      <c r="Y93" s="299" cm="1">
        <f t="array" ref="Y93">_xll.LVCELL($D$4,F$1,$B93,$D$2,$C$4,$C$5,$C$6,$C$7,$C$8,$D$3)*1000+_xll.LVCELL($D$5,F$1,$B93,$D$2,$C$4,$C$5,$C$6,$C$7,$C$8,$D$3)*1000</f>
        <v>88.39</v>
      </c>
      <c r="Z93" s="299" cm="1">
        <f t="array" ref="Z93">_xll.LVCELL($D$4,G$1,$B93,$D$2,$C$4,$C$5,$C$6,$C$7,$C$8,$D$3)*1000+_xll.LVCELL($D$5,G$1,$B93,$D$2,$C$4,$C$5,$C$6,$C$7,$C$8,$D$3)*1000</f>
        <v>88.389999000000003</v>
      </c>
      <c r="AA93" s="299" cm="1">
        <f t="array" ref="AA93">_xll.LVCELL($D$4,H$1,$B93,$D$2,$C$4,$C$5,$C$6,$C$7,$C$8,$D$3)*1000+_xll.LVCELL($D$5,H$1,$B93,$D$2,$C$4,$C$5,$C$6,$C$7,$C$8,$D$3)*1000</f>
        <v>88.38999933430803</v>
      </c>
      <c r="AB93" s="299" cm="1">
        <f t="array" ref="AB93">_xll.LVCELL($D$4,I$1,$B93,$D$2,$C$4,$C$5,$C$6,$C$7,$C$8,$D$3)*1000+_xll.LVCELL($D$5,I$1,$B93,$D$2,$C$4,$C$5,$C$6,$C$7,$C$8,$D$3)*1000</f>
        <v>88.390002233546696</v>
      </c>
      <c r="AC93" s="299" cm="1">
        <f t="array" ref="AC93">_xll.LVCELL($D$4,J$1,$B93,$D$2,$C$4,$C$5,$C$6,$C$7,$C$8,$D$3)*1000+_xll.LVCELL($D$5,J$1,$B93,$D$2,$C$4,$C$5,$C$6,$C$7,$C$8,$D$3)*1000</f>
        <v>88.390000784724521</v>
      </c>
      <c r="AD93" s="299" cm="1">
        <f t="array" ref="AD93">_xll.LVCELL($D$4,K$1,$B93,$D$2,$C$4,$C$5,$C$6,$C$7,$C$8,$D$3)*1000+_xll.LVCELL($D$5,K$1,$B93,$D$2,$C$4,$C$5,$C$6,$C$7,$C$8,$D$3)*1000</f>
        <v>88.39</v>
      </c>
      <c r="AE93" s="299" cm="1">
        <f t="array" ref="AE93">_xll.LVCELL($D$4,L$1,$B93,$D$2,$C$4,$C$5,$C$6,$C$7,$C$8,$D$3)*1000+_xll.LVCELL($D$5,L$1,$B93,$D$2,$C$4,$C$5,$C$6,$C$7,$C$8,$D$3)*1000</f>
        <v>88.390002047699639</v>
      </c>
      <c r="AF93" s="299">
        <f>$AD$93</f>
        <v>88.39</v>
      </c>
      <c r="AG93" s="299">
        <f t="shared" si="141"/>
        <v>88.39</v>
      </c>
      <c r="AH93" s="411">
        <f t="shared" si="141"/>
        <v>88.39</v>
      </c>
      <c r="AI93" s="411">
        <f t="shared" si="142"/>
        <v>90.422970000000007</v>
      </c>
      <c r="AJ93" s="412">
        <f t="shared" si="143"/>
        <v>90.422970000000007</v>
      </c>
      <c r="AK93" s="414"/>
      <c r="AL93" s="134">
        <f t="shared" si="95"/>
        <v>2.3E-2</v>
      </c>
      <c r="AM93" s="134"/>
      <c r="AN93" s="134"/>
      <c r="AO93" s="134"/>
      <c r="AP93" s="113" t="str">
        <f t="shared" si="132"/>
        <v>E6350</v>
      </c>
      <c r="AQ93" s="567" t="str">
        <f t="shared" si="133"/>
        <v>Zondrange</v>
      </c>
      <c r="AR93" s="377"/>
      <c r="AS93" s="377"/>
      <c r="AT93" s="377"/>
      <c r="AU93" s="377"/>
      <c r="AV93" s="377"/>
      <c r="AW93" s="377"/>
      <c r="AX93" s="377"/>
      <c r="AY93" s="377"/>
      <c r="AZ93" s="377"/>
      <c r="BA93" s="377"/>
      <c r="BB93" s="377"/>
      <c r="BC93" s="378"/>
      <c r="BD93" s="414"/>
      <c r="BE93" s="134"/>
      <c r="BF93" s="134"/>
      <c r="BG93" s="134"/>
      <c r="BH93" s="134"/>
      <c r="BI93" s="113" t="str">
        <f t="shared" si="134"/>
        <v>E6350</v>
      </c>
      <c r="BJ93" s="567" t="str">
        <f t="shared" si="135"/>
        <v>Zondrange</v>
      </c>
      <c r="BK93" s="411">
        <f t="shared" si="145"/>
        <v>90.422970000000007</v>
      </c>
      <c r="BL93" s="411">
        <f t="shared" si="145"/>
        <v>90.422970000000007</v>
      </c>
      <c r="BM93" s="411">
        <f t="shared" si="145"/>
        <v>90.422970000000007</v>
      </c>
      <c r="BN93" s="411">
        <f t="shared" si="145"/>
        <v>90.422970000000007</v>
      </c>
      <c r="BO93" s="411">
        <f t="shared" si="145"/>
        <v>90.422970000000007</v>
      </c>
      <c r="BP93" s="411">
        <f t="shared" si="145"/>
        <v>90.422970000000007</v>
      </c>
      <c r="BQ93" s="411">
        <f t="shared" si="145"/>
        <v>90.422970000000007</v>
      </c>
      <c r="BR93" s="411">
        <f t="shared" si="145"/>
        <v>90.422970000000007</v>
      </c>
      <c r="BS93" s="411">
        <f t="shared" si="145"/>
        <v>90.422970000000007</v>
      </c>
      <c r="BT93" s="411">
        <f t="shared" si="145"/>
        <v>90.422970000000007</v>
      </c>
      <c r="BU93" s="411">
        <f t="shared" si="144"/>
        <v>92.50269831</v>
      </c>
      <c r="BV93" s="412">
        <f t="shared" si="98"/>
        <v>92.50269831</v>
      </c>
      <c r="BW93" s="414"/>
      <c r="BX93" s="134"/>
      <c r="BY93" s="134"/>
      <c r="BZ93" s="134"/>
      <c r="CA93" s="134"/>
      <c r="CB93" s="113" t="str">
        <f t="shared" si="99"/>
        <v>E6350</v>
      </c>
      <c r="CC93" s="373" t="str">
        <f t="shared" si="100"/>
        <v>Zondrange</v>
      </c>
      <c r="CD93" s="411">
        <f t="shared" si="136"/>
        <v>90.422970000000007</v>
      </c>
      <c r="CE93" s="411">
        <f t="shared" si="101"/>
        <v>90.422970000000007</v>
      </c>
      <c r="CF93" s="411">
        <f t="shared" si="102"/>
        <v>90.422970000000007</v>
      </c>
      <c r="CG93" s="411">
        <f t="shared" si="103"/>
        <v>90.422970000000007</v>
      </c>
      <c r="CH93" s="411">
        <f t="shared" si="104"/>
        <v>90.422970000000007</v>
      </c>
      <c r="CI93" s="411">
        <f t="shared" si="105"/>
        <v>90.422970000000007</v>
      </c>
      <c r="CJ93" s="411">
        <f t="shared" si="106"/>
        <v>90.422970000000007</v>
      </c>
      <c r="CK93" s="411">
        <f t="shared" si="107"/>
        <v>90.422970000000007</v>
      </c>
      <c r="CL93" s="411">
        <f t="shared" si="108"/>
        <v>90.422970000000007</v>
      </c>
      <c r="CM93" s="411">
        <f t="shared" si="109"/>
        <v>90.422970000000007</v>
      </c>
      <c r="CN93" s="411">
        <f t="shared" si="110"/>
        <v>92.50269831</v>
      </c>
      <c r="CO93" s="412">
        <f t="shared" si="111"/>
        <v>92.50269831</v>
      </c>
      <c r="CP93" s="414"/>
      <c r="CQ93" s="134">
        <f t="shared" si="112"/>
        <v>4.0000000000000001E-3</v>
      </c>
      <c r="CU93" s="113" t="str">
        <f t="shared" si="113"/>
        <v>E6350</v>
      </c>
      <c r="CV93" s="373" t="str">
        <f t="shared" si="114"/>
        <v>Zondrange</v>
      </c>
      <c r="CW93" s="384">
        <f t="shared" si="115"/>
        <v>224750.35599784344</v>
      </c>
      <c r="CX93" s="298">
        <f t="shared" si="116"/>
        <v>188636.54043129802</v>
      </c>
      <c r="CY93" s="298">
        <f t="shared" si="117"/>
        <v>193500.74366708141</v>
      </c>
      <c r="CZ93" s="298">
        <f t="shared" si="118"/>
        <v>151849.36230017082</v>
      </c>
      <c r="DA93" s="298">
        <f t="shared" si="119"/>
        <v>138121.68384041448</v>
      </c>
      <c r="DB93" s="298">
        <f t="shared" si="120"/>
        <v>110650.02142105773</v>
      </c>
      <c r="DC93" s="298">
        <f t="shared" si="121"/>
        <v>116019.50549887869</v>
      </c>
      <c r="DD93" s="298">
        <f t="shared" si="122"/>
        <v>110036.58921403346</v>
      </c>
      <c r="DE93" s="298">
        <f t="shared" si="123"/>
        <v>139551.76577760163</v>
      </c>
      <c r="DF93" s="298">
        <f t="shared" si="124"/>
        <v>186133.35088656947</v>
      </c>
      <c r="DG93" s="371">
        <f t="shared" si="125"/>
        <v>186621.67177320662</v>
      </c>
      <c r="DH93" s="372">
        <f t="shared" si="126"/>
        <v>233258.08147273751</v>
      </c>
      <c r="DI93" s="67">
        <f t="shared" si="127"/>
        <v>1979129.6722808932</v>
      </c>
      <c r="DJ93" s="364">
        <f>_xll.LVCELL($E$1,Q$2,$C93,$D$2,$C$4,$C$5,$C$6,$C$7,$C$8,$D$3)+_xll.LVCELL($E$2,Q$2,$C93,$D$2,$C$4,$C$5,$C$6,$C$7,$C$8,$D$3)</f>
        <v>1979129.7238516139</v>
      </c>
      <c r="DK93" s="82">
        <f t="shared" si="137"/>
        <v>-5.1570720737800002E-2</v>
      </c>
      <c r="DL93" s="64" t="s">
        <v>3085</v>
      </c>
      <c r="DM93" s="518">
        <f t="shared" si="128"/>
        <v>90.856339277607489</v>
      </c>
      <c r="DO93" s="64" t="str">
        <f t="shared" si="129"/>
        <v>E6350</v>
      </c>
      <c r="DP93" s="64" t="str">
        <f t="shared" si="130"/>
        <v>E6350</v>
      </c>
      <c r="DQ93" s="359" t="str">
        <f t="shared" si="131"/>
        <v>Zondrange</v>
      </c>
      <c r="DR93" s="365">
        <f>_xll.LVCELL($DP$3,DR$3,$DP93,$DQ$2,$DP$4,$DP$5,$DP$6,$DP$7,$DP$8,$DQ$3)/100</f>
        <v>0.97</v>
      </c>
      <c r="DS93" s="365">
        <f>_xll.LVCELL($DP$3,DS$3,$DP93,$DQ$2,$DP$4,$DP$5,$DP$6,$DP$7,$DP$8,$DQ$3)/100</f>
        <v>0.97</v>
      </c>
      <c r="DT93" s="365">
        <f>_xll.LVCELL($DP$3,DT$3,$DP93,$DQ$2,$DP$4,$DP$5,$DP$6,$DP$7,$DP$8,$DQ$3)/100</f>
        <v>0.97</v>
      </c>
      <c r="DU93" s="365">
        <f>_xll.LVCELL($DP$3,DU$3,$DP93,$DQ$2,$DP$4,$DP$5,$DP$6,$DP$7,$DP$8,$DQ$3)/100</f>
        <v>0.97</v>
      </c>
      <c r="DV93" s="365">
        <f>_xll.LVCELL($DP$3,DV$3,$DP93,$DQ$2,$DP$4,$DP$5,$DP$6,$DP$7,$DP$8,$DQ$3)/100</f>
        <v>0.97</v>
      </c>
      <c r="DW93" s="365">
        <f>_xll.LVCELL($DP$3,DW$3,$DP93,$DQ$2,$DP$4,$DP$5,$DP$6,$DP$7,$DP$8,$DQ$3)/100</f>
        <v>0.97</v>
      </c>
      <c r="DX93" s="365">
        <f>_xll.LVCELL($DP$3,DX$3,$DP93,$DQ$2,$DP$4,$DP$5,$DP$6,$DP$7,$DP$8,$DQ$3)/100</f>
        <v>0.97</v>
      </c>
      <c r="DY93" s="365">
        <f>_xll.LVCELL($DP$3,DY$3,$DP93,$DQ$2,$DP$4,$DP$5,$DP$6,$DP$7,$DP$8,$DQ$3)/100</f>
        <v>0.97</v>
      </c>
      <c r="DZ93" s="365">
        <f>_xll.LVCELL($DP$3,DZ$3,$DP93,$DQ$2,$DP$4,$DP$5,$DP$6,$DP$7,$DP$8,$DQ$3)/100</f>
        <v>0.97</v>
      </c>
      <c r="EA93" s="365">
        <f>_xll.LVCELL($DP$3,EA$3,$DP93,$DQ$2,$DP$4,$DP$5,$DP$6,$DP$7,$DP$8,$DQ$3)/100</f>
        <v>0.97</v>
      </c>
      <c r="EB93" s="365">
        <f>_xll.LVCELL($DP$3,EB$3,$DP93,$DQ$2,$DP$4,$DP$5,$DP$6,$DP$7,$DP$8,$DQ$3)/100</f>
        <v>0.97</v>
      </c>
      <c r="EC93" s="365">
        <f>_xll.LVCELL($DP$3,EC$3,$DP93,$DQ$2,$DP$4,$DP$5,$DP$6,$DP$7,$DP$8,$DQ$3)/100</f>
        <v>0.97</v>
      </c>
      <c r="ED93" s="582">
        <f t="shared" si="138"/>
        <v>11.64</v>
      </c>
      <c r="EF93" s="64" t="s">
        <v>385</v>
      </c>
      <c r="EG93" s="64" t="s">
        <v>385</v>
      </c>
      <c r="EH93" s="359" t="s">
        <v>497</v>
      </c>
      <c r="EI93" s="366" t="e">
        <f ca="1">_xll.LVCELL($EG$3,EI$3,$DP93,$DQ$2,$DP$4,$DP$5,$DP$6,$DP$7,$DP$8,$DQ$3)-CW93</f>
        <v>#NAME?</v>
      </c>
      <c r="EJ93" s="367" t="e">
        <f ca="1">_xll.LVCELL($EG$3,EJ$3,$DP93,$DQ$2,$DP$4,$DP$5,$DP$6,$DP$7,$DP$8,$DQ$3)-CX93</f>
        <v>#NAME?</v>
      </c>
      <c r="EK93" s="368" t="e">
        <f ca="1">_xll.LVCELL($EG$3,EK$3,$DP93,$DQ$2,$DP$4,$DP$5,$DP$6,$DP$7,$DP$8,$DQ$3)-CY93</f>
        <v>#NAME?</v>
      </c>
      <c r="EL93" s="367" t="e">
        <f ca="1">_xll.LVCELL($EG$3,EL$3,$DP93,$DQ$2,$DP$4,$DP$5,$DP$6,$DP$7,$DP$8,$DQ$3)-CZ93</f>
        <v>#NAME?</v>
      </c>
      <c r="EM93" s="368" t="e">
        <f ca="1">_xll.LVCELL($EG$3,EM$3,$DP93,$DQ$2,$DP$4,$DP$5,$DP$6,$DP$7,$DP$8,$DQ$3)-DA93</f>
        <v>#NAME?</v>
      </c>
      <c r="EN93" s="367" t="e">
        <f ca="1">_xll.LVCELL($EG$3,EN$3,$DP93,$DQ$2,$DP$4,$DP$5,$DP$6,$DP$7,$DP$8,$DQ$3)-DB93</f>
        <v>#NAME?</v>
      </c>
      <c r="EO93" s="368" t="e">
        <f ca="1">_xll.LVCELL($EG$3,EO$3,$DP93,$DQ$2,$DP$4,$DP$5,$DP$6,$DP$7,$DP$8,$DQ$3)-DC93</f>
        <v>#NAME?</v>
      </c>
      <c r="EP93" s="367" t="e">
        <f ca="1">_xll.LVCELL($EG$3,EP$3,$DP93,$DQ$2,$DP$4,$DP$5,$DP$6,$DP$7,$DP$8,$DQ$3)-DD93</f>
        <v>#NAME?</v>
      </c>
      <c r="EQ93" s="368" t="e">
        <f ca="1">_xll.LVCELL($EG$3,EQ$3,$DP93,$DQ$2,$DP$4,$DP$5,$DP$6,$DP$7,$DP$8,$DQ$3)-DE93</f>
        <v>#NAME?</v>
      </c>
      <c r="ER93" s="367" t="e">
        <f ca="1">_xll.LVCELL($EG$3,ER$3,$DP93,$DQ$2,$DP$4,$DP$5,$DP$6,$DP$7,$DP$8,$DQ$3)-DF93</f>
        <v>#NAME?</v>
      </c>
      <c r="ES93" s="368" t="e">
        <f ca="1">_xll.LVCELL($EG$3,ES$3,$DP93,$DQ$2,$DP$4,$DP$5,$DP$6,$DP$7,$DP$8,$DQ$3)-DG93</f>
        <v>#NAME?</v>
      </c>
      <c r="ET93" s="367" t="e">
        <f ca="1">_xll.LVCELL($EG$3,ET$3,$DP93,$DQ$2,$DP$4,$DP$5,$DP$6,$DP$7,$DP$8,$DQ$3)-DH93</f>
        <v>#NAME?</v>
      </c>
      <c r="EW93" s="64" t="s">
        <v>385</v>
      </c>
      <c r="EX93" s="64" t="s">
        <v>385</v>
      </c>
      <c r="EY93" s="359" t="s">
        <v>497</v>
      </c>
      <c r="EZ93" s="364">
        <f>_xll.LVCELL($EX$3,EZ$3,$DP93,$DQ$2,$DP$4,$DP$5,$DP$6,$DP$7,$DP$8,$DQ$3)</f>
        <v>12500</v>
      </c>
      <c r="FA93" s="364">
        <f>_xll.LVCELL($EX$3,FA$3,$DP93,$DQ$2,$DP$4,$DP$5,$DP$6,$DP$7,$DP$8,$DQ$3)</f>
        <v>12500</v>
      </c>
      <c r="FB93" s="364">
        <f>_xll.LVCELL($EX$3,FB$3,$DP93,$DQ$2,$DP$4,$DP$5,$DP$6,$DP$7,$DP$8,$DQ$3)</f>
        <v>12500</v>
      </c>
      <c r="FC93" s="364">
        <f>_xll.LVCELL($EX$3,FC$3,$DP93,$DQ$2,$DP$4,$DP$5,$DP$6,$DP$7,$DP$8,$DQ$3)</f>
        <v>12500</v>
      </c>
      <c r="FD93" s="364">
        <f>_xll.LVCELL($EX$3,FD$3,$DP93,$DQ$2,$DP$4,$DP$5,$DP$6,$DP$7,$DP$8,$DQ$3)</f>
        <v>12500</v>
      </c>
      <c r="FE93" s="364">
        <f>_xll.LVCELL($EX$3,FE$3,$DP93,$DQ$2,$DP$4,$DP$5,$DP$6,$DP$7,$DP$8,$DQ$3)</f>
        <v>12500</v>
      </c>
      <c r="FF93" s="364">
        <f>_xll.LVCELL($EX$3,FF$3,$DP93,$DQ$2,$DP$4,$DP$5,$DP$6,$DP$7,$DP$8,$DQ$3)</f>
        <v>12500</v>
      </c>
      <c r="FG93" s="364">
        <f>_xll.LVCELL($EX$3,FG$3,$DP93,$DQ$2,$DP$4,$DP$5,$DP$6,$DP$7,$DP$8,$DQ$3)</f>
        <v>12500</v>
      </c>
      <c r="FH93" s="364">
        <f>_xll.LVCELL($EX$3,FH$3,$DP93,$DQ$2,$DP$4,$DP$5,$DP$6,$DP$7,$DP$8,$DQ$3)</f>
        <v>12500</v>
      </c>
      <c r="FI93" s="364">
        <f>_xll.LVCELL($EX$3,FI$3,$DP93,$DQ$2,$DP$4,$DP$5,$DP$6,$DP$7,$DP$8,$DQ$3)</f>
        <v>12500</v>
      </c>
      <c r="FJ93" s="364">
        <f>_xll.LVCELL($EX$3,FJ$3,$DP93,$DQ$2,$DP$4,$DP$5,$DP$6,$DP$7,$DP$8,$DQ$3)</f>
        <v>12500</v>
      </c>
      <c r="FK93" s="276">
        <f>_xll.LVCELL($EX$3,FK$3,$DP93,$DQ$2,$DP$4,$DP$5,$DP$6,$DP$7,$DP$8,$DQ$3)</f>
        <v>12500</v>
      </c>
      <c r="FN93" s="64" t="s">
        <v>385</v>
      </c>
      <c r="FO93" s="64" t="s">
        <v>385</v>
      </c>
      <c r="FP93" s="359" t="s">
        <v>497</v>
      </c>
      <c r="FQ93" s="364">
        <f>_xll.LVCELL($FO$3,FQ$3,$DP93,$DQ$2,$DP$4,$DP$5,$DP$6,$DP$7,$DP$8,$DQ$3)</f>
        <v>5</v>
      </c>
      <c r="FR93" s="364">
        <f>_xll.LVCELL($FO$3,FR$3,$DP93,$DQ$2,$DP$4,$DP$5,$DP$6,$DP$7,$DP$8,$DQ$3)</f>
        <v>5</v>
      </c>
      <c r="FS93" s="364">
        <f>_xll.LVCELL($FO$3,FS$3,$DP93,$DQ$2,$DP$4,$DP$5,$DP$6,$DP$7,$DP$8,$DQ$3)</f>
        <v>5</v>
      </c>
      <c r="FT93" s="364">
        <f>_xll.LVCELL($FO$3,FT$3,$DP93,$DQ$2,$DP$4,$DP$5,$DP$6,$DP$7,$DP$8,$DQ$3)</f>
        <v>5</v>
      </c>
      <c r="FU93" s="364">
        <f>_xll.LVCELL($FO$3,FU$3,$DP93,$DQ$2,$DP$4,$DP$5,$DP$6,$DP$7,$DP$8,$DQ$3)</f>
        <v>5</v>
      </c>
      <c r="FV93" s="364">
        <f>_xll.LVCELL($FO$3,FV$3,$DP93,$DQ$2,$DP$4,$DP$5,$DP$6,$DP$7,$DP$8,$DQ$3)</f>
        <v>5</v>
      </c>
      <c r="FW93" s="364">
        <f>_xll.LVCELL($FO$3,FW$3,$DP93,$DQ$2,$DP$4,$DP$5,$DP$6,$DP$7,$DP$8,$DQ$3)</f>
        <v>5</v>
      </c>
      <c r="FX93" s="364">
        <f>_xll.LVCELL($FO$3,FX$3,$DP93,$DQ$2,$DP$4,$DP$5,$DP$6,$DP$7,$DP$8,$DQ$3)</f>
        <v>5</v>
      </c>
      <c r="FY93" s="364">
        <f>_xll.LVCELL($FO$3,FY$3,$DP93,$DQ$2,$DP$4,$DP$5,$DP$6,$DP$7,$DP$8,$DQ$3)</f>
        <v>5</v>
      </c>
      <c r="FZ93" s="364">
        <f>_xll.LVCELL($FO$3,FZ$3,$DP93,$DQ$2,$DP$4,$DP$5,$DP$6,$DP$7,$DP$8,$DQ$3)</f>
        <v>5</v>
      </c>
      <c r="GA93" s="364">
        <f>_xll.LVCELL($FO$3,GA$3,$DP93,$DQ$2,$DP$4,$DP$5,$DP$6,$DP$7,$DP$8,$DQ$3)</f>
        <v>5</v>
      </c>
      <c r="GB93" s="172">
        <f>_xll.LVCELL($FO$3,GB$3,$DP93,$DQ$2,$DP$4,$DP$5,$DP$6,$DP$7,$DP$8,$DQ$3)</f>
        <v>5</v>
      </c>
    </row>
    <row r="94" spans="2:184" ht="15">
      <c r="B94" s="64" t="s">
        <v>816</v>
      </c>
      <c r="C94" s="64" t="s">
        <v>816</v>
      </c>
      <c r="D94" s="359" t="s">
        <v>815</v>
      </c>
      <c r="E94" s="357">
        <f>_xll.LVCELL($C$3,Q$3,$C94,$D$2,$C$4,$C$5,$C$6,$C$7,$C$8,$D$3)/1000</f>
        <v>10</v>
      </c>
      <c r="F94" s="103">
        <f>'distribution mensuelle Prod B22'!$CH$36</f>
        <v>2659368.2685807357</v>
      </c>
      <c r="G94" s="103">
        <f>'distribution mensuelle Prod B22'!$CH$37</f>
        <v>2240842.259266749</v>
      </c>
      <c r="H94" s="103">
        <f>'distribution mensuelle Prod B22'!$CH$38</f>
        <v>2185567.2663969225</v>
      </c>
      <c r="I94" s="103">
        <f>'distribution mensuelle Prod B22'!$CH$39</f>
        <v>1784592.7494586171</v>
      </c>
      <c r="J94" s="103">
        <f>'distribution mensuelle Prod B22'!$CH$40</f>
        <v>1730432.8158634566</v>
      </c>
      <c r="K94" s="103">
        <f>'distribution mensuelle Prod B22'!$CH$41</f>
        <v>1408428.0843225881</v>
      </c>
      <c r="L94" s="103">
        <f>'distribution mensuelle Prod B22'!$CH$42</f>
        <v>1401023.08085733</v>
      </c>
      <c r="M94" s="103">
        <f>'distribution mensuelle Prod B22'!$CH$43</f>
        <v>1365337.0262316666</v>
      </c>
      <c r="N94" s="103">
        <f>'distribution mensuelle Prod B22'!$CH$44</f>
        <v>1609793.0674956879</v>
      </c>
      <c r="O94" s="103">
        <f>'distribution mensuelle Prod B22'!$CH$45</f>
        <v>2171292.8445466571</v>
      </c>
      <c r="P94" s="103">
        <f>'distribution mensuelle Prod B22'!$CH$46</f>
        <v>2194761.0001436649</v>
      </c>
      <c r="Q94" s="103">
        <f>'distribution mensuelle Prod B22'!$CH$47</f>
        <v>2601172.548729653</v>
      </c>
      <c r="R94" s="67">
        <f t="shared" si="92"/>
        <v>23352611.011893731</v>
      </c>
      <c r="S94" s="358"/>
      <c r="W94" s="113" t="str">
        <f t="shared" si="93"/>
        <v>E6360</v>
      </c>
      <c r="X94" s="359" t="str">
        <f t="shared" si="94"/>
        <v xml:space="preserve">Noyers </v>
      </c>
      <c r="Y94" s="299" cm="1">
        <f t="array" ref="Y94">_xll.LVCELL($D$4,F$1,$B94,$D$2,$C$4,$C$5,$C$6,$C$7,$C$8,$D$3)*1000+_xll.LVCELL($D$5,F$1,$B94,$D$2,$C$4,$C$5,$C$6,$C$7,$C$8,$D$3)*1000</f>
        <v>84.792116000000007</v>
      </c>
      <c r="Z94" s="299" cm="1">
        <f t="array" ref="Z94">_xll.LVCELL($D$4,G$1,$B94,$D$2,$C$4,$C$5,$C$6,$C$7,$C$8,$D$3)*1000+_xll.LVCELL($D$5,G$1,$B94,$D$2,$C$4,$C$5,$C$6,$C$7,$C$8,$D$3)*1000</f>
        <v>85.114129999999989</v>
      </c>
      <c r="AA94" s="299" cm="1">
        <f t="array" ref="AA94">_xll.LVCELL($D$4,H$1,$B94,$D$2,$C$4,$C$5,$C$6,$C$7,$C$8,$D$3)*1000+_xll.LVCELL($D$5,H$1,$B94,$D$2,$C$4,$C$5,$C$6,$C$7,$C$8,$D$3)*1000</f>
        <v>84.721749054848445</v>
      </c>
      <c r="AB94" s="299" cm="1">
        <f t="array" ref="AB94">_xll.LVCELL($D$4,I$1,$B94,$D$2,$C$4,$C$5,$C$6,$C$7,$C$8,$D$3)*1000+_xll.LVCELL($D$5,I$1,$B94,$D$2,$C$4,$C$5,$C$6,$C$7,$C$8,$D$3)*1000</f>
        <v>84.786167803785389</v>
      </c>
      <c r="AC94" s="299" cm="1">
        <f t="array" ref="AC94">_xll.LVCELL($D$4,J$1,$B94,$D$2,$C$4,$C$5,$C$6,$C$7,$C$8,$D$3)*1000+_xll.LVCELL($D$5,J$1,$B94,$D$2,$C$4,$C$5,$C$6,$C$7,$C$8,$D$3)*1000</f>
        <v>84.903546151412684</v>
      </c>
      <c r="AD94" s="299" cm="1">
        <f t="array" ref="AD94">_xll.LVCELL($D$4,K$1,$B94,$D$2,$C$4,$C$5,$C$6,$C$7,$C$8,$D$3)*1000+_xll.LVCELL($D$5,K$1,$B94,$D$2,$C$4,$C$5,$C$6,$C$7,$C$8,$D$3)*1000</f>
        <v>85.96342857142858</v>
      </c>
      <c r="AE94" s="299" cm="1">
        <f t="array" ref="AE94">_xll.LVCELL($D$4,L$1,$B94,$D$2,$C$4,$C$5,$C$6,$C$7,$C$8,$D$3)*1000+_xll.LVCELL($D$5,L$1,$B94,$D$2,$C$4,$C$5,$C$6,$C$7,$C$8,$D$3)*1000</f>
        <v>84.747909664380657</v>
      </c>
      <c r="AF94" s="411">
        <v>84.68</v>
      </c>
      <c r="AG94" s="299">
        <f t="shared" si="141"/>
        <v>84.68</v>
      </c>
      <c r="AH94" s="411">
        <f t="shared" si="141"/>
        <v>84.68</v>
      </c>
      <c r="AI94" s="411">
        <f t="shared" si="142"/>
        <v>86.627640000000014</v>
      </c>
      <c r="AJ94" s="412">
        <f t="shared" si="143"/>
        <v>86.627640000000014</v>
      </c>
      <c r="AK94" s="414"/>
      <c r="AL94" s="134">
        <f t="shared" si="95"/>
        <v>2.3E-2</v>
      </c>
      <c r="AM94" s="134"/>
      <c r="AN94" s="134"/>
      <c r="AO94" s="134"/>
      <c r="AP94" s="113" t="str">
        <f t="shared" si="132"/>
        <v>E6360</v>
      </c>
      <c r="AQ94" s="573" t="str">
        <f t="shared" si="133"/>
        <v xml:space="preserve">Noyers </v>
      </c>
      <c r="AR94" s="411">
        <v>6.0532399999999909</v>
      </c>
      <c r="AS94" s="411">
        <v>5.083239999999992</v>
      </c>
      <c r="AT94" s="411">
        <v>17.303239999999992</v>
      </c>
      <c r="AU94" s="411">
        <v>31.693239999999999</v>
      </c>
      <c r="AV94" s="411">
        <v>41.013239999999996</v>
      </c>
      <c r="AW94" s="411">
        <v>35.86323999999999</v>
      </c>
      <c r="AX94" s="411">
        <v>33.803239999999995</v>
      </c>
      <c r="AY94" s="411">
        <v>37.523239999999994</v>
      </c>
      <c r="AZ94" s="411">
        <v>39.643239999999992</v>
      </c>
      <c r="BA94" s="411">
        <v>40.443239999999996</v>
      </c>
      <c r="BB94" s="411">
        <v>23.579794519999997</v>
      </c>
      <c r="BC94" s="558">
        <v>12.14979451999999</v>
      </c>
      <c r="BD94" s="414"/>
      <c r="BE94" s="134"/>
      <c r="BF94" s="134"/>
      <c r="BG94" s="134"/>
      <c r="BH94" s="134"/>
      <c r="BI94" s="113" t="str">
        <f t="shared" si="134"/>
        <v>E6360</v>
      </c>
      <c r="BJ94" s="573" t="str">
        <f t="shared" si="135"/>
        <v xml:space="preserve">Noyers </v>
      </c>
      <c r="BK94" s="411">
        <v>78.960000000000008</v>
      </c>
      <c r="BL94" s="411">
        <v>79.930000000000007</v>
      </c>
      <c r="BM94" s="411">
        <v>67.710000000000008</v>
      </c>
      <c r="BN94" s="411">
        <v>53.32</v>
      </c>
      <c r="BO94" s="411">
        <v>44</v>
      </c>
      <c r="BP94" s="411">
        <v>49.150000000000006</v>
      </c>
      <c r="BQ94" s="411">
        <v>51.21</v>
      </c>
      <c r="BR94" s="411">
        <v>47.49</v>
      </c>
      <c r="BS94" s="411">
        <v>45.370000000000005</v>
      </c>
      <c r="BT94" s="411">
        <v>44.57</v>
      </c>
      <c r="BU94" s="411">
        <v>63.36</v>
      </c>
      <c r="BV94" s="370">
        <v>74.790000000000006</v>
      </c>
      <c r="BW94" s="414"/>
      <c r="BX94" s="134"/>
      <c r="BY94" s="134"/>
      <c r="BZ94" s="134"/>
      <c r="CA94" s="134"/>
      <c r="CB94" s="113" t="str">
        <f t="shared" si="99"/>
        <v>E6360</v>
      </c>
      <c r="CC94" s="373" t="str">
        <f t="shared" si="100"/>
        <v xml:space="preserve">Noyers </v>
      </c>
      <c r="CD94" s="411">
        <f t="shared" si="136"/>
        <v>85.013239999999996</v>
      </c>
      <c r="CE94" s="411">
        <f t="shared" si="101"/>
        <v>85.013239999999996</v>
      </c>
      <c r="CF94" s="411">
        <f t="shared" si="102"/>
        <v>85.013239999999996</v>
      </c>
      <c r="CG94" s="411">
        <f t="shared" si="103"/>
        <v>85.013239999999996</v>
      </c>
      <c r="CH94" s="411">
        <f t="shared" si="104"/>
        <v>85.013239999999996</v>
      </c>
      <c r="CI94" s="411">
        <f t="shared" si="105"/>
        <v>85.013239999999996</v>
      </c>
      <c r="CJ94" s="411">
        <f t="shared" si="106"/>
        <v>85.013239999999996</v>
      </c>
      <c r="CK94" s="411">
        <f t="shared" si="107"/>
        <v>85.013239999999996</v>
      </c>
      <c r="CL94" s="411">
        <f t="shared" si="108"/>
        <v>85.013239999999996</v>
      </c>
      <c r="CM94" s="411">
        <f t="shared" si="109"/>
        <v>85.013239999999996</v>
      </c>
      <c r="CN94" s="411">
        <f t="shared" si="110"/>
        <v>86.939794519999992</v>
      </c>
      <c r="CO94" s="558">
        <f t="shared" si="111"/>
        <v>86.939794519999992</v>
      </c>
      <c r="CP94" s="414"/>
      <c r="CQ94" s="134">
        <f t="shared" si="112"/>
        <v>4.0000000000000001E-3</v>
      </c>
      <c r="CU94" s="113" t="str">
        <f t="shared" si="113"/>
        <v>E6360</v>
      </c>
      <c r="CV94" s="373" t="str">
        <f t="shared" si="114"/>
        <v xml:space="preserve">Noyers </v>
      </c>
      <c r="CW94" s="384">
        <f t="shared" si="115"/>
        <v>226081.5128652385</v>
      </c>
      <c r="CX94" s="298">
        <f t="shared" si="116"/>
        <v>190501.26078918634</v>
      </c>
      <c r="CY94" s="298">
        <f t="shared" si="117"/>
        <v>185802.1545543455</v>
      </c>
      <c r="CZ94" s="298">
        <f t="shared" si="118"/>
        <v>151714.01171198525</v>
      </c>
      <c r="DA94" s="298">
        <f t="shared" si="119"/>
        <v>147109.70027887583</v>
      </c>
      <c r="DB94" s="298">
        <f t="shared" si="120"/>
        <v>119735.03475525641</v>
      </c>
      <c r="DC94" s="298">
        <f t="shared" si="121"/>
        <v>119105.51141846359</v>
      </c>
      <c r="DD94" s="298">
        <f t="shared" si="122"/>
        <v>116071.72429191894</v>
      </c>
      <c r="DE94" s="298">
        <f t="shared" si="123"/>
        <v>136853.7243973471</v>
      </c>
      <c r="DF94" s="298">
        <f t="shared" si="124"/>
        <v>184588.63970372762</v>
      </c>
      <c r="DG94" s="371">
        <f t="shared" si="125"/>
        <v>190812.07037299988</v>
      </c>
      <c r="DH94" s="372">
        <f t="shared" si="126"/>
        <v>226145.40689762068</v>
      </c>
      <c r="DI94" s="67">
        <f t="shared" si="127"/>
        <v>1994520.7520369657</v>
      </c>
      <c r="DJ94" s="364">
        <f>_xll.LVCELL($E$1,Q$2,$C94,$D$2,$C$4,$C$5,$C$6,$C$7,$C$8,$D$3)+_xll.LVCELL($E$2,Q$2,$C94,$D$2,$C$4,$C$5,$C$6,$C$7,$C$8,$D$3)</f>
        <v>1994520.7541970098</v>
      </c>
      <c r="DK94" s="82">
        <f t="shared" si="137"/>
        <v>-2.1600441541522741E-3</v>
      </c>
      <c r="DM94" s="518">
        <f t="shared" si="128"/>
        <v>85.408897147352619</v>
      </c>
      <c r="DO94" s="64" t="str">
        <f t="shared" si="129"/>
        <v>E6360</v>
      </c>
      <c r="DP94" s="64" t="str">
        <f t="shared" si="130"/>
        <v>E6360</v>
      </c>
      <c r="DQ94" s="359" t="str">
        <f t="shared" si="131"/>
        <v xml:space="preserve">Noyers </v>
      </c>
      <c r="DR94" s="365">
        <f>_xll.LVCELL($DP$3,DR$3,$DP94,$DQ$2,$DP$4,$DP$5,$DP$6,$DP$7,$DP$8,$DQ$3)/100</f>
        <v>0.96999999999999986</v>
      </c>
      <c r="DS94" s="365">
        <f>_xll.LVCELL($DP$3,DS$3,$DP94,$DQ$2,$DP$4,$DP$5,$DP$6,$DP$7,$DP$8,$DQ$3)/100</f>
        <v>0.97</v>
      </c>
      <c r="DT94" s="365">
        <f>_xll.LVCELL($DP$3,DT$3,$DP94,$DQ$2,$DP$4,$DP$5,$DP$6,$DP$7,$DP$8,$DQ$3)/100</f>
        <v>0.96999999999999986</v>
      </c>
      <c r="DU94" s="365">
        <f>_xll.LVCELL($DP$3,DU$3,$DP94,$DQ$2,$DP$4,$DP$5,$DP$6,$DP$7,$DP$8,$DQ$3)/100</f>
        <v>0.97</v>
      </c>
      <c r="DV94" s="365">
        <f>_xll.LVCELL($DP$3,DV$3,$DP94,$DQ$2,$DP$4,$DP$5,$DP$6,$DP$7,$DP$8,$DQ$3)/100</f>
        <v>0.96999999999999986</v>
      </c>
      <c r="DW94" s="365">
        <f>_xll.LVCELL($DP$3,DW$3,$DP94,$DQ$2,$DP$4,$DP$5,$DP$6,$DP$7,$DP$8,$DQ$3)/100</f>
        <v>0.97</v>
      </c>
      <c r="DX94" s="365">
        <f>_xll.LVCELL($DP$3,DX$3,$DP94,$DQ$2,$DP$4,$DP$5,$DP$6,$DP$7,$DP$8,$DQ$3)/100</f>
        <v>0.96999999999999986</v>
      </c>
      <c r="DY94" s="365">
        <f>_xll.LVCELL($DP$3,DY$3,$DP94,$DQ$2,$DP$4,$DP$5,$DP$6,$DP$7,$DP$8,$DQ$3)/100</f>
        <v>0.96999999999999986</v>
      </c>
      <c r="DZ94" s="365">
        <f>_xll.LVCELL($DP$3,DZ$3,$DP94,$DQ$2,$DP$4,$DP$5,$DP$6,$DP$7,$DP$8,$DQ$3)/100</f>
        <v>0.97</v>
      </c>
      <c r="EA94" s="365">
        <f>_xll.LVCELL($DP$3,EA$3,$DP94,$DQ$2,$DP$4,$DP$5,$DP$6,$DP$7,$DP$8,$DQ$3)/100</f>
        <v>0.96999999999999986</v>
      </c>
      <c r="EB94" s="365">
        <f>_xll.LVCELL($DP$3,EB$3,$DP94,$DQ$2,$DP$4,$DP$5,$DP$6,$DP$7,$DP$8,$DQ$3)/100</f>
        <v>0.97</v>
      </c>
      <c r="EC94" s="365">
        <f>_xll.LVCELL($DP$3,EC$3,$DP94,$DQ$2,$DP$4,$DP$5,$DP$6,$DP$7,$DP$8,$DQ$3)/100</f>
        <v>0.96999999999999986</v>
      </c>
      <c r="ED94" s="582">
        <f t="shared" si="138"/>
        <v>11.64</v>
      </c>
      <c r="EF94" s="64" t="s">
        <v>816</v>
      </c>
      <c r="EG94" s="64" t="s">
        <v>816</v>
      </c>
      <c r="EH94" s="359" t="s">
        <v>815</v>
      </c>
      <c r="EI94" s="366" t="e">
        <f ca="1">_xll.LVCELL($EG$3,EI$3,$DP94,$DQ$2,$DP$4,$DP$5,$DP$6,$DP$7,$DP$8,$DQ$3)-CW94</f>
        <v>#NAME?</v>
      </c>
      <c r="EJ94" s="367" t="e">
        <f ca="1">_xll.LVCELL($EG$3,EJ$3,$DP94,$DQ$2,$DP$4,$DP$5,$DP$6,$DP$7,$DP$8,$DQ$3)-CX94</f>
        <v>#NAME?</v>
      </c>
      <c r="EK94" s="368" t="e">
        <f ca="1">_xll.LVCELL($EG$3,EK$3,$DP94,$DQ$2,$DP$4,$DP$5,$DP$6,$DP$7,$DP$8,$DQ$3)-CY94</f>
        <v>#NAME?</v>
      </c>
      <c r="EL94" s="367" t="e">
        <f ca="1">_xll.LVCELL($EG$3,EL$3,$DP94,$DQ$2,$DP$4,$DP$5,$DP$6,$DP$7,$DP$8,$DQ$3)-CZ94</f>
        <v>#NAME?</v>
      </c>
      <c r="EM94" s="368" t="e">
        <f ca="1">_xll.LVCELL($EG$3,EM$3,$DP94,$DQ$2,$DP$4,$DP$5,$DP$6,$DP$7,$DP$8,$DQ$3)-DA94</f>
        <v>#NAME?</v>
      </c>
      <c r="EN94" s="367" t="e">
        <f ca="1">_xll.LVCELL($EG$3,EN$3,$DP94,$DQ$2,$DP$4,$DP$5,$DP$6,$DP$7,$DP$8,$DQ$3)-DB94</f>
        <v>#NAME?</v>
      </c>
      <c r="EO94" s="368" t="e">
        <f ca="1">_xll.LVCELL($EG$3,EO$3,$DP94,$DQ$2,$DP$4,$DP$5,$DP$6,$DP$7,$DP$8,$DQ$3)-DC94</f>
        <v>#NAME?</v>
      </c>
      <c r="EP94" s="367" t="e">
        <f ca="1">_xll.LVCELL($EG$3,EP$3,$DP94,$DQ$2,$DP$4,$DP$5,$DP$6,$DP$7,$DP$8,$DQ$3)-DD94</f>
        <v>#NAME?</v>
      </c>
      <c r="EQ94" s="368" t="e">
        <f ca="1">_xll.LVCELL($EG$3,EQ$3,$DP94,$DQ$2,$DP$4,$DP$5,$DP$6,$DP$7,$DP$8,$DQ$3)-DE94</f>
        <v>#NAME?</v>
      </c>
      <c r="ER94" s="367" t="e">
        <f ca="1">_xll.LVCELL($EG$3,ER$3,$DP94,$DQ$2,$DP$4,$DP$5,$DP$6,$DP$7,$DP$8,$DQ$3)-DF94</f>
        <v>#NAME?</v>
      </c>
      <c r="ES94" s="368" t="e">
        <f ca="1">_xll.LVCELL($EG$3,ES$3,$DP94,$DQ$2,$DP$4,$DP$5,$DP$6,$DP$7,$DP$8,$DQ$3)-DG94</f>
        <v>#NAME?</v>
      </c>
      <c r="ET94" s="367" t="e">
        <f ca="1">_xll.LVCELL($EG$3,ET$3,$DP94,$DQ$2,$DP$4,$DP$5,$DP$6,$DP$7,$DP$8,$DQ$3)-DH94</f>
        <v>#NAME?</v>
      </c>
      <c r="EW94" s="64" t="s">
        <v>816</v>
      </c>
      <c r="EX94" s="64" t="s">
        <v>816</v>
      </c>
      <c r="EY94" s="359" t="s">
        <v>815</v>
      </c>
      <c r="EZ94" s="364">
        <f>_xll.LVCELL($EX$3,EZ$3,$DP94,$DQ$2,$DP$4,$DP$5,$DP$6,$DP$7,$DP$8,$DQ$3)</f>
        <v>10000</v>
      </c>
      <c r="FA94" s="364">
        <f>_xll.LVCELL($EX$3,FA$3,$DP94,$DQ$2,$DP$4,$DP$5,$DP$6,$DP$7,$DP$8,$DQ$3)</f>
        <v>10000</v>
      </c>
      <c r="FB94" s="364">
        <f>_xll.LVCELL($EX$3,FB$3,$DP94,$DQ$2,$DP$4,$DP$5,$DP$6,$DP$7,$DP$8,$DQ$3)</f>
        <v>10000</v>
      </c>
      <c r="FC94" s="364">
        <f>_xll.LVCELL($EX$3,FC$3,$DP94,$DQ$2,$DP$4,$DP$5,$DP$6,$DP$7,$DP$8,$DQ$3)</f>
        <v>10000</v>
      </c>
      <c r="FD94" s="364">
        <f>_xll.LVCELL($EX$3,FD$3,$DP94,$DQ$2,$DP$4,$DP$5,$DP$6,$DP$7,$DP$8,$DQ$3)</f>
        <v>10000</v>
      </c>
      <c r="FE94" s="364">
        <f>_xll.LVCELL($EX$3,FE$3,$DP94,$DQ$2,$DP$4,$DP$5,$DP$6,$DP$7,$DP$8,$DQ$3)</f>
        <v>10000</v>
      </c>
      <c r="FF94" s="364">
        <f>_xll.LVCELL($EX$3,FF$3,$DP94,$DQ$2,$DP$4,$DP$5,$DP$6,$DP$7,$DP$8,$DQ$3)</f>
        <v>10000</v>
      </c>
      <c r="FG94" s="364">
        <f>_xll.LVCELL($EX$3,FG$3,$DP94,$DQ$2,$DP$4,$DP$5,$DP$6,$DP$7,$DP$8,$DQ$3)</f>
        <v>10000</v>
      </c>
      <c r="FH94" s="364">
        <f>_xll.LVCELL($EX$3,FH$3,$DP94,$DQ$2,$DP$4,$DP$5,$DP$6,$DP$7,$DP$8,$DQ$3)</f>
        <v>10000</v>
      </c>
      <c r="FI94" s="364">
        <f>_xll.LVCELL($EX$3,FI$3,$DP94,$DQ$2,$DP$4,$DP$5,$DP$6,$DP$7,$DP$8,$DQ$3)</f>
        <v>10000</v>
      </c>
      <c r="FJ94" s="364">
        <f>_xll.LVCELL($EX$3,FJ$3,$DP94,$DQ$2,$DP$4,$DP$5,$DP$6,$DP$7,$DP$8,$DQ$3)</f>
        <v>10000</v>
      </c>
      <c r="FK94" s="276">
        <f>_xll.LVCELL($EX$3,FK$3,$DP94,$DQ$2,$DP$4,$DP$5,$DP$6,$DP$7,$DP$8,$DQ$3)</f>
        <v>10000</v>
      </c>
      <c r="FN94" s="64" t="s">
        <v>816</v>
      </c>
      <c r="FO94" s="64" t="s">
        <v>816</v>
      </c>
      <c r="FP94" s="359" t="s">
        <v>815</v>
      </c>
      <c r="FQ94" s="364">
        <f>_xll.LVCELL($FO$3,FQ$3,$DP94,$DQ$2,$DP$4,$DP$5,$DP$6,$DP$7,$DP$8,$DQ$3)</f>
        <v>4</v>
      </c>
      <c r="FR94" s="364">
        <f>_xll.LVCELL($FO$3,FR$3,$DP94,$DQ$2,$DP$4,$DP$5,$DP$6,$DP$7,$DP$8,$DQ$3)</f>
        <v>4</v>
      </c>
      <c r="FS94" s="364">
        <f>_xll.LVCELL($FO$3,FS$3,$DP94,$DQ$2,$DP$4,$DP$5,$DP$6,$DP$7,$DP$8,$DQ$3)</f>
        <v>4</v>
      </c>
      <c r="FT94" s="364">
        <f>_xll.LVCELL($FO$3,FT$3,$DP94,$DQ$2,$DP$4,$DP$5,$DP$6,$DP$7,$DP$8,$DQ$3)</f>
        <v>4</v>
      </c>
      <c r="FU94" s="364">
        <f>_xll.LVCELL($FO$3,FU$3,$DP94,$DQ$2,$DP$4,$DP$5,$DP$6,$DP$7,$DP$8,$DQ$3)</f>
        <v>4</v>
      </c>
      <c r="FV94" s="364">
        <f>_xll.LVCELL($FO$3,FV$3,$DP94,$DQ$2,$DP$4,$DP$5,$DP$6,$DP$7,$DP$8,$DQ$3)</f>
        <v>4</v>
      </c>
      <c r="FW94" s="364">
        <f>_xll.LVCELL($FO$3,FW$3,$DP94,$DQ$2,$DP$4,$DP$5,$DP$6,$DP$7,$DP$8,$DQ$3)</f>
        <v>4</v>
      </c>
      <c r="FX94" s="364">
        <f>_xll.LVCELL($FO$3,FX$3,$DP94,$DQ$2,$DP$4,$DP$5,$DP$6,$DP$7,$DP$8,$DQ$3)</f>
        <v>4</v>
      </c>
      <c r="FY94" s="364">
        <f>_xll.LVCELL($FO$3,FY$3,$DP94,$DQ$2,$DP$4,$DP$5,$DP$6,$DP$7,$DP$8,$DQ$3)</f>
        <v>4</v>
      </c>
      <c r="FZ94" s="364">
        <f>_xll.LVCELL($FO$3,FZ$3,$DP94,$DQ$2,$DP$4,$DP$5,$DP$6,$DP$7,$DP$8,$DQ$3)</f>
        <v>4</v>
      </c>
      <c r="GA94" s="364">
        <f>_xll.LVCELL($FO$3,GA$3,$DP94,$DQ$2,$DP$4,$DP$5,$DP$6,$DP$7,$DP$8,$DQ$3)</f>
        <v>4</v>
      </c>
      <c r="GB94" s="172">
        <f>_xll.LVCELL($FO$3,GB$3,$DP94,$DQ$2,$DP$4,$DP$5,$DP$6,$DP$7,$DP$8,$DQ$3)</f>
        <v>4</v>
      </c>
    </row>
    <row r="95" spans="2:184" ht="14.25" customHeight="1">
      <c r="B95" s="64" t="s">
        <v>817</v>
      </c>
      <c r="C95" s="63" t="s">
        <v>817</v>
      </c>
      <c r="D95" s="359" t="s">
        <v>818</v>
      </c>
      <c r="E95" s="357">
        <f>_xll.LVCELL($C$3,Q$3,$C95,$D$2,$C$4,$C$5,$C$6,$C$7,$C$8,$D$3)/1000</f>
        <v>15</v>
      </c>
      <c r="F95" s="103">
        <f>'distribution mensuelle Prod B22'!$CI$36</f>
        <v>5139437.0590742342</v>
      </c>
      <c r="G95" s="103">
        <f>'distribution mensuelle Prod B22'!$CI$37</f>
        <v>4288577.391174118</v>
      </c>
      <c r="H95" s="103">
        <f>'distribution mensuelle Prod B22'!$CI$38</f>
        <v>4224949.6052256105</v>
      </c>
      <c r="I95" s="103">
        <f>'distribution mensuelle Prod B22'!$CI$39</f>
        <v>3464359.6906659938</v>
      </c>
      <c r="J95" s="103">
        <f>'distribution mensuelle Prod B22'!$CI$40</f>
        <v>3359168.5483754468</v>
      </c>
      <c r="K95" s="103">
        <f>'distribution mensuelle Prod B22'!$CI$41</f>
        <v>2815047.946611484</v>
      </c>
      <c r="L95" s="103">
        <f>'distribution mensuelle Prod B22'!$CI$42</f>
        <v>2795565.9545361325</v>
      </c>
      <c r="M95" s="103">
        <f>'distribution mensuelle Prod B22'!$CI$43</f>
        <v>2775685.7924959445</v>
      </c>
      <c r="N95" s="103">
        <f>'distribution mensuelle Prod B22'!$CI$44</f>
        <v>3220026.0862365942</v>
      </c>
      <c r="O95" s="103">
        <f>'distribution mensuelle Prod B22'!$CI$45</f>
        <v>4248805.7996738357</v>
      </c>
      <c r="P95" s="103">
        <f>'distribution mensuelle Prod B22'!$CI$46</f>
        <v>4285859.289810515</v>
      </c>
      <c r="Q95" s="103">
        <f>'distribution mensuelle Prod B22'!$CI$47</f>
        <v>4993317.8680788558</v>
      </c>
      <c r="R95" s="67">
        <f t="shared" si="92"/>
        <v>45610801.031958766</v>
      </c>
      <c r="S95" s="385"/>
      <c r="W95" s="113" t="str">
        <f t="shared" si="93"/>
        <v>E5660</v>
      </c>
      <c r="X95" s="359" t="str">
        <f t="shared" si="94"/>
        <v>Parc du Santerre (XSAN)</v>
      </c>
      <c r="Y95" s="299" cm="1">
        <f t="array" ref="Y95">_xll.LVCELL($D$4,F$1,$B95,$D$2,$C$4,$C$5,$C$6,$C$7,$C$8,$D$3)*1000+_xll.LVCELL($D$5,F$1,$B95,$D$2,$C$4,$C$5,$C$6,$C$7,$C$8,$D$3)*1000</f>
        <v>69.245301999999995</v>
      </c>
      <c r="Z95" s="299" cm="1">
        <f t="array" ref="Z95">_xll.LVCELL($D$4,G$1,$B95,$D$2,$C$4,$C$5,$C$6,$C$7,$C$8,$D$3)*1000+_xll.LVCELL($D$5,G$1,$B95,$D$2,$C$4,$C$5,$C$6,$C$7,$C$8,$D$3)*1000</f>
        <v>74.032393999999996</v>
      </c>
      <c r="AA95" s="299" cm="1">
        <f t="array" ref="AA95">_xll.LVCELL($D$4,H$1,$B95,$D$2,$C$4,$C$5,$C$6,$C$7,$C$8,$D$3)*1000+_xll.LVCELL($D$5,H$1,$B95,$D$2,$C$4,$C$5,$C$6,$C$7,$C$8,$D$3)*1000</f>
        <v>70.327129327901275</v>
      </c>
      <c r="AB95" s="299" cm="1">
        <f t="array" ref="AB95">_xll.LVCELL($D$4,I$1,$B95,$D$2,$C$4,$C$5,$C$6,$C$7,$C$8,$D$3)*1000+_xll.LVCELL($D$5,I$1,$B95,$D$2,$C$4,$C$5,$C$6,$C$7,$C$8,$D$3)*1000</f>
        <v>69.866355013731464</v>
      </c>
      <c r="AC95" s="299" cm="1">
        <f t="array" ref="AC95">_xll.LVCELL($D$4,J$1,$B95,$D$2,$C$4,$C$5,$C$6,$C$7,$C$8,$D$3)*1000+_xll.LVCELL($D$5,J$1,$B95,$D$2,$C$4,$C$5,$C$6,$C$7,$C$8,$D$3)*1000</f>
        <v>69.472724168543095</v>
      </c>
      <c r="AD95" s="299" cm="1">
        <f t="array" ref="AD95">_xll.LVCELL($D$4,K$1,$B95,$D$2,$C$4,$C$5,$C$6,$C$7,$C$8,$D$3)*1000+_xll.LVCELL($D$5,K$1,$B95,$D$2,$C$4,$C$5,$C$6,$C$7,$C$8,$D$3)*1000</f>
        <v>68.490597026094676</v>
      </c>
      <c r="AE95" s="299" cm="1">
        <f t="array" ref="AE95">_xll.LVCELL($D$4,L$1,$B95,$D$2,$C$4,$C$5,$C$6,$C$7,$C$8,$D$3)*1000+_xll.LVCELL($D$5,L$1,$B95,$D$2,$C$4,$C$5,$C$6,$C$7,$C$8,$D$3)*1000</f>
        <v>71.295680614009711</v>
      </c>
      <c r="AF95" s="411">
        <v>69.849999999999994</v>
      </c>
      <c r="AG95" s="299">
        <f t="shared" si="141"/>
        <v>69.849999999999994</v>
      </c>
      <c r="AH95" s="411">
        <f t="shared" si="141"/>
        <v>69.849999999999994</v>
      </c>
      <c r="AI95" s="411">
        <f t="shared" si="142"/>
        <v>71.456549999999993</v>
      </c>
      <c r="AJ95" s="412">
        <f>AI95</f>
        <v>71.456549999999993</v>
      </c>
      <c r="AK95" s="414" t="s">
        <v>3411</v>
      </c>
      <c r="AL95" s="134">
        <f t="shared" si="95"/>
        <v>2.3E-2</v>
      </c>
      <c r="AM95" s="134"/>
      <c r="AN95" s="134"/>
      <c r="AO95" s="134"/>
      <c r="AP95" s="113" t="str">
        <f t="shared" si="132"/>
        <v>E5660</v>
      </c>
      <c r="AQ95" s="572" t="str">
        <f t="shared" si="133"/>
        <v>Parc du Santerre (XSAN)</v>
      </c>
      <c r="AR95" s="411">
        <v>-9.0534500000000122</v>
      </c>
      <c r="AS95" s="411">
        <v>-10.023450000000011</v>
      </c>
      <c r="AT95" s="411">
        <v>2.1965499999999878</v>
      </c>
      <c r="AU95" s="411">
        <v>16.586549999999995</v>
      </c>
      <c r="AV95" s="411">
        <v>25.906549999999996</v>
      </c>
      <c r="AW95" s="411">
        <v>20.75654999999999</v>
      </c>
      <c r="AX95" s="411">
        <v>18.696549999999995</v>
      </c>
      <c r="AY95" s="411">
        <v>24.060050649999987</v>
      </c>
      <c r="AZ95" s="411">
        <v>26.180050649999984</v>
      </c>
      <c r="BA95" s="411">
        <v>26.980050649999988</v>
      </c>
      <c r="BB95" s="411">
        <v>8.1900506499999892</v>
      </c>
      <c r="BC95" s="412">
        <v>-3.2399493500000176</v>
      </c>
      <c r="BD95" s="555"/>
      <c r="BE95" s="134"/>
      <c r="BF95" s="134"/>
      <c r="BG95" s="134"/>
      <c r="BH95" s="134"/>
      <c r="BI95" s="113" t="str">
        <f t="shared" si="134"/>
        <v>E5660</v>
      </c>
      <c r="BJ95" s="572" t="str">
        <f t="shared" si="135"/>
        <v>Parc du Santerre (XSAN)</v>
      </c>
      <c r="BK95" s="411">
        <v>80.800000000000011</v>
      </c>
      <c r="BL95" s="411">
        <v>81.77000000000001</v>
      </c>
      <c r="BM95" s="411">
        <v>69.550000000000011</v>
      </c>
      <c r="BN95" s="411">
        <v>55.16</v>
      </c>
      <c r="BO95" s="411">
        <v>45.839999999999996</v>
      </c>
      <c r="BP95" s="411">
        <v>50.99</v>
      </c>
      <c r="BQ95" s="411">
        <v>53.05</v>
      </c>
      <c r="BR95" s="411">
        <v>49.33</v>
      </c>
      <c r="BS95" s="411">
        <v>47.21</v>
      </c>
      <c r="BT95" s="411">
        <v>46.41</v>
      </c>
      <c r="BU95" s="411">
        <v>65.2</v>
      </c>
      <c r="BV95" s="412">
        <v>76.63000000000001</v>
      </c>
      <c r="BW95" s="555"/>
      <c r="BX95" s="134"/>
      <c r="BY95" s="134"/>
      <c r="BZ95" s="134"/>
      <c r="CA95" s="134"/>
      <c r="CB95" s="113" t="str">
        <f t="shared" si="99"/>
        <v>E5660</v>
      </c>
      <c r="CC95" s="373" t="str">
        <f t="shared" si="100"/>
        <v>Parc du Santerre (XSAN)</v>
      </c>
      <c r="CD95" s="411">
        <f t="shared" si="136"/>
        <v>71.746549999999999</v>
      </c>
      <c r="CE95" s="411">
        <f t="shared" si="101"/>
        <v>71.746549999999999</v>
      </c>
      <c r="CF95" s="411">
        <f t="shared" si="102"/>
        <v>71.746549999999999</v>
      </c>
      <c r="CG95" s="411">
        <f t="shared" si="103"/>
        <v>71.746549999999985</v>
      </c>
      <c r="CH95" s="411">
        <f t="shared" si="104"/>
        <v>71.746549999999985</v>
      </c>
      <c r="CI95" s="411">
        <f t="shared" si="105"/>
        <v>71.746549999999985</v>
      </c>
      <c r="CJ95" s="411">
        <f t="shared" si="106"/>
        <v>71.746549999999985</v>
      </c>
      <c r="CK95" s="411">
        <f t="shared" si="107"/>
        <v>73.390050649999978</v>
      </c>
      <c r="CL95" s="411">
        <f t="shared" si="108"/>
        <v>73.390050649999978</v>
      </c>
      <c r="CM95" s="411">
        <f t="shared" si="109"/>
        <v>73.390050649999978</v>
      </c>
      <c r="CN95" s="411">
        <f t="shared" si="110"/>
        <v>73.390050649999992</v>
      </c>
      <c r="CO95" s="412">
        <f t="shared" si="111"/>
        <v>73.390050649999992</v>
      </c>
      <c r="CP95" s="555"/>
      <c r="CQ95" s="134">
        <f t="shared" si="112"/>
        <v>4.0000000000000001E-3</v>
      </c>
      <c r="CU95" s="113" t="str">
        <f t="shared" si="113"/>
        <v>E5660</v>
      </c>
      <c r="CV95" s="373" t="str">
        <f t="shared" si="114"/>
        <v>Parc du Santerre (XSAN)</v>
      </c>
      <c r="CW95" s="384">
        <f t="shared" si="115"/>
        <v>368736.87793072243</v>
      </c>
      <c r="CX95" s="298">
        <f t="shared" si="116"/>
        <v>307690.63222474337</v>
      </c>
      <c r="CY95" s="298">
        <f t="shared" si="117"/>
        <v>303125.55809879949</v>
      </c>
      <c r="CZ95" s="298">
        <f t="shared" si="118"/>
        <v>248555.85576435219</v>
      </c>
      <c r="DA95" s="298">
        <f t="shared" si="119"/>
        <v>241008.75421444635</v>
      </c>
      <c r="DB95" s="298">
        <f t="shared" si="120"/>
        <v>201969.97825395811</v>
      </c>
      <c r="DC95" s="298">
        <f t="shared" si="121"/>
        <v>200572.2125354243</v>
      </c>
      <c r="DD95" s="298">
        <f t="shared" si="122"/>
        <v>203707.7208997627</v>
      </c>
      <c r="DE95" s="298">
        <f t="shared" si="123"/>
        <v>236317.87756322487</v>
      </c>
      <c r="DF95" s="298">
        <f t="shared" si="124"/>
        <v>311820.07284007646</v>
      </c>
      <c r="DG95" s="371">
        <f t="shared" si="125"/>
        <v>314539.43035796669</v>
      </c>
      <c r="DH95" s="372">
        <f t="shared" si="126"/>
        <v>366459.85124985722</v>
      </c>
      <c r="DI95" s="67">
        <f t="shared" si="127"/>
        <v>3304504.8219333338</v>
      </c>
      <c r="DJ95" s="364">
        <f>_xll.LVCELL($E$1,Q$2,$C95,$D$2,$C$4,$C$5,$C$6,$C$7,$C$8,$D$3)+_xll.LVCELL($E$2,Q$2,$C95,$D$2,$C$4,$C$5,$C$6,$C$7,$C$8,$D$3)</f>
        <v>3304504.898489295</v>
      </c>
      <c r="DK95" s="82">
        <f t="shared" si="137"/>
        <v>-7.6555961277335882E-2</v>
      </c>
      <c r="DM95" s="518">
        <f t="shared" si="128"/>
        <v>72.450050145313597</v>
      </c>
      <c r="DO95" s="64" t="str">
        <f t="shared" si="129"/>
        <v>E5660</v>
      </c>
      <c r="DP95" s="107" t="str">
        <f t="shared" si="130"/>
        <v>E5660</v>
      </c>
      <c r="DQ95" s="359" t="str">
        <f t="shared" si="131"/>
        <v>Parc du Santerre (XSAN)</v>
      </c>
      <c r="DR95" s="190">
        <f>_xll.LVCELL($DP$3,DR$3,$DP95,$DQ$2,$DP$4,$DP$5,$DP$6,$DP$7,$DP$8,$DQ$3)/100</f>
        <v>0.97</v>
      </c>
      <c r="DS95" s="190">
        <f>_xll.LVCELL($DP$3,DS$3,$DP95,$DQ$2,$DP$4,$DP$5,$DP$6,$DP$7,$DP$8,$DQ$3)/100</f>
        <v>0.97</v>
      </c>
      <c r="DT95" s="190">
        <f>_xll.LVCELL($DP$3,DT$3,$DP95,$DQ$2,$DP$4,$DP$5,$DP$6,$DP$7,$DP$8,$DQ$3)/100</f>
        <v>0.97</v>
      </c>
      <c r="DU95" s="190">
        <f>_xll.LVCELL($DP$3,DU$3,$DP95,$DQ$2,$DP$4,$DP$5,$DP$6,$DP$7,$DP$8,$DQ$3)/100</f>
        <v>0.97</v>
      </c>
      <c r="DV95" s="190">
        <f>_xll.LVCELL($DP$3,DV$3,$DP95,$DQ$2,$DP$4,$DP$5,$DP$6,$DP$7,$DP$8,$DQ$3)/100</f>
        <v>0.97</v>
      </c>
      <c r="DW95" s="190">
        <f>_xll.LVCELL($DP$3,DW$3,$DP95,$DQ$2,$DP$4,$DP$5,$DP$6,$DP$7,$DP$8,$DQ$3)/100</f>
        <v>0.97</v>
      </c>
      <c r="DX95" s="190">
        <f>_xll.LVCELL($DP$3,DX$3,$DP95,$DQ$2,$DP$4,$DP$5,$DP$6,$DP$7,$DP$8,$DQ$3)/100</f>
        <v>0.97</v>
      </c>
      <c r="DY95" s="190">
        <f>_xll.LVCELL($DP$3,DY$3,$DP95,$DQ$2,$DP$4,$DP$5,$DP$6,$DP$7,$DP$8,$DQ$3)/100</f>
        <v>0.97</v>
      </c>
      <c r="DZ95" s="190">
        <f>_xll.LVCELL($DP$3,DZ$3,$DP95,$DQ$2,$DP$4,$DP$5,$DP$6,$DP$7,$DP$8,$DQ$3)/100</f>
        <v>0.97</v>
      </c>
      <c r="EA95" s="190">
        <f>_xll.LVCELL($DP$3,EA$3,$DP95,$DQ$2,$DP$4,$DP$5,$DP$6,$DP$7,$DP$8,$DQ$3)/100</f>
        <v>0.97</v>
      </c>
      <c r="EB95" s="190">
        <f>_xll.LVCELL($DP$3,EB$3,$DP95,$DQ$2,$DP$4,$DP$5,$DP$6,$DP$7,$DP$8,$DQ$3)/100</f>
        <v>0.97</v>
      </c>
      <c r="EC95" s="190">
        <f>_xll.LVCELL($DP$3,EC$3,$DP95,$DQ$2,$DP$4,$DP$5,$DP$6,$DP$7,$DP$8,$DQ$3)/100</f>
        <v>0.97</v>
      </c>
      <c r="ED95" s="582">
        <f t="shared" si="138"/>
        <v>11.64</v>
      </c>
      <c r="EF95" s="64" t="s">
        <v>817</v>
      </c>
      <c r="EG95" s="107" t="s">
        <v>817</v>
      </c>
      <c r="EH95" s="359" t="s">
        <v>818</v>
      </c>
      <c r="EI95" s="325" t="e">
        <f ca="1">_xll.LVCELL($EG$3,EI$3,$DP95,$DQ$2,$DP$4,$DP$5,$DP$6,$DP$7,$DP$8,$DQ$3)-CW95</f>
        <v>#NAME?</v>
      </c>
      <c r="EJ95" s="182" t="e">
        <f ca="1">_xll.LVCELL($EG$3,EJ$3,$DP95,$DQ$2,$DP$4,$DP$5,$DP$6,$DP$7,$DP$8,$DQ$3)-CX95</f>
        <v>#NAME?</v>
      </c>
      <c r="EK95" s="327" t="e">
        <f ca="1">_xll.LVCELL($EG$3,EK$3,$DP95,$DQ$2,$DP$4,$DP$5,$DP$6,$DP$7,$DP$8,$DQ$3)-CY95</f>
        <v>#NAME?</v>
      </c>
      <c r="EL95" s="182" t="e">
        <f ca="1">_xll.LVCELL($EG$3,EL$3,$DP95,$DQ$2,$DP$4,$DP$5,$DP$6,$DP$7,$DP$8,$DQ$3)-CZ95</f>
        <v>#NAME?</v>
      </c>
      <c r="EM95" s="327" t="e">
        <f ca="1">_xll.LVCELL($EG$3,EM$3,$DP95,$DQ$2,$DP$4,$DP$5,$DP$6,$DP$7,$DP$8,$DQ$3)-DA95</f>
        <v>#NAME?</v>
      </c>
      <c r="EN95" s="182" t="e">
        <f ca="1">_xll.LVCELL($EG$3,EN$3,$DP95,$DQ$2,$DP$4,$DP$5,$DP$6,$DP$7,$DP$8,$DQ$3)-DB95</f>
        <v>#NAME?</v>
      </c>
      <c r="EO95" s="327" t="e">
        <f ca="1">_xll.LVCELL($EG$3,EO$3,$DP95,$DQ$2,$DP$4,$DP$5,$DP$6,$DP$7,$DP$8,$DQ$3)-DC95</f>
        <v>#NAME?</v>
      </c>
      <c r="EP95" s="182" t="e">
        <f ca="1">_xll.LVCELL($EG$3,EP$3,$DP95,$DQ$2,$DP$4,$DP$5,$DP$6,$DP$7,$DP$8,$DQ$3)-DD95</f>
        <v>#NAME?</v>
      </c>
      <c r="EQ95" s="327" t="e">
        <f ca="1">_xll.LVCELL($EG$3,EQ$3,$DP95,$DQ$2,$DP$4,$DP$5,$DP$6,$DP$7,$DP$8,$DQ$3)-DE95</f>
        <v>#NAME?</v>
      </c>
      <c r="ER95" s="182" t="e">
        <f ca="1">_xll.LVCELL($EG$3,ER$3,$DP95,$DQ$2,$DP$4,$DP$5,$DP$6,$DP$7,$DP$8,$DQ$3)-DF95</f>
        <v>#NAME?</v>
      </c>
      <c r="ES95" s="327" t="e">
        <f ca="1">_xll.LVCELL($EG$3,ES$3,$DP95,$DQ$2,$DP$4,$DP$5,$DP$6,$DP$7,$DP$8,$DQ$3)-DG95</f>
        <v>#NAME?</v>
      </c>
      <c r="ET95" s="182" t="e">
        <f ca="1">_xll.LVCELL($EG$3,ET$3,$DP95,$DQ$2,$DP$4,$DP$5,$DP$6,$DP$7,$DP$8,$DQ$3)-DH95</f>
        <v>#NAME?</v>
      </c>
      <c r="EW95" s="64" t="s">
        <v>817</v>
      </c>
      <c r="EX95" s="107" t="s">
        <v>817</v>
      </c>
      <c r="EY95" s="359" t="s">
        <v>818</v>
      </c>
      <c r="EZ95" s="172">
        <f>_xll.LVCELL($EX$3,EZ$3,$DP95,$DQ$2,$DP$4,$DP$5,$DP$6,$DP$7,$DP$8,$DQ$3)</f>
        <v>15000</v>
      </c>
      <c r="FA95" s="172">
        <f>_xll.LVCELL($EX$3,FA$3,$DP95,$DQ$2,$DP$4,$DP$5,$DP$6,$DP$7,$DP$8,$DQ$3)</f>
        <v>15000</v>
      </c>
      <c r="FB95" s="172">
        <f>_xll.LVCELL($EX$3,FB$3,$DP95,$DQ$2,$DP$4,$DP$5,$DP$6,$DP$7,$DP$8,$DQ$3)</f>
        <v>15000</v>
      </c>
      <c r="FC95" s="172">
        <f>_xll.LVCELL($EX$3,FC$3,$DP95,$DQ$2,$DP$4,$DP$5,$DP$6,$DP$7,$DP$8,$DQ$3)</f>
        <v>15000</v>
      </c>
      <c r="FD95" s="172">
        <f>_xll.LVCELL($EX$3,FD$3,$DP95,$DQ$2,$DP$4,$DP$5,$DP$6,$DP$7,$DP$8,$DQ$3)</f>
        <v>15000</v>
      </c>
      <c r="FE95" s="172">
        <f>_xll.LVCELL($EX$3,FE$3,$DP95,$DQ$2,$DP$4,$DP$5,$DP$6,$DP$7,$DP$8,$DQ$3)</f>
        <v>15000</v>
      </c>
      <c r="FF95" s="172">
        <f>_xll.LVCELL($EX$3,FF$3,$DP95,$DQ$2,$DP$4,$DP$5,$DP$6,$DP$7,$DP$8,$DQ$3)</f>
        <v>15000</v>
      </c>
      <c r="FG95" s="172">
        <f>_xll.LVCELL($EX$3,FG$3,$DP95,$DQ$2,$DP$4,$DP$5,$DP$6,$DP$7,$DP$8,$DQ$3)</f>
        <v>15000</v>
      </c>
      <c r="FH95" s="172">
        <f>_xll.LVCELL($EX$3,FH$3,$DP95,$DQ$2,$DP$4,$DP$5,$DP$6,$DP$7,$DP$8,$DQ$3)</f>
        <v>15000</v>
      </c>
      <c r="FI95" s="172">
        <f>_xll.LVCELL($EX$3,FI$3,$DP95,$DQ$2,$DP$4,$DP$5,$DP$6,$DP$7,$DP$8,$DQ$3)</f>
        <v>15000</v>
      </c>
      <c r="FJ95" s="172">
        <f>_xll.LVCELL($EX$3,FJ$3,$DP95,$DQ$2,$DP$4,$DP$5,$DP$6,$DP$7,$DP$8,$DQ$3)</f>
        <v>15000</v>
      </c>
      <c r="FK95" s="276">
        <f>_xll.LVCELL($EX$3,FK$3,$DP95,$DQ$2,$DP$4,$DP$5,$DP$6,$DP$7,$DP$8,$DQ$3)</f>
        <v>15000</v>
      </c>
      <c r="FN95" s="64" t="s">
        <v>817</v>
      </c>
      <c r="FO95" s="63" t="s">
        <v>817</v>
      </c>
      <c r="FP95" s="359" t="s">
        <v>818</v>
      </c>
      <c r="FQ95" s="172">
        <f>_xll.LVCELL($FO$3,FQ$3,$DP95,$DQ$2,$DP$4,$DP$5,$DP$6,$DP$7,$DP$8,$DQ$3)</f>
        <v>7</v>
      </c>
      <c r="FR95" s="172">
        <f>_xll.LVCELL($FO$3,FR$3,$DP95,$DQ$2,$DP$4,$DP$5,$DP$6,$DP$7,$DP$8,$DQ$3)</f>
        <v>7</v>
      </c>
      <c r="FS95" s="172">
        <f>_xll.LVCELL($FO$3,FS$3,$DP95,$DQ$2,$DP$4,$DP$5,$DP$6,$DP$7,$DP$8,$DQ$3)</f>
        <v>7</v>
      </c>
      <c r="FT95" s="172">
        <f>_xll.LVCELL($FO$3,FT$3,$DP95,$DQ$2,$DP$4,$DP$5,$DP$6,$DP$7,$DP$8,$DQ$3)</f>
        <v>7</v>
      </c>
      <c r="FU95" s="172">
        <f>_xll.LVCELL($FO$3,FU$3,$DP95,$DQ$2,$DP$4,$DP$5,$DP$6,$DP$7,$DP$8,$DQ$3)</f>
        <v>7</v>
      </c>
      <c r="FV95" s="172">
        <f>_xll.LVCELL($FO$3,FV$3,$DP95,$DQ$2,$DP$4,$DP$5,$DP$6,$DP$7,$DP$8,$DQ$3)</f>
        <v>7</v>
      </c>
      <c r="FW95" s="172">
        <f>_xll.LVCELL($FO$3,FW$3,$DP95,$DQ$2,$DP$4,$DP$5,$DP$6,$DP$7,$DP$8,$DQ$3)</f>
        <v>7</v>
      </c>
      <c r="FX95" s="172">
        <f>_xll.LVCELL($FO$3,FX$3,$DP95,$DQ$2,$DP$4,$DP$5,$DP$6,$DP$7,$DP$8,$DQ$3)</f>
        <v>7</v>
      </c>
      <c r="FY95" s="172">
        <f>_xll.LVCELL($FO$3,FY$3,$DP95,$DQ$2,$DP$4,$DP$5,$DP$6,$DP$7,$DP$8,$DQ$3)</f>
        <v>7</v>
      </c>
      <c r="FZ95" s="172">
        <f>_xll.LVCELL($FO$3,FZ$3,$DP95,$DQ$2,$DP$4,$DP$5,$DP$6,$DP$7,$DP$8,$DQ$3)</f>
        <v>7</v>
      </c>
      <c r="GA95" s="172">
        <f>_xll.LVCELL($FO$3,GA$3,$DP95,$DQ$2,$DP$4,$DP$5,$DP$6,$DP$7,$DP$8,$DQ$3)</f>
        <v>7</v>
      </c>
      <c r="GB95" s="172">
        <f>_xll.LVCELL($FO$3,GB$3,$DP95,$DQ$2,$DP$4,$DP$5,$DP$6,$DP$7,$DP$8,$DQ$3)</f>
        <v>7</v>
      </c>
    </row>
    <row r="96" spans="2:184" ht="15">
      <c r="B96" s="64" t="s">
        <v>820</v>
      </c>
      <c r="C96" s="63" t="s">
        <v>820</v>
      </c>
      <c r="D96" s="359" t="s">
        <v>819</v>
      </c>
      <c r="E96" s="357">
        <f>_xll.LVCELL($C$3,Q$3,$C96,$D$2,$C$4,$C$5,$C$6,$C$7,$C$8,$D$3)/1000</f>
        <v>10</v>
      </c>
      <c r="F96" s="103">
        <f>'distribution mensuelle Prod B22'!$CJ$36</f>
        <v>3764640.0020414367</v>
      </c>
      <c r="G96" s="103">
        <f>'distribution mensuelle Prod B22'!$CJ$37</f>
        <v>3121144.8122203145</v>
      </c>
      <c r="H96" s="103">
        <f>'distribution mensuelle Prod B22'!$CJ$38</f>
        <v>3075963.6255291882</v>
      </c>
      <c r="I96" s="103">
        <f>'distribution mensuelle Prod B22'!$CJ$39</f>
        <v>2554388.7015257995</v>
      </c>
      <c r="J96" s="103">
        <f>'distribution mensuelle Prod B22'!$CJ$40</f>
        <v>2429995.8615138242</v>
      </c>
      <c r="K96" s="103">
        <f>'distribution mensuelle Prod B22'!$CJ$41</f>
        <v>2061646.6954503634</v>
      </c>
      <c r="L96" s="103">
        <f>'distribution mensuelle Prod B22'!$CJ$42</f>
        <v>2025598.6869339577</v>
      </c>
      <c r="M96" s="103">
        <f>'distribution mensuelle Prod B22'!$CJ$43</f>
        <v>2028935.2972852772</v>
      </c>
      <c r="N96" s="103">
        <f>'distribution mensuelle Prod B22'!$CJ$44</f>
        <v>2392294.0180068817</v>
      </c>
      <c r="O96" s="103">
        <f>'distribution mensuelle Prod B22'!$CJ$45</f>
        <v>3191410.3436848265</v>
      </c>
      <c r="P96" s="103">
        <f>'distribution mensuelle Prod B22'!$CJ$46</f>
        <v>3219558.1199500444</v>
      </c>
      <c r="Q96" s="103">
        <f>'distribution mensuelle Prod B22'!$CJ$47</f>
        <v>3669212.9459937117</v>
      </c>
      <c r="R96" s="67">
        <f t="shared" si="92"/>
        <v>33534789.110135626</v>
      </c>
      <c r="S96" s="385"/>
      <c r="W96" s="113" t="str">
        <f t="shared" si="93"/>
        <v>E5590</v>
      </c>
      <c r="X96" s="359" t="str">
        <f t="shared" si="94"/>
        <v>Le Catésis (CAT)</v>
      </c>
      <c r="Y96" s="299" cm="1">
        <f t="array" ref="Y96">_xll.LVCELL($D$4,F$1,$B96,$D$2,$C$4,$C$5,$C$6,$C$7,$C$8,$D$3)*1000+_xll.LVCELL($D$5,F$1,$B96,$D$2,$C$4,$C$5,$C$6,$C$7,$C$8,$D$3)*1000</f>
        <v>77.989235000000008</v>
      </c>
      <c r="Z96" s="299" cm="1">
        <f t="array" ref="Z96">_xll.LVCELL($D$4,G$1,$B96,$D$2,$C$4,$C$5,$C$6,$C$7,$C$8,$D$3)*1000+_xll.LVCELL($D$5,G$1,$B96,$D$2,$C$4,$C$5,$C$6,$C$7,$C$8,$D$3)*1000</f>
        <v>74.720331999999999</v>
      </c>
      <c r="AA96" s="299" cm="1">
        <f t="array" ref="AA96">_xll.LVCELL($D$4,H$1,$B96,$D$2,$C$4,$C$5,$C$6,$C$7,$C$8,$D$3)*1000+_xll.LVCELL($D$5,H$1,$B96,$D$2,$C$4,$C$5,$C$6,$C$7,$C$8,$D$3)*1000</f>
        <v>74.657116027917567</v>
      </c>
      <c r="AB96" s="299" cm="1">
        <f t="array" ref="AB96">_xll.LVCELL($D$4,I$1,$B96,$D$2,$C$4,$C$5,$C$6,$C$7,$C$8,$D$3)*1000+_xll.LVCELL($D$5,I$1,$B96,$D$2,$C$4,$C$5,$C$6,$C$7,$C$8,$D$3)*1000</f>
        <v>74.131006358993517</v>
      </c>
      <c r="AC96" s="299" cm="1">
        <f t="array" ref="AC96">_xll.LVCELL($D$4,J$1,$B96,$D$2,$C$4,$C$5,$C$6,$C$7,$C$8,$D$3)*1000+_xll.LVCELL($D$5,J$1,$B96,$D$2,$C$4,$C$5,$C$6,$C$7,$C$8,$D$3)*1000</f>
        <v>74.654465961461995</v>
      </c>
      <c r="AD96" s="299" cm="1">
        <f t="array" ref="AD96">_xll.LVCELL($D$4,K$1,$B96,$D$2,$C$4,$C$5,$C$6,$C$7,$C$8,$D$3)*1000+_xll.LVCELL($D$5,K$1,$B96,$D$2,$C$4,$C$5,$C$6,$C$7,$C$8,$D$3)*1000</f>
        <v>73.98586324786325</v>
      </c>
      <c r="AE96" s="299" cm="1">
        <f t="array" ref="AE96">_xll.LVCELL($D$4,L$1,$B96,$D$2,$C$4,$C$5,$C$6,$C$7,$C$8,$D$3)*1000+_xll.LVCELL($D$5,L$1,$B96,$D$2,$C$4,$C$5,$C$6,$C$7,$C$8,$D$3)*1000</f>
        <v>74.632533787125865</v>
      </c>
      <c r="AF96" s="411">
        <f>$AC$96</f>
        <v>74.654465961461995</v>
      </c>
      <c r="AG96" s="299">
        <f t="shared" si="141"/>
        <v>74.654465961461995</v>
      </c>
      <c r="AH96" s="411">
        <f t="shared" si="141"/>
        <v>74.654465961461995</v>
      </c>
      <c r="AI96" s="411">
        <v>41.04</v>
      </c>
      <c r="AJ96" s="412">
        <v>40</v>
      </c>
      <c r="AK96" s="414" t="s">
        <v>3410</v>
      </c>
      <c r="AL96" s="134">
        <f t="shared" si="95"/>
        <v>2.3E-2</v>
      </c>
      <c r="AM96" s="134"/>
      <c r="AN96" s="134"/>
      <c r="AO96" s="134"/>
      <c r="AP96" s="113" t="str">
        <f t="shared" si="132"/>
        <v>E5590</v>
      </c>
      <c r="AQ96" s="574" t="str">
        <f t="shared" si="133"/>
        <v>Le Catésis (CAT)</v>
      </c>
      <c r="AR96" s="411">
        <v>-4.0642300000000064</v>
      </c>
      <c r="AS96" s="411">
        <v>-5.0342300000000053</v>
      </c>
      <c r="AT96" s="411">
        <v>7.1857699999999936</v>
      </c>
      <c r="AU96" s="411">
        <v>21.575770000000002</v>
      </c>
      <c r="AV96" s="411">
        <v>30.895770000000002</v>
      </c>
      <c r="AW96" s="411">
        <v>25.745769999999997</v>
      </c>
      <c r="AX96" s="411">
        <v>23.685770000000002</v>
      </c>
      <c r="AY96" s="411">
        <v>27.40577</v>
      </c>
      <c r="AZ96" s="411">
        <v>29.525769999999998</v>
      </c>
      <c r="BA96" s="411">
        <v>30.325770000000002</v>
      </c>
      <c r="BB96" s="411">
        <v>-5.9999999999999973</v>
      </c>
      <c r="BC96" s="412">
        <v>-33.540000000000006</v>
      </c>
      <c r="BD96" s="556"/>
      <c r="BE96" s="134"/>
      <c r="BF96" s="134"/>
      <c r="BG96" s="134"/>
      <c r="BH96" s="134"/>
      <c r="BI96" s="113" t="str">
        <f t="shared" si="134"/>
        <v>E5590</v>
      </c>
      <c r="BJ96" s="574" t="str">
        <f t="shared" si="135"/>
        <v>Le Catésis (CAT)</v>
      </c>
      <c r="BK96" s="411">
        <v>80.27000000000001</v>
      </c>
      <c r="BL96" s="411">
        <v>81.240000000000009</v>
      </c>
      <c r="BM96" s="411">
        <v>69.02000000000001</v>
      </c>
      <c r="BN96" s="411">
        <v>54.629999999999995</v>
      </c>
      <c r="BO96" s="411">
        <v>45.309999999999995</v>
      </c>
      <c r="BP96" s="411">
        <v>50.46</v>
      </c>
      <c r="BQ96" s="411">
        <v>52.519999999999996</v>
      </c>
      <c r="BR96" s="411">
        <v>48.8</v>
      </c>
      <c r="BS96" s="411">
        <v>46.68</v>
      </c>
      <c r="BT96" s="411">
        <v>45.879999999999995</v>
      </c>
      <c r="BU96" s="411">
        <v>64.67</v>
      </c>
      <c r="BV96" s="412">
        <v>76.100000000000009</v>
      </c>
      <c r="BW96" s="414" t="s">
        <v>3544</v>
      </c>
      <c r="BX96" s="134"/>
      <c r="BY96" s="134"/>
      <c r="BZ96" s="134"/>
      <c r="CA96" s="134"/>
      <c r="CB96" s="113" t="str">
        <f t="shared" si="99"/>
        <v>E5590</v>
      </c>
      <c r="CC96" s="373" t="str">
        <f t="shared" si="100"/>
        <v>Le Catésis (CAT)</v>
      </c>
      <c r="CD96" s="411">
        <f t="shared" si="136"/>
        <v>76.205770000000001</v>
      </c>
      <c r="CE96" s="411">
        <f t="shared" si="101"/>
        <v>76.205770000000001</v>
      </c>
      <c r="CF96" s="411">
        <f t="shared" si="102"/>
        <v>76.205770000000001</v>
      </c>
      <c r="CG96" s="411">
        <f t="shared" si="103"/>
        <v>76.205770000000001</v>
      </c>
      <c r="CH96" s="411">
        <f t="shared" si="104"/>
        <v>76.205770000000001</v>
      </c>
      <c r="CI96" s="411">
        <f t="shared" si="105"/>
        <v>76.205770000000001</v>
      </c>
      <c r="CJ96" s="411">
        <f t="shared" si="106"/>
        <v>76.205770000000001</v>
      </c>
      <c r="CK96" s="411">
        <f t="shared" si="107"/>
        <v>76.205770000000001</v>
      </c>
      <c r="CL96" s="411">
        <f t="shared" si="108"/>
        <v>76.205770000000001</v>
      </c>
      <c r="CM96" s="411">
        <f t="shared" si="109"/>
        <v>76.205770000000001</v>
      </c>
      <c r="CN96" s="411">
        <f t="shared" si="110"/>
        <v>58.67</v>
      </c>
      <c r="CO96" s="412">
        <f t="shared" si="111"/>
        <v>42.56</v>
      </c>
      <c r="CP96" s="414" t="s">
        <v>3544</v>
      </c>
      <c r="CQ96" s="134">
        <f t="shared" si="112"/>
        <v>4.0000000000000001E-3</v>
      </c>
      <c r="CU96" s="113" t="str">
        <f t="shared" si="113"/>
        <v>E5590</v>
      </c>
      <c r="CV96" s="373" t="str">
        <f t="shared" si="114"/>
        <v>Le Catésis (CAT)</v>
      </c>
      <c r="CW96" s="384">
        <f t="shared" si="115"/>
        <v>286887.29012836929</v>
      </c>
      <c r="CX96" s="298">
        <f t="shared" si="116"/>
        <v>237849.24369675451</v>
      </c>
      <c r="CY96" s="298">
        <f t="shared" si="117"/>
        <v>234406.17657544347</v>
      </c>
      <c r="CZ96" s="298">
        <f t="shared" si="118"/>
        <v>194659.15787907373</v>
      </c>
      <c r="DA96" s="298">
        <f t="shared" si="119"/>
        <v>185179.70572347436</v>
      </c>
      <c r="DB96" s="298">
        <f t="shared" si="120"/>
        <v>157109.37389475046</v>
      </c>
      <c r="DC96" s="298">
        <f t="shared" si="121"/>
        <v>154362.3076487912</v>
      </c>
      <c r="DD96" s="298">
        <f t="shared" si="122"/>
        <v>154616.57660980348</v>
      </c>
      <c r="DE96" s="298">
        <f t="shared" si="123"/>
        <v>182306.6077086083</v>
      </c>
      <c r="DF96" s="298">
        <f t="shared" si="124"/>
        <v>243203.88262646686</v>
      </c>
      <c r="DG96" s="371">
        <f t="shared" si="125"/>
        <v>188891.4748974691</v>
      </c>
      <c r="DH96" s="372">
        <f t="shared" si="126"/>
        <v>156161.70298149236</v>
      </c>
      <c r="DI96" s="67">
        <f t="shared" si="127"/>
        <v>2375633.5003704969</v>
      </c>
      <c r="DJ96" s="364">
        <f>_xll.LVCELL($E$1,Q$2,$C96,$D$2,$C$4,$C$5,$C$6,$C$7,$C$8,$D$3)+_xll.LVCELL($E$2,Q$2,$C96,$D$2,$C$4,$C$5,$C$6,$C$7,$C$8,$D$3)</f>
        <v>2375633.5684696301</v>
      </c>
      <c r="DK96" s="82">
        <f t="shared" si="137"/>
        <v>-6.809913320466876E-2</v>
      </c>
      <c r="DM96" s="518">
        <f t="shared" si="128"/>
        <v>70.84086596067128</v>
      </c>
      <c r="DO96" s="64" t="str">
        <f t="shared" si="129"/>
        <v>E5590</v>
      </c>
      <c r="DP96" s="107" t="str">
        <f t="shared" si="130"/>
        <v>E5590</v>
      </c>
      <c r="DQ96" s="359" t="str">
        <f t="shared" si="131"/>
        <v>Le Catésis (CAT)</v>
      </c>
      <c r="DR96" s="190">
        <f>_xll.LVCELL($DP$3,DR$3,$DP96,$DQ$2,$DP$4,$DP$5,$DP$6,$DP$7,$DP$8,$DQ$3)/100</f>
        <v>0.96999999999999986</v>
      </c>
      <c r="DS96" s="190">
        <f>_xll.LVCELL($DP$3,DS$3,$DP96,$DQ$2,$DP$4,$DP$5,$DP$6,$DP$7,$DP$8,$DQ$3)/100</f>
        <v>0.97</v>
      </c>
      <c r="DT96" s="190">
        <f>_xll.LVCELL($DP$3,DT$3,$DP96,$DQ$2,$DP$4,$DP$5,$DP$6,$DP$7,$DP$8,$DQ$3)/100</f>
        <v>0.96999999999999986</v>
      </c>
      <c r="DU96" s="190">
        <f>_xll.LVCELL($DP$3,DU$3,$DP96,$DQ$2,$DP$4,$DP$5,$DP$6,$DP$7,$DP$8,$DQ$3)/100</f>
        <v>0.97</v>
      </c>
      <c r="DV96" s="190">
        <f>_xll.LVCELL($DP$3,DV$3,$DP96,$DQ$2,$DP$4,$DP$5,$DP$6,$DP$7,$DP$8,$DQ$3)/100</f>
        <v>0.96999999999999986</v>
      </c>
      <c r="DW96" s="190">
        <f>_xll.LVCELL($DP$3,DW$3,$DP96,$DQ$2,$DP$4,$DP$5,$DP$6,$DP$7,$DP$8,$DQ$3)/100</f>
        <v>0.97</v>
      </c>
      <c r="DX96" s="190">
        <f>_xll.LVCELL($DP$3,DX$3,$DP96,$DQ$2,$DP$4,$DP$5,$DP$6,$DP$7,$DP$8,$DQ$3)/100</f>
        <v>0.96999999999999986</v>
      </c>
      <c r="DY96" s="190">
        <f>_xll.LVCELL($DP$3,DY$3,$DP96,$DQ$2,$DP$4,$DP$5,$DP$6,$DP$7,$DP$8,$DQ$3)/100</f>
        <v>0.96999999999999986</v>
      </c>
      <c r="DZ96" s="190">
        <f>_xll.LVCELL($DP$3,DZ$3,$DP96,$DQ$2,$DP$4,$DP$5,$DP$6,$DP$7,$DP$8,$DQ$3)/100</f>
        <v>0.97</v>
      </c>
      <c r="EA96" s="190">
        <f>_xll.LVCELL($DP$3,EA$3,$DP96,$DQ$2,$DP$4,$DP$5,$DP$6,$DP$7,$DP$8,$DQ$3)/100</f>
        <v>0.96999999999999986</v>
      </c>
      <c r="EB96" s="190">
        <f>_xll.LVCELL($DP$3,EB$3,$DP96,$DQ$2,$DP$4,$DP$5,$DP$6,$DP$7,$DP$8,$DQ$3)/100</f>
        <v>0.97</v>
      </c>
      <c r="EC96" s="190">
        <f>_xll.LVCELL($DP$3,EC$3,$DP96,$DQ$2,$DP$4,$DP$5,$DP$6,$DP$7,$DP$8,$DQ$3)/100</f>
        <v>0.96999999999999986</v>
      </c>
      <c r="ED96" s="582">
        <f t="shared" si="138"/>
        <v>11.64</v>
      </c>
      <c r="EF96" s="64" t="s">
        <v>820</v>
      </c>
      <c r="EG96" s="107" t="s">
        <v>820</v>
      </c>
      <c r="EH96" s="359" t="s">
        <v>819</v>
      </c>
      <c r="EI96" s="325" t="e">
        <f ca="1">_xll.LVCELL($EG$3,EI$3,$DP96,$DQ$2,$DP$4,$DP$5,$DP$6,$DP$7,$DP$8,$DQ$3)-CW96</f>
        <v>#NAME?</v>
      </c>
      <c r="EJ96" s="182" t="e">
        <f ca="1">_xll.LVCELL($EG$3,EJ$3,$DP96,$DQ$2,$DP$4,$DP$5,$DP$6,$DP$7,$DP$8,$DQ$3)-CX96</f>
        <v>#NAME?</v>
      </c>
      <c r="EK96" s="327" t="e">
        <f ca="1">_xll.LVCELL($EG$3,EK$3,$DP96,$DQ$2,$DP$4,$DP$5,$DP$6,$DP$7,$DP$8,$DQ$3)-CY96</f>
        <v>#NAME?</v>
      </c>
      <c r="EL96" s="182" t="e">
        <f ca="1">_xll.LVCELL($EG$3,EL$3,$DP96,$DQ$2,$DP$4,$DP$5,$DP$6,$DP$7,$DP$8,$DQ$3)-CZ96</f>
        <v>#NAME?</v>
      </c>
      <c r="EM96" s="327" t="e">
        <f ca="1">_xll.LVCELL($EG$3,EM$3,$DP96,$DQ$2,$DP$4,$DP$5,$DP$6,$DP$7,$DP$8,$DQ$3)-DA96</f>
        <v>#NAME?</v>
      </c>
      <c r="EN96" s="182" t="e">
        <f ca="1">_xll.LVCELL($EG$3,EN$3,$DP96,$DQ$2,$DP$4,$DP$5,$DP$6,$DP$7,$DP$8,$DQ$3)-DB96</f>
        <v>#NAME?</v>
      </c>
      <c r="EO96" s="368" t="e">
        <f ca="1">_xll.LVCELL($EG$3,EO$3,$DP96,$DQ$2,$DP$4,$DP$5,$DP$6,$DP$7,$DP$8,$DQ$3)-DC96</f>
        <v>#NAME?</v>
      </c>
      <c r="EP96" s="367" t="e">
        <f ca="1">_xll.LVCELL($EG$3,EP$3,$DP96,$DQ$2,$DP$4,$DP$5,$DP$6,$DP$7,$DP$8,$DQ$3)-DD96</f>
        <v>#NAME?</v>
      </c>
      <c r="EQ96" s="368" t="e">
        <f ca="1">_xll.LVCELL($EG$3,EQ$3,$DP96,$DQ$2,$DP$4,$DP$5,$DP$6,$DP$7,$DP$8,$DQ$3)-DE96</f>
        <v>#NAME?</v>
      </c>
      <c r="ER96" s="367" t="e">
        <f ca="1">_xll.LVCELL($EG$3,ER$3,$DP96,$DQ$2,$DP$4,$DP$5,$DP$6,$DP$7,$DP$8,$DQ$3)-DF96</f>
        <v>#NAME?</v>
      </c>
      <c r="ES96" s="368" t="e">
        <f ca="1">_xll.LVCELL($EG$3,ES$3,$DP96,$DQ$2,$DP$4,$DP$5,$DP$6,$DP$7,$DP$8,$DQ$3)-DG96</f>
        <v>#NAME?</v>
      </c>
      <c r="ET96" s="367" t="e">
        <f ca="1">_xll.LVCELL($EG$3,ET$3,$DP96,$DQ$2,$DP$4,$DP$5,$DP$6,$DP$7,$DP$8,$DQ$3)-DH96</f>
        <v>#NAME?</v>
      </c>
      <c r="EW96" s="64" t="s">
        <v>820</v>
      </c>
      <c r="EX96" s="107" t="s">
        <v>820</v>
      </c>
      <c r="EY96" s="359" t="s">
        <v>819</v>
      </c>
      <c r="EZ96" s="172">
        <f>_xll.LVCELL($EX$3,EZ$3,$DP96,$DQ$2,$DP$4,$DP$5,$DP$6,$DP$7,$DP$8,$DQ$3)</f>
        <v>10000</v>
      </c>
      <c r="FA96" s="172">
        <f>_xll.LVCELL($EX$3,FA$3,$DP96,$DQ$2,$DP$4,$DP$5,$DP$6,$DP$7,$DP$8,$DQ$3)</f>
        <v>10000</v>
      </c>
      <c r="FB96" s="172">
        <f>_xll.LVCELL($EX$3,FB$3,$DP96,$DQ$2,$DP$4,$DP$5,$DP$6,$DP$7,$DP$8,$DQ$3)</f>
        <v>10000</v>
      </c>
      <c r="FC96" s="172">
        <f>_xll.LVCELL($EX$3,FC$3,$DP96,$DQ$2,$DP$4,$DP$5,$DP$6,$DP$7,$DP$8,$DQ$3)</f>
        <v>10000</v>
      </c>
      <c r="FD96" s="172">
        <f>_xll.LVCELL($EX$3,FD$3,$DP96,$DQ$2,$DP$4,$DP$5,$DP$6,$DP$7,$DP$8,$DQ$3)</f>
        <v>10000</v>
      </c>
      <c r="FE96" s="172">
        <f>_xll.LVCELL($EX$3,FE$3,$DP96,$DQ$2,$DP$4,$DP$5,$DP$6,$DP$7,$DP$8,$DQ$3)</f>
        <v>10000</v>
      </c>
      <c r="FF96" s="172">
        <f>_xll.LVCELL($EX$3,FF$3,$DP96,$DQ$2,$DP$4,$DP$5,$DP$6,$DP$7,$DP$8,$DQ$3)</f>
        <v>10000</v>
      </c>
      <c r="FG96" s="172">
        <f>_xll.LVCELL($EX$3,FG$3,$DP96,$DQ$2,$DP$4,$DP$5,$DP$6,$DP$7,$DP$8,$DQ$3)</f>
        <v>10000</v>
      </c>
      <c r="FH96" s="172">
        <f>_xll.LVCELL($EX$3,FH$3,$DP96,$DQ$2,$DP$4,$DP$5,$DP$6,$DP$7,$DP$8,$DQ$3)</f>
        <v>10000</v>
      </c>
      <c r="FI96" s="172">
        <f>_xll.LVCELL($EX$3,FI$3,$DP96,$DQ$2,$DP$4,$DP$5,$DP$6,$DP$7,$DP$8,$DQ$3)</f>
        <v>10000</v>
      </c>
      <c r="FJ96" s="172">
        <f>_xll.LVCELL($EX$3,FJ$3,$DP96,$DQ$2,$DP$4,$DP$5,$DP$6,$DP$7,$DP$8,$DQ$3)</f>
        <v>10000</v>
      </c>
      <c r="FK96" s="276">
        <f>_xll.LVCELL($EX$3,FK$3,$DP96,$DQ$2,$DP$4,$DP$5,$DP$6,$DP$7,$DP$8,$DQ$3)</f>
        <v>10000</v>
      </c>
      <c r="FN96" s="64" t="s">
        <v>820</v>
      </c>
      <c r="FO96" s="63" t="s">
        <v>820</v>
      </c>
      <c r="FP96" s="359" t="s">
        <v>819</v>
      </c>
      <c r="FQ96" s="172">
        <f>_xll.LVCELL($FO$3,FQ$3,$DP96,$DQ$2,$DP$4,$DP$5,$DP$6,$DP$7,$DP$8,$DQ$3)</f>
        <v>5</v>
      </c>
      <c r="FR96" s="172">
        <f>_xll.LVCELL($FO$3,FR$3,$DP96,$DQ$2,$DP$4,$DP$5,$DP$6,$DP$7,$DP$8,$DQ$3)</f>
        <v>5</v>
      </c>
      <c r="FS96" s="172">
        <f>_xll.LVCELL($FO$3,FS$3,$DP96,$DQ$2,$DP$4,$DP$5,$DP$6,$DP$7,$DP$8,$DQ$3)</f>
        <v>5</v>
      </c>
      <c r="FT96" s="172">
        <f>_xll.LVCELL($FO$3,FT$3,$DP96,$DQ$2,$DP$4,$DP$5,$DP$6,$DP$7,$DP$8,$DQ$3)</f>
        <v>5</v>
      </c>
      <c r="FU96" s="172">
        <f>_xll.LVCELL($FO$3,FU$3,$DP96,$DQ$2,$DP$4,$DP$5,$DP$6,$DP$7,$DP$8,$DQ$3)</f>
        <v>5</v>
      </c>
      <c r="FV96" s="172">
        <f>_xll.LVCELL($FO$3,FV$3,$DP96,$DQ$2,$DP$4,$DP$5,$DP$6,$DP$7,$DP$8,$DQ$3)</f>
        <v>5</v>
      </c>
      <c r="FW96" s="172">
        <f>_xll.LVCELL($FO$3,FW$3,$DP96,$DQ$2,$DP$4,$DP$5,$DP$6,$DP$7,$DP$8,$DQ$3)</f>
        <v>5</v>
      </c>
      <c r="FX96" s="172">
        <f>_xll.LVCELL($FO$3,FX$3,$DP96,$DQ$2,$DP$4,$DP$5,$DP$6,$DP$7,$DP$8,$DQ$3)</f>
        <v>5</v>
      </c>
      <c r="FY96" s="172">
        <f>_xll.LVCELL($FO$3,FY$3,$DP96,$DQ$2,$DP$4,$DP$5,$DP$6,$DP$7,$DP$8,$DQ$3)</f>
        <v>5</v>
      </c>
      <c r="FZ96" s="172">
        <f>_xll.LVCELL($FO$3,FZ$3,$DP96,$DQ$2,$DP$4,$DP$5,$DP$6,$DP$7,$DP$8,$DQ$3)</f>
        <v>5</v>
      </c>
      <c r="GA96" s="172">
        <f>_xll.LVCELL($FO$3,GA$3,$DP96,$DQ$2,$DP$4,$DP$5,$DP$6,$DP$7,$DP$8,$DQ$3)</f>
        <v>5</v>
      </c>
      <c r="GB96" s="172">
        <f>_xll.LVCELL($FO$3,GB$3,$DP96,$DQ$2,$DP$4,$DP$5,$DP$6,$DP$7,$DP$8,$DQ$3)</f>
        <v>5</v>
      </c>
    </row>
    <row r="97" spans="2:185" ht="15">
      <c r="B97" s="64" t="s">
        <v>822</v>
      </c>
      <c r="C97" s="63" t="s">
        <v>822</v>
      </c>
      <c r="D97" s="359" t="s">
        <v>821</v>
      </c>
      <c r="E97" s="357">
        <f>_xll.LVCELL($C$3,Q$3,$C97,$D$2,$C$4,$C$5,$C$6,$C$7,$C$8,$D$3)/1000</f>
        <v>24.15</v>
      </c>
      <c r="F97" s="103">
        <f>'distribution mensuelle Prod B22'!$CK$36</f>
        <v>6921661.7280365238</v>
      </c>
      <c r="G97" s="103">
        <f>'distribution mensuelle Prod B22'!$CK$37</f>
        <v>5682893.8473297302</v>
      </c>
      <c r="H97" s="103">
        <f>'distribution mensuelle Prod B22'!$CK$38</f>
        <v>5466827.2743051546</v>
      </c>
      <c r="I97" s="103">
        <f>'distribution mensuelle Prod B22'!$CK$39</f>
        <v>4420020.2741387608</v>
      </c>
      <c r="J97" s="103">
        <f>'distribution mensuelle Prod B22'!$CK$40</f>
        <v>4204642.1317984862</v>
      </c>
      <c r="K97" s="103">
        <f>'distribution mensuelle Prod B22'!$CK$41</f>
        <v>3526418.9083912559</v>
      </c>
      <c r="L97" s="103">
        <f>'distribution mensuelle Prod B22'!$CK$42</f>
        <v>3469917.5172656579</v>
      </c>
      <c r="M97" s="103">
        <f>'distribution mensuelle Prod B22'!$CK$43</f>
        <v>3456631.3578708507</v>
      </c>
      <c r="N97" s="103">
        <f>'distribution mensuelle Prod B22'!$CK$44</f>
        <v>4123010.3237967831</v>
      </c>
      <c r="O97" s="103">
        <f>'distribution mensuelle Prod B22'!$CK$45</f>
        <v>5646190.4261350483</v>
      </c>
      <c r="P97" s="103">
        <f>'distribution mensuelle Prod B22'!$CK$46</f>
        <v>5797066.4075424699</v>
      </c>
      <c r="Q97" s="103">
        <f>'distribution mensuelle Prod B22'!$CK$47</f>
        <v>6723697.9530538982</v>
      </c>
      <c r="R97" s="67">
        <f t="shared" si="92"/>
        <v>59438978.149664626</v>
      </c>
      <c r="S97" s="385"/>
      <c r="W97" s="113" t="str">
        <f t="shared" si="93"/>
        <v>E5650</v>
      </c>
      <c r="X97" s="359" t="str">
        <f t="shared" si="94"/>
        <v>Seuil du Cambrésis- Ribecourt (RIB)</v>
      </c>
      <c r="Y97" s="299" cm="1">
        <f t="array" ref="Y97">_xll.LVCELL($D$4,F$1,$B97,$D$2,$C$4,$C$5,$C$6,$C$7,$C$8,$D$3)*1000+_xll.LVCELL($D$5,F$1,$B97,$D$2,$C$4,$C$5,$C$6,$C$7,$C$8,$D$3)*1000</f>
        <v>80.074016999999998</v>
      </c>
      <c r="Z97" s="299" cm="1">
        <f t="array" ref="Z97">_xll.LVCELL($D$4,G$1,$B97,$D$2,$C$4,$C$5,$C$6,$C$7,$C$8,$D$3)*1000+_xll.LVCELL($D$5,G$1,$B97,$D$2,$C$4,$C$5,$C$6,$C$7,$C$8,$D$3)*1000</f>
        <v>81.907114000000007</v>
      </c>
      <c r="AA97" s="299" cm="1">
        <f t="array" ref="AA97">_xll.LVCELL($D$4,H$1,$B97,$D$2,$C$4,$C$5,$C$6,$C$7,$C$8,$D$3)*1000+_xll.LVCELL($D$5,H$1,$B97,$D$2,$C$4,$C$5,$C$6,$C$7,$C$8,$D$3)*1000</f>
        <v>81.806204797076049</v>
      </c>
      <c r="AB97" s="299" cm="1">
        <f t="array" ref="AB97">_xll.LVCELL($D$4,I$1,$B97,$D$2,$C$4,$C$5,$C$6,$C$7,$C$8,$D$3)*1000+_xll.LVCELL($D$5,I$1,$B97,$D$2,$C$4,$C$5,$C$6,$C$7,$C$8,$D$3)*1000</f>
        <v>81.359191646694526</v>
      </c>
      <c r="AC97" s="299" cm="1">
        <f t="array" ref="AC97">_xll.LVCELL($D$4,J$1,$B97,$D$2,$C$4,$C$5,$C$6,$C$7,$C$8,$D$3)*1000+_xll.LVCELL($D$5,J$1,$B97,$D$2,$C$4,$C$5,$C$6,$C$7,$C$8,$D$3)*1000</f>
        <v>81.434783257702406</v>
      </c>
      <c r="AD97" s="299" cm="1">
        <f t="array" ref="AD97">_xll.LVCELL($D$4,K$1,$B97,$D$2,$C$4,$C$5,$C$6,$C$7,$C$8,$D$3)*1000+_xll.LVCELL($D$5,K$1,$B97,$D$2,$C$4,$C$5,$C$6,$C$7,$C$8,$D$3)*1000</f>
        <v>83.402102010024322</v>
      </c>
      <c r="AE97" s="299" cm="1">
        <f t="array" ref="AE97">_xll.LVCELL($D$4,L$1,$B97,$D$2,$C$4,$C$5,$C$6,$C$7,$C$8,$D$3)*1000+_xll.LVCELL($D$5,L$1,$B97,$D$2,$C$4,$C$5,$C$6,$C$7,$C$8,$D$3)*1000</f>
        <v>80.174871484815199</v>
      </c>
      <c r="AF97" s="411">
        <f>$AB$97</f>
        <v>81.359191646694526</v>
      </c>
      <c r="AG97" s="299">
        <f t="shared" si="141"/>
        <v>81.359191646694526</v>
      </c>
      <c r="AH97" s="411">
        <f t="shared" si="141"/>
        <v>81.359191646694526</v>
      </c>
      <c r="AI97" s="411">
        <f t="shared" ref="AI97:AI102" si="146">$AH97+($AH97*$AL$9)</f>
        <v>83.2304530545685</v>
      </c>
      <c r="AJ97" s="412">
        <f t="shared" ref="AJ97:AJ102" si="147">AI97</f>
        <v>83.2304530545685</v>
      </c>
      <c r="AK97" s="414"/>
      <c r="AL97" s="134">
        <f t="shared" si="95"/>
        <v>2.3E-2</v>
      </c>
      <c r="AM97" s="134"/>
      <c r="AN97" s="134"/>
      <c r="AO97" s="134"/>
      <c r="AP97" s="113" t="str">
        <f t="shared" si="132"/>
        <v>E5650</v>
      </c>
      <c r="AQ97" s="573" t="str">
        <f t="shared" si="133"/>
        <v>Seuil du Cambrésis- Ribecourt (RIB)</v>
      </c>
      <c r="AR97" s="411">
        <v>3.8026399999999994</v>
      </c>
      <c r="AS97" s="411">
        <v>2.8326400000000005</v>
      </c>
      <c r="AT97" s="411">
        <v>15.05264</v>
      </c>
      <c r="AU97" s="411">
        <v>29.442640000000008</v>
      </c>
      <c r="AV97" s="411">
        <v>38.762640000000005</v>
      </c>
      <c r="AW97" s="411">
        <v>33.612639999999999</v>
      </c>
      <c r="AX97" s="411">
        <v>31.552640000000007</v>
      </c>
      <c r="AY97" s="411">
        <v>35.272640000000003</v>
      </c>
      <c r="AZ97" s="411">
        <v>37.39264</v>
      </c>
      <c r="BA97" s="411">
        <v>38.192640000000004</v>
      </c>
      <c r="BB97" s="411">
        <v>21.277430720000002</v>
      </c>
      <c r="BC97" s="412">
        <v>9.8474307199999949</v>
      </c>
      <c r="BD97" s="414"/>
      <c r="BE97" s="134"/>
      <c r="BF97" s="134"/>
      <c r="BG97" s="134"/>
      <c r="BH97" s="134"/>
      <c r="BI97" s="113" t="str">
        <f t="shared" si="134"/>
        <v>E5650</v>
      </c>
      <c r="BJ97" s="573" t="str">
        <f t="shared" si="135"/>
        <v>Seuil du Cambrésis- Ribecourt (RIB)</v>
      </c>
      <c r="BK97" s="411">
        <v>79.36</v>
      </c>
      <c r="BL97" s="411">
        <v>80.33</v>
      </c>
      <c r="BM97" s="411">
        <v>68.11</v>
      </c>
      <c r="BN97" s="411">
        <v>53.72</v>
      </c>
      <c r="BO97" s="411">
        <v>44.4</v>
      </c>
      <c r="BP97" s="411">
        <v>49.550000000000004</v>
      </c>
      <c r="BQ97" s="411">
        <v>51.61</v>
      </c>
      <c r="BR97" s="411">
        <v>47.89</v>
      </c>
      <c r="BS97" s="411">
        <v>45.77</v>
      </c>
      <c r="BT97" s="411">
        <v>44.97</v>
      </c>
      <c r="BU97" s="411">
        <v>63.76</v>
      </c>
      <c r="BV97" s="412">
        <v>75.19</v>
      </c>
      <c r="BW97" s="414"/>
      <c r="BX97" s="134"/>
      <c r="BY97" s="134"/>
      <c r="BZ97" s="134"/>
      <c r="CA97" s="134"/>
      <c r="CB97" s="113" t="str">
        <f t="shared" si="99"/>
        <v>E5650</v>
      </c>
      <c r="CC97" s="373" t="str">
        <f t="shared" si="100"/>
        <v>Seuil du Cambrésis- Ribecourt (RIB)</v>
      </c>
      <c r="CD97" s="411">
        <f t="shared" si="136"/>
        <v>83.162639999999996</v>
      </c>
      <c r="CE97" s="411">
        <f t="shared" si="101"/>
        <v>83.162639999999996</v>
      </c>
      <c r="CF97" s="411">
        <f t="shared" si="102"/>
        <v>83.162639999999996</v>
      </c>
      <c r="CG97" s="411">
        <f t="shared" si="103"/>
        <v>83.16264000000001</v>
      </c>
      <c r="CH97" s="411">
        <f t="shared" si="104"/>
        <v>83.16264000000001</v>
      </c>
      <c r="CI97" s="411">
        <f t="shared" si="105"/>
        <v>83.16264000000001</v>
      </c>
      <c r="CJ97" s="411">
        <f t="shared" si="106"/>
        <v>83.16264000000001</v>
      </c>
      <c r="CK97" s="411">
        <f t="shared" si="107"/>
        <v>83.16264000000001</v>
      </c>
      <c r="CL97" s="411">
        <f t="shared" si="108"/>
        <v>83.16264000000001</v>
      </c>
      <c r="CM97" s="411">
        <f t="shared" si="109"/>
        <v>83.16264000000001</v>
      </c>
      <c r="CN97" s="411">
        <f t="shared" si="110"/>
        <v>85.037430720000003</v>
      </c>
      <c r="CO97" s="412">
        <f t="shared" si="111"/>
        <v>85.037430719999989</v>
      </c>
      <c r="CP97" s="414"/>
      <c r="CQ97" s="134">
        <f t="shared" si="112"/>
        <v>4.0000000000000001E-3</v>
      </c>
      <c r="CU97" s="113" t="str">
        <f t="shared" si="113"/>
        <v>E5650</v>
      </c>
      <c r="CV97" s="373" t="str">
        <f t="shared" si="114"/>
        <v>Seuil du Cambrésis- Ribecourt (RIB)</v>
      </c>
      <c r="CW97" s="384">
        <f t="shared" si="115"/>
        <v>575623.6624904793</v>
      </c>
      <c r="CX97" s="298">
        <f t="shared" si="116"/>
        <v>472604.45518369728</v>
      </c>
      <c r="CY97" s="298">
        <f t="shared" si="117"/>
        <v>454635.78855522082</v>
      </c>
      <c r="CZ97" s="298">
        <f t="shared" si="118"/>
        <v>367580.55485090311</v>
      </c>
      <c r="DA97" s="298">
        <f t="shared" si="119"/>
        <v>349669.13993559009</v>
      </c>
      <c r="DB97" s="298">
        <f t="shared" si="120"/>
        <v>293266.30616773502</v>
      </c>
      <c r="DC97" s="298">
        <f t="shared" si="121"/>
        <v>288567.50131805771</v>
      </c>
      <c r="DD97" s="298">
        <f t="shared" si="122"/>
        <v>287462.58922732476</v>
      </c>
      <c r="DE97" s="298">
        <f t="shared" si="123"/>
        <v>342880.42327419535</v>
      </c>
      <c r="DF97" s="298">
        <f t="shared" si="124"/>
        <v>469552.10178011568</v>
      </c>
      <c r="DG97" s="371">
        <f t="shared" si="125"/>
        <v>492967.63301063207</v>
      </c>
      <c r="DH97" s="372">
        <f t="shared" si="126"/>
        <v>571765.99886502663</v>
      </c>
      <c r="DI97" s="67">
        <f t="shared" si="127"/>
        <v>4966576.1546589779</v>
      </c>
      <c r="DJ97" s="364">
        <f>_xll.LVCELL($E$1,Q$2,$C97,$D$2,$C$4,$C$5,$C$6,$C$7,$C$8,$D$3)+_xll.LVCELL($E$2,Q$2,$C97,$D$2,$C$4,$C$5,$C$6,$C$7,$C$8,$D$3)</f>
        <v>4966576.0618796041</v>
      </c>
      <c r="DK97" s="82">
        <f t="shared" si="137"/>
        <v>9.2779373750090599E-2</v>
      </c>
      <c r="DM97" s="518">
        <f t="shared" si="128"/>
        <v>83.557562886652704</v>
      </c>
      <c r="DO97" s="64" t="str">
        <f t="shared" si="129"/>
        <v>E5650</v>
      </c>
      <c r="DP97" s="107" t="str">
        <f t="shared" si="130"/>
        <v>E5650</v>
      </c>
      <c r="DQ97" s="359" t="str">
        <f t="shared" si="131"/>
        <v>Seuil du Cambrésis- Ribecourt (RIB)</v>
      </c>
      <c r="DR97" s="190">
        <f>_xll.LVCELL($DP$3,DR$3,$DP97,$DQ$2,$DP$4,$DP$5,$DP$6,$DP$7,$DP$8,$DQ$3)/100</f>
        <v>0.97</v>
      </c>
      <c r="DS97" s="190">
        <f>_xll.LVCELL($DP$3,DS$3,$DP97,$DQ$2,$DP$4,$DP$5,$DP$6,$DP$7,$DP$8,$DQ$3)/100</f>
        <v>0.97</v>
      </c>
      <c r="DT97" s="190">
        <f>_xll.LVCELL($DP$3,DT$3,$DP97,$DQ$2,$DP$4,$DP$5,$DP$6,$DP$7,$DP$8,$DQ$3)/100</f>
        <v>0.97</v>
      </c>
      <c r="DU97" s="190">
        <f>_xll.LVCELL($DP$3,DU$3,$DP97,$DQ$2,$DP$4,$DP$5,$DP$6,$DP$7,$DP$8,$DQ$3)/100</f>
        <v>0.97</v>
      </c>
      <c r="DV97" s="190">
        <f>_xll.LVCELL($DP$3,DV$3,$DP97,$DQ$2,$DP$4,$DP$5,$DP$6,$DP$7,$DP$8,$DQ$3)/100</f>
        <v>0.97</v>
      </c>
      <c r="DW97" s="190">
        <f>_xll.LVCELL($DP$3,DW$3,$DP97,$DQ$2,$DP$4,$DP$5,$DP$6,$DP$7,$DP$8,$DQ$3)/100</f>
        <v>0.97</v>
      </c>
      <c r="DX97" s="190">
        <f>_xll.LVCELL($DP$3,DX$3,$DP97,$DQ$2,$DP$4,$DP$5,$DP$6,$DP$7,$DP$8,$DQ$3)/100</f>
        <v>0.97</v>
      </c>
      <c r="DY97" s="190">
        <f>_xll.LVCELL($DP$3,DY$3,$DP97,$DQ$2,$DP$4,$DP$5,$DP$6,$DP$7,$DP$8,$DQ$3)/100</f>
        <v>0.97</v>
      </c>
      <c r="DZ97" s="190">
        <f>_xll.LVCELL($DP$3,DZ$3,$DP97,$DQ$2,$DP$4,$DP$5,$DP$6,$DP$7,$DP$8,$DQ$3)/100</f>
        <v>0.97</v>
      </c>
      <c r="EA97" s="190">
        <f>_xll.LVCELL($DP$3,EA$3,$DP97,$DQ$2,$DP$4,$DP$5,$DP$6,$DP$7,$DP$8,$DQ$3)/100</f>
        <v>0.97</v>
      </c>
      <c r="EB97" s="190">
        <f>_xll.LVCELL($DP$3,EB$3,$DP97,$DQ$2,$DP$4,$DP$5,$DP$6,$DP$7,$DP$8,$DQ$3)/100</f>
        <v>0.97</v>
      </c>
      <c r="EC97" s="190">
        <f>_xll.LVCELL($DP$3,EC$3,$DP97,$DQ$2,$DP$4,$DP$5,$DP$6,$DP$7,$DP$8,$DQ$3)/100</f>
        <v>0.97</v>
      </c>
      <c r="ED97" s="582">
        <f t="shared" si="138"/>
        <v>11.64</v>
      </c>
      <c r="EF97" s="64" t="s">
        <v>822</v>
      </c>
      <c r="EG97" s="107" t="s">
        <v>822</v>
      </c>
      <c r="EH97" s="359" t="s">
        <v>821</v>
      </c>
      <c r="EI97" s="325" t="e">
        <f ca="1">_xll.LVCELL($EG$3,EI$3,$DP97,$DQ$2,$DP$4,$DP$5,$DP$6,$DP$7,$DP$8,$DQ$3)-CW97</f>
        <v>#NAME?</v>
      </c>
      <c r="EJ97" s="182" t="e">
        <f ca="1">_xll.LVCELL($EG$3,EJ$3,$DP97,$DQ$2,$DP$4,$DP$5,$DP$6,$DP$7,$DP$8,$DQ$3)-CX97</f>
        <v>#NAME?</v>
      </c>
      <c r="EK97" s="327" t="e">
        <f ca="1">_xll.LVCELL($EG$3,EK$3,$DP97,$DQ$2,$DP$4,$DP$5,$DP$6,$DP$7,$DP$8,$DQ$3)-CY97</f>
        <v>#NAME?</v>
      </c>
      <c r="EL97" s="182" t="e">
        <f ca="1">_xll.LVCELL($EG$3,EL$3,$DP97,$DQ$2,$DP$4,$DP$5,$DP$6,$DP$7,$DP$8,$DQ$3)-CZ97</f>
        <v>#NAME?</v>
      </c>
      <c r="EM97" s="327" t="e">
        <f ca="1">_xll.LVCELL($EG$3,EM$3,$DP97,$DQ$2,$DP$4,$DP$5,$DP$6,$DP$7,$DP$8,$DQ$3)-DA97</f>
        <v>#NAME?</v>
      </c>
      <c r="EN97" s="182" t="e">
        <f ca="1">_xll.LVCELL($EG$3,EN$3,$DP97,$DQ$2,$DP$4,$DP$5,$DP$6,$DP$7,$DP$8,$DQ$3)-DB97</f>
        <v>#NAME?</v>
      </c>
      <c r="EO97" s="327" t="e">
        <f ca="1">_xll.LVCELL($EG$3,EO$3,$DP97,$DQ$2,$DP$4,$DP$5,$DP$6,$DP$7,$DP$8,$DQ$3)-DC97</f>
        <v>#NAME?</v>
      </c>
      <c r="EP97" s="182" t="e">
        <f ca="1">_xll.LVCELL($EG$3,EP$3,$DP97,$DQ$2,$DP$4,$DP$5,$DP$6,$DP$7,$DP$8,$DQ$3)-DD97</f>
        <v>#NAME?</v>
      </c>
      <c r="EQ97" s="368" t="e">
        <f ca="1">_xll.LVCELL($EG$3,EQ$3,$DP97,$DQ$2,$DP$4,$DP$5,$DP$6,$DP$7,$DP$8,$DQ$3)-DE97</f>
        <v>#NAME?</v>
      </c>
      <c r="ER97" s="367" t="e">
        <f ca="1">_xll.LVCELL($EG$3,ER$3,$DP97,$DQ$2,$DP$4,$DP$5,$DP$6,$DP$7,$DP$8,$DQ$3)-DF97</f>
        <v>#NAME?</v>
      </c>
      <c r="ES97" s="368" t="e">
        <f ca="1">_xll.LVCELL($EG$3,ES$3,$DP97,$DQ$2,$DP$4,$DP$5,$DP$6,$DP$7,$DP$8,$DQ$3)-DG97</f>
        <v>#NAME?</v>
      </c>
      <c r="ET97" s="367" t="e">
        <f ca="1">_xll.LVCELL($EG$3,ET$3,$DP97,$DQ$2,$DP$4,$DP$5,$DP$6,$DP$7,$DP$8,$DQ$3)-DH97</f>
        <v>#NAME?</v>
      </c>
      <c r="EW97" s="64" t="s">
        <v>822</v>
      </c>
      <c r="EX97" s="107" t="s">
        <v>822</v>
      </c>
      <c r="EY97" s="359" t="s">
        <v>821</v>
      </c>
      <c r="EZ97" s="172">
        <f>_xll.LVCELL($EX$3,EZ$3,$DP97,$DQ$2,$DP$4,$DP$5,$DP$6,$DP$7,$DP$8,$DQ$3)</f>
        <v>24150</v>
      </c>
      <c r="FA97" s="172">
        <f>_xll.LVCELL($EX$3,FA$3,$DP97,$DQ$2,$DP$4,$DP$5,$DP$6,$DP$7,$DP$8,$DQ$3)</f>
        <v>24150</v>
      </c>
      <c r="FB97" s="172">
        <f>_xll.LVCELL($EX$3,FB$3,$DP97,$DQ$2,$DP$4,$DP$5,$DP$6,$DP$7,$DP$8,$DQ$3)</f>
        <v>24150</v>
      </c>
      <c r="FC97" s="172">
        <f>_xll.LVCELL($EX$3,FC$3,$DP97,$DQ$2,$DP$4,$DP$5,$DP$6,$DP$7,$DP$8,$DQ$3)</f>
        <v>24150</v>
      </c>
      <c r="FD97" s="172">
        <f>_xll.LVCELL($EX$3,FD$3,$DP97,$DQ$2,$DP$4,$DP$5,$DP$6,$DP$7,$DP$8,$DQ$3)</f>
        <v>24150</v>
      </c>
      <c r="FE97" s="172">
        <f>_xll.LVCELL($EX$3,FE$3,$DP97,$DQ$2,$DP$4,$DP$5,$DP$6,$DP$7,$DP$8,$DQ$3)</f>
        <v>24150</v>
      </c>
      <c r="FF97" s="172">
        <f>_xll.LVCELL($EX$3,FF$3,$DP97,$DQ$2,$DP$4,$DP$5,$DP$6,$DP$7,$DP$8,$DQ$3)</f>
        <v>24150</v>
      </c>
      <c r="FG97" s="172">
        <f>_xll.LVCELL($EX$3,FG$3,$DP97,$DQ$2,$DP$4,$DP$5,$DP$6,$DP$7,$DP$8,$DQ$3)</f>
        <v>24150</v>
      </c>
      <c r="FH97" s="172">
        <f>_xll.LVCELL($EX$3,FH$3,$DP97,$DQ$2,$DP$4,$DP$5,$DP$6,$DP$7,$DP$8,$DQ$3)</f>
        <v>24150</v>
      </c>
      <c r="FI97" s="172">
        <f>_xll.LVCELL($EX$3,FI$3,$DP97,$DQ$2,$DP$4,$DP$5,$DP$6,$DP$7,$DP$8,$DQ$3)</f>
        <v>24150</v>
      </c>
      <c r="FJ97" s="172">
        <f>_xll.LVCELL($EX$3,FJ$3,$DP97,$DQ$2,$DP$4,$DP$5,$DP$6,$DP$7,$DP$8,$DQ$3)</f>
        <v>24150</v>
      </c>
      <c r="FK97" s="276">
        <f>_xll.LVCELL($EX$3,FK$3,$DP97,$DQ$2,$DP$4,$DP$5,$DP$6,$DP$7,$DP$8,$DQ$3)</f>
        <v>24150</v>
      </c>
      <c r="FN97" s="64" t="s">
        <v>822</v>
      </c>
      <c r="FO97" s="63" t="s">
        <v>822</v>
      </c>
      <c r="FP97" s="359" t="s">
        <v>821</v>
      </c>
      <c r="FQ97" s="172">
        <f>_xll.LVCELL($FO$3,FQ$3,$DP97,$DQ$2,$DP$4,$DP$5,$DP$6,$DP$7,$DP$8,$DQ$3)</f>
        <v>7</v>
      </c>
      <c r="FR97" s="172">
        <f>_xll.LVCELL($FO$3,FR$3,$DP97,$DQ$2,$DP$4,$DP$5,$DP$6,$DP$7,$DP$8,$DQ$3)</f>
        <v>7</v>
      </c>
      <c r="FS97" s="172">
        <f>_xll.LVCELL($FO$3,FS$3,$DP97,$DQ$2,$DP$4,$DP$5,$DP$6,$DP$7,$DP$8,$DQ$3)</f>
        <v>7</v>
      </c>
      <c r="FT97" s="172">
        <f>_xll.LVCELL($FO$3,FT$3,$DP97,$DQ$2,$DP$4,$DP$5,$DP$6,$DP$7,$DP$8,$DQ$3)</f>
        <v>7</v>
      </c>
      <c r="FU97" s="172">
        <f>_xll.LVCELL($FO$3,FU$3,$DP97,$DQ$2,$DP$4,$DP$5,$DP$6,$DP$7,$DP$8,$DQ$3)</f>
        <v>7</v>
      </c>
      <c r="FV97" s="172">
        <f>_xll.LVCELL($FO$3,FV$3,$DP97,$DQ$2,$DP$4,$DP$5,$DP$6,$DP$7,$DP$8,$DQ$3)</f>
        <v>7</v>
      </c>
      <c r="FW97" s="172">
        <f>_xll.LVCELL($FO$3,FW$3,$DP97,$DQ$2,$DP$4,$DP$5,$DP$6,$DP$7,$DP$8,$DQ$3)</f>
        <v>7</v>
      </c>
      <c r="FX97" s="172">
        <f>_xll.LVCELL($FO$3,FX$3,$DP97,$DQ$2,$DP$4,$DP$5,$DP$6,$DP$7,$DP$8,$DQ$3)</f>
        <v>7</v>
      </c>
      <c r="FY97" s="172">
        <f>_xll.LVCELL($FO$3,FY$3,$DP97,$DQ$2,$DP$4,$DP$5,$DP$6,$DP$7,$DP$8,$DQ$3)</f>
        <v>7</v>
      </c>
      <c r="FZ97" s="172">
        <f>_xll.LVCELL($FO$3,FZ$3,$DP97,$DQ$2,$DP$4,$DP$5,$DP$6,$DP$7,$DP$8,$DQ$3)</f>
        <v>7</v>
      </c>
      <c r="GA97" s="172">
        <f>_xll.LVCELL($FO$3,GA$3,$DP97,$DQ$2,$DP$4,$DP$5,$DP$6,$DP$7,$DP$8,$DQ$3)</f>
        <v>7</v>
      </c>
      <c r="GB97" s="172">
        <f>_xll.LVCELL($FO$3,GB$3,$DP97,$DQ$2,$DP$4,$DP$5,$DP$6,$DP$7,$DP$8,$DQ$3)</f>
        <v>7</v>
      </c>
    </row>
    <row r="98" spans="2:185" ht="15">
      <c r="B98" s="64" t="s">
        <v>824</v>
      </c>
      <c r="C98" s="63" t="s">
        <v>824</v>
      </c>
      <c r="D98" s="128" t="s">
        <v>837</v>
      </c>
      <c r="E98" s="357">
        <f>_xll.LVCELL($C$3,Q$3,$C98,$D$2,$C$4,$C$5,$C$6,$C$7,$C$8,$D$3)/1000</f>
        <v>20.100000000000001</v>
      </c>
      <c r="F98" s="103">
        <f>'distribution mensuelle Prod B22'!$CL$36</f>
        <v>3606891.845700792</v>
      </c>
      <c r="G98" s="103">
        <f>'distribution mensuelle Prod B22'!$CL$37</f>
        <v>2940380.6653016941</v>
      </c>
      <c r="H98" s="103">
        <f>'distribution mensuelle Prod B22'!$CL$38</f>
        <v>2833864.7990910937</v>
      </c>
      <c r="I98" s="103">
        <f>'distribution mensuelle Prod B22'!$CL$39</f>
        <v>2262073.0215998837</v>
      </c>
      <c r="J98" s="103">
        <f>'distribution mensuelle Prod B22'!$CL$40</f>
        <v>2092787.4590449012</v>
      </c>
      <c r="K98" s="103">
        <f>'distribution mensuelle Prod B22'!$CL$41</f>
        <v>1684414.282945784</v>
      </c>
      <c r="L98" s="103">
        <f>'distribution mensuelle Prod B22'!$CL$42</f>
        <v>1613541.8605923166</v>
      </c>
      <c r="M98" s="103">
        <f>'distribution mensuelle Prod B22'!$CL$43</f>
        <v>1616658.9051350974</v>
      </c>
      <c r="N98" s="103">
        <f>'distribution mensuelle Prod B22'!$CL$44</f>
        <v>2061476.1227983295</v>
      </c>
      <c r="O98" s="103">
        <f>'distribution mensuelle Prod B22'!$CL$45</f>
        <v>2958546.5808023359</v>
      </c>
      <c r="P98" s="103">
        <f>'distribution mensuelle Prod B22'!$CL$46</f>
        <v>3004884.8461093982</v>
      </c>
      <c r="Q98" s="103">
        <f>'distribution mensuelle Prod B22'!$CL$47</f>
        <v>3496236.7644320652</v>
      </c>
      <c r="R98" s="67">
        <f t="shared" si="92"/>
        <v>30171757.153553694</v>
      </c>
      <c r="S98" s="386"/>
      <c r="W98" s="113" t="str">
        <f t="shared" si="93"/>
        <v>E5720</v>
      </c>
      <c r="X98" s="359" t="str">
        <f t="shared" si="94"/>
        <v xml:space="preserve">Basse Thiérache Nord 1 </v>
      </c>
      <c r="Y98" s="299" cm="1">
        <f t="array" ref="Y98">_xll.LVCELL($D$4,F$1,$B98,$D$2,$C$4,$C$5,$C$6,$C$7,$C$8,$D$3)*1000+_xll.LVCELL($D$5,F$1,$B98,$D$2,$C$4,$C$5,$C$6,$C$7,$C$8,$D$3)*1000</f>
        <v>82.01323099999999</v>
      </c>
      <c r="Z98" s="299" cm="1">
        <f t="array" ref="Z98">_xll.LVCELL($D$4,G$1,$B98,$D$2,$C$4,$C$5,$C$6,$C$7,$C$8,$D$3)*1000+_xll.LVCELL($D$5,G$1,$B98,$D$2,$C$4,$C$5,$C$6,$C$7,$C$8,$D$3)*1000</f>
        <v>82.873746999999995</v>
      </c>
      <c r="AA98" s="299" cm="1">
        <f t="array" ref="AA98">_xll.LVCELL($D$4,H$1,$B98,$D$2,$C$4,$C$5,$C$6,$C$7,$C$8,$D$3)*1000+_xll.LVCELL($D$5,H$1,$B98,$D$2,$C$4,$C$5,$C$6,$C$7,$C$8,$D$3)*1000</f>
        <v>82.534790150083211</v>
      </c>
      <c r="AB98" s="299" cm="1">
        <f t="array" ref="AB98">_xll.LVCELL($D$4,I$1,$B98,$D$2,$C$4,$C$5,$C$6,$C$7,$C$8,$D$3)*1000+_xll.LVCELL($D$5,I$1,$B98,$D$2,$C$4,$C$5,$C$6,$C$7,$C$8,$D$3)*1000</f>
        <v>82.353157915107687</v>
      </c>
      <c r="AC98" s="299" cm="1">
        <f t="array" ref="AC98">_xll.LVCELL($D$4,J$1,$B98,$D$2,$C$4,$C$5,$C$6,$C$7,$C$8,$D$3)*1000+_xll.LVCELL($D$5,J$1,$B98,$D$2,$C$4,$C$5,$C$6,$C$7,$C$8,$D$3)*1000</f>
        <v>82.501267166419311</v>
      </c>
      <c r="AD98" s="299" cm="1">
        <f t="array" ref="AD98">_xll.LVCELL($D$4,K$1,$B98,$D$2,$C$4,$C$5,$C$6,$C$7,$C$8,$D$3)*1000+_xll.LVCELL($D$5,K$1,$B98,$D$2,$C$4,$C$5,$C$6,$C$7,$C$8,$D$3)*1000</f>
        <v>81.856188811188815</v>
      </c>
      <c r="AE98" s="299" cm="1">
        <f t="array" ref="AE98">_xll.LVCELL($D$4,L$1,$B98,$D$2,$C$4,$C$5,$C$6,$C$7,$C$8,$D$3)*1000+_xll.LVCELL($D$5,L$1,$B98,$D$2,$C$4,$C$5,$C$6,$C$7,$C$8,$D$3)*1000</f>
        <v>81.864609869843221</v>
      </c>
      <c r="AF98" s="411">
        <f>$AC$98</f>
        <v>82.501267166419311</v>
      </c>
      <c r="AG98" s="299">
        <f t="shared" si="141"/>
        <v>82.501267166419311</v>
      </c>
      <c r="AH98" s="411">
        <f t="shared" si="141"/>
        <v>82.501267166419311</v>
      </c>
      <c r="AI98" s="411">
        <f t="shared" si="146"/>
        <v>84.398796311246954</v>
      </c>
      <c r="AJ98" s="412">
        <f t="shared" si="147"/>
        <v>84.398796311246954</v>
      </c>
      <c r="AK98" s="414"/>
      <c r="AL98" s="134">
        <f t="shared" si="95"/>
        <v>2.3E-2</v>
      </c>
      <c r="AM98" s="134"/>
      <c r="AN98" s="134"/>
      <c r="AO98" s="134"/>
      <c r="AP98" s="113" t="str">
        <f t="shared" si="132"/>
        <v>E5720</v>
      </c>
      <c r="AQ98" s="573" t="str">
        <f t="shared" si="133"/>
        <v xml:space="preserve">Basse Thiérache Nord 1 </v>
      </c>
      <c r="AR98" s="411">
        <v>4.2629899999999905</v>
      </c>
      <c r="AS98" s="411">
        <v>3.2929899999999916</v>
      </c>
      <c r="AT98" s="411">
        <v>15.512989999999991</v>
      </c>
      <c r="AU98" s="411">
        <v>29.902989999999999</v>
      </c>
      <c r="AV98" s="411">
        <v>39.222989999999996</v>
      </c>
      <c r="AW98" s="411">
        <v>34.07298999999999</v>
      </c>
      <c r="AX98" s="411">
        <v>32.012989999999995</v>
      </c>
      <c r="AY98" s="411">
        <v>35.732989999999994</v>
      </c>
      <c r="AZ98" s="411">
        <v>37.852989999999991</v>
      </c>
      <c r="BA98" s="411">
        <v>38.652989999999996</v>
      </c>
      <c r="BB98" s="411">
        <v>21.748368770000003</v>
      </c>
      <c r="BC98" s="412">
        <v>10.318368769999996</v>
      </c>
      <c r="BD98" s="414"/>
      <c r="BE98" s="134"/>
      <c r="BF98" s="134"/>
      <c r="BG98" s="134"/>
      <c r="BH98" s="134"/>
      <c r="BI98" s="113" t="str">
        <f t="shared" si="134"/>
        <v>E5720</v>
      </c>
      <c r="BJ98" s="573" t="str">
        <f t="shared" si="135"/>
        <v xml:space="preserve">Basse Thiérache Nord 1 </v>
      </c>
      <c r="BK98" s="411">
        <v>80.12</v>
      </c>
      <c r="BL98" s="411">
        <v>81.09</v>
      </c>
      <c r="BM98" s="411">
        <v>68.87</v>
      </c>
      <c r="BN98" s="411">
        <v>54.48</v>
      </c>
      <c r="BO98" s="411">
        <v>45.16</v>
      </c>
      <c r="BP98" s="411">
        <v>50.31</v>
      </c>
      <c r="BQ98" s="411">
        <v>52.37</v>
      </c>
      <c r="BR98" s="411">
        <v>48.65</v>
      </c>
      <c r="BS98" s="411">
        <v>46.53</v>
      </c>
      <c r="BT98" s="411">
        <v>45.73</v>
      </c>
      <c r="BU98" s="411">
        <v>64.52</v>
      </c>
      <c r="BV98" s="412">
        <v>75.95</v>
      </c>
      <c r="BW98" s="414"/>
      <c r="BX98" s="134"/>
      <c r="BY98" s="134"/>
      <c r="BZ98" s="134"/>
      <c r="CA98" s="134"/>
      <c r="CB98" s="113" t="str">
        <f t="shared" si="99"/>
        <v>E5720</v>
      </c>
      <c r="CC98" s="373" t="str">
        <f t="shared" si="100"/>
        <v xml:space="preserve">Basse Thiérache Nord 1 </v>
      </c>
      <c r="CD98" s="411">
        <f t="shared" si="136"/>
        <v>84.382989999999992</v>
      </c>
      <c r="CE98" s="411">
        <f t="shared" si="101"/>
        <v>84.382989999999992</v>
      </c>
      <c r="CF98" s="411">
        <f t="shared" si="102"/>
        <v>84.382989999999992</v>
      </c>
      <c r="CG98" s="411">
        <f t="shared" si="103"/>
        <v>84.382989999999992</v>
      </c>
      <c r="CH98" s="411">
        <f t="shared" si="104"/>
        <v>84.382989999999992</v>
      </c>
      <c r="CI98" s="411">
        <f t="shared" si="105"/>
        <v>84.382989999999992</v>
      </c>
      <c r="CJ98" s="411">
        <f t="shared" si="106"/>
        <v>84.382989999999992</v>
      </c>
      <c r="CK98" s="411">
        <f t="shared" si="107"/>
        <v>84.382989999999992</v>
      </c>
      <c r="CL98" s="411">
        <f t="shared" si="108"/>
        <v>84.382989999999992</v>
      </c>
      <c r="CM98" s="411">
        <f t="shared" si="109"/>
        <v>84.382989999999992</v>
      </c>
      <c r="CN98" s="411">
        <f t="shared" si="110"/>
        <v>86.268368769999995</v>
      </c>
      <c r="CO98" s="412">
        <f t="shared" si="111"/>
        <v>86.268368769999995</v>
      </c>
      <c r="CP98" s="414"/>
      <c r="CQ98" s="134">
        <f t="shared" si="112"/>
        <v>4.0000000000000001E-3</v>
      </c>
      <c r="CU98" s="113" t="str">
        <f t="shared" si="113"/>
        <v>E5720</v>
      </c>
      <c r="CV98" s="373" t="str">
        <f t="shared" si="114"/>
        <v xml:space="preserve">Basse Thiérache Nord 1 </v>
      </c>
      <c r="CW98" s="384">
        <f t="shared" si="115"/>
        <v>304360.31854685146</v>
      </c>
      <c r="CX98" s="298">
        <f t="shared" si="116"/>
        <v>248118.11227634616</v>
      </c>
      <c r="CY98" s="298">
        <f t="shared" si="117"/>
        <v>239129.98500305574</v>
      </c>
      <c r="CZ98" s="298">
        <f t="shared" si="118"/>
        <v>190880.48516093276</v>
      </c>
      <c r="DA98" s="298">
        <f t="shared" si="119"/>
        <v>176595.66322871129</v>
      </c>
      <c r="DB98" s="298">
        <f t="shared" si="120"/>
        <v>142135.91359367126</v>
      </c>
      <c r="DC98" s="298">
        <f t="shared" si="121"/>
        <v>136155.48668694284</v>
      </c>
      <c r="DD98" s="298">
        <f t="shared" si="122"/>
        <v>136418.51222542586</v>
      </c>
      <c r="DE98" s="298">
        <f t="shared" si="123"/>
        <v>173953.51905533019</v>
      </c>
      <c r="DF98" s="298">
        <f t="shared" si="124"/>
        <v>249651.00654237767</v>
      </c>
      <c r="DG98" s="371">
        <f t="shared" si="125"/>
        <v>259226.51401555023</v>
      </c>
      <c r="DH98" s="372">
        <f t="shared" si="126"/>
        <v>301614.64250125701</v>
      </c>
      <c r="DI98" s="67">
        <f t="shared" si="127"/>
        <v>2558240.1588364523</v>
      </c>
      <c r="DJ98" s="364">
        <f>_xll.LVCELL($E$1,Q$2,$C98,$D$2,$C$4,$C$5,$C$6,$C$7,$C$8,$D$3)+_xll.LVCELL($E$2,Q$2,$C98,$D$2,$C$4,$C$5,$C$6,$C$7,$C$8,$D$3)</f>
        <v>3862855.3686716477</v>
      </c>
      <c r="DK98" s="82">
        <f t="shared" si="137"/>
        <v>-1304615.2098351954</v>
      </c>
      <c r="DM98" s="518">
        <f t="shared" si="128"/>
        <v>84.789233381958894</v>
      </c>
      <c r="DO98" s="64" t="str">
        <f t="shared" si="129"/>
        <v>E5720</v>
      </c>
      <c r="DP98" s="107" t="str">
        <f t="shared" si="130"/>
        <v>E5720</v>
      </c>
      <c r="DQ98" s="128" t="str">
        <f t="shared" si="131"/>
        <v xml:space="preserve">Basse Thiérache Nord 1 </v>
      </c>
      <c r="DR98" s="190">
        <f>_xll.LVCELL($DP$3,DR$3,$DP98,$DQ$2,$DP$4,$DP$5,$DP$6,$DP$7,$DP$8,$DQ$3)/100</f>
        <v>0.96999999999999986</v>
      </c>
      <c r="DS98" s="190">
        <f>_xll.LVCELL($DP$3,DS$3,$DP98,$DQ$2,$DP$4,$DP$5,$DP$6,$DP$7,$DP$8,$DQ$3)/100</f>
        <v>0.97</v>
      </c>
      <c r="DT98" s="190">
        <f>_xll.LVCELL($DP$3,DT$3,$DP98,$DQ$2,$DP$4,$DP$5,$DP$6,$DP$7,$DP$8,$DQ$3)/100</f>
        <v>0.96999999999999986</v>
      </c>
      <c r="DU98" s="190">
        <f>_xll.LVCELL($DP$3,DU$3,$DP98,$DQ$2,$DP$4,$DP$5,$DP$6,$DP$7,$DP$8,$DQ$3)/100</f>
        <v>0.97</v>
      </c>
      <c r="DV98" s="190">
        <f>_xll.LVCELL($DP$3,DV$3,$DP98,$DQ$2,$DP$4,$DP$5,$DP$6,$DP$7,$DP$8,$DQ$3)/100</f>
        <v>0.96999999999999986</v>
      </c>
      <c r="DW98" s="190">
        <f>_xll.LVCELL($DP$3,DW$3,$DP98,$DQ$2,$DP$4,$DP$5,$DP$6,$DP$7,$DP$8,$DQ$3)/100</f>
        <v>0.97</v>
      </c>
      <c r="DX98" s="190">
        <f>_xll.LVCELL($DP$3,DX$3,$DP98,$DQ$2,$DP$4,$DP$5,$DP$6,$DP$7,$DP$8,$DQ$3)/100</f>
        <v>0.96999999999999986</v>
      </c>
      <c r="DY98" s="190">
        <f>_xll.LVCELL($DP$3,DY$3,$DP98,$DQ$2,$DP$4,$DP$5,$DP$6,$DP$7,$DP$8,$DQ$3)/100</f>
        <v>0.96999999999999986</v>
      </c>
      <c r="DZ98" s="190">
        <f>_xll.LVCELL($DP$3,DZ$3,$DP98,$DQ$2,$DP$4,$DP$5,$DP$6,$DP$7,$DP$8,$DQ$3)/100</f>
        <v>0.97</v>
      </c>
      <c r="EA98" s="190">
        <f>_xll.LVCELL($DP$3,EA$3,$DP98,$DQ$2,$DP$4,$DP$5,$DP$6,$DP$7,$DP$8,$DQ$3)/100</f>
        <v>0.96999999999999986</v>
      </c>
      <c r="EB98" s="190">
        <f>_xll.LVCELL($DP$3,EB$3,$DP98,$DQ$2,$DP$4,$DP$5,$DP$6,$DP$7,$DP$8,$DQ$3)/100</f>
        <v>0.97</v>
      </c>
      <c r="EC98" s="190">
        <f>_xll.LVCELL($DP$3,EC$3,$DP98,$DQ$2,$DP$4,$DP$5,$DP$6,$DP$7,$DP$8,$DQ$3)/100</f>
        <v>0.96999999999999986</v>
      </c>
      <c r="ED98" s="582">
        <f t="shared" si="138"/>
        <v>11.64</v>
      </c>
      <c r="EF98" s="64" t="s">
        <v>824</v>
      </c>
      <c r="EG98" s="107" t="s">
        <v>824</v>
      </c>
      <c r="EH98" s="128" t="s">
        <v>2639</v>
      </c>
      <c r="EI98" s="325" t="e">
        <f ca="1">_xll.LVCELL($EG$3,EI$3,$DP98,$DQ$2,$DP$4,$DP$5,$DP$6,$DP$7,$DP$8,$DQ$3)-CW98-CW99</f>
        <v>#NAME?</v>
      </c>
      <c r="EJ98" s="182" t="e">
        <f ca="1">_xll.LVCELL($EG$3,EJ$3,$DP98,$DQ$2,$DP$4,$DP$5,$DP$6,$DP$7,$DP$8,$DQ$3)-CX98-CX99</f>
        <v>#NAME?</v>
      </c>
      <c r="EK98" s="327" t="e">
        <f ca="1">_xll.LVCELL($EG$3,EK$3,$DP98,$DQ$2,$DP$4,$DP$5,$DP$6,$DP$7,$DP$8,$DQ$3)-CY98-CY99</f>
        <v>#NAME?</v>
      </c>
      <c r="EL98" s="182" t="e">
        <f ca="1">_xll.LVCELL($EG$3,EL$3,$DP98,$DQ$2,$DP$4,$DP$5,$DP$6,$DP$7,$DP$8,$DQ$3)-CZ98-CZ99</f>
        <v>#NAME?</v>
      </c>
      <c r="EM98" s="327" t="e">
        <f ca="1">_xll.LVCELL($EG$3,EM$3,$DP98,$DQ$2,$DP$4,$DP$5,$DP$6,$DP$7,$DP$8,$DQ$3)-DA98-DA99</f>
        <v>#NAME?</v>
      </c>
      <c r="EN98" s="182" t="e">
        <f ca="1">_xll.LVCELL($EG$3,EN$3,$DP98,$DQ$2,$DP$4,$DP$5,$DP$6,$DP$7,$DP$8,$DQ$3)-DB98-DB99</f>
        <v>#NAME?</v>
      </c>
      <c r="EO98" s="368" t="e">
        <f ca="1">_xll.LVCELL($EG$3,EO$3,$DP98,$DQ$2,$DP$4,$DP$5,$DP$6,$DP$7,$DP$8,$DQ$3)-DC98-DC99</f>
        <v>#NAME?</v>
      </c>
      <c r="EP98" s="367" t="e">
        <f ca="1">_xll.LVCELL($EG$3,EP$3,$DP98,$DQ$2,$DP$4,$DP$5,$DP$6,$DP$7,$DP$8,$DQ$3)-DD98-DD99</f>
        <v>#NAME?</v>
      </c>
      <c r="EQ98" s="368" t="e">
        <f ca="1">_xll.LVCELL($EG$3,EQ$3,$DP98,$DQ$2,$DP$4,$DP$5,$DP$6,$DP$7,$DP$8,$DQ$3)-DE98-DE99</f>
        <v>#NAME?</v>
      </c>
      <c r="ER98" s="367" t="e">
        <f ca="1">_xll.LVCELL($EG$3,ER$3,$DP98,$DQ$2,$DP$4,$DP$5,$DP$6,$DP$7,$DP$8,$DQ$3)-DF98-DF99</f>
        <v>#NAME?</v>
      </c>
      <c r="ES98" s="368" t="e">
        <f ca="1">_xll.LVCELL($EG$3,ES$3,$DP98,$DQ$2,$DP$4,$DP$5,$DP$6,$DP$7,$DP$8,$DQ$3)-DG98-DG99</f>
        <v>#NAME?</v>
      </c>
      <c r="ET98" s="367" t="e">
        <f ca="1">_xll.LVCELL($EG$3,ET$3,$DP98,$DQ$2,$DP$4,$DP$5,$DP$6,$DP$7,$DP$8,$DQ$3)-DH98-DH99</f>
        <v>#NAME?</v>
      </c>
      <c r="EW98" s="64" t="s">
        <v>824</v>
      </c>
      <c r="EX98" s="107" t="s">
        <v>824</v>
      </c>
      <c r="EY98" s="128" t="s">
        <v>2639</v>
      </c>
      <c r="EZ98" s="172">
        <f>_xll.LVCELL($EX$3,EZ$3,$DP98,$DQ$2,$DP$4,$DP$5,$DP$6,$DP$7,$DP$8,$DQ$3)</f>
        <v>20100</v>
      </c>
      <c r="FA98" s="172">
        <f>_xll.LVCELL($EX$3,FA$3,$DP98,$DQ$2,$DP$4,$DP$5,$DP$6,$DP$7,$DP$8,$DQ$3)</f>
        <v>20100</v>
      </c>
      <c r="FB98" s="172">
        <f>_xll.LVCELL($EX$3,FB$3,$DP98,$DQ$2,$DP$4,$DP$5,$DP$6,$DP$7,$DP$8,$DQ$3)</f>
        <v>20100</v>
      </c>
      <c r="FC98" s="172">
        <f>_xll.LVCELL($EX$3,FC$3,$DP98,$DQ$2,$DP$4,$DP$5,$DP$6,$DP$7,$DP$8,$DQ$3)</f>
        <v>20100</v>
      </c>
      <c r="FD98" s="172">
        <f>_xll.LVCELL($EX$3,FD$3,$DP98,$DQ$2,$DP$4,$DP$5,$DP$6,$DP$7,$DP$8,$DQ$3)</f>
        <v>20100</v>
      </c>
      <c r="FE98" s="172">
        <f>_xll.LVCELL($EX$3,FE$3,$DP98,$DQ$2,$DP$4,$DP$5,$DP$6,$DP$7,$DP$8,$DQ$3)</f>
        <v>20100</v>
      </c>
      <c r="FF98" s="172">
        <f>_xll.LVCELL($EX$3,FF$3,$DP98,$DQ$2,$DP$4,$DP$5,$DP$6,$DP$7,$DP$8,$DQ$3)</f>
        <v>20100</v>
      </c>
      <c r="FG98" s="172">
        <f>_xll.LVCELL($EX$3,FG$3,$DP98,$DQ$2,$DP$4,$DP$5,$DP$6,$DP$7,$DP$8,$DQ$3)</f>
        <v>20100</v>
      </c>
      <c r="FH98" s="172">
        <f>_xll.LVCELL($EX$3,FH$3,$DP98,$DQ$2,$DP$4,$DP$5,$DP$6,$DP$7,$DP$8,$DQ$3)</f>
        <v>20100</v>
      </c>
      <c r="FI98" s="172">
        <f>_xll.LVCELL($EX$3,FI$3,$DP98,$DQ$2,$DP$4,$DP$5,$DP$6,$DP$7,$DP$8,$DQ$3)</f>
        <v>20100</v>
      </c>
      <c r="FJ98" s="172">
        <f>_xll.LVCELL($EX$3,FJ$3,$DP98,$DQ$2,$DP$4,$DP$5,$DP$6,$DP$7,$DP$8,$DQ$3)</f>
        <v>20100</v>
      </c>
      <c r="FK98" s="276">
        <f>_xll.LVCELL($EX$3,FK$3,$DP98,$DQ$2,$DP$4,$DP$5,$DP$6,$DP$7,$DP$8,$DQ$3)</f>
        <v>20100</v>
      </c>
      <c r="FN98" s="64" t="s">
        <v>824</v>
      </c>
      <c r="FO98" s="63" t="s">
        <v>824</v>
      </c>
      <c r="FP98" s="128" t="s">
        <v>2639</v>
      </c>
      <c r="FQ98" s="172">
        <f>_xll.LVCELL($FO$3,FQ$3,$DP98,$DQ$2,$DP$4,$DP$5,$DP$6,$DP$7,$DP$8,$DQ$3)</f>
        <v>6</v>
      </c>
      <c r="FR98" s="172">
        <f>_xll.LVCELL($FO$3,FR$3,$DP98,$DQ$2,$DP$4,$DP$5,$DP$6,$DP$7,$DP$8,$DQ$3)</f>
        <v>6</v>
      </c>
      <c r="FS98" s="172">
        <f>_xll.LVCELL($FO$3,FS$3,$DP98,$DQ$2,$DP$4,$DP$5,$DP$6,$DP$7,$DP$8,$DQ$3)</f>
        <v>6</v>
      </c>
      <c r="FT98" s="172">
        <f>_xll.LVCELL($FO$3,FT$3,$DP98,$DQ$2,$DP$4,$DP$5,$DP$6,$DP$7,$DP$8,$DQ$3)</f>
        <v>6</v>
      </c>
      <c r="FU98" s="172">
        <f>_xll.LVCELL($FO$3,FU$3,$DP98,$DQ$2,$DP$4,$DP$5,$DP$6,$DP$7,$DP$8,$DQ$3)</f>
        <v>6</v>
      </c>
      <c r="FV98" s="172">
        <f>_xll.LVCELL($FO$3,FV$3,$DP98,$DQ$2,$DP$4,$DP$5,$DP$6,$DP$7,$DP$8,$DQ$3)</f>
        <v>6</v>
      </c>
      <c r="FW98" s="172">
        <f>_xll.LVCELL($FO$3,FW$3,$DP98,$DQ$2,$DP$4,$DP$5,$DP$6,$DP$7,$DP$8,$DQ$3)</f>
        <v>6</v>
      </c>
      <c r="FX98" s="172">
        <f>_xll.LVCELL($FO$3,FX$3,$DP98,$DQ$2,$DP$4,$DP$5,$DP$6,$DP$7,$DP$8,$DQ$3)</f>
        <v>6</v>
      </c>
      <c r="FY98" s="172">
        <f>_xll.LVCELL($FO$3,FY$3,$DP98,$DQ$2,$DP$4,$DP$5,$DP$6,$DP$7,$DP$8,$DQ$3)</f>
        <v>6</v>
      </c>
      <c r="FZ98" s="172">
        <f>_xll.LVCELL($FO$3,FZ$3,$DP98,$DQ$2,$DP$4,$DP$5,$DP$6,$DP$7,$DP$8,$DQ$3)</f>
        <v>6</v>
      </c>
      <c r="GA98" s="172">
        <f>_xll.LVCELL($FO$3,GA$3,$DP98,$DQ$2,$DP$4,$DP$5,$DP$6,$DP$7,$DP$8,$DQ$3)</f>
        <v>6</v>
      </c>
      <c r="GB98" s="172">
        <f>_xll.LVCELL($FO$3,GB$3,$DP98,$DQ$2,$DP$4,$DP$5,$DP$6,$DP$7,$DP$8,$DQ$3)</f>
        <v>6</v>
      </c>
    </row>
    <row r="99" spans="2:185" ht="15">
      <c r="B99" s="64" t="s">
        <v>824</v>
      </c>
      <c r="C99" s="63" t="s">
        <v>824</v>
      </c>
      <c r="D99" s="128" t="s">
        <v>838</v>
      </c>
      <c r="E99" s="357">
        <f>_xll.LVCELL($C$3,Q$3,$C99,$D$2,$C$4,$C$5,$C$6,$C$7,$C$8,$D$3)/1000</f>
        <v>20.100000000000001</v>
      </c>
      <c r="F99" s="103">
        <f>'distribution mensuelle Prod B22'!$CM$36</f>
        <v>1839391.7274428878</v>
      </c>
      <c r="G99" s="103">
        <f>'distribution mensuelle Prod B22'!$CM$37</f>
        <v>1499493.7754331576</v>
      </c>
      <c r="H99" s="103">
        <f>'distribution mensuelle Prod B22'!$CM$38</f>
        <v>1445174.3193666493</v>
      </c>
      <c r="I99" s="103">
        <f>'distribution mensuelle Prod B22'!$CM$39</f>
        <v>1153580.0297871542</v>
      </c>
      <c r="J99" s="103">
        <f>'distribution mensuelle Prod B22'!$CM$40</f>
        <v>1067250.1711000132</v>
      </c>
      <c r="K99" s="103">
        <f>'distribution mensuelle Prod B22'!$CM$41</f>
        <v>858993.79027128639</v>
      </c>
      <c r="L99" s="103">
        <f>'distribution mensuelle Prod B22'!$CM$42</f>
        <v>822851.2739559745</v>
      </c>
      <c r="M99" s="103">
        <f>'distribution mensuelle Prod B22'!$CM$43</f>
        <v>824440.8602788623</v>
      </c>
      <c r="N99" s="103">
        <f>'distribution mensuelle Prod B22'!$CM$44</f>
        <v>1051282.458362584</v>
      </c>
      <c r="O99" s="103">
        <f>'distribution mensuelle Prod B22'!$CM$45</f>
        <v>1508757.7722821718</v>
      </c>
      <c r="P99" s="103">
        <f>'distribution mensuelle Prod B22'!$CM$46</f>
        <v>1532388.7059270102</v>
      </c>
      <c r="Q99" s="103">
        <f>'distribution mensuelle Prod B22'!$CM$47</f>
        <v>1782961.4129803618</v>
      </c>
      <c r="R99" s="67">
        <f t="shared" si="92"/>
        <v>15386566.297188114</v>
      </c>
      <c r="S99" s="386"/>
      <c r="W99" s="113" t="str">
        <f t="shared" si="93"/>
        <v>E5720</v>
      </c>
      <c r="X99" s="359" t="str">
        <f t="shared" si="94"/>
        <v>Basse Thiérache Nord 2</v>
      </c>
      <c r="Y99" s="299" cm="1">
        <f t="array" ref="Y99">_xll.LVCELL($D$4,F$1,$B99,$D$2,$C$4,$C$5,$C$6,$C$7,$C$8,$D$3)*1000+_xll.LVCELL($D$5,F$1,$B99,$D$2,$C$4,$C$5,$C$6,$C$7,$C$8,$D$3)*1000</f>
        <v>82.01323099999999</v>
      </c>
      <c r="Z99" s="299" cm="1">
        <f t="array" ref="Z99">_xll.LVCELL($D$4,G$1,$B99,$D$2,$C$4,$C$5,$C$6,$C$7,$C$8,$D$3)*1000+_xll.LVCELL($D$5,G$1,$B99,$D$2,$C$4,$C$5,$C$6,$C$7,$C$8,$D$3)*1000</f>
        <v>82.873746999999995</v>
      </c>
      <c r="AA99" s="299" cm="1">
        <f t="array" ref="AA99">_xll.LVCELL($D$4,H$1,$B99,$D$2,$C$4,$C$5,$C$6,$C$7,$C$8,$D$3)*1000+_xll.LVCELL($D$5,H$1,$B99,$D$2,$C$4,$C$5,$C$6,$C$7,$C$8,$D$3)*1000</f>
        <v>82.534790150083211</v>
      </c>
      <c r="AB99" s="299" cm="1">
        <f t="array" ref="AB99">_xll.LVCELL($D$4,I$1,$B99,$D$2,$C$4,$C$5,$C$6,$C$7,$C$8,$D$3)*1000+_xll.LVCELL($D$5,I$1,$B99,$D$2,$C$4,$C$5,$C$6,$C$7,$C$8,$D$3)*1000</f>
        <v>82.353157915107687</v>
      </c>
      <c r="AC99" s="299" cm="1">
        <f t="array" ref="AC99">_xll.LVCELL($D$4,J$1,$B99,$D$2,$C$4,$C$5,$C$6,$C$7,$C$8,$D$3)*1000+_xll.LVCELL($D$5,J$1,$B99,$D$2,$C$4,$C$5,$C$6,$C$7,$C$8,$D$3)*1000</f>
        <v>82.501267166419311</v>
      </c>
      <c r="AD99" s="299" cm="1">
        <f t="array" ref="AD99">_xll.LVCELL($D$4,K$1,$B99,$D$2,$C$4,$C$5,$C$6,$C$7,$C$8,$D$3)*1000+_xll.LVCELL($D$5,K$1,$B99,$D$2,$C$4,$C$5,$C$6,$C$7,$C$8,$D$3)*1000</f>
        <v>81.856188811188815</v>
      </c>
      <c r="AE99" s="299" cm="1">
        <f t="array" ref="AE99">_xll.LVCELL($D$4,L$1,$B99,$D$2,$C$4,$C$5,$C$6,$C$7,$C$8,$D$3)*1000+_xll.LVCELL($D$5,L$1,$B99,$D$2,$C$4,$C$5,$C$6,$C$7,$C$8,$D$3)*1000</f>
        <v>81.864609869843221</v>
      </c>
      <c r="AF99" s="411">
        <f>$AC$99</f>
        <v>82.501267166419311</v>
      </c>
      <c r="AG99" s="299">
        <f t="shared" si="141"/>
        <v>82.501267166419311</v>
      </c>
      <c r="AH99" s="411">
        <f t="shared" si="141"/>
        <v>82.501267166419311</v>
      </c>
      <c r="AI99" s="411">
        <f t="shared" si="146"/>
        <v>84.398796311246954</v>
      </c>
      <c r="AJ99" s="412">
        <f t="shared" si="147"/>
        <v>84.398796311246954</v>
      </c>
      <c r="AK99" s="414"/>
      <c r="AL99" s="134">
        <f t="shared" si="95"/>
        <v>2.3E-2</v>
      </c>
      <c r="AM99" s="134"/>
      <c r="AN99" s="134"/>
      <c r="AO99" s="134"/>
      <c r="AP99" s="113" t="str">
        <f t="shared" si="132"/>
        <v>E5720</v>
      </c>
      <c r="AQ99" s="573" t="str">
        <f t="shared" si="133"/>
        <v>Basse Thiérache Nord 2</v>
      </c>
      <c r="AR99" s="411">
        <v>4.2629899999999905</v>
      </c>
      <c r="AS99" s="411">
        <v>3.2929899999999916</v>
      </c>
      <c r="AT99" s="411">
        <v>15.512989999999991</v>
      </c>
      <c r="AU99" s="411">
        <v>29.902989999999999</v>
      </c>
      <c r="AV99" s="411">
        <v>39.222989999999996</v>
      </c>
      <c r="AW99" s="411">
        <v>34.07298999999999</v>
      </c>
      <c r="AX99" s="411">
        <v>32.012989999999995</v>
      </c>
      <c r="AY99" s="411">
        <v>35.732989999999994</v>
      </c>
      <c r="AZ99" s="411">
        <v>37.852989999999991</v>
      </c>
      <c r="BA99" s="411">
        <v>38.652989999999996</v>
      </c>
      <c r="BB99" s="411">
        <v>21.748368770000003</v>
      </c>
      <c r="BC99" s="412">
        <v>10.318368769999996</v>
      </c>
      <c r="BD99" s="414"/>
      <c r="BE99" s="134"/>
      <c r="BF99" s="134"/>
      <c r="BG99" s="134"/>
      <c r="BH99" s="134"/>
      <c r="BI99" s="113" t="str">
        <f t="shared" si="134"/>
        <v>E5720</v>
      </c>
      <c r="BJ99" s="573" t="str">
        <f t="shared" si="135"/>
        <v>Basse Thiérache Nord 2</v>
      </c>
      <c r="BK99" s="411">
        <v>80.12</v>
      </c>
      <c r="BL99" s="411">
        <v>81.09</v>
      </c>
      <c r="BM99" s="411">
        <v>68.87</v>
      </c>
      <c r="BN99" s="411">
        <v>54.48</v>
      </c>
      <c r="BO99" s="411">
        <v>45.16</v>
      </c>
      <c r="BP99" s="411">
        <v>50.31</v>
      </c>
      <c r="BQ99" s="411">
        <v>52.37</v>
      </c>
      <c r="BR99" s="411">
        <v>48.65</v>
      </c>
      <c r="BS99" s="411">
        <v>46.53</v>
      </c>
      <c r="BT99" s="411">
        <v>45.73</v>
      </c>
      <c r="BU99" s="411">
        <v>64.52</v>
      </c>
      <c r="BV99" s="412">
        <v>75.95</v>
      </c>
      <c r="BW99" s="414"/>
      <c r="BX99" s="134"/>
      <c r="BY99" s="134"/>
      <c r="BZ99" s="134"/>
      <c r="CA99" s="134"/>
      <c r="CB99" s="113" t="str">
        <f t="shared" si="99"/>
        <v>E5720</v>
      </c>
      <c r="CC99" s="373" t="str">
        <f t="shared" si="100"/>
        <v>Basse Thiérache Nord 2</v>
      </c>
      <c r="CD99" s="411">
        <f t="shared" si="136"/>
        <v>84.382989999999992</v>
      </c>
      <c r="CE99" s="411">
        <f t="shared" si="101"/>
        <v>84.382989999999992</v>
      </c>
      <c r="CF99" s="411">
        <f t="shared" si="102"/>
        <v>84.382989999999992</v>
      </c>
      <c r="CG99" s="411">
        <f t="shared" si="103"/>
        <v>84.382989999999992</v>
      </c>
      <c r="CH99" s="411">
        <f t="shared" si="104"/>
        <v>84.382989999999992</v>
      </c>
      <c r="CI99" s="411">
        <f t="shared" si="105"/>
        <v>84.382989999999992</v>
      </c>
      <c r="CJ99" s="411">
        <f t="shared" si="106"/>
        <v>84.382989999999992</v>
      </c>
      <c r="CK99" s="411">
        <f t="shared" si="107"/>
        <v>84.382989999999992</v>
      </c>
      <c r="CL99" s="411">
        <f t="shared" si="108"/>
        <v>84.382989999999992</v>
      </c>
      <c r="CM99" s="411">
        <f t="shared" si="109"/>
        <v>84.382989999999992</v>
      </c>
      <c r="CN99" s="411">
        <f t="shared" si="110"/>
        <v>86.268368769999995</v>
      </c>
      <c r="CO99" s="412">
        <f t="shared" si="111"/>
        <v>86.268368769999995</v>
      </c>
      <c r="CP99" s="414"/>
      <c r="CQ99" s="134">
        <f t="shared" si="112"/>
        <v>4.0000000000000001E-3</v>
      </c>
      <c r="CU99" s="113" t="str">
        <f t="shared" si="113"/>
        <v>E5720</v>
      </c>
      <c r="CV99" s="373" t="str">
        <f t="shared" si="114"/>
        <v>Basse Thiérache Nord 2</v>
      </c>
      <c r="CW99" s="384">
        <f t="shared" si="115"/>
        <v>155213.37374289593</v>
      </c>
      <c r="CX99" s="298">
        <f t="shared" si="116"/>
        <v>126531.76825743837</v>
      </c>
      <c r="CY99" s="298">
        <f t="shared" si="117"/>
        <v>121948.13013937276</v>
      </c>
      <c r="CZ99" s="298">
        <f t="shared" si="118"/>
        <v>97342.532117729119</v>
      </c>
      <c r="DA99" s="298">
        <f t="shared" si="119"/>
        <v>90057.760515430695</v>
      </c>
      <c r="DB99" s="298">
        <f t="shared" si="120"/>
        <v>72484.464414524045</v>
      </c>
      <c r="DC99" s="298">
        <f t="shared" si="121"/>
        <v>69434.650821714255</v>
      </c>
      <c r="DD99" s="298">
        <f t="shared" si="122"/>
        <v>69568.784868502626</v>
      </c>
      <c r="DE99" s="298">
        <f t="shared" si="123"/>
        <v>88710.357171185329</v>
      </c>
      <c r="DF99" s="298">
        <f t="shared" si="124"/>
        <v>127313.49201090877</v>
      </c>
      <c r="DG99" s="371">
        <f t="shared" si="125"/>
        <v>132196.67398189439</v>
      </c>
      <c r="DH99" s="372">
        <f t="shared" si="126"/>
        <v>153813.17267767011</v>
      </c>
      <c r="DI99" s="67">
        <f t="shared" si="127"/>
        <v>1304615.1607192666</v>
      </c>
      <c r="DJ99" s="364"/>
      <c r="DK99" s="82">
        <f t="shared" si="137"/>
        <v>1304615.1607192666</v>
      </c>
      <c r="DM99" s="518">
        <f t="shared" si="128"/>
        <v>84.789233381958923</v>
      </c>
      <c r="DO99" s="64" t="str">
        <f t="shared" si="129"/>
        <v>E5720</v>
      </c>
      <c r="DP99" s="107" t="str">
        <f t="shared" si="130"/>
        <v>E5720</v>
      </c>
      <c r="DQ99" s="128" t="str">
        <f t="shared" si="131"/>
        <v>Basse Thiérache Nord 2</v>
      </c>
      <c r="DR99" s="190">
        <f>_xll.LVCELL($DP$3,DR$3,$DP99,$DQ$2,$DP$4,$DP$5,$DP$6,$DP$7,$DP$8,$DQ$3)/100</f>
        <v>0.96999999999999986</v>
      </c>
      <c r="DS99" s="190">
        <f>_xll.LVCELL($DP$3,DS$3,$DP99,$DQ$2,$DP$4,$DP$5,$DP$6,$DP$7,$DP$8,$DQ$3)/100</f>
        <v>0.97</v>
      </c>
      <c r="DT99" s="190">
        <f>_xll.LVCELL($DP$3,DT$3,$DP99,$DQ$2,$DP$4,$DP$5,$DP$6,$DP$7,$DP$8,$DQ$3)/100</f>
        <v>0.96999999999999986</v>
      </c>
      <c r="DU99" s="190">
        <f>_xll.LVCELL($DP$3,DU$3,$DP99,$DQ$2,$DP$4,$DP$5,$DP$6,$DP$7,$DP$8,$DQ$3)/100</f>
        <v>0.97</v>
      </c>
      <c r="DV99" s="190">
        <f>_xll.LVCELL($DP$3,DV$3,$DP99,$DQ$2,$DP$4,$DP$5,$DP$6,$DP$7,$DP$8,$DQ$3)/100</f>
        <v>0.96999999999999986</v>
      </c>
      <c r="DW99" s="190">
        <f>_xll.LVCELL($DP$3,DW$3,$DP99,$DQ$2,$DP$4,$DP$5,$DP$6,$DP$7,$DP$8,$DQ$3)/100</f>
        <v>0.97</v>
      </c>
      <c r="DX99" s="190">
        <f>_xll.LVCELL($DP$3,DX$3,$DP99,$DQ$2,$DP$4,$DP$5,$DP$6,$DP$7,$DP$8,$DQ$3)/100</f>
        <v>0.96999999999999986</v>
      </c>
      <c r="DY99" s="190">
        <f>_xll.LVCELL($DP$3,DY$3,$DP99,$DQ$2,$DP$4,$DP$5,$DP$6,$DP$7,$DP$8,$DQ$3)/100</f>
        <v>0.96999999999999986</v>
      </c>
      <c r="DZ99" s="190">
        <f>_xll.LVCELL($DP$3,DZ$3,$DP99,$DQ$2,$DP$4,$DP$5,$DP$6,$DP$7,$DP$8,$DQ$3)/100</f>
        <v>0.97</v>
      </c>
      <c r="EA99" s="190">
        <f>_xll.LVCELL($DP$3,EA$3,$DP99,$DQ$2,$DP$4,$DP$5,$DP$6,$DP$7,$DP$8,$DQ$3)/100</f>
        <v>0.96999999999999986</v>
      </c>
      <c r="EB99" s="190">
        <f>_xll.LVCELL($DP$3,EB$3,$DP99,$DQ$2,$DP$4,$DP$5,$DP$6,$DP$7,$DP$8,$DQ$3)/100</f>
        <v>0.97</v>
      </c>
      <c r="EC99" s="190">
        <f>_xll.LVCELL($DP$3,EC$3,$DP99,$DQ$2,$DP$4,$DP$5,$DP$6,$DP$7,$DP$8,$DQ$3)/100</f>
        <v>0.96999999999999986</v>
      </c>
      <c r="ED99" s="582">
        <f t="shared" si="138"/>
        <v>11.64</v>
      </c>
      <c r="EF99" s="64" t="s">
        <v>824</v>
      </c>
      <c r="EG99" s="107"/>
      <c r="EH99" s="128"/>
      <c r="EI99" s="325"/>
      <c r="EJ99" s="182"/>
      <c r="EK99" s="327"/>
      <c r="EL99" s="182"/>
      <c r="EM99" s="327"/>
      <c r="EN99" s="182"/>
      <c r="EO99" s="368"/>
      <c r="EP99" s="367"/>
      <c r="EQ99" s="368"/>
      <c r="ER99" s="367"/>
      <c r="ES99" s="368"/>
      <c r="ET99" s="367"/>
      <c r="EW99" s="64" t="s">
        <v>824</v>
      </c>
      <c r="EX99" s="107"/>
      <c r="EY99" s="128"/>
      <c r="EZ99" s="172"/>
      <c r="FA99" s="172"/>
      <c r="FB99" s="172"/>
      <c r="FC99" s="172"/>
      <c r="FD99" s="172"/>
      <c r="FE99" s="172"/>
      <c r="FF99" s="172"/>
      <c r="FG99" s="172"/>
      <c r="FH99" s="172"/>
      <c r="FI99" s="172"/>
      <c r="FJ99" s="172"/>
      <c r="FK99" s="172"/>
      <c r="FN99" s="64" t="s">
        <v>824</v>
      </c>
      <c r="FO99" s="63"/>
      <c r="FP99" s="128"/>
      <c r="FQ99" s="172"/>
      <c r="FR99" s="172"/>
      <c r="FS99" s="172"/>
      <c r="FT99" s="172"/>
      <c r="FU99" s="172"/>
      <c r="FV99" s="172"/>
      <c r="FW99" s="172"/>
      <c r="FX99" s="172"/>
      <c r="FY99" s="172"/>
      <c r="FZ99" s="172"/>
      <c r="GA99" s="172"/>
      <c r="GB99" s="172"/>
    </row>
    <row r="100" spans="2:185" ht="15">
      <c r="B100" s="64" t="s">
        <v>826</v>
      </c>
      <c r="C100" s="63" t="s">
        <v>826</v>
      </c>
      <c r="D100" s="129" t="s">
        <v>839</v>
      </c>
      <c r="E100" s="357">
        <f>_xll.LVCELL($C$3,Q$3,$C100,$D$2,$C$4,$C$5,$C$6,$C$7,$C$8,$D$3)/1000</f>
        <v>23.1</v>
      </c>
      <c r="F100" s="103">
        <f>'distribution mensuelle Prod B22'!$CN$36</f>
        <v>2637796.262421967</v>
      </c>
      <c r="G100" s="103">
        <f>'distribution mensuelle Prod B22'!$CN$37</f>
        <v>2347950.2663055826</v>
      </c>
      <c r="H100" s="103">
        <f>'distribution mensuelle Prod B22'!$CN$38</f>
        <v>2355313.178022346</v>
      </c>
      <c r="I100" s="103">
        <f>'distribution mensuelle Prod B22'!$CN$39</f>
        <v>2037471.7413503265</v>
      </c>
      <c r="J100" s="103">
        <f>'distribution mensuelle Prod B22'!$CN$40</f>
        <v>1751565.433229259</v>
      </c>
      <c r="K100" s="103">
        <f>'distribution mensuelle Prod B22'!$CN$41</f>
        <v>1428179.3586513093</v>
      </c>
      <c r="L100" s="103">
        <f>'distribution mensuelle Prod B22'!$CN$42</f>
        <v>1403010.0341734565</v>
      </c>
      <c r="M100" s="103">
        <f>'distribution mensuelle Prod B22'!$CN$43</f>
        <v>1245968.5906428199</v>
      </c>
      <c r="N100" s="103">
        <f>'distribution mensuelle Prod B22'!$CN$44</f>
        <v>1575984.8872300065</v>
      </c>
      <c r="O100" s="103">
        <f>'distribution mensuelle Prod B22'!$CN$45</f>
        <v>2019206.1860756788</v>
      </c>
      <c r="P100" s="103">
        <f>'distribution mensuelle Prod B22'!$CN$46</f>
        <v>2479034.9662264967</v>
      </c>
      <c r="Q100" s="103">
        <f>'distribution mensuelle Prod B22'!$CN$47</f>
        <v>2610505.523759631</v>
      </c>
      <c r="R100" s="67">
        <f t="shared" si="92"/>
        <v>23891986.428088877</v>
      </c>
      <c r="S100" s="387"/>
      <c r="W100" s="113" t="str">
        <f t="shared" si="93"/>
        <v>E5710</v>
      </c>
      <c r="X100" s="359" t="str">
        <f t="shared" si="94"/>
        <v xml:space="preserve">Sources de l'Ancre 1 </v>
      </c>
      <c r="Y100" s="299" cm="1">
        <f t="array" ref="Y100">_xll.LVCELL($D$4,F$1,$B100,$D$2,$C$4,$C$5,$C$6,$C$7,$C$8,$D$3)*1000+_xll.LVCELL($D$5,F$1,$B100,$D$2,$C$4,$C$5,$C$6,$C$7,$C$8,$D$3)*1000</f>
        <v>83.958402000000007</v>
      </c>
      <c r="Z100" s="299" cm="1">
        <f t="array" ref="Z100">_xll.LVCELL($D$4,G$1,$B100,$D$2,$C$4,$C$5,$C$6,$C$7,$C$8,$D$3)*1000+_xll.LVCELL($D$5,G$1,$B100,$D$2,$C$4,$C$5,$C$6,$C$7,$C$8,$D$3)*1000</f>
        <v>84.186290999999997</v>
      </c>
      <c r="AA100" s="299" cm="1">
        <f t="array" ref="AA100">_xll.LVCELL($D$4,H$1,$B100,$D$2,$C$4,$C$5,$C$6,$C$7,$C$8,$D$3)*1000+_xll.LVCELL($D$5,H$1,$B100,$D$2,$C$4,$C$5,$C$6,$C$7,$C$8,$D$3)*1000</f>
        <v>84.027523450410342</v>
      </c>
      <c r="AB100" s="299" cm="1">
        <f t="array" ref="AB100">_xll.LVCELL($D$4,I$1,$B100,$D$2,$C$4,$C$5,$C$6,$C$7,$C$8,$D$3)*1000+_xll.LVCELL($D$5,I$1,$B100,$D$2,$C$4,$C$5,$C$6,$C$7,$C$8,$D$3)*1000</f>
        <v>104.76222970925019</v>
      </c>
      <c r="AC100" s="299" cm="1">
        <f t="array" ref="AC100">_xll.LVCELL($D$4,J$1,$B100,$D$2,$C$4,$C$5,$C$6,$C$7,$C$8,$D$3)*1000+_xll.LVCELL($D$5,J$1,$B100,$D$2,$C$4,$C$5,$C$6,$C$7,$C$8,$D$3)*1000</f>
        <v>83.990627363337353</v>
      </c>
      <c r="AD100" s="299" cm="1">
        <f t="array" ref="AD100">_xll.LVCELL($D$4,K$1,$B100,$D$2,$C$4,$C$5,$C$6,$C$7,$C$8,$D$3)*1000+_xll.LVCELL($D$5,K$1,$B100,$D$2,$C$4,$C$5,$C$6,$C$7,$C$8,$D$3)*1000</f>
        <v>83.103869318181808</v>
      </c>
      <c r="AE100" s="299" cm="1">
        <f t="array" ref="AE100">_xll.LVCELL($D$4,L$1,$B100,$D$2,$C$4,$C$5,$C$6,$C$7,$C$8,$D$3)*1000+_xll.LVCELL($D$5,L$1,$B100,$D$2,$C$4,$C$5,$C$6,$C$7,$C$8,$D$3)*1000</f>
        <v>71.811249697814588</v>
      </c>
      <c r="AF100" s="411">
        <v>84.46</v>
      </c>
      <c r="AG100" s="299">
        <f t="shared" si="141"/>
        <v>84.46</v>
      </c>
      <c r="AH100" s="411">
        <f t="shared" si="141"/>
        <v>84.46</v>
      </c>
      <c r="AI100" s="411">
        <f t="shared" si="146"/>
        <v>86.40258</v>
      </c>
      <c r="AJ100" s="412">
        <f t="shared" si="147"/>
        <v>86.40258</v>
      </c>
      <c r="AK100" s="414"/>
      <c r="AL100" s="134">
        <f t="shared" si="95"/>
        <v>2.3E-2</v>
      </c>
      <c r="AM100" s="134"/>
      <c r="AN100" s="134"/>
      <c r="AO100" s="134"/>
      <c r="AP100" s="113" t="str">
        <f t="shared" si="132"/>
        <v>E5710</v>
      </c>
      <c r="AQ100" s="573" t="str">
        <f t="shared" si="133"/>
        <v xml:space="preserve">Sources de l'Ancre 1 </v>
      </c>
      <c r="AR100" s="411">
        <v>5.8690999999999915</v>
      </c>
      <c r="AS100" s="411">
        <v>4.8990999999999927</v>
      </c>
      <c r="AT100" s="411">
        <v>17.119099999999992</v>
      </c>
      <c r="AU100" s="411">
        <v>31.5091</v>
      </c>
      <c r="AV100" s="411">
        <v>40.829099999999997</v>
      </c>
      <c r="AW100" s="411">
        <v>35.679099999999991</v>
      </c>
      <c r="AX100" s="411">
        <v>33.619099999999996</v>
      </c>
      <c r="AY100" s="411">
        <v>37.339099999999995</v>
      </c>
      <c r="AZ100" s="411">
        <v>39.459099999999992</v>
      </c>
      <c r="BA100" s="411">
        <v>40.259099999999997</v>
      </c>
      <c r="BB100" s="411">
        <v>23.391419299999999</v>
      </c>
      <c r="BC100" s="412">
        <v>11.961419299999992</v>
      </c>
      <c r="BD100" s="414"/>
      <c r="BE100" s="134"/>
      <c r="BF100" s="134"/>
      <c r="BG100" s="134"/>
      <c r="BH100" s="134"/>
      <c r="BI100" s="113" t="str">
        <f t="shared" si="134"/>
        <v>E5710</v>
      </c>
      <c r="BJ100" s="573" t="str">
        <f t="shared" si="135"/>
        <v xml:space="preserve">Sources de l'Ancre 1 </v>
      </c>
      <c r="BK100" s="411">
        <v>80.03</v>
      </c>
      <c r="BL100" s="411">
        <v>81</v>
      </c>
      <c r="BM100" s="411">
        <v>68.78</v>
      </c>
      <c r="BN100" s="411">
        <v>54.39</v>
      </c>
      <c r="BO100" s="411">
        <v>45.07</v>
      </c>
      <c r="BP100" s="411">
        <v>50.220000000000006</v>
      </c>
      <c r="BQ100" s="411">
        <v>52.28</v>
      </c>
      <c r="BR100" s="411">
        <v>48.56</v>
      </c>
      <c r="BS100" s="411">
        <v>46.440000000000005</v>
      </c>
      <c r="BT100" s="411">
        <v>45.64</v>
      </c>
      <c r="BU100" s="411">
        <v>64.429999999999993</v>
      </c>
      <c r="BV100" s="412">
        <v>75.86</v>
      </c>
      <c r="BW100" s="414"/>
      <c r="BX100" s="134"/>
      <c r="BY100" s="134"/>
      <c r="BZ100" s="134"/>
      <c r="CA100" s="134"/>
      <c r="CB100" s="113" t="str">
        <f t="shared" si="99"/>
        <v>E5710</v>
      </c>
      <c r="CC100" s="373" t="str">
        <f t="shared" si="100"/>
        <v xml:space="preserve">Sources de l'Ancre 1 </v>
      </c>
      <c r="CD100" s="411">
        <f t="shared" si="136"/>
        <v>85.89909999999999</v>
      </c>
      <c r="CE100" s="411">
        <f t="shared" si="101"/>
        <v>85.89909999999999</v>
      </c>
      <c r="CF100" s="411">
        <f t="shared" si="102"/>
        <v>85.89909999999999</v>
      </c>
      <c r="CG100" s="411">
        <f t="shared" si="103"/>
        <v>85.899100000000004</v>
      </c>
      <c r="CH100" s="411">
        <f t="shared" si="104"/>
        <v>85.899100000000004</v>
      </c>
      <c r="CI100" s="411">
        <f t="shared" si="105"/>
        <v>85.899100000000004</v>
      </c>
      <c r="CJ100" s="411">
        <f t="shared" si="106"/>
        <v>85.899100000000004</v>
      </c>
      <c r="CK100" s="411">
        <f t="shared" si="107"/>
        <v>85.899100000000004</v>
      </c>
      <c r="CL100" s="411">
        <f t="shared" si="108"/>
        <v>85.899100000000004</v>
      </c>
      <c r="CM100" s="411">
        <f t="shared" si="109"/>
        <v>85.899100000000004</v>
      </c>
      <c r="CN100" s="411">
        <f t="shared" si="110"/>
        <v>87.821419299999988</v>
      </c>
      <c r="CO100" s="412">
        <f t="shared" si="111"/>
        <v>87.821419299999988</v>
      </c>
      <c r="CP100" s="414"/>
      <c r="CQ100" s="134">
        <f t="shared" si="112"/>
        <v>4.0000000000000001E-3</v>
      </c>
      <c r="CU100" s="113" t="str">
        <f t="shared" si="113"/>
        <v>E5710</v>
      </c>
      <c r="CV100" s="373" t="str">
        <f t="shared" si="114"/>
        <v xml:space="preserve">Sources de l'Ancre 1 </v>
      </c>
      <c r="CW100" s="384">
        <f t="shared" si="115"/>
        <v>226584.32492541076</v>
      </c>
      <c r="CX100" s="298">
        <f t="shared" si="116"/>
        <v>201686.81472040986</v>
      </c>
      <c r="CY100" s="298">
        <f t="shared" si="117"/>
        <v>202319.28221025929</v>
      </c>
      <c r="CZ100" s="298">
        <f t="shared" si="118"/>
        <v>175016.98885742584</v>
      </c>
      <c r="DA100" s="298">
        <f t="shared" si="119"/>
        <v>150457.89430550346</v>
      </c>
      <c r="DB100" s="298">
        <f t="shared" si="120"/>
        <v>122679.32154672469</v>
      </c>
      <c r="DC100" s="298">
        <f t="shared" si="121"/>
        <v>120517.29922646917</v>
      </c>
      <c r="DD100" s="298">
        <f t="shared" si="122"/>
        <v>107027.58056448666</v>
      </c>
      <c r="DE100" s="298">
        <f t="shared" si="123"/>
        <v>135375.68342665906</v>
      </c>
      <c r="DF100" s="298">
        <f t="shared" si="124"/>
        <v>173447.99409833335</v>
      </c>
      <c r="DG100" s="371">
        <f t="shared" si="125"/>
        <v>217712.3692283385</v>
      </c>
      <c r="DH100" s="372">
        <f t="shared" si="126"/>
        <v>229258.30018706064</v>
      </c>
      <c r="DI100" s="67">
        <f t="shared" si="127"/>
        <v>2062083.8532970813</v>
      </c>
      <c r="DJ100" s="364">
        <f>_xll.LVCELL($E$1,Q$2,$C100,$D$2,$C$4,$C$5,$C$6,$C$7,$C$8,$D$3)+_xll.LVCELL($E$2,Q$2,$C100,$D$2,$C$4,$C$5,$C$6,$C$7,$C$8,$D$3)</f>
        <v>4852295.9626430664</v>
      </c>
      <c r="DK100" s="82">
        <f t="shared" si="137"/>
        <v>-2790212.1093459851</v>
      </c>
      <c r="DM100" s="518">
        <f t="shared" si="128"/>
        <v>86.308598052473755</v>
      </c>
      <c r="DO100" s="64" t="str">
        <f t="shared" si="129"/>
        <v>E5710</v>
      </c>
      <c r="DP100" s="107" t="str">
        <f t="shared" si="130"/>
        <v>E5710</v>
      </c>
      <c r="DQ100" s="129" t="str">
        <f t="shared" si="131"/>
        <v xml:space="preserve">Sources de l'Ancre 1 </v>
      </c>
      <c r="DR100" s="190">
        <f>_xll.LVCELL($DP$3,DR$3,$DP100,$DQ$2,$DP$4,$DP$5,$DP$6,$DP$7,$DP$8,$DQ$3)/100</f>
        <v>0.96999999999999986</v>
      </c>
      <c r="DS100" s="190">
        <f>_xll.LVCELL($DP$3,DS$3,$DP100,$DQ$2,$DP$4,$DP$5,$DP$6,$DP$7,$DP$8,$DQ$3)/100</f>
        <v>0.97</v>
      </c>
      <c r="DT100" s="190">
        <f>_xll.LVCELL($DP$3,DT$3,$DP100,$DQ$2,$DP$4,$DP$5,$DP$6,$DP$7,$DP$8,$DQ$3)/100</f>
        <v>0.96999999999999986</v>
      </c>
      <c r="DU100" s="190">
        <f>_xll.LVCELL($DP$3,DU$3,$DP100,$DQ$2,$DP$4,$DP$5,$DP$6,$DP$7,$DP$8,$DQ$3)/100</f>
        <v>0.97</v>
      </c>
      <c r="DV100" s="190">
        <f>_xll.LVCELL($DP$3,DV$3,$DP100,$DQ$2,$DP$4,$DP$5,$DP$6,$DP$7,$DP$8,$DQ$3)/100</f>
        <v>0.96999999999999986</v>
      </c>
      <c r="DW100" s="190">
        <f>_xll.LVCELL($DP$3,DW$3,$DP100,$DQ$2,$DP$4,$DP$5,$DP$6,$DP$7,$DP$8,$DQ$3)/100</f>
        <v>0.97</v>
      </c>
      <c r="DX100" s="190">
        <f>_xll.LVCELL($DP$3,DX$3,$DP100,$DQ$2,$DP$4,$DP$5,$DP$6,$DP$7,$DP$8,$DQ$3)/100</f>
        <v>0.96999999999999986</v>
      </c>
      <c r="DY100" s="190">
        <f>_xll.LVCELL($DP$3,DY$3,$DP100,$DQ$2,$DP$4,$DP$5,$DP$6,$DP$7,$DP$8,$DQ$3)/100</f>
        <v>0.96999999999999986</v>
      </c>
      <c r="DZ100" s="190">
        <f>_xll.LVCELL($DP$3,DZ$3,$DP100,$DQ$2,$DP$4,$DP$5,$DP$6,$DP$7,$DP$8,$DQ$3)/100</f>
        <v>0.97</v>
      </c>
      <c r="EA100" s="190">
        <f>_xll.LVCELL($DP$3,EA$3,$DP100,$DQ$2,$DP$4,$DP$5,$DP$6,$DP$7,$DP$8,$DQ$3)/100</f>
        <v>0.96999999999999986</v>
      </c>
      <c r="EB100" s="190">
        <f>_xll.LVCELL($DP$3,EB$3,$DP100,$DQ$2,$DP$4,$DP$5,$DP$6,$DP$7,$DP$8,$DQ$3)/100</f>
        <v>0.97</v>
      </c>
      <c r="EC100" s="190">
        <f>_xll.LVCELL($DP$3,EC$3,$DP100,$DQ$2,$DP$4,$DP$5,$DP$6,$DP$7,$DP$8,$DQ$3)/100</f>
        <v>0.96999999999999986</v>
      </c>
      <c r="ED100" s="582">
        <f t="shared" si="138"/>
        <v>11.64</v>
      </c>
      <c r="EF100" s="64" t="s">
        <v>826</v>
      </c>
      <c r="EG100" s="107" t="s">
        <v>826</v>
      </c>
      <c r="EH100" s="129" t="s">
        <v>2640</v>
      </c>
      <c r="EI100" s="325" t="e">
        <f ca="1">_xll.LVCELL($EG$3,EI$3,$DP100,$DQ$2,$DP$4,$DP$5,$DP$6,$DP$7,$DP$8,$DQ$3)-CW100-CW101</f>
        <v>#NAME?</v>
      </c>
      <c r="EJ100" s="367" t="e">
        <f ca="1">_xll.LVCELL($EG$3,EJ$3,$DP100,$DQ$2,$DP$4,$DP$5,$DP$6,$DP$7,$DP$8,$DQ$3)-CX100-CX101</f>
        <v>#NAME?</v>
      </c>
      <c r="EK100" s="368" t="e">
        <f ca="1">_xll.LVCELL($EG$3,EK$3,$DP100,$DQ$2,$DP$4,$DP$5,$DP$6,$DP$7,$DP$8,$DQ$3)-CY100-CY101</f>
        <v>#NAME?</v>
      </c>
      <c r="EL100" s="367" t="e">
        <f ca="1">_xll.LVCELL($EG$3,EL$3,$DP100,$DQ$2,$DP$4,$DP$5,$DP$6,$DP$7,$DP$8,$DQ$3)-CZ100-CZ101</f>
        <v>#NAME?</v>
      </c>
      <c r="EM100" s="368" t="e">
        <f ca="1">_xll.LVCELL($EG$3,EM$3,$DP100,$DQ$2,$DP$4,$DP$5,$DP$6,$DP$7,$DP$8,$DQ$3)-DA100-DA101</f>
        <v>#NAME?</v>
      </c>
      <c r="EN100" s="367" t="e">
        <f ca="1">_xll.LVCELL($EG$3,EN$3,$DP100,$DQ$2,$DP$4,$DP$5,$DP$6,$DP$7,$DP$8,$DQ$3)-DB100-DB101</f>
        <v>#NAME?</v>
      </c>
      <c r="EO100" s="368" t="e">
        <f ca="1">_xll.LVCELL($EG$3,EO$3,$DP100,$DQ$2,$DP$4,$DP$5,$DP$6,$DP$7,$DP$8,$DQ$3)-DC100-DC101</f>
        <v>#NAME?</v>
      </c>
      <c r="EP100" s="367" t="e">
        <f ca="1">_xll.LVCELL($EG$3,EP$3,$DP100,$DQ$2,$DP$4,$DP$5,$DP$6,$DP$7,$DP$8,$DQ$3)-DD100-DD101</f>
        <v>#NAME?</v>
      </c>
      <c r="EQ100" s="368" t="e">
        <f ca="1">_xll.LVCELL($EG$3,EQ$3,$DP100,$DQ$2,$DP$4,$DP$5,$DP$6,$DP$7,$DP$8,$DQ$3)-DE100-DE101</f>
        <v>#NAME?</v>
      </c>
      <c r="ER100" s="367" t="e">
        <f ca="1">_xll.LVCELL($EG$3,ER$3,$DP100,$DQ$2,$DP$4,$DP$5,$DP$6,$DP$7,$DP$8,$DQ$3)-DF100-DF101</f>
        <v>#NAME?</v>
      </c>
      <c r="ES100" s="368" t="e">
        <f ca="1">_xll.LVCELL($EG$3,ES$3,$DP100,$DQ$2,$DP$4,$DP$5,$DP$6,$DP$7,$DP$8,$DQ$3)-DG100-DG101</f>
        <v>#NAME?</v>
      </c>
      <c r="ET100" s="367" t="e">
        <f ca="1">_xll.LVCELL($EG$3,ET$3,$DP100,$DQ$2,$DP$4,$DP$5,$DP$6,$DP$7,$DP$8,$DQ$3)-DH100-DH101</f>
        <v>#NAME?</v>
      </c>
      <c r="EW100" s="64" t="s">
        <v>826</v>
      </c>
      <c r="EX100" s="107" t="s">
        <v>826</v>
      </c>
      <c r="EY100" s="129" t="s">
        <v>2640</v>
      </c>
      <c r="EZ100" s="172">
        <f>_xll.LVCELL($EX$3,EZ$3,$DP100,$DQ$2,$DP$4,$DP$5,$DP$6,$DP$7,$DP$8,$DQ$3)</f>
        <v>23100</v>
      </c>
      <c r="FA100" s="172">
        <f>_xll.LVCELL($EX$3,FA$3,$DP100,$DQ$2,$DP$4,$DP$5,$DP$6,$DP$7,$DP$8,$DQ$3)</f>
        <v>23100</v>
      </c>
      <c r="FB100" s="172">
        <f>_xll.LVCELL($EX$3,FB$3,$DP100,$DQ$2,$DP$4,$DP$5,$DP$6,$DP$7,$DP$8,$DQ$3)</f>
        <v>23100</v>
      </c>
      <c r="FC100" s="172">
        <f>_xll.LVCELL($EX$3,FC$3,$DP100,$DQ$2,$DP$4,$DP$5,$DP$6,$DP$7,$DP$8,$DQ$3)</f>
        <v>23100</v>
      </c>
      <c r="FD100" s="172">
        <f>_xll.LVCELL($EX$3,FD$3,$DP100,$DQ$2,$DP$4,$DP$5,$DP$6,$DP$7,$DP$8,$DQ$3)</f>
        <v>23100</v>
      </c>
      <c r="FE100" s="172">
        <f>_xll.LVCELL($EX$3,FE$3,$DP100,$DQ$2,$DP$4,$DP$5,$DP$6,$DP$7,$DP$8,$DQ$3)</f>
        <v>23100</v>
      </c>
      <c r="FF100" s="172">
        <f>_xll.LVCELL($EX$3,FF$3,$DP100,$DQ$2,$DP$4,$DP$5,$DP$6,$DP$7,$DP$8,$DQ$3)</f>
        <v>23100</v>
      </c>
      <c r="FG100" s="172">
        <f>_xll.LVCELL($EX$3,FG$3,$DP100,$DQ$2,$DP$4,$DP$5,$DP$6,$DP$7,$DP$8,$DQ$3)</f>
        <v>23100</v>
      </c>
      <c r="FH100" s="172">
        <f>_xll.LVCELL($EX$3,FH$3,$DP100,$DQ$2,$DP$4,$DP$5,$DP$6,$DP$7,$DP$8,$DQ$3)</f>
        <v>23100</v>
      </c>
      <c r="FI100" s="172">
        <f>_xll.LVCELL($EX$3,FI$3,$DP100,$DQ$2,$DP$4,$DP$5,$DP$6,$DP$7,$DP$8,$DQ$3)</f>
        <v>23100</v>
      </c>
      <c r="FJ100" s="172">
        <f>_xll.LVCELL($EX$3,FJ$3,$DP100,$DQ$2,$DP$4,$DP$5,$DP$6,$DP$7,$DP$8,$DQ$3)</f>
        <v>23100</v>
      </c>
      <c r="FK100" s="276">
        <f>_xll.LVCELL($EX$3,FK$3,$DP100,$DQ$2,$DP$4,$DP$5,$DP$6,$DP$7,$DP$8,$DQ$3)</f>
        <v>23100</v>
      </c>
      <c r="FN100" s="64" t="s">
        <v>826</v>
      </c>
      <c r="FO100" s="63" t="s">
        <v>826</v>
      </c>
      <c r="FP100" s="129" t="s">
        <v>2640</v>
      </c>
      <c r="FQ100" s="172">
        <f>_xll.LVCELL($FO$3,FQ$3,$DP100,$DQ$2,$DP$4,$DP$5,$DP$6,$DP$7,$DP$8,$DQ$3)</f>
        <v>7</v>
      </c>
      <c r="FR100" s="172">
        <f>_xll.LVCELL($FO$3,FR$3,$DP100,$DQ$2,$DP$4,$DP$5,$DP$6,$DP$7,$DP$8,$DQ$3)</f>
        <v>7</v>
      </c>
      <c r="FS100" s="172">
        <f>_xll.LVCELL($FO$3,FS$3,$DP100,$DQ$2,$DP$4,$DP$5,$DP$6,$DP$7,$DP$8,$DQ$3)</f>
        <v>7</v>
      </c>
      <c r="FT100" s="172">
        <f>_xll.LVCELL($FO$3,FT$3,$DP100,$DQ$2,$DP$4,$DP$5,$DP$6,$DP$7,$DP$8,$DQ$3)</f>
        <v>7</v>
      </c>
      <c r="FU100" s="172">
        <f>_xll.LVCELL($FO$3,FU$3,$DP100,$DQ$2,$DP$4,$DP$5,$DP$6,$DP$7,$DP$8,$DQ$3)</f>
        <v>7</v>
      </c>
      <c r="FV100" s="172">
        <f>_xll.LVCELL($FO$3,FV$3,$DP100,$DQ$2,$DP$4,$DP$5,$DP$6,$DP$7,$DP$8,$DQ$3)</f>
        <v>7</v>
      </c>
      <c r="FW100" s="172">
        <f>_xll.LVCELL($FO$3,FW$3,$DP100,$DQ$2,$DP$4,$DP$5,$DP$6,$DP$7,$DP$8,$DQ$3)</f>
        <v>7</v>
      </c>
      <c r="FX100" s="172">
        <f>_xll.LVCELL($FO$3,FX$3,$DP100,$DQ$2,$DP$4,$DP$5,$DP$6,$DP$7,$DP$8,$DQ$3)</f>
        <v>7</v>
      </c>
      <c r="FY100" s="172">
        <f>_xll.LVCELL($FO$3,FY$3,$DP100,$DQ$2,$DP$4,$DP$5,$DP$6,$DP$7,$DP$8,$DQ$3)</f>
        <v>7</v>
      </c>
      <c r="FZ100" s="172">
        <f>_xll.LVCELL($FO$3,FZ$3,$DP100,$DQ$2,$DP$4,$DP$5,$DP$6,$DP$7,$DP$8,$DQ$3)</f>
        <v>7</v>
      </c>
      <c r="GA100" s="172">
        <f>_xll.LVCELL($FO$3,GA$3,$DP100,$DQ$2,$DP$4,$DP$5,$DP$6,$DP$7,$DP$8,$DQ$3)</f>
        <v>7</v>
      </c>
      <c r="GB100" s="172">
        <f>_xll.LVCELL($FO$3,GB$3,$DP100,$DQ$2,$DP$4,$DP$5,$DP$6,$DP$7,$DP$8,$DQ$3)</f>
        <v>7</v>
      </c>
    </row>
    <row r="101" spans="2:185" ht="15">
      <c r="B101" s="64" t="s">
        <v>826</v>
      </c>
      <c r="C101" s="63" t="s">
        <v>826</v>
      </c>
      <c r="D101" s="129" t="s">
        <v>840</v>
      </c>
      <c r="E101" s="357">
        <f>_xll.LVCELL($C$3,Q$3,$C101,$D$2,$C$4,$C$5,$C$6,$C$7,$C$8,$D$3)/1000</f>
        <v>23.1</v>
      </c>
      <c r="F101" s="103">
        <f>'distribution mensuelle Prod B22'!$CO$36</f>
        <v>3569210.4853902822</v>
      </c>
      <c r="G101" s="103">
        <f>'distribution mensuelle Prod B22'!$CO$37</f>
        <v>3177018.9491352737</v>
      </c>
      <c r="H101" s="103">
        <f>'distribution mensuelle Prod B22'!$CO$38</f>
        <v>3186981.7283221488</v>
      </c>
      <c r="I101" s="103">
        <f>'distribution mensuelle Prod B22'!$CO$39</f>
        <v>2756909.4726962871</v>
      </c>
      <c r="J101" s="103">
        <f>'distribution mensuelle Prod B22'!$CO$40</f>
        <v>2370048.7407578868</v>
      </c>
      <c r="K101" s="103">
        <f>'distribution mensuelle Prod B22'!$CO$41</f>
        <v>1932474.0180031315</v>
      </c>
      <c r="L101" s="103">
        <f>'distribution mensuelle Prod B22'!$CO$42</f>
        <v>1898417.3252568699</v>
      </c>
      <c r="M101" s="103">
        <f>'distribution mensuelle Prod B22'!$CO$43</f>
        <v>1685924.0501410265</v>
      </c>
      <c r="N101" s="103">
        <f>'distribution mensuelle Prod B22'!$CO$44</f>
        <v>2132470.1473165285</v>
      </c>
      <c r="O101" s="103">
        <f>'distribution mensuelle Prod B22'!$CO$45</f>
        <v>2732194.2919461681</v>
      </c>
      <c r="P101" s="103">
        <f>'distribution mensuelle Prod B22'!$CO$46</f>
        <v>3354390.0721811373</v>
      </c>
      <c r="Q101" s="103">
        <f>'distribution mensuelle Prod B22'!$CO$47</f>
        <v>3532283.3003853951</v>
      </c>
      <c r="R101" s="67">
        <f t="shared" si="92"/>
        <v>32328322.581532136</v>
      </c>
      <c r="S101" s="387"/>
      <c r="W101" s="113" t="str">
        <f t="shared" si="93"/>
        <v>E5710</v>
      </c>
      <c r="X101" s="359" t="str">
        <f t="shared" si="94"/>
        <v>Sources de l'Ancre 2</v>
      </c>
      <c r="Y101" s="299" cm="1">
        <f t="array" ref="Y101">_xll.LVCELL($D$4,F$1,$B101,$D$2,$C$4,$C$5,$C$6,$C$7,$C$8,$D$3)*1000+_xll.LVCELL($D$5,F$1,$B101,$D$2,$C$4,$C$5,$C$6,$C$7,$C$8,$D$3)*1000</f>
        <v>83.958402000000007</v>
      </c>
      <c r="Z101" s="299" cm="1">
        <f t="array" ref="Z101">_xll.LVCELL($D$4,G$1,$B101,$D$2,$C$4,$C$5,$C$6,$C$7,$C$8,$D$3)*1000+_xll.LVCELL($D$5,G$1,$B101,$D$2,$C$4,$C$5,$C$6,$C$7,$C$8,$D$3)*1000</f>
        <v>84.186290999999997</v>
      </c>
      <c r="AA101" s="299" cm="1">
        <f t="array" ref="AA101">_xll.LVCELL($D$4,H$1,$B101,$D$2,$C$4,$C$5,$C$6,$C$7,$C$8,$D$3)*1000+_xll.LVCELL($D$5,H$1,$B101,$D$2,$C$4,$C$5,$C$6,$C$7,$C$8,$D$3)*1000</f>
        <v>84.027523450410342</v>
      </c>
      <c r="AB101" s="299" cm="1">
        <f t="array" ref="AB101">_xll.LVCELL($D$4,I$1,$B101,$D$2,$C$4,$C$5,$C$6,$C$7,$C$8,$D$3)*1000+_xll.LVCELL($D$5,I$1,$B101,$D$2,$C$4,$C$5,$C$6,$C$7,$C$8,$D$3)*1000</f>
        <v>104.76222970925019</v>
      </c>
      <c r="AC101" s="299" cm="1">
        <f t="array" ref="AC101">_xll.LVCELL($D$4,J$1,$B101,$D$2,$C$4,$C$5,$C$6,$C$7,$C$8,$D$3)*1000+_xll.LVCELL($D$5,J$1,$B101,$D$2,$C$4,$C$5,$C$6,$C$7,$C$8,$D$3)*1000</f>
        <v>83.990627363337353</v>
      </c>
      <c r="AD101" s="299" cm="1">
        <f t="array" ref="AD101">_xll.LVCELL($D$4,K$1,$B101,$D$2,$C$4,$C$5,$C$6,$C$7,$C$8,$D$3)*1000+_xll.LVCELL($D$5,K$1,$B101,$D$2,$C$4,$C$5,$C$6,$C$7,$C$8,$D$3)*1000</f>
        <v>83.103869318181808</v>
      </c>
      <c r="AE101" s="299" cm="1">
        <f t="array" ref="AE101">_xll.LVCELL($D$4,L$1,$B101,$D$2,$C$4,$C$5,$C$6,$C$7,$C$8,$D$3)*1000+_xll.LVCELL($D$5,L$1,$B101,$D$2,$C$4,$C$5,$C$6,$C$7,$C$8,$D$3)*1000</f>
        <v>71.811249697814588</v>
      </c>
      <c r="AF101" s="411">
        <v>84.46</v>
      </c>
      <c r="AG101" s="299">
        <f t="shared" si="141"/>
        <v>84.46</v>
      </c>
      <c r="AH101" s="411">
        <f t="shared" si="141"/>
        <v>84.46</v>
      </c>
      <c r="AI101" s="411">
        <f t="shared" si="146"/>
        <v>86.40258</v>
      </c>
      <c r="AJ101" s="412">
        <f t="shared" si="147"/>
        <v>86.40258</v>
      </c>
      <c r="AK101" s="414"/>
      <c r="AL101" s="134">
        <f t="shared" si="95"/>
        <v>2.3E-2</v>
      </c>
      <c r="AM101" s="134"/>
      <c r="AN101" s="134"/>
      <c r="AO101" s="134"/>
      <c r="AP101" s="113" t="str">
        <f t="shared" si="132"/>
        <v>E5710</v>
      </c>
      <c r="AQ101" s="573" t="str">
        <f t="shared" si="133"/>
        <v>Sources de l'Ancre 2</v>
      </c>
      <c r="AR101" s="411">
        <v>5.8690999999999915</v>
      </c>
      <c r="AS101" s="411">
        <v>4.8990999999999927</v>
      </c>
      <c r="AT101" s="411">
        <v>17.119099999999992</v>
      </c>
      <c r="AU101" s="411">
        <v>31.5091</v>
      </c>
      <c r="AV101" s="411">
        <v>40.829099999999997</v>
      </c>
      <c r="AW101" s="411">
        <v>35.679099999999991</v>
      </c>
      <c r="AX101" s="411">
        <v>33.619099999999996</v>
      </c>
      <c r="AY101" s="411">
        <v>37.339099999999995</v>
      </c>
      <c r="AZ101" s="411">
        <v>39.459099999999992</v>
      </c>
      <c r="BA101" s="411">
        <v>40.259099999999997</v>
      </c>
      <c r="BB101" s="411">
        <v>23.391419299999999</v>
      </c>
      <c r="BC101" s="412">
        <v>11.961419299999992</v>
      </c>
      <c r="BD101" s="414"/>
      <c r="BE101" s="134"/>
      <c r="BF101" s="134"/>
      <c r="BG101" s="134"/>
      <c r="BH101" s="134"/>
      <c r="BI101" s="113" t="str">
        <f t="shared" si="134"/>
        <v>E5710</v>
      </c>
      <c r="BJ101" s="573" t="str">
        <f t="shared" si="135"/>
        <v>Sources de l'Ancre 2</v>
      </c>
      <c r="BK101" s="411">
        <v>80.03</v>
      </c>
      <c r="BL101" s="411">
        <v>81</v>
      </c>
      <c r="BM101" s="411">
        <v>68.78</v>
      </c>
      <c r="BN101" s="411">
        <v>54.39</v>
      </c>
      <c r="BO101" s="411">
        <v>45.07</v>
      </c>
      <c r="BP101" s="411">
        <v>50.220000000000006</v>
      </c>
      <c r="BQ101" s="411">
        <v>52.28</v>
      </c>
      <c r="BR101" s="411">
        <v>48.56</v>
      </c>
      <c r="BS101" s="411">
        <v>46.440000000000005</v>
      </c>
      <c r="BT101" s="411">
        <v>45.64</v>
      </c>
      <c r="BU101" s="411">
        <v>64.429999999999993</v>
      </c>
      <c r="BV101" s="412">
        <v>75.86</v>
      </c>
      <c r="BW101" s="414"/>
      <c r="BX101" s="134"/>
      <c r="BY101" s="134"/>
      <c r="BZ101" s="134"/>
      <c r="CA101" s="134"/>
      <c r="CB101" s="113" t="str">
        <f t="shared" si="99"/>
        <v>E5710</v>
      </c>
      <c r="CC101" s="373" t="str">
        <f t="shared" si="100"/>
        <v>Sources de l'Ancre 2</v>
      </c>
      <c r="CD101" s="411">
        <f t="shared" si="136"/>
        <v>85.89909999999999</v>
      </c>
      <c r="CE101" s="411">
        <f t="shared" si="101"/>
        <v>85.89909999999999</v>
      </c>
      <c r="CF101" s="411">
        <f t="shared" si="102"/>
        <v>85.89909999999999</v>
      </c>
      <c r="CG101" s="411">
        <f t="shared" si="103"/>
        <v>85.899100000000004</v>
      </c>
      <c r="CH101" s="411">
        <f t="shared" si="104"/>
        <v>85.899100000000004</v>
      </c>
      <c r="CI101" s="411">
        <f t="shared" si="105"/>
        <v>85.899100000000004</v>
      </c>
      <c r="CJ101" s="411">
        <f t="shared" si="106"/>
        <v>85.899100000000004</v>
      </c>
      <c r="CK101" s="411">
        <f t="shared" si="107"/>
        <v>85.899100000000004</v>
      </c>
      <c r="CL101" s="411">
        <f t="shared" si="108"/>
        <v>85.899100000000004</v>
      </c>
      <c r="CM101" s="411">
        <f t="shared" si="109"/>
        <v>85.899100000000004</v>
      </c>
      <c r="CN101" s="411">
        <f t="shared" si="110"/>
        <v>87.821419299999988</v>
      </c>
      <c r="CO101" s="412">
        <f t="shared" si="111"/>
        <v>87.821419299999988</v>
      </c>
      <c r="CP101" s="414"/>
      <c r="CQ101" s="134">
        <f t="shared" si="112"/>
        <v>4.0000000000000001E-3</v>
      </c>
      <c r="CU101" s="113" t="str">
        <f t="shared" si="113"/>
        <v>E5710</v>
      </c>
      <c r="CV101" s="373" t="str">
        <f t="shared" si="114"/>
        <v>Sources de l'Ancre 2</v>
      </c>
      <c r="CW101" s="384">
        <f t="shared" si="115"/>
        <v>306591.96840558836</v>
      </c>
      <c r="CX101" s="298">
        <f t="shared" si="116"/>
        <v>272903.06841366575</v>
      </c>
      <c r="CY101" s="298">
        <f t="shared" si="117"/>
        <v>273758.86217931705</v>
      </c>
      <c r="CZ101" s="298">
        <f t="shared" si="118"/>
        <v>236816.04248608564</v>
      </c>
      <c r="DA101" s="298">
        <f t="shared" si="119"/>
        <v>203585.05378723581</v>
      </c>
      <c r="DB101" s="298">
        <f t="shared" si="120"/>
        <v>165997.7789198528</v>
      </c>
      <c r="DC101" s="298">
        <f t="shared" si="121"/>
        <v>163072.33966397241</v>
      </c>
      <c r="DD101" s="298">
        <f t="shared" si="122"/>
        <v>144819.35857546906</v>
      </c>
      <c r="DE101" s="298">
        <f t="shared" si="123"/>
        <v>183177.26643135722</v>
      </c>
      <c r="DF101" s="298">
        <f t="shared" si="124"/>
        <v>234693.0307033131</v>
      </c>
      <c r="DG101" s="371">
        <f t="shared" si="125"/>
        <v>294587.29702477693</v>
      </c>
      <c r="DH101" s="372">
        <f t="shared" si="126"/>
        <v>310210.13280953362</v>
      </c>
      <c r="DI101" s="67">
        <f t="shared" si="127"/>
        <v>2790212.1994001679</v>
      </c>
      <c r="DJ101" s="364"/>
      <c r="DK101" s="82">
        <f t="shared" si="137"/>
        <v>2790212.1994001679</v>
      </c>
      <c r="DM101" s="518">
        <f t="shared" si="128"/>
        <v>86.308598052473755</v>
      </c>
      <c r="DO101" s="64" t="str">
        <f t="shared" si="129"/>
        <v>E5710</v>
      </c>
      <c r="DP101" s="107" t="str">
        <f t="shared" si="130"/>
        <v>E5710</v>
      </c>
      <c r="DQ101" s="129" t="str">
        <f t="shared" si="131"/>
        <v>Sources de l'Ancre 2</v>
      </c>
      <c r="DR101" s="190">
        <f>_xll.LVCELL($DP$3,DR$3,$DP101,$DQ$2,$DP$4,$DP$5,$DP$6,$DP$7,$DP$8,$DQ$3)/100</f>
        <v>0.96999999999999986</v>
      </c>
      <c r="DS101" s="190">
        <f>_xll.LVCELL($DP$3,DS$3,$DP101,$DQ$2,$DP$4,$DP$5,$DP$6,$DP$7,$DP$8,$DQ$3)/100</f>
        <v>0.97</v>
      </c>
      <c r="DT101" s="190">
        <f>_xll.LVCELL($DP$3,DT$3,$DP101,$DQ$2,$DP$4,$DP$5,$DP$6,$DP$7,$DP$8,$DQ$3)/100</f>
        <v>0.96999999999999986</v>
      </c>
      <c r="DU101" s="190">
        <f>_xll.LVCELL($DP$3,DU$3,$DP101,$DQ$2,$DP$4,$DP$5,$DP$6,$DP$7,$DP$8,$DQ$3)/100</f>
        <v>0.97</v>
      </c>
      <c r="DV101" s="190">
        <f>_xll.LVCELL($DP$3,DV$3,$DP101,$DQ$2,$DP$4,$DP$5,$DP$6,$DP$7,$DP$8,$DQ$3)/100</f>
        <v>0.96999999999999986</v>
      </c>
      <c r="DW101" s="190">
        <f>_xll.LVCELL($DP$3,DW$3,$DP101,$DQ$2,$DP$4,$DP$5,$DP$6,$DP$7,$DP$8,$DQ$3)/100</f>
        <v>0.97</v>
      </c>
      <c r="DX101" s="190">
        <f>_xll.LVCELL($DP$3,DX$3,$DP101,$DQ$2,$DP$4,$DP$5,$DP$6,$DP$7,$DP$8,$DQ$3)/100</f>
        <v>0.96999999999999986</v>
      </c>
      <c r="DY101" s="190">
        <f>_xll.LVCELL($DP$3,DY$3,$DP101,$DQ$2,$DP$4,$DP$5,$DP$6,$DP$7,$DP$8,$DQ$3)/100</f>
        <v>0.96999999999999986</v>
      </c>
      <c r="DZ101" s="190">
        <f>_xll.LVCELL($DP$3,DZ$3,$DP101,$DQ$2,$DP$4,$DP$5,$DP$6,$DP$7,$DP$8,$DQ$3)/100</f>
        <v>0.97</v>
      </c>
      <c r="EA101" s="190">
        <f>_xll.LVCELL($DP$3,EA$3,$DP101,$DQ$2,$DP$4,$DP$5,$DP$6,$DP$7,$DP$8,$DQ$3)/100</f>
        <v>0.96999999999999986</v>
      </c>
      <c r="EB101" s="190">
        <f>_xll.LVCELL($DP$3,EB$3,$DP101,$DQ$2,$DP$4,$DP$5,$DP$6,$DP$7,$DP$8,$DQ$3)/100</f>
        <v>0.97</v>
      </c>
      <c r="EC101" s="190">
        <f>_xll.LVCELL($DP$3,EC$3,$DP101,$DQ$2,$DP$4,$DP$5,$DP$6,$DP$7,$DP$8,$DQ$3)/100</f>
        <v>0.96999999999999986</v>
      </c>
      <c r="ED101" s="582">
        <f t="shared" si="138"/>
        <v>11.64</v>
      </c>
      <c r="EG101" s="107"/>
      <c r="EH101" s="129"/>
      <c r="EI101" s="325"/>
      <c r="EJ101" s="367"/>
      <c r="EK101" s="368"/>
      <c r="EL101" s="367"/>
      <c r="EM101" s="368"/>
      <c r="EN101" s="367"/>
      <c r="EO101" s="368"/>
      <c r="EP101" s="367"/>
      <c r="EQ101" s="368"/>
      <c r="ER101" s="367"/>
      <c r="ES101" s="368"/>
      <c r="ET101" s="367"/>
      <c r="EX101" s="107"/>
      <c r="EY101" s="129"/>
      <c r="EZ101" s="172"/>
      <c r="FA101" s="172"/>
      <c r="FB101" s="172"/>
      <c r="FC101" s="172"/>
      <c r="FD101" s="172"/>
      <c r="FE101" s="172"/>
      <c r="FF101" s="172"/>
      <c r="FG101" s="172"/>
      <c r="FH101" s="172"/>
      <c r="FI101" s="172"/>
      <c r="FJ101" s="172"/>
      <c r="FK101" s="172"/>
      <c r="FO101" s="63"/>
      <c r="FP101" s="129"/>
      <c r="FQ101" s="172"/>
      <c r="FR101" s="172"/>
      <c r="FS101" s="172"/>
      <c r="FT101" s="172"/>
      <c r="FU101" s="172"/>
      <c r="FV101" s="172"/>
      <c r="FW101" s="172"/>
      <c r="FX101" s="172"/>
      <c r="FY101" s="172"/>
      <c r="FZ101" s="172"/>
      <c r="GA101" s="172"/>
      <c r="GB101" s="172"/>
    </row>
    <row r="102" spans="2:185" ht="15">
      <c r="B102" s="64" t="s">
        <v>499</v>
      </c>
      <c r="C102" s="64" t="s">
        <v>499</v>
      </c>
      <c r="D102" s="359" t="s">
        <v>842</v>
      </c>
      <c r="E102" s="357">
        <f>_xll.LVCELL($C$3,Q$3,$C102,$D$2,$C$4,$C$5,$C$6,$C$7,$C$8,$D$3)/1000</f>
        <v>8.16</v>
      </c>
      <c r="F102" s="103">
        <f>'distribution mensuelle Prod B22'!$CP$36</f>
        <v>833360.25429324375</v>
      </c>
      <c r="G102" s="103">
        <f>'distribution mensuelle Prod B22'!$CP$37</f>
        <v>944200.30694759474</v>
      </c>
      <c r="H102" s="103">
        <f>'distribution mensuelle Prod B22'!$CP$38</f>
        <v>1336848.7412620788</v>
      </c>
      <c r="I102" s="103">
        <f>'distribution mensuelle Prod B22'!$CP$39</f>
        <v>1366177.2153715042</v>
      </c>
      <c r="J102" s="103">
        <f>'distribution mensuelle Prod B22'!$CP$40</f>
        <v>1545286.8933775616</v>
      </c>
      <c r="K102" s="103">
        <f>'distribution mensuelle Prod B22'!$CP$41</f>
        <v>1663777.8523213279</v>
      </c>
      <c r="L102" s="103">
        <f>'distribution mensuelle Prod B22'!$CP$42</f>
        <v>1780895.5716746862</v>
      </c>
      <c r="M102" s="103">
        <f>'distribution mensuelle Prod B22'!$CP$43</f>
        <v>1646121.9147303693</v>
      </c>
      <c r="N102" s="103">
        <f>'distribution mensuelle Prod B22'!$CP$44</f>
        <v>1328609.3037196314</v>
      </c>
      <c r="O102" s="103">
        <f>'distribution mensuelle Prod B22'!$CP$45</f>
        <v>1044250.6199630264</v>
      </c>
      <c r="P102" s="103">
        <f>'distribution mensuelle Prod B22'!$CP$46</f>
        <v>747336.60280840681</v>
      </c>
      <c r="Q102" s="103">
        <f>'distribution mensuelle Prod B22'!$CP$47</f>
        <v>725757.12353056867</v>
      </c>
      <c r="R102" s="67">
        <f t="shared" si="92"/>
        <v>14962622.4</v>
      </c>
      <c r="S102" s="385"/>
      <c r="T102" s="169"/>
      <c r="W102" s="113" t="str">
        <f t="shared" si="93"/>
        <v>E5550</v>
      </c>
      <c r="X102" s="359" t="str">
        <f t="shared" si="94"/>
        <v>Boralex Solaire Les Cigalettes SAS (Montfort)</v>
      </c>
      <c r="Y102" s="299" cm="1">
        <f t="array" ref="Y102">_xll.LVCELL($D$4,F$1,$B102,$D$2,$C$4,$C$5,$C$6,$C$7,$C$8,$D$3)*1000+_xll.LVCELL($D$5,F$1,$B102,$D$2,$C$4,$C$5,$C$6,$C$7,$C$8,$D$3)*1000</f>
        <v>86.431545</v>
      </c>
      <c r="Z102" s="299" cm="1">
        <f t="array" ref="Z102">_xll.LVCELL($D$4,G$1,$B102,$D$2,$C$4,$C$5,$C$6,$C$7,$C$8,$D$3)*1000+_xll.LVCELL($D$5,G$1,$B102,$D$2,$C$4,$C$5,$C$6,$C$7,$C$8,$D$3)*1000</f>
        <v>86.424662999999995</v>
      </c>
      <c r="AA102" s="299" cm="1">
        <f t="array" ref="AA102">_xll.LVCELL($D$4,H$1,$B102,$D$2,$C$4,$C$5,$C$6,$C$7,$C$8,$D$3)*1000+_xll.LVCELL($D$5,H$1,$B102,$D$2,$C$4,$C$5,$C$6,$C$7,$C$8,$D$3)*1000</f>
        <v>86.438598404534687</v>
      </c>
      <c r="AB102" s="299" cm="1">
        <f t="array" ref="AB102">_xll.LVCELL($D$4,I$1,$B102,$D$2,$C$4,$C$5,$C$6,$C$7,$C$8,$D$3)*1000+_xll.LVCELL($D$5,I$1,$B102,$D$2,$C$4,$C$5,$C$6,$C$7,$C$8,$D$3)*1000</f>
        <v>86.41561817745864</v>
      </c>
      <c r="AC102" s="299" cm="1">
        <f t="array" ref="AC102">_xll.LVCELL($D$4,J$1,$B102,$D$2,$C$4,$C$5,$C$6,$C$7,$C$8,$D$3)*1000+_xll.LVCELL($D$5,J$1,$B102,$D$2,$C$4,$C$5,$C$6,$C$7,$C$8,$D$3)*1000</f>
        <v>86.425998538501162</v>
      </c>
      <c r="AD102" s="299" cm="1">
        <f t="array" ref="AD102">_xll.LVCELL($D$4,K$1,$B102,$D$2,$C$4,$C$5,$C$6,$C$7,$C$8,$D$3)*1000+_xll.LVCELL($D$5,K$1,$B102,$D$2,$C$4,$C$5,$C$6,$C$7,$C$8,$D$3)*1000</f>
        <v>86.420224468522292</v>
      </c>
      <c r="AE102" s="299" cm="1">
        <f t="array" ref="AE102">_xll.LVCELL($D$4,L$1,$B102,$D$2,$C$4,$C$5,$C$6,$C$7,$C$8,$D$3)*1000+_xll.LVCELL($D$5,L$1,$B102,$D$2,$C$4,$C$5,$C$6,$C$7,$C$8,$D$3)*1000</f>
        <v>86.421331126765153</v>
      </c>
      <c r="AF102" s="299">
        <f>$AD$102</f>
        <v>86.420224468522292</v>
      </c>
      <c r="AG102" s="299">
        <f t="shared" si="141"/>
        <v>86.420224468522292</v>
      </c>
      <c r="AH102" s="411">
        <f t="shared" si="141"/>
        <v>86.420224468522292</v>
      </c>
      <c r="AI102" s="411">
        <f t="shared" si="146"/>
        <v>88.407889631298303</v>
      </c>
      <c r="AJ102" s="412">
        <f t="shared" si="147"/>
        <v>88.407889631298303</v>
      </c>
      <c r="AK102" s="414"/>
      <c r="AL102" s="134">
        <f t="shared" si="95"/>
        <v>2.3E-2</v>
      </c>
      <c r="AM102" s="134"/>
      <c r="AN102" s="134"/>
      <c r="AO102" s="134"/>
      <c r="AP102" s="113" t="str">
        <f t="shared" si="132"/>
        <v>E5550</v>
      </c>
      <c r="AQ102" s="567" t="str">
        <f t="shared" si="133"/>
        <v>Boralex Solaire Les Cigalettes SAS (Montfort)</v>
      </c>
      <c r="AR102" s="377"/>
      <c r="AS102" s="377"/>
      <c r="AT102" s="377"/>
      <c r="AU102" s="377"/>
      <c r="AV102" s="377"/>
      <c r="AW102" s="377"/>
      <c r="AX102" s="377"/>
      <c r="AY102" s="377"/>
      <c r="AZ102" s="377"/>
      <c r="BA102" s="377"/>
      <c r="BB102" s="377"/>
      <c r="BC102" s="378"/>
      <c r="BD102" s="414"/>
      <c r="BE102" s="134"/>
      <c r="BF102" s="134"/>
      <c r="BG102" s="134"/>
      <c r="BH102" s="134"/>
      <c r="BI102" s="113" t="str">
        <f t="shared" si="134"/>
        <v>E5550</v>
      </c>
      <c r="BJ102" s="567" t="str">
        <f t="shared" si="135"/>
        <v>Boralex Solaire Les Cigalettes SAS (Montfort)</v>
      </c>
      <c r="BK102" s="411">
        <f t="shared" ref="BK102:BT103" si="148">$AJ102</f>
        <v>88.407889631298303</v>
      </c>
      <c r="BL102" s="411">
        <f t="shared" si="148"/>
        <v>88.407889631298303</v>
      </c>
      <c r="BM102" s="411">
        <f t="shared" si="148"/>
        <v>88.407889631298303</v>
      </c>
      <c r="BN102" s="411">
        <f t="shared" si="148"/>
        <v>88.407889631298303</v>
      </c>
      <c r="BO102" s="411">
        <f t="shared" si="148"/>
        <v>88.407889631298303</v>
      </c>
      <c r="BP102" s="411">
        <f t="shared" si="148"/>
        <v>88.407889631298303</v>
      </c>
      <c r="BQ102" s="411">
        <f t="shared" si="148"/>
        <v>88.407889631298303</v>
      </c>
      <c r="BR102" s="411">
        <f t="shared" si="148"/>
        <v>88.407889631298303</v>
      </c>
      <c r="BS102" s="411">
        <f t="shared" si="148"/>
        <v>88.407889631298303</v>
      </c>
      <c r="BT102" s="411">
        <f t="shared" si="148"/>
        <v>88.407889631298303</v>
      </c>
      <c r="BU102" s="411">
        <f>$BT102+($BT102*$BX$9)</f>
        <v>90.44127109281817</v>
      </c>
      <c r="BV102" s="412">
        <f>BU102</f>
        <v>90.44127109281817</v>
      </c>
      <c r="BW102" s="414"/>
      <c r="BX102" s="134"/>
      <c r="BY102" s="134"/>
      <c r="BZ102" s="134"/>
      <c r="CA102" s="134"/>
      <c r="CB102" s="113" t="str">
        <f t="shared" si="99"/>
        <v>E5550</v>
      </c>
      <c r="CC102" s="373" t="str">
        <f t="shared" si="100"/>
        <v>Boralex Solaire Les Cigalettes SAS (Montfort)</v>
      </c>
      <c r="CD102" s="411">
        <f t="shared" si="136"/>
        <v>88.407889631298303</v>
      </c>
      <c r="CE102" s="411">
        <f t="shared" si="101"/>
        <v>88.407889631298303</v>
      </c>
      <c r="CF102" s="411">
        <f t="shared" si="102"/>
        <v>88.407889631298303</v>
      </c>
      <c r="CG102" s="411">
        <f t="shared" si="103"/>
        <v>88.407889631298303</v>
      </c>
      <c r="CH102" s="411">
        <f t="shared" si="104"/>
        <v>88.407889631298303</v>
      </c>
      <c r="CI102" s="411">
        <f t="shared" si="105"/>
        <v>88.407889631298303</v>
      </c>
      <c r="CJ102" s="411">
        <f t="shared" si="106"/>
        <v>88.407889631298303</v>
      </c>
      <c r="CK102" s="411">
        <f t="shared" si="107"/>
        <v>88.407889631298303</v>
      </c>
      <c r="CL102" s="411">
        <f t="shared" si="108"/>
        <v>88.407889631298303</v>
      </c>
      <c r="CM102" s="411">
        <f t="shared" si="109"/>
        <v>88.407889631298303</v>
      </c>
      <c r="CN102" s="411">
        <f t="shared" si="110"/>
        <v>90.44127109281817</v>
      </c>
      <c r="CO102" s="412">
        <f t="shared" si="111"/>
        <v>90.44127109281817</v>
      </c>
      <c r="CP102" s="414"/>
      <c r="CQ102" s="134">
        <f t="shared" si="112"/>
        <v>4.0000000000000001E-3</v>
      </c>
      <c r="CU102" s="113" t="str">
        <f t="shared" si="113"/>
        <v>E5550</v>
      </c>
      <c r="CV102" s="373" t="str">
        <f t="shared" si="114"/>
        <v>Boralex Solaire Les Cigalettes SAS (Montfort)</v>
      </c>
      <c r="CW102" s="384">
        <f t="shared" si="115"/>
        <v>73675.621384667786</v>
      </c>
      <c r="CX102" s="298">
        <f t="shared" si="116"/>
        <v>83474.756526460944</v>
      </c>
      <c r="CY102" s="298">
        <f t="shared" si="117"/>
        <v>118187.97597123793</v>
      </c>
      <c r="CZ102" s="298">
        <f t="shared" si="118"/>
        <v>120780.8444733584</v>
      </c>
      <c r="DA102" s="298">
        <f t="shared" si="119"/>
        <v>136615.55311841529</v>
      </c>
      <c r="DB102" s="298">
        <f t="shared" si="120"/>
        <v>147091.0887390225</v>
      </c>
      <c r="DC102" s="298">
        <f t="shared" si="121"/>
        <v>157445.21914548357</v>
      </c>
      <c r="DD102" s="298">
        <f t="shared" si="122"/>
        <v>145530.16455714393</v>
      </c>
      <c r="DE102" s="298">
        <f t="shared" si="123"/>
        <v>117459.54468636126</v>
      </c>
      <c r="DF102" s="371">
        <f t="shared" si="124"/>
        <v>92319.993557106063</v>
      </c>
      <c r="DG102" s="298">
        <f t="shared" si="125"/>
        <v>67590.072292180907</v>
      </c>
      <c r="DH102" s="372">
        <f t="shared" si="126"/>
        <v>65638.396756772083</v>
      </c>
      <c r="DI102" s="67">
        <f t="shared" si="127"/>
        <v>1325809.2312082108</v>
      </c>
      <c r="DJ102" s="364">
        <f>_xll.LVCELL($E$1,Q$2,$C102,$D$2,$C$4,$C$5,$C$6,$C$7,$C$8,$D$3)+_xll.LVCELL($E$2,Q$2,$C102,$D$2,$C$4,$C$5,$C$6,$C$7,$C$8,$D$3)</f>
        <v>1325809.289646284</v>
      </c>
      <c r="DK102" s="82">
        <f t="shared" si="137"/>
        <v>-5.8438073145225644E-2</v>
      </c>
      <c r="DM102" s="518">
        <f t="shared" si="128"/>
        <v>88.608079236712598</v>
      </c>
      <c r="DO102" s="64" t="str">
        <f t="shared" si="129"/>
        <v>E5550</v>
      </c>
      <c r="DP102" s="64" t="str">
        <f t="shared" si="130"/>
        <v>E5550</v>
      </c>
      <c r="DQ102" s="359" t="str">
        <f t="shared" si="131"/>
        <v>Boralex Solaire Les Cigalettes SAS (Montfort)</v>
      </c>
      <c r="DR102" s="365">
        <f>_xll.LVCELL($DP$3,DR$3,$DP102,$DQ$2,$DP$4,$DP$5,$DP$6,$DP$7,$DP$8,$DQ$3)/100</f>
        <v>0.97</v>
      </c>
      <c r="DS102" s="365">
        <f>_xll.LVCELL($DP$3,DS$3,$DP102,$DQ$2,$DP$4,$DP$5,$DP$6,$DP$7,$DP$8,$DQ$3)/100</f>
        <v>0.9700000000000002</v>
      </c>
      <c r="DT102" s="365">
        <f>_xll.LVCELL($DP$3,DT$3,$DP102,$DQ$2,$DP$4,$DP$5,$DP$6,$DP$7,$DP$8,$DQ$3)/100</f>
        <v>0.97</v>
      </c>
      <c r="DU102" s="365">
        <f>_xll.LVCELL($DP$3,DU$3,$DP102,$DQ$2,$DP$4,$DP$5,$DP$6,$DP$7,$DP$8,$DQ$3)/100</f>
        <v>0.97</v>
      </c>
      <c r="DV102" s="365">
        <f>_xll.LVCELL($DP$3,DV$3,$DP102,$DQ$2,$DP$4,$DP$5,$DP$6,$DP$7,$DP$8,$DQ$3)/100</f>
        <v>0.97</v>
      </c>
      <c r="DW102" s="365">
        <f>_xll.LVCELL($DP$3,DW$3,$DP102,$DQ$2,$DP$4,$DP$5,$DP$6,$DP$7,$DP$8,$DQ$3)/100</f>
        <v>0.97</v>
      </c>
      <c r="DX102" s="365">
        <f>_xll.LVCELL($DP$3,DX$3,$DP102,$DQ$2,$DP$4,$DP$5,$DP$6,$DP$7,$DP$8,$DQ$3)/100</f>
        <v>0.97</v>
      </c>
      <c r="DY102" s="365">
        <f>_xll.LVCELL($DP$3,DY$3,$DP102,$DQ$2,$DP$4,$DP$5,$DP$6,$DP$7,$DP$8,$DQ$3)/100</f>
        <v>0.97</v>
      </c>
      <c r="DZ102" s="365">
        <f>_xll.LVCELL($DP$3,DZ$3,$DP102,$DQ$2,$DP$4,$DP$5,$DP$6,$DP$7,$DP$8,$DQ$3)/100</f>
        <v>0.97</v>
      </c>
      <c r="EA102" s="365">
        <f>_xll.LVCELL($DP$3,EA$3,$DP102,$DQ$2,$DP$4,$DP$5,$DP$6,$DP$7,$DP$8,$DQ$3)/100</f>
        <v>0.97</v>
      </c>
      <c r="EB102" s="365">
        <f>_xll.LVCELL($DP$3,EB$3,$DP102,$DQ$2,$DP$4,$DP$5,$DP$6,$DP$7,$DP$8,$DQ$3)/100</f>
        <v>0.97</v>
      </c>
      <c r="EC102" s="365">
        <f>_xll.LVCELL($DP$3,EC$3,$DP102,$DQ$2,$DP$4,$DP$5,$DP$6,$DP$7,$DP$8,$DQ$3)/100</f>
        <v>0.97</v>
      </c>
      <c r="ED102" s="582">
        <f t="shared" si="138"/>
        <v>11.64</v>
      </c>
      <c r="EF102" s="64" t="s">
        <v>499</v>
      </c>
      <c r="EG102" s="64" t="s">
        <v>499</v>
      </c>
      <c r="EH102" s="359" t="s">
        <v>842</v>
      </c>
      <c r="EI102" s="366" t="e">
        <f ca="1">_xll.LVCELL($EG$3,EI$3,$DP102,$DQ$2,$DP$4,$DP$5,$DP$6,$DP$7,$DP$8,$DQ$3)-CW102</f>
        <v>#NAME?</v>
      </c>
      <c r="EJ102" s="367" t="e">
        <f ca="1">_xll.LVCELL($EG$3,EJ$3,$DP102,$DQ$2,$DP$4,$DP$5,$DP$6,$DP$7,$DP$8,$DQ$3)-CX102</f>
        <v>#NAME?</v>
      </c>
      <c r="EK102" s="368" t="e">
        <f ca="1">_xll.LVCELL($EG$3,EK$3,$DP102,$DQ$2,$DP$4,$DP$5,$DP$6,$DP$7,$DP$8,$DQ$3)-CY102</f>
        <v>#NAME?</v>
      </c>
      <c r="EL102" s="367" t="e">
        <f ca="1">_xll.LVCELL($EG$3,EL$3,$DP102,$DQ$2,$DP$4,$DP$5,$DP$6,$DP$7,$DP$8,$DQ$3)-CZ102</f>
        <v>#NAME?</v>
      </c>
      <c r="EM102" s="368" t="e">
        <f ca="1">_xll.LVCELL($EG$3,EM$3,$DP102,$DQ$2,$DP$4,$DP$5,$DP$6,$DP$7,$DP$8,$DQ$3)-DA102</f>
        <v>#NAME?</v>
      </c>
      <c r="EN102" s="367" t="e">
        <f ca="1">_xll.LVCELL($EG$3,EN$3,$DP102,$DQ$2,$DP$4,$DP$5,$DP$6,$DP$7,$DP$8,$DQ$3)-DB102</f>
        <v>#NAME?</v>
      </c>
      <c r="EO102" s="368" t="e">
        <f ca="1">_xll.LVCELL($EG$3,EO$3,$DP102,$DQ$2,$DP$4,$DP$5,$DP$6,$DP$7,$DP$8,$DQ$3)-DC102</f>
        <v>#NAME?</v>
      </c>
      <c r="EP102" s="367" t="e">
        <f ca="1">_xll.LVCELL($EG$3,EP$3,$DP102,$DQ$2,$DP$4,$DP$5,$DP$6,$DP$7,$DP$8,$DQ$3)-DD102</f>
        <v>#NAME?</v>
      </c>
      <c r="EQ102" s="368" t="e">
        <f ca="1">_xll.LVCELL($EG$3,EQ$3,$DP102,$DQ$2,$DP$4,$DP$5,$DP$6,$DP$7,$DP$8,$DQ$3)-DE102</f>
        <v>#NAME?</v>
      </c>
      <c r="ER102" s="367" t="e">
        <f ca="1">_xll.LVCELL($EG$3,ER$3,$DP102,$DQ$2,$DP$4,$DP$5,$DP$6,$DP$7,$DP$8,$DQ$3)-DF102</f>
        <v>#NAME?</v>
      </c>
      <c r="ES102" s="368" t="e">
        <f ca="1">_xll.LVCELL($EG$3,ES$3,$DP102,$DQ$2,$DP$4,$DP$5,$DP$6,$DP$7,$DP$8,$DQ$3)-DG102</f>
        <v>#NAME?</v>
      </c>
      <c r="ET102" s="367" t="e">
        <f ca="1">_xll.LVCELL($EG$3,ET$3,$DP102,$DQ$2,$DP$4,$DP$5,$DP$6,$DP$7,$DP$8,$DQ$3)-DH102</f>
        <v>#NAME?</v>
      </c>
      <c r="EW102" s="64" t="s">
        <v>499</v>
      </c>
      <c r="EX102" s="64" t="s">
        <v>499</v>
      </c>
      <c r="EY102" s="587" t="s">
        <v>842</v>
      </c>
      <c r="EZ102" s="364">
        <f>_xll.LVCELL($EX$3,EZ$3,$DP102,$DQ$2,$DP$4,$DP$5,$DP$6,$DP$7,$DP$8,$DQ$3)</f>
        <v>8160</v>
      </c>
      <c r="FA102" s="364">
        <f>_xll.LVCELL($EX$3,FA$3,$DP102,$DQ$2,$DP$4,$DP$5,$DP$6,$DP$7,$DP$8,$DQ$3)</f>
        <v>8160</v>
      </c>
      <c r="FB102" s="364">
        <f>_xll.LVCELL($EX$3,FB$3,$DP102,$DQ$2,$DP$4,$DP$5,$DP$6,$DP$7,$DP$8,$DQ$3)</f>
        <v>8160</v>
      </c>
      <c r="FC102" s="364">
        <f>_xll.LVCELL($EX$3,FC$3,$DP102,$DQ$2,$DP$4,$DP$5,$DP$6,$DP$7,$DP$8,$DQ$3)</f>
        <v>8160</v>
      </c>
      <c r="FD102" s="364">
        <f>_xll.LVCELL($EX$3,FD$3,$DP102,$DQ$2,$DP$4,$DP$5,$DP$6,$DP$7,$DP$8,$DQ$3)</f>
        <v>8160</v>
      </c>
      <c r="FE102" s="364">
        <f>_xll.LVCELL($EX$3,FE$3,$DP102,$DQ$2,$DP$4,$DP$5,$DP$6,$DP$7,$DP$8,$DQ$3)</f>
        <v>8160</v>
      </c>
      <c r="FF102" s="364">
        <f>_xll.LVCELL($EX$3,FF$3,$DP102,$DQ$2,$DP$4,$DP$5,$DP$6,$DP$7,$DP$8,$DQ$3)</f>
        <v>8160</v>
      </c>
      <c r="FG102" s="364">
        <f>_xll.LVCELL($EX$3,FG$3,$DP102,$DQ$2,$DP$4,$DP$5,$DP$6,$DP$7,$DP$8,$DQ$3)</f>
        <v>8160</v>
      </c>
      <c r="FH102" s="364">
        <f>_xll.LVCELL($EX$3,FH$3,$DP102,$DQ$2,$DP$4,$DP$5,$DP$6,$DP$7,$DP$8,$DQ$3)</f>
        <v>8160</v>
      </c>
      <c r="FI102" s="364">
        <f>_xll.LVCELL($EX$3,FI$3,$DP102,$DQ$2,$DP$4,$DP$5,$DP$6,$DP$7,$DP$8,$DQ$3)</f>
        <v>8160</v>
      </c>
      <c r="FJ102" s="364">
        <f>_xll.LVCELL($EX$3,FJ$3,$DP102,$DQ$2,$DP$4,$DP$5,$DP$6,$DP$7,$DP$8,$DQ$3)</f>
        <v>8160</v>
      </c>
      <c r="FK102" s="285">
        <f>_xll.LVCELL($EX$3,FK$3,$DP102,$DQ$2,$DP$4,$DP$5,$DP$6,$DP$7,$DP$8,$DQ$3)</f>
        <v>8160</v>
      </c>
      <c r="FN102" s="64" t="s">
        <v>499</v>
      </c>
      <c r="FO102" s="64" t="s">
        <v>499</v>
      </c>
      <c r="FP102" s="587" t="s">
        <v>842</v>
      </c>
      <c r="FQ102" s="364">
        <f>_xll.LVCELL($FO$3,FQ$3,$DP102,$DQ$2,$DP$4,$DP$5,$DP$6,$DP$7,$DP$8,$DQ$3)</f>
        <v>0</v>
      </c>
      <c r="FR102" s="364">
        <f>_xll.LVCELL($FO$3,FR$3,$DP102,$DQ$2,$DP$4,$DP$5,$DP$6,$DP$7,$DP$8,$DQ$3)</f>
        <v>0</v>
      </c>
      <c r="FS102" s="364">
        <f>_xll.LVCELL($FO$3,FS$3,$DP102,$DQ$2,$DP$4,$DP$5,$DP$6,$DP$7,$DP$8,$DQ$3)</f>
        <v>0</v>
      </c>
      <c r="FT102" s="364">
        <f>_xll.LVCELL($FO$3,FT$3,$DP102,$DQ$2,$DP$4,$DP$5,$DP$6,$DP$7,$DP$8,$DQ$3)</f>
        <v>0</v>
      </c>
      <c r="FU102" s="364">
        <f>_xll.LVCELL($FO$3,FU$3,$DP102,$DQ$2,$DP$4,$DP$5,$DP$6,$DP$7,$DP$8,$DQ$3)</f>
        <v>0</v>
      </c>
      <c r="FV102" s="364">
        <f>_xll.LVCELL($FO$3,FV$3,$DP102,$DQ$2,$DP$4,$DP$5,$DP$6,$DP$7,$DP$8,$DQ$3)</f>
        <v>0</v>
      </c>
      <c r="FW102" s="364">
        <f>_xll.LVCELL($FO$3,FW$3,$DP102,$DQ$2,$DP$4,$DP$5,$DP$6,$DP$7,$DP$8,$DQ$3)</f>
        <v>0</v>
      </c>
      <c r="FX102" s="364">
        <f>_xll.LVCELL($FO$3,FX$3,$DP102,$DQ$2,$DP$4,$DP$5,$DP$6,$DP$7,$DP$8,$DQ$3)</f>
        <v>0</v>
      </c>
      <c r="FY102" s="364">
        <f>_xll.LVCELL($FO$3,FY$3,$DP102,$DQ$2,$DP$4,$DP$5,$DP$6,$DP$7,$DP$8,$DQ$3)</f>
        <v>0</v>
      </c>
      <c r="FZ102" s="364">
        <f>_xll.LVCELL($FO$3,FZ$3,$DP102,$DQ$2,$DP$4,$DP$5,$DP$6,$DP$7,$DP$8,$DQ$3)</f>
        <v>0</v>
      </c>
      <c r="GA102" s="364">
        <f>_xll.LVCELL($FO$3,GA$3,$DP102,$DQ$2,$DP$4,$DP$5,$DP$6,$DP$7,$DP$8,$DQ$3)</f>
        <v>0</v>
      </c>
      <c r="GB102" s="172">
        <f>_xll.LVCELL($FO$3,GB$3,$DP102,$DQ$2,$DP$4,$DP$5,$DP$6,$DP$7,$DP$8,$DQ$3)</f>
        <v>0</v>
      </c>
      <c r="GC102" s="64" t="s">
        <v>3293</v>
      </c>
    </row>
    <row r="103" spans="2:185" ht="15">
      <c r="B103" s="64" t="s">
        <v>501</v>
      </c>
      <c r="C103" s="64" t="s">
        <v>501</v>
      </c>
      <c r="D103" s="359" t="s">
        <v>834</v>
      </c>
      <c r="E103" s="357">
        <f>_xll.LVCELL($C$3,Q$3,$C103,$D$2,$C$4,$C$5,$C$6,$C$7,$C$8,$D$3)/1000</f>
        <v>4</v>
      </c>
      <c r="F103" s="103">
        <f>'distribution mensuelle Prod B22'!$CQ$36</f>
        <v>251019.18558678569</v>
      </c>
      <c r="G103" s="103">
        <f>'distribution mensuelle Prod B22'!$CQ$37</f>
        <v>335771.26700412954</v>
      </c>
      <c r="H103" s="103">
        <f>'distribution mensuelle Prod B22'!$CQ$38</f>
        <v>526169.17213267623</v>
      </c>
      <c r="I103" s="103">
        <f>'distribution mensuelle Prod B22'!$CQ$39</f>
        <v>582474.37437058752</v>
      </c>
      <c r="J103" s="103">
        <f>'distribution mensuelle Prod B22'!$CQ$40</f>
        <v>636719.63018516055</v>
      </c>
      <c r="K103" s="103">
        <f>'distribution mensuelle Prod B22'!$CQ$41</f>
        <v>668992.12415079272</v>
      </c>
      <c r="L103" s="103">
        <f>'distribution mensuelle Prod B22'!$CQ$42</f>
        <v>704795.95484214742</v>
      </c>
      <c r="M103" s="103">
        <f>'distribution mensuelle Prod B22'!$CQ$43</f>
        <v>668403.56802983885</v>
      </c>
      <c r="N103" s="103">
        <f>'distribution mensuelle Prod B22'!$CQ$44</f>
        <v>563542.48581324099</v>
      </c>
      <c r="O103" s="103">
        <f>'distribution mensuelle Prod B22'!$CQ$45</f>
        <v>444948.42744105507</v>
      </c>
      <c r="P103" s="103">
        <f>'distribution mensuelle Prod B22'!$CQ$46</f>
        <v>271422.46444651665</v>
      </c>
      <c r="Q103" s="103">
        <f>'distribution mensuelle Prod B22'!$CQ$47</f>
        <v>236795.74599706943</v>
      </c>
      <c r="R103" s="67">
        <f t="shared" si="92"/>
        <v>5891054.4000000004</v>
      </c>
      <c r="S103" s="385"/>
      <c r="W103" s="113" t="str">
        <f t="shared" si="93"/>
        <v>E5250</v>
      </c>
      <c r="X103" s="359" t="str">
        <f t="shared" si="94"/>
        <v>Boralex Solaire Lauragais SAS</v>
      </c>
      <c r="Y103" s="299" cm="1">
        <f t="array" ref="Y103">_xll.LVCELL($D$4,F$1,$B103,$D$2,$C$4,$C$5,$C$6,$C$7,$C$8,$D$3)*1000+_xll.LVCELL($D$5,F$1,$B103,$D$2,$C$4,$C$5,$C$6,$C$7,$C$8,$D$3)*1000</f>
        <v>340.62004099999996</v>
      </c>
      <c r="Z103" s="299" cm="1">
        <f t="array" ref="Z103">_xll.LVCELL($D$4,G$1,$B103,$D$2,$C$4,$C$5,$C$6,$C$7,$C$8,$D$3)*1000+_xll.LVCELL($D$5,G$1,$B103,$D$2,$C$4,$C$5,$C$6,$C$7,$C$8,$D$3)*1000</f>
        <v>340.619981</v>
      </c>
      <c r="AA103" s="299" cm="1">
        <f t="array" ref="AA103">_xll.LVCELL($D$4,H$1,$B103,$D$2,$C$4,$C$5,$C$6,$C$7,$C$8,$D$3)*1000+_xll.LVCELL($D$5,H$1,$B103,$D$2,$C$4,$C$5,$C$6,$C$7,$C$8,$D$3)*1000</f>
        <v>340.62011577424022</v>
      </c>
      <c r="AB103" s="299" cm="1">
        <f t="array" ref="AB103">_xll.LVCELL($D$4,I$1,$B103,$D$2,$C$4,$C$5,$C$6,$C$7,$C$8,$D$3)*1000+_xll.LVCELL($D$5,I$1,$B103,$D$2,$C$4,$C$5,$C$6,$C$7,$C$8,$D$3)*1000</f>
        <v>340.61999677563711</v>
      </c>
      <c r="AC103" s="299" cm="1">
        <f t="array" ref="AC103">_xll.LVCELL($D$4,J$1,$B103,$D$2,$C$4,$C$5,$C$6,$C$7,$C$8,$D$3)*1000+_xll.LVCELL($D$5,J$1,$B103,$D$2,$C$4,$C$5,$C$6,$C$7,$C$8,$D$3)*1000</f>
        <v>340.61990282637743</v>
      </c>
      <c r="AD103" s="299" cm="1">
        <f t="array" ref="AD103">_xll.LVCELL($D$4,K$1,$B103,$D$2,$C$4,$C$5,$C$6,$C$7,$C$8,$D$3)*1000+_xll.LVCELL($D$5,K$1,$B103,$D$2,$C$4,$C$5,$C$6,$C$7,$C$8,$D$3)*1000</f>
        <v>340.62000173364191</v>
      </c>
      <c r="AE103" s="299" cm="1">
        <f t="array" ref="AE103">_xll.LVCELL($D$4,L$1,$B103,$D$2,$C$4,$C$5,$C$6,$C$7,$C$8,$D$3)*1000+_xll.LVCELL($D$5,L$1,$B103,$D$2,$C$4,$C$5,$C$6,$C$7,$C$8,$D$3)*1000</f>
        <v>340.43028178784272</v>
      </c>
      <c r="AF103" s="411">
        <f>$AD$103</f>
        <v>340.62000173364191</v>
      </c>
      <c r="AG103" s="299">
        <f t="shared" si="141"/>
        <v>340.62000173364191</v>
      </c>
      <c r="AH103" s="564">
        <f>AG103</f>
        <v>340.62000173364191</v>
      </c>
      <c r="AI103" s="586">
        <f>$AH103+($AH103*$AL$9)</f>
        <v>348.45426177351567</v>
      </c>
      <c r="AJ103" s="412">
        <f>AI103</f>
        <v>348.45426177351567</v>
      </c>
      <c r="AK103" s="414"/>
      <c r="AL103" s="134">
        <f t="shared" si="95"/>
        <v>2.3E-2</v>
      </c>
      <c r="AM103" s="134"/>
      <c r="AN103" s="134"/>
      <c r="AO103" s="134"/>
      <c r="AP103" s="113" t="str">
        <f t="shared" si="132"/>
        <v>E5250</v>
      </c>
      <c r="AQ103" s="567" t="str">
        <f t="shared" si="133"/>
        <v>Boralex Solaire Lauragais SAS</v>
      </c>
      <c r="AR103" s="377"/>
      <c r="AS103" s="377"/>
      <c r="AT103" s="377"/>
      <c r="AU103" s="377"/>
      <c r="AV103" s="377"/>
      <c r="AW103" s="377"/>
      <c r="AX103" s="377"/>
      <c r="AY103" s="377"/>
      <c r="AZ103" s="377"/>
      <c r="BA103" s="377"/>
      <c r="BB103" s="377"/>
      <c r="BC103" s="378"/>
      <c r="BD103" s="414"/>
      <c r="BE103" s="134"/>
      <c r="BF103" s="134"/>
      <c r="BG103" s="134"/>
      <c r="BH103" s="134"/>
      <c r="BI103" s="113" t="str">
        <f t="shared" si="134"/>
        <v>E5250</v>
      </c>
      <c r="BJ103" s="567" t="str">
        <f t="shared" si="135"/>
        <v>Boralex Solaire Lauragais SAS</v>
      </c>
      <c r="BK103" s="411">
        <f t="shared" si="148"/>
        <v>348.45426177351567</v>
      </c>
      <c r="BL103" s="411">
        <f t="shared" si="148"/>
        <v>348.45426177351567</v>
      </c>
      <c r="BM103" s="411">
        <f t="shared" si="148"/>
        <v>348.45426177351567</v>
      </c>
      <c r="BN103" s="411">
        <f t="shared" si="148"/>
        <v>348.45426177351567</v>
      </c>
      <c r="BO103" s="411">
        <f t="shared" si="148"/>
        <v>348.45426177351567</v>
      </c>
      <c r="BP103" s="411">
        <f t="shared" si="148"/>
        <v>348.45426177351567</v>
      </c>
      <c r="BQ103" s="411">
        <f t="shared" si="148"/>
        <v>348.45426177351567</v>
      </c>
      <c r="BR103" s="411">
        <f t="shared" si="148"/>
        <v>348.45426177351567</v>
      </c>
      <c r="BS103" s="411">
        <f t="shared" si="148"/>
        <v>348.45426177351567</v>
      </c>
      <c r="BT103" s="411">
        <f t="shared" si="148"/>
        <v>348.45426177351567</v>
      </c>
      <c r="BU103" s="411">
        <f>$BT103+($BT103*$BX$9)</f>
        <v>356.46870979430651</v>
      </c>
      <c r="BV103" s="412">
        <f>BU103</f>
        <v>356.46870979430651</v>
      </c>
      <c r="BW103" s="414"/>
      <c r="BX103" s="134"/>
      <c r="BY103" s="134"/>
      <c r="BZ103" s="134"/>
      <c r="CA103" s="134"/>
      <c r="CB103" s="113" t="str">
        <f t="shared" si="99"/>
        <v>E5250</v>
      </c>
      <c r="CC103" s="373" t="str">
        <f t="shared" si="100"/>
        <v>Boralex Solaire Lauragais SAS</v>
      </c>
      <c r="CD103" s="411">
        <f t="shared" si="136"/>
        <v>348.45426177351567</v>
      </c>
      <c r="CE103" s="411">
        <f t="shared" si="101"/>
        <v>348.45426177351567</v>
      </c>
      <c r="CF103" s="411">
        <f t="shared" si="102"/>
        <v>348.45426177351567</v>
      </c>
      <c r="CG103" s="411">
        <f t="shared" si="103"/>
        <v>348.45426177351567</v>
      </c>
      <c r="CH103" s="411">
        <f t="shared" si="104"/>
        <v>348.45426177351567</v>
      </c>
      <c r="CI103" s="411">
        <f t="shared" si="105"/>
        <v>348.45426177351567</v>
      </c>
      <c r="CJ103" s="411">
        <f t="shared" si="106"/>
        <v>348.45426177351567</v>
      </c>
      <c r="CK103" s="411">
        <f t="shared" si="107"/>
        <v>348.45426177351567</v>
      </c>
      <c r="CL103" s="411">
        <f t="shared" si="108"/>
        <v>348.45426177351567</v>
      </c>
      <c r="CM103" s="411">
        <f t="shared" si="109"/>
        <v>348.45426177351567</v>
      </c>
      <c r="CN103" s="411">
        <f t="shared" si="110"/>
        <v>356.46870979430651</v>
      </c>
      <c r="CO103" s="412">
        <f t="shared" si="111"/>
        <v>356.46870979430651</v>
      </c>
      <c r="CP103" s="414"/>
      <c r="CQ103" s="134">
        <f t="shared" si="112"/>
        <v>4.0000000000000001E-3</v>
      </c>
      <c r="CU103" s="113" t="str">
        <f t="shared" si="113"/>
        <v>E5250</v>
      </c>
      <c r="CV103" s="373" t="str">
        <f t="shared" si="114"/>
        <v>Boralex Solaire Lauragais SAS</v>
      </c>
      <c r="CW103" s="384">
        <f t="shared" si="115"/>
        <v>87468.705004632531</v>
      </c>
      <c r="CX103" s="298">
        <f t="shared" si="116"/>
        <v>117000.92896868198</v>
      </c>
      <c r="CY103" s="298">
        <f t="shared" si="117"/>
        <v>183345.89044347359</v>
      </c>
      <c r="CZ103" s="298">
        <f t="shared" si="118"/>
        <v>202965.67812329347</v>
      </c>
      <c r="DA103" s="298">
        <f t="shared" si="119"/>
        <v>221867.66869287603</v>
      </c>
      <c r="DB103" s="298">
        <f t="shared" si="120"/>
        <v>233113.15675326064</v>
      </c>
      <c r="DC103" s="388">
        <f t="shared" si="121"/>
        <v>245589.15414548057</v>
      </c>
      <c r="DD103" s="298">
        <f t="shared" si="122"/>
        <v>232908.07186462136</v>
      </c>
      <c r="DE103" s="298">
        <f t="shared" si="123"/>
        <v>196368.78087206482</v>
      </c>
      <c r="DF103" s="298">
        <f t="shared" si="124"/>
        <v>155044.17581125954</v>
      </c>
      <c r="DG103" s="298">
        <f t="shared" si="125"/>
        <v>96753.615710440819</v>
      </c>
      <c r="DH103" s="298">
        <f t="shared" si="126"/>
        <v>84410.274060355659</v>
      </c>
      <c r="DI103" s="67">
        <f t="shared" si="127"/>
        <v>2056836.100450441</v>
      </c>
      <c r="DJ103" s="364">
        <f>_xll.LVCELL($E$1,Q$2,$C103,$D$2,$C$4,$C$5,$C$6,$C$7,$C$8,$D$3)+_xll.LVCELL($E$2,Q$2,$C103,$D$2,$C$4,$C$5,$C$6,$C$7,$C$8,$D$3)</f>
        <v>2056835.61225155</v>
      </c>
      <c r="DK103" s="82">
        <f t="shared" si="137"/>
        <v>0.48819889104925096</v>
      </c>
      <c r="DM103" s="518">
        <f t="shared" si="128"/>
        <v>349.14566405131836</v>
      </c>
      <c r="DO103" s="64" t="str">
        <f t="shared" si="129"/>
        <v>E5250</v>
      </c>
      <c r="DP103" s="64" t="str">
        <f t="shared" si="130"/>
        <v>E5250</v>
      </c>
      <c r="DQ103" s="359" t="str">
        <f t="shared" si="131"/>
        <v>Boralex Solaire Lauragais SAS</v>
      </c>
      <c r="DR103" s="365">
        <f>_xll.LVCELL($DP$3,DR$3,$DP103,$DQ$2,$DP$4,$DP$5,$DP$6,$DP$7,$DP$8,$DQ$3)/100</f>
        <v>0.97</v>
      </c>
      <c r="DS103" s="365">
        <f>_xll.LVCELL($DP$3,DS$3,$DP103,$DQ$2,$DP$4,$DP$5,$DP$6,$DP$7,$DP$8,$DQ$3)/100</f>
        <v>0.97</v>
      </c>
      <c r="DT103" s="365">
        <f>_xll.LVCELL($DP$3,DT$3,$DP103,$DQ$2,$DP$4,$DP$5,$DP$6,$DP$7,$DP$8,$DQ$3)/100</f>
        <v>0.97</v>
      </c>
      <c r="DU103" s="365">
        <f>_xll.LVCELL($DP$3,DU$3,$DP103,$DQ$2,$DP$4,$DP$5,$DP$6,$DP$7,$DP$8,$DQ$3)/100</f>
        <v>0.97</v>
      </c>
      <c r="DV103" s="365">
        <f>_xll.LVCELL($DP$3,DV$3,$DP103,$DQ$2,$DP$4,$DP$5,$DP$6,$DP$7,$DP$8,$DQ$3)/100</f>
        <v>0.97</v>
      </c>
      <c r="DW103" s="365">
        <f>_xll.LVCELL($DP$3,DW$3,$DP103,$DQ$2,$DP$4,$DP$5,$DP$6,$DP$7,$DP$8,$DQ$3)/100</f>
        <v>0.97</v>
      </c>
      <c r="DX103" s="365">
        <f>_xll.LVCELL($DP$3,DX$3,$DP103,$DQ$2,$DP$4,$DP$5,$DP$6,$DP$7,$DP$8,$DQ$3)/100</f>
        <v>0.97</v>
      </c>
      <c r="DY103" s="365">
        <f>_xll.LVCELL($DP$3,DY$3,$DP103,$DQ$2,$DP$4,$DP$5,$DP$6,$DP$7,$DP$8,$DQ$3)/100</f>
        <v>0.97</v>
      </c>
      <c r="DZ103" s="365">
        <f>_xll.LVCELL($DP$3,DZ$3,$DP103,$DQ$2,$DP$4,$DP$5,$DP$6,$DP$7,$DP$8,$DQ$3)/100</f>
        <v>0.97</v>
      </c>
      <c r="EA103" s="365">
        <f>_xll.LVCELL($DP$3,EA$3,$DP103,$DQ$2,$DP$4,$DP$5,$DP$6,$DP$7,$DP$8,$DQ$3)/100</f>
        <v>0.97</v>
      </c>
      <c r="EB103" s="365">
        <f>_xll.LVCELL($DP$3,EB$3,$DP103,$DQ$2,$DP$4,$DP$5,$DP$6,$DP$7,$DP$8,$DQ$3)/100</f>
        <v>0.97</v>
      </c>
      <c r="EC103" s="365">
        <f>_xll.LVCELL($DP$3,EC$3,$DP103,$DQ$2,$DP$4,$DP$5,$DP$6,$DP$7,$DP$8,$DQ$3)/100</f>
        <v>0.97</v>
      </c>
      <c r="ED103" s="582">
        <f t="shared" si="138"/>
        <v>11.64</v>
      </c>
      <c r="EF103" s="64" t="s">
        <v>501</v>
      </c>
      <c r="EG103" s="64" t="s">
        <v>501</v>
      </c>
      <c r="EH103" s="359" t="s">
        <v>834</v>
      </c>
      <c r="EI103" s="366" t="e">
        <f ca="1">_xll.LVCELL($EG$3,EI$3,$DP103,$DQ$2,$DP$4,$DP$5,$DP$6,$DP$7,$DP$8,$DQ$3)-CW103</f>
        <v>#NAME?</v>
      </c>
      <c r="EJ103" s="367" t="e">
        <f ca="1">_xll.LVCELL($EG$3,EJ$3,$DP103,$DQ$2,$DP$4,$DP$5,$DP$6,$DP$7,$DP$8,$DQ$3)-CX103</f>
        <v>#NAME?</v>
      </c>
      <c r="EK103" s="368" t="e">
        <f ca="1">_xll.LVCELL($EG$3,EK$3,$DP103,$DQ$2,$DP$4,$DP$5,$DP$6,$DP$7,$DP$8,$DQ$3)-CY103</f>
        <v>#NAME?</v>
      </c>
      <c r="EL103" s="367" t="e">
        <f ca="1">_xll.LVCELL($EG$3,EL$3,$DP103,$DQ$2,$DP$4,$DP$5,$DP$6,$DP$7,$DP$8,$DQ$3)-CZ103</f>
        <v>#NAME?</v>
      </c>
      <c r="EM103" s="368" t="e">
        <f ca="1">_xll.LVCELL($EG$3,EM$3,$DP103,$DQ$2,$DP$4,$DP$5,$DP$6,$DP$7,$DP$8,$DQ$3)-DA103</f>
        <v>#NAME?</v>
      </c>
      <c r="EN103" s="367" t="e">
        <f ca="1">_xll.LVCELL($EG$3,EN$3,$DP103,$DQ$2,$DP$4,$DP$5,$DP$6,$DP$7,$DP$8,$DQ$3)-DB103</f>
        <v>#NAME?</v>
      </c>
      <c r="EO103" s="368" t="e">
        <f ca="1">_xll.LVCELL($EG$3,EO$3,$DP103,$DQ$2,$DP$4,$DP$5,$DP$6,$DP$7,$DP$8,$DQ$3)-DC103</f>
        <v>#NAME?</v>
      </c>
      <c r="EP103" s="367" t="e">
        <f ca="1">_xll.LVCELL($EG$3,EP$3,$DP103,$DQ$2,$DP$4,$DP$5,$DP$6,$DP$7,$DP$8,$DQ$3)-DD103</f>
        <v>#NAME?</v>
      </c>
      <c r="EQ103" s="368" t="e">
        <f ca="1">_xll.LVCELL($EG$3,EQ$3,$DP103,$DQ$2,$DP$4,$DP$5,$DP$6,$DP$7,$DP$8,$DQ$3)-DE103</f>
        <v>#NAME?</v>
      </c>
      <c r="ER103" s="367" t="e">
        <f ca="1">_xll.LVCELL($EG$3,ER$3,$DP103,$DQ$2,$DP$4,$DP$5,$DP$6,$DP$7,$DP$8,$DQ$3)-DF103</f>
        <v>#NAME?</v>
      </c>
      <c r="ES103" s="368" t="e">
        <f ca="1">_xll.LVCELL($EG$3,ES$3,$DP103,$DQ$2,$DP$4,$DP$5,$DP$6,$DP$7,$DP$8,$DQ$3)-DG103</f>
        <v>#NAME?</v>
      </c>
      <c r="ET103" s="367" t="e">
        <f ca="1">_xll.LVCELL($EG$3,ET$3,$DP103,$DQ$2,$DP$4,$DP$5,$DP$6,$DP$7,$DP$8,$DQ$3)-DH103</f>
        <v>#NAME?</v>
      </c>
      <c r="EW103" s="64" t="s">
        <v>501</v>
      </c>
      <c r="EX103" s="64" t="s">
        <v>501</v>
      </c>
      <c r="EY103" s="587" t="s">
        <v>834</v>
      </c>
      <c r="EZ103" s="364">
        <f>_xll.LVCELL($EX$3,EZ$3,$DP103,$DQ$2,$DP$4,$DP$5,$DP$6,$DP$7,$DP$8,$DQ$3)</f>
        <v>4000</v>
      </c>
      <c r="FA103" s="364">
        <f>_xll.LVCELL($EX$3,FA$3,$DP103,$DQ$2,$DP$4,$DP$5,$DP$6,$DP$7,$DP$8,$DQ$3)</f>
        <v>4000</v>
      </c>
      <c r="FB103" s="364">
        <f>_xll.LVCELL($EX$3,FB$3,$DP103,$DQ$2,$DP$4,$DP$5,$DP$6,$DP$7,$DP$8,$DQ$3)</f>
        <v>4000</v>
      </c>
      <c r="FC103" s="364">
        <f>_xll.LVCELL($EX$3,FC$3,$DP103,$DQ$2,$DP$4,$DP$5,$DP$6,$DP$7,$DP$8,$DQ$3)</f>
        <v>4000</v>
      </c>
      <c r="FD103" s="364">
        <f>_xll.LVCELL($EX$3,FD$3,$DP103,$DQ$2,$DP$4,$DP$5,$DP$6,$DP$7,$DP$8,$DQ$3)</f>
        <v>4000</v>
      </c>
      <c r="FE103" s="364">
        <f>_xll.LVCELL($EX$3,FE$3,$DP103,$DQ$2,$DP$4,$DP$5,$DP$6,$DP$7,$DP$8,$DQ$3)</f>
        <v>4000</v>
      </c>
      <c r="FF103" s="364">
        <f>_xll.LVCELL($EX$3,FF$3,$DP103,$DQ$2,$DP$4,$DP$5,$DP$6,$DP$7,$DP$8,$DQ$3)</f>
        <v>4000</v>
      </c>
      <c r="FG103" s="364">
        <f>_xll.LVCELL($EX$3,FG$3,$DP103,$DQ$2,$DP$4,$DP$5,$DP$6,$DP$7,$DP$8,$DQ$3)</f>
        <v>4000</v>
      </c>
      <c r="FH103" s="364">
        <f>_xll.LVCELL($EX$3,FH$3,$DP103,$DQ$2,$DP$4,$DP$5,$DP$6,$DP$7,$DP$8,$DQ$3)</f>
        <v>4000</v>
      </c>
      <c r="FI103" s="364">
        <f>_xll.LVCELL($EX$3,FI$3,$DP103,$DQ$2,$DP$4,$DP$5,$DP$6,$DP$7,$DP$8,$DQ$3)</f>
        <v>4000</v>
      </c>
      <c r="FJ103" s="364">
        <f>_xll.LVCELL($EX$3,FJ$3,$DP103,$DQ$2,$DP$4,$DP$5,$DP$6,$DP$7,$DP$8,$DQ$3)</f>
        <v>4000</v>
      </c>
      <c r="FK103" s="285">
        <f>_xll.LVCELL($EX$3,FK$3,$DP103,$DQ$2,$DP$4,$DP$5,$DP$6,$DP$7,$DP$8,$DQ$3)</f>
        <v>4000</v>
      </c>
      <c r="FN103" s="64" t="s">
        <v>501</v>
      </c>
      <c r="FO103" s="64" t="s">
        <v>501</v>
      </c>
      <c r="FP103" s="587" t="s">
        <v>834</v>
      </c>
      <c r="FQ103" s="364">
        <f>_xll.LVCELL($FO$3,FQ$3,$DP103,$DQ$2,$DP$4,$DP$5,$DP$6,$DP$7,$DP$8,$DQ$3)</f>
        <v>0</v>
      </c>
      <c r="FR103" s="364">
        <f>_xll.LVCELL($FO$3,FR$3,$DP103,$DQ$2,$DP$4,$DP$5,$DP$6,$DP$7,$DP$8,$DQ$3)</f>
        <v>0</v>
      </c>
      <c r="FS103" s="364">
        <f>_xll.LVCELL($FO$3,FS$3,$DP103,$DQ$2,$DP$4,$DP$5,$DP$6,$DP$7,$DP$8,$DQ$3)</f>
        <v>0</v>
      </c>
      <c r="FT103" s="364">
        <f>_xll.LVCELL($FO$3,FT$3,$DP103,$DQ$2,$DP$4,$DP$5,$DP$6,$DP$7,$DP$8,$DQ$3)</f>
        <v>0</v>
      </c>
      <c r="FU103" s="364">
        <f>_xll.LVCELL($FO$3,FU$3,$DP103,$DQ$2,$DP$4,$DP$5,$DP$6,$DP$7,$DP$8,$DQ$3)</f>
        <v>0</v>
      </c>
      <c r="FV103" s="364">
        <f>_xll.LVCELL($FO$3,FV$3,$DP103,$DQ$2,$DP$4,$DP$5,$DP$6,$DP$7,$DP$8,$DQ$3)</f>
        <v>0</v>
      </c>
      <c r="FW103" s="364">
        <f>_xll.LVCELL($FO$3,FW$3,$DP103,$DQ$2,$DP$4,$DP$5,$DP$6,$DP$7,$DP$8,$DQ$3)</f>
        <v>0</v>
      </c>
      <c r="FX103" s="364">
        <f>_xll.LVCELL($FO$3,FX$3,$DP103,$DQ$2,$DP$4,$DP$5,$DP$6,$DP$7,$DP$8,$DQ$3)</f>
        <v>0</v>
      </c>
      <c r="FY103" s="364">
        <f>_xll.LVCELL($FO$3,FY$3,$DP103,$DQ$2,$DP$4,$DP$5,$DP$6,$DP$7,$DP$8,$DQ$3)</f>
        <v>0</v>
      </c>
      <c r="FZ103" s="364">
        <f>_xll.LVCELL($FO$3,FZ$3,$DP103,$DQ$2,$DP$4,$DP$5,$DP$6,$DP$7,$DP$8,$DQ$3)</f>
        <v>0</v>
      </c>
      <c r="GA103" s="364">
        <f>_xll.LVCELL($FO$3,GA$3,$DP103,$DQ$2,$DP$4,$DP$5,$DP$6,$DP$7,$DP$8,$DQ$3)</f>
        <v>0</v>
      </c>
      <c r="GB103" s="172">
        <f>_xll.LVCELL($FO$3,GB$3,$DP103,$DQ$2,$DP$4,$DP$5,$DP$6,$DP$7,$DP$8,$DQ$3)</f>
        <v>0</v>
      </c>
      <c r="GC103" s="64" t="s">
        <v>3293</v>
      </c>
    </row>
    <row r="104" spans="2:185" ht="15">
      <c r="B104" s="64" t="s">
        <v>830</v>
      </c>
      <c r="C104" s="64" t="s">
        <v>830</v>
      </c>
      <c r="D104" s="359" t="s">
        <v>2650</v>
      </c>
      <c r="E104" s="357">
        <f>_xll.LVCELL($C$3,Q$3,$C104,$D$2,$C$4,$C$5,$C$6,$C$7,$C$8,$D$3)/1000</f>
        <v>0</v>
      </c>
      <c r="F104" s="738">
        <v>0</v>
      </c>
      <c r="G104" s="738">
        <v>0</v>
      </c>
      <c r="H104" s="738">
        <v>0</v>
      </c>
      <c r="I104" s="738">
        <v>0</v>
      </c>
      <c r="J104" s="738">
        <v>0</v>
      </c>
      <c r="K104" s="738">
        <v>0</v>
      </c>
      <c r="L104" s="738">
        <v>0</v>
      </c>
      <c r="M104" s="738">
        <v>0</v>
      </c>
      <c r="N104" s="738">
        <v>0</v>
      </c>
      <c r="O104" s="738">
        <v>0</v>
      </c>
      <c r="P104" s="738">
        <v>0</v>
      </c>
      <c r="Q104" s="738">
        <v>0</v>
      </c>
      <c r="R104" s="67">
        <f t="shared" si="92"/>
        <v>0</v>
      </c>
      <c r="S104" s="358"/>
      <c r="W104" s="113" t="str">
        <f t="shared" si="93"/>
        <v>E5020</v>
      </c>
      <c r="X104" s="359" t="str">
        <f t="shared" si="94"/>
        <v>Blendecques Elec</v>
      </c>
      <c r="Y104" s="377"/>
      <c r="Z104" s="377"/>
      <c r="AA104" s="377"/>
      <c r="AB104" s="377"/>
      <c r="AC104" s="377"/>
      <c r="AD104" s="377"/>
      <c r="AE104" s="377"/>
      <c r="AF104" s="377"/>
      <c r="AG104" s="377"/>
      <c r="AH104" s="377"/>
      <c r="AI104" s="377"/>
      <c r="AJ104" s="378"/>
      <c r="AK104" s="552"/>
      <c r="AL104" s="134">
        <f t="shared" si="95"/>
        <v>2.3E-2</v>
      </c>
      <c r="AM104" s="134"/>
      <c r="AN104" s="134"/>
      <c r="AO104" s="134"/>
      <c r="AP104" s="113" t="str">
        <f t="shared" si="132"/>
        <v>E5020</v>
      </c>
      <c r="AQ104" s="567" t="str">
        <f t="shared" si="133"/>
        <v>Blendecques Elec</v>
      </c>
      <c r="AR104" s="377"/>
      <c r="AS104" s="377"/>
      <c r="AT104" s="377"/>
      <c r="AU104" s="377"/>
      <c r="AV104" s="377"/>
      <c r="AW104" s="377"/>
      <c r="AX104" s="377"/>
      <c r="AY104" s="377"/>
      <c r="AZ104" s="377"/>
      <c r="BA104" s="377"/>
      <c r="BB104" s="377"/>
      <c r="BC104" s="378"/>
      <c r="BD104" s="552"/>
      <c r="BE104" s="134"/>
      <c r="BF104" s="134"/>
      <c r="BG104" s="134"/>
      <c r="BH104" s="134"/>
      <c r="BI104" s="113" t="str">
        <f t="shared" si="134"/>
        <v>E5020</v>
      </c>
      <c r="BJ104" s="567" t="str">
        <f t="shared" si="135"/>
        <v>Blendecques Elec</v>
      </c>
      <c r="BK104" s="377"/>
      <c r="BL104" s="377"/>
      <c r="BM104" s="377"/>
      <c r="BN104" s="377"/>
      <c r="BO104" s="377"/>
      <c r="BP104" s="377"/>
      <c r="BQ104" s="377"/>
      <c r="BR104" s="377"/>
      <c r="BS104" s="377"/>
      <c r="BT104" s="377"/>
      <c r="BU104" s="377"/>
      <c r="BV104" s="378"/>
      <c r="BW104" s="552"/>
      <c r="BX104" s="134"/>
      <c r="BY104" s="134"/>
      <c r="BZ104" s="134"/>
      <c r="CA104" s="134"/>
      <c r="CB104" s="113" t="str">
        <f t="shared" si="99"/>
        <v>E5020</v>
      </c>
      <c r="CC104" s="373" t="str">
        <f t="shared" si="100"/>
        <v>Blendecques Elec</v>
      </c>
      <c r="CD104" s="377">
        <f t="shared" si="136"/>
        <v>0</v>
      </c>
      <c r="CE104" s="377">
        <f t="shared" si="101"/>
        <v>0</v>
      </c>
      <c r="CF104" s="377">
        <f t="shared" si="102"/>
        <v>0</v>
      </c>
      <c r="CG104" s="377">
        <f t="shared" si="103"/>
        <v>0</v>
      </c>
      <c r="CH104" s="377">
        <f t="shared" si="104"/>
        <v>0</v>
      </c>
      <c r="CI104" s="377">
        <f t="shared" si="105"/>
        <v>0</v>
      </c>
      <c r="CJ104" s="377">
        <f t="shared" si="106"/>
        <v>0</v>
      </c>
      <c r="CK104" s="377">
        <f t="shared" si="107"/>
        <v>0</v>
      </c>
      <c r="CL104" s="377">
        <f t="shared" si="108"/>
        <v>0</v>
      </c>
      <c r="CM104" s="377">
        <f t="shared" si="109"/>
        <v>0</v>
      </c>
      <c r="CN104" s="377">
        <f t="shared" si="110"/>
        <v>0</v>
      </c>
      <c r="CO104" s="378">
        <f t="shared" si="111"/>
        <v>0</v>
      </c>
      <c r="CP104" s="552"/>
      <c r="CQ104" s="134">
        <f t="shared" si="112"/>
        <v>4.0000000000000001E-3</v>
      </c>
      <c r="CU104" s="113" t="str">
        <f t="shared" si="113"/>
        <v>E5020</v>
      </c>
      <c r="CV104" s="373" t="str">
        <f t="shared" si="114"/>
        <v>Blendecques Elec</v>
      </c>
      <c r="CW104" s="389">
        <f t="shared" si="115"/>
        <v>0</v>
      </c>
      <c r="CX104" s="390">
        <f t="shared" si="116"/>
        <v>0</v>
      </c>
      <c r="CY104" s="390">
        <f t="shared" si="117"/>
        <v>0</v>
      </c>
      <c r="CZ104" s="390">
        <f t="shared" si="118"/>
        <v>0</v>
      </c>
      <c r="DA104" s="390">
        <f t="shared" si="119"/>
        <v>0</v>
      </c>
      <c r="DB104" s="390">
        <f t="shared" si="120"/>
        <v>0</v>
      </c>
      <c r="DC104" s="390">
        <f t="shared" si="121"/>
        <v>0</v>
      </c>
      <c r="DD104" s="390">
        <f t="shared" si="122"/>
        <v>0</v>
      </c>
      <c r="DE104" s="390">
        <f t="shared" si="123"/>
        <v>0</v>
      </c>
      <c r="DF104" s="390">
        <f t="shared" si="124"/>
        <v>0</v>
      </c>
      <c r="DG104" s="390">
        <f t="shared" si="125"/>
        <v>0</v>
      </c>
      <c r="DH104" s="391">
        <f t="shared" si="126"/>
        <v>0</v>
      </c>
      <c r="DI104" s="67">
        <f t="shared" si="127"/>
        <v>0</v>
      </c>
      <c r="DJ104" s="364">
        <f>_xll.LVCELL($E$1,Q$2,$C104,$D$2,$C$4,$C$5,$C$6,$C$7,$C$8,$D$3)+_xll.LVCELL($E$2,Q$2,$C104,$D$2,$C$4,$C$5,$C$6,$C$7,$C$8,$D$3)</f>
        <v>0</v>
      </c>
      <c r="DK104" s="82">
        <f t="shared" si="137"/>
        <v>0</v>
      </c>
      <c r="DM104" s="518" t="e">
        <f t="shared" si="128"/>
        <v>#DIV/0!</v>
      </c>
      <c r="DO104" s="64" t="str">
        <f t="shared" si="129"/>
        <v>E5020</v>
      </c>
      <c r="DP104" s="64" t="str">
        <f t="shared" si="130"/>
        <v>E5020</v>
      </c>
      <c r="DQ104" s="359" t="str">
        <f t="shared" si="131"/>
        <v>Blendecques Elec</v>
      </c>
      <c r="DR104" s="504">
        <f>_xll.LVCELL($DP$3,DR$3,$DP104,$DQ$2,$DP$4,$DP$5,$DP$6,$DP$7,$DP$8,$DQ$3)/100</f>
        <v>0</v>
      </c>
      <c r="DS104" s="504">
        <f>_xll.LVCELL($DP$3,DS$3,$DP104,$DQ$2,$DP$4,$DP$5,$DP$6,$DP$7,$DP$8,$DQ$3)/100</f>
        <v>0</v>
      </c>
      <c r="DT104" s="504">
        <f>_xll.LVCELL($DP$3,DT$3,$DP104,$DQ$2,$DP$4,$DP$5,$DP$6,$DP$7,$DP$8,$DQ$3)/100</f>
        <v>0</v>
      </c>
      <c r="DU104" s="504">
        <f>_xll.LVCELL($DP$3,DU$3,$DP104,$DQ$2,$DP$4,$DP$5,$DP$6,$DP$7,$DP$8,$DQ$3)/100</f>
        <v>0</v>
      </c>
      <c r="DV104" s="504">
        <f>_xll.LVCELL($DP$3,DV$3,$DP104,$DQ$2,$DP$4,$DP$5,$DP$6,$DP$7,$DP$8,$DQ$3)/100</f>
        <v>0</v>
      </c>
      <c r="DW104" s="504">
        <f>_xll.LVCELL($DP$3,DW$3,$DP104,$DQ$2,$DP$4,$DP$5,$DP$6,$DP$7,$DP$8,$DQ$3)/100</f>
        <v>0</v>
      </c>
      <c r="DX104" s="504">
        <f>_xll.LVCELL($DP$3,DX$3,$DP104,$DQ$2,$DP$4,$DP$5,$DP$6,$DP$7,$DP$8,$DQ$3)/100</f>
        <v>0</v>
      </c>
      <c r="DY104" s="504">
        <f>_xll.LVCELL($DP$3,DY$3,$DP104,$DQ$2,$DP$4,$DP$5,$DP$6,$DP$7,$DP$8,$DQ$3)/100</f>
        <v>0</v>
      </c>
      <c r="DZ104" s="504">
        <f>_xll.LVCELL($DP$3,DZ$3,$DP104,$DQ$2,$DP$4,$DP$5,$DP$6,$DP$7,$DP$8,$DQ$3)/100</f>
        <v>0</v>
      </c>
      <c r="EA104" s="504">
        <f>_xll.LVCELL($DP$3,EA$3,$DP104,$DQ$2,$DP$4,$DP$5,$DP$6,$DP$7,$DP$8,$DQ$3)/100</f>
        <v>0</v>
      </c>
      <c r="EB104" s="504">
        <f>_xll.LVCELL($DP$3,EB$3,$DP104,$DQ$2,$DP$4,$DP$5,$DP$6,$DP$7,$DP$8,$DQ$3)/100</f>
        <v>0</v>
      </c>
      <c r="EC104" s="504">
        <f>_xll.LVCELL($DP$3,EC$3,$DP104,$DQ$2,$DP$4,$DP$5,$DP$6,$DP$7,$DP$8,$DQ$3)/100</f>
        <v>0</v>
      </c>
      <c r="ED104" s="583">
        <f t="shared" si="138"/>
        <v>0</v>
      </c>
      <c r="EF104" s="64" t="s">
        <v>830</v>
      </c>
      <c r="EG104" s="64" t="s">
        <v>830</v>
      </c>
      <c r="EH104" s="359" t="s">
        <v>831</v>
      </c>
      <c r="EI104" s="366">
        <f>_xll.LVCELL($EG$3,EI$3,$DP104,$DQ$2,$DP$4,$DP$5,$DP$6,$DP$7,$DP$8,$DQ$3)-CW104</f>
        <v>0</v>
      </c>
      <c r="EJ104" s="367">
        <f>_xll.LVCELL($EG$3,EJ$3,$DP104,$DQ$2,$DP$4,$DP$5,$DP$6,$DP$7,$DP$8,$DQ$3)-CX104</f>
        <v>0</v>
      </c>
      <c r="EK104" s="368">
        <f>_xll.LVCELL($EG$3,EK$3,$DP104,$DQ$2,$DP$4,$DP$5,$DP$6,$DP$7,$DP$8,$DQ$3)-CY104</f>
        <v>0</v>
      </c>
      <c r="EL104" s="367">
        <f>_xll.LVCELL($EG$3,EL$3,$DP104,$DQ$2,$DP$4,$DP$5,$DP$6,$DP$7,$DP$8,$DQ$3)-CZ104</f>
        <v>0</v>
      </c>
      <c r="EM104" s="368">
        <f>_xll.LVCELL($EG$3,EM$3,$DP104,$DQ$2,$DP$4,$DP$5,$DP$6,$DP$7,$DP$8,$DQ$3)-DA104</f>
        <v>0</v>
      </c>
      <c r="EN104" s="367">
        <f>_xll.LVCELL($EG$3,EN$3,$DP104,$DQ$2,$DP$4,$DP$5,$DP$6,$DP$7,$DP$8,$DQ$3)-DB104</f>
        <v>0</v>
      </c>
      <c r="EO104" s="368">
        <f>_xll.LVCELL($EG$3,EO$3,$DP104,$DQ$2,$DP$4,$DP$5,$DP$6,$DP$7,$DP$8,$DQ$3)-DC104</f>
        <v>0</v>
      </c>
      <c r="EP104" s="367">
        <f>_xll.LVCELL($EG$3,EP$3,$DP104,$DQ$2,$DP$4,$DP$5,$DP$6,$DP$7,$DP$8,$DQ$3)-DD104</f>
        <v>0</v>
      </c>
      <c r="EQ104" s="368">
        <f>_xll.LVCELL($EG$3,EQ$3,$DP104,$DQ$2,$DP$4,$DP$5,$DP$6,$DP$7,$DP$8,$DQ$3)-DE104</f>
        <v>0</v>
      </c>
      <c r="ER104" s="367">
        <f>_xll.LVCELL($EG$3,ER$3,$DP104,$DQ$2,$DP$4,$DP$5,$DP$6,$DP$7,$DP$8,$DQ$3)-DF104</f>
        <v>0</v>
      </c>
      <c r="ES104" s="368">
        <f>_xll.LVCELL($EG$3,ES$3,$DP104,$DQ$2,$DP$4,$DP$5,$DP$6,$DP$7,$DP$8,$DQ$3)-DG104</f>
        <v>0</v>
      </c>
      <c r="ET104" s="367">
        <f>_xll.LVCELL($EG$3,ET$3,$DP104,$DQ$2,$DP$4,$DP$5,$DP$6,$DP$7,$DP$8,$DQ$3)-DH104</f>
        <v>0</v>
      </c>
      <c r="EW104" s="64" t="s">
        <v>830</v>
      </c>
      <c r="EX104" s="64" t="s">
        <v>830</v>
      </c>
      <c r="EY104" s="359" t="s">
        <v>831</v>
      </c>
      <c r="EZ104" s="505">
        <f>_xll.LVCELL($EX$3,EZ$3,$DP104,$DQ$2,$DP$4,$DP$5,$DP$6,$DP$7,$DP$8,$DQ$3)</f>
        <v>0</v>
      </c>
      <c r="FA104" s="505">
        <f>_xll.LVCELL($EX$3,FA$3,$DP104,$DQ$2,$DP$4,$DP$5,$DP$6,$DP$7,$DP$8,$DQ$3)</f>
        <v>0</v>
      </c>
      <c r="FB104" s="505">
        <f>_xll.LVCELL($EX$3,FB$3,$DP104,$DQ$2,$DP$4,$DP$5,$DP$6,$DP$7,$DP$8,$DQ$3)</f>
        <v>0</v>
      </c>
      <c r="FC104" s="505">
        <f>_xll.LVCELL($EX$3,FC$3,$DP104,$DQ$2,$DP$4,$DP$5,$DP$6,$DP$7,$DP$8,$DQ$3)</f>
        <v>0</v>
      </c>
      <c r="FD104" s="505">
        <f>_xll.LVCELL($EX$3,FD$3,$DP104,$DQ$2,$DP$4,$DP$5,$DP$6,$DP$7,$DP$8,$DQ$3)</f>
        <v>0</v>
      </c>
      <c r="FE104" s="505">
        <f>_xll.LVCELL($EX$3,FE$3,$DP104,$DQ$2,$DP$4,$DP$5,$DP$6,$DP$7,$DP$8,$DQ$3)</f>
        <v>0</v>
      </c>
      <c r="FF104" s="505">
        <f>_xll.LVCELL($EX$3,FF$3,$DP104,$DQ$2,$DP$4,$DP$5,$DP$6,$DP$7,$DP$8,$DQ$3)</f>
        <v>0</v>
      </c>
      <c r="FG104" s="505">
        <f>_xll.LVCELL($EX$3,FG$3,$DP104,$DQ$2,$DP$4,$DP$5,$DP$6,$DP$7,$DP$8,$DQ$3)</f>
        <v>0</v>
      </c>
      <c r="FH104" s="505">
        <f>_xll.LVCELL($EX$3,FH$3,$DP104,$DQ$2,$DP$4,$DP$5,$DP$6,$DP$7,$DP$8,$DQ$3)</f>
        <v>0</v>
      </c>
      <c r="FI104" s="505">
        <f>_xll.LVCELL($EX$3,FI$3,$DP104,$DQ$2,$DP$4,$DP$5,$DP$6,$DP$7,$DP$8,$DQ$3)</f>
        <v>0</v>
      </c>
      <c r="FJ104" s="505">
        <f>_xll.LVCELL($EX$3,FJ$3,$DP104,$DQ$2,$DP$4,$DP$5,$DP$6,$DP$7,$DP$8,$DQ$3)</f>
        <v>0</v>
      </c>
      <c r="FK104" s="505">
        <f>_xll.LVCELL($EX$3,FK$3,$DP104,$DQ$2,$DP$4,$DP$5,$DP$6,$DP$7,$DP$8,$DQ$3)</f>
        <v>0</v>
      </c>
      <c r="FN104" s="64" t="s">
        <v>830</v>
      </c>
      <c r="FO104" s="64" t="s">
        <v>830</v>
      </c>
      <c r="FP104" s="359" t="s">
        <v>831</v>
      </c>
      <c r="FQ104" s="505">
        <f>_xll.LVCELL($FO$3,FQ$3,$DP104,$DQ$2,$DP$4,$DP$5,$DP$6,$DP$7,$DP$8,$DQ$3)</f>
        <v>0</v>
      </c>
      <c r="FR104" s="505">
        <f>_xll.LVCELL($FO$3,FR$3,$DP104,$DQ$2,$DP$4,$DP$5,$DP$6,$DP$7,$DP$8,$DQ$3)</f>
        <v>0</v>
      </c>
      <c r="FS104" s="505">
        <f>_xll.LVCELL($FO$3,FS$3,$DP104,$DQ$2,$DP$4,$DP$5,$DP$6,$DP$7,$DP$8,$DQ$3)</f>
        <v>0</v>
      </c>
      <c r="FT104" s="505">
        <f>_xll.LVCELL($FO$3,FT$3,$DP104,$DQ$2,$DP$4,$DP$5,$DP$6,$DP$7,$DP$8,$DQ$3)</f>
        <v>0</v>
      </c>
      <c r="FU104" s="505">
        <f>_xll.LVCELL($FO$3,FU$3,$DP104,$DQ$2,$DP$4,$DP$5,$DP$6,$DP$7,$DP$8,$DQ$3)</f>
        <v>0</v>
      </c>
      <c r="FV104" s="505">
        <f>_xll.LVCELL($FO$3,FV$3,$DP104,$DQ$2,$DP$4,$DP$5,$DP$6,$DP$7,$DP$8,$DQ$3)</f>
        <v>0</v>
      </c>
      <c r="FW104" s="505">
        <f>_xll.LVCELL($FO$3,FW$3,$DP104,$DQ$2,$DP$4,$DP$5,$DP$6,$DP$7,$DP$8,$DQ$3)</f>
        <v>0</v>
      </c>
      <c r="FX104" s="505">
        <f>_xll.LVCELL($FO$3,FX$3,$DP104,$DQ$2,$DP$4,$DP$5,$DP$6,$DP$7,$DP$8,$DQ$3)</f>
        <v>0</v>
      </c>
      <c r="FY104" s="505">
        <f>_xll.LVCELL($FO$3,FY$3,$DP104,$DQ$2,$DP$4,$DP$5,$DP$6,$DP$7,$DP$8,$DQ$3)</f>
        <v>0</v>
      </c>
      <c r="FZ104" s="505">
        <f>_xll.LVCELL($FO$3,FZ$3,$DP104,$DQ$2,$DP$4,$DP$5,$DP$6,$DP$7,$DP$8,$DQ$3)</f>
        <v>0</v>
      </c>
      <c r="GA104" s="505">
        <f>_xll.LVCELL($FO$3,GA$3,$DP104,$DQ$2,$DP$4,$DP$5,$DP$6,$DP$7,$DP$8,$DQ$3)</f>
        <v>0</v>
      </c>
      <c r="GB104" s="505">
        <f>_xll.LVCELL($FO$3,GB$3,$DP104,$DQ$2,$DP$4,$DP$5,$DP$6,$DP$7,$DP$8,$DQ$3)</f>
        <v>0</v>
      </c>
    </row>
    <row r="105" spans="2:185" ht="15">
      <c r="B105" s="64" t="s">
        <v>1858</v>
      </c>
      <c r="C105" s="64" t="s">
        <v>1858</v>
      </c>
      <c r="D105" s="359" t="s">
        <v>3029</v>
      </c>
      <c r="E105" s="357">
        <f>_xll.LVCELL($C$3,Q$3,$C105,$D$2,$C$4,$C$5,$C$6,$C$7,$C$8,$D$3)/1000</f>
        <v>35.35</v>
      </c>
      <c r="F105" s="103">
        <f>'distribution mensuelle Prod B22'!$CS$36</f>
        <v>10650977.048044747</v>
      </c>
      <c r="G105" s="103">
        <f>'distribution mensuelle Prod B22'!$CS$37</f>
        <v>9540597.9794908948</v>
      </c>
      <c r="H105" s="103">
        <f>'distribution mensuelle Prod B22'!$CS$38</f>
        <v>9405860.5752347764</v>
      </c>
      <c r="I105" s="103">
        <f>'distribution mensuelle Prod B22'!$CS$39</f>
        <v>8039723.307061336</v>
      </c>
      <c r="J105" s="103">
        <f>'distribution mensuelle Prod B22'!$CS$40</f>
        <v>6988286.9463305324</v>
      </c>
      <c r="K105" s="103">
        <f>'distribution mensuelle Prod B22'!$CS$41</f>
        <v>6138009.5191210601</v>
      </c>
      <c r="L105" s="103">
        <f>'distribution mensuelle Prod B22'!$CS$42</f>
        <v>6177475.0257075941</v>
      </c>
      <c r="M105" s="103">
        <f>'distribution mensuelle Prod B22'!$CS$43</f>
        <v>5525192.5233734567</v>
      </c>
      <c r="N105" s="103">
        <f>'distribution mensuelle Prod B22'!$CS$44</f>
        <v>6577481.1928047379</v>
      </c>
      <c r="O105" s="103">
        <f>'distribution mensuelle Prod B22'!$CS$45</f>
        <v>7797447.5188462976</v>
      </c>
      <c r="P105" s="103">
        <f>'distribution mensuelle Prod B22'!$CS$46</f>
        <v>9789619.6077290699</v>
      </c>
      <c r="Q105" s="103">
        <f>'distribution mensuelle Prod B22'!$CS$47</f>
        <v>10469328.756255496</v>
      </c>
      <c r="R105" s="67">
        <f t="shared" si="92"/>
        <v>97099999.999999985</v>
      </c>
      <c r="S105" s="358"/>
      <c r="W105" s="113" t="str">
        <f t="shared" si="93"/>
        <v>E6010</v>
      </c>
      <c r="X105" s="359" t="str">
        <f t="shared" si="94"/>
        <v>Cham Longe Repowering</v>
      </c>
      <c r="Y105" s="411" cm="1">
        <f t="array" ref="Y105">_xll.LVCELL($D$4,F$1,$B105,$D$2,$C$4,$C$5,$C$6,$C$7,$C$8,$D$3)*1000+_xll.LVCELL($D$5,F$1,$B105,$D$2,$C$4,$C$5,$C$6,$C$7,$C$8,$D$3)*1000</f>
        <v>74.434478999999996</v>
      </c>
      <c r="Z105" s="411" cm="1">
        <f t="array" ref="Z105">_xll.LVCELL($D$4,G$1,$B105,$D$2,$C$4,$C$5,$C$6,$C$7,$C$8,$D$3)*1000+_xll.LVCELL($D$5,G$1,$B105,$D$2,$C$4,$C$5,$C$6,$C$7,$C$8,$D$3)*1000</f>
        <v>84.502688000000006</v>
      </c>
      <c r="AA105" s="411" cm="1">
        <f t="array" ref="AA105">_xll.LVCELL($D$4,H$1,$B105,$D$2,$C$4,$C$5,$C$6,$C$7,$C$8,$D$3)*1000+_xll.LVCELL($D$5,H$1,$B105,$D$2,$C$4,$C$5,$C$6,$C$7,$C$8,$D$3)*1000</f>
        <v>65.685851773489702</v>
      </c>
      <c r="AB105" s="411" cm="1">
        <f t="array" ref="AB105">_xll.LVCELL($D$4,I$1,$B105,$D$2,$C$4,$C$5,$C$6,$C$7,$C$8,$D$3)*1000+_xll.LVCELL($D$5,I$1,$B105,$D$2,$C$4,$C$5,$C$6,$C$7,$C$8,$D$3)*1000</f>
        <v>72.765640409011453</v>
      </c>
      <c r="AC105" s="411" cm="1">
        <f t="array" ref="AC105">_xll.LVCELL($D$4,J$1,$B105,$D$2,$C$4,$C$5,$C$6,$C$7,$C$8,$D$3)*1000+_xll.LVCELL($D$5,J$1,$B105,$D$2,$C$4,$C$5,$C$6,$C$7,$C$8,$D$3)*1000</f>
        <v>77.599261001217513</v>
      </c>
      <c r="AD105" s="411" cm="1">
        <f t="array" ref="AD105">_xll.LVCELL($D$4,K$1,$B105,$D$2,$C$4,$C$5,$C$6,$C$7,$C$8,$D$3)*1000+_xll.LVCELL($D$5,K$1,$B105,$D$2,$C$4,$C$5,$C$6,$C$7,$C$8,$D$3)*1000</f>
        <v>74.039576983998714</v>
      </c>
      <c r="AE105" s="411" cm="1">
        <f t="array" ref="AE105">_xll.LVCELL($D$4,L$1,$B105,$D$2,$C$4,$C$5,$C$6,$C$7,$C$8,$D$3)*1000+_xll.LVCELL($D$5,L$1,$B105,$D$2,$C$4,$C$5,$C$6,$C$7,$C$8,$D$3)*1000</f>
        <v>76.065910977838257</v>
      </c>
      <c r="AF105" s="299">
        <v>74.92</v>
      </c>
      <c r="AG105" s="411">
        <f t="shared" ref="AG105:AH108" si="149">AF105</f>
        <v>74.92</v>
      </c>
      <c r="AH105" s="411">
        <f t="shared" si="149"/>
        <v>74.92</v>
      </c>
      <c r="AI105" s="411">
        <f>AH105</f>
        <v>74.92</v>
      </c>
      <c r="AJ105" s="412">
        <f>$AI105+($AI105*$AL$9)</f>
        <v>76.643159999999995</v>
      </c>
      <c r="AK105" s="414" t="s">
        <v>3412</v>
      </c>
      <c r="AL105" s="134">
        <f t="shared" si="95"/>
        <v>2.3E-2</v>
      </c>
      <c r="AM105" s="134"/>
      <c r="AN105" s="134"/>
      <c r="AO105" s="134"/>
      <c r="AP105" s="113" t="str">
        <f t="shared" si="132"/>
        <v>E6010</v>
      </c>
      <c r="AQ105" s="572" t="str">
        <f t="shared" si="133"/>
        <v>Cham Longe Repowering</v>
      </c>
      <c r="AR105" s="411">
        <v>-5.9844500000000096</v>
      </c>
      <c r="AS105" s="411">
        <v>-6.9544500000000085</v>
      </c>
      <c r="AT105" s="411">
        <v>5.2655499999999904</v>
      </c>
      <c r="AU105" s="411">
        <v>19.655549999999998</v>
      </c>
      <c r="AV105" s="411">
        <v>28.975549999999998</v>
      </c>
      <c r="AW105" s="411">
        <v>23.825549999999993</v>
      </c>
      <c r="AX105" s="411">
        <v>21.765549999999998</v>
      </c>
      <c r="AY105" s="411">
        <v>25.485549999999996</v>
      </c>
      <c r="AZ105" s="411">
        <v>27.605549999999994</v>
      </c>
      <c r="BA105" s="411">
        <v>28.405549999999998</v>
      </c>
      <c r="BB105" s="411">
        <v>9.6155499999999989</v>
      </c>
      <c r="BC105" s="412">
        <v>-0.1003623500000117</v>
      </c>
      <c r="BD105" s="555"/>
      <c r="BE105" s="134"/>
      <c r="BF105" s="134"/>
      <c r="BG105" s="134"/>
      <c r="BH105" s="134"/>
      <c r="BI105" s="113" t="str">
        <f t="shared" si="134"/>
        <v>E6010</v>
      </c>
      <c r="BJ105" s="572" t="str">
        <f t="shared" si="135"/>
        <v>Cham Longe Repowering</v>
      </c>
      <c r="BK105" s="411">
        <v>82.58</v>
      </c>
      <c r="BL105" s="411">
        <v>83.55</v>
      </c>
      <c r="BM105" s="411">
        <v>71.33</v>
      </c>
      <c r="BN105" s="411">
        <v>56.94</v>
      </c>
      <c r="BO105" s="411">
        <v>47.62</v>
      </c>
      <c r="BP105" s="411">
        <v>52.77</v>
      </c>
      <c r="BQ105" s="411">
        <v>54.83</v>
      </c>
      <c r="BR105" s="411">
        <v>51.11</v>
      </c>
      <c r="BS105" s="411">
        <v>48.99</v>
      </c>
      <c r="BT105" s="411">
        <v>48.19</v>
      </c>
      <c r="BU105" s="411">
        <v>66.97999999999999</v>
      </c>
      <c r="BV105" s="412">
        <v>78.41</v>
      </c>
      <c r="BW105" s="555"/>
      <c r="BX105" s="134"/>
      <c r="BY105" s="134"/>
      <c r="BZ105" s="134"/>
      <c r="CA105" s="134"/>
      <c r="CB105" s="113" t="str">
        <f t="shared" si="99"/>
        <v>E6010</v>
      </c>
      <c r="CC105" s="373" t="str">
        <f t="shared" si="100"/>
        <v>Cham Longe Repowering</v>
      </c>
      <c r="CD105" s="411">
        <f t="shared" si="136"/>
        <v>76.595549999999989</v>
      </c>
      <c r="CE105" s="411">
        <f t="shared" si="101"/>
        <v>76.595549999999989</v>
      </c>
      <c r="CF105" s="411">
        <f t="shared" si="102"/>
        <v>76.595549999999989</v>
      </c>
      <c r="CG105" s="411">
        <f t="shared" si="103"/>
        <v>76.595550000000003</v>
      </c>
      <c r="CH105" s="411">
        <f t="shared" si="104"/>
        <v>76.595550000000003</v>
      </c>
      <c r="CI105" s="411">
        <f t="shared" si="105"/>
        <v>76.595550000000003</v>
      </c>
      <c r="CJ105" s="411">
        <f t="shared" si="106"/>
        <v>76.595550000000003</v>
      </c>
      <c r="CK105" s="411">
        <f t="shared" si="107"/>
        <v>76.595550000000003</v>
      </c>
      <c r="CL105" s="411">
        <f t="shared" si="108"/>
        <v>76.595550000000003</v>
      </c>
      <c r="CM105" s="411">
        <f t="shared" si="109"/>
        <v>76.595550000000003</v>
      </c>
      <c r="CN105" s="411">
        <f t="shared" si="110"/>
        <v>76.595549999999989</v>
      </c>
      <c r="CO105" s="412">
        <f t="shared" si="111"/>
        <v>78.309637649999985</v>
      </c>
      <c r="CP105" s="555"/>
      <c r="CQ105" s="134">
        <f t="shared" si="112"/>
        <v>4.0000000000000001E-3</v>
      </c>
      <c r="CU105" s="113" t="str">
        <f t="shared" si="113"/>
        <v>E6010</v>
      </c>
      <c r="CV105" s="373" t="str">
        <f t="shared" si="114"/>
        <v>Cham Longe Repowering</v>
      </c>
      <c r="CW105" s="392">
        <f t="shared" si="115"/>
        <v>815817.44503236364</v>
      </c>
      <c r="CX105" s="392">
        <f t="shared" si="116"/>
        <v>730767.34956799366</v>
      </c>
      <c r="CY105" s="392">
        <f t="shared" si="117"/>
        <v>720447.06398342398</v>
      </c>
      <c r="CZ105" s="392">
        <f t="shared" si="118"/>
        <v>615807.0285521819</v>
      </c>
      <c r="DA105" s="392">
        <f t="shared" si="119"/>
        <v>535271.68221200758</v>
      </c>
      <c r="DB105" s="392">
        <f t="shared" si="120"/>
        <v>470144.21502231312</v>
      </c>
      <c r="DC105" s="392">
        <f t="shared" si="121"/>
        <v>473167.09720533731</v>
      </c>
      <c r="DD105" s="392">
        <f t="shared" si="122"/>
        <v>423205.16018367774</v>
      </c>
      <c r="DE105" s="392">
        <f t="shared" si="123"/>
        <v>503805.78957753495</v>
      </c>
      <c r="DF105" s="392">
        <f t="shared" si="124"/>
        <v>597249.78130216757</v>
      </c>
      <c r="DG105" s="392">
        <f t="shared" si="125"/>
        <v>749841.29814479221</v>
      </c>
      <c r="DH105" s="392">
        <f t="shared" si="126"/>
        <v>819849.34134109295</v>
      </c>
      <c r="DI105" s="67">
        <f t="shared" si="127"/>
        <v>7455373.2521248879</v>
      </c>
      <c r="DJ105" s="364">
        <f>_xll.LVCELL($E$1,Q$2,$C105,$D$2,$C$4,$C$5,$C$6,$C$7,$C$8,$D$3)+_xll.LVCELL($E$2,Q$2,$C105,$D$2,$C$4,$C$5,$C$6,$C$7,$C$8,$D$3)</f>
        <v>7455373.4093980528</v>
      </c>
      <c r="DK105" s="82">
        <f t="shared" si="137"/>
        <v>-0.15727316495031118</v>
      </c>
      <c r="DM105" s="518">
        <f t="shared" si="128"/>
        <v>76.780363049689896</v>
      </c>
      <c r="DO105" s="64" t="str">
        <f t="shared" si="129"/>
        <v>E6010</v>
      </c>
      <c r="DP105" s="64" t="str">
        <f t="shared" si="130"/>
        <v>E6010</v>
      </c>
      <c r="DQ105" s="359" t="str">
        <f t="shared" si="131"/>
        <v>Cham Longe Repowering</v>
      </c>
      <c r="DR105" s="365">
        <f>_xll.LVCELL($DP$3,DR$3,$DP105,$DQ$2,$DP$4,$DP$5,$DP$6,$DP$7,$DP$8,$DQ$3)/100</f>
        <v>0.97</v>
      </c>
      <c r="DS105" s="365">
        <f>_xll.LVCELL($DP$3,DS$3,$DP105,$DQ$2,$DP$4,$DP$5,$DP$6,$DP$7,$DP$8,$DQ$3)/100</f>
        <v>0.97</v>
      </c>
      <c r="DT105" s="365">
        <f>_xll.LVCELL($DP$3,DT$3,$DP105,$DQ$2,$DP$4,$DP$5,$DP$6,$DP$7,$DP$8,$DQ$3)/100</f>
        <v>0.97</v>
      </c>
      <c r="DU105" s="365">
        <f>_xll.LVCELL($DP$3,DU$3,$DP105,$DQ$2,$DP$4,$DP$5,$DP$6,$DP$7,$DP$8,$DQ$3)/100</f>
        <v>0.97</v>
      </c>
      <c r="DV105" s="365">
        <f>_xll.LVCELL($DP$3,DV$3,$DP105,$DQ$2,$DP$4,$DP$5,$DP$6,$DP$7,$DP$8,$DQ$3)/100</f>
        <v>0.97</v>
      </c>
      <c r="DW105" s="365">
        <f>_xll.LVCELL($DP$3,DW$3,$DP105,$DQ$2,$DP$4,$DP$5,$DP$6,$DP$7,$DP$8,$DQ$3)/100</f>
        <v>0.97</v>
      </c>
      <c r="DX105" s="365">
        <f>_xll.LVCELL($DP$3,DX$3,$DP105,$DQ$2,$DP$4,$DP$5,$DP$6,$DP$7,$DP$8,$DQ$3)/100</f>
        <v>0.97</v>
      </c>
      <c r="DY105" s="365">
        <f>_xll.LVCELL($DP$3,DY$3,$DP105,$DQ$2,$DP$4,$DP$5,$DP$6,$DP$7,$DP$8,$DQ$3)/100</f>
        <v>0.97</v>
      </c>
      <c r="DZ105" s="365">
        <f>_xll.LVCELL($DP$3,DZ$3,$DP105,$DQ$2,$DP$4,$DP$5,$DP$6,$DP$7,$DP$8,$DQ$3)/100</f>
        <v>0.97</v>
      </c>
      <c r="EA105" s="365">
        <f>_xll.LVCELL($DP$3,EA$3,$DP105,$DQ$2,$DP$4,$DP$5,$DP$6,$DP$7,$DP$8,$DQ$3)/100</f>
        <v>0.97</v>
      </c>
      <c r="EB105" s="365">
        <f>_xll.LVCELL($DP$3,EB$3,$DP105,$DQ$2,$DP$4,$DP$5,$DP$6,$DP$7,$DP$8,$DQ$3)/100</f>
        <v>0.97</v>
      </c>
      <c r="EC105" s="365">
        <f>_xll.LVCELL($DP$3,EC$3,$DP105,$DQ$2,$DP$4,$DP$5,$DP$6,$DP$7,$DP$8,$DQ$3)/100</f>
        <v>0.97</v>
      </c>
      <c r="ED105" s="582">
        <f t="shared" si="138"/>
        <v>11.64</v>
      </c>
      <c r="EF105" s="64" t="s">
        <v>1858</v>
      </c>
      <c r="EG105" s="64" t="s">
        <v>1858</v>
      </c>
      <c r="EH105" s="359" t="s">
        <v>3029</v>
      </c>
      <c r="EI105" s="393" t="e">
        <f ca="1">_xll.LVCELL($EG$3,EI$3,$DP105,$DQ$2,$DP$4,$DP$5,$DP$6,$DP$7,$DP$8,$DQ$3)-CW105</f>
        <v>#NAME?</v>
      </c>
      <c r="EJ105" s="394" t="e">
        <f ca="1">_xll.LVCELL($EG$3,EJ$3,$DP105,$DQ$2,$DP$4,$DP$5,$DP$6,$DP$7,$DP$8,$DQ$3)-CX105</f>
        <v>#NAME?</v>
      </c>
      <c r="EK105" s="395" t="e">
        <f ca="1">_xll.LVCELL($EG$3,EK$3,$DP105,$DQ$2,$DP$4,$DP$5,$DP$6,$DP$7,$DP$8,$DQ$3)-CY105</f>
        <v>#NAME?</v>
      </c>
      <c r="EL105" s="394" t="e">
        <f ca="1">_xll.LVCELL($EG$3,EL$3,$DP105,$DQ$2,$DP$4,$DP$5,$DP$6,$DP$7,$DP$8,$DQ$3)-CZ105</f>
        <v>#NAME?</v>
      </c>
      <c r="EM105" s="395" t="e">
        <f ca="1">_xll.LVCELL($EG$3,EM$3,$DP105,$DQ$2,$DP$4,$DP$5,$DP$6,$DP$7,$DP$8,$DQ$3)-DA105</f>
        <v>#NAME?</v>
      </c>
      <c r="EN105" s="394" t="e">
        <f ca="1">_xll.LVCELL($EG$3,EN$3,$DP105,$DQ$2,$DP$4,$DP$5,$DP$6,$DP$7,$DP$8,$DQ$3)-DB105</f>
        <v>#NAME?</v>
      </c>
      <c r="EO105" s="395" t="e">
        <f ca="1">_xll.LVCELL($EG$3,EO$3,$DP105,$DQ$2,$DP$4,$DP$5,$DP$6,$DP$7,$DP$8,$DQ$3)-DC105</f>
        <v>#NAME?</v>
      </c>
      <c r="EP105" s="394" t="e">
        <f ca="1">_xll.LVCELL($EG$3,EP$3,$DP105,$DQ$2,$DP$4,$DP$5,$DP$6,$DP$7,$DP$8,$DQ$3)-DD105</f>
        <v>#NAME?</v>
      </c>
      <c r="EQ105" s="395" t="e">
        <f ca="1">_xll.LVCELL($EG$3,EQ$3,$DP105,$DQ$2,$DP$4,$DP$5,$DP$6,$DP$7,$DP$8,$DQ$3)-DE105</f>
        <v>#NAME?</v>
      </c>
      <c r="ER105" s="394" t="e">
        <f ca="1">_xll.LVCELL($EG$3,ER$3,$DP105,$DQ$2,$DP$4,$DP$5,$DP$6,$DP$7,$DP$8,$DQ$3)-DF105</f>
        <v>#NAME?</v>
      </c>
      <c r="ES105" s="395" t="e">
        <f ca="1">_xll.LVCELL($EG$3,ES$3,$DP105,$DQ$2,$DP$4,$DP$5,$DP$6,$DP$7,$DP$8,$DQ$3)-DG105</f>
        <v>#NAME?</v>
      </c>
      <c r="ET105" s="394" t="e">
        <f ca="1">_xll.LVCELL($EG$3,ET$3,$DP105,$DQ$2,$DP$4,$DP$5,$DP$6,$DP$7,$DP$8,$DQ$3)-DH105</f>
        <v>#NAME?</v>
      </c>
      <c r="EW105" s="64" t="str">
        <f>B105</f>
        <v>E6010</v>
      </c>
      <c r="EX105" s="64" t="str">
        <f>C105</f>
        <v>E6010</v>
      </c>
      <c r="EY105" s="359" t="s">
        <v>3029</v>
      </c>
      <c r="EZ105" s="364">
        <f>_xll.LVCELL($EX$3,EZ$3,$DP105,$DQ$2,$DP$4,$DP$5,$DP$6,$DP$7,$DP$8,$DQ$3)</f>
        <v>35350</v>
      </c>
      <c r="FA105" s="364">
        <f>_xll.LVCELL($EX$3,FA$3,$DP105,$DQ$2,$DP$4,$DP$5,$DP$6,$DP$7,$DP$8,$DQ$3)</f>
        <v>35350</v>
      </c>
      <c r="FB105" s="364">
        <f>_xll.LVCELL($EX$3,FB$3,$DP105,$DQ$2,$DP$4,$DP$5,$DP$6,$DP$7,$DP$8,$DQ$3)</f>
        <v>35350</v>
      </c>
      <c r="FC105" s="364">
        <f>_xll.LVCELL($EX$3,FC$3,$DP105,$DQ$2,$DP$4,$DP$5,$DP$6,$DP$7,$DP$8,$DQ$3)</f>
        <v>35350</v>
      </c>
      <c r="FD105" s="364">
        <f>_xll.LVCELL($EX$3,FD$3,$DP105,$DQ$2,$DP$4,$DP$5,$DP$6,$DP$7,$DP$8,$DQ$3)</f>
        <v>35350</v>
      </c>
      <c r="FE105" s="364">
        <f>_xll.LVCELL($EX$3,FE$3,$DP105,$DQ$2,$DP$4,$DP$5,$DP$6,$DP$7,$DP$8,$DQ$3)</f>
        <v>35350</v>
      </c>
      <c r="FF105" s="364">
        <f>_xll.LVCELL($EX$3,FF$3,$DP105,$DQ$2,$DP$4,$DP$5,$DP$6,$DP$7,$DP$8,$DQ$3)</f>
        <v>35350</v>
      </c>
      <c r="FG105" s="364">
        <f>_xll.LVCELL($EX$3,FG$3,$DP105,$DQ$2,$DP$4,$DP$5,$DP$6,$DP$7,$DP$8,$DQ$3)</f>
        <v>35350</v>
      </c>
      <c r="FH105" s="364">
        <f>_xll.LVCELL($EX$3,FH$3,$DP105,$DQ$2,$DP$4,$DP$5,$DP$6,$DP$7,$DP$8,$DQ$3)</f>
        <v>35350</v>
      </c>
      <c r="FI105" s="364">
        <f>_xll.LVCELL($EX$3,FI$3,$DP105,$DQ$2,$DP$4,$DP$5,$DP$6,$DP$7,$DP$8,$DQ$3)</f>
        <v>35350</v>
      </c>
      <c r="FJ105" s="364">
        <f>_xll.LVCELL($EX$3,FJ$3,$DP105,$DQ$2,$DP$4,$DP$5,$DP$6,$DP$7,$DP$8,$DQ$3)</f>
        <v>35350</v>
      </c>
      <c r="FK105" s="276">
        <f>_xll.LVCELL($EX$3,FK$3,$DP105,$DQ$2,$DP$4,$DP$5,$DP$6,$DP$7,$DP$8,$DQ$3)</f>
        <v>35350</v>
      </c>
      <c r="FN105" s="64" t="s">
        <v>1858</v>
      </c>
      <c r="FO105" s="64" t="s">
        <v>1858</v>
      </c>
      <c r="FP105" s="359" t="s">
        <v>3029</v>
      </c>
      <c r="FQ105" s="364">
        <f>_xll.LVCELL($FO$3,FQ$3,$DP105,$DQ$2,$DP$4,$DP$5,$DP$6,$DP$7,$DP$8,$DQ$3)</f>
        <v>12</v>
      </c>
      <c r="FR105" s="364">
        <f>_xll.LVCELL($FO$3,FR$3,$DP105,$DQ$2,$DP$4,$DP$5,$DP$6,$DP$7,$DP$8,$DQ$3)</f>
        <v>12</v>
      </c>
      <c r="FS105" s="364">
        <f>_xll.LVCELL($FO$3,FS$3,$DP105,$DQ$2,$DP$4,$DP$5,$DP$6,$DP$7,$DP$8,$DQ$3)</f>
        <v>12</v>
      </c>
      <c r="FT105" s="364">
        <f>_xll.LVCELL($FO$3,FT$3,$DP105,$DQ$2,$DP$4,$DP$5,$DP$6,$DP$7,$DP$8,$DQ$3)</f>
        <v>12</v>
      </c>
      <c r="FU105" s="364">
        <f>_xll.LVCELL($FO$3,FU$3,$DP105,$DQ$2,$DP$4,$DP$5,$DP$6,$DP$7,$DP$8,$DQ$3)</f>
        <v>12</v>
      </c>
      <c r="FV105" s="364">
        <f>_xll.LVCELL($FO$3,FV$3,$DP105,$DQ$2,$DP$4,$DP$5,$DP$6,$DP$7,$DP$8,$DQ$3)</f>
        <v>12</v>
      </c>
      <c r="FW105" s="364">
        <f>_xll.LVCELL($FO$3,FW$3,$DP105,$DQ$2,$DP$4,$DP$5,$DP$6,$DP$7,$DP$8,$DQ$3)</f>
        <v>12</v>
      </c>
      <c r="FX105" s="364">
        <f>_xll.LVCELL($FO$3,FX$3,$DP105,$DQ$2,$DP$4,$DP$5,$DP$6,$DP$7,$DP$8,$DQ$3)</f>
        <v>12</v>
      </c>
      <c r="FY105" s="364">
        <f>_xll.LVCELL($FO$3,FY$3,$DP105,$DQ$2,$DP$4,$DP$5,$DP$6,$DP$7,$DP$8,$DQ$3)</f>
        <v>12</v>
      </c>
      <c r="FZ105" s="364">
        <f>_xll.LVCELL($FO$3,FZ$3,$DP105,$DQ$2,$DP$4,$DP$5,$DP$6,$DP$7,$DP$8,$DQ$3)</f>
        <v>12</v>
      </c>
      <c r="GA105" s="364">
        <f>_xll.LVCELL($FO$3,GA$3,$DP105,$DQ$2,$DP$4,$DP$5,$DP$6,$DP$7,$DP$8,$DQ$3)</f>
        <v>12</v>
      </c>
      <c r="GB105" s="172">
        <f>_xll.LVCELL($FO$3,GB$3,$DP105,$DQ$2,$DP$4,$DP$5,$DP$6,$DP$7,$DP$8,$DQ$3)</f>
        <v>12</v>
      </c>
    </row>
    <row r="106" spans="2:185" ht="15">
      <c r="B106" s="108" t="s">
        <v>2074</v>
      </c>
      <c r="C106" s="108" t="s">
        <v>2074</v>
      </c>
      <c r="D106" s="359" t="s">
        <v>3027</v>
      </c>
      <c r="E106" s="357">
        <f>_xll.LVCELL($C$3,Q$3,$C106,$D$2,$C$4,$C$5,$C$6,$C$7,$C$8,$D$3)/1000</f>
        <v>11</v>
      </c>
      <c r="F106" s="103">
        <f>'distribution mensuelle Prod B22'!$CT$36</f>
        <v>3366311.1533764317</v>
      </c>
      <c r="G106" s="103">
        <f>'distribution mensuelle Prod B22'!$CT$37</f>
        <v>2838548.6813597688</v>
      </c>
      <c r="H106" s="103">
        <f>'distribution mensuelle Prod B22'!$CT$38</f>
        <v>2897301.1339248247</v>
      </c>
      <c r="I106" s="103">
        <f>'distribution mensuelle Prod B22'!$CT$39</f>
        <v>2388571.7837949824</v>
      </c>
      <c r="J106" s="103">
        <f>'distribution mensuelle Prod B22'!$CT$40</f>
        <v>2231803.7708506333</v>
      </c>
      <c r="K106" s="103">
        <f>'distribution mensuelle Prod B22'!$CT$41</f>
        <v>1850908.9747721169</v>
      </c>
      <c r="L106" s="103">
        <f>'distribution mensuelle Prod B22'!$CT$42</f>
        <v>1807210.4306087294</v>
      </c>
      <c r="M106" s="103">
        <f>'distribution mensuelle Prod B22'!$CT$43</f>
        <v>1795918.0545384665</v>
      </c>
      <c r="N106" s="103">
        <f>'distribution mensuelle Prod B22'!$CT$44</f>
        <v>2145239.2929905965</v>
      </c>
      <c r="O106" s="103">
        <f>'distribution mensuelle Prod B22'!$CT$45</f>
        <v>2881491.8074264564</v>
      </c>
      <c r="P106" s="103">
        <f>'distribution mensuelle Prod B22'!$CT$46</f>
        <v>2830067.2611227003</v>
      </c>
      <c r="Q106" s="103">
        <f>'distribution mensuelle Prod B22'!$CT$47</f>
        <v>3288017.3459559386</v>
      </c>
      <c r="R106" s="67">
        <f t="shared" si="92"/>
        <v>30321389.690721642</v>
      </c>
      <c r="S106" s="379"/>
      <c r="W106" s="113" t="str">
        <f t="shared" si="93"/>
        <v>E6280</v>
      </c>
      <c r="X106" s="359" t="str">
        <f t="shared" si="94"/>
        <v>PBF Blanches Fosses</v>
      </c>
      <c r="Y106" s="411" cm="1">
        <f t="array" ref="Y106">_xll.LVCELL($D$4,F$1,$B106,$D$2,$C$4,$C$5,$C$6,$C$7,$C$8,$D$3)*1000+_xll.LVCELL($D$5,F$1,$B106,$D$2,$C$4,$C$5,$C$6,$C$7,$C$8,$D$3)*1000</f>
        <v>75.465232</v>
      </c>
      <c r="Z106" s="411" cm="1">
        <f t="array" ref="Z106">_xll.LVCELL($D$4,G$1,$B106,$D$2,$C$4,$C$5,$C$6,$C$7,$C$8,$D$3)*1000+_xll.LVCELL($D$5,G$1,$B106,$D$2,$C$4,$C$5,$C$6,$C$7,$C$8,$D$3)*1000</f>
        <v>76.191373999999996</v>
      </c>
      <c r="AA106" s="411" cm="1">
        <f t="array" ref="AA106">_xll.LVCELL($D$4,H$1,$B106,$D$2,$C$4,$C$5,$C$6,$C$7,$C$8,$D$3)*1000+_xll.LVCELL($D$5,H$1,$B106,$D$2,$C$4,$C$5,$C$6,$C$7,$C$8,$D$3)*1000</f>
        <v>74.632492153466558</v>
      </c>
      <c r="AB106" s="411" cm="1">
        <f t="array" ref="AB106">_xll.LVCELL($D$4,I$1,$B106,$D$2,$C$4,$C$5,$C$6,$C$7,$C$8,$D$3)*1000+_xll.LVCELL($D$5,I$1,$B106,$D$2,$C$4,$C$5,$C$6,$C$7,$C$8,$D$3)*1000</f>
        <v>75.654725283787045</v>
      </c>
      <c r="AC106" s="411" cm="1">
        <f t="array" ref="AC106">_xll.LVCELL($D$4,J$1,$B106,$D$2,$C$4,$C$5,$C$6,$C$7,$C$8,$D$3)*1000+_xll.LVCELL($D$5,J$1,$B106,$D$2,$C$4,$C$5,$C$6,$C$7,$C$8,$D$3)*1000</f>
        <v>76.594541346185949</v>
      </c>
      <c r="AD106" s="411" cm="1">
        <f t="array" ref="AD106">_xll.LVCELL($D$4,K$1,$B106,$D$2,$C$4,$C$5,$C$6,$C$7,$C$8,$D$3)*1000+_xll.LVCELL($D$5,K$1,$B106,$D$2,$C$4,$C$5,$C$6,$C$7,$C$8,$D$3)*1000</f>
        <v>75.560227693971427</v>
      </c>
      <c r="AE106" s="411" cm="1">
        <f t="array" ref="AE106">_xll.LVCELL($D$4,L$1,$B106,$D$2,$C$4,$C$5,$C$6,$C$7,$C$8,$D$3)*1000+_xll.LVCELL($D$5,L$1,$B106,$D$2,$C$4,$C$5,$C$6,$C$7,$C$8,$D$3)*1000</f>
        <v>74.515132480639593</v>
      </c>
      <c r="AF106" s="299">
        <v>75.099999999999994</v>
      </c>
      <c r="AG106" s="411">
        <f t="shared" si="149"/>
        <v>75.099999999999994</v>
      </c>
      <c r="AH106" s="411">
        <f t="shared" si="149"/>
        <v>75.099999999999994</v>
      </c>
      <c r="AI106" s="411">
        <f>AH106</f>
        <v>75.099999999999994</v>
      </c>
      <c r="AJ106" s="412">
        <f>AI106</f>
        <v>75.099999999999994</v>
      </c>
      <c r="AK106" s="414" t="s">
        <v>3410</v>
      </c>
      <c r="AL106" s="134">
        <f t="shared" si="95"/>
        <v>2.3E-2</v>
      </c>
      <c r="AM106" s="134"/>
      <c r="AN106" s="134"/>
      <c r="AO106" s="134"/>
      <c r="AP106" s="113" t="str">
        <f t="shared" si="132"/>
        <v>E6280</v>
      </c>
      <c r="AQ106" s="574" t="str">
        <f t="shared" si="133"/>
        <v>PBF Blanches Fosses</v>
      </c>
      <c r="AR106" s="411">
        <v>-3.9823900000000068</v>
      </c>
      <c r="AS106" s="411">
        <v>-4.9523900000000056</v>
      </c>
      <c r="AT106" s="411">
        <v>7.2676099999999932</v>
      </c>
      <c r="AU106" s="411">
        <v>21.657610000000002</v>
      </c>
      <c r="AV106" s="411">
        <v>30.977610000000002</v>
      </c>
      <c r="AW106" s="411">
        <v>25.827609999999996</v>
      </c>
      <c r="AX106" s="411">
        <v>23.767610000000001</v>
      </c>
      <c r="AY106" s="411">
        <v>27.48761</v>
      </c>
      <c r="AZ106" s="411">
        <v>29.607609999999998</v>
      </c>
      <c r="BA106" s="411">
        <v>30.407610000000002</v>
      </c>
      <c r="BB106" s="411">
        <v>11.617610000000003</v>
      </c>
      <c r="BC106" s="412">
        <v>0.18760999999999495</v>
      </c>
      <c r="BD106" s="555"/>
      <c r="BE106" s="134"/>
      <c r="BF106" s="134"/>
      <c r="BG106" s="134"/>
      <c r="BH106" s="134"/>
      <c r="BI106" s="113" t="str">
        <f t="shared" si="134"/>
        <v>E6280</v>
      </c>
      <c r="BJ106" s="574" t="str">
        <f t="shared" si="135"/>
        <v>PBF Blanches Fosses</v>
      </c>
      <c r="BK106" s="411">
        <v>80.81</v>
      </c>
      <c r="BL106" s="411">
        <v>81.78</v>
      </c>
      <c r="BM106" s="411">
        <v>69.56</v>
      </c>
      <c r="BN106" s="411">
        <v>55.169999999999995</v>
      </c>
      <c r="BO106" s="411">
        <v>45.849999999999994</v>
      </c>
      <c r="BP106" s="411">
        <v>51</v>
      </c>
      <c r="BQ106" s="411">
        <v>53.059999999999995</v>
      </c>
      <c r="BR106" s="411">
        <v>49.339999999999996</v>
      </c>
      <c r="BS106" s="411">
        <v>47.22</v>
      </c>
      <c r="BT106" s="411">
        <v>46.419999999999995</v>
      </c>
      <c r="BU106" s="411">
        <v>65.209999999999994</v>
      </c>
      <c r="BV106" s="412">
        <v>76.64</v>
      </c>
      <c r="BW106" s="555"/>
      <c r="BX106" s="134"/>
      <c r="BY106" s="134"/>
      <c r="BZ106" s="134"/>
      <c r="CA106" s="134"/>
      <c r="CB106" s="113" t="str">
        <f t="shared" si="99"/>
        <v>E6280</v>
      </c>
      <c r="CC106" s="373" t="str">
        <f t="shared" si="100"/>
        <v>PBF Blanches Fosses</v>
      </c>
      <c r="CD106" s="411">
        <f t="shared" si="136"/>
        <v>76.827609999999993</v>
      </c>
      <c r="CE106" s="411">
        <f t="shared" si="101"/>
        <v>76.827609999999993</v>
      </c>
      <c r="CF106" s="411">
        <f t="shared" si="102"/>
        <v>76.827609999999993</v>
      </c>
      <c r="CG106" s="411">
        <f t="shared" si="103"/>
        <v>76.827609999999993</v>
      </c>
      <c r="CH106" s="411">
        <f t="shared" si="104"/>
        <v>76.827609999999993</v>
      </c>
      <c r="CI106" s="411">
        <f t="shared" si="105"/>
        <v>76.827609999999993</v>
      </c>
      <c r="CJ106" s="411">
        <f t="shared" si="106"/>
        <v>76.827609999999993</v>
      </c>
      <c r="CK106" s="411">
        <f t="shared" si="107"/>
        <v>76.827609999999993</v>
      </c>
      <c r="CL106" s="411">
        <f t="shared" si="108"/>
        <v>76.827609999999993</v>
      </c>
      <c r="CM106" s="411">
        <f t="shared" si="109"/>
        <v>76.827609999999993</v>
      </c>
      <c r="CN106" s="411">
        <f t="shared" si="110"/>
        <v>76.827609999999993</v>
      </c>
      <c r="CO106" s="412">
        <f t="shared" si="111"/>
        <v>76.827609999999993</v>
      </c>
      <c r="CP106" s="555"/>
      <c r="CQ106" s="134">
        <f t="shared" si="112"/>
        <v>4.0000000000000001E-3</v>
      </c>
      <c r="CU106" s="113" t="str">
        <f t="shared" si="113"/>
        <v>E6280</v>
      </c>
      <c r="CV106" s="373" t="str">
        <f t="shared" si="114"/>
        <v>PBF Blanches Fosses</v>
      </c>
      <c r="CW106" s="392">
        <f t="shared" si="115"/>
        <v>258625.64043025466</v>
      </c>
      <c r="CX106" s="392">
        <f t="shared" si="116"/>
        <v>218078.91105752255</v>
      </c>
      <c r="CY106" s="392">
        <f t="shared" si="117"/>
        <v>222592.72156973416</v>
      </c>
      <c r="CZ106" s="392">
        <f t="shared" si="118"/>
        <v>183508.26146240521</v>
      </c>
      <c r="DA106" s="392">
        <f t="shared" si="119"/>
        <v>171464.1497034418</v>
      </c>
      <c r="DB106" s="392">
        <f t="shared" si="120"/>
        <v>142200.912859292</v>
      </c>
      <c r="DC106" s="392">
        <f t="shared" si="121"/>
        <v>138843.6581507395</v>
      </c>
      <c r="DD106" s="392">
        <f t="shared" si="122"/>
        <v>137976.09188604003</v>
      </c>
      <c r="DE106" s="392">
        <f t="shared" si="123"/>
        <v>164813.60775855725</v>
      </c>
      <c r="DF106" s="392">
        <f t="shared" si="124"/>
        <v>221378.12879915486</v>
      </c>
      <c r="DG106" s="392">
        <f t="shared" si="125"/>
        <v>217427.30381130296</v>
      </c>
      <c r="DH106" s="392">
        <f t="shared" si="126"/>
        <v>252610.51432833789</v>
      </c>
      <c r="DI106" s="67">
        <f t="shared" si="127"/>
        <v>2329519.9018167825</v>
      </c>
      <c r="DJ106" s="364">
        <f>_xll.LVCELL($E$1,Q$2,$C106,$D$2,$C$4,$C$5,$C$6,$C$7,$C$8,$D$3)+_xll.LVCELL($E$2,Q$2,$C106,$D$2,$C$4,$C$5,$C$6,$C$7,$C$8,$D$3)</f>
        <v>2329519.84875029</v>
      </c>
      <c r="DK106" s="82">
        <f t="shared" si="137"/>
        <v>5.3066492546349764E-2</v>
      </c>
      <c r="DM106" s="518">
        <f t="shared" si="128"/>
        <v>76.827609999999993</v>
      </c>
      <c r="DO106" s="64" t="str">
        <f t="shared" si="129"/>
        <v>E6280</v>
      </c>
      <c r="DP106" s="64" t="str">
        <f t="shared" si="130"/>
        <v>E6280</v>
      </c>
      <c r="DQ106" s="359" t="str">
        <f t="shared" si="131"/>
        <v>PBF Blanches Fosses</v>
      </c>
      <c r="DR106" s="365">
        <f>_xll.LVCELL($DP$3,DR$3,$DP106,$DQ$2,$DP$4,$DP$5,$DP$6,$DP$7,$DP$8,$DQ$3)/100</f>
        <v>0.96999999999999986</v>
      </c>
      <c r="DS106" s="365">
        <f>_xll.LVCELL($DP$3,DS$3,$DP106,$DQ$2,$DP$4,$DP$5,$DP$6,$DP$7,$DP$8,$DQ$3)/100</f>
        <v>0.97</v>
      </c>
      <c r="DT106" s="365">
        <f>_xll.LVCELL($DP$3,DT$3,$DP106,$DQ$2,$DP$4,$DP$5,$DP$6,$DP$7,$DP$8,$DQ$3)/100</f>
        <v>0.96999999999999986</v>
      </c>
      <c r="DU106" s="365">
        <f>_xll.LVCELL($DP$3,DU$3,$DP106,$DQ$2,$DP$4,$DP$5,$DP$6,$DP$7,$DP$8,$DQ$3)/100</f>
        <v>0.97</v>
      </c>
      <c r="DV106" s="365">
        <f>_xll.LVCELL($DP$3,DV$3,$DP106,$DQ$2,$DP$4,$DP$5,$DP$6,$DP$7,$DP$8,$DQ$3)/100</f>
        <v>0.96999999999999986</v>
      </c>
      <c r="DW106" s="365">
        <f>_xll.LVCELL($DP$3,DW$3,$DP106,$DQ$2,$DP$4,$DP$5,$DP$6,$DP$7,$DP$8,$DQ$3)/100</f>
        <v>0.97</v>
      </c>
      <c r="DX106" s="365">
        <f>_xll.LVCELL($DP$3,DX$3,$DP106,$DQ$2,$DP$4,$DP$5,$DP$6,$DP$7,$DP$8,$DQ$3)/100</f>
        <v>0.96999999999999986</v>
      </c>
      <c r="DY106" s="365">
        <f>_xll.LVCELL($DP$3,DY$3,$DP106,$DQ$2,$DP$4,$DP$5,$DP$6,$DP$7,$DP$8,$DQ$3)/100</f>
        <v>0.96999999999999986</v>
      </c>
      <c r="DZ106" s="365">
        <f>_xll.LVCELL($DP$3,DZ$3,$DP106,$DQ$2,$DP$4,$DP$5,$DP$6,$DP$7,$DP$8,$DQ$3)/100</f>
        <v>0.97</v>
      </c>
      <c r="EA106" s="365">
        <f>_xll.LVCELL($DP$3,EA$3,$DP106,$DQ$2,$DP$4,$DP$5,$DP$6,$DP$7,$DP$8,$DQ$3)/100</f>
        <v>0.96999999999999986</v>
      </c>
      <c r="EB106" s="365">
        <f>_xll.LVCELL($DP$3,EB$3,$DP106,$DQ$2,$DP$4,$DP$5,$DP$6,$DP$7,$DP$8,$DQ$3)/100</f>
        <v>0.97</v>
      </c>
      <c r="EC106" s="365">
        <f>_xll.LVCELL($DP$3,EC$3,$DP106,$DQ$2,$DP$4,$DP$5,$DP$6,$DP$7,$DP$8,$DQ$3)/100</f>
        <v>0.96999999999999986</v>
      </c>
      <c r="ED106" s="582">
        <f t="shared" si="138"/>
        <v>11.64</v>
      </c>
      <c r="EF106" s="64" t="s">
        <v>2074</v>
      </c>
      <c r="EG106" s="64" t="s">
        <v>2074</v>
      </c>
      <c r="EH106" s="359" t="s">
        <v>3027</v>
      </c>
      <c r="EI106" s="393" t="e">
        <f ca="1">_xll.LVCELL($EG$3,EI$3,$DP106,$DQ$2,$DP$4,$DP$5,$DP$6,$DP$7,$DP$8,$DQ$3)-CW106</f>
        <v>#NAME?</v>
      </c>
      <c r="EJ106" s="394" t="e">
        <f ca="1">_xll.LVCELL($EG$3,EJ$3,$DP106,$DQ$2,$DP$4,$DP$5,$DP$6,$DP$7,$DP$8,$DQ$3)-CX106</f>
        <v>#NAME?</v>
      </c>
      <c r="EK106" s="395" t="e">
        <f ca="1">_xll.LVCELL($EG$3,EK$3,$DP106,$DQ$2,$DP$4,$DP$5,$DP$6,$DP$7,$DP$8,$DQ$3)-CY106</f>
        <v>#NAME?</v>
      </c>
      <c r="EL106" s="394" t="e">
        <f ca="1">_xll.LVCELL($EG$3,EL$3,$DP106,$DQ$2,$DP$4,$DP$5,$DP$6,$DP$7,$DP$8,$DQ$3)-CZ106</f>
        <v>#NAME?</v>
      </c>
      <c r="EM106" s="395" t="e">
        <f ca="1">_xll.LVCELL($EG$3,EM$3,$DP106,$DQ$2,$DP$4,$DP$5,$DP$6,$DP$7,$DP$8,$DQ$3)-DA106</f>
        <v>#NAME?</v>
      </c>
      <c r="EN106" s="394" t="e">
        <f ca="1">_xll.LVCELL($EG$3,EN$3,$DP106,$DQ$2,$DP$4,$DP$5,$DP$6,$DP$7,$DP$8,$DQ$3)-DB106</f>
        <v>#NAME?</v>
      </c>
      <c r="EO106" s="395" t="e">
        <f ca="1">_xll.LVCELL($EG$3,EO$3,$DP106,$DQ$2,$DP$4,$DP$5,$DP$6,$DP$7,$DP$8,$DQ$3)-DC106</f>
        <v>#NAME?</v>
      </c>
      <c r="EP106" s="394" t="e">
        <f ca="1">_xll.LVCELL($EG$3,EP$3,$DP106,$DQ$2,$DP$4,$DP$5,$DP$6,$DP$7,$DP$8,$DQ$3)-DD106</f>
        <v>#NAME?</v>
      </c>
      <c r="EQ106" s="395" t="e">
        <f ca="1">_xll.LVCELL($EG$3,EQ$3,$DP106,$DQ$2,$DP$4,$DP$5,$DP$6,$DP$7,$DP$8,$DQ$3)-DE106</f>
        <v>#NAME?</v>
      </c>
      <c r="ER106" s="394" t="e">
        <f ca="1">_xll.LVCELL($EG$3,ER$3,$DP106,$DQ$2,$DP$4,$DP$5,$DP$6,$DP$7,$DP$8,$DQ$3)-DF106</f>
        <v>#NAME?</v>
      </c>
      <c r="ES106" s="395" t="e">
        <f ca="1">_xll.LVCELL($EG$3,ES$3,$DP106,$DQ$2,$DP$4,$DP$5,$DP$6,$DP$7,$DP$8,$DQ$3)-DG106</f>
        <v>#NAME?</v>
      </c>
      <c r="ET106" s="394" t="e">
        <f ca="1">_xll.LVCELL($EG$3,ET$3,$DP106,$DQ$2,$DP$4,$DP$5,$DP$6,$DP$7,$DP$8,$DQ$3)-DH106</f>
        <v>#NAME?</v>
      </c>
      <c r="EW106" s="64" t="str">
        <f t="shared" ref="EW106:EW117" si="150">B106</f>
        <v>E6280</v>
      </c>
      <c r="EX106" s="64" t="str">
        <f t="shared" ref="EX106:EX117" si="151">C106</f>
        <v>E6280</v>
      </c>
      <c r="EY106" s="359" t="s">
        <v>3027</v>
      </c>
      <c r="EZ106" s="364">
        <f>_xll.LVCELL($EX$3,EZ$3,$DP106,$DQ$2,$DP$4,$DP$5,$DP$6,$DP$7,$DP$8,$DQ$3)</f>
        <v>11000</v>
      </c>
      <c r="FA106" s="364">
        <f>_xll.LVCELL($EX$3,FA$3,$DP106,$DQ$2,$DP$4,$DP$5,$DP$6,$DP$7,$DP$8,$DQ$3)</f>
        <v>11000</v>
      </c>
      <c r="FB106" s="364">
        <f>_xll.LVCELL($EX$3,FB$3,$DP106,$DQ$2,$DP$4,$DP$5,$DP$6,$DP$7,$DP$8,$DQ$3)</f>
        <v>11000</v>
      </c>
      <c r="FC106" s="364">
        <f>_xll.LVCELL($EX$3,FC$3,$DP106,$DQ$2,$DP$4,$DP$5,$DP$6,$DP$7,$DP$8,$DQ$3)</f>
        <v>11000</v>
      </c>
      <c r="FD106" s="364">
        <f>_xll.LVCELL($EX$3,FD$3,$DP106,$DQ$2,$DP$4,$DP$5,$DP$6,$DP$7,$DP$8,$DQ$3)</f>
        <v>11000</v>
      </c>
      <c r="FE106" s="364">
        <f>_xll.LVCELL($EX$3,FE$3,$DP106,$DQ$2,$DP$4,$DP$5,$DP$6,$DP$7,$DP$8,$DQ$3)</f>
        <v>11000</v>
      </c>
      <c r="FF106" s="364">
        <f>_xll.LVCELL($EX$3,FF$3,$DP106,$DQ$2,$DP$4,$DP$5,$DP$6,$DP$7,$DP$8,$DQ$3)</f>
        <v>11000</v>
      </c>
      <c r="FG106" s="364">
        <f>_xll.LVCELL($EX$3,FG$3,$DP106,$DQ$2,$DP$4,$DP$5,$DP$6,$DP$7,$DP$8,$DQ$3)</f>
        <v>11000</v>
      </c>
      <c r="FH106" s="364">
        <f>_xll.LVCELL($EX$3,FH$3,$DP106,$DQ$2,$DP$4,$DP$5,$DP$6,$DP$7,$DP$8,$DQ$3)</f>
        <v>11000</v>
      </c>
      <c r="FI106" s="364">
        <f>_xll.LVCELL($EX$3,FI$3,$DP106,$DQ$2,$DP$4,$DP$5,$DP$6,$DP$7,$DP$8,$DQ$3)</f>
        <v>11000</v>
      </c>
      <c r="FJ106" s="364">
        <f>_xll.LVCELL($EX$3,FJ$3,$DP106,$DQ$2,$DP$4,$DP$5,$DP$6,$DP$7,$DP$8,$DQ$3)</f>
        <v>11000</v>
      </c>
      <c r="FK106" s="276">
        <f>_xll.LVCELL($EX$3,FK$3,$DP106,$DQ$2,$DP$4,$DP$5,$DP$6,$DP$7,$DP$8,$DQ$3)</f>
        <v>11000</v>
      </c>
      <c r="FN106" s="64" t="s">
        <v>2074</v>
      </c>
      <c r="FO106" s="64" t="s">
        <v>2074</v>
      </c>
      <c r="FP106" s="359" t="s">
        <v>3027</v>
      </c>
      <c r="FQ106" s="364">
        <f>_xll.LVCELL($FO$3,FQ$3,$DP106,$DQ$2,$DP$4,$DP$5,$DP$6,$DP$7,$DP$8,$DQ$3)</f>
        <v>5</v>
      </c>
      <c r="FR106" s="364">
        <f>_xll.LVCELL($FO$3,FR$3,$DP106,$DQ$2,$DP$4,$DP$5,$DP$6,$DP$7,$DP$8,$DQ$3)</f>
        <v>5</v>
      </c>
      <c r="FS106" s="364">
        <f>_xll.LVCELL($FO$3,FS$3,$DP106,$DQ$2,$DP$4,$DP$5,$DP$6,$DP$7,$DP$8,$DQ$3)</f>
        <v>5</v>
      </c>
      <c r="FT106" s="364">
        <f>_xll.LVCELL($FO$3,FT$3,$DP106,$DQ$2,$DP$4,$DP$5,$DP$6,$DP$7,$DP$8,$DQ$3)</f>
        <v>5</v>
      </c>
      <c r="FU106" s="364">
        <f>_xll.LVCELL($FO$3,FU$3,$DP106,$DQ$2,$DP$4,$DP$5,$DP$6,$DP$7,$DP$8,$DQ$3)</f>
        <v>5</v>
      </c>
      <c r="FV106" s="364">
        <f>_xll.LVCELL($FO$3,FV$3,$DP106,$DQ$2,$DP$4,$DP$5,$DP$6,$DP$7,$DP$8,$DQ$3)</f>
        <v>5</v>
      </c>
      <c r="FW106" s="364">
        <f>_xll.LVCELL($FO$3,FW$3,$DP106,$DQ$2,$DP$4,$DP$5,$DP$6,$DP$7,$DP$8,$DQ$3)</f>
        <v>5</v>
      </c>
      <c r="FX106" s="364">
        <f>_xll.LVCELL($FO$3,FX$3,$DP106,$DQ$2,$DP$4,$DP$5,$DP$6,$DP$7,$DP$8,$DQ$3)</f>
        <v>5</v>
      </c>
      <c r="FY106" s="364">
        <f>_xll.LVCELL($FO$3,FY$3,$DP106,$DQ$2,$DP$4,$DP$5,$DP$6,$DP$7,$DP$8,$DQ$3)</f>
        <v>5</v>
      </c>
      <c r="FZ106" s="364">
        <f>_xll.LVCELL($FO$3,FZ$3,$DP106,$DQ$2,$DP$4,$DP$5,$DP$6,$DP$7,$DP$8,$DQ$3)</f>
        <v>5</v>
      </c>
      <c r="GA106" s="364">
        <f>_xll.LVCELL($FO$3,GA$3,$DP106,$DQ$2,$DP$4,$DP$5,$DP$6,$DP$7,$DP$8,$DQ$3)</f>
        <v>5</v>
      </c>
      <c r="GB106" s="172">
        <f>_xll.LVCELL($FO$3,GB$3,$DP106,$DQ$2,$DP$4,$DP$5,$DP$6,$DP$7,$DP$8,$DQ$3)</f>
        <v>5</v>
      </c>
    </row>
    <row r="107" spans="2:185" ht="15.75" thickBot="1">
      <c r="B107" s="108" t="s">
        <v>1833</v>
      </c>
      <c r="C107" s="108" t="s">
        <v>1833</v>
      </c>
      <c r="D107" s="359" t="s">
        <v>3030</v>
      </c>
      <c r="E107" s="357">
        <f>_xll.LVCELL($C$3,Q$3,$C107,$D$2,$C$4,$C$5,$C$6,$C$7,$C$8,$D$3)/1000</f>
        <v>17.25</v>
      </c>
      <c r="F107" s="103">
        <f>'distribution mensuelle Prod B22'!$CU$36</f>
        <v>5168947.0343771195</v>
      </c>
      <c r="G107" s="103">
        <f>'distribution mensuelle Prod B22'!$CU$37</f>
        <v>4256411.2140246732</v>
      </c>
      <c r="H107" s="103">
        <f>'distribution mensuelle Prod B22'!$CU$38</f>
        <v>4123926.4837819966</v>
      </c>
      <c r="I107" s="103">
        <f>'distribution mensuelle Prod B22'!$CU$39</f>
        <v>3314249.5382281211</v>
      </c>
      <c r="J107" s="103">
        <f>'distribution mensuelle Prod B22'!$CU$40</f>
        <v>3153473.0665799067</v>
      </c>
      <c r="K107" s="103">
        <f>'distribution mensuelle Prod B22'!$CU$41</f>
        <v>2596815.407686451</v>
      </c>
      <c r="L107" s="103">
        <f>'distribution mensuelle Prod B22'!$CU$42</f>
        <v>2520192.7742854478</v>
      </c>
      <c r="M107" s="103">
        <f>'distribution mensuelle Prod B22'!$CU$43</f>
        <v>2497498.4293397423</v>
      </c>
      <c r="N107" s="103">
        <f>'distribution mensuelle Prod B22'!$CU$44</f>
        <v>3027694.2149505448</v>
      </c>
      <c r="O107" s="103">
        <f>'distribution mensuelle Prod B22'!$CU$45</f>
        <v>4174718.5891366717</v>
      </c>
      <c r="P107" s="103">
        <f>'distribution mensuelle Prod B22'!$CU$46</f>
        <v>4255489.6511836639</v>
      </c>
      <c r="Q107" s="103">
        <f>'distribution mensuelle Prod B22'!$CU$47</f>
        <v>5012247.9859424839</v>
      </c>
      <c r="R107" s="67">
        <f t="shared" si="92"/>
        <v>44101664.38951683</v>
      </c>
      <c r="S107" s="381"/>
      <c r="W107" s="113" t="str">
        <f t="shared" si="93"/>
        <v>E5930</v>
      </c>
      <c r="X107" s="359" t="str">
        <f t="shared" si="94"/>
        <v>Extension seuil de Bapaume XSB</v>
      </c>
      <c r="Y107" s="411" cm="1">
        <f t="array" ref="Y107">_xll.LVCELL($D$4,F$1,$B107,$D$2,$C$4,$C$5,$C$6,$C$7,$C$8,$D$3)*1000+_xll.LVCELL($D$5,F$1,$B107,$D$2,$C$4,$C$5,$C$6,$C$7,$C$8,$D$3)*1000</f>
        <v>68.158618000000004</v>
      </c>
      <c r="Z107" s="411" cm="1">
        <f t="array" ref="Z107">_xll.LVCELL($D$4,G$1,$B107,$D$2,$C$4,$C$5,$C$6,$C$7,$C$8,$D$3)*1000+_xll.LVCELL($D$5,G$1,$B107,$D$2,$C$4,$C$5,$C$6,$C$7,$C$8,$D$3)*1000</f>
        <v>65.490542000000005</v>
      </c>
      <c r="AA107" s="411" cm="1">
        <f t="array" ref="AA107">_xll.LVCELL($D$4,H$1,$B107,$D$2,$C$4,$C$5,$C$6,$C$7,$C$8,$D$3)*1000+_xll.LVCELL($D$5,H$1,$B107,$D$2,$C$4,$C$5,$C$6,$C$7,$C$8,$D$3)*1000</f>
        <v>64.581856495847845</v>
      </c>
      <c r="AB107" s="411" cm="1">
        <f t="array" ref="AB107">_xll.LVCELL($D$4,I$1,$B107,$D$2,$C$4,$C$5,$C$6,$C$7,$C$8,$D$3)*1000+_xll.LVCELL($D$5,I$1,$B107,$D$2,$C$4,$C$5,$C$6,$C$7,$C$8,$D$3)*1000</f>
        <v>65.167902775879099</v>
      </c>
      <c r="AC107" s="411" cm="1">
        <f t="array" ref="AC107">_xll.LVCELL($D$4,J$1,$B107,$D$2,$C$4,$C$5,$C$6,$C$7,$C$8,$D$3)*1000+_xll.LVCELL($D$5,J$1,$B107,$D$2,$C$4,$C$5,$C$6,$C$7,$C$8,$D$3)*1000</f>
        <v>65.230006962460507</v>
      </c>
      <c r="AD107" s="411" cm="1">
        <f t="array" ref="AD107">_xll.LVCELL($D$4,K$1,$B107,$D$2,$C$4,$C$5,$C$6,$C$7,$C$8,$D$3)*1000+_xll.LVCELL($D$5,K$1,$B107,$D$2,$C$4,$C$5,$C$6,$C$7,$C$8,$D$3)*1000</f>
        <v>65.459257724738464</v>
      </c>
      <c r="AE107" s="411" cm="1">
        <f t="array" ref="AE107">_xll.LVCELL($D$4,L$1,$B107,$D$2,$C$4,$C$5,$C$6,$C$7,$C$8,$D$3)*1000+_xll.LVCELL($D$5,L$1,$B107,$D$2,$C$4,$C$5,$C$6,$C$7,$C$8,$D$3)*1000</f>
        <v>66.985362974352327</v>
      </c>
      <c r="AF107" s="299">
        <v>65.23</v>
      </c>
      <c r="AG107" s="411">
        <f t="shared" si="149"/>
        <v>65.23</v>
      </c>
      <c r="AH107" s="411">
        <f t="shared" si="149"/>
        <v>65.23</v>
      </c>
      <c r="AI107" s="411">
        <f>AH107</f>
        <v>65.23</v>
      </c>
      <c r="AJ107" s="412">
        <f>$AI107+($AI107*$AL$9)</f>
        <v>66.730290000000011</v>
      </c>
      <c r="AK107" s="414" t="s">
        <v>3412</v>
      </c>
      <c r="AL107" s="134">
        <f t="shared" si="95"/>
        <v>2.3E-2</v>
      </c>
      <c r="AM107" s="134"/>
      <c r="AN107" s="134"/>
      <c r="AO107" s="134"/>
      <c r="AP107" s="113" t="str">
        <f t="shared" si="132"/>
        <v>E5930</v>
      </c>
      <c r="AQ107" s="572" t="str">
        <f t="shared" si="133"/>
        <v>Extension seuil de Bapaume XSB</v>
      </c>
      <c r="AR107" s="411">
        <v>-14.1173</v>
      </c>
      <c r="AS107" s="411">
        <v>-15.087299999999999</v>
      </c>
      <c r="AT107" s="411">
        <v>-2.8673000000000002</v>
      </c>
      <c r="AU107" s="411">
        <v>11.522700000000007</v>
      </c>
      <c r="AV107" s="411">
        <v>20.842700000000008</v>
      </c>
      <c r="AW107" s="411">
        <v>15.692700000000002</v>
      </c>
      <c r="AX107" s="411">
        <v>13.632700000000007</v>
      </c>
      <c r="AY107" s="411">
        <v>17.352700000000006</v>
      </c>
      <c r="AZ107" s="411">
        <v>19.472700000000003</v>
      </c>
      <c r="BA107" s="411">
        <v>20.272700000000007</v>
      </c>
      <c r="BB107" s="411">
        <v>1.4827000000000083</v>
      </c>
      <c r="BC107" s="412">
        <v>-8.4202678999999989</v>
      </c>
      <c r="BD107" s="414"/>
      <c r="BE107" s="134"/>
      <c r="BF107" s="134"/>
      <c r="BG107" s="134"/>
      <c r="BH107" s="134"/>
      <c r="BI107" s="113" t="str">
        <f t="shared" si="134"/>
        <v>E5930</v>
      </c>
      <c r="BJ107" s="572" t="str">
        <f t="shared" si="135"/>
        <v>Extension seuil de Bapaume XSB</v>
      </c>
      <c r="BK107" s="411">
        <v>80.84</v>
      </c>
      <c r="BL107" s="411">
        <v>81.81</v>
      </c>
      <c r="BM107" s="411">
        <v>69.59</v>
      </c>
      <c r="BN107" s="411">
        <v>55.199999999999996</v>
      </c>
      <c r="BO107" s="411">
        <v>45.879999999999995</v>
      </c>
      <c r="BP107" s="411">
        <v>51.03</v>
      </c>
      <c r="BQ107" s="411">
        <v>53.089999999999996</v>
      </c>
      <c r="BR107" s="411">
        <v>49.37</v>
      </c>
      <c r="BS107" s="411">
        <v>47.25</v>
      </c>
      <c r="BT107" s="411">
        <v>46.449999999999996</v>
      </c>
      <c r="BU107" s="411">
        <v>65.239999999999995</v>
      </c>
      <c r="BV107" s="412">
        <v>76.67</v>
      </c>
      <c r="BW107" s="414"/>
      <c r="BX107" s="134"/>
      <c r="BY107" s="134"/>
      <c r="BZ107" s="134"/>
      <c r="CA107" s="134"/>
      <c r="CB107" s="113" t="str">
        <f t="shared" si="99"/>
        <v>E5930</v>
      </c>
      <c r="CC107" s="373" t="str">
        <f t="shared" si="100"/>
        <v>Extension seuil de Bapaume XSB</v>
      </c>
      <c r="CD107" s="411">
        <f t="shared" si="136"/>
        <v>66.722700000000003</v>
      </c>
      <c r="CE107" s="411">
        <f t="shared" si="101"/>
        <v>66.722700000000003</v>
      </c>
      <c r="CF107" s="411">
        <f t="shared" si="102"/>
        <v>66.722700000000003</v>
      </c>
      <c r="CG107" s="411">
        <f t="shared" si="103"/>
        <v>66.722700000000003</v>
      </c>
      <c r="CH107" s="411">
        <f t="shared" si="104"/>
        <v>66.722700000000003</v>
      </c>
      <c r="CI107" s="411">
        <f t="shared" si="105"/>
        <v>66.722700000000003</v>
      </c>
      <c r="CJ107" s="411">
        <f t="shared" si="106"/>
        <v>66.722700000000003</v>
      </c>
      <c r="CK107" s="411">
        <f t="shared" si="107"/>
        <v>66.722700000000003</v>
      </c>
      <c r="CL107" s="411">
        <f t="shared" si="108"/>
        <v>66.722700000000003</v>
      </c>
      <c r="CM107" s="411">
        <f t="shared" si="109"/>
        <v>66.722700000000003</v>
      </c>
      <c r="CN107" s="411">
        <f t="shared" si="110"/>
        <v>66.722700000000003</v>
      </c>
      <c r="CO107" s="412">
        <f t="shared" si="111"/>
        <v>68.249732100000003</v>
      </c>
      <c r="CP107" s="414"/>
      <c r="CQ107" s="134">
        <f t="shared" si="112"/>
        <v>4.0000000000000001E-3</v>
      </c>
      <c r="CU107" s="113" t="str">
        <f t="shared" si="113"/>
        <v>E5930</v>
      </c>
      <c r="CV107" s="373" t="str">
        <f t="shared" si="114"/>
        <v>Extension seuil de Bapaume XSB</v>
      </c>
      <c r="CW107" s="398">
        <f t="shared" si="115"/>
        <v>344886.1022906343</v>
      </c>
      <c r="CX107" s="399">
        <f t="shared" si="116"/>
        <v>283999.24851000408</v>
      </c>
      <c r="CY107" s="399">
        <f t="shared" si="117"/>
        <v>275159.50959944108</v>
      </c>
      <c r="CZ107" s="399">
        <f t="shared" si="118"/>
        <v>221135.67766433349</v>
      </c>
      <c r="DA107" s="399">
        <f t="shared" si="119"/>
        <v>210408.23737949118</v>
      </c>
      <c r="DB107" s="399">
        <f t="shared" si="120"/>
        <v>173266.53540244079</v>
      </c>
      <c r="DC107" s="399">
        <f t="shared" si="121"/>
        <v>168154.06642081568</v>
      </c>
      <c r="DD107" s="399">
        <f t="shared" si="122"/>
        <v>166639.83845130686</v>
      </c>
      <c r="DE107" s="399">
        <f t="shared" si="123"/>
        <v>202015.93279588074</v>
      </c>
      <c r="DF107" s="399">
        <f t="shared" si="124"/>
        <v>278548.49600738945</v>
      </c>
      <c r="DG107" s="399">
        <f t="shared" si="125"/>
        <v>283937.75934903231</v>
      </c>
      <c r="DH107" s="392">
        <f t="shared" si="126"/>
        <v>342084.58225933911</v>
      </c>
      <c r="DI107" s="67">
        <f t="shared" si="127"/>
        <v>2950235.9861301091</v>
      </c>
      <c r="DJ107" s="364">
        <f>_xll.LVCELL($E$1,Q$2,$C107,$D$2,$C$4,$C$5,$C$6,$C$7,$C$8,$D$3)+_xll.LVCELL($E$2,Q$2,$C107,$D$2,$C$4,$C$5,$C$6,$C$7,$C$8,$D$3)</f>
        <v>2950235.9596607359</v>
      </c>
      <c r="DK107" s="82">
        <f t="shared" si="137"/>
        <v>2.6469373144209385E-2</v>
      </c>
      <c r="DM107" s="518">
        <f t="shared" si="128"/>
        <v>66.896250446987523</v>
      </c>
      <c r="DO107" s="64" t="str">
        <f t="shared" si="129"/>
        <v>E5930</v>
      </c>
      <c r="DP107" s="64" t="str">
        <f t="shared" si="130"/>
        <v>E5930</v>
      </c>
      <c r="DQ107" s="359" t="str">
        <f t="shared" si="131"/>
        <v>Extension seuil de Bapaume XSB</v>
      </c>
      <c r="DR107" s="365">
        <f>_xll.LVCELL($DP$3,DR$3,$DP107,$DQ$2,$DP$4,$DP$5,$DP$6,$DP$7,$DP$8,$DQ$3)/100</f>
        <v>0.97</v>
      </c>
      <c r="DS107" s="365">
        <f>_xll.LVCELL($DP$3,DS$3,$DP107,$DQ$2,$DP$4,$DP$5,$DP$6,$DP$7,$DP$8,$DQ$3)/100</f>
        <v>0.97</v>
      </c>
      <c r="DT107" s="365">
        <f>_xll.LVCELL($DP$3,DT$3,$DP107,$DQ$2,$DP$4,$DP$5,$DP$6,$DP$7,$DP$8,$DQ$3)/100</f>
        <v>0.97</v>
      </c>
      <c r="DU107" s="365">
        <f>_xll.LVCELL($DP$3,DU$3,$DP107,$DQ$2,$DP$4,$DP$5,$DP$6,$DP$7,$DP$8,$DQ$3)/100</f>
        <v>0.97</v>
      </c>
      <c r="DV107" s="365">
        <f>_xll.LVCELL($DP$3,DV$3,$DP107,$DQ$2,$DP$4,$DP$5,$DP$6,$DP$7,$DP$8,$DQ$3)/100</f>
        <v>0.97</v>
      </c>
      <c r="DW107" s="365">
        <f>_xll.LVCELL($DP$3,DW$3,$DP107,$DQ$2,$DP$4,$DP$5,$DP$6,$DP$7,$DP$8,$DQ$3)/100</f>
        <v>0.97</v>
      </c>
      <c r="DX107" s="365">
        <f>_xll.LVCELL($DP$3,DX$3,$DP107,$DQ$2,$DP$4,$DP$5,$DP$6,$DP$7,$DP$8,$DQ$3)/100</f>
        <v>0.97</v>
      </c>
      <c r="DY107" s="365">
        <f>_xll.LVCELL($DP$3,DY$3,$DP107,$DQ$2,$DP$4,$DP$5,$DP$6,$DP$7,$DP$8,$DQ$3)/100</f>
        <v>0.97</v>
      </c>
      <c r="DZ107" s="365">
        <f>_xll.LVCELL($DP$3,DZ$3,$DP107,$DQ$2,$DP$4,$DP$5,$DP$6,$DP$7,$DP$8,$DQ$3)/100</f>
        <v>0.97</v>
      </c>
      <c r="EA107" s="365">
        <f>_xll.LVCELL($DP$3,EA$3,$DP107,$DQ$2,$DP$4,$DP$5,$DP$6,$DP$7,$DP$8,$DQ$3)/100</f>
        <v>0.97</v>
      </c>
      <c r="EB107" s="365">
        <f>_xll.LVCELL($DP$3,EB$3,$DP107,$DQ$2,$DP$4,$DP$5,$DP$6,$DP$7,$DP$8,$DQ$3)/100</f>
        <v>0.97</v>
      </c>
      <c r="EC107" s="365">
        <f>_xll.LVCELL($DP$3,EC$3,$DP107,$DQ$2,$DP$4,$DP$5,$DP$6,$DP$7,$DP$8,$DQ$3)/100</f>
        <v>0.97</v>
      </c>
      <c r="ED107" s="582">
        <f t="shared" si="138"/>
        <v>11.64</v>
      </c>
      <c r="EF107" s="64" t="s">
        <v>1833</v>
      </c>
      <c r="EG107" s="64" t="s">
        <v>1833</v>
      </c>
      <c r="EH107" s="359" t="s">
        <v>3030</v>
      </c>
      <c r="EI107" s="393" t="e">
        <f ca="1">_xll.LVCELL($EG$3,EI$3,$DP107,$DQ$2,$DP$4,$DP$5,$DP$6,$DP$7,$DP$8,$DQ$3)-CW107</f>
        <v>#NAME?</v>
      </c>
      <c r="EJ107" s="400" t="e">
        <f ca="1">_xll.LVCELL($EG$3,EJ$3,$DP107,$DQ$2,$DP$4,$DP$5,$DP$6,$DP$7,$DP$8,$DQ$3)-CX107</f>
        <v>#NAME?</v>
      </c>
      <c r="EK107" s="395" t="e">
        <f ca="1">_xll.LVCELL($EG$3,EK$3,$DP107,$DQ$2,$DP$4,$DP$5,$DP$6,$DP$7,$DP$8,$DQ$3)-CY107</f>
        <v>#NAME?</v>
      </c>
      <c r="EL107" s="394" t="e">
        <f ca="1">_xll.LVCELL($EG$3,EL$3,$DP107,$DQ$2,$DP$4,$DP$5,$DP$6,$DP$7,$DP$8,$DQ$3)-CZ107</f>
        <v>#NAME?</v>
      </c>
      <c r="EM107" s="395" t="e">
        <f ca="1">_xll.LVCELL($EG$3,EM$3,$DP107,$DQ$2,$DP$4,$DP$5,$DP$6,$DP$7,$DP$8,$DQ$3)-DA107</f>
        <v>#NAME?</v>
      </c>
      <c r="EN107" s="394" t="e">
        <f ca="1">_xll.LVCELL($EG$3,EN$3,$DP107,$DQ$2,$DP$4,$DP$5,$DP$6,$DP$7,$DP$8,$DQ$3)-DB107</f>
        <v>#NAME?</v>
      </c>
      <c r="EO107" s="395" t="e">
        <f ca="1">_xll.LVCELL($EG$3,EO$3,$DP107,$DQ$2,$DP$4,$DP$5,$DP$6,$DP$7,$DP$8,$DQ$3)-DC107</f>
        <v>#NAME?</v>
      </c>
      <c r="EP107" s="394" t="e">
        <f ca="1">_xll.LVCELL($EG$3,EP$3,$DP107,$DQ$2,$DP$4,$DP$5,$DP$6,$DP$7,$DP$8,$DQ$3)-DD107</f>
        <v>#NAME?</v>
      </c>
      <c r="EQ107" s="395" t="e">
        <f ca="1">_xll.LVCELL($EG$3,EQ$3,$DP107,$DQ$2,$DP$4,$DP$5,$DP$6,$DP$7,$DP$8,$DQ$3)-DE107</f>
        <v>#NAME?</v>
      </c>
      <c r="ER107" s="394" t="e">
        <f ca="1">_xll.LVCELL($EG$3,ER$3,$DP107,$DQ$2,$DP$4,$DP$5,$DP$6,$DP$7,$DP$8,$DQ$3)-DF107</f>
        <v>#NAME?</v>
      </c>
      <c r="ES107" s="395" t="e">
        <f ca="1">_xll.LVCELL($EG$3,ES$3,$DP107,$DQ$2,$DP$4,$DP$5,$DP$6,$DP$7,$DP$8,$DQ$3)-DG107</f>
        <v>#NAME?</v>
      </c>
      <c r="ET107" s="394" t="e">
        <f ca="1">_xll.LVCELL($EG$3,ET$3,$DP107,$DQ$2,$DP$4,$DP$5,$DP$6,$DP$7,$DP$8,$DQ$3)-DH107</f>
        <v>#NAME?</v>
      </c>
      <c r="EW107" s="64" t="str">
        <f t="shared" si="150"/>
        <v>E5930</v>
      </c>
      <c r="EX107" s="64" t="str">
        <f t="shared" si="151"/>
        <v>E5930</v>
      </c>
      <c r="EY107" s="359" t="s">
        <v>3030</v>
      </c>
      <c r="EZ107" s="364">
        <f>_xll.LVCELL($EX$3,EZ$3,$DP107,$DQ$2,$DP$4,$DP$5,$DP$6,$DP$7,$DP$8,$DQ$3)</f>
        <v>17250</v>
      </c>
      <c r="FA107" s="364">
        <f>_xll.LVCELL($EX$3,FA$3,$DP107,$DQ$2,$DP$4,$DP$5,$DP$6,$DP$7,$DP$8,$DQ$3)</f>
        <v>17250</v>
      </c>
      <c r="FB107" s="364">
        <f>_xll.LVCELL($EX$3,FB$3,$DP107,$DQ$2,$DP$4,$DP$5,$DP$6,$DP$7,$DP$8,$DQ$3)</f>
        <v>17250</v>
      </c>
      <c r="FC107" s="364">
        <f>_xll.LVCELL($EX$3,FC$3,$DP107,$DQ$2,$DP$4,$DP$5,$DP$6,$DP$7,$DP$8,$DQ$3)</f>
        <v>17250</v>
      </c>
      <c r="FD107" s="364">
        <f>_xll.LVCELL($EX$3,FD$3,$DP107,$DQ$2,$DP$4,$DP$5,$DP$6,$DP$7,$DP$8,$DQ$3)</f>
        <v>17250</v>
      </c>
      <c r="FE107" s="364">
        <f>_xll.LVCELL($EX$3,FE$3,$DP107,$DQ$2,$DP$4,$DP$5,$DP$6,$DP$7,$DP$8,$DQ$3)</f>
        <v>17250</v>
      </c>
      <c r="FF107" s="364">
        <f>_xll.LVCELL($EX$3,FF$3,$DP107,$DQ$2,$DP$4,$DP$5,$DP$6,$DP$7,$DP$8,$DQ$3)</f>
        <v>17250</v>
      </c>
      <c r="FG107" s="364">
        <f>_xll.LVCELL($EX$3,FG$3,$DP107,$DQ$2,$DP$4,$DP$5,$DP$6,$DP$7,$DP$8,$DQ$3)</f>
        <v>17250</v>
      </c>
      <c r="FH107" s="364">
        <f>_xll.LVCELL($EX$3,FH$3,$DP107,$DQ$2,$DP$4,$DP$5,$DP$6,$DP$7,$DP$8,$DQ$3)</f>
        <v>17250</v>
      </c>
      <c r="FI107" s="364">
        <f>_xll.LVCELL($EX$3,FI$3,$DP107,$DQ$2,$DP$4,$DP$5,$DP$6,$DP$7,$DP$8,$DQ$3)</f>
        <v>17250</v>
      </c>
      <c r="FJ107" s="364">
        <f>_xll.LVCELL($EX$3,FJ$3,$DP107,$DQ$2,$DP$4,$DP$5,$DP$6,$DP$7,$DP$8,$DQ$3)</f>
        <v>17250</v>
      </c>
      <c r="FK107" s="276">
        <f>_xll.LVCELL($EX$3,FK$3,$DP107,$DQ$2,$DP$4,$DP$5,$DP$6,$DP$7,$DP$8,$DQ$3)</f>
        <v>17250</v>
      </c>
      <c r="FN107" s="64" t="s">
        <v>1833</v>
      </c>
      <c r="FO107" s="64" t="s">
        <v>1833</v>
      </c>
      <c r="FP107" s="359" t="s">
        <v>3030</v>
      </c>
      <c r="FQ107" s="364">
        <f>_xll.LVCELL($FO$3,FQ$3,$DP107,$DQ$2,$DP$4,$DP$5,$DP$6,$DP$7,$DP$8,$DQ$3)</f>
        <v>5</v>
      </c>
      <c r="FR107" s="364">
        <f>_xll.LVCELL($FO$3,FR$3,$DP107,$DQ$2,$DP$4,$DP$5,$DP$6,$DP$7,$DP$8,$DQ$3)</f>
        <v>5</v>
      </c>
      <c r="FS107" s="364">
        <f>_xll.LVCELL($FO$3,FS$3,$DP107,$DQ$2,$DP$4,$DP$5,$DP$6,$DP$7,$DP$8,$DQ$3)</f>
        <v>5</v>
      </c>
      <c r="FT107" s="364">
        <f>_xll.LVCELL($FO$3,FT$3,$DP107,$DQ$2,$DP$4,$DP$5,$DP$6,$DP$7,$DP$8,$DQ$3)</f>
        <v>5</v>
      </c>
      <c r="FU107" s="364">
        <f>_xll.LVCELL($FO$3,FU$3,$DP107,$DQ$2,$DP$4,$DP$5,$DP$6,$DP$7,$DP$8,$DQ$3)</f>
        <v>5</v>
      </c>
      <c r="FV107" s="364">
        <f>_xll.LVCELL($FO$3,FV$3,$DP107,$DQ$2,$DP$4,$DP$5,$DP$6,$DP$7,$DP$8,$DQ$3)</f>
        <v>5</v>
      </c>
      <c r="FW107" s="364">
        <f>_xll.LVCELL($FO$3,FW$3,$DP107,$DQ$2,$DP$4,$DP$5,$DP$6,$DP$7,$DP$8,$DQ$3)</f>
        <v>5</v>
      </c>
      <c r="FX107" s="364">
        <f>_xll.LVCELL($FO$3,FX$3,$DP107,$DQ$2,$DP$4,$DP$5,$DP$6,$DP$7,$DP$8,$DQ$3)</f>
        <v>5</v>
      </c>
      <c r="FY107" s="364">
        <f>_xll.LVCELL($FO$3,FY$3,$DP107,$DQ$2,$DP$4,$DP$5,$DP$6,$DP$7,$DP$8,$DQ$3)</f>
        <v>5</v>
      </c>
      <c r="FZ107" s="364">
        <f>_xll.LVCELL($FO$3,FZ$3,$DP107,$DQ$2,$DP$4,$DP$5,$DP$6,$DP$7,$DP$8,$DQ$3)</f>
        <v>5</v>
      </c>
      <c r="GA107" s="364">
        <f>_xll.LVCELL($FO$3,GA$3,$DP107,$DQ$2,$DP$4,$DP$5,$DP$6,$DP$7,$DP$8,$DQ$3)</f>
        <v>5</v>
      </c>
      <c r="GB107" s="172">
        <f>_xll.LVCELL($FO$3,GB$3,$DP107,$DQ$2,$DP$4,$DP$5,$DP$6,$DP$7,$DP$8,$DQ$3)</f>
        <v>5</v>
      </c>
    </row>
    <row r="108" spans="2:185" ht="15">
      <c r="B108" s="108" t="s">
        <v>1808</v>
      </c>
      <c r="C108" s="108" t="s">
        <v>1808</v>
      </c>
      <c r="D108" s="359" t="s">
        <v>3162</v>
      </c>
      <c r="E108" s="357">
        <f>_xll.LVCELL($C$3,Q$3,$C108,$D$2,$C$4,$C$5,$C$6,$C$7,$C$8,$D$3)/1000</f>
        <v>13.8</v>
      </c>
      <c r="F108" s="739">
        <f>'distribution mensuelle Prod B22'!$CV$36</f>
        <v>4537429.7807607418</v>
      </c>
      <c r="G108" s="739">
        <f>'distribution mensuelle Prod B22'!$CV$37</f>
        <v>3740490.7962713703</v>
      </c>
      <c r="H108" s="739">
        <f>'distribution mensuelle Prod B22'!$CV$38</f>
        <v>3833289.1114665638</v>
      </c>
      <c r="I108" s="739">
        <f>'distribution mensuelle Prod B22'!$CV$39</f>
        <v>2767426.3551477157</v>
      </c>
      <c r="J108" s="739">
        <f>'distribution mensuelle Prod B22'!$CV$40</f>
        <v>2945499.6961834724</v>
      </c>
      <c r="K108" s="739">
        <f>'distribution mensuelle Prod B22'!$CV$41</f>
        <v>2401260.1084847813</v>
      </c>
      <c r="L108" s="739">
        <f>'distribution mensuelle Prod B22'!$CV$42</f>
        <v>2503450.7045820151</v>
      </c>
      <c r="M108" s="739">
        <f>'distribution mensuelle Prod B22'!$CV$43</f>
        <v>2609579.3768871669</v>
      </c>
      <c r="N108" s="739">
        <f>'distribution mensuelle Prod B22'!$CV$44</f>
        <v>2631676.9173604809</v>
      </c>
      <c r="O108" s="739">
        <f>'distribution mensuelle Prod B22'!$CV$45</f>
        <v>3544434.5511925435</v>
      </c>
      <c r="P108" s="739">
        <f>'distribution mensuelle Prod B22'!$CV$46</f>
        <v>4049901.3068744815</v>
      </c>
      <c r="Q108" s="739">
        <f>'distribution mensuelle Prod B22'!$CV$47</f>
        <v>4658324.1813866114</v>
      </c>
      <c r="R108" s="67">
        <f t="shared" ref="R108:R119" si="152">SUM(F108:Q108)</f>
        <v>40222762.886597946</v>
      </c>
      <c r="S108" s="428"/>
      <c r="W108" s="113" t="str">
        <f t="shared" ref="W108:W118" si="153">B108</f>
        <v>E5880</v>
      </c>
      <c r="X108" s="359" t="str">
        <f t="shared" ref="X108:X118" si="154">+D108</f>
        <v>Extension plaine d'Escrebieux XPE</v>
      </c>
      <c r="Y108" s="411" cm="1">
        <f t="array" ref="Y108">_xll.LVCELL($D$4,F$1,$B108,$D$2,$C$4,$C$5,$C$6,$C$7,$C$8,$D$3)*1000+_xll.LVCELL($D$5,F$1,$B108,$D$2,$C$4,$C$5,$C$6,$C$7,$C$8,$D$3)*1000</f>
        <v>0</v>
      </c>
      <c r="Z108" s="411" cm="1">
        <f t="array" ref="Z108">_xll.LVCELL($D$4,G$1,$B108,$D$2,$C$4,$C$5,$C$6,$C$7,$C$8,$D$3)*1000+_xll.LVCELL($D$5,G$1,$B108,$D$2,$C$4,$C$5,$C$6,$C$7,$C$8,$D$3)*1000</f>
        <v>0</v>
      </c>
      <c r="AA108" s="411" cm="1">
        <f t="array" ref="AA108">_xll.LVCELL($D$4,H$1,$B108,$D$2,$C$4,$C$5,$C$6,$C$7,$C$8,$D$3)*1000+_xll.LVCELL($D$5,H$1,$B108,$D$2,$C$4,$C$5,$C$6,$C$7,$C$8,$D$3)*1000</f>
        <v>0</v>
      </c>
      <c r="AB108" s="411" cm="1">
        <f t="array" ref="AB108">_xll.LVCELL($D$4,I$1,$B108,$D$2,$C$4,$C$5,$C$6,$C$7,$C$8,$D$3)*1000+_xll.LVCELL($D$5,I$1,$B108,$D$2,$C$4,$C$5,$C$6,$C$7,$C$8,$D$3)*1000</f>
        <v>0</v>
      </c>
      <c r="AC108" s="411" cm="1">
        <f t="array" ref="AC108">_xll.LVCELL($D$4,J$1,$B108,$D$2,$C$4,$C$5,$C$6,$C$7,$C$8,$D$3)*1000+_xll.LVCELL($D$5,J$1,$B108,$D$2,$C$4,$C$5,$C$6,$C$7,$C$8,$D$3)*1000</f>
        <v>0</v>
      </c>
      <c r="AD108" s="411" cm="1">
        <f t="array" ref="AD108">_xll.LVCELL($D$4,K$1,$B108,$D$2,$C$4,$C$5,$C$6,$C$7,$C$8,$D$3)*1000+_xll.LVCELL($D$5,K$1,$B108,$D$2,$C$4,$C$5,$C$6,$C$7,$C$8,$D$3)*1000</f>
        <v>0</v>
      </c>
      <c r="AE108" s="411" cm="1">
        <f t="array" ref="AE108">_xll.LVCELL($D$4,L$1,$B108,$D$2,$C$4,$C$5,$C$6,$C$7,$C$8,$D$3)*1000+_xll.LVCELL($D$5,L$1,$B108,$D$2,$C$4,$C$5,$C$6,$C$7,$C$8,$D$3)*1000</f>
        <v>60.125164840810875</v>
      </c>
      <c r="AF108" s="360"/>
      <c r="AG108" s="411">
        <f t="shared" si="149"/>
        <v>0</v>
      </c>
      <c r="AH108" s="411">
        <f t="shared" si="149"/>
        <v>0</v>
      </c>
      <c r="AI108" s="411">
        <f>AH108</f>
        <v>0</v>
      </c>
      <c r="AJ108" s="411">
        <f>AI108</f>
        <v>0</v>
      </c>
      <c r="AK108" s="414"/>
      <c r="AL108" s="134">
        <f t="shared" ref="AL108:AL118" si="155">$AL$9</f>
        <v>2.3E-2</v>
      </c>
      <c r="AM108" s="134"/>
      <c r="AN108" s="134"/>
      <c r="AO108" s="134"/>
      <c r="AP108" s="113" t="str">
        <f t="shared" si="132"/>
        <v>E5880</v>
      </c>
      <c r="AQ108" s="572" t="str">
        <f t="shared" si="133"/>
        <v>Extension plaine d'Escrebieux XPE</v>
      </c>
      <c r="AR108" s="411">
        <v>-12.61</v>
      </c>
      <c r="AS108" s="411">
        <v>-13.579999999999998</v>
      </c>
      <c r="AT108" s="411">
        <v>-1.3599999999999994</v>
      </c>
      <c r="AU108" s="411">
        <v>13.030000000000008</v>
      </c>
      <c r="AV108" s="411">
        <v>22.350000000000009</v>
      </c>
      <c r="AW108" s="411">
        <v>17.200000000000003</v>
      </c>
      <c r="AX108" s="411">
        <v>15.140000000000008</v>
      </c>
      <c r="AY108" s="411">
        <v>20.421700000000008</v>
      </c>
      <c r="AZ108" s="411">
        <v>22.541700000000006</v>
      </c>
      <c r="BA108" s="411">
        <v>23.34170000000001</v>
      </c>
      <c r="BB108" s="411">
        <v>4.551700000000011</v>
      </c>
      <c r="BC108" s="411">
        <v>-6.8782999999999959</v>
      </c>
      <c r="BD108" s="414"/>
      <c r="BE108" s="134"/>
      <c r="BF108" s="134"/>
      <c r="BG108" s="134"/>
      <c r="BH108" s="134"/>
      <c r="BI108" s="113" t="str">
        <f t="shared" si="134"/>
        <v>E5880</v>
      </c>
      <c r="BJ108" s="572" t="str">
        <f t="shared" si="135"/>
        <v>Extension plaine d'Escrebieux XPE</v>
      </c>
      <c r="BK108" s="411">
        <v>79.92</v>
      </c>
      <c r="BL108" s="411">
        <v>80.89</v>
      </c>
      <c r="BM108" s="411">
        <v>68.67</v>
      </c>
      <c r="BN108" s="411">
        <v>54.279999999999994</v>
      </c>
      <c r="BO108" s="411">
        <v>44.959999999999994</v>
      </c>
      <c r="BP108" s="411">
        <v>50.11</v>
      </c>
      <c r="BQ108" s="411">
        <v>52.169999999999995</v>
      </c>
      <c r="BR108" s="411">
        <v>48.449999999999996</v>
      </c>
      <c r="BS108" s="411">
        <v>46.33</v>
      </c>
      <c r="BT108" s="411">
        <v>45.529999999999994</v>
      </c>
      <c r="BU108" s="411">
        <v>64.319999999999993</v>
      </c>
      <c r="BV108" s="411">
        <v>75.75</v>
      </c>
      <c r="BW108" s="414"/>
      <c r="BX108" s="134"/>
      <c r="BY108" s="134"/>
      <c r="BZ108" s="134"/>
      <c r="CA108" s="134"/>
      <c r="CB108" s="113" t="str">
        <f t="shared" ref="CB108:CB119" si="156">B108</f>
        <v>E5880</v>
      </c>
      <c r="CC108" s="373" t="str">
        <f t="shared" ref="CC108:CC118" si="157">+D108</f>
        <v>Extension plaine d'Escrebieux XPE</v>
      </c>
      <c r="CD108" s="411">
        <f t="shared" si="136"/>
        <v>67.31</v>
      </c>
      <c r="CE108" s="411">
        <f t="shared" si="101"/>
        <v>67.31</v>
      </c>
      <c r="CF108" s="411">
        <f t="shared" si="102"/>
        <v>67.31</v>
      </c>
      <c r="CG108" s="411">
        <f t="shared" si="103"/>
        <v>67.31</v>
      </c>
      <c r="CH108" s="411">
        <f t="shared" si="104"/>
        <v>67.31</v>
      </c>
      <c r="CI108" s="411">
        <f t="shared" si="105"/>
        <v>67.31</v>
      </c>
      <c r="CJ108" s="411">
        <f t="shared" si="106"/>
        <v>67.31</v>
      </c>
      <c r="CK108" s="411">
        <f t="shared" si="107"/>
        <v>68.871700000000004</v>
      </c>
      <c r="CL108" s="411">
        <f t="shared" si="108"/>
        <v>68.871700000000004</v>
      </c>
      <c r="CM108" s="411">
        <f t="shared" si="109"/>
        <v>68.871700000000004</v>
      </c>
      <c r="CN108" s="411">
        <f t="shared" si="110"/>
        <v>68.871700000000004</v>
      </c>
      <c r="CO108" s="411">
        <f t="shared" si="111"/>
        <v>68.871700000000004</v>
      </c>
      <c r="CP108" s="414"/>
      <c r="CQ108" s="134">
        <f t="shared" si="112"/>
        <v>4.0000000000000001E-3</v>
      </c>
      <c r="CU108" s="113" t="str">
        <f t="shared" ref="CU108:CU118" si="158">CB108</f>
        <v>E5880</v>
      </c>
      <c r="CV108" s="373" t="str">
        <f t="shared" ref="CV108:CV118" si="159">CC108</f>
        <v>Extension plaine d'Escrebieux XPE</v>
      </c>
      <c r="CW108" s="398">
        <f t="shared" si="115"/>
        <v>305414.39854300558</v>
      </c>
      <c r="CX108" s="399">
        <f t="shared" si="116"/>
        <v>251772.43549702596</v>
      </c>
      <c r="CY108" s="399">
        <f t="shared" si="117"/>
        <v>258018.69009281445</v>
      </c>
      <c r="CZ108" s="399">
        <f t="shared" si="118"/>
        <v>186275.46796499277</v>
      </c>
      <c r="DA108" s="399">
        <f t="shared" si="119"/>
        <v>198261.58455010955</v>
      </c>
      <c r="DB108" s="399">
        <f t="shared" si="120"/>
        <v>161628.81790211066</v>
      </c>
      <c r="DC108" s="399">
        <f t="shared" si="121"/>
        <v>168507.26692541546</v>
      </c>
      <c r="DD108" s="399">
        <f t="shared" si="122"/>
        <v>179726.16797115991</v>
      </c>
      <c r="DE108" s="399">
        <f t="shared" si="123"/>
        <v>181248.06314937584</v>
      </c>
      <c r="DF108" s="399">
        <f t="shared" si="124"/>
        <v>244111.23307936752</v>
      </c>
      <c r="DG108" s="399">
        <f t="shared" si="125"/>
        <v>278923.58783666726</v>
      </c>
      <c r="DH108" s="392">
        <f t="shared" si="126"/>
        <v>320826.70552320435</v>
      </c>
      <c r="DI108" s="67">
        <f t="shared" ref="DI108:DI119" si="160">SUM(CW108:DH108)</f>
        <v>2734714.4190352494</v>
      </c>
      <c r="DJ108" s="510">
        <f>_xll.LVCELL($E$1,Q$2,$C108,$D$2,$C$4,$C$5,$C$6,$C$7,$C$8,$D$3)+_xll.LVCELL($E$2,Q$2,$C108,$D$2,$C$4,$C$5,$C$6,$C$7,$C$8,$D$3)</f>
        <v>2734714.4261471997</v>
      </c>
      <c r="DK108" s="82">
        <f t="shared" si="137"/>
        <v>-7.1119503118097782E-3</v>
      </c>
      <c r="DM108" s="518">
        <f t="shared" si="128"/>
        <v>67.98922358330698</v>
      </c>
      <c r="DO108" s="17" t="str">
        <f t="shared" si="129"/>
        <v>E5880</v>
      </c>
      <c r="DP108" s="17" t="str">
        <f t="shared" si="130"/>
        <v>E5880</v>
      </c>
      <c r="DQ108" s="359" t="str">
        <f t="shared" si="131"/>
        <v>Extension plaine d'Escrebieux XPE</v>
      </c>
      <c r="DR108" s="581">
        <f>_xll.LVCELL($DP$3,DR$3,$DP108,$DQ$2,$DP$4,$DP$5,$DP$6,$DP$7,$DP$8,$DQ$3)/100</f>
        <v>0.97</v>
      </c>
      <c r="DS108" s="581">
        <f>_xll.LVCELL($DP$3,DS$3,$DP108,$DQ$2,$DP$4,$DP$5,$DP$6,$DP$7,$DP$8,$DQ$3)/100</f>
        <v>0.97</v>
      </c>
      <c r="DT108" s="581">
        <f>_xll.LVCELL($DP$3,DT$3,$DP108,$DQ$2,$DP$4,$DP$5,$DP$6,$DP$7,$DP$8,$DQ$3)/100</f>
        <v>0.97</v>
      </c>
      <c r="DU108" s="581">
        <f>_xll.LVCELL($DP$3,DU$3,$DP108,$DQ$2,$DP$4,$DP$5,$DP$6,$DP$7,$DP$8,$DQ$3)/100</f>
        <v>0.97</v>
      </c>
      <c r="DV108" s="581">
        <f>_xll.LVCELL($DP$3,DV$3,$DP108,$DQ$2,$DP$4,$DP$5,$DP$6,$DP$7,$DP$8,$DQ$3)/100</f>
        <v>0.97</v>
      </c>
      <c r="DW108" s="581">
        <f>_xll.LVCELL($DP$3,DW$3,$DP108,$DQ$2,$DP$4,$DP$5,$DP$6,$DP$7,$DP$8,$DQ$3)/100</f>
        <v>0.97</v>
      </c>
      <c r="DX108" s="581">
        <f>_xll.LVCELL($DP$3,DX$3,$DP108,$DQ$2,$DP$4,$DP$5,$DP$6,$DP$7,$DP$8,$DQ$3)/100</f>
        <v>0.97</v>
      </c>
      <c r="DY108" s="581">
        <f>_xll.LVCELL($DP$3,DY$3,$DP108,$DQ$2,$DP$4,$DP$5,$DP$6,$DP$7,$DP$8,$DQ$3)/100</f>
        <v>0.97</v>
      </c>
      <c r="DZ108" s="581">
        <f>_xll.LVCELL($DP$3,DZ$3,$DP108,$DQ$2,$DP$4,$DP$5,$DP$6,$DP$7,$DP$8,$DQ$3)/100</f>
        <v>0.97</v>
      </c>
      <c r="EA108" s="581">
        <f>_xll.LVCELL($DP$3,EA$3,$DP108,$DQ$2,$DP$4,$DP$5,$DP$6,$DP$7,$DP$8,$DQ$3)/100</f>
        <v>0.97</v>
      </c>
      <c r="EB108" s="581">
        <f>_xll.LVCELL($DP$3,EB$3,$DP108,$DQ$2,$DP$4,$DP$5,$DP$6,$DP$7,$DP$8,$DQ$3)/100</f>
        <v>0.97</v>
      </c>
      <c r="EC108" s="581">
        <f>_xll.LVCELL($DP$3,EC$3,$DP108,$DQ$2,$DP$4,$DP$5,$DP$6,$DP$7,$DP$8,$DQ$3)/100</f>
        <v>0.97</v>
      </c>
      <c r="ED108" s="582">
        <f t="shared" si="138"/>
        <v>11.64</v>
      </c>
      <c r="EE108" s="64">
        <v>3.88</v>
      </c>
      <c r="EF108" s="17"/>
      <c r="EG108" s="17"/>
      <c r="EH108" s="359">
        <v>0</v>
      </c>
      <c r="EI108" s="396"/>
      <c r="EJ108" s="402"/>
      <c r="EK108" s="403"/>
      <c r="EL108" s="394"/>
      <c r="EM108" s="395"/>
      <c r="EN108" s="394"/>
      <c r="EO108" s="395"/>
      <c r="EP108" s="394"/>
      <c r="EQ108" s="395"/>
      <c r="ER108" s="394"/>
      <c r="ES108" s="395"/>
      <c r="ET108" s="394"/>
      <c r="EW108" s="64" t="str">
        <f t="shared" si="150"/>
        <v>E5880</v>
      </c>
      <c r="EX108" s="64" t="str">
        <f t="shared" si="151"/>
        <v>E5880</v>
      </c>
      <c r="EY108" s="359" t="str">
        <f>DQ108</f>
        <v>Extension plaine d'Escrebieux XPE</v>
      </c>
      <c r="EZ108" s="276">
        <f>_xll.LVCELL($EX$3,EZ$3,$DP108,$DQ$2,$DP$4,$DP$5,$DP$6,$DP$7,$DP$8,$DQ$3)</f>
        <v>13800</v>
      </c>
      <c r="FA108" s="276">
        <f>_xll.LVCELL($EX$3,FA$3,$DP108,$DQ$2,$DP$4,$DP$5,$DP$6,$DP$7,$DP$8,$DQ$3)</f>
        <v>13800</v>
      </c>
      <c r="FB108" s="276">
        <f>_xll.LVCELL($EX$3,FB$3,$DP108,$DQ$2,$DP$4,$DP$5,$DP$6,$DP$7,$DP$8,$DQ$3)</f>
        <v>13800</v>
      </c>
      <c r="FC108" s="276">
        <f>_xll.LVCELL($EX$3,FC$3,$DP108,$DQ$2,$DP$4,$DP$5,$DP$6,$DP$7,$DP$8,$DQ$3)</f>
        <v>13800</v>
      </c>
      <c r="FD108" s="276">
        <f>_xll.LVCELL($EX$3,FD$3,$DP108,$DQ$2,$DP$4,$DP$5,$DP$6,$DP$7,$DP$8,$DQ$3)</f>
        <v>13800</v>
      </c>
      <c r="FE108" s="276">
        <f>_xll.LVCELL($EX$3,FE$3,$DP108,$DQ$2,$DP$4,$DP$5,$DP$6,$DP$7,$DP$8,$DQ$3)</f>
        <v>13800</v>
      </c>
      <c r="FF108" s="276">
        <f>_xll.LVCELL($EX$3,FF$3,$DP108,$DQ$2,$DP$4,$DP$5,$DP$6,$DP$7,$DP$8,$DQ$3)</f>
        <v>13800</v>
      </c>
      <c r="FG108" s="276">
        <f>_xll.LVCELL($EX$3,FG$3,$DP108,$DQ$2,$DP$4,$DP$5,$DP$6,$DP$7,$DP$8,$DQ$3)</f>
        <v>13800</v>
      </c>
      <c r="FH108" s="276">
        <f>_xll.LVCELL($EX$3,FH$3,$DP108,$DQ$2,$DP$4,$DP$5,$DP$6,$DP$7,$DP$8,$DQ$3)</f>
        <v>13800</v>
      </c>
      <c r="FI108" s="276">
        <f>_xll.LVCELL($EX$3,FI$3,$DP108,$DQ$2,$DP$4,$DP$5,$DP$6,$DP$7,$DP$8,$DQ$3)</f>
        <v>13800</v>
      </c>
      <c r="FJ108" s="276">
        <f>_xll.LVCELL($EX$3,FJ$3,$DP108,$DQ$2,$DP$4,$DP$5,$DP$6,$DP$7,$DP$8,$DQ$3)</f>
        <v>13800</v>
      </c>
      <c r="FK108" s="276">
        <f>_xll.LVCELL($EX$3,FK$3,$DP108,$DQ$2,$DP$4,$DP$5,$DP$6,$DP$7,$DP$8,$DQ$3)</f>
        <v>13800</v>
      </c>
      <c r="FN108" s="102" t="str">
        <f t="shared" ref="FN108:FP117" si="161">B108</f>
        <v>E5880</v>
      </c>
      <c r="FO108" s="102" t="str">
        <f t="shared" si="161"/>
        <v>E5880</v>
      </c>
      <c r="FP108" s="359" t="str">
        <f t="shared" si="161"/>
        <v>Extension plaine d'Escrebieux XPE</v>
      </c>
      <c r="FQ108" s="276">
        <f>_xll.LVCELL($FO$3,FQ$3,$DP108,$DQ$2,$DP$4,$DP$5,$DP$6,$DP$7,$DP$8,$DQ$3)</f>
        <v>4</v>
      </c>
      <c r="FR108" s="276">
        <f>_xll.LVCELL($FO$3,FR$3,$DP108,$DQ$2,$DP$4,$DP$5,$DP$6,$DP$7,$DP$8,$DQ$3)</f>
        <v>4</v>
      </c>
      <c r="FS108" s="276">
        <f>_xll.LVCELL($FO$3,FS$3,$DP108,$DQ$2,$DP$4,$DP$5,$DP$6,$DP$7,$DP$8,$DQ$3)</f>
        <v>4</v>
      </c>
      <c r="FT108" s="276">
        <f>_xll.LVCELL($FO$3,FT$3,$DP108,$DQ$2,$DP$4,$DP$5,$DP$6,$DP$7,$DP$8,$DQ$3)</f>
        <v>4</v>
      </c>
      <c r="FU108" s="276">
        <f>_xll.LVCELL($FO$3,FU$3,$DP108,$DQ$2,$DP$4,$DP$5,$DP$6,$DP$7,$DP$8,$DQ$3)</f>
        <v>4</v>
      </c>
      <c r="FV108" s="276">
        <f>_xll.LVCELL($FO$3,FV$3,$DP108,$DQ$2,$DP$4,$DP$5,$DP$6,$DP$7,$DP$8,$DQ$3)</f>
        <v>4</v>
      </c>
      <c r="FW108" s="276">
        <f>_xll.LVCELL($FO$3,FW$3,$DP108,$DQ$2,$DP$4,$DP$5,$DP$6,$DP$7,$DP$8,$DQ$3)</f>
        <v>4</v>
      </c>
      <c r="FX108" s="276">
        <f>_xll.LVCELL($FO$3,FX$3,$DP108,$DQ$2,$DP$4,$DP$5,$DP$6,$DP$7,$DP$8,$DQ$3)</f>
        <v>4</v>
      </c>
      <c r="FY108" s="276">
        <f>_xll.LVCELL($FO$3,FY$3,$DP108,$DQ$2,$DP$4,$DP$5,$DP$6,$DP$7,$DP$8,$DQ$3)</f>
        <v>4</v>
      </c>
      <c r="FZ108" s="276">
        <f>_xll.LVCELL($FO$3,FZ$3,$DP108,$DQ$2,$DP$4,$DP$5,$DP$6,$DP$7,$DP$8,$DQ$3)</f>
        <v>4</v>
      </c>
      <c r="GA108" s="276">
        <f>_xll.LVCELL($FO$3,GA$3,$DP108,$DQ$2,$DP$4,$DP$5,$DP$6,$DP$7,$DP$8,$DQ$3)</f>
        <v>4</v>
      </c>
      <c r="GB108" s="276">
        <f>_xll.LVCELL($FO$3,GB$3,$DP108,$DQ$2,$DP$4,$DP$5,$DP$6,$DP$7,$DP$8,$DQ$3)</f>
        <v>4</v>
      </c>
    </row>
    <row r="109" spans="2:185" ht="15">
      <c r="B109" s="491" t="s">
        <v>3241</v>
      </c>
      <c r="C109" s="491" t="s">
        <v>3241</v>
      </c>
      <c r="D109" s="359" t="s">
        <v>3272</v>
      </c>
      <c r="E109" s="357">
        <f>_xll.LVCELL($C$3,Q$3,$C109,$D$2,$C$4,$C$5,$C$6,$C$7,$C$8,$D$3)/1000</f>
        <v>9</v>
      </c>
      <c r="F109" s="739">
        <f>'distribution mensuelle Prod B22'!$CW$36</f>
        <v>469981.92</v>
      </c>
      <c r="G109" s="739">
        <f>'distribution mensuelle Prod B22'!$CW$37</f>
        <v>750048.72</v>
      </c>
      <c r="H109" s="739">
        <f>'distribution mensuelle Prod B22'!$CW$38</f>
        <v>1480045.32</v>
      </c>
      <c r="I109" s="739">
        <f>'distribution mensuelle Prod B22'!$CW$39</f>
        <v>1691006.8800000001</v>
      </c>
      <c r="J109" s="739">
        <f>'distribution mensuelle Prod B22'!$CW$40</f>
        <v>1925997.84</v>
      </c>
      <c r="K109" s="739">
        <f>'distribution mensuelle Prod B22'!$CW$41</f>
        <v>2128010.52</v>
      </c>
      <c r="L109" s="739">
        <f>'distribution mensuelle Prod B22'!$CW$42</f>
        <v>2343943.6800000002</v>
      </c>
      <c r="M109" s="739">
        <f>'distribution mensuelle Prod B22'!$CW$43</f>
        <v>2090060.6400000001</v>
      </c>
      <c r="N109" s="739">
        <f>'distribution mensuelle Prod B22'!$CW$44</f>
        <v>1578980.1600000001</v>
      </c>
      <c r="O109" s="739">
        <f>'distribution mensuelle Prod B22'!$CW$45</f>
        <v>1065082.44</v>
      </c>
      <c r="P109" s="739">
        <f>'distribution mensuelle Prod B22'!$CW$46</f>
        <v>586980.24</v>
      </c>
      <c r="Q109" s="739">
        <f>'distribution mensuelle Prod B22'!$CW$47</f>
        <v>461861.63999999996</v>
      </c>
      <c r="R109" s="67">
        <f t="shared" si="152"/>
        <v>16572000</v>
      </c>
      <c r="S109" s="428"/>
      <c r="W109" s="113" t="str">
        <f t="shared" si="153"/>
        <v>E6720</v>
      </c>
      <c r="X109" s="359" t="str">
        <f t="shared" si="154"/>
        <v>Saint Christophe - Clé des champs</v>
      </c>
      <c r="Y109" s="411" cm="1">
        <f t="array" ref="Y109">_xll.LVCELL($D$4,F$1,$B109,$D$2,$C$4,$C$5,$C$6,$C$7,$C$8,$D$3)*1000+_xll.LVCELL($D$5,F$1,$B109,$D$2,$C$4,$C$5,$C$6,$C$7,$C$8,$D$3)*1000</f>
        <v>0</v>
      </c>
      <c r="Z109" s="411" cm="1">
        <f t="array" ref="Z109">_xll.LVCELL($D$4,G$1,$B109,$D$2,$C$4,$C$5,$C$6,$C$7,$C$8,$D$3)*1000+_xll.LVCELL($D$5,G$1,$B109,$D$2,$C$4,$C$5,$C$6,$C$7,$C$8,$D$3)*1000</f>
        <v>0</v>
      </c>
      <c r="AA109" s="411" cm="1">
        <f t="array" ref="AA109">_xll.LVCELL($D$4,H$1,$B109,$D$2,$C$4,$C$5,$C$6,$C$7,$C$8,$D$3)*1000+_xll.LVCELL($D$5,H$1,$B109,$D$2,$C$4,$C$5,$C$6,$C$7,$C$8,$D$3)*1000</f>
        <v>0</v>
      </c>
      <c r="AB109" s="411" cm="1">
        <f t="array" ref="AB109">_xll.LVCELL($D$4,I$1,$B109,$D$2,$C$4,$C$5,$C$6,$C$7,$C$8,$D$3)*1000+_xll.LVCELL($D$5,I$1,$B109,$D$2,$C$4,$C$5,$C$6,$C$7,$C$8,$D$3)*1000</f>
        <v>0</v>
      </c>
      <c r="AC109" s="411" cm="1">
        <f t="array" ref="AC109">_xll.LVCELL($D$4,J$1,$B109,$D$2,$C$4,$C$5,$C$6,$C$7,$C$8,$D$3)*1000+_xll.LVCELL($D$5,J$1,$B109,$D$2,$C$4,$C$5,$C$6,$C$7,$C$8,$D$3)*1000</f>
        <v>0</v>
      </c>
      <c r="AD109" s="411" cm="1">
        <f t="array" ref="AD109">_xll.LVCELL($D$4,K$1,$B109,$D$2,$C$4,$C$5,$C$6,$C$7,$C$8,$D$3)*1000+_xll.LVCELL($D$5,K$1,$B109,$D$2,$C$4,$C$5,$C$6,$C$7,$C$8,$D$3)*1000</f>
        <v>0</v>
      </c>
      <c r="AE109" s="411" cm="1">
        <f t="array" ref="AE109">_xll.LVCELL($D$4,L$1,$B109,$D$2,$C$4,$C$5,$C$6,$C$7,$C$8,$D$3)*1000+_xll.LVCELL($D$5,L$1,$B109,$D$2,$C$4,$C$5,$C$6,$C$7,$C$8,$D$3)*1000</f>
        <v>0</v>
      </c>
      <c r="AF109" s="561"/>
      <c r="AG109" s="561"/>
      <c r="AH109" s="561"/>
      <c r="AI109" s="561"/>
      <c r="AJ109" s="561"/>
      <c r="AK109" s="414"/>
      <c r="AL109" s="134">
        <f t="shared" si="155"/>
        <v>2.3E-2</v>
      </c>
      <c r="AM109" s="134"/>
      <c r="AN109" s="134"/>
      <c r="AO109" s="134"/>
      <c r="AP109" s="113" t="str">
        <f t="shared" si="132"/>
        <v>E6720</v>
      </c>
      <c r="AQ109" s="572" t="str">
        <f t="shared" si="133"/>
        <v>Saint Christophe - Clé des champs</v>
      </c>
      <c r="AR109" s="411">
        <v>-7.2659999999999911</v>
      </c>
      <c r="AS109" s="411">
        <v>-12.125999999999991</v>
      </c>
      <c r="AT109" s="411">
        <v>-5.3059999999999974</v>
      </c>
      <c r="AU109" s="411">
        <v>6.3340000000000032</v>
      </c>
      <c r="AV109" s="411">
        <v>13.704000000000001</v>
      </c>
      <c r="AW109" s="411">
        <v>9.8340000000000032</v>
      </c>
      <c r="AX109" s="411">
        <v>8.9640000000000057</v>
      </c>
      <c r="AY109" s="411">
        <v>14.104000000000006</v>
      </c>
      <c r="AZ109" s="411">
        <v>16.284000000000006</v>
      </c>
      <c r="BA109" s="411">
        <v>15.734000000000002</v>
      </c>
      <c r="BB109" s="411">
        <v>5.8340000000000032</v>
      </c>
      <c r="BC109" s="411">
        <v>0.62868200000000485</v>
      </c>
      <c r="BD109" s="414"/>
      <c r="BE109" s="134"/>
      <c r="BF109" s="134"/>
      <c r="BG109" s="134"/>
      <c r="BH109" s="134"/>
      <c r="BI109" s="113" t="str">
        <f t="shared" si="134"/>
        <v>E6720</v>
      </c>
      <c r="BJ109" s="572" t="str">
        <f t="shared" si="135"/>
        <v>Saint Christophe - Clé des champs</v>
      </c>
      <c r="BK109" s="411">
        <v>66.599999999999994</v>
      </c>
      <c r="BL109" s="411">
        <v>71.459999999999994</v>
      </c>
      <c r="BM109" s="411">
        <v>64.64</v>
      </c>
      <c r="BN109" s="411">
        <v>53</v>
      </c>
      <c r="BO109" s="411">
        <v>45.63</v>
      </c>
      <c r="BP109" s="411">
        <v>49.5</v>
      </c>
      <c r="BQ109" s="411">
        <v>50.37</v>
      </c>
      <c r="BR109" s="411">
        <v>45.23</v>
      </c>
      <c r="BS109" s="411">
        <v>43.05</v>
      </c>
      <c r="BT109" s="411">
        <v>43.6</v>
      </c>
      <c r="BU109" s="411">
        <v>53.5</v>
      </c>
      <c r="BV109" s="411">
        <v>60.07</v>
      </c>
      <c r="BW109" s="414"/>
      <c r="BX109" s="134"/>
      <c r="BY109" s="134"/>
      <c r="BZ109" s="134"/>
      <c r="CA109" s="134"/>
      <c r="CB109" s="113" t="str">
        <f t="shared" si="156"/>
        <v>E6720</v>
      </c>
      <c r="CC109" s="373" t="str">
        <f t="shared" si="157"/>
        <v>Saint Christophe - Clé des champs</v>
      </c>
      <c r="CD109" s="411">
        <f t="shared" si="136"/>
        <v>59.334000000000003</v>
      </c>
      <c r="CE109" s="411">
        <f t="shared" si="101"/>
        <v>59.334000000000003</v>
      </c>
      <c r="CF109" s="411">
        <f t="shared" si="102"/>
        <v>59.334000000000003</v>
      </c>
      <c r="CG109" s="411">
        <f t="shared" si="103"/>
        <v>59.334000000000003</v>
      </c>
      <c r="CH109" s="411">
        <f t="shared" si="104"/>
        <v>59.334000000000003</v>
      </c>
      <c r="CI109" s="411">
        <f t="shared" si="105"/>
        <v>59.334000000000003</v>
      </c>
      <c r="CJ109" s="411">
        <f t="shared" si="106"/>
        <v>59.334000000000003</v>
      </c>
      <c r="CK109" s="411">
        <f t="shared" si="107"/>
        <v>59.334000000000003</v>
      </c>
      <c r="CL109" s="411">
        <f t="shared" si="108"/>
        <v>59.334000000000003</v>
      </c>
      <c r="CM109" s="411">
        <f t="shared" si="109"/>
        <v>59.334000000000003</v>
      </c>
      <c r="CN109" s="411">
        <f t="shared" si="110"/>
        <v>59.334000000000003</v>
      </c>
      <c r="CO109" s="411">
        <f t="shared" si="111"/>
        <v>60.698682000000005</v>
      </c>
      <c r="CP109" s="414"/>
      <c r="CQ109" s="134">
        <f t="shared" si="112"/>
        <v>4.0000000000000001E-3</v>
      </c>
      <c r="CU109" s="113" t="str">
        <f t="shared" si="158"/>
        <v>E6720</v>
      </c>
      <c r="CV109" s="373" t="str">
        <f t="shared" si="159"/>
        <v>Saint Christophe - Clé des champs</v>
      </c>
      <c r="CW109" s="398">
        <f t="shared" si="115"/>
        <v>27885.907241280001</v>
      </c>
      <c r="CX109" s="399">
        <f t="shared" si="116"/>
        <v>44503.390752480002</v>
      </c>
      <c r="CY109" s="399">
        <f t="shared" si="117"/>
        <v>87817.009016880009</v>
      </c>
      <c r="CZ109" s="399">
        <f t="shared" si="118"/>
        <v>100334.20221792001</v>
      </c>
      <c r="DA109" s="399">
        <f t="shared" si="119"/>
        <v>114277.15583856001</v>
      </c>
      <c r="DB109" s="399">
        <f t="shared" si="120"/>
        <v>126263.37619368001</v>
      </c>
      <c r="DC109" s="399">
        <f t="shared" si="121"/>
        <v>139075.55430912002</v>
      </c>
      <c r="DD109" s="399">
        <f t="shared" si="122"/>
        <v>124011.65801376002</v>
      </c>
      <c r="DE109" s="399">
        <f t="shared" si="123"/>
        <v>93687.208813440011</v>
      </c>
      <c r="DF109" s="399">
        <f t="shared" si="124"/>
        <v>63195.601494959999</v>
      </c>
      <c r="DG109" s="399">
        <f t="shared" si="125"/>
        <v>34827.885560160001</v>
      </c>
      <c r="DH109" s="392">
        <f t="shared" si="126"/>
        <v>28034.392814358478</v>
      </c>
      <c r="DI109" s="67">
        <f t="shared" si="160"/>
        <v>983913.34226659872</v>
      </c>
      <c r="DJ109" s="510">
        <f>_xll.LVCELL($E$1,Q$2,$C109,$D$2,$C$4,$C$5,$C$6,$C$7,$C$8,$D$3)+_xll.LVCELL($E$2,Q$2,$C109,$D$2,$C$4,$C$5,$C$6,$C$7,$C$8,$D$3)</f>
        <v>983913.40209188394</v>
      </c>
      <c r="DK109" s="82">
        <f t="shared" si="137"/>
        <v>-5.9825285221450031E-2</v>
      </c>
      <c r="DM109" s="518">
        <f t="shared" si="128"/>
        <v>59.372033687340014</v>
      </c>
      <c r="DO109" t="str">
        <f t="shared" si="129"/>
        <v>E6720</v>
      </c>
      <c r="DP109" t="str">
        <f t="shared" si="130"/>
        <v>E6720</v>
      </c>
      <c r="DQ109" s="359" t="str">
        <f t="shared" si="131"/>
        <v>Saint Christophe - Clé des champs</v>
      </c>
      <c r="DR109" s="581">
        <f>_xll.LVCELL($DP$3,DR$3,$DP109,$DQ$2,$DP$4,$DP$5,$DP$6,$DP$7,$DP$8,$DQ$3)/100</f>
        <v>0.97</v>
      </c>
      <c r="DS109" s="581">
        <f>_xll.LVCELL($DP$3,DS$3,$DP109,$DQ$2,$DP$4,$DP$5,$DP$6,$DP$7,$DP$8,$DQ$3)/100</f>
        <v>0.97</v>
      </c>
      <c r="DT109" s="581">
        <f>_xll.LVCELL($DP$3,DT$3,$DP109,$DQ$2,$DP$4,$DP$5,$DP$6,$DP$7,$DP$8,$DQ$3)/100</f>
        <v>0.97</v>
      </c>
      <c r="DU109" s="581">
        <f>_xll.LVCELL($DP$3,DU$3,$DP109,$DQ$2,$DP$4,$DP$5,$DP$6,$DP$7,$DP$8,$DQ$3)/100</f>
        <v>0.97</v>
      </c>
      <c r="DV109" s="581">
        <f>_xll.LVCELL($DP$3,DV$3,$DP109,$DQ$2,$DP$4,$DP$5,$DP$6,$DP$7,$DP$8,$DQ$3)/100</f>
        <v>0.97</v>
      </c>
      <c r="DW109" s="581">
        <f>_xll.LVCELL($DP$3,DW$3,$DP109,$DQ$2,$DP$4,$DP$5,$DP$6,$DP$7,$DP$8,$DQ$3)/100</f>
        <v>0.97</v>
      </c>
      <c r="DX109" s="581">
        <f>_xll.LVCELL($DP$3,DX$3,$DP109,$DQ$2,$DP$4,$DP$5,$DP$6,$DP$7,$DP$8,$DQ$3)/100</f>
        <v>0.97</v>
      </c>
      <c r="DY109" s="581">
        <f>_xll.LVCELL($DP$3,DY$3,$DP109,$DQ$2,$DP$4,$DP$5,$DP$6,$DP$7,$DP$8,$DQ$3)/100</f>
        <v>0.97</v>
      </c>
      <c r="DZ109" s="581">
        <f>_xll.LVCELL($DP$3,DZ$3,$DP109,$DQ$2,$DP$4,$DP$5,$DP$6,$DP$7,$DP$8,$DQ$3)/100</f>
        <v>0.97</v>
      </c>
      <c r="EA109" s="581">
        <f>_xll.LVCELL($DP$3,EA$3,$DP109,$DQ$2,$DP$4,$DP$5,$DP$6,$DP$7,$DP$8,$DQ$3)/100</f>
        <v>0.97</v>
      </c>
      <c r="EB109" s="581">
        <f>_xll.LVCELL($DP$3,EB$3,$DP109,$DQ$2,$DP$4,$DP$5,$DP$6,$DP$7,$DP$8,$DQ$3)/100</f>
        <v>0.97</v>
      </c>
      <c r="EC109" s="581">
        <f>_xll.LVCELL($DP$3,EC$3,$DP109,$DQ$2,$DP$4,$DP$5,$DP$6,$DP$7,$DP$8,$DQ$3)/100</f>
        <v>0.97</v>
      </c>
      <c r="ED109" s="582">
        <f t="shared" si="138"/>
        <v>11.64</v>
      </c>
      <c r="EE109" s="64">
        <v>11.64</v>
      </c>
      <c r="EF109"/>
      <c r="EG109"/>
      <c r="EH109" s="359">
        <v>0</v>
      </c>
      <c r="EI109" s="396"/>
      <c r="EJ109" s="397"/>
      <c r="EK109" s="403"/>
      <c r="EL109" s="394"/>
      <c r="EM109" s="395"/>
      <c r="EN109" s="394"/>
      <c r="EO109" s="395"/>
      <c r="EP109" s="394"/>
      <c r="EQ109" s="395"/>
      <c r="ER109" s="394"/>
      <c r="ES109" s="395"/>
      <c r="ET109" s="394"/>
      <c r="EW109" s="64" t="str">
        <f t="shared" si="150"/>
        <v>E6720</v>
      </c>
      <c r="EX109" s="64" t="str">
        <f t="shared" si="151"/>
        <v>E6720</v>
      </c>
      <c r="EY109" s="587" t="str">
        <f t="shared" ref="EY109:EY117" si="162">DQ109</f>
        <v>Saint Christophe - Clé des champs</v>
      </c>
      <c r="EZ109" s="276">
        <f>_xll.LVCELL($EX$3,EZ$3,$DP109,$DQ$2,$DP$4,$DP$5,$DP$6,$DP$7,$DP$8,$DQ$3)</f>
        <v>9000</v>
      </c>
      <c r="FA109" s="276">
        <f>_xll.LVCELL($EX$3,FA$3,$DP109,$DQ$2,$DP$4,$DP$5,$DP$6,$DP$7,$DP$8,$DQ$3)</f>
        <v>9000</v>
      </c>
      <c r="FB109" s="276">
        <f>_xll.LVCELL($EX$3,FB$3,$DP109,$DQ$2,$DP$4,$DP$5,$DP$6,$DP$7,$DP$8,$DQ$3)</f>
        <v>9000</v>
      </c>
      <c r="FC109" s="276">
        <f>_xll.LVCELL($EX$3,FC$3,$DP109,$DQ$2,$DP$4,$DP$5,$DP$6,$DP$7,$DP$8,$DQ$3)</f>
        <v>9000</v>
      </c>
      <c r="FD109" s="276">
        <f>_xll.LVCELL($EX$3,FD$3,$DP109,$DQ$2,$DP$4,$DP$5,$DP$6,$DP$7,$DP$8,$DQ$3)</f>
        <v>9000</v>
      </c>
      <c r="FE109" s="276">
        <f>_xll.LVCELL($EX$3,FE$3,$DP109,$DQ$2,$DP$4,$DP$5,$DP$6,$DP$7,$DP$8,$DQ$3)</f>
        <v>9000</v>
      </c>
      <c r="FF109" s="276">
        <f>_xll.LVCELL($EX$3,FF$3,$DP109,$DQ$2,$DP$4,$DP$5,$DP$6,$DP$7,$DP$8,$DQ$3)</f>
        <v>9000</v>
      </c>
      <c r="FG109" s="276">
        <f>_xll.LVCELL($EX$3,FG$3,$DP109,$DQ$2,$DP$4,$DP$5,$DP$6,$DP$7,$DP$8,$DQ$3)</f>
        <v>9000</v>
      </c>
      <c r="FH109" s="276">
        <f>_xll.LVCELL($EX$3,FH$3,$DP109,$DQ$2,$DP$4,$DP$5,$DP$6,$DP$7,$DP$8,$DQ$3)</f>
        <v>9000</v>
      </c>
      <c r="FI109" s="276">
        <f>_xll.LVCELL($EX$3,FI$3,$DP109,$DQ$2,$DP$4,$DP$5,$DP$6,$DP$7,$DP$8,$DQ$3)</f>
        <v>9000</v>
      </c>
      <c r="FJ109" s="276">
        <f>_xll.LVCELL($EX$3,FJ$3,$DP109,$DQ$2,$DP$4,$DP$5,$DP$6,$DP$7,$DP$8,$DQ$3)</f>
        <v>9000</v>
      </c>
      <c r="FK109" s="285">
        <f>_xll.LVCELL($EX$3,FK$3,$DP109,$DQ$2,$DP$4,$DP$5,$DP$6,$DP$7,$DP$8,$DQ$3)</f>
        <v>9000</v>
      </c>
      <c r="FN109" s="102" t="str">
        <f t="shared" si="161"/>
        <v>E6720</v>
      </c>
      <c r="FO109" s="102" t="str">
        <f t="shared" si="161"/>
        <v>E6720</v>
      </c>
      <c r="FP109" s="587" t="str">
        <f t="shared" si="161"/>
        <v>Saint Christophe - Clé des champs</v>
      </c>
      <c r="FQ109" s="276">
        <f>_xll.LVCELL($FO$3,FQ$3,$DP109,$DQ$2,$DP$4,$DP$5,$DP$6,$DP$7,$DP$8,$DQ$3)</f>
        <v>0</v>
      </c>
      <c r="FR109" s="276">
        <f>_xll.LVCELL($FO$3,FR$3,$DP109,$DQ$2,$DP$4,$DP$5,$DP$6,$DP$7,$DP$8,$DQ$3)</f>
        <v>0</v>
      </c>
      <c r="FS109" s="276">
        <f>_xll.LVCELL($FO$3,FS$3,$DP109,$DQ$2,$DP$4,$DP$5,$DP$6,$DP$7,$DP$8,$DQ$3)</f>
        <v>0</v>
      </c>
      <c r="FT109" s="276">
        <f>_xll.LVCELL($FO$3,FT$3,$DP109,$DQ$2,$DP$4,$DP$5,$DP$6,$DP$7,$DP$8,$DQ$3)</f>
        <v>0</v>
      </c>
      <c r="FU109" s="276">
        <f>_xll.LVCELL($FO$3,FU$3,$DP109,$DQ$2,$DP$4,$DP$5,$DP$6,$DP$7,$DP$8,$DQ$3)</f>
        <v>0</v>
      </c>
      <c r="FV109" s="276">
        <f>_xll.LVCELL($FO$3,FV$3,$DP109,$DQ$2,$DP$4,$DP$5,$DP$6,$DP$7,$DP$8,$DQ$3)</f>
        <v>0</v>
      </c>
      <c r="FW109" s="276">
        <f>_xll.LVCELL($FO$3,FW$3,$DP109,$DQ$2,$DP$4,$DP$5,$DP$6,$DP$7,$DP$8,$DQ$3)</f>
        <v>0</v>
      </c>
      <c r="FX109" s="276">
        <f>_xll.LVCELL($FO$3,FX$3,$DP109,$DQ$2,$DP$4,$DP$5,$DP$6,$DP$7,$DP$8,$DQ$3)</f>
        <v>0</v>
      </c>
      <c r="FY109" s="276">
        <f>_xll.LVCELL($FO$3,FY$3,$DP109,$DQ$2,$DP$4,$DP$5,$DP$6,$DP$7,$DP$8,$DQ$3)</f>
        <v>0</v>
      </c>
      <c r="FZ109" s="276">
        <f>_xll.LVCELL($FO$3,FZ$3,$DP109,$DQ$2,$DP$4,$DP$5,$DP$6,$DP$7,$DP$8,$DQ$3)</f>
        <v>0</v>
      </c>
      <c r="GA109" s="276">
        <f>_xll.LVCELL($FO$3,GA$3,$DP109,$DQ$2,$DP$4,$DP$5,$DP$6,$DP$7,$DP$8,$DQ$3)</f>
        <v>0</v>
      </c>
      <c r="GB109" s="276">
        <f>_xll.LVCELL($FO$3,GB$3,$DP109,$DQ$2,$DP$4,$DP$5,$DP$6,$DP$7,$DP$8,$DQ$3)</f>
        <v>0</v>
      </c>
      <c r="GC109" s="64" t="s">
        <v>3293</v>
      </c>
    </row>
    <row r="110" spans="2:185" ht="15">
      <c r="B110" s="108" t="s">
        <v>2269</v>
      </c>
      <c r="C110" s="108" t="s">
        <v>2269</v>
      </c>
      <c r="D110" s="359" t="s">
        <v>3151</v>
      </c>
      <c r="E110" s="357">
        <f>_xll.LVCELL($C$3,Q$3,$C110,$D$2,$C$4,$C$5,$C$6,$C$7,$C$8,$D$3)/1000</f>
        <v>12</v>
      </c>
      <c r="F110" s="739">
        <f>'distribution mensuelle Prod B22'!$CX$36</f>
        <v>965985.15599999996</v>
      </c>
      <c r="G110" s="739">
        <f>'distribution mensuelle Prod B22'!$CX$37</f>
        <v>1335097.7280000001</v>
      </c>
      <c r="H110" s="739">
        <f>'distribution mensuelle Prod B22'!$CX$38</f>
        <v>2048016.2039999999</v>
      </c>
      <c r="I110" s="739">
        <f>'distribution mensuelle Prod B22'!$CX$39</f>
        <v>2188000.8360000001</v>
      </c>
      <c r="J110" s="739">
        <f>'distribution mensuelle Prod B22'!$CX$40</f>
        <v>2600203.14</v>
      </c>
      <c r="K110" s="739">
        <f>'distribution mensuelle Prod B22'!$CX$41</f>
        <v>2776209.8760000002</v>
      </c>
      <c r="L110" s="739">
        <f>'distribution mensuelle Prod B22'!$CX$42</f>
        <v>2963160.0359999998</v>
      </c>
      <c r="M110" s="739">
        <f>'distribution mensuelle Prod B22'!$CX$43</f>
        <v>2650132.5120000001</v>
      </c>
      <c r="N110" s="739">
        <f>'distribution mensuelle Prod B22'!$CX$44</f>
        <v>1957960.9439999999</v>
      </c>
      <c r="O110" s="739">
        <f>'distribution mensuelle Prod B22'!$CX$45</f>
        <v>1485113.8320000002</v>
      </c>
      <c r="P110" s="739">
        <f>'distribution mensuelle Prod B22'!$CX$46</f>
        <v>985136.14799999993</v>
      </c>
      <c r="Q110" s="739">
        <f>'distribution mensuelle Prod B22'!$CX$47</f>
        <v>843783.58799999999</v>
      </c>
      <c r="R110" s="67">
        <f t="shared" si="152"/>
        <v>22798799.999999993</v>
      </c>
      <c r="S110" s="428"/>
      <c r="W110" s="113" t="str">
        <f t="shared" si="153"/>
        <v>E6040</v>
      </c>
      <c r="X110" s="359" t="str">
        <f t="shared" si="154"/>
        <v>Peyrolles solaire</v>
      </c>
      <c r="Y110" s="411" cm="1">
        <f t="array" ref="Y110">_xll.LVCELL($D$4,F$1,$B110,$D$2,$C$4,$C$5,$C$6,$C$7,$C$8,$D$3)*1000+_xll.LVCELL($D$5,F$1,$B110,$D$2,$C$4,$C$5,$C$6,$C$7,$C$8,$D$3)*1000</f>
        <v>0</v>
      </c>
      <c r="Z110" s="411" cm="1">
        <f t="array" ref="Z110">_xll.LVCELL($D$4,G$1,$B110,$D$2,$C$4,$C$5,$C$6,$C$7,$C$8,$D$3)*1000+_xll.LVCELL($D$5,G$1,$B110,$D$2,$C$4,$C$5,$C$6,$C$7,$C$8,$D$3)*1000</f>
        <v>0</v>
      </c>
      <c r="AA110" s="411" cm="1">
        <f t="array" ref="AA110">_xll.LVCELL($D$4,H$1,$B110,$D$2,$C$4,$C$5,$C$6,$C$7,$C$8,$D$3)*1000+_xll.LVCELL($D$5,H$1,$B110,$D$2,$C$4,$C$5,$C$6,$C$7,$C$8,$D$3)*1000</f>
        <v>0</v>
      </c>
      <c r="AB110" s="411" cm="1">
        <f t="array" ref="AB110">_xll.LVCELL($D$4,I$1,$B110,$D$2,$C$4,$C$5,$C$6,$C$7,$C$8,$D$3)*1000+_xll.LVCELL($D$5,I$1,$B110,$D$2,$C$4,$C$5,$C$6,$C$7,$C$8,$D$3)*1000</f>
        <v>0</v>
      </c>
      <c r="AC110" s="411" cm="1">
        <f t="array" ref="AC110">_xll.LVCELL($D$4,J$1,$B110,$D$2,$C$4,$C$5,$C$6,$C$7,$C$8,$D$3)*1000+_xll.LVCELL($D$5,J$1,$B110,$D$2,$C$4,$C$5,$C$6,$C$7,$C$8,$D$3)*1000</f>
        <v>0</v>
      </c>
      <c r="AD110" s="411" cm="1">
        <f t="array" ref="AD110">_xll.LVCELL($D$4,K$1,$B110,$D$2,$C$4,$C$5,$C$6,$C$7,$C$8,$D$3)*1000+_xll.LVCELL($D$5,K$1,$B110,$D$2,$C$4,$C$5,$C$6,$C$7,$C$8,$D$3)*1000</f>
        <v>0</v>
      </c>
      <c r="AE110" s="411" cm="1">
        <f t="array" ref="AE110">_xll.LVCELL($D$4,L$1,$B110,$D$2,$C$4,$C$5,$C$6,$C$7,$C$8,$D$3)*1000+_xll.LVCELL($D$5,L$1,$B110,$D$2,$C$4,$C$5,$C$6,$C$7,$C$8,$D$3)*1000</f>
        <v>0</v>
      </c>
      <c r="AF110" s="561"/>
      <c r="AG110" s="561"/>
      <c r="AH110" s="561"/>
      <c r="AI110" s="561"/>
      <c r="AJ110" s="561"/>
      <c r="AK110" s="414"/>
      <c r="AL110" s="134">
        <f t="shared" si="155"/>
        <v>2.3E-2</v>
      </c>
      <c r="AM110" s="134"/>
      <c r="AN110" s="134"/>
      <c r="AO110" s="134"/>
      <c r="AP110" s="113" t="str">
        <f t="shared" si="132"/>
        <v>E6040</v>
      </c>
      <c r="AQ110" s="572" t="str">
        <f t="shared" si="133"/>
        <v>Peyrolles solaire</v>
      </c>
      <c r="AR110" s="411">
        <v>-6.6999999999999957</v>
      </c>
      <c r="AS110" s="411">
        <v>-11.559999999999995</v>
      </c>
      <c r="AT110" s="411">
        <v>-4.740000000000002</v>
      </c>
      <c r="AU110" s="411">
        <v>6.8999999999999986</v>
      </c>
      <c r="AV110" s="411">
        <v>14.269999999999996</v>
      </c>
      <c r="AW110" s="411">
        <v>10.399999999999999</v>
      </c>
      <c r="AX110" s="411">
        <v>9.5300000000000011</v>
      </c>
      <c r="AY110" s="411">
        <v>14.670000000000002</v>
      </c>
      <c r="AZ110" s="411">
        <v>16.850000000000001</v>
      </c>
      <c r="BA110" s="411">
        <v>16.299999999999997</v>
      </c>
      <c r="BB110" s="411">
        <v>6.3999999999999986</v>
      </c>
      <c r="BC110" s="412">
        <v>-0.17000000000000171</v>
      </c>
      <c r="BD110" s="414"/>
      <c r="BE110" s="134"/>
      <c r="BF110" s="134"/>
      <c r="BG110" s="134"/>
      <c r="BH110" s="134"/>
      <c r="BI110" s="113" t="str">
        <f t="shared" si="134"/>
        <v>E6040</v>
      </c>
      <c r="BJ110" s="572" t="str">
        <f t="shared" si="135"/>
        <v>Peyrolles solaire</v>
      </c>
      <c r="BK110" s="411">
        <v>65.589999999999989</v>
      </c>
      <c r="BL110" s="411">
        <v>70.449999999999989</v>
      </c>
      <c r="BM110" s="411">
        <v>63.63</v>
      </c>
      <c r="BN110" s="411">
        <v>51.99</v>
      </c>
      <c r="BO110" s="411">
        <v>44.620000000000005</v>
      </c>
      <c r="BP110" s="411">
        <v>48.49</v>
      </c>
      <c r="BQ110" s="411">
        <v>49.36</v>
      </c>
      <c r="BR110" s="411">
        <v>44.22</v>
      </c>
      <c r="BS110" s="411">
        <v>42.04</v>
      </c>
      <c r="BT110" s="411">
        <v>42.59</v>
      </c>
      <c r="BU110" s="411">
        <v>52.49</v>
      </c>
      <c r="BV110" s="412">
        <v>59.06</v>
      </c>
      <c r="BW110" s="414"/>
      <c r="BX110" s="134"/>
      <c r="BY110" s="134"/>
      <c r="BZ110" s="134"/>
      <c r="CA110" s="134"/>
      <c r="CB110" s="113" t="str">
        <f t="shared" si="156"/>
        <v>E6040</v>
      </c>
      <c r="CC110" s="373" t="str">
        <f t="shared" si="157"/>
        <v>Peyrolles solaire</v>
      </c>
      <c r="CD110" s="411">
        <f t="shared" si="136"/>
        <v>58.889999999999993</v>
      </c>
      <c r="CE110" s="411">
        <f t="shared" si="101"/>
        <v>58.889999999999993</v>
      </c>
      <c r="CF110" s="411">
        <f t="shared" si="102"/>
        <v>58.89</v>
      </c>
      <c r="CG110" s="411">
        <f t="shared" si="103"/>
        <v>58.89</v>
      </c>
      <c r="CH110" s="411">
        <f t="shared" si="104"/>
        <v>58.89</v>
      </c>
      <c r="CI110" s="411">
        <f t="shared" si="105"/>
        <v>58.89</v>
      </c>
      <c r="CJ110" s="411">
        <f t="shared" si="106"/>
        <v>58.89</v>
      </c>
      <c r="CK110" s="411">
        <f t="shared" si="107"/>
        <v>58.89</v>
      </c>
      <c r="CL110" s="411">
        <f t="shared" si="108"/>
        <v>58.89</v>
      </c>
      <c r="CM110" s="411">
        <f t="shared" si="109"/>
        <v>58.89</v>
      </c>
      <c r="CN110" s="411">
        <f t="shared" si="110"/>
        <v>58.89</v>
      </c>
      <c r="CO110" s="412">
        <f t="shared" si="111"/>
        <v>58.89</v>
      </c>
      <c r="CP110" s="414"/>
      <c r="CQ110" s="134">
        <f t="shared" si="112"/>
        <v>4.0000000000000001E-3</v>
      </c>
      <c r="CU110" s="113" t="str">
        <f t="shared" si="158"/>
        <v>E6040</v>
      </c>
      <c r="CV110" s="373" t="str">
        <f t="shared" si="159"/>
        <v>Peyrolles solaire</v>
      </c>
      <c r="CW110" s="398">
        <f t="shared" si="115"/>
        <v>56886.865836839992</v>
      </c>
      <c r="CX110" s="399">
        <f t="shared" si="116"/>
        <v>78623.905201919988</v>
      </c>
      <c r="CY110" s="399">
        <f t="shared" si="117"/>
        <v>120607.67425355999</v>
      </c>
      <c r="CZ110" s="399">
        <f t="shared" si="118"/>
        <v>128851.36923204</v>
      </c>
      <c r="DA110" s="399">
        <f t="shared" si="119"/>
        <v>153125.96291460001</v>
      </c>
      <c r="DB110" s="399">
        <f t="shared" si="120"/>
        <v>163490.99959764001</v>
      </c>
      <c r="DC110" s="399">
        <f t="shared" si="121"/>
        <v>174500.49452004</v>
      </c>
      <c r="DD110" s="399">
        <f t="shared" si="122"/>
        <v>156066.30363168</v>
      </c>
      <c r="DE110" s="399">
        <f t="shared" si="123"/>
        <v>115304.31999215999</v>
      </c>
      <c r="DF110" s="399">
        <f t="shared" si="124"/>
        <v>87458.35356648</v>
      </c>
      <c r="DG110" s="399">
        <f t="shared" si="125"/>
        <v>58014.667755719995</v>
      </c>
      <c r="DH110" s="392">
        <f t="shared" si="126"/>
        <v>49690.415497319998</v>
      </c>
      <c r="DI110" s="67">
        <f t="shared" si="160"/>
        <v>1342621.3319999999</v>
      </c>
      <c r="DJ110" s="510">
        <f>_xll.LVCELL($E$1,Q$2,$C110,$D$2,$C$4,$C$5,$C$6,$C$7,$C$8,$D$3)+_xll.LVCELL($E$2,Q$2,$C110,$D$2,$C$4,$C$5,$C$6,$C$7,$C$8,$D$3)</f>
        <v>1342621.3908899999</v>
      </c>
      <c r="DK110" s="82">
        <f t="shared" si="137"/>
        <v>-5.8889999985694885E-2</v>
      </c>
      <c r="DM110" s="518">
        <f t="shared" si="128"/>
        <v>58.890000000000022</v>
      </c>
      <c r="DO110" s="64" t="str">
        <f t="shared" si="129"/>
        <v>E6040</v>
      </c>
      <c r="DP110" s="64" t="str">
        <f t="shared" si="130"/>
        <v>E6040</v>
      </c>
      <c r="DQ110" s="359" t="str">
        <f t="shared" si="131"/>
        <v>Peyrolles solaire</v>
      </c>
      <c r="DR110" s="581">
        <f>_xll.LVCELL($DP$3,DR$3,$DP110,$DQ$2,$DP$4,$DP$5,$DP$6,$DP$7,$DP$8,$DQ$3)/100</f>
        <v>0.97</v>
      </c>
      <c r="DS110" s="581">
        <f>_xll.LVCELL($DP$3,DS$3,$DP110,$DQ$2,$DP$4,$DP$5,$DP$6,$DP$7,$DP$8,$DQ$3)/100</f>
        <v>0.97</v>
      </c>
      <c r="DT110" s="581">
        <f>_xll.LVCELL($DP$3,DT$3,$DP110,$DQ$2,$DP$4,$DP$5,$DP$6,$DP$7,$DP$8,$DQ$3)/100</f>
        <v>0.97</v>
      </c>
      <c r="DU110" s="581">
        <f>_xll.LVCELL($DP$3,DU$3,$DP110,$DQ$2,$DP$4,$DP$5,$DP$6,$DP$7,$DP$8,$DQ$3)/100</f>
        <v>0.97</v>
      </c>
      <c r="DV110" s="581">
        <f>_xll.LVCELL($DP$3,DV$3,$DP110,$DQ$2,$DP$4,$DP$5,$DP$6,$DP$7,$DP$8,$DQ$3)/100</f>
        <v>0.97</v>
      </c>
      <c r="DW110" s="581">
        <f>_xll.LVCELL($DP$3,DW$3,$DP110,$DQ$2,$DP$4,$DP$5,$DP$6,$DP$7,$DP$8,$DQ$3)/100</f>
        <v>0.97</v>
      </c>
      <c r="DX110" s="581">
        <f>_xll.LVCELL($DP$3,DX$3,$DP110,$DQ$2,$DP$4,$DP$5,$DP$6,$DP$7,$DP$8,$DQ$3)/100</f>
        <v>0.97</v>
      </c>
      <c r="DY110" s="581">
        <f>_xll.LVCELL($DP$3,DY$3,$DP110,$DQ$2,$DP$4,$DP$5,$DP$6,$DP$7,$DP$8,$DQ$3)/100</f>
        <v>0.97</v>
      </c>
      <c r="DZ110" s="581">
        <f>_xll.LVCELL($DP$3,DZ$3,$DP110,$DQ$2,$DP$4,$DP$5,$DP$6,$DP$7,$DP$8,$DQ$3)/100</f>
        <v>0.97</v>
      </c>
      <c r="EA110" s="581">
        <f>_xll.LVCELL($DP$3,EA$3,$DP110,$DQ$2,$DP$4,$DP$5,$DP$6,$DP$7,$DP$8,$DQ$3)/100</f>
        <v>0.97</v>
      </c>
      <c r="EB110" s="581">
        <f>_xll.LVCELL($DP$3,EB$3,$DP110,$DQ$2,$DP$4,$DP$5,$DP$6,$DP$7,$DP$8,$DQ$3)/100</f>
        <v>0.97</v>
      </c>
      <c r="EC110" s="581">
        <f>_xll.LVCELL($DP$3,EC$3,$DP110,$DQ$2,$DP$4,$DP$5,$DP$6,$DP$7,$DP$8,$DQ$3)/100</f>
        <v>0.97</v>
      </c>
      <c r="ED110" s="582">
        <f t="shared" si="138"/>
        <v>11.64</v>
      </c>
      <c r="EE110" s="64">
        <v>11.64</v>
      </c>
      <c r="EH110" s="359">
        <v>0</v>
      </c>
      <c r="EI110" s="396"/>
      <c r="EJ110" s="397"/>
      <c r="EK110" s="403"/>
      <c r="EL110" s="394"/>
      <c r="EM110" s="395"/>
      <c r="EN110" s="394"/>
      <c r="EO110" s="395"/>
      <c r="EP110" s="394"/>
      <c r="EQ110" s="395"/>
      <c r="ER110" s="394"/>
      <c r="ES110" s="395"/>
      <c r="ET110" s="394"/>
      <c r="EW110" s="64" t="str">
        <f t="shared" si="150"/>
        <v>E6040</v>
      </c>
      <c r="EX110" s="64" t="str">
        <f t="shared" si="151"/>
        <v>E6040</v>
      </c>
      <c r="EY110" s="587" t="str">
        <f t="shared" si="162"/>
        <v>Peyrolles solaire</v>
      </c>
      <c r="EZ110" s="276">
        <f>_xll.LVCELL($EX$3,EZ$3,$DP110,$DQ$2,$DP$4,$DP$5,$DP$6,$DP$7,$DP$8,$DQ$3)</f>
        <v>12000</v>
      </c>
      <c r="FA110" s="276">
        <f>_xll.LVCELL($EX$3,FA$3,$DP110,$DQ$2,$DP$4,$DP$5,$DP$6,$DP$7,$DP$8,$DQ$3)</f>
        <v>12000</v>
      </c>
      <c r="FB110" s="276">
        <f>_xll.LVCELL($EX$3,FB$3,$DP110,$DQ$2,$DP$4,$DP$5,$DP$6,$DP$7,$DP$8,$DQ$3)</f>
        <v>12000</v>
      </c>
      <c r="FC110" s="276">
        <f>_xll.LVCELL($EX$3,FC$3,$DP110,$DQ$2,$DP$4,$DP$5,$DP$6,$DP$7,$DP$8,$DQ$3)</f>
        <v>12000</v>
      </c>
      <c r="FD110" s="276">
        <f>_xll.LVCELL($EX$3,FD$3,$DP110,$DQ$2,$DP$4,$DP$5,$DP$6,$DP$7,$DP$8,$DQ$3)</f>
        <v>12000</v>
      </c>
      <c r="FE110" s="276">
        <f>_xll.LVCELL($EX$3,FE$3,$DP110,$DQ$2,$DP$4,$DP$5,$DP$6,$DP$7,$DP$8,$DQ$3)</f>
        <v>12000</v>
      </c>
      <c r="FF110" s="276">
        <f>_xll.LVCELL($EX$3,FF$3,$DP110,$DQ$2,$DP$4,$DP$5,$DP$6,$DP$7,$DP$8,$DQ$3)</f>
        <v>12000</v>
      </c>
      <c r="FG110" s="276">
        <f>_xll.LVCELL($EX$3,FG$3,$DP110,$DQ$2,$DP$4,$DP$5,$DP$6,$DP$7,$DP$8,$DQ$3)</f>
        <v>12000</v>
      </c>
      <c r="FH110" s="276">
        <f>_xll.LVCELL($EX$3,FH$3,$DP110,$DQ$2,$DP$4,$DP$5,$DP$6,$DP$7,$DP$8,$DQ$3)</f>
        <v>12000</v>
      </c>
      <c r="FI110" s="276">
        <f>_xll.LVCELL($EX$3,FI$3,$DP110,$DQ$2,$DP$4,$DP$5,$DP$6,$DP$7,$DP$8,$DQ$3)</f>
        <v>12000</v>
      </c>
      <c r="FJ110" s="276">
        <f>_xll.LVCELL($EX$3,FJ$3,$DP110,$DQ$2,$DP$4,$DP$5,$DP$6,$DP$7,$DP$8,$DQ$3)</f>
        <v>12000</v>
      </c>
      <c r="FK110" s="285">
        <f>_xll.LVCELL($EX$3,FK$3,$DP110,$DQ$2,$DP$4,$DP$5,$DP$6,$DP$7,$DP$8,$DQ$3)</f>
        <v>12000</v>
      </c>
      <c r="FN110" s="102" t="str">
        <f t="shared" si="161"/>
        <v>E6040</v>
      </c>
      <c r="FO110" s="102" t="str">
        <f t="shared" si="161"/>
        <v>E6040</v>
      </c>
      <c r="FP110" s="587" t="str">
        <f t="shared" si="161"/>
        <v>Peyrolles solaire</v>
      </c>
      <c r="FQ110" s="276">
        <f>_xll.LVCELL($FO$3,FQ$3,$DP110,$DQ$2,$DP$4,$DP$5,$DP$6,$DP$7,$DP$8,$DQ$3)</f>
        <v>0</v>
      </c>
      <c r="FR110" s="276">
        <f>_xll.LVCELL($FO$3,FR$3,$DP110,$DQ$2,$DP$4,$DP$5,$DP$6,$DP$7,$DP$8,$DQ$3)</f>
        <v>0</v>
      </c>
      <c r="FS110" s="276">
        <f>_xll.LVCELL($FO$3,FS$3,$DP110,$DQ$2,$DP$4,$DP$5,$DP$6,$DP$7,$DP$8,$DQ$3)</f>
        <v>0</v>
      </c>
      <c r="FT110" s="276">
        <f>_xll.LVCELL($FO$3,FT$3,$DP110,$DQ$2,$DP$4,$DP$5,$DP$6,$DP$7,$DP$8,$DQ$3)</f>
        <v>0</v>
      </c>
      <c r="FU110" s="276">
        <f>_xll.LVCELL($FO$3,FU$3,$DP110,$DQ$2,$DP$4,$DP$5,$DP$6,$DP$7,$DP$8,$DQ$3)</f>
        <v>0</v>
      </c>
      <c r="FV110" s="276">
        <f>_xll.LVCELL($FO$3,FV$3,$DP110,$DQ$2,$DP$4,$DP$5,$DP$6,$DP$7,$DP$8,$DQ$3)</f>
        <v>0</v>
      </c>
      <c r="FW110" s="276">
        <f>_xll.LVCELL($FO$3,FW$3,$DP110,$DQ$2,$DP$4,$DP$5,$DP$6,$DP$7,$DP$8,$DQ$3)</f>
        <v>0</v>
      </c>
      <c r="FX110" s="276">
        <f>_xll.LVCELL($FO$3,FX$3,$DP110,$DQ$2,$DP$4,$DP$5,$DP$6,$DP$7,$DP$8,$DQ$3)</f>
        <v>0</v>
      </c>
      <c r="FY110" s="276">
        <f>_xll.LVCELL($FO$3,FY$3,$DP110,$DQ$2,$DP$4,$DP$5,$DP$6,$DP$7,$DP$8,$DQ$3)</f>
        <v>0</v>
      </c>
      <c r="FZ110" s="276">
        <f>_xll.LVCELL($FO$3,FZ$3,$DP110,$DQ$2,$DP$4,$DP$5,$DP$6,$DP$7,$DP$8,$DQ$3)</f>
        <v>0</v>
      </c>
      <c r="GA110" s="276">
        <f>_xll.LVCELL($FO$3,GA$3,$DP110,$DQ$2,$DP$4,$DP$5,$DP$6,$DP$7,$DP$8,$DQ$3)</f>
        <v>0</v>
      </c>
      <c r="GB110" s="276">
        <f>_xll.LVCELL($FO$3,GB$3,$DP110,$DQ$2,$DP$4,$DP$5,$DP$6,$DP$7,$DP$8,$DQ$3)</f>
        <v>0</v>
      </c>
      <c r="GC110" s="64" t="s">
        <v>3293</v>
      </c>
    </row>
    <row r="111" spans="2:185" ht="15">
      <c r="B111" s="108" t="s">
        <v>2089</v>
      </c>
      <c r="C111" s="108" t="s">
        <v>2089</v>
      </c>
      <c r="D111" s="359" t="s">
        <v>3143</v>
      </c>
      <c r="E111" s="357">
        <f>_xll.LVCELL($C$3,Q$3,$C111,$D$2,$C$4,$C$5,$C$6,$C$7,$C$8,$D$3)/1000</f>
        <v>12</v>
      </c>
      <c r="F111" s="739">
        <f>'distribution mensuelle Prod B22'!$CY$36</f>
        <v>3705431.6469643875</v>
      </c>
      <c r="G111" s="739">
        <f>'distribution mensuelle Prod B22'!$CY$37</f>
        <v>3277094.9986763862</v>
      </c>
      <c r="H111" s="739">
        <f>'distribution mensuelle Prod B22'!$CY$38</f>
        <v>3185926.9914196124</v>
      </c>
      <c r="I111" s="739">
        <f>'distribution mensuelle Prod B22'!$CY$39</f>
        <v>2417460.1729367794</v>
      </c>
      <c r="J111" s="739">
        <f>'distribution mensuelle Prod B22'!$CY$40</f>
        <v>2326469.9806335564</v>
      </c>
      <c r="K111" s="739">
        <f>'distribution mensuelle Prod B22'!$CY$41</f>
        <v>1801962.610175987</v>
      </c>
      <c r="L111" s="739">
        <f>'distribution mensuelle Prod B22'!$CY$42</f>
        <v>1839683.7442551958</v>
      </c>
      <c r="M111" s="739">
        <f>'distribution mensuelle Prod B22'!$CY$43</f>
        <v>1825319.5602309161</v>
      </c>
      <c r="N111" s="739">
        <f>'distribution mensuelle Prod B22'!$CY$44</f>
        <v>2029009.3899145976</v>
      </c>
      <c r="O111" s="739">
        <f>'distribution mensuelle Prod B22'!$CY$45</f>
        <v>2848368.6668490446</v>
      </c>
      <c r="P111" s="739">
        <f>'distribution mensuelle Prod B22'!$CY$46</f>
        <v>3337231.3112656451</v>
      </c>
      <c r="Q111" s="739">
        <f>'distribution mensuelle Prod B22'!$CY$47</f>
        <v>3616852.5121479984</v>
      </c>
      <c r="R111" s="67">
        <f t="shared" si="152"/>
        <v>32210811.585470103</v>
      </c>
      <c r="S111" s="428"/>
      <c r="W111" s="113" t="str">
        <f t="shared" si="153"/>
        <v>E6310</v>
      </c>
      <c r="X111" s="359" t="str">
        <f t="shared" si="154"/>
        <v>Bazougeais</v>
      </c>
      <c r="Y111" s="411" cm="1">
        <f t="array" ref="Y111">_xll.LVCELL($D$4,F$1,$B111,$D$2,$C$4,$C$5,$C$6,$C$7,$C$8,$D$3)*1000+_xll.LVCELL($D$5,F$1,$B111,$D$2,$C$4,$C$5,$C$6,$C$7,$C$8,$D$3)*1000</f>
        <v>0</v>
      </c>
      <c r="Z111" s="411" cm="1">
        <f t="array" ref="Z111">_xll.LVCELL($D$4,G$1,$B111,$D$2,$C$4,$C$5,$C$6,$C$7,$C$8,$D$3)*1000+_xll.LVCELL($D$5,G$1,$B111,$D$2,$C$4,$C$5,$C$6,$C$7,$C$8,$D$3)*1000</f>
        <v>0</v>
      </c>
      <c r="AA111" s="411" cm="1">
        <f t="array" ref="AA111">_xll.LVCELL($D$4,H$1,$B111,$D$2,$C$4,$C$5,$C$6,$C$7,$C$8,$D$3)*1000+_xll.LVCELL($D$5,H$1,$B111,$D$2,$C$4,$C$5,$C$6,$C$7,$C$8,$D$3)*1000</f>
        <v>0</v>
      </c>
      <c r="AB111" s="411" cm="1">
        <f t="array" ref="AB111">_xll.LVCELL($D$4,I$1,$B111,$D$2,$C$4,$C$5,$C$6,$C$7,$C$8,$D$3)*1000+_xll.LVCELL($D$5,I$1,$B111,$D$2,$C$4,$C$5,$C$6,$C$7,$C$8,$D$3)*1000</f>
        <v>0</v>
      </c>
      <c r="AC111" s="411" cm="1">
        <f t="array" ref="AC111">_xll.LVCELL($D$4,J$1,$B111,$D$2,$C$4,$C$5,$C$6,$C$7,$C$8,$D$3)*1000+_xll.LVCELL($D$5,J$1,$B111,$D$2,$C$4,$C$5,$C$6,$C$7,$C$8,$D$3)*1000</f>
        <v>76.019998754338772</v>
      </c>
      <c r="AD111" s="411" cm="1">
        <f t="array" ref="AD111">_xll.LVCELL($D$4,K$1,$B111,$D$2,$C$4,$C$5,$C$6,$C$7,$C$8,$D$3)*1000+_xll.LVCELL($D$5,K$1,$B111,$D$2,$C$4,$C$5,$C$6,$C$7,$C$8,$D$3)*1000</f>
        <v>76.01998732984427</v>
      </c>
      <c r="AE111" s="411" cm="1">
        <f t="array" ref="AE111">_xll.LVCELL($D$4,L$1,$B111,$D$2,$C$4,$C$5,$C$6,$C$7,$C$8,$D$3)*1000+_xll.LVCELL($D$5,L$1,$B111,$D$2,$C$4,$C$5,$C$6,$C$7,$C$8,$D$3)*1000</f>
        <v>70.785400387899088</v>
      </c>
      <c r="AF111" s="299">
        <f>$AD$111</f>
        <v>76.01998732984427</v>
      </c>
      <c r="AG111" s="411">
        <f>AF111</f>
        <v>76.01998732984427</v>
      </c>
      <c r="AH111" s="411">
        <f t="shared" ref="AH111" si="163">AG111</f>
        <v>76.01998732984427</v>
      </c>
      <c r="AI111" s="411">
        <f>AH111</f>
        <v>76.01998732984427</v>
      </c>
      <c r="AJ111" s="411">
        <f>AI111</f>
        <v>76.01998732984427</v>
      </c>
      <c r="AK111" s="414" t="s">
        <v>3410</v>
      </c>
      <c r="AL111" s="134">
        <f t="shared" si="155"/>
        <v>2.3E-2</v>
      </c>
      <c r="AM111" s="134"/>
      <c r="AN111" s="134"/>
      <c r="AO111" s="134"/>
      <c r="AP111" s="113" t="str">
        <f t="shared" si="132"/>
        <v>E6310</v>
      </c>
      <c r="AQ111" s="574" t="str">
        <f t="shared" si="133"/>
        <v>Bazougeais</v>
      </c>
      <c r="AR111" s="411">
        <v>-4.0539999999999994</v>
      </c>
      <c r="AS111" s="411">
        <v>-5.0239999999999982</v>
      </c>
      <c r="AT111" s="411">
        <v>7.1960000000000006</v>
      </c>
      <c r="AU111" s="411">
        <v>21.586000000000009</v>
      </c>
      <c r="AV111" s="411">
        <v>30.906000000000009</v>
      </c>
      <c r="AW111" s="411">
        <v>25.756000000000004</v>
      </c>
      <c r="AX111" s="411">
        <v>23.696000000000009</v>
      </c>
      <c r="AY111" s="411">
        <v>27.416000000000007</v>
      </c>
      <c r="AZ111" s="411">
        <v>29.536000000000005</v>
      </c>
      <c r="BA111" s="411">
        <v>30.336000000000009</v>
      </c>
      <c r="BB111" s="411">
        <v>-11.369999999999994</v>
      </c>
      <c r="BC111" s="412">
        <v>-33.540000000000006</v>
      </c>
      <c r="BD111" s="555"/>
      <c r="BE111" s="134"/>
      <c r="BF111" s="134"/>
      <c r="BG111" s="134"/>
      <c r="BH111" s="134"/>
      <c r="BI111" s="113" t="str">
        <f t="shared" si="134"/>
        <v>E6310</v>
      </c>
      <c r="BJ111" s="574" t="str">
        <f t="shared" si="135"/>
        <v>Bazougeais</v>
      </c>
      <c r="BK111" s="411">
        <v>81.73</v>
      </c>
      <c r="BL111" s="411">
        <v>82.7</v>
      </c>
      <c r="BM111" s="411">
        <v>70.48</v>
      </c>
      <c r="BN111" s="411">
        <v>56.089999999999996</v>
      </c>
      <c r="BO111" s="411">
        <v>46.769999999999996</v>
      </c>
      <c r="BP111" s="411">
        <v>51.92</v>
      </c>
      <c r="BQ111" s="411">
        <v>53.98</v>
      </c>
      <c r="BR111" s="411">
        <v>50.26</v>
      </c>
      <c r="BS111" s="411">
        <v>48.14</v>
      </c>
      <c r="BT111" s="411">
        <v>47.339999999999996</v>
      </c>
      <c r="BU111" s="411">
        <v>66.13</v>
      </c>
      <c r="BV111" s="412">
        <v>77.56</v>
      </c>
      <c r="BW111" s="414" t="s">
        <v>3544</v>
      </c>
      <c r="BX111" s="134"/>
      <c r="BY111" s="134"/>
      <c r="BZ111" s="134"/>
      <c r="CA111" s="134"/>
      <c r="CB111" s="113" t="str">
        <f t="shared" si="156"/>
        <v>E6310</v>
      </c>
      <c r="CC111" s="373" t="str">
        <f t="shared" si="157"/>
        <v>Bazougeais</v>
      </c>
      <c r="CD111" s="411">
        <f t="shared" si="136"/>
        <v>77.676000000000002</v>
      </c>
      <c r="CE111" s="411">
        <f t="shared" si="101"/>
        <v>77.676000000000002</v>
      </c>
      <c r="CF111" s="411">
        <f t="shared" si="102"/>
        <v>77.676000000000002</v>
      </c>
      <c r="CG111" s="411">
        <f t="shared" si="103"/>
        <v>77.676000000000002</v>
      </c>
      <c r="CH111" s="411">
        <f t="shared" si="104"/>
        <v>77.676000000000002</v>
      </c>
      <c r="CI111" s="411">
        <f t="shared" si="105"/>
        <v>77.676000000000002</v>
      </c>
      <c r="CJ111" s="411">
        <f t="shared" si="106"/>
        <v>77.676000000000002</v>
      </c>
      <c r="CK111" s="411">
        <f t="shared" si="107"/>
        <v>77.676000000000002</v>
      </c>
      <c r="CL111" s="411">
        <f t="shared" si="108"/>
        <v>77.676000000000002</v>
      </c>
      <c r="CM111" s="411">
        <f t="shared" si="109"/>
        <v>77.676000000000002</v>
      </c>
      <c r="CN111" s="411">
        <f t="shared" si="110"/>
        <v>54.760000000000005</v>
      </c>
      <c r="CO111" s="412">
        <f t="shared" si="111"/>
        <v>44.019999999999996</v>
      </c>
      <c r="CP111" s="414" t="s">
        <v>3544</v>
      </c>
      <c r="CQ111" s="134">
        <f t="shared" si="112"/>
        <v>4.0000000000000001E-3</v>
      </c>
      <c r="CU111" s="113" t="str">
        <f t="shared" si="158"/>
        <v>E6310</v>
      </c>
      <c r="CV111" s="373" t="str">
        <f t="shared" si="159"/>
        <v>Bazougeais</v>
      </c>
      <c r="CW111" s="398">
        <f t="shared" si="115"/>
        <v>287823.10860960576</v>
      </c>
      <c r="CX111" s="399">
        <f t="shared" si="116"/>
        <v>254551.63111718695</v>
      </c>
      <c r="CY111" s="399">
        <f t="shared" si="117"/>
        <v>247470.06498550979</v>
      </c>
      <c r="CZ111" s="399">
        <f t="shared" si="118"/>
        <v>187778.63639303728</v>
      </c>
      <c r="DA111" s="399">
        <f t="shared" si="119"/>
        <v>180710.88221569211</v>
      </c>
      <c r="DB111" s="399">
        <f t="shared" si="120"/>
        <v>139969.24770802996</v>
      </c>
      <c r="DC111" s="399">
        <f t="shared" si="121"/>
        <v>142899.27451876659</v>
      </c>
      <c r="DD111" s="399">
        <f t="shared" si="122"/>
        <v>141783.52216049662</v>
      </c>
      <c r="DE111" s="399">
        <f t="shared" si="123"/>
        <v>157605.33337100627</v>
      </c>
      <c r="DF111" s="399">
        <f t="shared" si="124"/>
        <v>221249.88456616638</v>
      </c>
      <c r="DG111" s="399">
        <f t="shared" si="125"/>
        <v>182746.78660490672</v>
      </c>
      <c r="DH111" s="392">
        <f t="shared" si="126"/>
        <v>159213.84758475487</v>
      </c>
      <c r="DI111" s="67">
        <f t="shared" si="160"/>
        <v>2303802.2198351594</v>
      </c>
      <c r="DJ111" s="510">
        <f>_xll.LVCELL($E$1,Q$2,$C111,$D$2,$C$4,$C$5,$C$6,$C$7,$C$8,$D$3)+_xll.LVCELL($E$2,Q$2,$C111,$D$2,$C$4,$C$5,$C$6,$C$7,$C$8,$D$3)</f>
        <v>2303802.3204240003</v>
      </c>
      <c r="DK111" s="82">
        <f t="shared" si="137"/>
        <v>-0.10058884089812636</v>
      </c>
      <c r="DM111" s="518">
        <f t="shared" si="128"/>
        <v>71.522638096904586</v>
      </c>
      <c r="DO111" s="64" t="str">
        <f t="shared" si="129"/>
        <v>E6310</v>
      </c>
      <c r="DP111" s="64" t="str">
        <f t="shared" si="130"/>
        <v>E6310</v>
      </c>
      <c r="DQ111" s="359" t="str">
        <f t="shared" si="131"/>
        <v>Bazougeais</v>
      </c>
      <c r="DR111" s="581">
        <f>_xll.LVCELL($DP$3,DR$3,$DP111,$DQ$2,$DP$4,$DP$5,$DP$6,$DP$7,$DP$8,$DQ$3)/100</f>
        <v>0.97</v>
      </c>
      <c r="DS111" s="581">
        <f>_xll.LVCELL($DP$3,DS$3,$DP111,$DQ$2,$DP$4,$DP$5,$DP$6,$DP$7,$DP$8,$DQ$3)/100</f>
        <v>0.97</v>
      </c>
      <c r="DT111" s="581">
        <f>_xll.LVCELL($DP$3,DT$3,$DP111,$DQ$2,$DP$4,$DP$5,$DP$6,$DP$7,$DP$8,$DQ$3)/100</f>
        <v>0.97</v>
      </c>
      <c r="DU111" s="581">
        <f>_xll.LVCELL($DP$3,DU$3,$DP111,$DQ$2,$DP$4,$DP$5,$DP$6,$DP$7,$DP$8,$DQ$3)/100</f>
        <v>0.97</v>
      </c>
      <c r="DV111" s="581">
        <f>_xll.LVCELL($DP$3,DV$3,$DP111,$DQ$2,$DP$4,$DP$5,$DP$6,$DP$7,$DP$8,$DQ$3)/100</f>
        <v>0.97</v>
      </c>
      <c r="DW111" s="581">
        <f>_xll.LVCELL($DP$3,DW$3,$DP111,$DQ$2,$DP$4,$DP$5,$DP$6,$DP$7,$DP$8,$DQ$3)/100</f>
        <v>0.97</v>
      </c>
      <c r="DX111" s="581">
        <f>_xll.LVCELL($DP$3,DX$3,$DP111,$DQ$2,$DP$4,$DP$5,$DP$6,$DP$7,$DP$8,$DQ$3)/100</f>
        <v>0.97</v>
      </c>
      <c r="DY111" s="581">
        <f>_xll.LVCELL($DP$3,DY$3,$DP111,$DQ$2,$DP$4,$DP$5,$DP$6,$DP$7,$DP$8,$DQ$3)/100</f>
        <v>0.97</v>
      </c>
      <c r="DZ111" s="581">
        <f>_xll.LVCELL($DP$3,DZ$3,$DP111,$DQ$2,$DP$4,$DP$5,$DP$6,$DP$7,$DP$8,$DQ$3)/100</f>
        <v>0.97</v>
      </c>
      <c r="EA111" s="581">
        <f>_xll.LVCELL($DP$3,EA$3,$DP111,$DQ$2,$DP$4,$DP$5,$DP$6,$DP$7,$DP$8,$DQ$3)/100</f>
        <v>0.97</v>
      </c>
      <c r="EB111" s="581">
        <f>_xll.LVCELL($DP$3,EB$3,$DP111,$DQ$2,$DP$4,$DP$5,$DP$6,$DP$7,$DP$8,$DQ$3)/100</f>
        <v>0.97</v>
      </c>
      <c r="EC111" s="581">
        <f>_xll.LVCELL($DP$3,EC$3,$DP111,$DQ$2,$DP$4,$DP$5,$DP$6,$DP$7,$DP$8,$DQ$3)/100</f>
        <v>0.97</v>
      </c>
      <c r="ED111" s="582">
        <f t="shared" si="138"/>
        <v>11.64</v>
      </c>
      <c r="EE111" s="64">
        <v>7.7599999999999989</v>
      </c>
      <c r="EH111" s="359">
        <v>0</v>
      </c>
      <c r="EI111" s="396"/>
      <c r="EJ111" s="397"/>
      <c r="EK111" s="403"/>
      <c r="EL111" s="394"/>
      <c r="EM111" s="395"/>
      <c r="EN111" s="394"/>
      <c r="EO111" s="395"/>
      <c r="EP111" s="394"/>
      <c r="EQ111" s="395"/>
      <c r="ER111" s="394"/>
      <c r="ES111" s="395"/>
      <c r="ET111" s="394"/>
      <c r="EW111" s="64" t="str">
        <f t="shared" si="150"/>
        <v>E6310</v>
      </c>
      <c r="EX111" s="64" t="str">
        <f t="shared" si="151"/>
        <v>E6310</v>
      </c>
      <c r="EY111" s="359" t="str">
        <f t="shared" si="162"/>
        <v>Bazougeais</v>
      </c>
      <c r="EZ111" s="276">
        <f>_xll.LVCELL($EX$3,EZ$3,$DP111,$DQ$2,$DP$4,$DP$5,$DP$6,$DP$7,$DP$8,$DQ$3)</f>
        <v>12000</v>
      </c>
      <c r="FA111" s="276">
        <f>_xll.LVCELL($EX$3,FA$3,$DP111,$DQ$2,$DP$4,$DP$5,$DP$6,$DP$7,$DP$8,$DQ$3)</f>
        <v>12000</v>
      </c>
      <c r="FB111" s="276">
        <f>_xll.LVCELL($EX$3,FB$3,$DP111,$DQ$2,$DP$4,$DP$5,$DP$6,$DP$7,$DP$8,$DQ$3)</f>
        <v>12000</v>
      </c>
      <c r="FC111" s="276">
        <f>_xll.LVCELL($EX$3,FC$3,$DP111,$DQ$2,$DP$4,$DP$5,$DP$6,$DP$7,$DP$8,$DQ$3)</f>
        <v>12000</v>
      </c>
      <c r="FD111" s="276">
        <f>_xll.LVCELL($EX$3,FD$3,$DP111,$DQ$2,$DP$4,$DP$5,$DP$6,$DP$7,$DP$8,$DQ$3)</f>
        <v>12000</v>
      </c>
      <c r="FE111" s="276">
        <f>_xll.LVCELL($EX$3,FE$3,$DP111,$DQ$2,$DP$4,$DP$5,$DP$6,$DP$7,$DP$8,$DQ$3)</f>
        <v>12000</v>
      </c>
      <c r="FF111" s="276">
        <f>_xll.LVCELL($EX$3,FF$3,$DP111,$DQ$2,$DP$4,$DP$5,$DP$6,$DP$7,$DP$8,$DQ$3)</f>
        <v>12000</v>
      </c>
      <c r="FG111" s="276">
        <f>_xll.LVCELL($EX$3,FG$3,$DP111,$DQ$2,$DP$4,$DP$5,$DP$6,$DP$7,$DP$8,$DQ$3)</f>
        <v>12000</v>
      </c>
      <c r="FH111" s="276">
        <f>_xll.LVCELL($EX$3,FH$3,$DP111,$DQ$2,$DP$4,$DP$5,$DP$6,$DP$7,$DP$8,$DQ$3)</f>
        <v>12000</v>
      </c>
      <c r="FI111" s="276">
        <f>_xll.LVCELL($EX$3,FI$3,$DP111,$DQ$2,$DP$4,$DP$5,$DP$6,$DP$7,$DP$8,$DQ$3)</f>
        <v>12000</v>
      </c>
      <c r="FJ111" s="276">
        <f>_xll.LVCELL($EX$3,FJ$3,$DP111,$DQ$2,$DP$4,$DP$5,$DP$6,$DP$7,$DP$8,$DQ$3)</f>
        <v>12000</v>
      </c>
      <c r="FK111" s="276">
        <f>_xll.LVCELL($EX$3,FK$3,$DP111,$DQ$2,$DP$4,$DP$5,$DP$6,$DP$7,$DP$8,$DQ$3)</f>
        <v>12000</v>
      </c>
      <c r="FN111" s="102" t="str">
        <f t="shared" si="161"/>
        <v>E6310</v>
      </c>
      <c r="FO111" s="102" t="str">
        <f t="shared" si="161"/>
        <v>E6310</v>
      </c>
      <c r="FP111" s="359" t="str">
        <f t="shared" si="161"/>
        <v>Bazougeais</v>
      </c>
      <c r="FQ111" s="276">
        <f>_xll.LVCELL($FO$3,FQ$3,$DP111,$DQ$2,$DP$4,$DP$5,$DP$6,$DP$7,$DP$8,$DQ$3)</f>
        <v>4</v>
      </c>
      <c r="FR111" s="276">
        <f>_xll.LVCELL($FO$3,FR$3,$DP111,$DQ$2,$DP$4,$DP$5,$DP$6,$DP$7,$DP$8,$DQ$3)</f>
        <v>4</v>
      </c>
      <c r="FS111" s="276">
        <f>_xll.LVCELL($FO$3,FS$3,$DP111,$DQ$2,$DP$4,$DP$5,$DP$6,$DP$7,$DP$8,$DQ$3)</f>
        <v>4</v>
      </c>
      <c r="FT111" s="276">
        <f>_xll.LVCELL($FO$3,FT$3,$DP111,$DQ$2,$DP$4,$DP$5,$DP$6,$DP$7,$DP$8,$DQ$3)</f>
        <v>4</v>
      </c>
      <c r="FU111" s="276">
        <f>_xll.LVCELL($FO$3,FU$3,$DP111,$DQ$2,$DP$4,$DP$5,$DP$6,$DP$7,$DP$8,$DQ$3)</f>
        <v>4</v>
      </c>
      <c r="FV111" s="276">
        <f>_xll.LVCELL($FO$3,FV$3,$DP111,$DQ$2,$DP$4,$DP$5,$DP$6,$DP$7,$DP$8,$DQ$3)</f>
        <v>4</v>
      </c>
      <c r="FW111" s="276">
        <f>_xll.LVCELL($FO$3,FW$3,$DP111,$DQ$2,$DP$4,$DP$5,$DP$6,$DP$7,$DP$8,$DQ$3)</f>
        <v>4</v>
      </c>
      <c r="FX111" s="276">
        <f>_xll.LVCELL($FO$3,FX$3,$DP111,$DQ$2,$DP$4,$DP$5,$DP$6,$DP$7,$DP$8,$DQ$3)</f>
        <v>4</v>
      </c>
      <c r="FY111" s="276">
        <f>_xll.LVCELL($FO$3,FY$3,$DP111,$DQ$2,$DP$4,$DP$5,$DP$6,$DP$7,$DP$8,$DQ$3)</f>
        <v>4</v>
      </c>
      <c r="FZ111" s="276">
        <f>_xll.LVCELL($FO$3,FZ$3,$DP111,$DQ$2,$DP$4,$DP$5,$DP$6,$DP$7,$DP$8,$DQ$3)</f>
        <v>4</v>
      </c>
      <c r="GA111" s="276">
        <f>_xll.LVCELL($FO$3,GA$3,$DP111,$DQ$2,$DP$4,$DP$5,$DP$6,$DP$7,$DP$8,$DQ$3)</f>
        <v>4</v>
      </c>
      <c r="GB111" s="276">
        <f>_xll.LVCELL($FO$3,GB$3,$DP111,$DQ$2,$DP$4,$DP$5,$DP$6,$DP$7,$DP$8,$DQ$3)</f>
        <v>4</v>
      </c>
    </row>
    <row r="112" spans="2:185" ht="15">
      <c r="C112" s="64" t="s">
        <v>3333</v>
      </c>
      <c r="D112" s="359" t="s">
        <v>3157</v>
      </c>
      <c r="E112" s="357">
        <f>_xll.LVCELL($C$3,Q$3,$C112,$D$2,$C$4,$C$5,$C$6,$C$7,$C$8,$D$3)/1000</f>
        <v>0</v>
      </c>
      <c r="F112" s="739"/>
      <c r="G112" s="739"/>
      <c r="H112" s="739"/>
      <c r="I112" s="739"/>
      <c r="J112" s="739"/>
      <c r="K112" s="739"/>
      <c r="L112" s="739"/>
      <c r="M112" s="739"/>
      <c r="N112" s="739"/>
      <c r="O112" s="739"/>
      <c r="P112" s="739"/>
      <c r="Q112" s="739"/>
      <c r="R112" s="67">
        <f t="shared" si="152"/>
        <v>0</v>
      </c>
      <c r="W112" s="113">
        <f t="shared" si="153"/>
        <v>0</v>
      </c>
      <c r="X112" s="359" t="str">
        <f t="shared" si="154"/>
        <v>Stockage de l'Arce</v>
      </c>
      <c r="Y112" s="561"/>
      <c r="Z112" s="561"/>
      <c r="AA112" s="561"/>
      <c r="AB112" s="561"/>
      <c r="AC112" s="561"/>
      <c r="AD112" s="561"/>
      <c r="AE112" s="561"/>
      <c r="AF112" s="561"/>
      <c r="AG112" s="561"/>
      <c r="AH112" s="561"/>
      <c r="AI112" s="561"/>
      <c r="AJ112" s="561"/>
      <c r="AK112" s="414"/>
      <c r="AL112" s="134">
        <f t="shared" si="155"/>
        <v>2.3E-2</v>
      </c>
      <c r="AM112" s="134"/>
      <c r="AN112" s="134"/>
      <c r="AO112" s="134"/>
      <c r="AP112" s="113"/>
      <c r="AQ112" s="567"/>
      <c r="AR112" s="411"/>
      <c r="AS112" s="411"/>
      <c r="AT112" s="411"/>
      <c r="AU112" s="411"/>
      <c r="AV112" s="411"/>
      <c r="AW112" s="411"/>
      <c r="AX112" s="411"/>
      <c r="AY112" s="411"/>
      <c r="AZ112" s="411"/>
      <c r="BA112" s="411"/>
      <c r="BB112" s="411"/>
      <c r="BC112" s="412"/>
      <c r="BD112" s="414"/>
      <c r="BE112" s="134"/>
      <c r="BF112" s="134"/>
      <c r="BG112" s="134"/>
      <c r="BH112" s="134"/>
      <c r="BI112" s="113"/>
      <c r="BJ112" s="567"/>
      <c r="BK112" s="411"/>
      <c r="BL112" s="411"/>
      <c r="BM112" s="411"/>
      <c r="BN112" s="411"/>
      <c r="BO112" s="411"/>
      <c r="BP112" s="411"/>
      <c r="BQ112" s="411"/>
      <c r="BR112" s="411"/>
      <c r="BS112" s="411"/>
      <c r="BT112" s="411"/>
      <c r="BU112" s="411"/>
      <c r="BV112" s="412"/>
      <c r="BW112" s="414"/>
      <c r="BX112" s="134"/>
      <c r="BY112" s="134"/>
      <c r="BZ112" s="134"/>
      <c r="CA112" s="134"/>
      <c r="CB112" s="113">
        <f t="shared" si="156"/>
        <v>0</v>
      </c>
      <c r="CC112" s="373" t="str">
        <f t="shared" si="157"/>
        <v>Stockage de l'Arce</v>
      </c>
      <c r="CD112" s="411">
        <f t="shared" si="136"/>
        <v>0</v>
      </c>
      <c r="CE112" s="411">
        <f t="shared" si="101"/>
        <v>0</v>
      </c>
      <c r="CF112" s="411">
        <f t="shared" si="102"/>
        <v>0</v>
      </c>
      <c r="CG112" s="411">
        <f t="shared" si="103"/>
        <v>0</v>
      </c>
      <c r="CH112" s="411">
        <f t="shared" si="104"/>
        <v>0</v>
      </c>
      <c r="CI112" s="411">
        <f t="shared" si="105"/>
        <v>0</v>
      </c>
      <c r="CJ112" s="411">
        <f t="shared" si="106"/>
        <v>0</v>
      </c>
      <c r="CK112" s="411">
        <f t="shared" si="107"/>
        <v>0</v>
      </c>
      <c r="CL112" s="411">
        <f t="shared" si="108"/>
        <v>0</v>
      </c>
      <c r="CM112" s="411">
        <f t="shared" si="109"/>
        <v>0</v>
      </c>
      <c r="CN112" s="411">
        <f t="shared" si="110"/>
        <v>0</v>
      </c>
      <c r="CO112" s="412">
        <f t="shared" si="111"/>
        <v>0</v>
      </c>
      <c r="CP112" s="414"/>
      <c r="CQ112" s="134">
        <f>$AL$9</f>
        <v>2.3E-2</v>
      </c>
      <c r="CU112" s="113">
        <f t="shared" si="158"/>
        <v>0</v>
      </c>
      <c r="CV112" s="373" t="str">
        <f t="shared" si="159"/>
        <v>Stockage de l'Arce</v>
      </c>
      <c r="CW112" s="398">
        <f t="shared" ref="CW112:CW116" si="164">F112*(CD112/1000)</f>
        <v>0</v>
      </c>
      <c r="CX112" s="399">
        <f t="shared" ref="CX112:CX116" si="165">G112*(CE112/1000)</f>
        <v>0</v>
      </c>
      <c r="CY112" s="399">
        <f t="shared" ref="CY112:CY116" si="166">H112*(CF112/1000)</f>
        <v>0</v>
      </c>
      <c r="CZ112" s="399">
        <f t="shared" ref="CZ112:CZ116" si="167">I112*(CG112/1000)</f>
        <v>0</v>
      </c>
      <c r="DA112" s="399">
        <f t="shared" ref="DA112:DA116" si="168">J112*(CH112/1000)</f>
        <v>0</v>
      </c>
      <c r="DB112" s="399">
        <f t="shared" ref="DB112:DB116" si="169">K112*(CI112/1000)</f>
        <v>0</v>
      </c>
      <c r="DC112" s="399">
        <f t="shared" ref="DC112:DC116" si="170">L112*(CJ112/1000)</f>
        <v>0</v>
      </c>
      <c r="DD112" s="399">
        <f t="shared" ref="DD112:DD116" si="171">M112*(CK112/1000)</f>
        <v>0</v>
      </c>
      <c r="DE112" s="399">
        <f t="shared" ref="DE112:DE116" si="172">N112*(CL112/1000)</f>
        <v>0</v>
      </c>
      <c r="DF112" s="399">
        <f t="shared" ref="DF112:DF116" si="173">O112*(CM112/1000)</f>
        <v>0</v>
      </c>
      <c r="DG112" s="399">
        <f t="shared" ref="DG112:DG116" si="174">P112*(CN112/1000)</f>
        <v>0</v>
      </c>
      <c r="DH112" s="392">
        <f t="shared" ref="DH112:DH116" si="175">Q112*(CO112/1000)</f>
        <v>0</v>
      </c>
      <c r="DI112" s="67">
        <f t="shared" ref="DI112:DI116" si="176">SUM(CW112:DH112)</f>
        <v>0</v>
      </c>
      <c r="DJ112" s="510">
        <f>_xll.LVCELL($E$1,Q$2,$C112,$D$2,$C$4,$C$5,$C$6,$C$7,$C$8,$D$3)+_xll.LVCELL($E$2,Q$2,$C112,$D$2,$C$4,$C$5,$C$6,$C$7,$C$8,$D$3)</f>
        <v>0</v>
      </c>
      <c r="DK112" s="82">
        <f t="shared" si="137"/>
        <v>0</v>
      </c>
      <c r="DM112" s="80"/>
      <c r="DO112" s="64">
        <f t="shared" ref="DO112:DO116" si="177">B112</f>
        <v>0</v>
      </c>
      <c r="DP112" s="64" t="str">
        <f t="shared" ref="DP112:DP116" si="178">C112</f>
        <v>E6571</v>
      </c>
      <c r="DQ112" s="359" t="str">
        <f t="shared" si="131"/>
        <v>Stockage de l'Arce</v>
      </c>
      <c r="DR112" s="365">
        <f>_xll.LVCELL($DP$3,DR$3,$DP112,$DQ$2,$DP$4,$DP$5,$DP$6,$DP$7,$DP$8,$DQ$3)/100</f>
        <v>0</v>
      </c>
      <c r="DS112" s="365">
        <f>_xll.LVCELL($DP$3,DS$3,$DP112,$DQ$2,$DP$4,$DP$5,$DP$6,$DP$7,$DP$8,$DQ$3)/100</f>
        <v>0</v>
      </c>
      <c r="DT112" s="365">
        <f>_xll.LVCELL($DP$3,DT$3,$DP112,$DQ$2,$DP$4,$DP$5,$DP$6,$DP$7,$DP$8,$DQ$3)/100</f>
        <v>0</v>
      </c>
      <c r="DU112" s="365">
        <f>_xll.LVCELL($DP$3,DU$3,$DP112,$DQ$2,$DP$4,$DP$5,$DP$6,$DP$7,$DP$8,$DQ$3)/100</f>
        <v>0</v>
      </c>
      <c r="DV112" s="365">
        <f>_xll.LVCELL($DP$3,DV$3,$DP112,$DQ$2,$DP$4,$DP$5,$DP$6,$DP$7,$DP$8,$DQ$3)/100</f>
        <v>0</v>
      </c>
      <c r="DW112" s="365">
        <f>_xll.LVCELL($DP$3,DW$3,$DP112,$DQ$2,$DP$4,$DP$5,$DP$6,$DP$7,$DP$8,$DQ$3)/100</f>
        <v>0</v>
      </c>
      <c r="DX112" s="365">
        <f>_xll.LVCELL($DP$3,DX$3,$DP112,$DQ$2,$DP$4,$DP$5,$DP$6,$DP$7,$DP$8,$DQ$3)/100</f>
        <v>0</v>
      </c>
      <c r="DY112" s="365">
        <f>_xll.LVCELL($DP$3,DY$3,$DP112,$DQ$2,$DP$4,$DP$5,$DP$6,$DP$7,$DP$8,$DQ$3)/100</f>
        <v>0</v>
      </c>
      <c r="DZ112" s="365">
        <f>_xll.LVCELL($DP$3,DZ$3,$DP112,$DQ$2,$DP$4,$DP$5,$DP$6,$DP$7,$DP$8,$DQ$3)/100</f>
        <v>0</v>
      </c>
      <c r="EA112" s="365">
        <f>_xll.LVCELL($DP$3,EA$3,$DP112,$DQ$2,$DP$4,$DP$5,$DP$6,$DP$7,$DP$8,$DQ$3)/100</f>
        <v>0</v>
      </c>
      <c r="EB112" s="365">
        <f>_xll.LVCELL($DP$3,EB$3,$DP112,$DQ$2,$DP$4,$DP$5,$DP$6,$DP$7,$DP$8,$DQ$3)/100</f>
        <v>0</v>
      </c>
      <c r="EC112" s="365">
        <f>_xll.LVCELL($DP$3,EC$3,$DP112,$DQ$2,$DP$4,$DP$5,$DP$6,$DP$7,$DP$8,$DQ$3)/100</f>
        <v>0</v>
      </c>
      <c r="ED112" s="582">
        <f t="shared" si="138"/>
        <v>0</v>
      </c>
      <c r="EE112" s="64">
        <v>0</v>
      </c>
      <c r="EH112" s="359">
        <v>0</v>
      </c>
      <c r="EI112" s="396"/>
      <c r="EJ112" s="397"/>
      <c r="EK112" s="403"/>
      <c r="EL112" s="394"/>
      <c r="EM112" s="395"/>
      <c r="EN112" s="394"/>
      <c r="EO112" s="395"/>
      <c r="EP112" s="394"/>
      <c r="EQ112" s="395"/>
      <c r="ER112" s="394"/>
      <c r="ES112" s="395"/>
      <c r="ET112" s="394"/>
      <c r="EW112" s="64">
        <f t="shared" si="150"/>
        <v>0</v>
      </c>
      <c r="EX112" s="64" t="str">
        <f t="shared" si="151"/>
        <v>E6571</v>
      </c>
      <c r="EY112" s="359" t="str">
        <f t="shared" si="162"/>
        <v>Stockage de l'Arce</v>
      </c>
      <c r="EZ112" s="364">
        <f>_xll.LVCELL($EX$3,EZ$3,$DP112,$DQ$2,$DP$4,$DP$5,$DP$6,$DP$7,$DP$8,$DQ$3)</f>
        <v>0</v>
      </c>
      <c r="FA112" s="364">
        <f>_xll.LVCELL($EX$3,FA$3,$DP112,$DQ$2,$DP$4,$DP$5,$DP$6,$DP$7,$DP$8,$DQ$3)</f>
        <v>0</v>
      </c>
      <c r="FB112" s="364">
        <f>_xll.LVCELL($EX$3,FB$3,$DP112,$DQ$2,$DP$4,$DP$5,$DP$6,$DP$7,$DP$8,$DQ$3)</f>
        <v>0</v>
      </c>
      <c r="FC112" s="364">
        <f>_xll.LVCELL($EX$3,FC$3,$DP112,$DQ$2,$DP$4,$DP$5,$DP$6,$DP$7,$DP$8,$DQ$3)</f>
        <v>0</v>
      </c>
      <c r="FD112" s="364">
        <f>_xll.LVCELL($EX$3,FD$3,$DP112,$DQ$2,$DP$4,$DP$5,$DP$6,$DP$7,$DP$8,$DQ$3)</f>
        <v>0</v>
      </c>
      <c r="FE112" s="364">
        <f>_xll.LVCELL($EX$3,FE$3,$DP112,$DQ$2,$DP$4,$DP$5,$DP$6,$DP$7,$DP$8,$DQ$3)</f>
        <v>0</v>
      </c>
      <c r="FF112" s="364">
        <f>_xll.LVCELL($EX$3,FF$3,$DP112,$DQ$2,$DP$4,$DP$5,$DP$6,$DP$7,$DP$8,$DQ$3)</f>
        <v>0</v>
      </c>
      <c r="FG112" s="364">
        <f>_xll.LVCELL($EX$3,FG$3,$DP112,$DQ$2,$DP$4,$DP$5,$DP$6,$DP$7,$DP$8,$DQ$3)</f>
        <v>0</v>
      </c>
      <c r="FH112" s="364">
        <f>_xll.LVCELL($EX$3,FH$3,$DP112,$DQ$2,$DP$4,$DP$5,$DP$6,$DP$7,$DP$8,$DQ$3)</f>
        <v>0</v>
      </c>
      <c r="FI112" s="364">
        <f>_xll.LVCELL($EX$3,FI$3,$DP112,$DQ$2,$DP$4,$DP$5,$DP$6,$DP$7,$DP$8,$DQ$3)</f>
        <v>0</v>
      </c>
      <c r="FJ112" s="364">
        <f>_xll.LVCELL($EX$3,FJ$3,$DP112,$DQ$2,$DP$4,$DP$5,$DP$6,$DP$7,$DP$8,$DQ$3)</f>
        <v>0</v>
      </c>
      <c r="FK112" s="172">
        <f>_xll.LVCELL($EX$3,FK$3,$DP112,$DQ$2,$DP$4,$DP$5,$DP$6,$DP$7,$DP$8,$DQ$3)</f>
        <v>0</v>
      </c>
      <c r="FN112" s="102">
        <f t="shared" si="161"/>
        <v>0</v>
      </c>
      <c r="FO112" s="102" t="str">
        <f t="shared" si="161"/>
        <v>E6571</v>
      </c>
      <c r="FP112" s="359" t="str">
        <f t="shared" si="161"/>
        <v>Stockage de l'Arce</v>
      </c>
      <c r="FQ112" s="364">
        <f>_xll.LVCELL($FO$3,FQ$3,$DP112,$DQ$2,$DP$4,$DP$5,$DP$6,$DP$7,$DP$8,$DQ$3)</f>
        <v>0</v>
      </c>
      <c r="FR112" s="364">
        <f>_xll.LVCELL($FO$3,FR$3,$DP112,$DQ$2,$DP$4,$DP$5,$DP$6,$DP$7,$DP$8,$DQ$3)</f>
        <v>0</v>
      </c>
      <c r="FS112" s="364">
        <f>_xll.LVCELL($FO$3,FS$3,$DP112,$DQ$2,$DP$4,$DP$5,$DP$6,$DP$7,$DP$8,$DQ$3)</f>
        <v>0</v>
      </c>
      <c r="FT112" s="364">
        <f>_xll.LVCELL($FO$3,FT$3,$DP112,$DQ$2,$DP$4,$DP$5,$DP$6,$DP$7,$DP$8,$DQ$3)</f>
        <v>0</v>
      </c>
      <c r="FU112" s="364">
        <f>_xll.LVCELL($FO$3,FU$3,$DP112,$DQ$2,$DP$4,$DP$5,$DP$6,$DP$7,$DP$8,$DQ$3)</f>
        <v>0</v>
      </c>
      <c r="FV112" s="364">
        <f>_xll.LVCELL($FO$3,FV$3,$DP112,$DQ$2,$DP$4,$DP$5,$DP$6,$DP$7,$DP$8,$DQ$3)</f>
        <v>0</v>
      </c>
      <c r="FW112" s="364">
        <f>_xll.LVCELL($FO$3,FW$3,$DP112,$DQ$2,$DP$4,$DP$5,$DP$6,$DP$7,$DP$8,$DQ$3)</f>
        <v>0</v>
      </c>
      <c r="FX112" s="364">
        <f>_xll.LVCELL($FO$3,FX$3,$DP112,$DQ$2,$DP$4,$DP$5,$DP$6,$DP$7,$DP$8,$DQ$3)</f>
        <v>0</v>
      </c>
      <c r="FY112" s="364">
        <f>_xll.LVCELL($FO$3,FY$3,$DP112,$DQ$2,$DP$4,$DP$5,$DP$6,$DP$7,$DP$8,$DQ$3)</f>
        <v>0</v>
      </c>
      <c r="FZ112" s="364">
        <f>_xll.LVCELL($FO$3,FZ$3,$DP112,$DQ$2,$DP$4,$DP$5,$DP$6,$DP$7,$DP$8,$DQ$3)</f>
        <v>0</v>
      </c>
      <c r="GA112" s="364">
        <f>_xll.LVCELL($FO$3,GA$3,$DP112,$DQ$2,$DP$4,$DP$5,$DP$6,$DP$7,$DP$8,$DQ$3)</f>
        <v>0</v>
      </c>
      <c r="GB112" s="172">
        <f>_xll.LVCELL($FO$3,GB$3,$DP112,$DQ$2,$DP$4,$DP$5,$DP$6,$DP$7,$DP$8,$DQ$3)</f>
        <v>0</v>
      </c>
    </row>
    <row r="113" spans="2:184" ht="15">
      <c r="B113" s="64" t="s">
        <v>1813</v>
      </c>
      <c r="C113" s="64" t="s">
        <v>1813</v>
      </c>
      <c r="D113" s="359" t="s">
        <v>3395</v>
      </c>
      <c r="E113" s="357">
        <f>_xll.LVCELL($C$3,Q$3,$C113,$D$2,$C$4,$C$5,$C$6,$C$7,$C$8,$D$3)/1000</f>
        <v>8.8000000000000007</v>
      </c>
      <c r="F113" s="739">
        <f>'distribution mensuelle Prod B22'!$CZ$36</f>
        <v>2698910.2781550814</v>
      </c>
      <c r="G113" s="739">
        <f>'distribution mensuelle Prod B22'!$CZ$37</f>
        <v>2373059.7661503367</v>
      </c>
      <c r="H113" s="739">
        <f>'distribution mensuelle Prod B22'!$CZ$38</f>
        <v>2919360.1075939429</v>
      </c>
      <c r="I113" s="739">
        <f>'distribution mensuelle Prod B22'!$CZ$39</f>
        <v>1756013.797054722</v>
      </c>
      <c r="J113" s="739">
        <f>'distribution mensuelle Prod B22'!$CZ$40</f>
        <v>1629984.9423875767</v>
      </c>
      <c r="K113" s="739">
        <f>'distribution mensuelle Prod B22'!$CZ$41</f>
        <v>1674151.3322593453</v>
      </c>
      <c r="L113" s="739">
        <f>'distribution mensuelle Prod B22'!$CZ$42</f>
        <v>1640238.4228265935</v>
      </c>
      <c r="M113" s="739">
        <f>'distribution mensuelle Prod B22'!$CZ$43</f>
        <v>1294183.4580097755</v>
      </c>
      <c r="N113" s="739">
        <f>'distribution mensuelle Prod B22'!$CZ$44</f>
        <v>1620816.6961047826</v>
      </c>
      <c r="O113" s="739">
        <f>'distribution mensuelle Prod B22'!$CZ$45</f>
        <v>2101645.0425823503</v>
      </c>
      <c r="P113" s="739">
        <f>'distribution mensuelle Prod B22'!$CZ$46</f>
        <v>2222381.7783132298</v>
      </c>
      <c r="Q113" s="739">
        <f>'distribution mensuelle Prod B22'!$CZ$47</f>
        <v>2506657.5199235156</v>
      </c>
      <c r="R113" s="67">
        <f t="shared" si="152"/>
        <v>24437403.141361255</v>
      </c>
      <c r="W113" s="113" t="str">
        <f t="shared" si="153"/>
        <v>E5890</v>
      </c>
      <c r="X113" s="359" t="str">
        <f t="shared" si="154"/>
        <v>La Grande Borne</v>
      </c>
      <c r="Y113" s="561"/>
      <c r="Z113" s="561"/>
      <c r="AA113" s="561"/>
      <c r="AB113" s="561"/>
      <c r="AC113" s="561"/>
      <c r="AD113" s="561"/>
      <c r="AE113" s="561"/>
      <c r="AF113" s="561"/>
      <c r="AG113" s="561"/>
      <c r="AH113" s="561"/>
      <c r="AI113" s="561"/>
      <c r="AJ113" s="561"/>
      <c r="AK113" s="414"/>
      <c r="AL113" s="134"/>
      <c r="AM113" s="134"/>
      <c r="AN113" s="134"/>
      <c r="AO113" s="134"/>
      <c r="AP113" s="113" t="str">
        <f t="shared" si="132"/>
        <v>E5890</v>
      </c>
      <c r="AQ113" s="584" t="str">
        <f t="shared" si="133"/>
        <v>La Grande Borne</v>
      </c>
      <c r="AR113" s="411">
        <v>-4.0539999999999994</v>
      </c>
      <c r="AS113" s="411">
        <v>-5.0239999999999982</v>
      </c>
      <c r="AT113" s="411">
        <v>7.1960000000000006</v>
      </c>
      <c r="AU113" s="411">
        <v>21.586000000000009</v>
      </c>
      <c r="AV113" s="411">
        <v>30.906000000000009</v>
      </c>
      <c r="AW113" s="411">
        <v>25.756000000000004</v>
      </c>
      <c r="AX113" s="411">
        <v>23.696000000000009</v>
      </c>
      <c r="AY113" s="411">
        <v>27.416000000000007</v>
      </c>
      <c r="AZ113" s="411">
        <v>29.536000000000005</v>
      </c>
      <c r="BA113" s="411">
        <v>30.336000000000009</v>
      </c>
      <c r="BB113" s="411">
        <v>11.54600000000001</v>
      </c>
      <c r="BC113" s="412">
        <v>0.11600000000000232</v>
      </c>
      <c r="BD113" s="414"/>
      <c r="BE113" s="134"/>
      <c r="BF113" s="134"/>
      <c r="BG113" s="134"/>
      <c r="BH113" s="134"/>
      <c r="BI113" s="113" t="str">
        <f t="shared" si="134"/>
        <v>E5890</v>
      </c>
      <c r="BJ113" s="584" t="str">
        <f t="shared" si="135"/>
        <v>La Grande Borne</v>
      </c>
      <c r="BK113" s="411">
        <v>80.510000000000005</v>
      </c>
      <c r="BL113" s="411">
        <v>81.48</v>
      </c>
      <c r="BM113" s="411">
        <v>69.260000000000005</v>
      </c>
      <c r="BN113" s="411">
        <v>54.87</v>
      </c>
      <c r="BO113" s="411">
        <v>45.55</v>
      </c>
      <c r="BP113" s="411">
        <v>50.7</v>
      </c>
      <c r="BQ113" s="411">
        <v>52.76</v>
      </c>
      <c r="BR113" s="411">
        <v>49.04</v>
      </c>
      <c r="BS113" s="411">
        <v>46.92</v>
      </c>
      <c r="BT113" s="411">
        <v>46.12</v>
      </c>
      <c r="BU113" s="411">
        <v>64.91</v>
      </c>
      <c r="BV113" s="412">
        <v>76.34</v>
      </c>
      <c r="BW113" s="414"/>
      <c r="BX113" s="134"/>
      <c r="BY113" s="134"/>
      <c r="BZ113" s="134"/>
      <c r="CA113" s="134"/>
      <c r="CB113" s="113" t="str">
        <f t="shared" si="156"/>
        <v>E5890</v>
      </c>
      <c r="CC113" s="373" t="str">
        <f t="shared" si="157"/>
        <v>La Grande Borne</v>
      </c>
      <c r="CD113" s="411">
        <f t="shared" si="136"/>
        <v>76.456000000000003</v>
      </c>
      <c r="CE113" s="411">
        <f t="shared" si="101"/>
        <v>76.456000000000003</v>
      </c>
      <c r="CF113" s="411">
        <f t="shared" si="102"/>
        <v>76.456000000000003</v>
      </c>
      <c r="CG113" s="411">
        <f t="shared" si="103"/>
        <v>76.456000000000003</v>
      </c>
      <c r="CH113" s="411">
        <f t="shared" si="104"/>
        <v>76.456000000000003</v>
      </c>
      <c r="CI113" s="411">
        <f t="shared" si="105"/>
        <v>76.456000000000003</v>
      </c>
      <c r="CJ113" s="411">
        <f t="shared" si="106"/>
        <v>76.456000000000003</v>
      </c>
      <c r="CK113" s="411">
        <f t="shared" si="107"/>
        <v>76.456000000000003</v>
      </c>
      <c r="CL113" s="411">
        <f t="shared" si="108"/>
        <v>76.456000000000003</v>
      </c>
      <c r="CM113" s="411">
        <f t="shared" si="109"/>
        <v>76.456000000000003</v>
      </c>
      <c r="CN113" s="411">
        <f t="shared" si="110"/>
        <v>76.456000000000003</v>
      </c>
      <c r="CO113" s="412">
        <f t="shared" si="111"/>
        <v>76.456000000000003</v>
      </c>
      <c r="CP113" s="414"/>
      <c r="CQ113" s="134">
        <f t="shared" ref="CQ113:CQ117" si="179">$AL$9</f>
        <v>2.3E-2</v>
      </c>
      <c r="CU113" s="113" t="str">
        <f t="shared" si="158"/>
        <v>E5890</v>
      </c>
      <c r="CV113" s="373" t="str">
        <f t="shared" si="159"/>
        <v>La Grande Borne</v>
      </c>
      <c r="CW113" s="398">
        <f t="shared" si="164"/>
        <v>206347.88422662488</v>
      </c>
      <c r="CX113" s="399">
        <f t="shared" si="165"/>
        <v>181434.65748079013</v>
      </c>
      <c r="CY113" s="399">
        <f t="shared" si="166"/>
        <v>223202.59638620249</v>
      </c>
      <c r="CZ113" s="399">
        <f t="shared" si="167"/>
        <v>134257.79086761581</v>
      </c>
      <c r="DA113" s="399">
        <f t="shared" si="168"/>
        <v>124622.12875518456</v>
      </c>
      <c r="DB113" s="399">
        <f t="shared" si="169"/>
        <v>127998.9142592205</v>
      </c>
      <c r="DC113" s="399">
        <f t="shared" si="170"/>
        <v>125406.06885563003</v>
      </c>
      <c r="DD113" s="399">
        <f t="shared" si="171"/>
        <v>98948.090465595393</v>
      </c>
      <c r="DE113" s="399">
        <f t="shared" si="172"/>
        <v>123921.16131738726</v>
      </c>
      <c r="DF113" s="399">
        <f t="shared" si="173"/>
        <v>160683.37337567616</v>
      </c>
      <c r="DG113" s="399">
        <f t="shared" si="174"/>
        <v>169914.42124271629</v>
      </c>
      <c r="DH113" s="392">
        <f t="shared" si="175"/>
        <v>191649.0073432723</v>
      </c>
      <c r="DI113" s="67">
        <f t="shared" si="176"/>
        <v>1868386.094575916</v>
      </c>
      <c r="DJ113" s="510">
        <f>_xll.LVCELL($E$1,Q$2,$C113,$D$2,$C$4,$C$5,$C$6,$C$7,$C$8,$D$3)+_xll.LVCELL($E$2,Q$2,$C113,$D$2,$C$4,$C$5,$C$6,$C$7,$C$8,$D$3)</f>
        <v>1868386.0837679999</v>
      </c>
      <c r="DK113" s="82">
        <f t="shared" si="137"/>
        <v>1.0807916056364775E-2</v>
      </c>
      <c r="DM113" s="80"/>
      <c r="DO113" s="64" t="str">
        <f t="shared" si="177"/>
        <v>E5890</v>
      </c>
      <c r="DP113" s="64" t="str">
        <f t="shared" si="178"/>
        <v>E5890</v>
      </c>
      <c r="DQ113" s="359" t="str">
        <f>D113</f>
        <v>La Grande Borne</v>
      </c>
      <c r="DR113" s="581">
        <f>_xll.LVCELL($DP$3,DR$3,$DP113,$DQ$2,$DP$4,$DP$5,$DP$6,$DP$7,$DP$8,$DQ$3)/100</f>
        <v>0.97</v>
      </c>
      <c r="DS113" s="581">
        <f>_xll.LVCELL($DP$3,DS$3,$DP113,$DQ$2,$DP$4,$DP$5,$DP$6,$DP$7,$DP$8,$DQ$3)/100</f>
        <v>0.97</v>
      </c>
      <c r="DT113" s="581">
        <f>_xll.LVCELL($DP$3,DT$3,$DP113,$DQ$2,$DP$4,$DP$5,$DP$6,$DP$7,$DP$8,$DQ$3)/100</f>
        <v>0.97</v>
      </c>
      <c r="DU113" s="581">
        <f>_xll.LVCELL($DP$3,DU$3,$DP113,$DQ$2,$DP$4,$DP$5,$DP$6,$DP$7,$DP$8,$DQ$3)/100</f>
        <v>0.97</v>
      </c>
      <c r="DV113" s="581">
        <f>_xll.LVCELL($DP$3,DV$3,$DP113,$DQ$2,$DP$4,$DP$5,$DP$6,$DP$7,$DP$8,$DQ$3)/100</f>
        <v>0.97</v>
      </c>
      <c r="DW113" s="581">
        <f>_xll.LVCELL($DP$3,DW$3,$DP113,$DQ$2,$DP$4,$DP$5,$DP$6,$DP$7,$DP$8,$DQ$3)/100</f>
        <v>0.97</v>
      </c>
      <c r="DX113" s="581">
        <f>_xll.LVCELL($DP$3,DX$3,$DP113,$DQ$2,$DP$4,$DP$5,$DP$6,$DP$7,$DP$8,$DQ$3)/100</f>
        <v>0.97</v>
      </c>
      <c r="DY113" s="581">
        <f>_xll.LVCELL($DP$3,DY$3,$DP113,$DQ$2,$DP$4,$DP$5,$DP$6,$DP$7,$DP$8,$DQ$3)/100</f>
        <v>0.97</v>
      </c>
      <c r="DZ113" s="581">
        <f>_xll.LVCELL($DP$3,DZ$3,$DP113,$DQ$2,$DP$4,$DP$5,$DP$6,$DP$7,$DP$8,$DQ$3)/100</f>
        <v>0.97</v>
      </c>
      <c r="EA113" s="581">
        <f>_xll.LVCELL($DP$3,EA$3,$DP113,$DQ$2,$DP$4,$DP$5,$DP$6,$DP$7,$DP$8,$DQ$3)/100</f>
        <v>0.97</v>
      </c>
      <c r="EB113" s="581">
        <f>_xll.LVCELL($DP$3,EB$3,$DP113,$DQ$2,$DP$4,$DP$5,$DP$6,$DP$7,$DP$8,$DQ$3)/100</f>
        <v>0.97</v>
      </c>
      <c r="EC113" s="581">
        <f>_xll.LVCELL($DP$3,EC$3,$DP113,$DQ$2,$DP$4,$DP$5,$DP$6,$DP$7,$DP$8,$DQ$3)/100</f>
        <v>0.97</v>
      </c>
      <c r="ED113" s="585">
        <f t="shared" ref="ED113:ED117" si="180">SUM(DR113:EC113)</f>
        <v>11.64</v>
      </c>
      <c r="EE113" s="64">
        <v>1.94</v>
      </c>
      <c r="EH113" s="359"/>
      <c r="EI113" s="396"/>
      <c r="EJ113" s="397"/>
      <c r="EK113" s="403"/>
      <c r="EL113" s="394"/>
      <c r="EM113" s="395"/>
      <c r="EN113" s="394"/>
      <c r="EO113" s="395"/>
      <c r="EP113" s="394"/>
      <c r="EQ113" s="395"/>
      <c r="ER113" s="394"/>
      <c r="ES113" s="395"/>
      <c r="ET113" s="394"/>
      <c r="EW113" s="64" t="str">
        <f t="shared" si="150"/>
        <v>E5890</v>
      </c>
      <c r="EX113" s="64" t="str">
        <f t="shared" si="151"/>
        <v>E5890</v>
      </c>
      <c r="EY113" s="359" t="str">
        <f t="shared" si="162"/>
        <v>La Grande Borne</v>
      </c>
      <c r="EZ113" s="276">
        <f>_xll.LVCELL($EX$3,EZ$3,$DP113,$DQ$2,$DP$4,$DP$5,$DP$6,$DP$7,$DP$8,$DQ$3)</f>
        <v>8800</v>
      </c>
      <c r="FA113" s="276">
        <f>_xll.LVCELL($EX$3,FA$3,$DP113,$DQ$2,$DP$4,$DP$5,$DP$6,$DP$7,$DP$8,$DQ$3)</f>
        <v>8800</v>
      </c>
      <c r="FB113" s="276">
        <f>_xll.LVCELL($EX$3,FB$3,$DP113,$DQ$2,$DP$4,$DP$5,$DP$6,$DP$7,$DP$8,$DQ$3)</f>
        <v>8800</v>
      </c>
      <c r="FC113" s="276">
        <f>_xll.LVCELL($EX$3,FC$3,$DP113,$DQ$2,$DP$4,$DP$5,$DP$6,$DP$7,$DP$8,$DQ$3)</f>
        <v>8800</v>
      </c>
      <c r="FD113" s="276">
        <f>_xll.LVCELL($EX$3,FD$3,$DP113,$DQ$2,$DP$4,$DP$5,$DP$6,$DP$7,$DP$8,$DQ$3)</f>
        <v>8800</v>
      </c>
      <c r="FE113" s="276">
        <f>_xll.LVCELL($EX$3,FE$3,$DP113,$DQ$2,$DP$4,$DP$5,$DP$6,$DP$7,$DP$8,$DQ$3)</f>
        <v>8800</v>
      </c>
      <c r="FF113" s="276">
        <f>_xll.LVCELL($EX$3,FF$3,$DP113,$DQ$2,$DP$4,$DP$5,$DP$6,$DP$7,$DP$8,$DQ$3)</f>
        <v>8800</v>
      </c>
      <c r="FG113" s="276">
        <f>_xll.LVCELL($EX$3,FG$3,$DP113,$DQ$2,$DP$4,$DP$5,$DP$6,$DP$7,$DP$8,$DQ$3)</f>
        <v>8800</v>
      </c>
      <c r="FH113" s="276">
        <f>_xll.LVCELL($EX$3,FH$3,$DP113,$DQ$2,$DP$4,$DP$5,$DP$6,$DP$7,$DP$8,$DQ$3)</f>
        <v>8800</v>
      </c>
      <c r="FI113" s="276">
        <f>_xll.LVCELL($EX$3,FI$3,$DP113,$DQ$2,$DP$4,$DP$5,$DP$6,$DP$7,$DP$8,$DQ$3)</f>
        <v>8800</v>
      </c>
      <c r="FJ113" s="276">
        <f>_xll.LVCELL($EX$3,FJ$3,$DP113,$DQ$2,$DP$4,$DP$5,$DP$6,$DP$7,$DP$8,$DQ$3)</f>
        <v>8800</v>
      </c>
      <c r="FK113" s="276">
        <f>_xll.LVCELL($EX$3,FK$3,$DP113,$DQ$2,$DP$4,$DP$5,$DP$6,$DP$7,$DP$8,$DQ$3)</f>
        <v>8800</v>
      </c>
      <c r="FN113" s="102" t="str">
        <f t="shared" si="161"/>
        <v>E5890</v>
      </c>
      <c r="FO113" s="102" t="str">
        <f>C113</f>
        <v>E5890</v>
      </c>
      <c r="FP113" s="359" t="str">
        <f>D113</f>
        <v>La Grande Borne</v>
      </c>
      <c r="FQ113" s="276">
        <f>_xll.LVCELL($FO$3,FQ$3,$DP113,$DQ$2,$DP$4,$DP$5,$DP$6,$DP$7,$DP$8,$DQ$3)</f>
        <v>4</v>
      </c>
      <c r="FR113" s="276">
        <f>_xll.LVCELL($FO$3,FR$3,$DP113,$DQ$2,$DP$4,$DP$5,$DP$6,$DP$7,$DP$8,$DQ$3)</f>
        <v>4</v>
      </c>
      <c r="FS113" s="276">
        <f>_xll.LVCELL($FO$3,FS$3,$DP113,$DQ$2,$DP$4,$DP$5,$DP$6,$DP$7,$DP$8,$DQ$3)</f>
        <v>4</v>
      </c>
      <c r="FT113" s="276">
        <f>_xll.LVCELL($FO$3,FT$3,$DP113,$DQ$2,$DP$4,$DP$5,$DP$6,$DP$7,$DP$8,$DQ$3)</f>
        <v>4</v>
      </c>
      <c r="FU113" s="276">
        <f>_xll.LVCELL($FO$3,FU$3,$DP113,$DQ$2,$DP$4,$DP$5,$DP$6,$DP$7,$DP$8,$DQ$3)</f>
        <v>4</v>
      </c>
      <c r="FV113" s="276">
        <f>_xll.LVCELL($FO$3,FV$3,$DP113,$DQ$2,$DP$4,$DP$5,$DP$6,$DP$7,$DP$8,$DQ$3)</f>
        <v>4</v>
      </c>
      <c r="FW113" s="276">
        <f>_xll.LVCELL($FO$3,FW$3,$DP113,$DQ$2,$DP$4,$DP$5,$DP$6,$DP$7,$DP$8,$DQ$3)</f>
        <v>4</v>
      </c>
      <c r="FX113" s="276">
        <f>_xll.LVCELL($FO$3,FX$3,$DP113,$DQ$2,$DP$4,$DP$5,$DP$6,$DP$7,$DP$8,$DQ$3)</f>
        <v>4</v>
      </c>
      <c r="FY113" s="276">
        <f>_xll.LVCELL($FO$3,FY$3,$DP113,$DQ$2,$DP$4,$DP$5,$DP$6,$DP$7,$DP$8,$DQ$3)</f>
        <v>4</v>
      </c>
      <c r="FZ113" s="276">
        <f>_xll.LVCELL($FO$3,FZ$3,$DP113,$DQ$2,$DP$4,$DP$5,$DP$6,$DP$7,$DP$8,$DQ$3)</f>
        <v>4</v>
      </c>
      <c r="GA113" s="276">
        <f>_xll.LVCELL($FO$3,GA$3,$DP113,$DQ$2,$DP$4,$DP$5,$DP$6,$DP$7,$DP$8,$DQ$3)</f>
        <v>4</v>
      </c>
      <c r="GB113" s="276">
        <f>_xll.LVCELL($FO$3,GB$3,$DP113,$DQ$2,$DP$4,$DP$5,$DP$6,$DP$7,$DP$8,$DQ$3)</f>
        <v>4</v>
      </c>
    </row>
    <row r="114" spans="2:184" ht="15">
      <c r="B114" s="64" t="s">
        <v>3400</v>
      </c>
      <c r="C114" s="64" t="s">
        <v>3400</v>
      </c>
      <c r="D114" s="359" t="s">
        <v>3396</v>
      </c>
      <c r="E114" s="357">
        <f>_xll.LVCELL($C$3,Q$3,$C114,$D$2,$C$4,$C$5,$C$6,$C$7,$C$8,$D$3)/1000</f>
        <v>18</v>
      </c>
      <c r="F114" s="739">
        <f>'distribution mensuelle Prod B22'!$DA$36</f>
        <v>0</v>
      </c>
      <c r="G114" s="739">
        <f>'distribution mensuelle Prod B22'!$DA$37</f>
        <v>0</v>
      </c>
      <c r="H114" s="739">
        <f>'distribution mensuelle Prod B22'!$DA$38</f>
        <v>0</v>
      </c>
      <c r="I114" s="739">
        <f>'distribution mensuelle Prod B22'!$DA$39</f>
        <v>0</v>
      </c>
      <c r="J114" s="739">
        <f>'distribution mensuelle Prod B22'!$DA$40</f>
        <v>0</v>
      </c>
      <c r="K114" s="739">
        <f>'distribution mensuelle Prod B22'!$DA$41</f>
        <v>0</v>
      </c>
      <c r="L114" s="739">
        <f>'distribution mensuelle Prod B22'!$DA$42</f>
        <v>0</v>
      </c>
      <c r="M114" s="739">
        <f>'distribution mensuelle Prod B22'!$DA$43</f>
        <v>2238222.3371251291</v>
      </c>
      <c r="N114" s="739">
        <f>'distribution mensuelle Prod B22'!$DA$44</f>
        <v>2660528.4384694933</v>
      </c>
      <c r="O114" s="739">
        <f>'distribution mensuelle Prod B22'!$DA$45</f>
        <v>3631832.4715615301</v>
      </c>
      <c r="P114" s="739">
        <f>'distribution mensuelle Prod B22'!$DA$46</f>
        <v>4223061.0134436404</v>
      </c>
      <c r="Q114" s="739">
        <f>'distribution mensuelle Prod B22'!$DA$47</f>
        <v>5067673.216132368</v>
      </c>
      <c r="R114" s="67">
        <f t="shared" si="152"/>
        <v>17821317.476732161</v>
      </c>
      <c r="W114" s="113" t="str">
        <f t="shared" si="153"/>
        <v>E6730</v>
      </c>
      <c r="X114" s="359" t="str">
        <f t="shared" si="154"/>
        <v>Repowering Evit Et Josaphats</v>
      </c>
      <c r="Y114" s="561"/>
      <c r="Z114" s="561"/>
      <c r="AA114" s="561"/>
      <c r="AB114" s="561"/>
      <c r="AC114" s="561"/>
      <c r="AD114" s="561"/>
      <c r="AE114" s="561"/>
      <c r="AF114" s="561"/>
      <c r="AG114" s="561"/>
      <c r="AH114" s="561"/>
      <c r="AI114" s="561"/>
      <c r="AJ114" s="561"/>
      <c r="AK114" s="414"/>
      <c r="AL114" s="134"/>
      <c r="AM114" s="134"/>
      <c r="AN114" s="134"/>
      <c r="AO114" s="134"/>
      <c r="AP114" s="113" t="str">
        <f t="shared" si="132"/>
        <v>E6730</v>
      </c>
      <c r="AQ114" s="574" t="str">
        <f t="shared" si="133"/>
        <v>Repowering Evit Et Josaphats</v>
      </c>
      <c r="AR114" s="377"/>
      <c r="AS114" s="377"/>
      <c r="AT114" s="377"/>
      <c r="AU114" s="377"/>
      <c r="AV114" s="377"/>
      <c r="AW114" s="377"/>
      <c r="AX114" s="377"/>
      <c r="AY114" s="411">
        <v>25.76</v>
      </c>
      <c r="AZ114" s="411">
        <v>27.88</v>
      </c>
      <c r="BA114" s="411">
        <v>28.680000000000003</v>
      </c>
      <c r="BB114" s="411">
        <v>9.8900000000000041</v>
      </c>
      <c r="BC114" s="412">
        <v>-1.5400000000000036</v>
      </c>
      <c r="BD114" s="414"/>
      <c r="BE114" s="134"/>
      <c r="BF114" s="134"/>
      <c r="BG114" s="134"/>
      <c r="BH114" s="134"/>
      <c r="BI114" s="113" t="str">
        <f t="shared" si="134"/>
        <v>E6730</v>
      </c>
      <c r="BJ114" s="574" t="str">
        <f t="shared" si="135"/>
        <v>Repowering Evit Et Josaphats</v>
      </c>
      <c r="BK114" s="377"/>
      <c r="BL114" s="377"/>
      <c r="BM114" s="377"/>
      <c r="BN114" s="377"/>
      <c r="BO114" s="377"/>
      <c r="BP114" s="377"/>
      <c r="BQ114" s="377"/>
      <c r="BR114" s="411">
        <v>48.03</v>
      </c>
      <c r="BS114" s="411">
        <v>45.910000000000004</v>
      </c>
      <c r="BT114" s="411">
        <v>45.11</v>
      </c>
      <c r="BU114" s="411">
        <v>63.9</v>
      </c>
      <c r="BV114" s="412">
        <v>75.33</v>
      </c>
      <c r="BW114" s="414"/>
      <c r="BX114" s="134"/>
      <c r="BY114" s="134"/>
      <c r="BZ114" s="134"/>
      <c r="CA114" s="134"/>
      <c r="CB114" s="113" t="str">
        <f t="shared" si="156"/>
        <v>E6730</v>
      </c>
      <c r="CC114" s="373" t="str">
        <f t="shared" si="157"/>
        <v>Repowering Evit Et Josaphats</v>
      </c>
      <c r="CD114" s="411">
        <f t="shared" si="136"/>
        <v>0</v>
      </c>
      <c r="CE114" s="411">
        <f t="shared" si="101"/>
        <v>0</v>
      </c>
      <c r="CF114" s="411">
        <f t="shared" si="102"/>
        <v>0</v>
      </c>
      <c r="CG114" s="411">
        <f t="shared" si="103"/>
        <v>0</v>
      </c>
      <c r="CH114" s="411">
        <f t="shared" si="104"/>
        <v>0</v>
      </c>
      <c r="CI114" s="411">
        <f t="shared" si="105"/>
        <v>0</v>
      </c>
      <c r="CJ114" s="411">
        <f t="shared" si="106"/>
        <v>0</v>
      </c>
      <c r="CK114" s="411">
        <f t="shared" si="107"/>
        <v>73.790000000000006</v>
      </c>
      <c r="CL114" s="411">
        <f t="shared" si="108"/>
        <v>73.790000000000006</v>
      </c>
      <c r="CM114" s="411">
        <f t="shared" si="109"/>
        <v>73.790000000000006</v>
      </c>
      <c r="CN114" s="411">
        <f t="shared" si="110"/>
        <v>73.790000000000006</v>
      </c>
      <c r="CO114" s="412">
        <f t="shared" si="111"/>
        <v>73.789999999999992</v>
      </c>
      <c r="CP114" s="414"/>
      <c r="CQ114" s="134">
        <f t="shared" si="179"/>
        <v>2.3E-2</v>
      </c>
      <c r="CU114" s="113" t="str">
        <f t="shared" si="158"/>
        <v>E6730</v>
      </c>
      <c r="CV114" s="373" t="str">
        <f t="shared" si="159"/>
        <v>Repowering Evit Et Josaphats</v>
      </c>
      <c r="CW114" s="398">
        <f t="shared" si="164"/>
        <v>0</v>
      </c>
      <c r="CX114" s="399">
        <f t="shared" si="165"/>
        <v>0</v>
      </c>
      <c r="CY114" s="399">
        <f t="shared" si="166"/>
        <v>0</v>
      </c>
      <c r="CZ114" s="399">
        <f t="shared" si="167"/>
        <v>0</v>
      </c>
      <c r="DA114" s="399">
        <f t="shared" si="168"/>
        <v>0</v>
      </c>
      <c r="DB114" s="399">
        <f t="shared" si="169"/>
        <v>0</v>
      </c>
      <c r="DC114" s="399">
        <f t="shared" si="170"/>
        <v>0</v>
      </c>
      <c r="DD114" s="399">
        <f t="shared" si="171"/>
        <v>165158.42625646328</v>
      </c>
      <c r="DE114" s="399">
        <f t="shared" si="172"/>
        <v>196320.39347466393</v>
      </c>
      <c r="DF114" s="399">
        <f t="shared" si="173"/>
        <v>267992.91807652533</v>
      </c>
      <c r="DG114" s="399">
        <f t="shared" si="174"/>
        <v>311619.67218200624</v>
      </c>
      <c r="DH114" s="392">
        <f t="shared" si="175"/>
        <v>373943.60661840742</v>
      </c>
      <c r="DI114" s="67">
        <f t="shared" si="176"/>
        <v>1315035.0166080662</v>
      </c>
      <c r="DJ114" s="510">
        <f>_xll.LVCELL($E$1,Q$2,$C114,$D$2,$C$4,$C$5,$C$6,$C$7,$C$8,$D$3)+_xll.LVCELL($E$2,Q$2,$C114,$D$2,$C$4,$C$5,$C$6,$C$7,$C$8,$D$3)</f>
        <v>1315034.9076399999</v>
      </c>
      <c r="DK114" s="82">
        <f t="shared" si="137"/>
        <v>0.10896806628443301</v>
      </c>
      <c r="DM114" s="80"/>
      <c r="DO114" s="64" t="str">
        <f t="shared" si="177"/>
        <v>E6730</v>
      </c>
      <c r="DP114" s="64" t="str">
        <f t="shared" si="178"/>
        <v>E6730</v>
      </c>
      <c r="DQ114" s="359" t="str">
        <f>D114</f>
        <v>Repowering Evit Et Josaphats</v>
      </c>
      <c r="DR114" s="504">
        <f>_xll.LVCELL($DP$3,DR$3,$DP114,$DQ$2,$DP$4,$DP$5,$DP$6,$DP$7,$DP$8,$DQ$3)/100</f>
        <v>0</v>
      </c>
      <c r="DS114" s="504">
        <f>_xll.LVCELL($DP$3,DS$3,$DP114,$DQ$2,$DP$4,$DP$5,$DP$6,$DP$7,$DP$8,$DQ$3)/100</f>
        <v>0</v>
      </c>
      <c r="DT114" s="504">
        <f>_xll.LVCELL($DP$3,DT$3,$DP114,$DQ$2,$DP$4,$DP$5,$DP$6,$DP$7,$DP$8,$DQ$3)/100</f>
        <v>0</v>
      </c>
      <c r="DU114" s="504">
        <f>_xll.LVCELL($DP$3,DU$3,$DP114,$DQ$2,$DP$4,$DP$5,$DP$6,$DP$7,$DP$8,$DQ$3)/100</f>
        <v>0</v>
      </c>
      <c r="DV114" s="504">
        <f>_xll.LVCELL($DP$3,DV$3,$DP114,$DQ$2,$DP$4,$DP$5,$DP$6,$DP$7,$DP$8,$DQ$3)/100</f>
        <v>0</v>
      </c>
      <c r="DW114" s="504">
        <f>_xll.LVCELL($DP$3,DW$3,$DP114,$DQ$2,$DP$4,$DP$5,$DP$6,$DP$7,$DP$8,$DQ$3)/100</f>
        <v>0</v>
      </c>
      <c r="DX114" s="504">
        <f>_xll.LVCELL($DP$3,DX$3,$DP114,$DQ$2,$DP$4,$DP$5,$DP$6,$DP$7,$DP$8,$DQ$3)/100</f>
        <v>0</v>
      </c>
      <c r="DY114" s="581">
        <f>_xll.LVCELL($DP$3,DY$3,$DP114,$DQ$2,$DP$4,$DP$5,$DP$6,$DP$7,$DP$8,$DQ$3)/100</f>
        <v>0.97</v>
      </c>
      <c r="DZ114" s="581">
        <f>_xll.LVCELL($DP$3,DZ$3,$DP114,$DQ$2,$DP$4,$DP$5,$DP$6,$DP$7,$DP$8,$DQ$3)/100</f>
        <v>0.97</v>
      </c>
      <c r="EA114" s="581">
        <f>_xll.LVCELL($DP$3,EA$3,$DP114,$DQ$2,$DP$4,$DP$5,$DP$6,$DP$7,$DP$8,$DQ$3)/100</f>
        <v>0.97</v>
      </c>
      <c r="EB114" s="581">
        <f>_xll.LVCELL($DP$3,EB$3,$DP114,$DQ$2,$DP$4,$DP$5,$DP$6,$DP$7,$DP$8,$DQ$3)/100</f>
        <v>0.97</v>
      </c>
      <c r="EC114" s="581">
        <f>_xll.LVCELL($DP$3,EC$3,$DP114,$DQ$2,$DP$4,$DP$5,$DP$6,$DP$7,$DP$8,$DQ$3)/100</f>
        <v>0.97</v>
      </c>
      <c r="ED114" s="582">
        <f t="shared" si="180"/>
        <v>4.8499999999999996</v>
      </c>
      <c r="EH114" s="359"/>
      <c r="EI114" s="396"/>
      <c r="EJ114" s="397"/>
      <c r="EK114" s="403"/>
      <c r="EL114" s="394"/>
      <c r="EM114" s="395"/>
      <c r="EN114" s="394"/>
      <c r="EO114" s="395"/>
      <c r="EP114" s="394"/>
      <c r="EQ114" s="395"/>
      <c r="ER114" s="394"/>
      <c r="ES114" s="395"/>
      <c r="ET114" s="394"/>
      <c r="EW114" s="64" t="str">
        <f t="shared" si="150"/>
        <v>E6730</v>
      </c>
      <c r="EX114" s="64" t="str">
        <f t="shared" si="151"/>
        <v>E6730</v>
      </c>
      <c r="EY114" s="359" t="str">
        <f t="shared" si="162"/>
        <v>Repowering Evit Et Josaphats</v>
      </c>
      <c r="EZ114" s="505">
        <f>_xll.LVCELL($EX$3,EZ$3,$DP114,$DQ$2,$DP$4,$DP$5,$DP$6,$DP$7,$DP$8,$DQ$3)</f>
        <v>0</v>
      </c>
      <c r="FA114" s="505">
        <f>_xll.LVCELL($EX$3,FA$3,$DP114,$DQ$2,$DP$4,$DP$5,$DP$6,$DP$7,$DP$8,$DQ$3)</f>
        <v>0</v>
      </c>
      <c r="FB114" s="505">
        <f>_xll.LVCELL($EX$3,FB$3,$DP114,$DQ$2,$DP$4,$DP$5,$DP$6,$DP$7,$DP$8,$DQ$3)</f>
        <v>0</v>
      </c>
      <c r="FC114" s="505">
        <f>_xll.LVCELL($EX$3,FC$3,$DP114,$DQ$2,$DP$4,$DP$5,$DP$6,$DP$7,$DP$8,$DQ$3)</f>
        <v>0</v>
      </c>
      <c r="FD114" s="505">
        <f>_xll.LVCELL($EX$3,FD$3,$DP114,$DQ$2,$DP$4,$DP$5,$DP$6,$DP$7,$DP$8,$DQ$3)</f>
        <v>0</v>
      </c>
      <c r="FE114" s="505">
        <f>_xll.LVCELL($EX$3,FE$3,$DP114,$DQ$2,$DP$4,$DP$5,$DP$6,$DP$7,$DP$8,$DQ$3)</f>
        <v>0</v>
      </c>
      <c r="FF114" s="505">
        <f>_xll.LVCELL($EX$3,FF$3,$DP114,$DQ$2,$DP$4,$DP$5,$DP$6,$DP$7,$DP$8,$DQ$3)</f>
        <v>0</v>
      </c>
      <c r="FG114" s="276">
        <f>_xll.LVCELL($EX$3,FG$3,$DP114,$DQ$2,$DP$4,$DP$5,$DP$6,$DP$7,$DP$8,$DQ$3)</f>
        <v>18000</v>
      </c>
      <c r="FH114" s="276">
        <f>_xll.LVCELL($EX$3,FH$3,$DP114,$DQ$2,$DP$4,$DP$5,$DP$6,$DP$7,$DP$8,$DQ$3)</f>
        <v>18000</v>
      </c>
      <c r="FI114" s="276">
        <f>_xll.LVCELL($EX$3,FI$3,$DP114,$DQ$2,$DP$4,$DP$5,$DP$6,$DP$7,$DP$8,$DQ$3)</f>
        <v>18000</v>
      </c>
      <c r="FJ114" s="276">
        <f>_xll.LVCELL($EX$3,FJ$3,$DP114,$DQ$2,$DP$4,$DP$5,$DP$6,$DP$7,$DP$8,$DQ$3)</f>
        <v>18000</v>
      </c>
      <c r="FK114" s="276">
        <f>_xll.LVCELL($EX$3,FK$3,$DP114,$DQ$2,$DP$4,$DP$5,$DP$6,$DP$7,$DP$8,$DQ$3)</f>
        <v>18000</v>
      </c>
      <c r="FN114" s="102" t="str">
        <f t="shared" si="161"/>
        <v>E6730</v>
      </c>
      <c r="FO114" s="102" t="str">
        <f t="shared" ref="FO114:FO117" si="181">C114</f>
        <v>E6730</v>
      </c>
      <c r="FP114" s="359" t="str">
        <f>D114</f>
        <v>Repowering Evit Et Josaphats</v>
      </c>
      <c r="FQ114" s="505">
        <f>_xll.LVCELL($FO$3,FQ$3,$DP114,$DQ$2,$DP$4,$DP$5,$DP$6,$DP$7,$DP$8,$DQ$3)</f>
        <v>0</v>
      </c>
      <c r="FR114" s="505">
        <f>_xll.LVCELL($FO$3,FR$3,$DP114,$DQ$2,$DP$4,$DP$5,$DP$6,$DP$7,$DP$8,$DQ$3)</f>
        <v>0</v>
      </c>
      <c r="FS114" s="505">
        <f>_xll.LVCELL($FO$3,FS$3,$DP114,$DQ$2,$DP$4,$DP$5,$DP$6,$DP$7,$DP$8,$DQ$3)</f>
        <v>0</v>
      </c>
      <c r="FT114" s="505">
        <f>_xll.LVCELL($FO$3,FT$3,$DP114,$DQ$2,$DP$4,$DP$5,$DP$6,$DP$7,$DP$8,$DQ$3)</f>
        <v>0</v>
      </c>
      <c r="FU114" s="505">
        <f>_xll.LVCELL($FO$3,FU$3,$DP114,$DQ$2,$DP$4,$DP$5,$DP$6,$DP$7,$DP$8,$DQ$3)</f>
        <v>0</v>
      </c>
      <c r="FV114" s="505">
        <f>_xll.LVCELL($FO$3,FV$3,$DP114,$DQ$2,$DP$4,$DP$5,$DP$6,$DP$7,$DP$8,$DQ$3)</f>
        <v>0</v>
      </c>
      <c r="FW114" s="505">
        <f>_xll.LVCELL($FO$3,FW$3,$DP114,$DQ$2,$DP$4,$DP$5,$DP$6,$DP$7,$DP$8,$DQ$3)</f>
        <v>0</v>
      </c>
      <c r="FX114" s="276">
        <f>_xll.LVCELL($FO$3,FX$3,$DP114,$DQ$2,$DP$4,$DP$5,$DP$6,$DP$7,$DP$8,$DQ$3)</f>
        <v>6</v>
      </c>
      <c r="FY114" s="276">
        <f>_xll.LVCELL($FO$3,FY$3,$DP114,$DQ$2,$DP$4,$DP$5,$DP$6,$DP$7,$DP$8,$DQ$3)</f>
        <v>6</v>
      </c>
      <c r="FZ114" s="276">
        <f>_xll.LVCELL($FO$3,FZ$3,$DP114,$DQ$2,$DP$4,$DP$5,$DP$6,$DP$7,$DP$8,$DQ$3)</f>
        <v>6</v>
      </c>
      <c r="GA114" s="276">
        <f>_xll.LVCELL($FO$3,GA$3,$DP114,$DQ$2,$DP$4,$DP$5,$DP$6,$DP$7,$DP$8,$DQ$3)</f>
        <v>6</v>
      </c>
      <c r="GB114" s="276">
        <f>_xll.LVCELL($FO$3,GB$3,$DP114,$DQ$2,$DP$4,$DP$5,$DP$6,$DP$7,$DP$8,$DQ$3)</f>
        <v>6</v>
      </c>
    </row>
    <row r="115" spans="2:184" ht="15">
      <c r="B115" s="64" t="s">
        <v>3401</v>
      </c>
      <c r="C115" s="64" t="s">
        <v>3401</v>
      </c>
      <c r="D115" s="359" t="s">
        <v>3397</v>
      </c>
      <c r="E115" s="357">
        <f>_xll.LVCELL($C$3,Q$3,$C115,$D$2,$C$4,$C$5,$C$6,$C$7,$C$8,$D$3)/1000</f>
        <v>18</v>
      </c>
      <c r="F115" s="739">
        <f>'distribution mensuelle Prod B22'!$DB$36</f>
        <v>0</v>
      </c>
      <c r="G115" s="739">
        <f>'distribution mensuelle Prod B22'!$DB$37</f>
        <v>0</v>
      </c>
      <c r="H115" s="739">
        <f>'distribution mensuelle Prod B22'!$DB$38</f>
        <v>0</v>
      </c>
      <c r="I115" s="739">
        <f>'distribution mensuelle Prod B22'!$DB$39</f>
        <v>0</v>
      </c>
      <c r="J115" s="739">
        <f>'distribution mensuelle Prod B22'!$DB$40</f>
        <v>0</v>
      </c>
      <c r="K115" s="739">
        <f>'distribution mensuelle Prod B22'!$DB$41</f>
        <v>0</v>
      </c>
      <c r="L115" s="739">
        <f>'distribution mensuelle Prod B22'!$DB$42</f>
        <v>2373741.4684591522</v>
      </c>
      <c r="M115" s="739">
        <f>'distribution mensuelle Prod B22'!$DB$43</f>
        <v>2210035.1602895553</v>
      </c>
      <c r="N115" s="739">
        <f>'distribution mensuelle Prod B22'!$DB$44</f>
        <v>2619300.9307135474</v>
      </c>
      <c r="O115" s="739">
        <f>'distribution mensuelle Prod B22'!$DB$45</f>
        <v>3519685.625646329</v>
      </c>
      <c r="P115" s="739">
        <f>'distribution mensuelle Prod B22'!$DB$46</f>
        <v>4051731.1271975185</v>
      </c>
      <c r="Q115" s="739">
        <f>'distribution mensuelle Prod B22'!$DB$47</f>
        <v>4870262.6680455012</v>
      </c>
      <c r="R115" s="67">
        <f t="shared" si="152"/>
        <v>19644756.980351605</v>
      </c>
      <c r="W115" s="113" t="str">
        <f t="shared" si="153"/>
        <v>E6740</v>
      </c>
      <c r="X115" s="359" t="str">
        <f t="shared" si="154"/>
        <v>Repowering Reclainville</v>
      </c>
      <c r="Y115" s="561"/>
      <c r="Z115" s="561"/>
      <c r="AA115" s="561"/>
      <c r="AB115" s="561"/>
      <c r="AC115" s="561"/>
      <c r="AD115" s="561"/>
      <c r="AE115" s="561"/>
      <c r="AF115" s="561"/>
      <c r="AG115" s="561"/>
      <c r="AH115" s="561"/>
      <c r="AI115" s="561"/>
      <c r="AJ115" s="561"/>
      <c r="AK115" s="414"/>
      <c r="AL115" s="134"/>
      <c r="AM115" s="134"/>
      <c r="AN115" s="134"/>
      <c r="AO115" s="134"/>
      <c r="AP115" s="113" t="str">
        <f t="shared" si="132"/>
        <v>E6740</v>
      </c>
      <c r="AQ115" s="574" t="str">
        <f t="shared" si="133"/>
        <v>Repowering Reclainville</v>
      </c>
      <c r="AR115" s="377"/>
      <c r="AS115" s="377"/>
      <c r="AT115" s="377"/>
      <c r="AU115" s="377"/>
      <c r="AV115" s="377"/>
      <c r="AW115" s="377"/>
      <c r="AX115" s="411">
        <v>22.040000000000003</v>
      </c>
      <c r="AY115" s="411">
        <v>25.76</v>
      </c>
      <c r="AZ115" s="411">
        <v>27.88</v>
      </c>
      <c r="BA115" s="411">
        <v>28.680000000000003</v>
      </c>
      <c r="BB115" s="411">
        <v>9.8900000000000041</v>
      </c>
      <c r="BC115" s="412">
        <v>-1.5400000000000036</v>
      </c>
      <c r="BD115" s="414"/>
      <c r="BE115" s="134"/>
      <c r="BF115" s="134"/>
      <c r="BG115" s="134"/>
      <c r="BH115" s="134"/>
      <c r="BI115" s="113" t="str">
        <f t="shared" si="134"/>
        <v>E6740</v>
      </c>
      <c r="BJ115" s="574" t="str">
        <f t="shared" si="135"/>
        <v>Repowering Reclainville</v>
      </c>
      <c r="BK115" s="377"/>
      <c r="BL115" s="377"/>
      <c r="BM115" s="377"/>
      <c r="BN115" s="377"/>
      <c r="BO115" s="377"/>
      <c r="BP115" s="377"/>
      <c r="BQ115" s="411">
        <v>51.75</v>
      </c>
      <c r="BR115" s="411">
        <v>48.03</v>
      </c>
      <c r="BS115" s="411">
        <v>45.910000000000004</v>
      </c>
      <c r="BT115" s="411">
        <v>45.11</v>
      </c>
      <c r="BU115" s="411">
        <v>63.9</v>
      </c>
      <c r="BV115" s="412">
        <v>75.33</v>
      </c>
      <c r="BW115" s="414"/>
      <c r="BX115" s="134"/>
      <c r="BY115" s="134"/>
      <c r="BZ115" s="134"/>
      <c r="CA115" s="134"/>
      <c r="CB115" s="113" t="str">
        <f t="shared" si="156"/>
        <v>E6740</v>
      </c>
      <c r="CC115" s="373" t="str">
        <f t="shared" si="157"/>
        <v>Repowering Reclainville</v>
      </c>
      <c r="CD115" s="411">
        <f t="shared" si="136"/>
        <v>0</v>
      </c>
      <c r="CE115" s="411">
        <f t="shared" si="101"/>
        <v>0</v>
      </c>
      <c r="CF115" s="411">
        <f t="shared" si="102"/>
        <v>0</v>
      </c>
      <c r="CG115" s="411">
        <f t="shared" si="103"/>
        <v>0</v>
      </c>
      <c r="CH115" s="411">
        <f t="shared" si="104"/>
        <v>0</v>
      </c>
      <c r="CI115" s="411">
        <f t="shared" si="105"/>
        <v>0</v>
      </c>
      <c r="CJ115" s="411">
        <f t="shared" si="106"/>
        <v>73.790000000000006</v>
      </c>
      <c r="CK115" s="411">
        <f t="shared" si="107"/>
        <v>73.790000000000006</v>
      </c>
      <c r="CL115" s="411">
        <f t="shared" si="108"/>
        <v>73.790000000000006</v>
      </c>
      <c r="CM115" s="411">
        <f t="shared" si="109"/>
        <v>73.790000000000006</v>
      </c>
      <c r="CN115" s="411">
        <f t="shared" si="110"/>
        <v>73.790000000000006</v>
      </c>
      <c r="CO115" s="412">
        <f t="shared" si="111"/>
        <v>73.789999999999992</v>
      </c>
      <c r="CP115" s="414"/>
      <c r="CQ115" s="134">
        <f t="shared" si="179"/>
        <v>2.3E-2</v>
      </c>
      <c r="CU115" s="113" t="str">
        <f t="shared" si="158"/>
        <v>E6740</v>
      </c>
      <c r="CV115" s="373" t="str">
        <f t="shared" si="159"/>
        <v>Repowering Reclainville</v>
      </c>
      <c r="CW115" s="398">
        <f t="shared" si="164"/>
        <v>0</v>
      </c>
      <c r="CX115" s="399">
        <f t="shared" si="165"/>
        <v>0</v>
      </c>
      <c r="CY115" s="399">
        <f t="shared" si="166"/>
        <v>0</v>
      </c>
      <c r="CZ115" s="399">
        <f t="shared" si="167"/>
        <v>0</v>
      </c>
      <c r="DA115" s="399">
        <f t="shared" si="168"/>
        <v>0</v>
      </c>
      <c r="DB115" s="399">
        <f t="shared" si="169"/>
        <v>0</v>
      </c>
      <c r="DC115" s="399">
        <f t="shared" si="170"/>
        <v>175158.38295760084</v>
      </c>
      <c r="DD115" s="399">
        <f t="shared" si="171"/>
        <v>163078.4944777663</v>
      </c>
      <c r="DE115" s="399">
        <f t="shared" si="172"/>
        <v>193278.21567735268</v>
      </c>
      <c r="DF115" s="399">
        <f t="shared" si="173"/>
        <v>259717.60231644264</v>
      </c>
      <c r="DG115" s="399">
        <f t="shared" si="174"/>
        <v>298977.23987590492</v>
      </c>
      <c r="DH115" s="392">
        <f t="shared" si="175"/>
        <v>359376.6822750775</v>
      </c>
      <c r="DI115" s="67">
        <f t="shared" si="176"/>
        <v>1449586.6175801449</v>
      </c>
      <c r="DJ115" s="510">
        <f>_xll.LVCELL($E$1,Q$2,$C115,$D$2,$C$4,$C$5,$C$6,$C$7,$C$8,$D$3)+_xll.LVCELL($E$2,Q$2,$C115,$D$2,$C$4,$C$5,$C$6,$C$7,$C$8,$D$3)</f>
        <v>1449586.6190299999</v>
      </c>
      <c r="DK115" s="82">
        <f t="shared" si="137"/>
        <v>-1.4498550444841385E-3</v>
      </c>
      <c r="DM115" s="80"/>
      <c r="DO115" s="64" t="str">
        <f t="shared" si="177"/>
        <v>E6740</v>
      </c>
      <c r="DP115" s="64" t="str">
        <f t="shared" si="178"/>
        <v>E6740</v>
      </c>
      <c r="DQ115" s="359" t="str">
        <f>D115</f>
        <v>Repowering Reclainville</v>
      </c>
      <c r="DR115" s="504">
        <f>_xll.LVCELL($DP$3,DR$3,$DP115,$DQ$2,$DP$4,$DP$5,$DP$6,$DP$7,$DP$8,$DQ$3)/100</f>
        <v>0</v>
      </c>
      <c r="DS115" s="504">
        <f>_xll.LVCELL($DP$3,DS$3,$DP115,$DQ$2,$DP$4,$DP$5,$DP$6,$DP$7,$DP$8,$DQ$3)/100</f>
        <v>0</v>
      </c>
      <c r="DT115" s="504">
        <f>_xll.LVCELL($DP$3,DT$3,$DP115,$DQ$2,$DP$4,$DP$5,$DP$6,$DP$7,$DP$8,$DQ$3)/100</f>
        <v>0</v>
      </c>
      <c r="DU115" s="504">
        <f>_xll.LVCELL($DP$3,DU$3,$DP115,$DQ$2,$DP$4,$DP$5,$DP$6,$DP$7,$DP$8,$DQ$3)/100</f>
        <v>0</v>
      </c>
      <c r="DV115" s="504">
        <f>_xll.LVCELL($DP$3,DV$3,$DP115,$DQ$2,$DP$4,$DP$5,$DP$6,$DP$7,$DP$8,$DQ$3)/100</f>
        <v>0</v>
      </c>
      <c r="DW115" s="504">
        <f>_xll.LVCELL($DP$3,DW$3,$DP115,$DQ$2,$DP$4,$DP$5,$DP$6,$DP$7,$DP$8,$DQ$3)/100</f>
        <v>0</v>
      </c>
      <c r="DX115" s="581">
        <f>_xll.LVCELL($DP$3,DX$3,$DP115,$DQ$2,$DP$4,$DP$5,$DP$6,$DP$7,$DP$8,$DQ$3)/100</f>
        <v>0.97</v>
      </c>
      <c r="DY115" s="581">
        <f>_xll.LVCELL($DP$3,DY$3,$DP115,$DQ$2,$DP$4,$DP$5,$DP$6,$DP$7,$DP$8,$DQ$3)/100</f>
        <v>0.97</v>
      </c>
      <c r="DZ115" s="581">
        <f>_xll.LVCELL($DP$3,DZ$3,$DP115,$DQ$2,$DP$4,$DP$5,$DP$6,$DP$7,$DP$8,$DQ$3)/100</f>
        <v>0.97</v>
      </c>
      <c r="EA115" s="581">
        <f>_xll.LVCELL($DP$3,EA$3,$DP115,$DQ$2,$DP$4,$DP$5,$DP$6,$DP$7,$DP$8,$DQ$3)/100</f>
        <v>0.97</v>
      </c>
      <c r="EB115" s="581">
        <f>_xll.LVCELL($DP$3,EB$3,$DP115,$DQ$2,$DP$4,$DP$5,$DP$6,$DP$7,$DP$8,$DQ$3)/100</f>
        <v>0.97</v>
      </c>
      <c r="EC115" s="581">
        <f>_xll.LVCELL($DP$3,EC$3,$DP115,$DQ$2,$DP$4,$DP$5,$DP$6,$DP$7,$DP$8,$DQ$3)/100</f>
        <v>0.97</v>
      </c>
      <c r="ED115" s="582">
        <f t="shared" si="180"/>
        <v>5.8199999999999994</v>
      </c>
      <c r="EH115" s="359"/>
      <c r="EI115" s="396"/>
      <c r="EJ115" s="397"/>
      <c r="EK115" s="403"/>
      <c r="EL115" s="394"/>
      <c r="EM115" s="395"/>
      <c r="EN115" s="394"/>
      <c r="EO115" s="395"/>
      <c r="EP115" s="394"/>
      <c r="EQ115" s="395"/>
      <c r="ER115" s="394"/>
      <c r="ES115" s="395"/>
      <c r="ET115" s="394"/>
      <c r="EW115" s="64" t="str">
        <f t="shared" si="150"/>
        <v>E6740</v>
      </c>
      <c r="EX115" s="64" t="str">
        <f t="shared" si="151"/>
        <v>E6740</v>
      </c>
      <c r="EY115" s="359" t="str">
        <f t="shared" si="162"/>
        <v>Repowering Reclainville</v>
      </c>
      <c r="EZ115" s="505">
        <f>_xll.LVCELL($EX$3,EZ$3,$DP115,$DQ$2,$DP$4,$DP$5,$DP$6,$DP$7,$DP$8,$DQ$3)</f>
        <v>0</v>
      </c>
      <c r="FA115" s="505">
        <f>_xll.LVCELL($EX$3,FA$3,$DP115,$DQ$2,$DP$4,$DP$5,$DP$6,$DP$7,$DP$8,$DQ$3)</f>
        <v>0</v>
      </c>
      <c r="FB115" s="505">
        <f>_xll.LVCELL($EX$3,FB$3,$DP115,$DQ$2,$DP$4,$DP$5,$DP$6,$DP$7,$DP$8,$DQ$3)</f>
        <v>0</v>
      </c>
      <c r="FC115" s="505">
        <f>_xll.LVCELL($EX$3,FC$3,$DP115,$DQ$2,$DP$4,$DP$5,$DP$6,$DP$7,$DP$8,$DQ$3)</f>
        <v>0</v>
      </c>
      <c r="FD115" s="505">
        <f>_xll.LVCELL($EX$3,FD$3,$DP115,$DQ$2,$DP$4,$DP$5,$DP$6,$DP$7,$DP$8,$DQ$3)</f>
        <v>0</v>
      </c>
      <c r="FE115" s="505">
        <f>_xll.LVCELL($EX$3,FE$3,$DP115,$DQ$2,$DP$4,$DP$5,$DP$6,$DP$7,$DP$8,$DQ$3)</f>
        <v>0</v>
      </c>
      <c r="FF115" s="276">
        <f>_xll.LVCELL($EX$3,FF$3,$DP115,$DQ$2,$DP$4,$DP$5,$DP$6,$DP$7,$DP$8,$DQ$3)</f>
        <v>18000</v>
      </c>
      <c r="FG115" s="276">
        <f>_xll.LVCELL($EX$3,FG$3,$DP115,$DQ$2,$DP$4,$DP$5,$DP$6,$DP$7,$DP$8,$DQ$3)</f>
        <v>18000</v>
      </c>
      <c r="FH115" s="276">
        <f>_xll.LVCELL($EX$3,FH$3,$DP115,$DQ$2,$DP$4,$DP$5,$DP$6,$DP$7,$DP$8,$DQ$3)</f>
        <v>18000</v>
      </c>
      <c r="FI115" s="276">
        <f>_xll.LVCELL($EX$3,FI$3,$DP115,$DQ$2,$DP$4,$DP$5,$DP$6,$DP$7,$DP$8,$DQ$3)</f>
        <v>18000</v>
      </c>
      <c r="FJ115" s="276">
        <f>_xll.LVCELL($EX$3,FJ$3,$DP115,$DQ$2,$DP$4,$DP$5,$DP$6,$DP$7,$DP$8,$DQ$3)</f>
        <v>18000</v>
      </c>
      <c r="FK115" s="276">
        <f>_xll.LVCELL($EX$3,FK$3,$DP115,$DQ$2,$DP$4,$DP$5,$DP$6,$DP$7,$DP$8,$DQ$3)</f>
        <v>18000</v>
      </c>
      <c r="FN115" s="102" t="str">
        <f t="shared" si="161"/>
        <v>E6740</v>
      </c>
      <c r="FO115" s="102" t="str">
        <f t="shared" si="181"/>
        <v>E6740</v>
      </c>
      <c r="FP115" s="359" t="str">
        <f>D115</f>
        <v>Repowering Reclainville</v>
      </c>
      <c r="FQ115" s="505">
        <f>_xll.LVCELL($FO$3,FQ$3,$DP115,$DQ$2,$DP$4,$DP$5,$DP$6,$DP$7,$DP$8,$DQ$3)</f>
        <v>0</v>
      </c>
      <c r="FR115" s="505">
        <f>_xll.LVCELL($FO$3,FR$3,$DP115,$DQ$2,$DP$4,$DP$5,$DP$6,$DP$7,$DP$8,$DQ$3)</f>
        <v>0</v>
      </c>
      <c r="FS115" s="505">
        <f>_xll.LVCELL($FO$3,FS$3,$DP115,$DQ$2,$DP$4,$DP$5,$DP$6,$DP$7,$DP$8,$DQ$3)</f>
        <v>0</v>
      </c>
      <c r="FT115" s="505">
        <f>_xll.LVCELL($FO$3,FT$3,$DP115,$DQ$2,$DP$4,$DP$5,$DP$6,$DP$7,$DP$8,$DQ$3)</f>
        <v>0</v>
      </c>
      <c r="FU115" s="505">
        <f>_xll.LVCELL($FO$3,FU$3,$DP115,$DQ$2,$DP$4,$DP$5,$DP$6,$DP$7,$DP$8,$DQ$3)</f>
        <v>0</v>
      </c>
      <c r="FV115" s="505">
        <f>_xll.LVCELL($FO$3,FV$3,$DP115,$DQ$2,$DP$4,$DP$5,$DP$6,$DP$7,$DP$8,$DQ$3)</f>
        <v>0</v>
      </c>
      <c r="FW115" s="276">
        <f>_xll.LVCELL($FO$3,FW$3,$DP115,$DQ$2,$DP$4,$DP$5,$DP$6,$DP$7,$DP$8,$DQ$3)</f>
        <v>6</v>
      </c>
      <c r="FX115" s="276">
        <f>_xll.LVCELL($FO$3,FX$3,$DP115,$DQ$2,$DP$4,$DP$5,$DP$6,$DP$7,$DP$8,$DQ$3)</f>
        <v>6</v>
      </c>
      <c r="FY115" s="276">
        <f>_xll.LVCELL($FO$3,FY$3,$DP115,$DQ$2,$DP$4,$DP$5,$DP$6,$DP$7,$DP$8,$DQ$3)</f>
        <v>6</v>
      </c>
      <c r="FZ115" s="276">
        <f>_xll.LVCELL($FO$3,FZ$3,$DP115,$DQ$2,$DP$4,$DP$5,$DP$6,$DP$7,$DP$8,$DQ$3)</f>
        <v>6</v>
      </c>
      <c r="GA115" s="276">
        <f>_xll.LVCELL($FO$3,GA$3,$DP115,$DQ$2,$DP$4,$DP$5,$DP$6,$DP$7,$DP$8,$DQ$3)</f>
        <v>6</v>
      </c>
      <c r="GB115" s="276">
        <f>_xll.LVCELL($FO$3,GB$3,$DP115,$DQ$2,$DP$4,$DP$5,$DP$6,$DP$7,$DP$8,$DQ$3)</f>
        <v>6</v>
      </c>
    </row>
    <row r="116" spans="2:184" ht="15">
      <c r="B116" s="64" t="s">
        <v>2079</v>
      </c>
      <c r="C116" s="64" t="s">
        <v>2079</v>
      </c>
      <c r="D116" s="359" t="s">
        <v>3398</v>
      </c>
      <c r="E116" s="357">
        <f>_xll.LVCELL($C$3,Q$3,$C116,$D$2,$C$4,$C$5,$C$6,$C$7,$C$8,$D$3)/1000</f>
        <v>25.2</v>
      </c>
      <c r="F116" s="739">
        <f>'distribution mensuelle Prod B22'!$DC$36</f>
        <v>0</v>
      </c>
      <c r="G116" s="739">
        <f>'distribution mensuelle Prod B22'!$DC$37</f>
        <v>0</v>
      </c>
      <c r="H116" s="739">
        <f>'distribution mensuelle Prod B22'!$DC$38</f>
        <v>0</v>
      </c>
      <c r="I116" s="739">
        <f>'distribution mensuelle Prod B22'!$DC$39</f>
        <v>0</v>
      </c>
      <c r="J116" s="739">
        <f>'distribution mensuelle Prod B22'!$DC$40</f>
        <v>0</v>
      </c>
      <c r="K116" s="739">
        <f>'distribution mensuelle Prod B22'!$DC$41</f>
        <v>3011714.5811789036</v>
      </c>
      <c r="L116" s="739">
        <f>'distribution mensuelle Prod B22'!$DC$42</f>
        <v>3234804.550155119</v>
      </c>
      <c r="M116" s="739">
        <f>'distribution mensuelle Prod B22'!$DC$43</f>
        <v>2955942.0889348499</v>
      </c>
      <c r="N116" s="739">
        <f>'distribution mensuelle Prod B22'!$DC$44</f>
        <v>3513667.0113753877</v>
      </c>
      <c r="O116" s="739">
        <f>'distribution mensuelle Prod B22'!$DC$45</f>
        <v>4796434.3329886245</v>
      </c>
      <c r="P116" s="739">
        <f>'distribution mensuelle Prod B22'!$DC$46</f>
        <v>5577249.2244053781</v>
      </c>
      <c r="Q116" s="739">
        <f>'distribution mensuelle Prod B22'!$DC$47</f>
        <v>6692699.0692864526</v>
      </c>
      <c r="R116" s="67">
        <f t="shared" si="152"/>
        <v>29782510.858324714</v>
      </c>
      <c r="W116" s="113" t="str">
        <f t="shared" si="153"/>
        <v>E6290</v>
      </c>
      <c r="X116" s="359" t="str">
        <f t="shared" si="154"/>
        <v>Bois des Fontaines</v>
      </c>
      <c r="Y116" s="561"/>
      <c r="Z116" s="561"/>
      <c r="AA116" s="561"/>
      <c r="AB116" s="561"/>
      <c r="AC116" s="561"/>
      <c r="AD116" s="561"/>
      <c r="AE116" s="561"/>
      <c r="AF116" s="561"/>
      <c r="AG116" s="561"/>
      <c r="AH116" s="561"/>
      <c r="AI116" s="561"/>
      <c r="AJ116" s="561"/>
      <c r="AK116" s="414"/>
      <c r="AL116" s="134"/>
      <c r="AM116" s="134"/>
      <c r="AN116" s="134"/>
      <c r="AO116" s="134"/>
      <c r="AP116" s="113" t="str">
        <f t="shared" si="132"/>
        <v>E6290</v>
      </c>
      <c r="AQ116" s="572" t="str">
        <f t="shared" si="133"/>
        <v>Bois des Fontaines</v>
      </c>
      <c r="AR116" s="377"/>
      <c r="AS116" s="377"/>
      <c r="AT116" s="377"/>
      <c r="AU116" s="377"/>
      <c r="AV116" s="377"/>
      <c r="AW116" s="411">
        <v>18.099999999999994</v>
      </c>
      <c r="AX116" s="411">
        <v>16.04</v>
      </c>
      <c r="AY116" s="411">
        <v>19.759999999999998</v>
      </c>
      <c r="AZ116" s="411">
        <v>21.879999999999995</v>
      </c>
      <c r="BA116" s="411">
        <v>22.68</v>
      </c>
      <c r="BB116" s="411">
        <v>3.8900000000000006</v>
      </c>
      <c r="BC116" s="412">
        <v>-7.5400000000000063</v>
      </c>
      <c r="BD116" s="414"/>
      <c r="BE116" s="134"/>
      <c r="BF116" s="134"/>
      <c r="BG116" s="134"/>
      <c r="BH116" s="134"/>
      <c r="BI116" s="113" t="str">
        <f t="shared" si="134"/>
        <v>E6290</v>
      </c>
      <c r="BJ116" s="572" t="str">
        <f>AQ116</f>
        <v>Bois des Fontaines</v>
      </c>
      <c r="BK116" s="377"/>
      <c r="BL116" s="377"/>
      <c r="BM116" s="377"/>
      <c r="BN116" s="377"/>
      <c r="BO116" s="377"/>
      <c r="BP116" s="411">
        <v>49.36</v>
      </c>
      <c r="BQ116" s="411">
        <v>51.419999999999995</v>
      </c>
      <c r="BR116" s="411">
        <v>47.699999999999996</v>
      </c>
      <c r="BS116" s="411">
        <v>45.58</v>
      </c>
      <c r="BT116" s="411">
        <v>44.779999999999994</v>
      </c>
      <c r="BU116" s="411">
        <v>63.569999999999993</v>
      </c>
      <c r="BV116" s="412">
        <v>75</v>
      </c>
      <c r="BW116" s="414"/>
      <c r="BX116" s="134"/>
      <c r="BY116" s="134"/>
      <c r="BZ116" s="134"/>
      <c r="CA116" s="134"/>
      <c r="CB116" s="113" t="str">
        <f t="shared" si="156"/>
        <v>E6290</v>
      </c>
      <c r="CC116" s="373" t="str">
        <f t="shared" si="157"/>
        <v>Bois des Fontaines</v>
      </c>
      <c r="CD116" s="411">
        <f t="shared" si="136"/>
        <v>0</v>
      </c>
      <c r="CE116" s="411">
        <f t="shared" si="101"/>
        <v>0</v>
      </c>
      <c r="CF116" s="411">
        <f t="shared" si="102"/>
        <v>0</v>
      </c>
      <c r="CG116" s="411">
        <f t="shared" si="103"/>
        <v>0</v>
      </c>
      <c r="CH116" s="411">
        <f t="shared" si="104"/>
        <v>0</v>
      </c>
      <c r="CI116" s="411">
        <f t="shared" si="105"/>
        <v>67.459999999999994</v>
      </c>
      <c r="CJ116" s="411">
        <f t="shared" si="106"/>
        <v>67.459999999999994</v>
      </c>
      <c r="CK116" s="411">
        <f t="shared" si="107"/>
        <v>67.459999999999994</v>
      </c>
      <c r="CL116" s="411">
        <f t="shared" si="108"/>
        <v>67.459999999999994</v>
      </c>
      <c r="CM116" s="411">
        <f t="shared" si="109"/>
        <v>67.459999999999994</v>
      </c>
      <c r="CN116" s="411">
        <f t="shared" si="110"/>
        <v>67.459999999999994</v>
      </c>
      <c r="CO116" s="412">
        <f t="shared" si="111"/>
        <v>67.459999999999994</v>
      </c>
      <c r="CP116" s="414"/>
      <c r="CQ116" s="134">
        <f t="shared" si="179"/>
        <v>2.3E-2</v>
      </c>
      <c r="CU116" s="113" t="str">
        <f t="shared" si="158"/>
        <v>E6290</v>
      </c>
      <c r="CV116" s="373" t="str">
        <f t="shared" si="159"/>
        <v>Bois des Fontaines</v>
      </c>
      <c r="CW116" s="398">
        <f t="shared" si="164"/>
        <v>0</v>
      </c>
      <c r="CX116" s="399">
        <f t="shared" si="165"/>
        <v>0</v>
      </c>
      <c r="CY116" s="399">
        <f t="shared" si="166"/>
        <v>0</v>
      </c>
      <c r="CZ116" s="399">
        <f t="shared" si="167"/>
        <v>0</v>
      </c>
      <c r="DA116" s="399">
        <f t="shared" si="168"/>
        <v>0</v>
      </c>
      <c r="DB116" s="399">
        <f t="shared" si="169"/>
        <v>203170.2656463288</v>
      </c>
      <c r="DC116" s="399">
        <f t="shared" si="170"/>
        <v>218219.91495346429</v>
      </c>
      <c r="DD116" s="399">
        <f t="shared" si="171"/>
        <v>199407.85331954496</v>
      </c>
      <c r="DE116" s="399">
        <f t="shared" si="172"/>
        <v>237031.97658738363</v>
      </c>
      <c r="DF116" s="399">
        <f t="shared" si="173"/>
        <v>323567.46010341257</v>
      </c>
      <c r="DG116" s="399">
        <f t="shared" si="174"/>
        <v>376241.23267838679</v>
      </c>
      <c r="DH116" s="392">
        <f t="shared" si="175"/>
        <v>451489.47921406402</v>
      </c>
      <c r="DI116" s="67">
        <f t="shared" si="176"/>
        <v>2009128.1825025852</v>
      </c>
      <c r="DJ116" s="510">
        <f>_xll.LVCELL($E$1,Q$2,$C116,$D$2,$C$4,$C$5,$C$6,$C$7,$C$8,$D$3)+_xll.LVCELL($E$2,Q$2,$C116,$D$2,$C$4,$C$5,$C$6,$C$7,$C$8,$D$3)</f>
        <v>2009128.19206</v>
      </c>
      <c r="DK116" s="82">
        <f t="shared" si="137"/>
        <v>-9.5574147999286652E-3</v>
      </c>
      <c r="DM116" s="80"/>
      <c r="DO116" s="64" t="str">
        <f t="shared" si="177"/>
        <v>E6290</v>
      </c>
      <c r="DP116" s="64" t="str">
        <f t="shared" si="178"/>
        <v>E6290</v>
      </c>
      <c r="DQ116" s="359" t="str">
        <f>D116</f>
        <v>Bois des Fontaines</v>
      </c>
      <c r="DR116" s="504">
        <f>_xll.LVCELL($DP$3,DR$3,$DP116,$DQ$2,$DP$4,$DP$5,$DP$6,$DP$7,$DP$8,$DQ$3)/100</f>
        <v>0</v>
      </c>
      <c r="DS116" s="504">
        <f>_xll.LVCELL($DP$3,DS$3,$DP116,$DQ$2,$DP$4,$DP$5,$DP$6,$DP$7,$DP$8,$DQ$3)/100</f>
        <v>0</v>
      </c>
      <c r="DT116" s="504">
        <f>_xll.LVCELL($DP$3,DT$3,$DP116,$DQ$2,$DP$4,$DP$5,$DP$6,$DP$7,$DP$8,$DQ$3)/100</f>
        <v>0</v>
      </c>
      <c r="DU116" s="504">
        <f>_xll.LVCELL($DP$3,DU$3,$DP116,$DQ$2,$DP$4,$DP$5,$DP$6,$DP$7,$DP$8,$DQ$3)/100</f>
        <v>0</v>
      </c>
      <c r="DV116" s="504">
        <f>_xll.LVCELL($DP$3,DV$3,$DP116,$DQ$2,$DP$4,$DP$5,$DP$6,$DP$7,$DP$8,$DQ$3)/100</f>
        <v>0</v>
      </c>
      <c r="DW116" s="581">
        <f>_xll.LVCELL($DP$3,DW$3,$DP116,$DQ$2,$DP$4,$DP$5,$DP$6,$DP$7,$DP$8,$DQ$3)/100</f>
        <v>0.97</v>
      </c>
      <c r="DX116" s="581">
        <f>_xll.LVCELL($DP$3,DX$3,$DP116,$DQ$2,$DP$4,$DP$5,$DP$6,$DP$7,$DP$8,$DQ$3)/100</f>
        <v>0.97</v>
      </c>
      <c r="DY116" s="581">
        <f>_xll.LVCELL($DP$3,DY$3,$DP116,$DQ$2,$DP$4,$DP$5,$DP$6,$DP$7,$DP$8,$DQ$3)/100</f>
        <v>0.97</v>
      </c>
      <c r="DZ116" s="581">
        <f>_xll.LVCELL($DP$3,DZ$3,$DP116,$DQ$2,$DP$4,$DP$5,$DP$6,$DP$7,$DP$8,$DQ$3)/100</f>
        <v>0.97</v>
      </c>
      <c r="EA116" s="581">
        <f>_xll.LVCELL($DP$3,EA$3,$DP116,$DQ$2,$DP$4,$DP$5,$DP$6,$DP$7,$DP$8,$DQ$3)/100</f>
        <v>0.97</v>
      </c>
      <c r="EB116" s="581">
        <f>_xll.LVCELL($DP$3,EB$3,$DP116,$DQ$2,$DP$4,$DP$5,$DP$6,$DP$7,$DP$8,$DQ$3)/100</f>
        <v>0.97</v>
      </c>
      <c r="EC116" s="581">
        <f>_xll.LVCELL($DP$3,EC$3,$DP116,$DQ$2,$DP$4,$DP$5,$DP$6,$DP$7,$DP$8,$DQ$3)/100</f>
        <v>0.97</v>
      </c>
      <c r="ED116" s="582">
        <f t="shared" si="180"/>
        <v>6.7899999999999991</v>
      </c>
      <c r="EH116" s="359"/>
      <c r="EI116" s="396"/>
      <c r="EJ116" s="397"/>
      <c r="EK116" s="403"/>
      <c r="EL116" s="394"/>
      <c r="EM116" s="395"/>
      <c r="EN116" s="394"/>
      <c r="EO116" s="395"/>
      <c r="EP116" s="394"/>
      <c r="EQ116" s="395"/>
      <c r="ER116" s="394"/>
      <c r="ES116" s="395"/>
      <c r="ET116" s="394"/>
      <c r="EW116" s="64" t="str">
        <f t="shared" si="150"/>
        <v>E6290</v>
      </c>
      <c r="EX116" s="64" t="str">
        <f t="shared" si="151"/>
        <v>E6290</v>
      </c>
      <c r="EY116" s="359" t="str">
        <f t="shared" si="162"/>
        <v>Bois des Fontaines</v>
      </c>
      <c r="EZ116" s="505">
        <f>_xll.LVCELL($EX$3,EZ$3,$DP116,$DQ$2,$DP$4,$DP$5,$DP$6,$DP$7,$DP$8,$DQ$3)</f>
        <v>0</v>
      </c>
      <c r="FA116" s="505">
        <f>_xll.LVCELL($EX$3,FA$3,$DP116,$DQ$2,$DP$4,$DP$5,$DP$6,$DP$7,$DP$8,$DQ$3)</f>
        <v>0</v>
      </c>
      <c r="FB116" s="505">
        <f>_xll.LVCELL($EX$3,FB$3,$DP116,$DQ$2,$DP$4,$DP$5,$DP$6,$DP$7,$DP$8,$DQ$3)</f>
        <v>0</v>
      </c>
      <c r="FC116" s="505">
        <f>_xll.LVCELL($EX$3,FC$3,$DP116,$DQ$2,$DP$4,$DP$5,$DP$6,$DP$7,$DP$8,$DQ$3)</f>
        <v>0</v>
      </c>
      <c r="FD116" s="505">
        <f>_xll.LVCELL($EX$3,FD$3,$DP116,$DQ$2,$DP$4,$DP$5,$DP$6,$DP$7,$DP$8,$DQ$3)</f>
        <v>0</v>
      </c>
      <c r="FE116" s="276">
        <f>_xll.LVCELL($EX$3,FE$3,$DP116,$DQ$2,$DP$4,$DP$5,$DP$6,$DP$7,$DP$8,$DQ$3)</f>
        <v>25200</v>
      </c>
      <c r="FF116" s="276">
        <f>_xll.LVCELL($EX$3,FF$3,$DP116,$DQ$2,$DP$4,$DP$5,$DP$6,$DP$7,$DP$8,$DQ$3)</f>
        <v>25200</v>
      </c>
      <c r="FG116" s="276">
        <f>_xll.LVCELL($EX$3,FG$3,$DP116,$DQ$2,$DP$4,$DP$5,$DP$6,$DP$7,$DP$8,$DQ$3)</f>
        <v>25200</v>
      </c>
      <c r="FH116" s="276">
        <f>_xll.LVCELL($EX$3,FH$3,$DP116,$DQ$2,$DP$4,$DP$5,$DP$6,$DP$7,$DP$8,$DQ$3)</f>
        <v>25200</v>
      </c>
      <c r="FI116" s="276">
        <f>_xll.LVCELL($EX$3,FI$3,$DP116,$DQ$2,$DP$4,$DP$5,$DP$6,$DP$7,$DP$8,$DQ$3)</f>
        <v>25200</v>
      </c>
      <c r="FJ116" s="276">
        <f>_xll.LVCELL($EX$3,FJ$3,$DP116,$DQ$2,$DP$4,$DP$5,$DP$6,$DP$7,$DP$8,$DQ$3)</f>
        <v>25200</v>
      </c>
      <c r="FK116" s="276">
        <f>_xll.LVCELL($EX$3,FK$3,$DP116,$DQ$2,$DP$4,$DP$5,$DP$6,$DP$7,$DP$8,$DQ$3)</f>
        <v>25200</v>
      </c>
      <c r="FN116" s="102" t="str">
        <f t="shared" si="161"/>
        <v>E6290</v>
      </c>
      <c r="FO116" s="102" t="str">
        <f t="shared" si="181"/>
        <v>E6290</v>
      </c>
      <c r="FP116" s="359" t="str">
        <f>D116</f>
        <v>Bois des Fontaines</v>
      </c>
      <c r="FQ116" s="505">
        <f>_xll.LVCELL($FO$3,FQ$3,$DP116,$DQ$2,$DP$4,$DP$5,$DP$6,$DP$7,$DP$8,$DQ$3)</f>
        <v>0</v>
      </c>
      <c r="FR116" s="505">
        <f>_xll.LVCELL($FO$3,FR$3,$DP116,$DQ$2,$DP$4,$DP$5,$DP$6,$DP$7,$DP$8,$DQ$3)</f>
        <v>0</v>
      </c>
      <c r="FS116" s="505">
        <f>_xll.LVCELL($FO$3,FS$3,$DP116,$DQ$2,$DP$4,$DP$5,$DP$6,$DP$7,$DP$8,$DQ$3)</f>
        <v>0</v>
      </c>
      <c r="FT116" s="505">
        <f>_xll.LVCELL($FO$3,FT$3,$DP116,$DQ$2,$DP$4,$DP$5,$DP$6,$DP$7,$DP$8,$DQ$3)</f>
        <v>0</v>
      </c>
      <c r="FU116" s="505">
        <f>_xll.LVCELL($FO$3,FU$3,$DP116,$DQ$2,$DP$4,$DP$5,$DP$6,$DP$7,$DP$8,$DQ$3)</f>
        <v>0</v>
      </c>
      <c r="FV116" s="276">
        <f>_xll.LVCELL($FO$3,FV$3,$DP116,$DQ$2,$DP$4,$DP$5,$DP$6,$DP$7,$DP$8,$DQ$3)</f>
        <v>7</v>
      </c>
      <c r="FW116" s="276">
        <f>_xll.LVCELL($FO$3,FW$3,$DP116,$DQ$2,$DP$4,$DP$5,$DP$6,$DP$7,$DP$8,$DQ$3)</f>
        <v>7</v>
      </c>
      <c r="FX116" s="276">
        <f>_xll.LVCELL($FO$3,FX$3,$DP116,$DQ$2,$DP$4,$DP$5,$DP$6,$DP$7,$DP$8,$DQ$3)</f>
        <v>7</v>
      </c>
      <c r="FY116" s="276">
        <f>_xll.LVCELL($FO$3,FY$3,$DP116,$DQ$2,$DP$4,$DP$5,$DP$6,$DP$7,$DP$8,$DQ$3)</f>
        <v>7</v>
      </c>
      <c r="FZ116" s="276">
        <f>_xll.LVCELL($FO$3,FZ$3,$DP116,$DQ$2,$DP$4,$DP$5,$DP$6,$DP$7,$DP$8,$DQ$3)</f>
        <v>7</v>
      </c>
      <c r="GA116" s="276">
        <f>_xll.LVCELL($FO$3,GA$3,$DP116,$DQ$2,$DP$4,$DP$5,$DP$6,$DP$7,$DP$8,$DQ$3)</f>
        <v>7</v>
      </c>
      <c r="GB116" s="276">
        <f>_xll.LVCELL($FO$3,GB$3,$DP116,$DQ$2,$DP$4,$DP$5,$DP$6,$DP$7,$DP$8,$DQ$3)</f>
        <v>7</v>
      </c>
    </row>
    <row r="117" spans="2:184" ht="15">
      <c r="B117" s="64" t="s">
        <v>3402</v>
      </c>
      <c r="C117" s="64" t="s">
        <v>3402</v>
      </c>
      <c r="D117" s="359" t="s">
        <v>3399</v>
      </c>
      <c r="E117" s="357">
        <f>_xll.LVCELL($C$3,Q$3,$C117,$D$2,$C$4,$C$5,$C$6,$C$7,$C$8,$D$3)/1000</f>
        <v>18</v>
      </c>
      <c r="F117" s="739">
        <f>'distribution mensuelle Prod B22'!$DD$36</f>
        <v>0</v>
      </c>
      <c r="G117" s="739">
        <f>'distribution mensuelle Prod B22'!$DD$37</f>
        <v>0</v>
      </c>
      <c r="H117" s="739">
        <f>'distribution mensuelle Prod B22'!$DD$38</f>
        <v>0</v>
      </c>
      <c r="I117" s="739">
        <f>'distribution mensuelle Prod B22'!$DD$39</f>
        <v>0</v>
      </c>
      <c r="J117" s="739">
        <f>'distribution mensuelle Prod B22'!$DD$40</f>
        <v>0</v>
      </c>
      <c r="K117" s="739">
        <f>'distribution mensuelle Prod B22'!$DD$41</f>
        <v>0</v>
      </c>
      <c r="L117" s="739">
        <f>'distribution mensuelle Prod B22'!$DD$42</f>
        <v>0</v>
      </c>
      <c r="M117" s="739">
        <f>'distribution mensuelle Prod B22'!$DD$43</f>
        <v>0</v>
      </c>
      <c r="N117" s="739">
        <f>'distribution mensuelle Prod B22'!$DD$44</f>
        <v>0</v>
      </c>
      <c r="O117" s="739">
        <f>'distribution mensuelle Prod B22'!$DD$45</f>
        <v>0</v>
      </c>
      <c r="P117" s="739">
        <f>'distribution mensuelle Prod B22'!$DD$46</f>
        <v>5066168.5625646329</v>
      </c>
      <c r="Q117" s="739">
        <f>'distribution mensuelle Prod B22'!$DD$47</f>
        <v>6079402.2750775591</v>
      </c>
      <c r="R117" s="67">
        <f t="shared" si="152"/>
        <v>11145570.837642193</v>
      </c>
      <c r="S117" s="549"/>
      <c r="W117" s="113" t="str">
        <f t="shared" si="153"/>
        <v>E6760</v>
      </c>
      <c r="X117" s="359" t="str">
        <f t="shared" si="154"/>
        <v>Repowering Bougainville</v>
      </c>
      <c r="Y117" s="561"/>
      <c r="Z117" s="561"/>
      <c r="AA117" s="561"/>
      <c r="AB117" s="561"/>
      <c r="AC117" s="561"/>
      <c r="AD117" s="561"/>
      <c r="AE117" s="561"/>
      <c r="AF117" s="561"/>
      <c r="AG117" s="561"/>
      <c r="AH117" s="561"/>
      <c r="AI117" s="561"/>
      <c r="AJ117" s="561"/>
      <c r="AK117" s="414"/>
      <c r="AL117" s="134">
        <f t="shared" si="155"/>
        <v>2.3E-2</v>
      </c>
      <c r="AM117" s="134"/>
      <c r="AN117" s="134"/>
      <c r="AO117" s="134"/>
      <c r="AP117" s="113" t="str">
        <f t="shared" si="132"/>
        <v>E6760</v>
      </c>
      <c r="AQ117" s="574" t="str">
        <f t="shared" si="133"/>
        <v>Repowering Bougainville</v>
      </c>
      <c r="AR117" s="377"/>
      <c r="AS117" s="377"/>
      <c r="AT117" s="377"/>
      <c r="AU117" s="377"/>
      <c r="AV117" s="377"/>
      <c r="AW117" s="377"/>
      <c r="AX117" s="377"/>
      <c r="AY117" s="377"/>
      <c r="AZ117" s="377"/>
      <c r="BA117" s="377"/>
      <c r="BB117" s="411">
        <v>9.8900000000000041</v>
      </c>
      <c r="BC117" s="412">
        <v>-1.5400000000000036</v>
      </c>
      <c r="BD117" s="414"/>
      <c r="BE117" s="134"/>
      <c r="BF117" s="134"/>
      <c r="BG117" s="134"/>
      <c r="BH117" s="134"/>
      <c r="BI117" s="113" t="str">
        <f t="shared" si="134"/>
        <v>E6760</v>
      </c>
      <c r="BJ117" s="574" t="str">
        <f t="shared" si="135"/>
        <v>Repowering Bougainville</v>
      </c>
      <c r="BK117" s="377"/>
      <c r="BL117" s="377"/>
      <c r="BM117" s="377"/>
      <c r="BN117" s="377"/>
      <c r="BO117" s="377"/>
      <c r="BP117" s="377"/>
      <c r="BQ117" s="377"/>
      <c r="BR117" s="377"/>
      <c r="BS117" s="377"/>
      <c r="BT117" s="377"/>
      <c r="BU117" s="411">
        <v>65.22999999999999</v>
      </c>
      <c r="BV117" s="412">
        <v>76.66</v>
      </c>
      <c r="BW117" s="414"/>
      <c r="BX117" s="134"/>
      <c r="BY117" s="134"/>
      <c r="BZ117" s="134"/>
      <c r="CA117" s="134"/>
      <c r="CB117" s="113" t="str">
        <f t="shared" si="156"/>
        <v>E6760</v>
      </c>
      <c r="CC117" s="373" t="str">
        <f t="shared" si="157"/>
        <v>Repowering Bougainville</v>
      </c>
      <c r="CD117" s="411">
        <f t="shared" si="136"/>
        <v>0</v>
      </c>
      <c r="CE117" s="411">
        <f t="shared" si="101"/>
        <v>0</v>
      </c>
      <c r="CF117" s="411">
        <f t="shared" si="102"/>
        <v>0</v>
      </c>
      <c r="CG117" s="411">
        <f t="shared" si="103"/>
        <v>0</v>
      </c>
      <c r="CH117" s="411">
        <f t="shared" si="104"/>
        <v>0</v>
      </c>
      <c r="CI117" s="411">
        <f t="shared" si="105"/>
        <v>0</v>
      </c>
      <c r="CJ117" s="411">
        <f t="shared" si="106"/>
        <v>0</v>
      </c>
      <c r="CK117" s="411">
        <f t="shared" si="107"/>
        <v>0</v>
      </c>
      <c r="CL117" s="411">
        <f t="shared" si="108"/>
        <v>0</v>
      </c>
      <c r="CM117" s="411">
        <f t="shared" si="109"/>
        <v>0</v>
      </c>
      <c r="CN117" s="411">
        <f t="shared" si="110"/>
        <v>75.11999999999999</v>
      </c>
      <c r="CO117" s="412">
        <f t="shared" si="111"/>
        <v>75.11999999999999</v>
      </c>
      <c r="CP117" s="414"/>
      <c r="CQ117" s="134">
        <f t="shared" si="179"/>
        <v>2.3E-2</v>
      </c>
      <c r="CU117" s="113" t="str">
        <f t="shared" si="158"/>
        <v>E6760</v>
      </c>
      <c r="CV117" s="373" t="str">
        <f t="shared" si="159"/>
        <v>Repowering Bougainville</v>
      </c>
      <c r="CW117" s="398">
        <f t="shared" ref="CW117" si="182">F117*(CD117/1000)</f>
        <v>0</v>
      </c>
      <c r="CX117" s="399">
        <f t="shared" ref="CX117" si="183">G117*(CE117/1000)</f>
        <v>0</v>
      </c>
      <c r="CY117" s="399">
        <f t="shared" ref="CY117" si="184">H117*(CF117/1000)</f>
        <v>0</v>
      </c>
      <c r="CZ117" s="399">
        <f t="shared" ref="CZ117" si="185">I117*(CG117/1000)</f>
        <v>0</v>
      </c>
      <c r="DA117" s="399">
        <f t="shared" ref="DA117" si="186">J117*(CH117/1000)</f>
        <v>0</v>
      </c>
      <c r="DB117" s="399">
        <f t="shared" ref="DB117" si="187">K117*(CI117/1000)</f>
        <v>0</v>
      </c>
      <c r="DC117" s="399">
        <f t="shared" ref="DC117" si="188">L117*(CJ117/1000)</f>
        <v>0</v>
      </c>
      <c r="DD117" s="399">
        <f t="shared" ref="DD117" si="189">M117*(CK117/1000)</f>
        <v>0</v>
      </c>
      <c r="DE117" s="399">
        <f t="shared" ref="DE117" si="190">N117*(CL117/1000)</f>
        <v>0</v>
      </c>
      <c r="DF117" s="399">
        <f t="shared" ref="DF117" si="191">O117*(CM117/1000)</f>
        <v>0</v>
      </c>
      <c r="DG117" s="399">
        <f t="shared" ref="DG117" si="192">P117*(CN117/1000)</f>
        <v>380570.58241985517</v>
      </c>
      <c r="DH117" s="392">
        <f t="shared" ref="DH117" si="193">Q117*(CO117/1000)</f>
        <v>456684.69890382618</v>
      </c>
      <c r="DI117" s="67">
        <f t="shared" ref="DI117" si="194">SUM(CW117:DH117)</f>
        <v>837255.28132368135</v>
      </c>
      <c r="DJ117" s="510">
        <f>_xll.LVCELL($E$1,Q$2,$C117,$D$2,$C$4,$C$5,$C$6,$C$7,$C$8,$D$3)+_xll.LVCELL($E$2,Q$2,$C117,$D$2,$C$4,$C$5,$C$6,$C$7,$C$8,$D$3)</f>
        <v>837255.29352000006</v>
      </c>
      <c r="DK117" s="82">
        <f t="shared" si="137"/>
        <v>-1.2196318712085485E-2</v>
      </c>
      <c r="DM117" s="80"/>
      <c r="DO117" s="64" t="str">
        <f>B117</f>
        <v>E6760</v>
      </c>
      <c r="DP117" s="64" t="str">
        <f>C117</f>
        <v>E6760</v>
      </c>
      <c r="DQ117" s="359" t="str">
        <f>D117</f>
        <v>Repowering Bougainville</v>
      </c>
      <c r="DR117" s="504">
        <f>_xll.LVCELL($DP$3,DR$3,$DP117,$DQ$2,$DP$4,$DP$5,$DP$6,$DP$7,$DP$8,$DQ$3)/100</f>
        <v>0</v>
      </c>
      <c r="DS117" s="504">
        <f>_xll.LVCELL($DP$3,DS$3,$DP117,$DQ$2,$DP$4,$DP$5,$DP$6,$DP$7,$DP$8,$DQ$3)/100</f>
        <v>0</v>
      </c>
      <c r="DT117" s="504">
        <f>_xll.LVCELL($DP$3,DT$3,$DP117,$DQ$2,$DP$4,$DP$5,$DP$6,$DP$7,$DP$8,$DQ$3)/100</f>
        <v>0</v>
      </c>
      <c r="DU117" s="504">
        <f>_xll.LVCELL($DP$3,DU$3,$DP117,$DQ$2,$DP$4,$DP$5,$DP$6,$DP$7,$DP$8,$DQ$3)/100</f>
        <v>0</v>
      </c>
      <c r="DV117" s="504">
        <f>_xll.LVCELL($DP$3,DV$3,$DP117,$DQ$2,$DP$4,$DP$5,$DP$6,$DP$7,$DP$8,$DQ$3)/100</f>
        <v>0</v>
      </c>
      <c r="DW117" s="504">
        <f>_xll.LVCELL($DP$3,DW$3,$DP117,$DQ$2,$DP$4,$DP$5,$DP$6,$DP$7,$DP$8,$DQ$3)/100</f>
        <v>0</v>
      </c>
      <c r="DX117" s="504">
        <f>_xll.LVCELL($DP$3,DX$3,$DP117,$DQ$2,$DP$4,$DP$5,$DP$6,$DP$7,$DP$8,$DQ$3)/100</f>
        <v>0</v>
      </c>
      <c r="DY117" s="504">
        <f>_xll.LVCELL($DP$3,DY$3,$DP117,$DQ$2,$DP$4,$DP$5,$DP$6,$DP$7,$DP$8,$DQ$3)/100</f>
        <v>0</v>
      </c>
      <c r="DZ117" s="504">
        <f>_xll.LVCELL($DP$3,DZ$3,$DP117,$DQ$2,$DP$4,$DP$5,$DP$6,$DP$7,$DP$8,$DQ$3)/100</f>
        <v>0</v>
      </c>
      <c r="EA117" s="504">
        <f>_xll.LVCELL($DP$3,EA$3,$DP117,$DQ$2,$DP$4,$DP$5,$DP$6,$DP$7,$DP$8,$DQ$3)/100</f>
        <v>0</v>
      </c>
      <c r="EB117" s="581">
        <f>_xll.LVCELL($DP$3,EB$3,$DP117,$DQ$2,$DP$4,$DP$5,$DP$6,$DP$7,$DP$8,$DQ$3)/100</f>
        <v>0.97</v>
      </c>
      <c r="EC117" s="581">
        <f>_xll.LVCELL($DP$3,EC$3,$DP117,$DQ$2,$DP$4,$DP$5,$DP$6,$DP$7,$DP$8,$DQ$3)/100</f>
        <v>0.97</v>
      </c>
      <c r="ED117" s="582">
        <f t="shared" si="180"/>
        <v>1.94</v>
      </c>
      <c r="EH117" s="359">
        <v>0</v>
      </c>
      <c r="EI117" s="396"/>
      <c r="EJ117" s="397"/>
      <c r="EK117" s="403"/>
      <c r="EL117" s="394"/>
      <c r="EM117" s="395"/>
      <c r="EN117" s="394"/>
      <c r="EO117" s="395"/>
      <c r="EP117" s="394"/>
      <c r="EQ117" s="395"/>
      <c r="ER117" s="394"/>
      <c r="ES117" s="395"/>
      <c r="ET117" s="394"/>
      <c r="EW117" s="64" t="str">
        <f t="shared" si="150"/>
        <v>E6760</v>
      </c>
      <c r="EX117" s="64" t="str">
        <f t="shared" si="151"/>
        <v>E6760</v>
      </c>
      <c r="EY117" s="359" t="str">
        <f t="shared" si="162"/>
        <v>Repowering Bougainville</v>
      </c>
      <c r="EZ117" s="505">
        <f>_xll.LVCELL($EX$3,EZ$3,$DP117,$DQ$2,$DP$4,$DP$5,$DP$6,$DP$7,$DP$8,$DQ$3)</f>
        <v>0</v>
      </c>
      <c r="FA117" s="505">
        <f>_xll.LVCELL($EX$3,FA$3,$DP117,$DQ$2,$DP$4,$DP$5,$DP$6,$DP$7,$DP$8,$DQ$3)</f>
        <v>0</v>
      </c>
      <c r="FB117" s="505">
        <f>_xll.LVCELL($EX$3,FB$3,$DP117,$DQ$2,$DP$4,$DP$5,$DP$6,$DP$7,$DP$8,$DQ$3)</f>
        <v>0</v>
      </c>
      <c r="FC117" s="505">
        <f>_xll.LVCELL($EX$3,FC$3,$DP117,$DQ$2,$DP$4,$DP$5,$DP$6,$DP$7,$DP$8,$DQ$3)</f>
        <v>0</v>
      </c>
      <c r="FD117" s="505">
        <f>_xll.LVCELL($EX$3,FD$3,$DP117,$DQ$2,$DP$4,$DP$5,$DP$6,$DP$7,$DP$8,$DQ$3)</f>
        <v>0</v>
      </c>
      <c r="FE117" s="505">
        <f>_xll.LVCELL($EX$3,FE$3,$DP117,$DQ$2,$DP$4,$DP$5,$DP$6,$DP$7,$DP$8,$DQ$3)</f>
        <v>0</v>
      </c>
      <c r="FF117" s="505">
        <f>_xll.LVCELL($EX$3,FF$3,$DP117,$DQ$2,$DP$4,$DP$5,$DP$6,$DP$7,$DP$8,$DQ$3)</f>
        <v>0</v>
      </c>
      <c r="FG117" s="505">
        <f>_xll.LVCELL($EX$3,FG$3,$DP117,$DQ$2,$DP$4,$DP$5,$DP$6,$DP$7,$DP$8,$DQ$3)</f>
        <v>0</v>
      </c>
      <c r="FH117" s="505">
        <f>_xll.LVCELL($EX$3,FH$3,$DP117,$DQ$2,$DP$4,$DP$5,$DP$6,$DP$7,$DP$8,$DQ$3)</f>
        <v>0</v>
      </c>
      <c r="FI117" s="505">
        <f>_xll.LVCELL($EX$3,FI$3,$DP117,$DQ$2,$DP$4,$DP$5,$DP$6,$DP$7,$DP$8,$DQ$3)</f>
        <v>0</v>
      </c>
      <c r="FJ117" s="276">
        <f>_xll.LVCELL($EX$3,FJ$3,$DP117,$DQ$2,$DP$4,$DP$5,$DP$6,$DP$7,$DP$8,$DQ$3)</f>
        <v>18000</v>
      </c>
      <c r="FK117" s="276">
        <f>_xll.LVCELL($EX$3,FK$3,$DP117,$DQ$2,$DP$4,$DP$5,$DP$6,$DP$7,$DP$8,$DQ$3)</f>
        <v>18000</v>
      </c>
      <c r="FN117" s="102" t="str">
        <f t="shared" si="161"/>
        <v>E6760</v>
      </c>
      <c r="FO117" s="102" t="str">
        <f t="shared" si="181"/>
        <v>E6760</v>
      </c>
      <c r="FP117" s="359" t="str">
        <f>D117</f>
        <v>Repowering Bougainville</v>
      </c>
      <c r="FQ117" s="505">
        <f>_xll.LVCELL($FO$3,FQ$3,$DP117,$DQ$2,$DP$4,$DP$5,$DP$6,$DP$7,$DP$8,$DQ$3)</f>
        <v>0</v>
      </c>
      <c r="FR117" s="505">
        <f>_xll.LVCELL($FO$3,FR$3,$DP117,$DQ$2,$DP$4,$DP$5,$DP$6,$DP$7,$DP$8,$DQ$3)</f>
        <v>0</v>
      </c>
      <c r="FS117" s="505">
        <f>_xll.LVCELL($FO$3,FS$3,$DP117,$DQ$2,$DP$4,$DP$5,$DP$6,$DP$7,$DP$8,$DQ$3)</f>
        <v>0</v>
      </c>
      <c r="FT117" s="505">
        <f>_xll.LVCELL($FO$3,FT$3,$DP117,$DQ$2,$DP$4,$DP$5,$DP$6,$DP$7,$DP$8,$DQ$3)</f>
        <v>0</v>
      </c>
      <c r="FU117" s="505">
        <f>_xll.LVCELL($FO$3,FU$3,$DP117,$DQ$2,$DP$4,$DP$5,$DP$6,$DP$7,$DP$8,$DQ$3)</f>
        <v>0</v>
      </c>
      <c r="FV117" s="505">
        <f>_xll.LVCELL($FO$3,FV$3,$DP117,$DQ$2,$DP$4,$DP$5,$DP$6,$DP$7,$DP$8,$DQ$3)</f>
        <v>0</v>
      </c>
      <c r="FW117" s="505">
        <f>_xll.LVCELL($FO$3,FW$3,$DP117,$DQ$2,$DP$4,$DP$5,$DP$6,$DP$7,$DP$8,$DQ$3)</f>
        <v>0</v>
      </c>
      <c r="FX117" s="505">
        <f>_xll.LVCELL($FO$3,FX$3,$DP117,$DQ$2,$DP$4,$DP$5,$DP$6,$DP$7,$DP$8,$DQ$3)</f>
        <v>0</v>
      </c>
      <c r="FY117" s="505">
        <f>_xll.LVCELL($FO$3,FY$3,$DP117,$DQ$2,$DP$4,$DP$5,$DP$6,$DP$7,$DP$8,$DQ$3)</f>
        <v>0</v>
      </c>
      <c r="FZ117" s="505">
        <f>_xll.LVCELL($FO$3,FZ$3,$DP117,$DQ$2,$DP$4,$DP$5,$DP$6,$DP$7,$DP$8,$DQ$3)</f>
        <v>0</v>
      </c>
      <c r="GA117" s="276">
        <f>_xll.LVCELL($FO$3,GA$3,$DP117,$DQ$2,$DP$4,$DP$5,$DP$6,$DP$7,$DP$8,$DQ$3)</f>
        <v>6</v>
      </c>
      <c r="GB117" s="276">
        <f>_xll.LVCELL($FO$3,GB$3,$DP117,$DQ$2,$DP$4,$DP$5,$DP$6,$DP$7,$DP$8,$DQ$3)</f>
        <v>6</v>
      </c>
    </row>
    <row r="118" spans="2:184" ht="13.5" outlineLevel="1" thickBot="1">
      <c r="D118" s="359">
        <v>0</v>
      </c>
      <c r="E118" s="357"/>
      <c r="F118" s="425"/>
      <c r="G118" s="405"/>
      <c r="H118" s="405"/>
      <c r="I118" s="405"/>
      <c r="J118" s="405"/>
      <c r="K118" s="405"/>
      <c r="L118" s="405"/>
      <c r="M118" s="405"/>
      <c r="N118" s="405"/>
      <c r="O118" s="405"/>
      <c r="P118" s="405"/>
      <c r="Q118" s="426"/>
      <c r="R118" s="67">
        <f t="shared" si="152"/>
        <v>0</v>
      </c>
      <c r="W118" s="113">
        <f t="shared" si="153"/>
        <v>0</v>
      </c>
      <c r="X118" s="359">
        <f t="shared" si="154"/>
        <v>0</v>
      </c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411"/>
      <c r="AI118" s="411"/>
      <c r="AJ118" s="553"/>
      <c r="AK118" s="414"/>
      <c r="AL118" s="134">
        <f t="shared" si="155"/>
        <v>2.3E-2</v>
      </c>
      <c r="AM118" s="134"/>
      <c r="AN118" s="134"/>
      <c r="AO118" s="134"/>
      <c r="AP118" s="113">
        <f t="shared" si="132"/>
        <v>0</v>
      </c>
      <c r="AQ118" s="408">
        <f t="shared" si="133"/>
        <v>0</v>
      </c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407"/>
      <c r="BD118" s="414"/>
      <c r="BE118" s="134"/>
      <c r="BF118" s="134"/>
      <c r="BG118" s="134"/>
      <c r="BH118" s="134"/>
      <c r="BI118" s="113">
        <f t="shared" si="134"/>
        <v>0</v>
      </c>
      <c r="BJ118" s="408">
        <f t="shared" si="135"/>
        <v>0</v>
      </c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299"/>
      <c r="BV118" s="407"/>
      <c r="BW118" s="414"/>
      <c r="BX118" s="134"/>
      <c r="BY118" s="134"/>
      <c r="BZ118" s="134"/>
      <c r="CA118" s="134"/>
      <c r="CB118" s="113">
        <f t="shared" si="156"/>
        <v>0</v>
      </c>
      <c r="CC118" s="408">
        <f t="shared" si="157"/>
        <v>0</v>
      </c>
      <c r="CD118" s="299">
        <f t="shared" si="136"/>
        <v>0</v>
      </c>
      <c r="CE118" s="299">
        <f t="shared" si="101"/>
        <v>0</v>
      </c>
      <c r="CF118" s="299">
        <f t="shared" si="102"/>
        <v>0</v>
      </c>
      <c r="CG118" s="299">
        <f t="shared" si="103"/>
        <v>0</v>
      </c>
      <c r="CH118" s="299">
        <f t="shared" si="104"/>
        <v>0</v>
      </c>
      <c r="CI118" s="299">
        <f t="shared" si="105"/>
        <v>0</v>
      </c>
      <c r="CJ118" s="299">
        <f t="shared" si="106"/>
        <v>0</v>
      </c>
      <c r="CK118" s="299">
        <f t="shared" si="107"/>
        <v>0</v>
      </c>
      <c r="CL118" s="299">
        <f t="shared" si="108"/>
        <v>0</v>
      </c>
      <c r="CM118" s="299">
        <f t="shared" si="109"/>
        <v>0</v>
      </c>
      <c r="CN118" s="299">
        <f t="shared" si="110"/>
        <v>0</v>
      </c>
      <c r="CO118" s="407">
        <f t="shared" si="111"/>
        <v>0</v>
      </c>
      <c r="CP118" s="414"/>
      <c r="CQ118" s="134">
        <f>$AL$9</f>
        <v>2.3E-2</v>
      </c>
      <c r="CU118" s="113">
        <f t="shared" si="158"/>
        <v>0</v>
      </c>
      <c r="CV118" s="408">
        <f t="shared" si="159"/>
        <v>0</v>
      </c>
      <c r="CW118" s="404"/>
      <c r="CX118" s="405"/>
      <c r="CY118" s="405"/>
      <c r="CZ118" s="405"/>
      <c r="DA118" s="405"/>
      <c r="DB118" s="405"/>
      <c r="DC118" s="405"/>
      <c r="DD118" s="405"/>
      <c r="DE118" s="405"/>
      <c r="DF118" s="405"/>
      <c r="DG118" s="405"/>
      <c r="DH118" s="406"/>
      <c r="DI118" s="67">
        <f t="shared" si="160"/>
        <v>0</v>
      </c>
      <c r="DM118" s="80"/>
      <c r="DQ118" s="359">
        <v>0</v>
      </c>
      <c r="DR118" s="396"/>
      <c r="DS118" s="397"/>
      <c r="DT118" s="397"/>
      <c r="DU118" s="397"/>
      <c r="DV118" s="397"/>
      <c r="DW118" s="397"/>
      <c r="DX118" s="397"/>
      <c r="DY118" s="397"/>
      <c r="DZ118" s="397"/>
      <c r="EA118" s="397"/>
      <c r="EB118" s="397"/>
      <c r="EC118" s="401"/>
      <c r="EH118" s="359">
        <v>0</v>
      </c>
      <c r="EI118" s="396"/>
      <c r="EJ118" s="397"/>
      <c r="EK118" s="403"/>
      <c r="EL118" s="394"/>
      <c r="EM118" s="395"/>
      <c r="EN118" s="394"/>
      <c r="EO118" s="395"/>
      <c r="EP118" s="394"/>
      <c r="EQ118" s="395"/>
      <c r="ER118" s="394"/>
      <c r="ES118" s="395"/>
      <c r="ET118" s="394"/>
      <c r="EY118" s="359">
        <v>0</v>
      </c>
      <c r="EZ118" s="364"/>
      <c r="FA118" s="364"/>
      <c r="FB118" s="364"/>
      <c r="FC118" s="364"/>
      <c r="FD118" s="364"/>
      <c r="FE118" s="364"/>
      <c r="FF118" s="364"/>
      <c r="FG118" s="364"/>
      <c r="FH118" s="364"/>
      <c r="FI118" s="364"/>
      <c r="FJ118" s="364"/>
      <c r="FK118" s="364"/>
      <c r="FP118" s="359">
        <v>0</v>
      </c>
      <c r="FQ118" s="364"/>
      <c r="FR118" s="364"/>
      <c r="FS118" s="364"/>
      <c r="FT118" s="364"/>
      <c r="FU118" s="364"/>
      <c r="FV118" s="364"/>
      <c r="FW118" s="364"/>
      <c r="FX118" s="364"/>
      <c r="FY118" s="364"/>
      <c r="FZ118" s="364"/>
      <c r="GA118" s="364"/>
      <c r="GB118" s="364"/>
    </row>
    <row r="119" spans="2:184" ht="13.5" thickBot="1">
      <c r="D119" s="90" t="s">
        <v>571</v>
      </c>
      <c r="E119" s="409">
        <f>+SUM(E12:E117)</f>
        <v>1154.01</v>
      </c>
      <c r="F119" s="91">
        <f t="shared" ref="F119:Q119" si="195">SUM(F12:F118)</f>
        <v>274945342.31903833</v>
      </c>
      <c r="G119" s="91">
        <f t="shared" si="195"/>
        <v>229910951.28852654</v>
      </c>
      <c r="H119" s="91">
        <f t="shared" si="195"/>
        <v>227160668.03649023</v>
      </c>
      <c r="I119" s="91">
        <f t="shared" si="195"/>
        <v>186063355.64293161</v>
      </c>
      <c r="J119" s="91">
        <f t="shared" si="195"/>
        <v>169485393.34958881</v>
      </c>
      <c r="K119" s="91">
        <f t="shared" si="195"/>
        <v>140749194.41638529</v>
      </c>
      <c r="L119" s="91">
        <f t="shared" si="195"/>
        <v>140215525.41498074</v>
      </c>
      <c r="M119" s="91">
        <f t="shared" si="195"/>
        <v>135868034.28704709</v>
      </c>
      <c r="N119" s="91">
        <f t="shared" si="195"/>
        <v>165771509.95361325</v>
      </c>
      <c r="O119" s="91">
        <f t="shared" si="195"/>
        <v>226063405.31717324</v>
      </c>
      <c r="P119" s="91">
        <f t="shared" si="195"/>
        <v>244696367.73426673</v>
      </c>
      <c r="Q119" s="186">
        <f t="shared" si="195"/>
        <v>286123403.81377172</v>
      </c>
      <c r="R119" s="92">
        <f t="shared" si="152"/>
        <v>2427053151.5738134</v>
      </c>
      <c r="S119" s="740">
        <f>R119-'Prod B22'!T108</f>
        <v>0</v>
      </c>
      <c r="T119" s="740" t="s">
        <v>3537</v>
      </c>
      <c r="U119" s="341"/>
      <c r="W119" s="113"/>
      <c r="X119" s="90" t="s">
        <v>572</v>
      </c>
      <c r="Y119" s="91">
        <f t="shared" ref="Y119:AJ119" si="196">SUM(Y12:Y118)</f>
        <v>8199.7455389999959</v>
      </c>
      <c r="Z119" s="91">
        <f t="shared" si="196"/>
        <v>8215.6537809999954</v>
      </c>
      <c r="AA119" s="91">
        <f t="shared" si="196"/>
        <v>8215.8091441477682</v>
      </c>
      <c r="AB119" s="91">
        <f t="shared" si="196"/>
        <v>8315.5086985828711</v>
      </c>
      <c r="AC119" s="91">
        <f t="shared" si="196"/>
        <v>8300.8852529846354</v>
      </c>
      <c r="AD119" s="91">
        <f t="shared" si="196"/>
        <v>8399.6135636955205</v>
      </c>
      <c r="AE119" s="91">
        <f t="shared" si="196"/>
        <v>8349.9976200496785</v>
      </c>
      <c r="AF119" s="91">
        <f t="shared" si="196"/>
        <v>8270.0899850700716</v>
      </c>
      <c r="AG119" s="91">
        <f t="shared" si="196"/>
        <v>8261.4300198718611</v>
      </c>
      <c r="AH119" s="91">
        <f t="shared" si="196"/>
        <v>8261.4300198718611</v>
      </c>
      <c r="AI119" s="91">
        <f t="shared" si="196"/>
        <v>8396.0054809559424</v>
      </c>
      <c r="AJ119" s="186">
        <f t="shared" si="196"/>
        <v>8398.188930955941</v>
      </c>
      <c r="AK119" s="92"/>
      <c r="AP119" s="113"/>
      <c r="AQ119" s="90" t="s">
        <v>572</v>
      </c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3"/>
      <c r="BD119" s="92"/>
      <c r="BI119" s="113"/>
      <c r="BJ119" s="90" t="s">
        <v>572</v>
      </c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3"/>
      <c r="BW119" s="92"/>
      <c r="CB119" s="113">
        <f t="shared" si="156"/>
        <v>0</v>
      </c>
      <c r="CC119" s="90" t="s">
        <v>572</v>
      </c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3"/>
      <c r="CP119" s="92"/>
      <c r="CU119" s="113"/>
      <c r="CV119" s="90" t="s">
        <v>572</v>
      </c>
      <c r="CW119" s="91">
        <f t="shared" ref="CW119:DH119" si="197">SUM(CW12:CW118)</f>
        <v>23832345.035582352</v>
      </c>
      <c r="CX119" s="91">
        <f t="shared" si="197"/>
        <v>19995205.427189313</v>
      </c>
      <c r="CY119" s="91">
        <f t="shared" si="197"/>
        <v>19734143.484347455</v>
      </c>
      <c r="CZ119" s="91">
        <f t="shared" si="197"/>
        <v>16120017.825240625</v>
      </c>
      <c r="DA119" s="91">
        <f t="shared" si="197"/>
        <v>14719804.044675773</v>
      </c>
      <c r="DB119" s="91">
        <f t="shared" si="197"/>
        <v>12176707.254836826</v>
      </c>
      <c r="DC119" s="91">
        <f t="shared" si="197"/>
        <v>12012914.952739593</v>
      </c>
      <c r="DD119" s="91">
        <f t="shared" si="197"/>
        <v>11616037.611263979</v>
      </c>
      <c r="DE119" s="91">
        <f t="shared" si="197"/>
        <v>14175166.706881437</v>
      </c>
      <c r="DF119" s="91">
        <f t="shared" si="197"/>
        <v>19281548.745082311</v>
      </c>
      <c r="DG119" s="91">
        <f t="shared" si="197"/>
        <v>21024593.511077072</v>
      </c>
      <c r="DH119" s="91">
        <f t="shared" si="197"/>
        <v>24530345.183449939</v>
      </c>
      <c r="DI119" s="92">
        <f t="shared" si="160"/>
        <v>209218829.78236669</v>
      </c>
      <c r="DJ119" s="159">
        <f>+SUM(DJ12:DJ118)</f>
        <v>209218474.24714839</v>
      </c>
      <c r="DK119" s="82">
        <f t="shared" si="137"/>
        <v>355.53521829843521</v>
      </c>
      <c r="DL119" s="160">
        <f>DK119/DJ119</f>
        <v>1.6993490635938956E-6</v>
      </c>
      <c r="DM119" s="518">
        <f t="shared" ref="DM119" si="198">+DI119/R119*1000</f>
        <v>86.202821576733712</v>
      </c>
      <c r="DQ119" s="90" t="s">
        <v>571</v>
      </c>
      <c r="DR119" s="119">
        <f t="shared" ref="DR119:EC119" si="199">SUM(DR12:DR118)</f>
        <v>94.089999999999918</v>
      </c>
      <c r="DS119" s="119">
        <f t="shared" si="199"/>
        <v>93.119999999999919</v>
      </c>
      <c r="DT119" s="119">
        <f t="shared" si="199"/>
        <v>93.119999999999919</v>
      </c>
      <c r="DU119" s="119">
        <f t="shared" si="199"/>
        <v>93.119999999999919</v>
      </c>
      <c r="DV119" s="119">
        <f t="shared" si="199"/>
        <v>92.14999999999992</v>
      </c>
      <c r="DW119" s="119">
        <f t="shared" si="199"/>
        <v>93.119999999999919</v>
      </c>
      <c r="DX119" s="119">
        <f t="shared" si="199"/>
        <v>93.119999999999919</v>
      </c>
      <c r="DY119" s="119">
        <f t="shared" si="199"/>
        <v>94.089999999999918</v>
      </c>
      <c r="DZ119" s="119">
        <f t="shared" si="199"/>
        <v>94.089999999999918</v>
      </c>
      <c r="EA119" s="119">
        <f t="shared" si="199"/>
        <v>94.089999999999918</v>
      </c>
      <c r="EB119" s="119">
        <f t="shared" si="199"/>
        <v>95.059999999999917</v>
      </c>
      <c r="EC119" s="120">
        <f t="shared" si="199"/>
        <v>95.059999999999917</v>
      </c>
      <c r="EH119" s="90" t="s">
        <v>571</v>
      </c>
      <c r="EI119" s="119" t="e">
        <f t="shared" ref="EI119:ET119" ca="1" si="200">SUM(EI12:EI118)</f>
        <v>#NAME?</v>
      </c>
      <c r="EJ119" s="119" t="e">
        <f t="shared" ca="1" si="200"/>
        <v>#NAME?</v>
      </c>
      <c r="EK119" s="328" t="e">
        <f t="shared" ca="1" si="200"/>
        <v>#NAME?</v>
      </c>
      <c r="EL119" s="120" t="e">
        <f t="shared" ca="1" si="200"/>
        <v>#NAME?</v>
      </c>
      <c r="EM119" s="331" t="e">
        <f t="shared" ca="1" si="200"/>
        <v>#NAME?</v>
      </c>
      <c r="EN119" s="120" t="e">
        <f t="shared" ca="1" si="200"/>
        <v>#NAME?</v>
      </c>
      <c r="EO119" s="331" t="e">
        <f t="shared" ca="1" si="200"/>
        <v>#NAME?</v>
      </c>
      <c r="EP119" s="120" t="e">
        <f t="shared" ca="1" si="200"/>
        <v>#NAME?</v>
      </c>
      <c r="EQ119" s="331" t="e">
        <f t="shared" ca="1" si="200"/>
        <v>#NAME?</v>
      </c>
      <c r="ER119" s="120" t="e">
        <f t="shared" ca="1" si="200"/>
        <v>#NAME?</v>
      </c>
      <c r="ES119" s="331" t="e">
        <f t="shared" ca="1" si="200"/>
        <v>#NAME?</v>
      </c>
      <c r="ET119" s="120" t="e">
        <f t="shared" ca="1" si="200"/>
        <v>#NAME?</v>
      </c>
      <c r="EY119" s="90" t="s">
        <v>571</v>
      </c>
      <c r="EZ119" s="91">
        <f t="shared" ref="EZ119:FK119" si="201">SUM(EZ12:EZ118)</f>
        <v>1068410</v>
      </c>
      <c r="FA119" s="91">
        <f t="shared" si="201"/>
        <v>1056410</v>
      </c>
      <c r="FB119" s="91">
        <f t="shared" si="201"/>
        <v>1056410</v>
      </c>
      <c r="FC119" s="91">
        <f t="shared" si="201"/>
        <v>1056410</v>
      </c>
      <c r="FD119" s="91">
        <f t="shared" si="201"/>
        <v>1044410</v>
      </c>
      <c r="FE119" s="91">
        <f t="shared" si="201"/>
        <v>1069610</v>
      </c>
      <c r="FF119" s="91">
        <f t="shared" si="201"/>
        <v>1075610</v>
      </c>
      <c r="FG119" s="91">
        <f t="shared" si="201"/>
        <v>1093610</v>
      </c>
      <c r="FH119" s="91">
        <f t="shared" si="201"/>
        <v>1093610</v>
      </c>
      <c r="FI119" s="91">
        <f t="shared" si="201"/>
        <v>1093610</v>
      </c>
      <c r="FJ119" s="91">
        <f t="shared" si="201"/>
        <v>1111610</v>
      </c>
      <c r="FK119" s="186">
        <f t="shared" si="201"/>
        <v>1111610</v>
      </c>
      <c r="FP119" s="90" t="s">
        <v>571</v>
      </c>
      <c r="FQ119" s="91">
        <f t="shared" ref="FQ119:GB119" si="202">SUM(FQ12:FQ118)</f>
        <v>456</v>
      </c>
      <c r="FR119" s="91">
        <f t="shared" si="202"/>
        <v>450</v>
      </c>
      <c r="FS119" s="91">
        <f t="shared" si="202"/>
        <v>450</v>
      </c>
      <c r="FT119" s="91">
        <f t="shared" si="202"/>
        <v>450</v>
      </c>
      <c r="FU119" s="91">
        <f t="shared" si="202"/>
        <v>444</v>
      </c>
      <c r="FV119" s="91">
        <f t="shared" si="202"/>
        <v>451</v>
      </c>
      <c r="FW119" s="91">
        <f t="shared" si="202"/>
        <v>451</v>
      </c>
      <c r="FX119" s="91">
        <f t="shared" si="202"/>
        <v>457</v>
      </c>
      <c r="FY119" s="91">
        <f t="shared" si="202"/>
        <v>457</v>
      </c>
      <c r="FZ119" s="91">
        <f t="shared" si="202"/>
        <v>457</v>
      </c>
      <c r="GA119" s="91">
        <f t="shared" si="202"/>
        <v>463</v>
      </c>
      <c r="GB119" s="186">
        <f t="shared" si="202"/>
        <v>463</v>
      </c>
    </row>
    <row r="120" spans="2:184" ht="13.5" thickBot="1">
      <c r="D120" s="90"/>
      <c r="E120" s="94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121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DJ120" s="82">
        <f>DJ119-DI119</f>
        <v>-355.53521829843521</v>
      </c>
      <c r="DQ120" s="90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H120" s="90"/>
      <c r="EI120" s="91"/>
      <c r="EJ120" s="91"/>
      <c r="EK120" s="329"/>
      <c r="EL120" s="186"/>
      <c r="EM120" s="332"/>
      <c r="EN120" s="186"/>
      <c r="EO120" s="332"/>
      <c r="EP120" s="186"/>
      <c r="EQ120" s="332"/>
      <c r="ER120" s="186"/>
      <c r="ES120" s="332"/>
      <c r="ET120" s="186"/>
      <c r="EY120" s="90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P120" s="90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</row>
    <row r="121" spans="2:184">
      <c r="R121" s="122" t="s">
        <v>836</v>
      </c>
      <c r="S121" s="123"/>
      <c r="X121" s="64" t="s">
        <v>3294</v>
      </c>
      <c r="Y121" s="286">
        <v>1.4681670013485271</v>
      </c>
      <c r="Z121" s="286">
        <v>1.4751410993893486</v>
      </c>
      <c r="AA121" s="286">
        <v>0.61917929753473289</v>
      </c>
      <c r="AB121" s="286">
        <v>0.63100502732337826</v>
      </c>
      <c r="AC121" s="286">
        <v>0.98306855761070222</v>
      </c>
      <c r="AD121" s="286">
        <v>0.89565045642772489</v>
      </c>
      <c r="AE121" s="286">
        <v>0.43550637524506625</v>
      </c>
      <c r="AF121" s="286">
        <v>1.427497137473579</v>
      </c>
      <c r="AG121" s="286">
        <v>0.58340988612809108</v>
      </c>
      <c r="AH121" s="286">
        <v>0.85909640208241678</v>
      </c>
      <c r="AI121" s="286">
        <v>0.83563058716942062</v>
      </c>
      <c r="AJ121" s="286">
        <v>1.5000118661473394</v>
      </c>
      <c r="AQ121" s="63"/>
      <c r="AR121" s="560"/>
      <c r="AS121" s="560"/>
      <c r="AT121" s="560"/>
      <c r="AU121" s="560"/>
      <c r="AV121" s="560"/>
      <c r="AW121" s="560"/>
      <c r="AX121" s="560"/>
      <c r="AY121" s="560"/>
      <c r="AZ121" s="560"/>
      <c r="BA121" s="560"/>
      <c r="BB121" s="560"/>
      <c r="BC121" s="560"/>
      <c r="BD121" s="63"/>
      <c r="BJ121" s="63"/>
      <c r="BK121" s="560"/>
      <c r="BL121" s="560"/>
      <c r="BM121" s="560"/>
      <c r="BN121" s="560"/>
      <c r="BO121" s="560"/>
      <c r="BP121" s="560"/>
      <c r="BQ121" s="560"/>
      <c r="BR121" s="560"/>
      <c r="BS121" s="560"/>
      <c r="BT121" s="560"/>
      <c r="BU121" s="560"/>
      <c r="BV121" s="560"/>
      <c r="BW121" s="63"/>
      <c r="CC121" s="64" t="s">
        <v>3152</v>
      </c>
      <c r="CD121" s="159">
        <f t="shared" ref="CD121:CO121" si="203">+$CP$121*Y121</f>
        <v>46.878572353058466</v>
      </c>
      <c r="CE121" s="159">
        <f t="shared" si="203"/>
        <v>47.101255303501901</v>
      </c>
      <c r="CF121" s="159">
        <f t="shared" si="203"/>
        <v>19.77039497028402</v>
      </c>
      <c r="CG121" s="159">
        <f t="shared" si="203"/>
        <v>20.147990522435467</v>
      </c>
      <c r="CH121" s="159">
        <f t="shared" si="203"/>
        <v>31.38937904450972</v>
      </c>
      <c r="CI121" s="159">
        <f t="shared" si="203"/>
        <v>28.598119073737255</v>
      </c>
      <c r="CJ121" s="159">
        <f t="shared" si="203"/>
        <v>13.905718561574965</v>
      </c>
      <c r="CK121" s="159">
        <f t="shared" si="203"/>
        <v>45.579983599531374</v>
      </c>
      <c r="CL121" s="159">
        <f t="shared" si="203"/>
        <v>18.628277664069948</v>
      </c>
      <c r="CM121" s="159">
        <f t="shared" si="203"/>
        <v>27.430948118491568</v>
      </c>
      <c r="CN121" s="159">
        <f t="shared" si="203"/>
        <v>26.6816846483196</v>
      </c>
      <c r="CO121" s="159">
        <f t="shared" si="203"/>
        <v>47.895378886084544</v>
      </c>
      <c r="CP121" s="290">
        <v>31.93</v>
      </c>
      <c r="DH121" s="64" t="s">
        <v>2569</v>
      </c>
      <c r="DI121" s="81">
        <f>+DI119-DI122-DI124</f>
        <v>203509649.77644145</v>
      </c>
      <c r="DJ121" s="81"/>
    </row>
    <row r="122" spans="2:184">
      <c r="C122" s="64" t="s">
        <v>512</v>
      </c>
      <c r="D122" s="95" t="s">
        <v>3453</v>
      </c>
      <c r="E122" s="156"/>
      <c r="F122" s="96">
        <f>_xll.LVCELL($D$1,F$3,$C$2,$D$2,$C$4,$C$5,$C$6,$C$7,$C$8,$D$3)</f>
        <v>272424999</v>
      </c>
      <c r="G122" s="96">
        <f>_xll.LVCELL($D$1,G$3,$C$2,$D$2,$C$4,$C$5,$C$6,$C$7,$C$8,$D$3)</f>
        <v>226545833</v>
      </c>
      <c r="H122" s="96">
        <f>_xll.LVCELL($D$1,H$3,$C$2,$D$2,$C$4,$C$5,$C$6,$C$7,$C$8,$D$3)</f>
        <v>221769588</v>
      </c>
      <c r="I122" s="96">
        <f>_xll.LVCELL($D$1,I$3,$C$2,$D$2,$C$4,$C$5,$C$6,$C$7,$C$8,$D$3)</f>
        <v>180235695</v>
      </c>
      <c r="J122" s="96">
        <f>_xll.LVCELL($D$1,J$3,$C$2,$D$2,$C$4,$C$5,$C$6,$C$7,$C$8,$D$3)</f>
        <v>162777188</v>
      </c>
      <c r="K122" s="96">
        <f>_xll.LVCELL($D$1,K$3,$C$2,$D$2,$C$4,$C$5,$C$6,$C$7,$C$8,$D$3)</f>
        <v>133512205</v>
      </c>
      <c r="L122" s="96">
        <f>_xll.LVCELL($D$1,L$3,$C$2,$D$2,$C$4,$C$5,$C$6,$C$7,$C$8,$D$3)</f>
        <v>132422731</v>
      </c>
      <c r="M122" s="96">
        <f>_xll.LVCELL($D$1,M$3,$C$2,$D$2,$C$4,$C$5,$C$6,$C$7,$C$8,$D$3)</f>
        <v>128813313</v>
      </c>
      <c r="N122" s="96">
        <f>_xll.LVCELL($D$1,N$3,$C$2,$D$2,$C$4,$C$5,$C$6,$C$7,$C$8,$D$3)</f>
        <v>160342415</v>
      </c>
      <c r="O122" s="96">
        <f>_xll.LVCELL($D$1,O$3,$C$2,$D$2,$C$4,$C$5,$C$6,$C$7,$C$8,$D$3)</f>
        <v>222024010</v>
      </c>
      <c r="P122" s="96">
        <f>_xll.LVCELL($D$1,P$3,$C$2,$D$2,$C$4,$C$5,$C$6,$C$7,$C$8,$D$3)</f>
        <v>242105488</v>
      </c>
      <c r="Q122" s="96">
        <f>_xll.LVCELL($D$1,Q$3,$C$2,$D$2,$C$4,$C$5,$C$6,$C$7,$C$8,$D$3)</f>
        <v>283855205</v>
      </c>
      <c r="R122" s="124">
        <f>+R119-R124-R126</f>
        <v>2366828674.7738132</v>
      </c>
      <c r="S122" s="125"/>
      <c r="T122" s="82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DH122" s="64" t="s">
        <v>2570</v>
      </c>
      <c r="DI122" s="81">
        <f>DI102+DI103+DI110+DI109</f>
        <v>5709180.0059252512</v>
      </c>
      <c r="DJ122" s="81"/>
      <c r="DK122" s="81"/>
      <c r="DM122" s="82"/>
      <c r="DQ122" s="95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H122" s="95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X122" s="64" t="s">
        <v>512</v>
      </c>
      <c r="EY122" s="95" t="str">
        <f>D122</f>
        <v>Budget 2022 Eolien MTD</v>
      </c>
      <c r="EZ122" s="96">
        <f>_xll.LVCELL($EX$3,EZ$3,$EX122,$DQ$2,$DP$4,$DP$5,$DP$6,$DP$7,$DP$8,$DQ$3)</f>
        <v>1035250</v>
      </c>
      <c r="FA122" s="96">
        <f>_xll.LVCELL($EX$3,FA$3,$EX122,$DQ$2,$DP$4,$DP$5,$DP$6,$DP$7,$DP$8,$DQ$3)</f>
        <v>1023250</v>
      </c>
      <c r="FB122" s="96">
        <f>_xll.LVCELL($EX$3,FB$3,$EX122,$DQ$2,$DP$4,$DP$5,$DP$6,$DP$7,$DP$8,$DQ$3)</f>
        <v>1023250</v>
      </c>
      <c r="FC122" s="96">
        <f>_xll.LVCELL($EX$3,FC$3,$EX122,$DQ$2,$DP$4,$DP$5,$DP$6,$DP$7,$DP$8,$DQ$3)</f>
        <v>1023250</v>
      </c>
      <c r="FD122" s="96">
        <f>_xll.LVCELL($EX$3,FD$3,$EX122,$DQ$2,$DP$4,$DP$5,$DP$6,$DP$7,$DP$8,$DQ$3)</f>
        <v>1011250</v>
      </c>
      <c r="FE122" s="96">
        <f>_xll.LVCELL($EX$3,FE$3,$EX122,$DQ$2,$DP$4,$DP$5,$DP$6,$DP$7,$DP$8,$DQ$3)</f>
        <v>1036450</v>
      </c>
      <c r="FF122" s="96">
        <f>_xll.LVCELL($EX$3,FF$3,$EX122,$DQ$2,$DP$4,$DP$5,$DP$6,$DP$7,$DP$8,$DQ$3)</f>
        <v>1042450</v>
      </c>
      <c r="FG122" s="96">
        <f>_xll.LVCELL($EX$3,FG$3,$EX122,$DQ$2,$DP$4,$DP$5,$DP$6,$DP$7,$DP$8,$DQ$3)</f>
        <v>1060450</v>
      </c>
      <c r="FH122" s="96">
        <f>_xll.LVCELL($EX$3,FH$3,$EX122,$DQ$2,$DP$4,$DP$5,$DP$6,$DP$7,$DP$8,$DQ$3)</f>
        <v>1060450</v>
      </c>
      <c r="FI122" s="96">
        <f>_xll.LVCELL($EX$3,FI$3,$EX122,$DQ$2,$DP$4,$DP$5,$DP$6,$DP$7,$DP$8,$DQ$3)</f>
        <v>1060450</v>
      </c>
      <c r="FJ122" s="96">
        <f>_xll.LVCELL($EX$3,FJ$3,$EX122,$DQ$2,$DP$4,$DP$5,$DP$6,$DP$7,$DP$8,$DQ$3)</f>
        <v>1078450</v>
      </c>
      <c r="FK122" s="96">
        <f>_xll.LVCELL($EX$3,FK$3,$EX122,$DQ$2,$DP$4,$DP$5,$DP$6,$DP$7,$DP$8,$DQ$3)</f>
        <v>1078450</v>
      </c>
      <c r="FL122" s="81"/>
      <c r="FO122" s="64" t="s">
        <v>512</v>
      </c>
      <c r="FP122" s="95" t="str">
        <f>EY122</f>
        <v>Budget 2022 Eolien MTD</v>
      </c>
      <c r="FQ122" s="96">
        <f>_xll.LVCELL($FO$3,FQ$3,$EX122,$DQ$2,$DP$4,$DP$5,$DP$6,$DP$7,$DP$8,$DQ$3)</f>
        <v>456</v>
      </c>
      <c r="FR122" s="96">
        <f>_xll.LVCELL($FO$3,FR$3,$EX122,$DQ$2,$DP$4,$DP$5,$DP$6,$DP$7,$DP$8,$DQ$3)</f>
        <v>450</v>
      </c>
      <c r="FS122" s="96">
        <f>_xll.LVCELL($FO$3,FS$3,$EX122,$DQ$2,$DP$4,$DP$5,$DP$6,$DP$7,$DP$8,$DQ$3)</f>
        <v>450</v>
      </c>
      <c r="FT122" s="96">
        <f>_xll.LVCELL($FO$3,FT$3,$EX122,$DQ$2,$DP$4,$DP$5,$DP$6,$DP$7,$DP$8,$DQ$3)</f>
        <v>450</v>
      </c>
      <c r="FU122" s="96">
        <f>_xll.LVCELL($FO$3,FU$3,$EX122,$DQ$2,$DP$4,$DP$5,$DP$6,$DP$7,$DP$8,$DQ$3)</f>
        <v>444</v>
      </c>
      <c r="FV122" s="96">
        <f>_xll.LVCELL($FO$3,FV$3,$EX122,$DQ$2,$DP$4,$DP$5,$DP$6,$DP$7,$DP$8,$DQ$3)</f>
        <v>451</v>
      </c>
      <c r="FW122" s="96">
        <f>_xll.LVCELL($FO$3,FW$3,$EX122,$DQ$2,$DP$4,$DP$5,$DP$6,$DP$7,$DP$8,$DQ$3)</f>
        <v>451</v>
      </c>
      <c r="FX122" s="96">
        <f>_xll.LVCELL($FO$3,FX$3,$EX122,$DQ$2,$DP$4,$DP$5,$DP$6,$DP$7,$DP$8,$DQ$3)</f>
        <v>457</v>
      </c>
      <c r="FY122" s="96">
        <f>_xll.LVCELL($FO$3,FY$3,$EX122,$DQ$2,$DP$4,$DP$5,$DP$6,$DP$7,$DP$8,$DQ$3)</f>
        <v>457</v>
      </c>
      <c r="FZ122" s="96">
        <f>_xll.LVCELL($FO$3,FZ$3,$EX122,$DQ$2,$DP$4,$DP$5,$DP$6,$DP$7,$DP$8,$DQ$3)</f>
        <v>457</v>
      </c>
      <c r="GA122" s="96">
        <f>_xll.LVCELL($FO$3,GA$3,$EX122,$DQ$2,$DP$4,$DP$5,$DP$6,$DP$7,$DP$8,$DQ$3)</f>
        <v>463</v>
      </c>
      <c r="GB122" s="96">
        <f>_xll.LVCELL($FO$3,GB$3,$EX122,$DQ$2,$DP$4,$DP$5,$DP$6,$DP$7,$DP$8,$DQ$3)</f>
        <v>463</v>
      </c>
    </row>
    <row r="123" spans="2:184">
      <c r="D123" s="95"/>
      <c r="E123" s="15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124"/>
      <c r="S123" s="125"/>
      <c r="T123" s="82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DI123" s="81"/>
      <c r="DJ123" s="81"/>
      <c r="DK123" s="81"/>
      <c r="DM123" s="82"/>
      <c r="DQ123" s="95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H123" s="95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Y123" s="590" t="s">
        <v>3452</v>
      </c>
      <c r="EZ123" s="96">
        <f>EZ122-EZ119+EZ102+EZ103+EZ109+EZ110</f>
        <v>0</v>
      </c>
      <c r="FA123" s="96">
        <f t="shared" ref="FA123:FK123" si="204">FA122-FA119+FA102+FA103+FA109+FA110</f>
        <v>0</v>
      </c>
      <c r="FB123" s="96">
        <f t="shared" si="204"/>
        <v>0</v>
      </c>
      <c r="FC123" s="96">
        <f t="shared" si="204"/>
        <v>0</v>
      </c>
      <c r="FD123" s="96">
        <f t="shared" si="204"/>
        <v>0</v>
      </c>
      <c r="FE123" s="96">
        <f t="shared" si="204"/>
        <v>0</v>
      </c>
      <c r="FF123" s="96">
        <f t="shared" si="204"/>
        <v>0</v>
      </c>
      <c r="FG123" s="96">
        <f t="shared" si="204"/>
        <v>0</v>
      </c>
      <c r="FH123" s="96">
        <f t="shared" si="204"/>
        <v>0</v>
      </c>
      <c r="FI123" s="96">
        <f t="shared" si="204"/>
        <v>0</v>
      </c>
      <c r="FJ123" s="96">
        <f t="shared" si="204"/>
        <v>0</v>
      </c>
      <c r="FK123" s="96">
        <f t="shared" si="204"/>
        <v>0</v>
      </c>
      <c r="FL123" s="81"/>
      <c r="FP123" s="590" t="str">
        <f>EY123</f>
        <v>check Eolien</v>
      </c>
      <c r="FQ123" s="96">
        <f>FQ122-FQ119+FQ102+FQ103+FQ109+FQ110</f>
        <v>0</v>
      </c>
      <c r="FR123" s="96">
        <f t="shared" ref="FR123" si="205">FR122-FR119+FR102+FR103+FR109+FR110</f>
        <v>0</v>
      </c>
      <c r="FS123" s="96">
        <f t="shared" ref="FS123" si="206">FS122-FS119+FS102+FS103+FS109+FS110</f>
        <v>0</v>
      </c>
      <c r="FT123" s="96">
        <f t="shared" ref="FT123" si="207">FT122-FT119+FT102+FT103+FT109+FT110</f>
        <v>0</v>
      </c>
      <c r="FU123" s="96">
        <f t="shared" ref="FU123" si="208">FU122-FU119+FU102+FU103+FU109+FU110</f>
        <v>0</v>
      </c>
      <c r="FV123" s="96">
        <f t="shared" ref="FV123" si="209">FV122-FV119+FV102+FV103+FV109+FV110</f>
        <v>0</v>
      </c>
      <c r="FW123" s="96">
        <f t="shared" ref="FW123" si="210">FW122-FW119+FW102+FW103+FW109+FW110</f>
        <v>0</v>
      </c>
      <c r="FX123" s="96">
        <f t="shared" ref="FX123" si="211">FX122-FX119+FX102+FX103+FX109+FX110</f>
        <v>0</v>
      </c>
      <c r="FY123" s="96">
        <f t="shared" ref="FY123" si="212">FY122-FY119+FY102+FY103+FY109+FY110</f>
        <v>0</v>
      </c>
      <c r="FZ123" s="96">
        <f t="shared" ref="FZ123" si="213">FZ122-FZ119+FZ102+FZ103+FZ109+FZ110</f>
        <v>0</v>
      </c>
      <c r="GA123" s="96">
        <f t="shared" ref="GA123" si="214">GA122-GA119+GA102+GA103+GA109+GA110</f>
        <v>0</v>
      </c>
      <c r="GB123" s="96">
        <f t="shared" ref="GB123" si="215">GB122-GB119+GB102+GB103+GB109+GB110</f>
        <v>0</v>
      </c>
    </row>
    <row r="124" spans="2:184">
      <c r="C124" s="64" t="s">
        <v>2201</v>
      </c>
      <c r="D124" s="187" t="s">
        <v>2648</v>
      </c>
      <c r="F124" s="80">
        <f>_xll.LVCELL($D$1,F$3,$C$124,$D$2,$C$4,$C$5,$C$6,$C$7,$C$8,$D$3)</f>
        <v>2520346</v>
      </c>
      <c r="G124" s="80">
        <f>_xll.LVCELL($D$1,G$3,$C$124,$D$2,$C$4,$C$5,$C$6,$C$7,$C$8,$D$3)</f>
        <v>3365118</v>
      </c>
      <c r="H124" s="80">
        <f>_xll.LVCELL($D$1,H$3,$C$124,$D$2,$C$4,$C$5,$C$6,$C$7,$C$8,$D$3)</f>
        <v>5391079</v>
      </c>
      <c r="I124" s="80">
        <f>_xll.LVCELL($D$1,I$3,$C$124,$D$2,$C$4,$C$5,$C$6,$C$7,$C$8,$D$3)</f>
        <v>5827659</v>
      </c>
      <c r="J124" s="80">
        <f>_xll.LVCELL($D$1,J$3,$C$124,$D$2,$C$4,$C$5,$C$6,$C$7,$C$8,$D$3)</f>
        <v>6708208</v>
      </c>
      <c r="K124" s="80">
        <f>_xll.LVCELL($D$1,K$3,$C$124,$D$2,$C$4,$C$5,$C$6,$C$7,$C$8,$D$3)</f>
        <v>7236991</v>
      </c>
      <c r="L124" s="80">
        <f>_xll.LVCELL($D$1,L$3,$C$124,$D$2,$C$4,$C$5,$C$6,$C$7,$C$8,$D$3)</f>
        <v>7792796</v>
      </c>
      <c r="M124" s="80">
        <f>_xll.LVCELL($D$1,M$3,$C$124,$D$2,$C$4,$C$5,$C$6,$C$7,$C$8,$D$3)</f>
        <v>7054720</v>
      </c>
      <c r="N124" s="80">
        <f>_xll.LVCELL($D$1,N$3,$C$124,$D$2,$C$4,$C$5,$C$6,$C$7,$C$8,$D$3)</f>
        <v>5429092</v>
      </c>
      <c r="O124" s="80">
        <f>_xll.LVCELL($D$1,O$3,$C$124,$D$2,$C$4,$C$5,$C$6,$C$7,$C$8,$D$3)</f>
        <v>4039395</v>
      </c>
      <c r="P124" s="80">
        <f>_xll.LVCELL($D$1,P$3,$C$124,$D$2,$C$4,$C$5,$C$6,$C$7,$C$8,$D$3)</f>
        <v>2590875</v>
      </c>
      <c r="Q124" s="80">
        <f>_xll.LVCELL($D$1,Q$3,$C$124,$D$2,$C$4,$C$5,$C$6,$C$7,$C$8,$D$3)</f>
        <v>2268199</v>
      </c>
      <c r="R124" s="124">
        <f>(R102+R103+R110+R109)</f>
        <v>60224476.799999997</v>
      </c>
      <c r="S124" s="125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DH124" s="64" t="s">
        <v>2571</v>
      </c>
      <c r="DI124" s="81">
        <f>DI104</f>
        <v>0</v>
      </c>
      <c r="EX124" s="64" t="s">
        <v>2201</v>
      </c>
      <c r="EY124" s="588" t="s">
        <v>2648</v>
      </c>
      <c r="EZ124" s="589">
        <f>_xll.LVCELL($EX$3,EZ$3,$EX124,$DQ$2,$DP$4,$DP$5,$DP$6,$DP$7,$DP$8,$DQ$3)</f>
        <v>33160</v>
      </c>
      <c r="FA124" s="589">
        <f>_xll.LVCELL($EX$3,FA$3,$EX124,$DQ$2,$DP$4,$DP$5,$DP$6,$DP$7,$DP$8,$DQ$3)</f>
        <v>33160</v>
      </c>
      <c r="FB124" s="589">
        <f>_xll.LVCELL($EX$3,FB$3,$EX124,$DQ$2,$DP$4,$DP$5,$DP$6,$DP$7,$DP$8,$DQ$3)</f>
        <v>33160</v>
      </c>
      <c r="FC124" s="589">
        <f>_xll.LVCELL($EX$3,FC$3,$EX124,$DQ$2,$DP$4,$DP$5,$DP$6,$DP$7,$DP$8,$DQ$3)</f>
        <v>33160</v>
      </c>
      <c r="FD124" s="589">
        <f>_xll.LVCELL($EX$3,FD$3,$EX124,$DQ$2,$DP$4,$DP$5,$DP$6,$DP$7,$DP$8,$DQ$3)</f>
        <v>33160</v>
      </c>
      <c r="FE124" s="589">
        <f>_xll.LVCELL($EX$3,FE$3,$EX124,$DQ$2,$DP$4,$DP$5,$DP$6,$DP$7,$DP$8,$DQ$3)</f>
        <v>33160</v>
      </c>
      <c r="FF124" s="589">
        <f>_xll.LVCELL($EX$3,FF$3,$EX124,$DQ$2,$DP$4,$DP$5,$DP$6,$DP$7,$DP$8,$DQ$3)</f>
        <v>33160</v>
      </c>
      <c r="FG124" s="589">
        <f>_xll.LVCELL($EX$3,FG$3,$EX124,$DQ$2,$DP$4,$DP$5,$DP$6,$DP$7,$DP$8,$DQ$3)</f>
        <v>33160</v>
      </c>
      <c r="FH124" s="589">
        <f>_xll.LVCELL($EX$3,FH$3,$EX124,$DQ$2,$DP$4,$DP$5,$DP$6,$DP$7,$DP$8,$DQ$3)</f>
        <v>33160</v>
      </c>
      <c r="FI124" s="589">
        <f>_xll.LVCELL($EX$3,FI$3,$EX124,$DQ$2,$DP$4,$DP$5,$DP$6,$DP$7,$DP$8,$DQ$3)</f>
        <v>33160</v>
      </c>
      <c r="FJ124" s="589">
        <f>_xll.LVCELL($EX$3,FJ$3,$EX124,$DQ$2,$DP$4,$DP$5,$DP$6,$DP$7,$DP$8,$DQ$3)</f>
        <v>33160</v>
      </c>
      <c r="FK124" s="589">
        <f>_xll.LVCELL($EX$3,FK$3,$EX124,$DQ$2,$DP$4,$DP$5,$DP$6,$DP$7,$DP$8,$DQ$3)</f>
        <v>33160</v>
      </c>
      <c r="FL124" s="81"/>
      <c r="FO124" s="64" t="s">
        <v>2201</v>
      </c>
      <c r="FP124" s="588" t="str">
        <f>EY124</f>
        <v>+Solaire</v>
      </c>
      <c r="FQ124" s="589">
        <f>_xll.LVCELL($FO$3,FQ$3,$EX124,$DQ$2,$DP$4,$DP$5,$DP$6,$DP$7,$DP$8,$DQ$3)</f>
        <v>0</v>
      </c>
      <c r="FR124" s="589">
        <f>_xll.LVCELL($FO$3,FR$3,$EX124,$DQ$2,$DP$4,$DP$5,$DP$6,$DP$7,$DP$8,$DQ$3)</f>
        <v>0</v>
      </c>
      <c r="FS124" s="589">
        <f>_xll.LVCELL($FO$3,FS$3,$EX124,$DQ$2,$DP$4,$DP$5,$DP$6,$DP$7,$DP$8,$DQ$3)</f>
        <v>0</v>
      </c>
      <c r="FT124" s="589">
        <f>_xll.LVCELL($FO$3,FT$3,$EX124,$DQ$2,$DP$4,$DP$5,$DP$6,$DP$7,$DP$8,$DQ$3)</f>
        <v>0</v>
      </c>
      <c r="FU124" s="589">
        <f>_xll.LVCELL($FO$3,FU$3,$EX124,$DQ$2,$DP$4,$DP$5,$DP$6,$DP$7,$DP$8,$DQ$3)</f>
        <v>0</v>
      </c>
      <c r="FV124" s="589">
        <f>_xll.LVCELL($FO$3,FV$3,$EX124,$DQ$2,$DP$4,$DP$5,$DP$6,$DP$7,$DP$8,$DQ$3)</f>
        <v>0</v>
      </c>
      <c r="FW124" s="589">
        <f>_xll.LVCELL($FO$3,FW$3,$EX124,$DQ$2,$DP$4,$DP$5,$DP$6,$DP$7,$DP$8,$DQ$3)</f>
        <v>0</v>
      </c>
      <c r="FX124" s="589">
        <f>_xll.LVCELL($FO$3,FX$3,$EX124,$DQ$2,$DP$4,$DP$5,$DP$6,$DP$7,$DP$8,$DQ$3)</f>
        <v>0</v>
      </c>
      <c r="FY124" s="589">
        <f>_xll.LVCELL($FO$3,FY$3,$EX124,$DQ$2,$DP$4,$DP$5,$DP$6,$DP$7,$DP$8,$DQ$3)</f>
        <v>0</v>
      </c>
      <c r="FZ124" s="589">
        <f>_xll.LVCELL($FO$3,FZ$3,$EX124,$DQ$2,$DP$4,$DP$5,$DP$6,$DP$7,$DP$8,$DQ$3)</f>
        <v>0</v>
      </c>
      <c r="GA124" s="589">
        <f>_xll.LVCELL($FO$3,GA$3,$EX124,$DQ$2,$DP$4,$DP$5,$DP$6,$DP$7,$DP$8,$DQ$3)</f>
        <v>0</v>
      </c>
      <c r="GB124" s="589">
        <f>_xll.LVCELL($FO$3,GB$3,$EX124,$DQ$2,$DP$4,$DP$5,$DP$6,$DP$7,$DP$8,$DQ$3)</f>
        <v>0</v>
      </c>
    </row>
    <row r="125" spans="2:184">
      <c r="D125" s="187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124"/>
      <c r="S125" s="125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DI125" s="81"/>
      <c r="EY125" s="591" t="s">
        <v>3454</v>
      </c>
      <c r="EZ125" s="589">
        <f>EZ124-EZ102-EZ103-EZ109-EZ110</f>
        <v>0</v>
      </c>
      <c r="FA125" s="589">
        <f t="shared" ref="FA125:FK125" si="216">FA124-FA102-FA103-FA109-FA110</f>
        <v>0</v>
      </c>
      <c r="FB125" s="589">
        <f t="shared" si="216"/>
        <v>0</v>
      </c>
      <c r="FC125" s="589">
        <f t="shared" si="216"/>
        <v>0</v>
      </c>
      <c r="FD125" s="589">
        <f t="shared" si="216"/>
        <v>0</v>
      </c>
      <c r="FE125" s="589">
        <f t="shared" si="216"/>
        <v>0</v>
      </c>
      <c r="FF125" s="589">
        <f t="shared" si="216"/>
        <v>0</v>
      </c>
      <c r="FG125" s="589">
        <f t="shared" si="216"/>
        <v>0</v>
      </c>
      <c r="FH125" s="589">
        <f t="shared" si="216"/>
        <v>0</v>
      </c>
      <c r="FI125" s="589">
        <f t="shared" si="216"/>
        <v>0</v>
      </c>
      <c r="FJ125" s="589">
        <f t="shared" si="216"/>
        <v>0</v>
      </c>
      <c r="FK125" s="589">
        <f t="shared" si="216"/>
        <v>0</v>
      </c>
      <c r="FL125" s="81"/>
      <c r="FP125" s="591" t="str">
        <f>EY125</f>
        <v>check Solaire</v>
      </c>
      <c r="FQ125" s="589">
        <f>FQ124-FQ102-FQ103-FQ109-FQ110</f>
        <v>0</v>
      </c>
      <c r="FR125" s="589">
        <f t="shared" ref="FR125" si="217">FR124-FR102-FR103-FR109-FR110</f>
        <v>0</v>
      </c>
      <c r="FS125" s="589">
        <f t="shared" ref="FS125" si="218">FS124-FS102-FS103-FS109-FS110</f>
        <v>0</v>
      </c>
      <c r="FT125" s="589">
        <f t="shared" ref="FT125" si="219">FT124-FT102-FT103-FT109-FT110</f>
        <v>0</v>
      </c>
      <c r="FU125" s="589">
        <f t="shared" ref="FU125" si="220">FU124-FU102-FU103-FU109-FU110</f>
        <v>0</v>
      </c>
      <c r="FV125" s="589">
        <f t="shared" ref="FV125" si="221">FV124-FV102-FV103-FV109-FV110</f>
        <v>0</v>
      </c>
      <c r="FW125" s="589">
        <f t="shared" ref="FW125" si="222">FW124-FW102-FW103-FW109-FW110</f>
        <v>0</v>
      </c>
      <c r="FX125" s="589">
        <f t="shared" ref="FX125" si="223">FX124-FX102-FX103-FX109-FX110</f>
        <v>0</v>
      </c>
      <c r="FY125" s="589">
        <f t="shared" ref="FY125" si="224">FY124-FY102-FY103-FY109-FY110</f>
        <v>0</v>
      </c>
      <c r="FZ125" s="589">
        <f t="shared" ref="FZ125" si="225">FZ124-FZ102-FZ103-FZ109-FZ110</f>
        <v>0</v>
      </c>
      <c r="GA125" s="589">
        <f t="shared" ref="GA125" si="226">GA124-GA102-GA103-GA109-GA110</f>
        <v>0</v>
      </c>
      <c r="GB125" s="589">
        <f t="shared" ref="GB125" si="227">GB124-GB102-GB103-GB109-GB110</f>
        <v>0</v>
      </c>
    </row>
    <row r="126" spans="2:184" ht="13.5" thickBot="1">
      <c r="D126" s="187" t="s">
        <v>2649</v>
      </c>
      <c r="F126" s="80">
        <f t="shared" ref="F126:R126" si="228">F104</f>
        <v>0</v>
      </c>
      <c r="G126" s="80">
        <f t="shared" si="228"/>
        <v>0</v>
      </c>
      <c r="H126" s="80">
        <f t="shared" si="228"/>
        <v>0</v>
      </c>
      <c r="I126" s="80">
        <f t="shared" si="228"/>
        <v>0</v>
      </c>
      <c r="J126" s="80">
        <f t="shared" si="228"/>
        <v>0</v>
      </c>
      <c r="K126" s="80">
        <f t="shared" si="228"/>
        <v>0</v>
      </c>
      <c r="L126" s="80">
        <f t="shared" si="228"/>
        <v>0</v>
      </c>
      <c r="M126" s="80">
        <f t="shared" si="228"/>
        <v>0</v>
      </c>
      <c r="N126" s="80">
        <f t="shared" si="228"/>
        <v>0</v>
      </c>
      <c r="O126" s="80">
        <f t="shared" si="228"/>
        <v>0</v>
      </c>
      <c r="P126" s="80">
        <f t="shared" si="228"/>
        <v>0</v>
      </c>
      <c r="Q126" s="80">
        <f t="shared" si="228"/>
        <v>0</v>
      </c>
      <c r="R126" s="126">
        <f t="shared" si="228"/>
        <v>0</v>
      </c>
      <c r="S126" s="127"/>
      <c r="Y126" s="81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CD126" s="81"/>
      <c r="DK126" s="81"/>
      <c r="DQ126" s="97"/>
      <c r="DR126" s="98"/>
      <c r="DS126" s="98"/>
      <c r="DT126" s="98"/>
      <c r="DU126" s="98"/>
      <c r="DV126" s="98"/>
      <c r="DW126" s="98"/>
      <c r="DX126" s="98"/>
      <c r="DY126" s="98"/>
      <c r="DZ126" s="98"/>
      <c r="EA126" s="98"/>
      <c r="EB126" s="98"/>
      <c r="EC126" s="98"/>
      <c r="EH126" s="97"/>
      <c r="EI126" s="98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Y126" s="187" t="s">
        <v>2649</v>
      </c>
      <c r="EZ126" s="80">
        <f t="shared" ref="EZ126:FK126" si="229">EZ104</f>
        <v>0</v>
      </c>
      <c r="FA126" s="80">
        <f t="shared" si="229"/>
        <v>0</v>
      </c>
      <c r="FB126" s="80">
        <f t="shared" si="229"/>
        <v>0</v>
      </c>
      <c r="FC126" s="80">
        <f t="shared" si="229"/>
        <v>0</v>
      </c>
      <c r="FD126" s="80">
        <f t="shared" si="229"/>
        <v>0</v>
      </c>
      <c r="FE126" s="80">
        <f t="shared" si="229"/>
        <v>0</v>
      </c>
      <c r="FF126" s="80">
        <f t="shared" si="229"/>
        <v>0</v>
      </c>
      <c r="FG126" s="80">
        <f t="shared" si="229"/>
        <v>0</v>
      </c>
      <c r="FH126" s="80">
        <f t="shared" si="229"/>
        <v>0</v>
      </c>
      <c r="FI126" s="80">
        <f t="shared" si="229"/>
        <v>0</v>
      </c>
      <c r="FJ126" s="80">
        <f t="shared" si="229"/>
        <v>0</v>
      </c>
      <c r="FK126" s="80">
        <f t="shared" si="229"/>
        <v>0</v>
      </c>
      <c r="FL126" s="189"/>
      <c r="FP126" s="187" t="str">
        <f>EY126</f>
        <v>+BBL</v>
      </c>
      <c r="FQ126" s="80">
        <f t="shared" ref="FQ126:GB126" si="230">FQ104</f>
        <v>0</v>
      </c>
      <c r="FR126" s="80">
        <f t="shared" si="230"/>
        <v>0</v>
      </c>
      <c r="FS126" s="80">
        <f t="shared" si="230"/>
        <v>0</v>
      </c>
      <c r="FT126" s="80">
        <f t="shared" si="230"/>
        <v>0</v>
      </c>
      <c r="FU126" s="80">
        <f t="shared" si="230"/>
        <v>0</v>
      </c>
      <c r="FV126" s="80">
        <f t="shared" si="230"/>
        <v>0</v>
      </c>
      <c r="FW126" s="80">
        <f t="shared" si="230"/>
        <v>0</v>
      </c>
      <c r="FX126" s="80">
        <f t="shared" si="230"/>
        <v>0</v>
      </c>
      <c r="FY126" s="80">
        <f t="shared" si="230"/>
        <v>0</v>
      </c>
      <c r="FZ126" s="80">
        <f t="shared" si="230"/>
        <v>0</v>
      </c>
      <c r="GA126" s="80">
        <f t="shared" si="230"/>
        <v>0</v>
      </c>
      <c r="GB126" s="80">
        <f t="shared" si="230"/>
        <v>0</v>
      </c>
    </row>
    <row r="128" spans="2:184">
      <c r="D128" s="97" t="s">
        <v>835</v>
      </c>
      <c r="E128" s="157"/>
      <c r="F128" s="188">
        <f>+F119-F122-F124-F126</f>
        <v>-2.6809616684913635</v>
      </c>
      <c r="G128" s="188">
        <f t="shared" ref="G128:Q128" si="231">+G119-G122-G124-G126</f>
        <v>0.28852653503417969</v>
      </c>
      <c r="H128" s="188">
        <f t="shared" si="231"/>
        <v>1.0364902317523956</v>
      </c>
      <c r="I128" s="188">
        <f t="shared" si="231"/>
        <v>1.6429316103458405</v>
      </c>
      <c r="J128" s="188">
        <f t="shared" si="231"/>
        <v>-2.6504111886024475</v>
      </c>
      <c r="K128" s="188">
        <f t="shared" si="231"/>
        <v>-1.583614706993103</v>
      </c>
      <c r="L128" s="188">
        <f t="shared" si="231"/>
        <v>-1.5850192606449127</v>
      </c>
      <c r="M128" s="188">
        <f t="shared" si="231"/>
        <v>1.2870470881462097</v>
      </c>
      <c r="N128" s="188">
        <f t="shared" si="231"/>
        <v>2.9536132514476776</v>
      </c>
      <c r="O128" s="188">
        <f t="shared" si="231"/>
        <v>0.31717324256896973</v>
      </c>
      <c r="P128" s="188">
        <f t="shared" si="231"/>
        <v>4.7342667281627655</v>
      </c>
      <c r="Q128" s="188">
        <f t="shared" si="231"/>
        <v>-0.18622827529907227</v>
      </c>
      <c r="DI128" s="81"/>
    </row>
    <row r="129" spans="18:184">
      <c r="EX129" s="64" t="s">
        <v>879</v>
      </c>
      <c r="EY129" s="97" t="s">
        <v>3455</v>
      </c>
      <c r="EZ129" s="98">
        <f>_xll.LVCELL($EX$3,EZ$3,$EX129,$DQ$2,$DP$4,$DP$5,$DP$6,$DP$7,$DP$8,$DQ$3)</f>
        <v>1068410</v>
      </c>
      <c r="FA129" s="98">
        <f>_xll.LVCELL($EX$3,FA$3,$EX129,$DQ$2,$DP$4,$DP$5,$DP$6,$DP$7,$DP$8,$DQ$3)</f>
        <v>1056410</v>
      </c>
      <c r="FB129" s="98">
        <f>_xll.LVCELL($EX$3,FB$3,$EX129,$DQ$2,$DP$4,$DP$5,$DP$6,$DP$7,$DP$8,$DQ$3)</f>
        <v>1056410</v>
      </c>
      <c r="FC129" s="98">
        <f>_xll.LVCELL($EX$3,FC$3,$EX129,$DQ$2,$DP$4,$DP$5,$DP$6,$DP$7,$DP$8,$DQ$3)</f>
        <v>1056410</v>
      </c>
      <c r="FD129" s="98">
        <f>_xll.LVCELL($EX$3,FD$3,$EX129,$DQ$2,$DP$4,$DP$5,$DP$6,$DP$7,$DP$8,$DQ$3)</f>
        <v>1044410</v>
      </c>
      <c r="FE129" s="98">
        <f>_xll.LVCELL($EX$3,FE$3,$EX129,$DQ$2,$DP$4,$DP$5,$DP$6,$DP$7,$DP$8,$DQ$3)</f>
        <v>1069610</v>
      </c>
      <c r="FF129" s="98">
        <f>_xll.LVCELL($EX$3,FF$3,$EX129,$DQ$2,$DP$4,$DP$5,$DP$6,$DP$7,$DP$8,$DQ$3)</f>
        <v>1075610</v>
      </c>
      <c r="FG129" s="98">
        <f>_xll.LVCELL($EX$3,FG$3,$EX129,$DQ$2,$DP$4,$DP$5,$DP$6,$DP$7,$DP$8,$DQ$3)</f>
        <v>1093610</v>
      </c>
      <c r="FH129" s="98">
        <f>_xll.LVCELL($EX$3,FH$3,$EX129,$DQ$2,$DP$4,$DP$5,$DP$6,$DP$7,$DP$8,$DQ$3)</f>
        <v>1093610</v>
      </c>
      <c r="FI129" s="98">
        <f>_xll.LVCELL($EX$3,FI$3,$EX129,$DQ$2,$DP$4,$DP$5,$DP$6,$DP$7,$DP$8,$DQ$3)</f>
        <v>1093610</v>
      </c>
      <c r="FJ129" s="98">
        <f>_xll.LVCELL($EX$3,FJ$3,$EX129,$DQ$2,$DP$4,$DP$5,$DP$6,$DP$7,$DP$8,$DQ$3)</f>
        <v>1111610</v>
      </c>
      <c r="FK129" s="98">
        <f>_xll.LVCELL($EX$3,FK$3,$EX129,$DQ$2,$DP$4,$DP$5,$DP$6,$DP$7,$DP$8,$DQ$3)</f>
        <v>1111610</v>
      </c>
      <c r="FL129" s="64" t="s">
        <v>3457</v>
      </c>
      <c r="FO129" s="64" t="s">
        <v>879</v>
      </c>
      <c r="FP129" s="97" t="str">
        <f>EY129</f>
        <v>Budget 2022 BOREURC</v>
      </c>
      <c r="FQ129" s="98">
        <f>_xll.LVCELL($FO$3,FQ$3,$EX129,$DQ$2,$DP$4,$DP$5,$DP$6,$DP$7,$DP$8,$DQ$3)</f>
        <v>456</v>
      </c>
      <c r="FR129" s="98">
        <f>_xll.LVCELL($FO$3,FR$3,$EX129,$DQ$2,$DP$4,$DP$5,$DP$6,$DP$7,$DP$8,$DQ$3)</f>
        <v>450</v>
      </c>
      <c r="FS129" s="98">
        <f>_xll.LVCELL($FO$3,FS$3,$EX129,$DQ$2,$DP$4,$DP$5,$DP$6,$DP$7,$DP$8,$DQ$3)</f>
        <v>450</v>
      </c>
      <c r="FT129" s="98">
        <f>_xll.LVCELL($FO$3,FT$3,$EX129,$DQ$2,$DP$4,$DP$5,$DP$6,$DP$7,$DP$8,$DQ$3)</f>
        <v>450</v>
      </c>
      <c r="FU129" s="98">
        <f>_xll.LVCELL($FO$3,FU$3,$EX129,$DQ$2,$DP$4,$DP$5,$DP$6,$DP$7,$DP$8,$DQ$3)</f>
        <v>444</v>
      </c>
      <c r="FV129" s="98">
        <f>_xll.LVCELL($FO$3,FV$3,$EX129,$DQ$2,$DP$4,$DP$5,$DP$6,$DP$7,$DP$8,$DQ$3)</f>
        <v>451</v>
      </c>
      <c r="FW129" s="98">
        <f>_xll.LVCELL($FO$3,FW$3,$EX129,$DQ$2,$DP$4,$DP$5,$DP$6,$DP$7,$DP$8,$DQ$3)</f>
        <v>451</v>
      </c>
      <c r="FX129" s="98">
        <f>_xll.LVCELL($FO$3,FX$3,$EX129,$DQ$2,$DP$4,$DP$5,$DP$6,$DP$7,$DP$8,$DQ$3)</f>
        <v>457</v>
      </c>
      <c r="FY129" s="98">
        <f>_xll.LVCELL($FO$3,FY$3,$EX129,$DQ$2,$DP$4,$DP$5,$DP$6,$DP$7,$DP$8,$DQ$3)</f>
        <v>457</v>
      </c>
      <c r="FZ129" s="98">
        <f>_xll.LVCELL($FO$3,FZ$3,$EX129,$DQ$2,$DP$4,$DP$5,$DP$6,$DP$7,$DP$8,$DQ$3)</f>
        <v>457</v>
      </c>
      <c r="GA129" s="98">
        <f>_xll.LVCELL($FO$3,GA$3,$EX129,$DQ$2,$DP$4,$DP$5,$DP$6,$DP$7,$DP$8,$DQ$3)</f>
        <v>463</v>
      </c>
      <c r="GB129" s="98">
        <f>_xll.LVCELL($FO$3,GB$3,$EX129,$DQ$2,$DP$4,$DP$5,$DP$6,$DP$7,$DP$8,$DQ$3)</f>
        <v>463</v>
      </c>
    </row>
    <row r="130" spans="18:184">
      <c r="DI130" s="81"/>
      <c r="EY130" s="592" t="s">
        <v>3456</v>
      </c>
      <c r="EZ130" s="98">
        <f>EZ129-EZ119</f>
        <v>0</v>
      </c>
      <c r="FA130" s="98">
        <f t="shared" ref="FA130:FK130" si="232">FA129-FA119</f>
        <v>0</v>
      </c>
      <c r="FB130" s="98">
        <f t="shared" si="232"/>
        <v>0</v>
      </c>
      <c r="FC130" s="98">
        <f t="shared" si="232"/>
        <v>0</v>
      </c>
      <c r="FD130" s="98">
        <f t="shared" si="232"/>
        <v>0</v>
      </c>
      <c r="FE130" s="98">
        <f t="shared" si="232"/>
        <v>0</v>
      </c>
      <c r="FF130" s="98">
        <f t="shared" si="232"/>
        <v>0</v>
      </c>
      <c r="FG130" s="98">
        <f t="shared" si="232"/>
        <v>0</v>
      </c>
      <c r="FH130" s="98">
        <f t="shared" si="232"/>
        <v>0</v>
      </c>
      <c r="FI130" s="98">
        <f t="shared" si="232"/>
        <v>0</v>
      </c>
      <c r="FJ130" s="98">
        <f t="shared" si="232"/>
        <v>0</v>
      </c>
      <c r="FK130" s="98">
        <f t="shared" si="232"/>
        <v>0</v>
      </c>
      <c r="FP130" s="592" t="str">
        <f>EY130</f>
        <v>Check Boreurc</v>
      </c>
      <c r="FQ130" s="98">
        <f>FQ129-FQ119</f>
        <v>0</v>
      </c>
      <c r="FR130" s="98">
        <f t="shared" ref="FR130" si="233">FR129-FR119</f>
        <v>0</v>
      </c>
      <c r="FS130" s="98">
        <f t="shared" ref="FS130" si="234">FS129-FS119</f>
        <v>0</v>
      </c>
      <c r="FT130" s="98">
        <f t="shared" ref="FT130" si="235">FT129-FT119</f>
        <v>0</v>
      </c>
      <c r="FU130" s="98">
        <f t="shared" ref="FU130" si="236">FU129-FU119</f>
        <v>0</v>
      </c>
      <c r="FV130" s="98">
        <f t="shared" ref="FV130" si="237">FV129-FV119</f>
        <v>0</v>
      </c>
      <c r="FW130" s="98">
        <f t="shared" ref="FW130" si="238">FW129-FW119</f>
        <v>0</v>
      </c>
      <c r="FX130" s="98">
        <f t="shared" ref="FX130" si="239">FX129-FX119</f>
        <v>0</v>
      </c>
      <c r="FY130" s="98">
        <f t="shared" ref="FY130" si="240">FY129-FY119</f>
        <v>0</v>
      </c>
      <c r="FZ130" s="98">
        <f t="shared" ref="FZ130" si="241">FZ129-FZ119</f>
        <v>0</v>
      </c>
      <c r="GA130" s="98">
        <f t="shared" ref="GA130" si="242">GA129-GA119</f>
        <v>0</v>
      </c>
      <c r="GB130" s="98">
        <f t="shared" ref="GB130" si="243">GB129-GB119</f>
        <v>0</v>
      </c>
    </row>
    <row r="133" spans="18:184" ht="15.75">
      <c r="R133" s="546">
        <v>2405981973</v>
      </c>
      <c r="S133" s="64" t="s">
        <v>3330</v>
      </c>
      <c r="DI133" s="81"/>
      <c r="FB133" s="593" t="s">
        <v>3458</v>
      </c>
      <c r="FS133" s="593" t="s">
        <v>3458</v>
      </c>
    </row>
    <row r="134" spans="18:184">
      <c r="R134" s="546">
        <f>R119-R133</f>
        <v>21071178.573813438</v>
      </c>
      <c r="S134" s="64" t="s">
        <v>3331</v>
      </c>
      <c r="DI134" s="81"/>
    </row>
    <row r="137" spans="18:184">
      <c r="DI137" s="81"/>
    </row>
    <row r="138" spans="18:184">
      <c r="R138" s="81">
        <f>R119-R104</f>
        <v>2427053151.5738134</v>
      </c>
    </row>
  </sheetData>
  <autoFilter ref="A11:GC119" xr:uid="{96163445-B1DC-4B61-89C8-56D57B6E988E}"/>
  <conditionalFormatting sqref="EG108:EG1048576 EG1:EG104">
    <cfRule type="duplicateValues" dxfId="96" priority="4"/>
  </conditionalFormatting>
  <conditionalFormatting sqref="EX12:EX104">
    <cfRule type="duplicateValues" dxfId="95" priority="5"/>
  </conditionalFormatting>
  <conditionalFormatting sqref="FO12:FO104">
    <cfRule type="duplicateValues" dxfId="94" priority="3"/>
  </conditionalFormatting>
  <conditionalFormatting sqref="EX122:EX123">
    <cfRule type="duplicateValues" dxfId="93" priority="2"/>
  </conditionalFormatting>
  <conditionalFormatting sqref="FO122:FO123">
    <cfRule type="duplicateValues" dxfId="92" priority="1"/>
  </conditionalFormatting>
  <pageMargins left="0.7" right="0.7" top="0.75" bottom="0.75" header="0.3" footer="0.3"/>
  <pageSetup paperSize="9" orientation="portrait" r:id="rId1"/>
  <customProperties>
    <customPr name="Longview.RefreshTimestamp" r:id="rId2"/>
  </customProperties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C9624-A097-4434-8C47-C1F8E6797002}">
  <dimension ref="A1:J31"/>
  <sheetViews>
    <sheetView workbookViewId="0">
      <selection activeCell="F6" activeCellId="1" sqref="F10:F11 F6"/>
    </sheetView>
  </sheetViews>
  <sheetFormatPr baseColWidth="10" defaultRowHeight="15"/>
  <cols>
    <col min="1" max="1" width="28.42578125" bestFit="1" customWidth="1"/>
    <col min="2" max="2" width="36.42578125" bestFit="1" customWidth="1"/>
    <col min="3" max="4" width="13.7109375" bestFit="1" customWidth="1"/>
    <col min="5" max="5" width="3.5703125" customWidth="1"/>
    <col min="6" max="6" width="12.7109375" bestFit="1" customWidth="1"/>
    <col min="8" max="8" width="13.7109375" bestFit="1" customWidth="1"/>
    <col min="9" max="9" width="3.85546875" customWidth="1"/>
  </cols>
  <sheetData>
    <row r="1" spans="1:10">
      <c r="C1" t="s">
        <v>3256</v>
      </c>
      <c r="D1" t="s">
        <v>3257</v>
      </c>
      <c r="F1" s="513" t="s">
        <v>3262</v>
      </c>
      <c r="H1" t="s">
        <v>3266</v>
      </c>
      <c r="J1" s="513" t="s">
        <v>3267</v>
      </c>
    </row>
    <row r="2" spans="1:10">
      <c r="F2" s="513"/>
      <c r="J2" s="513"/>
    </row>
    <row r="3" spans="1:10">
      <c r="A3" s="514" t="s">
        <v>3263</v>
      </c>
      <c r="B3" s="514"/>
      <c r="C3" s="515">
        <v>197493036.13983768</v>
      </c>
      <c r="D3" s="515">
        <v>202578940.80406287</v>
      </c>
      <c r="E3" s="4"/>
      <c r="F3" s="515">
        <f t="shared" ref="F3:F31" si="0">D3-C3</f>
        <v>5085904.6642251909</v>
      </c>
      <c r="H3" s="515">
        <v>217800000</v>
      </c>
      <c r="J3" s="515">
        <f>D3-H3</f>
        <v>-15221059.195937127</v>
      </c>
    </row>
    <row r="4" spans="1:10">
      <c r="A4" s="511" t="s">
        <v>3258</v>
      </c>
      <c r="B4" s="511"/>
      <c r="C4" s="512">
        <f>C5+C6+C7+C8</f>
        <v>3720514.2677751174</v>
      </c>
      <c r="D4" s="512">
        <f>D5+D6+D7+D8</f>
        <v>16091278.053164344</v>
      </c>
      <c r="F4" s="512">
        <f t="shared" si="0"/>
        <v>12370763.785389226</v>
      </c>
    </row>
    <row r="5" spans="1:10">
      <c r="A5" t="s">
        <v>817</v>
      </c>
      <c r="B5" t="s">
        <v>818</v>
      </c>
      <c r="C5" s="16">
        <v>2008441.393132197</v>
      </c>
      <c r="D5" s="16">
        <v>3688908.2183415708</v>
      </c>
      <c r="F5" s="16">
        <f t="shared" si="0"/>
        <v>1680466.8252093738</v>
      </c>
    </row>
    <row r="6" spans="1:10">
      <c r="A6" t="s">
        <v>1858</v>
      </c>
      <c r="B6" t="s">
        <v>3029</v>
      </c>
      <c r="C6" s="16">
        <v>849835.39513954928</v>
      </c>
      <c r="D6" s="16">
        <v>7274731.9999999991</v>
      </c>
      <c r="F6" s="16">
        <f t="shared" si="0"/>
        <v>6424896.6048604501</v>
      </c>
      <c r="J6" s="61">
        <f>H3-C3</f>
        <v>20306963.860162318</v>
      </c>
    </row>
    <row r="7" spans="1:10">
      <c r="A7" t="s">
        <v>2074</v>
      </c>
      <c r="B7" t="s">
        <v>3027</v>
      </c>
      <c r="C7" s="16">
        <v>460134.42423208617</v>
      </c>
      <c r="D7" s="16">
        <v>2265638.8388388385</v>
      </c>
      <c r="F7" s="16">
        <f t="shared" si="0"/>
        <v>1805504.4146067523</v>
      </c>
    </row>
    <row r="8" spans="1:10">
      <c r="A8" t="s">
        <v>1833</v>
      </c>
      <c r="B8" t="s">
        <v>3030</v>
      </c>
      <c r="C8" s="16">
        <v>402103.05527128506</v>
      </c>
      <c r="D8" s="16">
        <v>2861998.9959839364</v>
      </c>
      <c r="F8" s="16">
        <f t="shared" si="0"/>
        <v>2459895.9407126512</v>
      </c>
    </row>
    <row r="9" spans="1:10">
      <c r="A9" s="511" t="s">
        <v>3261</v>
      </c>
      <c r="B9" s="511"/>
      <c r="C9" s="512">
        <f>C10+C11</f>
        <v>958785.42618911783</v>
      </c>
      <c r="D9" s="512">
        <f>D10+D11</f>
        <v>0</v>
      </c>
      <c r="F9" s="512">
        <f t="shared" si="0"/>
        <v>-958785.42618911783</v>
      </c>
    </row>
    <row r="10" spans="1:10">
      <c r="A10" t="s">
        <v>320</v>
      </c>
      <c r="B10" t="s">
        <v>532</v>
      </c>
      <c r="C10" s="16">
        <v>484510.77914740716</v>
      </c>
      <c r="D10" s="16">
        <v>0</v>
      </c>
      <c r="F10" s="16">
        <f t="shared" si="0"/>
        <v>-484510.77914740716</v>
      </c>
    </row>
    <row r="11" spans="1:10">
      <c r="A11" t="s">
        <v>321</v>
      </c>
      <c r="B11" t="s">
        <v>841</v>
      </c>
      <c r="C11" s="16">
        <v>474274.64704171068</v>
      </c>
      <c r="D11" s="16">
        <v>0</v>
      </c>
      <c r="F11" s="16">
        <f t="shared" si="0"/>
        <v>-474274.64704171068</v>
      </c>
    </row>
    <row r="12" spans="1:10">
      <c r="A12" s="511" t="s">
        <v>3259</v>
      </c>
      <c r="B12" s="511"/>
      <c r="C12" s="512">
        <f>SUM(C13:C16)</f>
        <v>0</v>
      </c>
      <c r="D12" s="512">
        <f>SUM(D13:D16)</f>
        <v>2781814.7920459243</v>
      </c>
      <c r="F12" s="512">
        <f t="shared" si="0"/>
        <v>2781814.7920459243</v>
      </c>
    </row>
    <row r="13" spans="1:10">
      <c r="A13" t="s">
        <v>1808</v>
      </c>
      <c r="B13" t="s">
        <v>3162</v>
      </c>
      <c r="C13" s="16">
        <v>0</v>
      </c>
      <c r="D13" s="16">
        <v>1006226.4087793998</v>
      </c>
      <c r="F13" s="16">
        <f t="shared" si="0"/>
        <v>1006226.4087793998</v>
      </c>
    </row>
    <row r="14" spans="1:10">
      <c r="A14" t="s">
        <v>3241</v>
      </c>
      <c r="B14" t="s">
        <v>3150</v>
      </c>
      <c r="C14" s="16">
        <v>0</v>
      </c>
      <c r="D14" s="16">
        <v>67187.442829943349</v>
      </c>
      <c r="F14" s="16">
        <f t="shared" si="0"/>
        <v>67187.442829943349</v>
      </c>
    </row>
    <row r="15" spans="1:10">
      <c r="A15" t="s">
        <v>2269</v>
      </c>
      <c r="B15" t="s">
        <v>3151</v>
      </c>
      <c r="C15" s="16">
        <v>0</v>
      </c>
      <c r="D15" s="16">
        <v>184595.57309000002</v>
      </c>
      <c r="F15" s="16">
        <f t="shared" si="0"/>
        <v>184595.57309000002</v>
      </c>
    </row>
    <row r="16" spans="1:10">
      <c r="A16" t="s">
        <v>2089</v>
      </c>
      <c r="B16" t="s">
        <v>3143</v>
      </c>
      <c r="C16" s="16">
        <v>0</v>
      </c>
      <c r="D16" s="16">
        <v>1523805.3673465811</v>
      </c>
      <c r="F16" s="16">
        <f t="shared" si="0"/>
        <v>1523805.3673465811</v>
      </c>
    </row>
    <row r="17" spans="1:6">
      <c r="A17" s="511" t="s">
        <v>3260</v>
      </c>
      <c r="B17" s="511"/>
      <c r="C17" s="512">
        <f>C18+C19</f>
        <v>4550812.4571192777</v>
      </c>
      <c r="D17" s="512">
        <f>D18+D19</f>
        <v>2477893.7010902236</v>
      </c>
      <c r="F17" s="512">
        <f t="shared" si="0"/>
        <v>-2072918.7560290541</v>
      </c>
    </row>
    <row r="18" spans="1:6">
      <c r="A18" t="s">
        <v>375</v>
      </c>
      <c r="B18" t="s">
        <v>483</v>
      </c>
      <c r="C18" s="16">
        <v>2260978.3352488335</v>
      </c>
      <c r="D18" s="16">
        <v>1230461.2606875</v>
      </c>
      <c r="F18" s="16">
        <f t="shared" si="0"/>
        <v>-1030517.0745613335</v>
      </c>
    </row>
    <row r="19" spans="1:6">
      <c r="A19" t="s">
        <v>380</v>
      </c>
      <c r="B19" t="s">
        <v>484</v>
      </c>
      <c r="C19" s="16">
        <v>2289834.1218704442</v>
      </c>
      <c r="D19" s="16">
        <v>1247432.4404027236</v>
      </c>
      <c r="F19" s="16">
        <f t="shared" si="0"/>
        <v>-1042401.6814677205</v>
      </c>
    </row>
    <row r="20" spans="1:6">
      <c r="A20" s="511" t="s">
        <v>3149</v>
      </c>
      <c r="B20" s="511"/>
      <c r="C20" s="512">
        <f>C21+C22</f>
        <v>3969075.0877464479</v>
      </c>
      <c r="D20" s="512">
        <f>D21+D22</f>
        <v>3903232.0838357098</v>
      </c>
      <c r="F20" s="512">
        <f t="shared" si="0"/>
        <v>-65843.003910738043</v>
      </c>
    </row>
    <row r="21" spans="1:6">
      <c r="A21" t="s">
        <v>419</v>
      </c>
      <c r="B21" t="s">
        <v>295</v>
      </c>
      <c r="C21" s="16">
        <v>1096443.2354751434</v>
      </c>
      <c r="D21" s="16">
        <v>1088932.5699782427</v>
      </c>
      <c r="F21" s="16">
        <f t="shared" si="0"/>
        <v>-7510.6654969006777</v>
      </c>
    </row>
    <row r="22" spans="1:6">
      <c r="A22" t="s">
        <v>437</v>
      </c>
      <c r="B22" t="s">
        <v>536</v>
      </c>
      <c r="C22" s="16">
        <v>2872631.8522713045</v>
      </c>
      <c r="D22" s="16">
        <v>2814299.5138574671</v>
      </c>
      <c r="F22" s="16">
        <f t="shared" si="0"/>
        <v>-58332.338413837366</v>
      </c>
    </row>
    <row r="23" spans="1:6">
      <c r="A23" s="511" t="s">
        <v>3265</v>
      </c>
      <c r="B23" s="511"/>
      <c r="C23" s="512">
        <f>+C24</f>
        <v>1542097.9289081763</v>
      </c>
      <c r="D23" s="512">
        <f>+D24</f>
        <v>463845.01781814283</v>
      </c>
      <c r="F23" s="512">
        <f t="shared" si="0"/>
        <v>-1078252.9110900334</v>
      </c>
    </row>
    <row r="24" spans="1:6">
      <c r="A24" t="s">
        <v>382</v>
      </c>
      <c r="B24" t="s">
        <v>488</v>
      </c>
      <c r="C24" s="16">
        <v>1542097.9289081763</v>
      </c>
      <c r="D24" s="16">
        <v>463845.01781814283</v>
      </c>
      <c r="F24" s="16">
        <f t="shared" si="0"/>
        <v>-1078252.9110900334</v>
      </c>
    </row>
    <row r="25" spans="1:6">
      <c r="A25" s="511" t="s">
        <v>3264</v>
      </c>
      <c r="B25" s="511"/>
      <c r="C25" s="512">
        <f>C26+C27+C28+C29+C30+C31</f>
        <v>7759783.939204636</v>
      </c>
      <c r="D25" s="512">
        <f>D26+D27+D28+D29+D30+D31</f>
        <v>4273606.4921465982</v>
      </c>
      <c r="F25" s="512">
        <f t="shared" si="0"/>
        <v>-3486177.4470580379</v>
      </c>
    </row>
    <row r="26" spans="1:6">
      <c r="A26" t="s">
        <v>316</v>
      </c>
      <c r="B26" t="s">
        <v>528</v>
      </c>
      <c r="C26" s="16">
        <v>1886907.5852087226</v>
      </c>
      <c r="D26" s="16">
        <v>888151.08218207082</v>
      </c>
      <c r="F26" s="16">
        <f t="shared" si="0"/>
        <v>-998756.5030266518</v>
      </c>
    </row>
    <row r="27" spans="1:6">
      <c r="A27" t="s">
        <v>317</v>
      </c>
      <c r="B27" t="s">
        <v>529</v>
      </c>
      <c r="C27" s="16">
        <v>1256563.8701492471</v>
      </c>
      <c r="D27" s="16">
        <v>591453.74678246118</v>
      </c>
      <c r="F27" s="16">
        <f t="shared" si="0"/>
        <v>-665110.12336678593</v>
      </c>
    </row>
    <row r="28" spans="1:6">
      <c r="A28" t="s">
        <v>318</v>
      </c>
      <c r="B28" t="s">
        <v>530</v>
      </c>
      <c r="C28" s="16">
        <v>1632052.1775249445</v>
      </c>
      <c r="D28" s="16">
        <v>768192.84580174356</v>
      </c>
      <c r="F28" s="16">
        <f t="shared" si="0"/>
        <v>-863859.33172320097</v>
      </c>
    </row>
    <row r="29" spans="1:6">
      <c r="A29" t="s">
        <v>319</v>
      </c>
      <c r="B29" t="s">
        <v>531</v>
      </c>
      <c r="C29" s="16">
        <v>1966202.8410477471</v>
      </c>
      <c r="D29" s="16">
        <v>929952.32523372525</v>
      </c>
      <c r="F29" s="16">
        <f t="shared" si="0"/>
        <v>-1036250.5158140218</v>
      </c>
    </row>
    <row r="30" spans="1:6">
      <c r="A30" t="s">
        <v>409</v>
      </c>
      <c r="B30" t="s">
        <v>284</v>
      </c>
      <c r="C30" s="16">
        <v>261240.1089134521</v>
      </c>
      <c r="D30" s="16">
        <v>279990.00000000006</v>
      </c>
      <c r="F30" s="16">
        <f t="shared" si="0"/>
        <v>18749.891086547956</v>
      </c>
    </row>
    <row r="31" spans="1:6">
      <c r="A31" t="s">
        <v>411</v>
      </c>
      <c r="B31" t="s">
        <v>285</v>
      </c>
      <c r="C31" s="16">
        <v>756817.3563605221</v>
      </c>
      <c r="D31" s="16">
        <v>815866.49214659713</v>
      </c>
      <c r="F31" s="16">
        <f t="shared" si="0"/>
        <v>59049.135786075029</v>
      </c>
    </row>
  </sheetData>
  <pageMargins left="0.7" right="0.7" top="0.75" bottom="0.75" header="0.3" footer="0.3"/>
  <customProperties>
    <customPr name="Longview.RefreshTimestamp" r:id="rId1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20346-9C7A-439D-BE07-5609E6DA3297}">
  <sheetPr>
    <tabColor theme="1"/>
  </sheetPr>
  <dimension ref="A1:AJ120"/>
  <sheetViews>
    <sheetView zoomScale="70" zoomScaleNormal="70" workbookViewId="0">
      <pane xSplit="5" ySplit="2" topLeftCell="T11" activePane="bottomRight" state="frozen"/>
      <selection pane="topRight" activeCell="F1" sqref="F1"/>
      <selection pane="bottomLeft" activeCell="A3" sqref="A3"/>
      <selection pane="bottomRight" activeCell="T17" sqref="T17"/>
    </sheetView>
  </sheetViews>
  <sheetFormatPr baseColWidth="10" defaultColWidth="11.42578125" defaultRowHeight="15" outlineLevelCol="1"/>
  <cols>
    <col min="1" max="1" width="18.140625" style="203" customWidth="1" outlineLevel="1"/>
    <col min="2" max="2" width="53.42578125" style="431" customWidth="1"/>
    <col min="3" max="4" width="20.28515625" style="203" customWidth="1"/>
    <col min="5" max="5" width="31.140625" style="203" customWidth="1"/>
    <col min="6" max="7" width="30.7109375" style="454" customWidth="1"/>
    <col min="8" max="8" width="19.140625" style="478" customWidth="1"/>
    <col min="9" max="9" width="22.85546875" style="449" customWidth="1"/>
    <col min="10" max="11" width="22.42578125" style="449" customWidth="1"/>
    <col min="12" max="15" width="21.5703125" style="449" customWidth="1"/>
    <col min="16" max="17" width="22.85546875" style="449" customWidth="1"/>
    <col min="18" max="19" width="19" style="449" customWidth="1"/>
    <col min="20" max="21" width="25.140625" style="478" customWidth="1"/>
    <col min="22" max="22" width="21.5703125" style="454" customWidth="1"/>
    <col min="23" max="23" width="14" style="429" customWidth="1"/>
    <col min="24" max="24" width="12.7109375" style="479" hidden="1" customWidth="1" outlineLevel="1"/>
    <col min="25" max="25" width="13.42578125" style="479" hidden="1" customWidth="1" outlineLevel="1"/>
    <col min="26" max="26" width="12.7109375" style="433" hidden="1" customWidth="1" outlineLevel="1"/>
    <col min="27" max="27" width="11.42578125" style="433" hidden="1" customWidth="1" outlineLevel="1"/>
    <col min="28" max="28" width="90.28515625" style="459" hidden="1" customWidth="1" outlineLevel="1"/>
    <col min="29" max="29" width="34.85546875" style="459" hidden="1" customWidth="1" outlineLevel="1"/>
    <col min="30" max="30" width="26.85546875" customWidth="1" collapsed="1"/>
    <col min="31" max="31" width="31.5703125" hidden="1" customWidth="1"/>
    <col min="32" max="32" width="14.42578125" customWidth="1"/>
    <col min="33" max="33" width="12.42578125" customWidth="1"/>
    <col min="34" max="34" width="11.85546875" customWidth="1"/>
    <col min="35" max="35" width="15" customWidth="1"/>
    <col min="36" max="36" width="5.42578125" customWidth="1"/>
  </cols>
  <sheetData>
    <row r="1" spans="1:36" ht="15.75" thickBot="1">
      <c r="A1" s="594" t="s">
        <v>3464</v>
      </c>
      <c r="B1" s="595" t="s">
        <v>3465</v>
      </c>
      <c r="E1" s="442"/>
      <c r="F1" s="764" t="s">
        <v>3207</v>
      </c>
      <c r="G1" s="765"/>
      <c r="H1" s="766" t="s">
        <v>3208</v>
      </c>
      <c r="I1" s="767"/>
      <c r="J1" s="767"/>
      <c r="K1" s="768"/>
      <c r="L1" s="769" t="s">
        <v>3209</v>
      </c>
      <c r="M1" s="770"/>
      <c r="N1" s="770"/>
      <c r="O1" s="770"/>
      <c r="P1" s="770"/>
      <c r="Q1" s="771"/>
      <c r="R1" s="769" t="s">
        <v>3208</v>
      </c>
      <c r="S1" s="771"/>
      <c r="T1" s="596"/>
      <c r="U1" s="596"/>
      <c r="V1" s="597"/>
      <c r="W1" s="598"/>
      <c r="X1" s="760" t="s">
        <v>3210</v>
      </c>
      <c r="Y1" s="760"/>
      <c r="Z1" s="760"/>
      <c r="AA1" s="760"/>
      <c r="AB1" s="760"/>
      <c r="AC1" s="599"/>
    </row>
    <row r="2" spans="1:36" s="423" customFormat="1" ht="109.5" customHeight="1" thickBot="1">
      <c r="A2" s="434" t="s">
        <v>3211</v>
      </c>
      <c r="B2" s="437" t="s">
        <v>3212</v>
      </c>
      <c r="C2" s="435" t="s">
        <v>3466</v>
      </c>
      <c r="D2" s="435" t="s">
        <v>3220</v>
      </c>
      <c r="E2" s="436" t="s">
        <v>3213</v>
      </c>
      <c r="F2" s="437" t="s">
        <v>3214</v>
      </c>
      <c r="G2" s="437" t="s">
        <v>3215</v>
      </c>
      <c r="H2" s="600" t="s">
        <v>3467</v>
      </c>
      <c r="I2" s="438" t="s">
        <v>3216</v>
      </c>
      <c r="J2" s="440" t="s">
        <v>3217</v>
      </c>
      <c r="K2" s="439" t="s">
        <v>3468</v>
      </c>
      <c r="L2" s="600" t="s">
        <v>3469</v>
      </c>
      <c r="M2" s="440" t="s">
        <v>3218</v>
      </c>
      <c r="N2" s="440" t="s">
        <v>3470</v>
      </c>
      <c r="O2" s="601" t="s">
        <v>3471</v>
      </c>
      <c r="P2" s="440" t="s">
        <v>3219</v>
      </c>
      <c r="Q2" s="439" t="s">
        <v>3472</v>
      </c>
      <c r="R2" s="438" t="s">
        <v>3473</v>
      </c>
      <c r="S2" s="439" t="s">
        <v>3474</v>
      </c>
      <c r="T2" s="602" t="s">
        <v>3475</v>
      </c>
      <c r="U2" s="603" t="s">
        <v>3476</v>
      </c>
      <c r="V2" s="435" t="s">
        <v>3477</v>
      </c>
      <c r="W2" s="436" t="s">
        <v>3221</v>
      </c>
      <c r="X2" s="604" t="s">
        <v>3478</v>
      </c>
      <c r="Y2" s="605" t="s">
        <v>3222</v>
      </c>
      <c r="Z2" s="605" t="s">
        <v>3479</v>
      </c>
      <c r="AA2" s="605" t="s">
        <v>3222</v>
      </c>
      <c r="AB2" s="605" t="s">
        <v>3223</v>
      </c>
      <c r="AC2" s="606" t="s">
        <v>3295</v>
      </c>
      <c r="AD2" s="607" t="s">
        <v>3480</v>
      </c>
      <c r="AE2" s="423" t="s">
        <v>3481</v>
      </c>
      <c r="AF2" s="423" t="s">
        <v>3482</v>
      </c>
      <c r="AG2" s="423" t="s">
        <v>3483</v>
      </c>
      <c r="AH2" s="423" t="s">
        <v>3484</v>
      </c>
      <c r="AI2" s="608" t="s">
        <v>3485</v>
      </c>
      <c r="AJ2" s="423" t="s">
        <v>3486</v>
      </c>
    </row>
    <row r="3" spans="1:36" ht="14.1" customHeight="1">
      <c r="A3" s="441" t="s">
        <v>406</v>
      </c>
      <c r="B3" s="609" t="s">
        <v>3159</v>
      </c>
      <c r="C3" s="442">
        <v>17000000</v>
      </c>
      <c r="D3" s="442">
        <v>15800000.000000002</v>
      </c>
      <c r="E3" s="443" t="s">
        <v>3224</v>
      </c>
      <c r="F3" s="422">
        <v>17000000</v>
      </c>
      <c r="G3" s="444">
        <v>15800000</v>
      </c>
      <c r="H3" s="610">
        <v>0.94</v>
      </c>
      <c r="I3" s="445">
        <v>0.94</v>
      </c>
      <c r="J3" s="611">
        <v>0.94</v>
      </c>
      <c r="K3" s="540">
        <v>0.94</v>
      </c>
      <c r="L3" s="445">
        <v>0</v>
      </c>
      <c r="M3" s="447">
        <v>0</v>
      </c>
      <c r="N3" s="612">
        <v>0</v>
      </c>
      <c r="O3" s="448">
        <v>0</v>
      </c>
      <c r="P3" s="447">
        <v>0</v>
      </c>
      <c r="Q3" s="612">
        <v>0</v>
      </c>
      <c r="R3" s="445">
        <v>0</v>
      </c>
      <c r="S3" s="613">
        <v>0</v>
      </c>
      <c r="T3" s="614">
        <f>F3/H3*K3/(1-L3)*(1-N3)/(1-O3)*(1-Q3)*(1+S3)</f>
        <v>17000000</v>
      </c>
      <c r="U3" s="615">
        <f>G3/I3*K3/(1-L3)*(1-N3)/(1-O3)*(1-Q3)*(1+S3)</f>
        <v>15800000.000000002</v>
      </c>
      <c r="V3" s="447">
        <f t="shared" ref="V3:V10" si="0">(T3-C3)/C3</f>
        <v>0</v>
      </c>
      <c r="X3" s="450">
        <f t="shared" ref="X3:X66" si="1">T3-C3</f>
        <v>0</v>
      </c>
      <c r="Y3" s="451">
        <f t="shared" ref="Y3:Y66" si="2">X3/C3</f>
        <v>0</v>
      </c>
      <c r="Z3" s="452">
        <f t="shared" ref="Z3:Z66" si="3">T3-F3</f>
        <v>0</v>
      </c>
      <c r="AA3" s="453">
        <f t="shared" ref="AA3:AA66" si="4">Z3/F3</f>
        <v>0</v>
      </c>
      <c r="AB3" s="506"/>
      <c r="AC3" s="616"/>
      <c r="AD3" s="506"/>
      <c r="AE3" s="506"/>
      <c r="AF3" s="548">
        <f>(AI3/F3-1)%</f>
        <v>0</v>
      </c>
      <c r="AG3" s="548">
        <f>AI3-F3</f>
        <v>0</v>
      </c>
      <c r="AI3" s="614">
        <v>17000000</v>
      </c>
      <c r="AJ3" s="617" t="s">
        <v>523</v>
      </c>
    </row>
    <row r="4" spans="1:36" ht="14.1" customHeight="1">
      <c r="A4" s="441" t="s">
        <v>250</v>
      </c>
      <c r="B4" s="609" t="s">
        <v>527</v>
      </c>
      <c r="C4" s="442">
        <v>10600000.000000002</v>
      </c>
      <c r="D4" s="442">
        <v>9800000</v>
      </c>
      <c r="E4" s="443" t="s">
        <v>3224</v>
      </c>
      <c r="F4" s="422">
        <v>10600000.000000002</v>
      </c>
      <c r="G4" s="444">
        <v>9800000</v>
      </c>
      <c r="H4" s="610">
        <v>0.97499999999999998</v>
      </c>
      <c r="I4" s="445">
        <v>0.97499999999999998</v>
      </c>
      <c r="J4" s="611">
        <v>0.97499999999999998</v>
      </c>
      <c r="K4" s="540">
        <v>0.97499999999999998</v>
      </c>
      <c r="L4" s="445">
        <v>0</v>
      </c>
      <c r="M4" s="447">
        <v>0</v>
      </c>
      <c r="N4" s="618">
        <v>0</v>
      </c>
      <c r="O4" s="448">
        <v>0</v>
      </c>
      <c r="P4" s="447">
        <v>0</v>
      </c>
      <c r="Q4" s="612">
        <v>0</v>
      </c>
      <c r="R4" s="445">
        <v>0</v>
      </c>
      <c r="S4" s="613">
        <v>0</v>
      </c>
      <c r="T4" s="619">
        <f t="shared" ref="T4:T67" si="5">F4/H4*K4/(1-L4)*(1-N4)/(1-O4)*(1-Q4)*(1+S4)</f>
        <v>10600000.000000002</v>
      </c>
      <c r="U4" s="615">
        <f t="shared" ref="U4:U67" si="6">G4/I4*K4/(1-L4)*(1-N4)/(1-O4)*(1-Q4)*(1+S4)</f>
        <v>9800000</v>
      </c>
      <c r="V4" s="447">
        <f t="shared" si="0"/>
        <v>0</v>
      </c>
      <c r="X4" s="450">
        <f t="shared" si="1"/>
        <v>0</v>
      </c>
      <c r="Y4" s="451">
        <f t="shared" si="2"/>
        <v>0</v>
      </c>
      <c r="Z4" s="452">
        <f t="shared" si="3"/>
        <v>0</v>
      </c>
      <c r="AA4" s="453">
        <f t="shared" si="4"/>
        <v>0</v>
      </c>
      <c r="AB4" s="506"/>
      <c r="AC4" s="616"/>
      <c r="AD4" s="506"/>
      <c r="AE4" s="506"/>
      <c r="AF4" s="548">
        <f t="shared" ref="AF4:AF10" si="7">(AI4/F4-1)%</f>
        <v>0</v>
      </c>
      <c r="AG4" s="548">
        <f t="shared" ref="AG4:AG10" si="8">AI4-F4</f>
        <v>0</v>
      </c>
      <c r="AI4" s="619">
        <v>10600000.000000002</v>
      </c>
      <c r="AJ4" s="617" t="s">
        <v>523</v>
      </c>
    </row>
    <row r="5" spans="1:36" ht="14.1" customHeight="1">
      <c r="A5" s="441" t="s">
        <v>409</v>
      </c>
      <c r="B5" s="609" t="s">
        <v>284</v>
      </c>
      <c r="C5" s="442">
        <v>6100000.0000000019</v>
      </c>
      <c r="D5" s="442">
        <v>5600000</v>
      </c>
      <c r="E5" s="443" t="s">
        <v>3225</v>
      </c>
      <c r="F5" s="422">
        <v>6100000.0000000019</v>
      </c>
      <c r="G5" s="444">
        <v>5600000</v>
      </c>
      <c r="H5" s="610">
        <v>0.97299999999999998</v>
      </c>
      <c r="I5" s="445">
        <v>0.97299999999999998</v>
      </c>
      <c r="J5" s="611">
        <v>0.97299999999999998</v>
      </c>
      <c r="K5" s="620">
        <v>0.95</v>
      </c>
      <c r="L5" s="445">
        <v>0</v>
      </c>
      <c r="M5" s="447">
        <v>0</v>
      </c>
      <c r="N5" s="618">
        <v>0</v>
      </c>
      <c r="O5" s="448">
        <v>0</v>
      </c>
      <c r="P5" s="447">
        <v>0</v>
      </c>
      <c r="Q5" s="612">
        <v>0</v>
      </c>
      <c r="R5" s="445">
        <v>0</v>
      </c>
      <c r="S5" s="613">
        <v>0</v>
      </c>
      <c r="T5" s="619">
        <f t="shared" si="5"/>
        <v>5955806.7831449136</v>
      </c>
      <c r="U5" s="615">
        <f t="shared" si="6"/>
        <v>5467625.8992805751</v>
      </c>
      <c r="V5" s="447">
        <f t="shared" si="0"/>
        <v>-2.3638232271325936E-2</v>
      </c>
      <c r="X5" s="450">
        <f t="shared" si="1"/>
        <v>-144193.21685508825</v>
      </c>
      <c r="Y5" s="451">
        <f t="shared" si="2"/>
        <v>-2.3638232271325936E-2</v>
      </c>
      <c r="Z5" s="452">
        <f t="shared" si="3"/>
        <v>-144193.21685508825</v>
      </c>
      <c r="AA5" s="453">
        <f t="shared" si="4"/>
        <v>-2.3638232271325936E-2</v>
      </c>
      <c r="AB5" s="506"/>
      <c r="AC5" s="616"/>
      <c r="AD5" s="506"/>
      <c r="AE5" s="506"/>
      <c r="AF5" s="548">
        <f t="shared" si="7"/>
        <v>0</v>
      </c>
      <c r="AG5" s="548">
        <f t="shared" si="8"/>
        <v>0</v>
      </c>
      <c r="AI5" s="619">
        <v>6100000.0000000019</v>
      </c>
      <c r="AJ5" s="617" t="s">
        <v>523</v>
      </c>
    </row>
    <row r="6" spans="1:36" ht="14.1" customHeight="1">
      <c r="A6" s="441" t="s">
        <v>411</v>
      </c>
      <c r="B6" s="609" t="s">
        <v>285</v>
      </c>
      <c r="C6" s="442">
        <v>17700000.261780106</v>
      </c>
      <c r="D6" s="442">
        <v>15980571.664921466</v>
      </c>
      <c r="E6" s="443" t="s">
        <v>3225</v>
      </c>
      <c r="F6" s="422">
        <v>17500000</v>
      </c>
      <c r="G6" s="444">
        <v>15800000</v>
      </c>
      <c r="H6" s="610">
        <v>0.95499999999999996</v>
      </c>
      <c r="I6" s="445">
        <v>0.95499999999999996</v>
      </c>
      <c r="J6" s="621">
        <v>0.9659143</v>
      </c>
      <c r="K6" s="540">
        <v>0.9659143</v>
      </c>
      <c r="L6" s="445">
        <v>0</v>
      </c>
      <c r="M6" s="447">
        <v>0</v>
      </c>
      <c r="N6" s="618">
        <v>0</v>
      </c>
      <c r="O6" s="448">
        <v>0</v>
      </c>
      <c r="P6" s="447">
        <v>0</v>
      </c>
      <c r="Q6" s="612">
        <v>0</v>
      </c>
      <c r="R6" s="445">
        <v>0</v>
      </c>
      <c r="S6" s="613">
        <v>0</v>
      </c>
      <c r="T6" s="619">
        <f t="shared" si="5"/>
        <v>17700000.261780106</v>
      </c>
      <c r="U6" s="615">
        <f t="shared" si="6"/>
        <v>15980571.664921466</v>
      </c>
      <c r="V6" s="447">
        <f t="shared" si="0"/>
        <v>0</v>
      </c>
      <c r="X6" s="450">
        <f t="shared" si="1"/>
        <v>0</v>
      </c>
      <c r="Y6" s="451">
        <f t="shared" si="2"/>
        <v>0</v>
      </c>
      <c r="Z6" s="452">
        <f t="shared" si="3"/>
        <v>200000.26178010553</v>
      </c>
      <c r="AA6" s="453">
        <f t="shared" si="4"/>
        <v>1.1428586387434601E-2</v>
      </c>
      <c r="AB6" s="506"/>
      <c r="AC6" s="616"/>
      <c r="AD6" s="506"/>
      <c r="AE6" s="506" t="s">
        <v>3296</v>
      </c>
      <c r="AF6" s="548">
        <f t="shared" si="7"/>
        <v>0</v>
      </c>
      <c r="AG6" s="548">
        <f t="shared" si="8"/>
        <v>0</v>
      </c>
      <c r="AI6" s="619">
        <v>17500000</v>
      </c>
      <c r="AJ6" s="617" t="s">
        <v>523</v>
      </c>
    </row>
    <row r="7" spans="1:36" ht="14.1" customHeight="1">
      <c r="A7" s="441" t="s">
        <v>316</v>
      </c>
      <c r="B7" s="622" t="s">
        <v>528</v>
      </c>
      <c r="C7" s="442">
        <v>18896831.535788734</v>
      </c>
      <c r="D7" s="442">
        <v>17230294.823364921</v>
      </c>
      <c r="E7" s="443" t="s">
        <v>3224</v>
      </c>
      <c r="F7" s="422">
        <v>18697917.519622538</v>
      </c>
      <c r="G7" s="444">
        <v>17048923.298908446</v>
      </c>
      <c r="H7" s="610">
        <v>0.94</v>
      </c>
      <c r="I7" s="542">
        <v>0.94</v>
      </c>
      <c r="J7" s="621">
        <f>94%+1%</f>
        <v>0.95</v>
      </c>
      <c r="K7" s="540">
        <v>0.95</v>
      </c>
      <c r="L7" s="445">
        <v>0</v>
      </c>
      <c r="M7" s="447" t="s">
        <v>3226</v>
      </c>
      <c r="N7" s="623">
        <v>0</v>
      </c>
      <c r="O7" s="448">
        <v>0</v>
      </c>
      <c r="P7" s="447">
        <v>0</v>
      </c>
      <c r="Q7" s="612">
        <v>0</v>
      </c>
      <c r="R7" s="445">
        <v>0</v>
      </c>
      <c r="S7" s="613">
        <v>0</v>
      </c>
      <c r="T7" s="619">
        <f>F7/H7*K7/(1-L7)*(1-N7)/(1-O7)*(1-Q7)*(1+S7)</f>
        <v>18896831.535788734</v>
      </c>
      <c r="U7" s="624">
        <f t="shared" si="6"/>
        <v>17230294.823364921</v>
      </c>
      <c r="V7" s="447">
        <f t="shared" si="0"/>
        <v>0</v>
      </c>
      <c r="W7" s="429" t="s">
        <v>3182</v>
      </c>
      <c r="X7" s="450">
        <f t="shared" si="1"/>
        <v>0</v>
      </c>
      <c r="Y7" s="451">
        <f t="shared" si="2"/>
        <v>0</v>
      </c>
      <c r="Z7" s="452">
        <f t="shared" si="3"/>
        <v>198914.01616619527</v>
      </c>
      <c r="AA7" s="453">
        <f t="shared" si="4"/>
        <v>1.0638297872340321E-2</v>
      </c>
      <c r="AB7" s="506"/>
      <c r="AC7" s="625" t="s">
        <v>3297</v>
      </c>
      <c r="AD7" s="506"/>
      <c r="AE7" s="506"/>
      <c r="AF7" s="548">
        <f t="shared" si="7"/>
        <v>0</v>
      </c>
      <c r="AG7" s="548">
        <f t="shared" si="8"/>
        <v>0</v>
      </c>
      <c r="AI7" s="619">
        <v>18697917.519622538</v>
      </c>
      <c r="AJ7" s="617" t="s">
        <v>523</v>
      </c>
    </row>
    <row r="8" spans="1:36" ht="14.1" customHeight="1">
      <c r="A8" s="441" t="s">
        <v>317</v>
      </c>
      <c r="B8" s="622" t="s">
        <v>529</v>
      </c>
      <c r="C8" s="442">
        <v>12584122.271967255</v>
      </c>
      <c r="D8" s="442">
        <v>11474311.787593463</v>
      </c>
      <c r="E8" s="443" t="s">
        <v>3224</v>
      </c>
      <c r="F8" s="422">
        <v>12451657.826999178</v>
      </c>
      <c r="G8" s="444">
        <v>11353529.558250373</v>
      </c>
      <c r="H8" s="610">
        <v>0.94</v>
      </c>
      <c r="I8" s="542">
        <v>0.94</v>
      </c>
      <c r="J8" s="621">
        <f>94%+1%</f>
        <v>0.95</v>
      </c>
      <c r="K8" s="540">
        <v>0.95</v>
      </c>
      <c r="L8" s="445">
        <v>0</v>
      </c>
      <c r="M8" s="447" t="s">
        <v>3226</v>
      </c>
      <c r="N8" s="623">
        <v>0</v>
      </c>
      <c r="O8" s="448">
        <v>0</v>
      </c>
      <c r="P8" s="447">
        <v>0</v>
      </c>
      <c r="Q8" s="612">
        <v>0</v>
      </c>
      <c r="R8" s="445">
        <v>0</v>
      </c>
      <c r="S8" s="613">
        <v>0</v>
      </c>
      <c r="T8" s="619">
        <f t="shared" si="5"/>
        <v>12584122.271967255</v>
      </c>
      <c r="U8" s="624">
        <f t="shared" si="6"/>
        <v>11474311.787593463</v>
      </c>
      <c r="V8" s="447">
        <f t="shared" si="0"/>
        <v>0</v>
      </c>
      <c r="W8" s="429" t="s">
        <v>3182</v>
      </c>
      <c r="X8" s="450">
        <f t="shared" si="1"/>
        <v>0</v>
      </c>
      <c r="Y8" s="451">
        <f t="shared" si="2"/>
        <v>0</v>
      </c>
      <c r="Z8" s="452">
        <f t="shared" si="3"/>
        <v>132464.44496807642</v>
      </c>
      <c r="AA8" s="453">
        <f t="shared" si="4"/>
        <v>1.063829787234043E-2</v>
      </c>
      <c r="AB8" s="506"/>
      <c r="AC8" s="625" t="s">
        <v>3297</v>
      </c>
      <c r="AD8" s="506"/>
      <c r="AE8" s="506"/>
      <c r="AF8" s="548">
        <f t="shared" si="7"/>
        <v>0</v>
      </c>
      <c r="AG8" s="548">
        <f t="shared" si="8"/>
        <v>0</v>
      </c>
      <c r="AI8" s="619">
        <v>12451657.826999178</v>
      </c>
      <c r="AJ8" s="617" t="s">
        <v>523</v>
      </c>
    </row>
    <row r="9" spans="1:36" ht="14.1" customHeight="1">
      <c r="A9" s="441" t="s">
        <v>318</v>
      </c>
      <c r="B9" s="622" t="s">
        <v>530</v>
      </c>
      <c r="C9" s="442">
        <v>16344528.634079646</v>
      </c>
      <c r="D9" s="442">
        <v>14903082.909997884</v>
      </c>
      <c r="E9" s="443" t="s">
        <v>3224</v>
      </c>
      <c r="F9" s="422">
        <v>16172480.964247229</v>
      </c>
      <c r="G9" s="444">
        <v>14746208.353050539</v>
      </c>
      <c r="H9" s="610">
        <v>0.94</v>
      </c>
      <c r="I9" s="542">
        <v>0.94</v>
      </c>
      <c r="J9" s="621">
        <f>94%+1%</f>
        <v>0.95</v>
      </c>
      <c r="K9" s="540">
        <v>0.95</v>
      </c>
      <c r="L9" s="445">
        <v>0</v>
      </c>
      <c r="M9" s="447" t="s">
        <v>3226</v>
      </c>
      <c r="N9" s="623">
        <v>0</v>
      </c>
      <c r="O9" s="448">
        <v>0</v>
      </c>
      <c r="P9" s="447">
        <v>0</v>
      </c>
      <c r="Q9" s="612">
        <v>0</v>
      </c>
      <c r="R9" s="445">
        <v>0</v>
      </c>
      <c r="S9" s="613">
        <v>0</v>
      </c>
      <c r="T9" s="619">
        <f t="shared" si="5"/>
        <v>16344528.634079646</v>
      </c>
      <c r="U9" s="624">
        <f t="shared" si="6"/>
        <v>14903082.909997884</v>
      </c>
      <c r="V9" s="447">
        <f t="shared" si="0"/>
        <v>0</v>
      </c>
      <c r="W9" s="429" t="s">
        <v>3182</v>
      </c>
      <c r="X9" s="450">
        <f t="shared" si="1"/>
        <v>0</v>
      </c>
      <c r="Y9" s="451">
        <f t="shared" si="2"/>
        <v>0</v>
      </c>
      <c r="Z9" s="452">
        <f t="shared" si="3"/>
        <v>172047.66983241774</v>
      </c>
      <c r="AA9" s="453">
        <f t="shared" si="4"/>
        <v>1.0638297872340451E-2</v>
      </c>
      <c r="AB9" s="506"/>
      <c r="AC9" s="625" t="s">
        <v>3297</v>
      </c>
      <c r="AD9" s="506"/>
      <c r="AE9" s="506"/>
      <c r="AF9" s="548">
        <f t="shared" si="7"/>
        <v>0</v>
      </c>
      <c r="AG9" s="548">
        <f t="shared" si="8"/>
        <v>0</v>
      </c>
      <c r="AI9" s="619">
        <v>16172480.964247229</v>
      </c>
      <c r="AJ9" s="617" t="s">
        <v>523</v>
      </c>
    </row>
    <row r="10" spans="1:36" ht="14.1" customHeight="1">
      <c r="A10" s="441" t="s">
        <v>319</v>
      </c>
      <c r="B10" s="622" t="s">
        <v>531</v>
      </c>
      <c r="C10" s="442">
        <v>19786219.685823932</v>
      </c>
      <c r="D10" s="442">
        <v>18041246.649256505</v>
      </c>
      <c r="E10" s="443" t="s">
        <v>3224</v>
      </c>
      <c r="F10" s="422">
        <v>19577943.689131051</v>
      </c>
      <c r="G10" s="444">
        <v>17851338.789790649</v>
      </c>
      <c r="H10" s="610">
        <v>0.94</v>
      </c>
      <c r="I10" s="542">
        <v>0.94</v>
      </c>
      <c r="J10" s="621">
        <f>94%+1%</f>
        <v>0.95</v>
      </c>
      <c r="K10" s="540">
        <v>0.95</v>
      </c>
      <c r="L10" s="445">
        <v>0</v>
      </c>
      <c r="M10" s="447" t="s">
        <v>3226</v>
      </c>
      <c r="N10" s="623">
        <v>0</v>
      </c>
      <c r="O10" s="448">
        <v>0</v>
      </c>
      <c r="P10" s="447">
        <v>0</v>
      </c>
      <c r="Q10" s="612">
        <v>0</v>
      </c>
      <c r="R10" s="445">
        <v>0</v>
      </c>
      <c r="S10" s="613">
        <v>0</v>
      </c>
      <c r="T10" s="619">
        <f t="shared" si="5"/>
        <v>19786219.685823932</v>
      </c>
      <c r="U10" s="624">
        <f t="shared" si="6"/>
        <v>18041246.649256505</v>
      </c>
      <c r="V10" s="447">
        <f t="shared" si="0"/>
        <v>0</v>
      </c>
      <c r="W10" s="429" t="s">
        <v>3182</v>
      </c>
      <c r="X10" s="450">
        <f t="shared" si="1"/>
        <v>0</v>
      </c>
      <c r="Y10" s="451">
        <f t="shared" si="2"/>
        <v>0</v>
      </c>
      <c r="Z10" s="452">
        <f t="shared" si="3"/>
        <v>208275.99669288099</v>
      </c>
      <c r="AA10" s="453">
        <f t="shared" si="4"/>
        <v>1.0638297872340295E-2</v>
      </c>
      <c r="AB10" s="506"/>
      <c r="AC10" s="625" t="s">
        <v>3297</v>
      </c>
      <c r="AD10" s="506"/>
      <c r="AE10" s="506"/>
      <c r="AF10" s="548">
        <f t="shared" si="7"/>
        <v>0</v>
      </c>
      <c r="AG10" s="548">
        <f t="shared" si="8"/>
        <v>0</v>
      </c>
      <c r="AI10" s="619">
        <v>19577943.689131051</v>
      </c>
      <c r="AJ10" s="617" t="s">
        <v>523</v>
      </c>
    </row>
    <row r="11" spans="1:36" ht="14.1" customHeight="1">
      <c r="A11" s="441" t="s">
        <v>320</v>
      </c>
      <c r="B11" s="626" t="s">
        <v>532</v>
      </c>
      <c r="C11" s="627" t="s">
        <v>3165</v>
      </c>
      <c r="D11" s="627" t="s">
        <v>3165</v>
      </c>
      <c r="E11" s="628" t="s">
        <v>3224</v>
      </c>
      <c r="F11" s="629" t="s">
        <v>3165</v>
      </c>
      <c r="G11" s="630" t="s">
        <v>3165</v>
      </c>
      <c r="H11" s="631" t="s">
        <v>3165</v>
      </c>
      <c r="I11" s="631" t="s">
        <v>3165</v>
      </c>
      <c r="J11" s="632" t="s">
        <v>3165</v>
      </c>
      <c r="K11" s="633"/>
      <c r="L11" s="631" t="s">
        <v>3165</v>
      </c>
      <c r="M11" s="634" t="s">
        <v>3165</v>
      </c>
      <c r="N11" s="634" t="s">
        <v>3165</v>
      </c>
      <c r="O11" s="634" t="s">
        <v>3165</v>
      </c>
      <c r="P11" s="634" t="s">
        <v>3165</v>
      </c>
      <c r="Q11" s="635"/>
      <c r="R11" s="636" t="s">
        <v>3165</v>
      </c>
      <c r="S11" s="637"/>
      <c r="T11" s="637"/>
      <c r="U11" s="638" t="e">
        <f t="shared" si="6"/>
        <v>#VALUE!</v>
      </c>
      <c r="V11" s="639" t="s">
        <v>3165</v>
      </c>
      <c r="W11" s="640" t="s">
        <v>3183</v>
      </c>
      <c r="X11" s="641" t="e">
        <f t="shared" si="1"/>
        <v>#VALUE!</v>
      </c>
      <c r="Y11" s="642" t="e">
        <f t="shared" si="2"/>
        <v>#VALUE!</v>
      </c>
      <c r="Z11" s="643" t="e">
        <f t="shared" si="3"/>
        <v>#VALUE!</v>
      </c>
      <c r="AA11" s="644" t="e">
        <f t="shared" si="4"/>
        <v>#VALUE!</v>
      </c>
      <c r="AB11" s="645"/>
      <c r="AC11" s="646"/>
      <c r="AD11" s="506"/>
      <c r="AE11" s="506"/>
      <c r="AF11" s="628" t="s">
        <v>3165</v>
      </c>
      <c r="AG11" s="628" t="s">
        <v>3165</v>
      </c>
      <c r="AH11" s="628" t="s">
        <v>3165</v>
      </c>
      <c r="AI11" s="619" t="s">
        <v>3165</v>
      </c>
      <c r="AJ11" s="617" t="s">
        <v>3165</v>
      </c>
    </row>
    <row r="12" spans="1:36" ht="14.1" customHeight="1">
      <c r="A12" s="441" t="s">
        <v>321</v>
      </c>
      <c r="B12" s="626" t="s">
        <v>841</v>
      </c>
      <c r="C12" s="627" t="s">
        <v>3165</v>
      </c>
      <c r="D12" s="627" t="s">
        <v>3165</v>
      </c>
      <c r="E12" s="628" t="s">
        <v>3224</v>
      </c>
      <c r="F12" s="629" t="s">
        <v>3165</v>
      </c>
      <c r="G12" s="630" t="s">
        <v>3165</v>
      </c>
      <c r="H12" s="631" t="s">
        <v>3165</v>
      </c>
      <c r="I12" s="631" t="s">
        <v>3165</v>
      </c>
      <c r="J12" s="632" t="s">
        <v>3165</v>
      </c>
      <c r="K12" s="633"/>
      <c r="L12" s="631" t="s">
        <v>3165</v>
      </c>
      <c r="M12" s="634" t="s">
        <v>3165</v>
      </c>
      <c r="N12" s="634" t="s">
        <v>3165</v>
      </c>
      <c r="O12" s="634" t="s">
        <v>3165</v>
      </c>
      <c r="P12" s="634" t="s">
        <v>3165</v>
      </c>
      <c r="Q12" s="635"/>
      <c r="R12" s="636" t="s">
        <v>3165</v>
      </c>
      <c r="S12" s="637"/>
      <c r="T12" s="637"/>
      <c r="U12" s="638" t="e">
        <f t="shared" si="6"/>
        <v>#VALUE!</v>
      </c>
      <c r="V12" s="639" t="s">
        <v>3165</v>
      </c>
      <c r="W12" s="640" t="s">
        <v>3183</v>
      </c>
      <c r="X12" s="641" t="e">
        <f t="shared" si="1"/>
        <v>#VALUE!</v>
      </c>
      <c r="Y12" s="642" t="e">
        <f t="shared" si="2"/>
        <v>#VALUE!</v>
      </c>
      <c r="Z12" s="643" t="e">
        <f t="shared" si="3"/>
        <v>#VALUE!</v>
      </c>
      <c r="AA12" s="644" t="e">
        <f t="shared" si="4"/>
        <v>#VALUE!</v>
      </c>
      <c r="AB12" s="645"/>
      <c r="AC12" s="646"/>
      <c r="AD12" s="506"/>
      <c r="AE12" s="506"/>
      <c r="AF12" s="628" t="s">
        <v>3165</v>
      </c>
      <c r="AG12" s="628" t="s">
        <v>3165</v>
      </c>
      <c r="AH12" s="628" t="s">
        <v>3165</v>
      </c>
      <c r="AI12" s="619" t="s">
        <v>3165</v>
      </c>
      <c r="AJ12" s="617" t="s">
        <v>3165</v>
      </c>
    </row>
    <row r="13" spans="1:36" ht="14.1" customHeight="1">
      <c r="A13" s="441" t="s">
        <v>419</v>
      </c>
      <c r="B13" s="622" t="s">
        <v>295</v>
      </c>
      <c r="C13" s="442">
        <v>12329100.529100532</v>
      </c>
      <c r="D13" s="442">
        <v>11520634.92063492</v>
      </c>
      <c r="E13" s="443" t="s">
        <v>3224</v>
      </c>
      <c r="F13" s="422">
        <v>12200000.000000004</v>
      </c>
      <c r="G13" s="444">
        <v>11400000</v>
      </c>
      <c r="H13" s="610">
        <v>0.94499999999999995</v>
      </c>
      <c r="I13" s="542">
        <v>0.94499999999999995</v>
      </c>
      <c r="J13" s="621">
        <f>94.5%+1%</f>
        <v>0.95499999999999996</v>
      </c>
      <c r="K13" s="540">
        <v>0.95499999999999996</v>
      </c>
      <c r="L13" s="445">
        <v>8.9999999999999993E-3</v>
      </c>
      <c r="M13" s="447">
        <v>8.9999999999999993E-3</v>
      </c>
      <c r="N13" s="612">
        <v>8.9999999999999993E-3</v>
      </c>
      <c r="O13" s="448">
        <v>0</v>
      </c>
      <c r="P13" s="447">
        <v>0</v>
      </c>
      <c r="Q13" s="612">
        <v>0</v>
      </c>
      <c r="R13" s="445">
        <v>0</v>
      </c>
      <c r="S13" s="613">
        <v>0</v>
      </c>
      <c r="T13" s="619">
        <f t="shared" si="5"/>
        <v>12329100.529100532</v>
      </c>
      <c r="U13" s="615">
        <f t="shared" si="6"/>
        <v>11520634.92063492</v>
      </c>
      <c r="V13" s="447">
        <f t="shared" ref="V13:V76" si="9">(T13-C13)/C13</f>
        <v>0</v>
      </c>
      <c r="X13" s="450">
        <f t="shared" si="1"/>
        <v>0</v>
      </c>
      <c r="Y13" s="451">
        <f t="shared" si="2"/>
        <v>0</v>
      </c>
      <c r="Z13" s="452">
        <f t="shared" si="3"/>
        <v>129100.52910052799</v>
      </c>
      <c r="AA13" s="453">
        <f t="shared" si="4"/>
        <v>1.0582010582010488E-2</v>
      </c>
      <c r="AB13" s="506"/>
      <c r="AC13" s="625" t="s">
        <v>3297</v>
      </c>
      <c r="AD13" s="506"/>
      <c r="AE13" s="506" t="s">
        <v>3192</v>
      </c>
      <c r="AF13" s="548">
        <f t="shared" ref="AF13:AF76" si="10">(AI13/F13-1)%</f>
        <v>0</v>
      </c>
      <c r="AG13" s="548">
        <f t="shared" ref="AG13:AG76" si="11">AI13-F13</f>
        <v>0</v>
      </c>
      <c r="AI13" s="619">
        <v>12200000.000000004</v>
      </c>
      <c r="AJ13" s="617" t="s">
        <v>523</v>
      </c>
    </row>
    <row r="14" spans="1:36" ht="14.1" customHeight="1">
      <c r="A14" s="441" t="s">
        <v>421</v>
      </c>
      <c r="B14" s="609" t="s">
        <v>288</v>
      </c>
      <c r="C14" s="442">
        <v>18541000</v>
      </c>
      <c r="D14" s="442">
        <v>17400000</v>
      </c>
      <c r="E14" s="443" t="s">
        <v>3227</v>
      </c>
      <c r="F14" s="422">
        <v>18541000</v>
      </c>
      <c r="G14" s="444">
        <v>17400000</v>
      </c>
      <c r="H14" s="610">
        <v>0.96799999999999997</v>
      </c>
      <c r="I14" s="445">
        <v>0.96799999999999997</v>
      </c>
      <c r="J14" s="611">
        <v>0.96799999999999997</v>
      </c>
      <c r="K14" s="540">
        <v>0.96799999999999997</v>
      </c>
      <c r="L14" s="445">
        <v>0</v>
      </c>
      <c r="M14" s="447">
        <v>0</v>
      </c>
      <c r="N14" s="612">
        <v>0</v>
      </c>
      <c r="O14" s="448">
        <v>0</v>
      </c>
      <c r="P14" s="447">
        <v>0</v>
      </c>
      <c r="Q14" s="612">
        <v>0</v>
      </c>
      <c r="R14" s="445">
        <v>0</v>
      </c>
      <c r="S14" s="613">
        <v>0</v>
      </c>
      <c r="T14" s="619">
        <f t="shared" si="5"/>
        <v>18541000</v>
      </c>
      <c r="U14" s="615">
        <f t="shared" si="6"/>
        <v>17400000</v>
      </c>
      <c r="V14" s="447">
        <f t="shared" si="9"/>
        <v>0</v>
      </c>
      <c r="X14" s="450">
        <f t="shared" si="1"/>
        <v>0</v>
      </c>
      <c r="Y14" s="451">
        <f t="shared" si="2"/>
        <v>0</v>
      </c>
      <c r="Z14" s="452">
        <f t="shared" si="3"/>
        <v>0</v>
      </c>
      <c r="AA14" s="453">
        <f t="shared" si="4"/>
        <v>0</v>
      </c>
      <c r="AB14" s="506"/>
      <c r="AC14" s="616"/>
      <c r="AD14" s="506"/>
      <c r="AE14" s="506"/>
      <c r="AF14" s="548">
        <f t="shared" si="10"/>
        <v>0</v>
      </c>
      <c r="AG14" s="548">
        <f t="shared" si="11"/>
        <v>0</v>
      </c>
      <c r="AI14" s="619">
        <v>18541000</v>
      </c>
      <c r="AJ14" s="617" t="s">
        <v>523</v>
      </c>
    </row>
    <row r="15" spans="1:36" ht="14.1" customHeight="1">
      <c r="A15" s="441" t="s">
        <v>423</v>
      </c>
      <c r="B15" s="622" t="s">
        <v>289</v>
      </c>
      <c r="C15" s="442">
        <v>29600000</v>
      </c>
      <c r="D15" s="442">
        <v>27400000</v>
      </c>
      <c r="E15" s="443" t="s">
        <v>3224</v>
      </c>
      <c r="F15" s="422">
        <v>29600000</v>
      </c>
      <c r="G15" s="444">
        <v>27400000</v>
      </c>
      <c r="H15" s="610">
        <v>0.96299999999999997</v>
      </c>
      <c r="I15" s="445">
        <v>0.96299999999999997</v>
      </c>
      <c r="J15" s="611">
        <v>0.96299999999999997</v>
      </c>
      <c r="K15" s="620">
        <v>0.96499999999999997</v>
      </c>
      <c r="L15" s="445">
        <v>0</v>
      </c>
      <c r="M15" s="447">
        <v>0</v>
      </c>
      <c r="N15" s="618">
        <v>0</v>
      </c>
      <c r="O15" s="448">
        <v>0</v>
      </c>
      <c r="P15" s="447">
        <v>0</v>
      </c>
      <c r="Q15" s="612">
        <v>0</v>
      </c>
      <c r="R15" s="445">
        <v>0</v>
      </c>
      <c r="S15" s="613">
        <v>0</v>
      </c>
      <c r="T15" s="619">
        <f t="shared" si="5"/>
        <v>29661474.558670819</v>
      </c>
      <c r="U15" s="615">
        <f t="shared" si="6"/>
        <v>27456905.503634475</v>
      </c>
      <c r="V15" s="447">
        <f t="shared" si="9"/>
        <v>2.0768431983384733E-3</v>
      </c>
      <c r="X15" s="450">
        <f t="shared" si="1"/>
        <v>61474.558670818806</v>
      </c>
      <c r="Y15" s="451">
        <f t="shared" si="2"/>
        <v>2.0768431983384733E-3</v>
      </c>
      <c r="Z15" s="452">
        <f t="shared" si="3"/>
        <v>61474.558670818806</v>
      </c>
      <c r="AA15" s="453">
        <f t="shared" si="4"/>
        <v>2.0768431983384733E-3</v>
      </c>
      <c r="AB15" s="506"/>
      <c r="AC15" s="616"/>
      <c r="AD15" s="506"/>
      <c r="AE15" s="506"/>
      <c r="AF15" s="548">
        <f t="shared" si="10"/>
        <v>0</v>
      </c>
      <c r="AG15" s="548">
        <f t="shared" si="11"/>
        <v>0</v>
      </c>
      <c r="AI15" s="619">
        <v>29600000</v>
      </c>
      <c r="AJ15" s="617" t="s">
        <v>523</v>
      </c>
    </row>
    <row r="16" spans="1:36" ht="14.1" customHeight="1">
      <c r="A16" s="441" t="s">
        <v>425</v>
      </c>
      <c r="B16" s="609" t="s">
        <v>296</v>
      </c>
      <c r="C16" s="442">
        <v>19599999.999999996</v>
      </c>
      <c r="D16" s="442">
        <v>18000000</v>
      </c>
      <c r="E16" s="443" t="s">
        <v>3224</v>
      </c>
      <c r="F16" s="422">
        <v>19599999.999999996</v>
      </c>
      <c r="G16" s="444">
        <v>18000000</v>
      </c>
      <c r="H16" s="610">
        <v>0.97599999999999998</v>
      </c>
      <c r="I16" s="445">
        <v>0.97599999999999998</v>
      </c>
      <c r="J16" s="611">
        <v>0.97599999999999998</v>
      </c>
      <c r="K16" s="540">
        <v>0.97599999999999998</v>
      </c>
      <c r="L16" s="445">
        <v>0</v>
      </c>
      <c r="M16" s="447">
        <v>0</v>
      </c>
      <c r="N16" s="618">
        <v>0</v>
      </c>
      <c r="O16" s="448">
        <v>0</v>
      </c>
      <c r="P16" s="447">
        <v>0</v>
      </c>
      <c r="Q16" s="612">
        <v>0</v>
      </c>
      <c r="R16" s="445">
        <v>0</v>
      </c>
      <c r="S16" s="613">
        <v>0</v>
      </c>
      <c r="T16" s="619">
        <f t="shared" si="5"/>
        <v>19599999.999999996</v>
      </c>
      <c r="U16" s="615">
        <f t="shared" si="6"/>
        <v>18000000</v>
      </c>
      <c r="V16" s="447">
        <f t="shared" si="9"/>
        <v>0</v>
      </c>
      <c r="X16" s="450">
        <f t="shared" si="1"/>
        <v>0</v>
      </c>
      <c r="Y16" s="451">
        <f t="shared" si="2"/>
        <v>0</v>
      </c>
      <c r="Z16" s="452">
        <f t="shared" si="3"/>
        <v>0</v>
      </c>
      <c r="AA16" s="453">
        <f t="shared" si="4"/>
        <v>0</v>
      </c>
      <c r="AB16" s="506"/>
      <c r="AC16" s="616"/>
      <c r="AD16" s="506"/>
      <c r="AE16" s="506"/>
      <c r="AF16" s="548">
        <f t="shared" si="10"/>
        <v>0</v>
      </c>
      <c r="AG16" s="548">
        <f t="shared" si="11"/>
        <v>0</v>
      </c>
      <c r="AI16" s="619">
        <v>19599999.999999996</v>
      </c>
      <c r="AJ16" s="617" t="s">
        <v>523</v>
      </c>
    </row>
    <row r="17" spans="1:36" ht="14.1" customHeight="1">
      <c r="A17" s="441" t="s">
        <v>427</v>
      </c>
      <c r="B17" s="609" t="s">
        <v>347</v>
      </c>
      <c r="C17" s="442">
        <v>25756897.611072589</v>
      </c>
      <c r="D17" s="442">
        <v>23932000</v>
      </c>
      <c r="E17" s="443" t="s">
        <v>3487</v>
      </c>
      <c r="F17" s="422">
        <v>25539826.512097385</v>
      </c>
      <c r="G17" s="444" t="s">
        <v>3488</v>
      </c>
      <c r="H17" s="610">
        <v>0.98199999999999998</v>
      </c>
      <c r="I17" s="445">
        <v>0.98199999999999998</v>
      </c>
      <c r="J17" s="611">
        <v>0.98199999999999998</v>
      </c>
      <c r="K17" s="647">
        <v>0.98199999999999998</v>
      </c>
      <c r="L17" s="445">
        <v>0</v>
      </c>
      <c r="M17" s="447">
        <v>0</v>
      </c>
      <c r="N17" s="648">
        <v>0</v>
      </c>
      <c r="O17" s="448">
        <v>0</v>
      </c>
      <c r="P17" s="447">
        <v>0</v>
      </c>
      <c r="Q17" s="623">
        <v>1.8E-3</v>
      </c>
      <c r="R17" s="445">
        <v>0</v>
      </c>
      <c r="S17" s="613">
        <v>0</v>
      </c>
      <c r="T17" s="619">
        <f t="shared" si="5"/>
        <v>25493854.824375607</v>
      </c>
      <c r="U17" s="694" t="e">
        <f>G17/I17*K17/(1-L17)*(1-N17)/(1-O17)*(1-Q17)*(1+S17)</f>
        <v>#VALUE!</v>
      </c>
      <c r="V17" s="447">
        <f t="shared" si="9"/>
        <v>-1.0212518241478842E-2</v>
      </c>
      <c r="W17" s="429" t="s">
        <v>3182</v>
      </c>
      <c r="X17" s="450">
        <f t="shared" si="1"/>
        <v>-263042.78669698164</v>
      </c>
      <c r="Y17" s="451">
        <f t="shared" si="2"/>
        <v>-1.0212518241478842E-2</v>
      </c>
      <c r="Z17" s="452">
        <f t="shared" si="3"/>
        <v>-45971.687721777707</v>
      </c>
      <c r="AA17" s="453">
        <f t="shared" si="4"/>
        <v>-1.8000000000000945E-3</v>
      </c>
      <c r="AB17" s="506"/>
      <c r="AC17" s="616"/>
      <c r="AD17" s="506"/>
      <c r="AE17" s="506"/>
      <c r="AF17" s="548">
        <f t="shared" si="10"/>
        <v>8.4993176783085828E-5</v>
      </c>
      <c r="AG17" s="548">
        <f t="shared" si="11"/>
        <v>217071.09897520393</v>
      </c>
      <c r="AH17" t="s">
        <v>3489</v>
      </c>
      <c r="AI17" s="619">
        <v>25756897.611072589</v>
      </c>
      <c r="AJ17" s="617" t="s">
        <v>895</v>
      </c>
    </row>
    <row r="18" spans="1:36" ht="14.1" customHeight="1">
      <c r="A18" s="441" t="s">
        <v>427</v>
      </c>
      <c r="B18" s="609" t="s">
        <v>348</v>
      </c>
      <c r="C18" s="442">
        <v>12767652.564214561</v>
      </c>
      <c r="D18" s="442">
        <v>11863000</v>
      </c>
      <c r="E18" s="443" t="s">
        <v>3487</v>
      </c>
      <c r="F18" s="422">
        <v>12660050.770889258</v>
      </c>
      <c r="G18" s="444" t="s">
        <v>3488</v>
      </c>
      <c r="H18" s="610">
        <v>0.98199999999999998</v>
      </c>
      <c r="I18" s="445">
        <v>0.98199999999999998</v>
      </c>
      <c r="J18" s="611">
        <v>0.98199999999999998</v>
      </c>
      <c r="K18" s="647">
        <v>0.98199999999999998</v>
      </c>
      <c r="L18" s="445">
        <v>0</v>
      </c>
      <c r="M18" s="447">
        <v>0</v>
      </c>
      <c r="N18" s="648">
        <v>0</v>
      </c>
      <c r="O18" s="448">
        <v>0</v>
      </c>
      <c r="P18" s="447">
        <v>0</v>
      </c>
      <c r="Q18" s="623">
        <v>1.8E-3</v>
      </c>
      <c r="R18" s="445">
        <v>0</v>
      </c>
      <c r="S18" s="613">
        <v>0</v>
      </c>
      <c r="T18" s="619">
        <f t="shared" si="5"/>
        <v>12637262.679501656</v>
      </c>
      <c r="U18" s="649" t="e">
        <f t="shared" si="6"/>
        <v>#VALUE!</v>
      </c>
      <c r="V18" s="447">
        <f t="shared" si="9"/>
        <v>-1.0212518241478792E-2</v>
      </c>
      <c r="W18" s="429" t="s">
        <v>3182</v>
      </c>
      <c r="X18" s="450">
        <f t="shared" si="1"/>
        <v>-130389.88471290469</v>
      </c>
      <c r="Y18" s="451">
        <f t="shared" si="2"/>
        <v>-1.0212518241478792E-2</v>
      </c>
      <c r="Z18" s="452">
        <f t="shared" si="3"/>
        <v>-22788.091387601569</v>
      </c>
      <c r="AA18" s="453">
        <f t="shared" si="4"/>
        <v>-1.8000000000000715E-3</v>
      </c>
      <c r="AB18" s="506"/>
      <c r="AC18" s="616"/>
      <c r="AD18" s="506"/>
      <c r="AE18" s="506"/>
      <c r="AF18" s="548">
        <f t="shared" si="10"/>
        <v>8.4993176783085828E-5</v>
      </c>
      <c r="AG18" s="548">
        <f t="shared" si="11"/>
        <v>107601.79332530312</v>
      </c>
      <c r="AH18" t="s">
        <v>3489</v>
      </c>
      <c r="AI18" s="619">
        <v>12767652.564214561</v>
      </c>
      <c r="AJ18" s="617" t="s">
        <v>895</v>
      </c>
    </row>
    <row r="19" spans="1:36" ht="14.1" customHeight="1">
      <c r="A19" s="441" t="s">
        <v>427</v>
      </c>
      <c r="B19" s="609" t="s">
        <v>349</v>
      </c>
      <c r="C19" s="442">
        <v>24975449.824712824</v>
      </c>
      <c r="D19" s="442">
        <v>23206000</v>
      </c>
      <c r="E19" s="443" t="s">
        <v>3487</v>
      </c>
      <c r="F19" s="422">
        <v>24764964.523931887</v>
      </c>
      <c r="G19" s="444" t="s">
        <v>3488</v>
      </c>
      <c r="H19" s="610">
        <v>0.98199999999999998</v>
      </c>
      <c r="I19" s="445">
        <v>0.98199999999999998</v>
      </c>
      <c r="J19" s="611">
        <v>0.98199999999999998</v>
      </c>
      <c r="K19" s="647">
        <v>0.98199999999999998</v>
      </c>
      <c r="L19" s="445">
        <v>0</v>
      </c>
      <c r="M19" s="447">
        <v>0</v>
      </c>
      <c r="N19" s="648">
        <v>0</v>
      </c>
      <c r="O19" s="448">
        <v>0</v>
      </c>
      <c r="P19" s="447">
        <v>0</v>
      </c>
      <c r="Q19" s="623">
        <v>1.8E-3</v>
      </c>
      <c r="R19" s="445">
        <v>0</v>
      </c>
      <c r="S19" s="613">
        <v>0</v>
      </c>
      <c r="T19" s="619">
        <f t="shared" si="5"/>
        <v>24720387.587788809</v>
      </c>
      <c r="U19" s="649" t="e">
        <f t="shared" si="6"/>
        <v>#VALUE!</v>
      </c>
      <c r="V19" s="447">
        <f t="shared" si="9"/>
        <v>-1.0212518241478671E-2</v>
      </c>
      <c r="W19" s="429" t="s">
        <v>3182</v>
      </c>
      <c r="X19" s="450">
        <f t="shared" si="1"/>
        <v>-255062.23692401499</v>
      </c>
      <c r="Y19" s="451">
        <f t="shared" si="2"/>
        <v>-1.0212518241478671E-2</v>
      </c>
      <c r="Z19" s="452">
        <f t="shared" si="3"/>
        <v>-44576.93614307791</v>
      </c>
      <c r="AA19" s="453">
        <f t="shared" si="4"/>
        <v>-1.8000000000000208E-3</v>
      </c>
      <c r="AB19" s="506"/>
      <c r="AC19" s="616"/>
      <c r="AD19" s="506"/>
      <c r="AE19" s="506"/>
      <c r="AF19" s="548">
        <f t="shared" si="10"/>
        <v>8.4993176783085828E-5</v>
      </c>
      <c r="AG19" s="548">
        <f t="shared" si="11"/>
        <v>210485.30078093708</v>
      </c>
      <c r="AH19" t="s">
        <v>3489</v>
      </c>
      <c r="AI19" s="619">
        <v>24975449.824712824</v>
      </c>
      <c r="AJ19" s="617" t="s">
        <v>895</v>
      </c>
    </row>
    <row r="20" spans="1:36" ht="14.1" customHeight="1">
      <c r="A20" s="441" t="s">
        <v>429</v>
      </c>
      <c r="B20" s="609" t="s">
        <v>297</v>
      </c>
      <c r="C20" s="442">
        <v>24399999.999999993</v>
      </c>
      <c r="D20" s="442">
        <v>22700000</v>
      </c>
      <c r="E20" s="443" t="s">
        <v>3487</v>
      </c>
      <c r="F20" s="422">
        <v>24365258.102253318</v>
      </c>
      <c r="G20" s="444" t="s">
        <v>3488</v>
      </c>
      <c r="H20" s="610">
        <v>0.97699999999999998</v>
      </c>
      <c r="I20" s="445">
        <v>0.97699999999999998</v>
      </c>
      <c r="J20" s="611">
        <v>0.97699999999999998</v>
      </c>
      <c r="K20" s="650">
        <v>0.97699999999999998</v>
      </c>
      <c r="L20" s="445">
        <v>0</v>
      </c>
      <c r="M20" s="447">
        <v>0</v>
      </c>
      <c r="N20" s="648">
        <v>0</v>
      </c>
      <c r="O20" s="448">
        <v>0</v>
      </c>
      <c r="P20" s="447">
        <v>0</v>
      </c>
      <c r="Q20" s="651">
        <v>0</v>
      </c>
      <c r="R20" s="445">
        <v>0</v>
      </c>
      <c r="S20" s="613">
        <v>0</v>
      </c>
      <c r="T20" s="619">
        <f t="shared" si="5"/>
        <v>24365258.102253318</v>
      </c>
      <c r="U20" s="649" t="e">
        <f t="shared" si="6"/>
        <v>#VALUE!</v>
      </c>
      <c r="V20" s="447">
        <f t="shared" si="9"/>
        <v>-1.4238482683063412E-3</v>
      </c>
      <c r="X20" s="450">
        <f t="shared" si="1"/>
        <v>-34741.897746674716</v>
      </c>
      <c r="Y20" s="451">
        <f t="shared" si="2"/>
        <v>-1.4238482683063412E-3</v>
      </c>
      <c r="Z20" s="452">
        <f t="shared" si="3"/>
        <v>0</v>
      </c>
      <c r="AA20" s="453">
        <f t="shared" si="4"/>
        <v>0</v>
      </c>
      <c r="AB20" s="506"/>
      <c r="AC20" s="616"/>
      <c r="AD20" s="506"/>
      <c r="AE20" s="506"/>
      <c r="AF20" s="548">
        <f t="shared" si="10"/>
        <v>1.4258785029435117E-5</v>
      </c>
      <c r="AG20" s="548">
        <f t="shared" si="11"/>
        <v>34741.897746674716</v>
      </c>
      <c r="AH20" t="s">
        <v>3489</v>
      </c>
      <c r="AI20" s="619">
        <v>24399999.999999993</v>
      </c>
      <c r="AJ20" s="617" t="s">
        <v>895</v>
      </c>
    </row>
    <row r="21" spans="1:36" ht="14.1" customHeight="1">
      <c r="A21" s="441" t="s">
        <v>437</v>
      </c>
      <c r="B21" s="609" t="s">
        <v>533</v>
      </c>
      <c r="C21" s="442">
        <v>25148501.154728971</v>
      </c>
      <c r="D21" s="442">
        <v>23629282.098995611</v>
      </c>
      <c r="E21" s="443" t="s">
        <v>3487</v>
      </c>
      <c r="F21" s="422">
        <v>24320966.603558995</v>
      </c>
      <c r="G21" s="444" t="s">
        <v>3488</v>
      </c>
      <c r="H21" s="542">
        <v>0.97</v>
      </c>
      <c r="I21" s="445">
        <v>0.97</v>
      </c>
      <c r="J21" s="652">
        <v>0.98</v>
      </c>
      <c r="K21" s="653">
        <v>0.98</v>
      </c>
      <c r="L21" s="445">
        <v>0</v>
      </c>
      <c r="M21" s="447">
        <v>0</v>
      </c>
      <c r="N21" s="648">
        <v>0</v>
      </c>
      <c r="O21" s="448">
        <v>0</v>
      </c>
      <c r="P21" s="447">
        <v>0</v>
      </c>
      <c r="Q21" s="651">
        <v>0</v>
      </c>
      <c r="R21" s="445">
        <v>2.1999999999999999E-2</v>
      </c>
      <c r="S21" s="654">
        <v>2.1968309734843552E-2</v>
      </c>
      <c r="T21" s="619">
        <f t="shared" si="5"/>
        <v>25111496.895193432</v>
      </c>
      <c r="U21" s="649" t="e">
        <f t="shared" si="6"/>
        <v>#VALUE!</v>
      </c>
      <c r="V21" s="447">
        <f t="shared" si="9"/>
        <v>-1.471430019143767E-3</v>
      </c>
      <c r="W21" s="429" t="s">
        <v>3182</v>
      </c>
      <c r="X21" s="450">
        <f t="shared" si="1"/>
        <v>-37004.259535539895</v>
      </c>
      <c r="Y21" s="451">
        <f t="shared" si="2"/>
        <v>-1.471430019143767E-3</v>
      </c>
      <c r="Z21" s="452">
        <f t="shared" si="3"/>
        <v>790530.2916344367</v>
      </c>
      <c r="AA21" s="453">
        <f t="shared" si="4"/>
        <v>3.2504065505305817E-2</v>
      </c>
      <c r="AB21" s="506"/>
      <c r="AC21" s="655" t="s">
        <v>3336</v>
      </c>
      <c r="AD21" s="506" t="s">
        <v>3298</v>
      </c>
      <c r="AE21" s="506" t="s">
        <v>3298</v>
      </c>
      <c r="AF21" s="548">
        <f t="shared" si="10"/>
        <v>1.4425445352395094E-5</v>
      </c>
      <c r="AG21" s="548">
        <f t="shared" si="11"/>
        <v>35084.077465705574</v>
      </c>
      <c r="AH21" s="459" t="s">
        <v>3489</v>
      </c>
      <c r="AI21" s="619">
        <v>24356050.6810247</v>
      </c>
      <c r="AJ21" s="617" t="s">
        <v>895</v>
      </c>
    </row>
    <row r="22" spans="1:36" ht="14.1" customHeight="1">
      <c r="A22" s="441" t="s">
        <v>437</v>
      </c>
      <c r="B22" s="609" t="s">
        <v>534</v>
      </c>
      <c r="C22" s="442">
        <v>25821196.927723352</v>
      </c>
      <c r="D22" s="442">
        <v>24261340.371140279</v>
      </c>
      <c r="E22" s="443" t="s">
        <v>3487</v>
      </c>
      <c r="F22" s="422">
        <v>24971526.703689463</v>
      </c>
      <c r="G22" s="444" t="s">
        <v>3488</v>
      </c>
      <c r="H22" s="542">
        <v>0.97</v>
      </c>
      <c r="I22" s="445">
        <v>0.97</v>
      </c>
      <c r="J22" s="652">
        <v>0.98</v>
      </c>
      <c r="K22" s="653">
        <v>0.98</v>
      </c>
      <c r="L22" s="445">
        <v>0</v>
      </c>
      <c r="M22" s="447">
        <v>0</v>
      </c>
      <c r="N22" s="648">
        <v>0</v>
      </c>
      <c r="O22" s="448">
        <v>0</v>
      </c>
      <c r="P22" s="447">
        <v>0</v>
      </c>
      <c r="Q22" s="651">
        <v>0</v>
      </c>
      <c r="R22" s="445">
        <v>2.1999999999999999E-2</v>
      </c>
      <c r="S22" s="654">
        <v>2.1968309734843552E-2</v>
      </c>
      <c r="T22" s="619">
        <f t="shared" si="5"/>
        <v>25783202.843433682</v>
      </c>
      <c r="U22" s="649" t="e">
        <f t="shared" si="6"/>
        <v>#VALUE!</v>
      </c>
      <c r="V22" s="447">
        <f t="shared" si="9"/>
        <v>-1.4714300191435749E-3</v>
      </c>
      <c r="W22" s="429" t="s">
        <v>3182</v>
      </c>
      <c r="X22" s="450">
        <f t="shared" si="1"/>
        <v>-37994.084289669991</v>
      </c>
      <c r="Y22" s="451">
        <f t="shared" si="2"/>
        <v>-1.4714300191435749E-3</v>
      </c>
      <c r="Z22" s="452">
        <f t="shared" si="3"/>
        <v>811676.13974421844</v>
      </c>
      <c r="AA22" s="453">
        <f t="shared" si="4"/>
        <v>3.2504065505305921E-2</v>
      </c>
      <c r="AB22" s="506"/>
      <c r="AC22" s="655" t="s">
        <v>3336</v>
      </c>
      <c r="AD22" s="506" t="s">
        <v>3298</v>
      </c>
      <c r="AE22" s="506" t="s">
        <v>3298</v>
      </c>
      <c r="AF22" s="548">
        <f t="shared" si="10"/>
        <v>1.4425445352395094E-5</v>
      </c>
      <c r="AG22" s="548">
        <f t="shared" si="11"/>
        <v>36022.539382994175</v>
      </c>
      <c r="AH22" s="459" t="s">
        <v>3489</v>
      </c>
      <c r="AI22" s="619">
        <v>25007549.243072458</v>
      </c>
      <c r="AJ22" s="617" t="s">
        <v>895</v>
      </c>
    </row>
    <row r="23" spans="1:36" ht="14.1" customHeight="1">
      <c r="A23" s="441" t="s">
        <v>437</v>
      </c>
      <c r="B23" s="609" t="s">
        <v>535</v>
      </c>
      <c r="C23" s="442">
        <v>12741128.324654467</v>
      </c>
      <c r="D23" s="442">
        <v>11971437.724675342</v>
      </c>
      <c r="E23" s="443" t="s">
        <v>3487</v>
      </c>
      <c r="F23" s="422">
        <v>12321869.783373199</v>
      </c>
      <c r="G23" s="444" t="s">
        <v>3488</v>
      </c>
      <c r="H23" s="542">
        <v>0.97</v>
      </c>
      <c r="I23" s="445">
        <v>0.97</v>
      </c>
      <c r="J23" s="652">
        <v>0.98</v>
      </c>
      <c r="K23" s="653">
        <v>0.98</v>
      </c>
      <c r="L23" s="445">
        <v>0</v>
      </c>
      <c r="M23" s="447">
        <v>0</v>
      </c>
      <c r="N23" s="648">
        <v>0</v>
      </c>
      <c r="O23" s="448">
        <v>0</v>
      </c>
      <c r="P23" s="447">
        <v>0</v>
      </c>
      <c r="Q23" s="651">
        <v>0</v>
      </c>
      <c r="R23" s="445">
        <v>2.1999999999999999E-2</v>
      </c>
      <c r="S23" s="654">
        <v>2.1968309734843552E-2</v>
      </c>
      <c r="T23" s="619">
        <f t="shared" si="5"/>
        <v>12722380.645959811</v>
      </c>
      <c r="U23" s="649" t="e">
        <f t="shared" si="6"/>
        <v>#VALUE!</v>
      </c>
      <c r="V23" s="447">
        <f t="shared" si="9"/>
        <v>-1.4714300191435005E-3</v>
      </c>
      <c r="W23" s="429" t="s">
        <v>3182</v>
      </c>
      <c r="X23" s="450">
        <f t="shared" si="1"/>
        <v>-18747.678694656119</v>
      </c>
      <c r="Y23" s="451">
        <f t="shared" si="2"/>
        <v>-1.4714300191435005E-3</v>
      </c>
      <c r="Z23" s="452">
        <f t="shared" si="3"/>
        <v>400510.86258661188</v>
      </c>
      <c r="AA23" s="453">
        <f t="shared" si="4"/>
        <v>3.25040655053059E-2</v>
      </c>
      <c r="AB23" s="506"/>
      <c r="AC23" s="655" t="s">
        <v>3336</v>
      </c>
      <c r="AD23" s="506" t="s">
        <v>3298</v>
      </c>
      <c r="AE23" s="506" t="s">
        <v>3298</v>
      </c>
      <c r="AF23" s="548">
        <f t="shared" si="10"/>
        <v>1.4425445352395094E-5</v>
      </c>
      <c r="AG23" s="548">
        <f t="shared" si="11"/>
        <v>17774.845919936895</v>
      </c>
      <c r="AH23" s="459" t="s">
        <v>3489</v>
      </c>
      <c r="AI23" s="619">
        <v>12339644.629293136</v>
      </c>
      <c r="AJ23" s="617" t="s">
        <v>895</v>
      </c>
    </row>
    <row r="24" spans="1:36" ht="14.1" customHeight="1">
      <c r="A24" s="441" t="s">
        <v>437</v>
      </c>
      <c r="B24" s="609" t="s">
        <v>536</v>
      </c>
      <c r="C24" s="442">
        <v>32005268.438254043</v>
      </c>
      <c r="D24" s="442">
        <v>30071832.588693924</v>
      </c>
      <c r="E24" s="443" t="s">
        <v>3487</v>
      </c>
      <c r="F24" s="422">
        <v>30952105.655741859</v>
      </c>
      <c r="G24" s="444" t="s">
        <v>3488</v>
      </c>
      <c r="H24" s="542">
        <v>0.97</v>
      </c>
      <c r="I24" s="445">
        <v>0.97</v>
      </c>
      <c r="J24" s="652">
        <v>0.98</v>
      </c>
      <c r="K24" s="653">
        <v>0.98</v>
      </c>
      <c r="L24" s="445">
        <v>0</v>
      </c>
      <c r="M24" s="447">
        <v>0</v>
      </c>
      <c r="N24" s="648">
        <v>0</v>
      </c>
      <c r="O24" s="448">
        <v>0</v>
      </c>
      <c r="P24" s="447">
        <v>0</v>
      </c>
      <c r="Q24" s="651">
        <v>0</v>
      </c>
      <c r="R24" s="445">
        <v>2.1999999999999999E-2</v>
      </c>
      <c r="S24" s="654">
        <v>2.1968309734843549E-2</v>
      </c>
      <c r="T24" s="619">
        <f t="shared" si="5"/>
        <v>31958174.925503239</v>
      </c>
      <c r="U24" s="649" t="e">
        <f t="shared" si="6"/>
        <v>#VALUE!</v>
      </c>
      <c r="V24" s="447">
        <f t="shared" si="9"/>
        <v>-1.4714300191438568E-3</v>
      </c>
      <c r="W24" s="429" t="s">
        <v>3182</v>
      </c>
      <c r="X24" s="450">
        <f t="shared" si="1"/>
        <v>-47093.512750804424</v>
      </c>
      <c r="Y24" s="451">
        <f t="shared" si="2"/>
        <v>-1.4714300191438568E-3</v>
      </c>
      <c r="Z24" s="452">
        <f t="shared" si="3"/>
        <v>1006069.2697613798</v>
      </c>
      <c r="AA24" s="453">
        <f t="shared" si="4"/>
        <v>3.250406550530581E-2</v>
      </c>
      <c r="AB24" s="506"/>
      <c r="AC24" s="655" t="s">
        <v>3336</v>
      </c>
      <c r="AD24" s="506" t="s">
        <v>3298</v>
      </c>
      <c r="AE24" s="506" t="s">
        <v>3298</v>
      </c>
      <c r="AF24" s="548">
        <f t="shared" si="10"/>
        <v>1.4425445352395094E-5</v>
      </c>
      <c r="AG24" s="548">
        <f t="shared" si="11"/>
        <v>44649.790867846459</v>
      </c>
      <c r="AH24" s="459" t="s">
        <v>3489</v>
      </c>
      <c r="AI24" s="619">
        <v>30996755.446609706</v>
      </c>
      <c r="AJ24" s="617" t="s">
        <v>895</v>
      </c>
    </row>
    <row r="25" spans="1:36" ht="14.1" customHeight="1">
      <c r="A25" s="441" t="s">
        <v>260</v>
      </c>
      <c r="B25" s="609" t="s">
        <v>537</v>
      </c>
      <c r="C25" s="442">
        <v>19634800</v>
      </c>
      <c r="D25" s="442">
        <v>18195600</v>
      </c>
      <c r="E25" s="443" t="s">
        <v>3487</v>
      </c>
      <c r="F25" s="422">
        <v>19100000</v>
      </c>
      <c r="G25" s="444">
        <v>17700000</v>
      </c>
      <c r="H25" s="610">
        <v>0.98499999999999999</v>
      </c>
      <c r="I25" s="445">
        <v>0.98499999999999999</v>
      </c>
      <c r="J25" s="611">
        <v>0.98499999999999999</v>
      </c>
      <c r="K25" s="540">
        <v>0.98499999999999999</v>
      </c>
      <c r="L25" s="445">
        <v>0</v>
      </c>
      <c r="M25" s="447">
        <v>0</v>
      </c>
      <c r="N25" s="618">
        <v>0</v>
      </c>
      <c r="O25" s="448">
        <v>2E-3</v>
      </c>
      <c r="P25" s="447">
        <v>2E-3</v>
      </c>
      <c r="Q25" s="656">
        <v>2E-3</v>
      </c>
      <c r="R25" s="445">
        <v>2.8000000000000001E-2</v>
      </c>
      <c r="S25" s="461">
        <v>2.8000000000000001E-2</v>
      </c>
      <c r="T25" s="619">
        <f t="shared" si="5"/>
        <v>19634800</v>
      </c>
      <c r="U25" s="649">
        <f t="shared" si="6"/>
        <v>18195600</v>
      </c>
      <c r="V25" s="447">
        <f t="shared" si="9"/>
        <v>0</v>
      </c>
      <c r="X25" s="450">
        <f t="shared" si="1"/>
        <v>0</v>
      </c>
      <c r="Y25" s="451">
        <f t="shared" si="2"/>
        <v>0</v>
      </c>
      <c r="Z25" s="452">
        <f t="shared" si="3"/>
        <v>534800</v>
      </c>
      <c r="AA25" s="453">
        <f t="shared" si="4"/>
        <v>2.8000000000000001E-2</v>
      </c>
      <c r="AB25" s="506"/>
      <c r="AC25" s="616"/>
      <c r="AD25" s="506" t="s">
        <v>3193</v>
      </c>
      <c r="AE25" s="506" t="s">
        <v>3193</v>
      </c>
      <c r="AF25" s="548">
        <f t="shared" si="10"/>
        <v>0</v>
      </c>
      <c r="AG25" s="548">
        <f t="shared" si="11"/>
        <v>0</v>
      </c>
      <c r="AI25" s="619">
        <v>19100000</v>
      </c>
      <c r="AJ25" s="617" t="s">
        <v>3490</v>
      </c>
    </row>
    <row r="26" spans="1:36" ht="14.1" customHeight="1">
      <c r="A26" s="441" t="s">
        <v>315</v>
      </c>
      <c r="B26" s="609" t="s">
        <v>538</v>
      </c>
      <c r="C26" s="442">
        <v>38214149.326574512</v>
      </c>
      <c r="D26" s="442">
        <v>35471208.755009621</v>
      </c>
      <c r="E26" s="443" t="s">
        <v>3487</v>
      </c>
      <c r="F26" s="422">
        <v>35867161.945746318</v>
      </c>
      <c r="G26" s="444" t="s">
        <v>3488</v>
      </c>
      <c r="H26" s="610">
        <v>0.92</v>
      </c>
      <c r="I26" s="542">
        <v>0.92</v>
      </c>
      <c r="J26" s="621">
        <f>92%+2.25%</f>
        <v>0.9425</v>
      </c>
      <c r="K26" s="657">
        <v>0.95499999999999996</v>
      </c>
      <c r="L26" s="445">
        <f>100%-98.5293510292217%</f>
        <v>1.4706489707782988E-2</v>
      </c>
      <c r="M26" s="447">
        <v>1E-3</v>
      </c>
      <c r="N26" s="658">
        <v>2.0999999999999999E-3</v>
      </c>
      <c r="O26" s="448">
        <v>0</v>
      </c>
      <c r="P26" s="465">
        <v>1.26E-2</v>
      </c>
      <c r="Q26" s="648">
        <v>1.26E-2</v>
      </c>
      <c r="R26" s="445">
        <f>2.2%+1.2%</f>
        <v>3.4000000000000002E-2</v>
      </c>
      <c r="S26" s="654">
        <f>3.4%*F26/AI26</f>
        <v>3.3817521508000839E-2</v>
      </c>
      <c r="T26" s="619">
        <f t="shared" si="5"/>
        <v>38492043.651489906</v>
      </c>
      <c r="U26" s="649" t="e">
        <f t="shared" si="6"/>
        <v>#VALUE!</v>
      </c>
      <c r="V26" s="447">
        <f t="shared" si="9"/>
        <v>7.2720269798638073E-3</v>
      </c>
      <c r="W26" s="429" t="s">
        <v>3184</v>
      </c>
      <c r="X26" s="450">
        <f t="shared" si="1"/>
        <v>277894.32491539419</v>
      </c>
      <c r="Y26" s="451">
        <f t="shared" si="2"/>
        <v>7.2720269798638073E-3</v>
      </c>
      <c r="Z26" s="452">
        <f t="shared" si="3"/>
        <v>2624881.7057435885</v>
      </c>
      <c r="AA26" s="453">
        <f t="shared" si="4"/>
        <v>7.318342359270183E-2</v>
      </c>
      <c r="AB26" s="506"/>
      <c r="AC26" s="625" t="s">
        <v>3299</v>
      </c>
      <c r="AD26" s="506" t="s">
        <v>3194</v>
      </c>
      <c r="AE26" s="506" t="s">
        <v>3194</v>
      </c>
      <c r="AF26" s="548">
        <f t="shared" si="10"/>
        <v>5.3959747451033382E-5</v>
      </c>
      <c r="AG26" s="548">
        <f t="shared" si="11"/>
        <v>193538.30003777891</v>
      </c>
      <c r="AH26" s="459" t="s">
        <v>3489</v>
      </c>
      <c r="AI26" s="619">
        <v>36060700.245784096</v>
      </c>
      <c r="AJ26" s="617" t="s">
        <v>895</v>
      </c>
    </row>
    <row r="27" spans="1:36" ht="14.1" customHeight="1">
      <c r="A27" s="441" t="s">
        <v>315</v>
      </c>
      <c r="B27" s="609" t="s">
        <v>539</v>
      </c>
      <c r="C27" s="442">
        <v>9773284.0633741841</v>
      </c>
      <c r="D27" s="442">
        <v>9071775.9087437391</v>
      </c>
      <c r="E27" s="443" t="s">
        <v>3487</v>
      </c>
      <c r="F27" s="422">
        <v>9173041.096561959</v>
      </c>
      <c r="G27" s="444" t="s">
        <v>3488</v>
      </c>
      <c r="H27" s="610">
        <v>0.92</v>
      </c>
      <c r="I27" s="542">
        <v>0.92</v>
      </c>
      <c r="J27" s="621">
        <f>92%+2.25%</f>
        <v>0.9425</v>
      </c>
      <c r="K27" s="657">
        <v>0.95499999999999996</v>
      </c>
      <c r="L27" s="445">
        <f>100%-98.5293510292217%</f>
        <v>1.4706489707782988E-2</v>
      </c>
      <c r="M27" s="447">
        <v>1E-3</v>
      </c>
      <c r="N27" s="658">
        <v>2.0999999999999999E-3</v>
      </c>
      <c r="O27" s="448">
        <v>0</v>
      </c>
      <c r="P27" s="465">
        <v>1.26E-2</v>
      </c>
      <c r="Q27" s="648">
        <v>1.26E-2</v>
      </c>
      <c r="R27" s="445">
        <f>2.2%+1.2%</f>
        <v>3.4000000000000002E-2</v>
      </c>
      <c r="S27" s="654">
        <f>3.4%*F27/AI27</f>
        <v>3.3817521508000832E-2</v>
      </c>
      <c r="T27" s="619">
        <f t="shared" si="5"/>
        <v>9844355.6487649176</v>
      </c>
      <c r="U27" s="649" t="e">
        <f t="shared" si="6"/>
        <v>#VALUE!</v>
      </c>
      <c r="V27" s="447">
        <f t="shared" si="9"/>
        <v>7.2720269798641664E-3</v>
      </c>
      <c r="W27" s="429" t="s">
        <v>3184</v>
      </c>
      <c r="X27" s="450">
        <f t="shared" si="1"/>
        <v>71071.585390733555</v>
      </c>
      <c r="Y27" s="451">
        <f t="shared" si="2"/>
        <v>7.2720269798641664E-3</v>
      </c>
      <c r="Z27" s="452">
        <f t="shared" si="3"/>
        <v>671314.55220295861</v>
      </c>
      <c r="AA27" s="453">
        <f t="shared" si="4"/>
        <v>7.3183423592702121E-2</v>
      </c>
      <c r="AB27" s="506"/>
      <c r="AC27" s="625" t="s">
        <v>3299</v>
      </c>
      <c r="AD27" s="506" t="s">
        <v>3194</v>
      </c>
      <c r="AE27" s="506" t="s">
        <v>3194</v>
      </c>
      <c r="AF27" s="548">
        <f t="shared" si="10"/>
        <v>5.3959747451035598E-5</v>
      </c>
      <c r="AG27" s="548">
        <f t="shared" si="11"/>
        <v>49497.498092845082</v>
      </c>
      <c r="AH27" s="459" t="s">
        <v>3489</v>
      </c>
      <c r="AI27" s="619">
        <v>9222538.5946548041</v>
      </c>
      <c r="AJ27" s="617" t="s">
        <v>895</v>
      </c>
    </row>
    <row r="28" spans="1:36" ht="14.1" customHeight="1">
      <c r="A28" s="441" t="s">
        <v>315</v>
      </c>
      <c r="B28" s="609" t="s">
        <v>540</v>
      </c>
      <c r="C28" s="442">
        <v>7774561.0016464675</v>
      </c>
      <c r="D28" s="442">
        <v>7216517.4713488426</v>
      </c>
      <c r="E28" s="443" t="s">
        <v>3487</v>
      </c>
      <c r="F28" s="422">
        <v>7297073.0322975274</v>
      </c>
      <c r="G28" s="444" t="s">
        <v>3488</v>
      </c>
      <c r="H28" s="610">
        <v>0.92</v>
      </c>
      <c r="I28" s="542">
        <v>0.92</v>
      </c>
      <c r="J28" s="621">
        <f>92%+2.25%</f>
        <v>0.9425</v>
      </c>
      <c r="K28" s="657">
        <v>0.95499999999999996</v>
      </c>
      <c r="L28" s="445">
        <f>100%-98.5293510292217%</f>
        <v>1.4706489707782988E-2</v>
      </c>
      <c r="M28" s="447">
        <v>1E-3</v>
      </c>
      <c r="N28" s="658">
        <v>2.0999999999999999E-3</v>
      </c>
      <c r="O28" s="448">
        <v>0</v>
      </c>
      <c r="P28" s="465">
        <v>1.26E-2</v>
      </c>
      <c r="Q28" s="648">
        <v>1.26E-2</v>
      </c>
      <c r="R28" s="445">
        <f>2.2%+1.2%</f>
        <v>3.4000000000000002E-2</v>
      </c>
      <c r="S28" s="654">
        <f>3.4%*F28/AI28</f>
        <v>3.3817521508000839E-2</v>
      </c>
      <c r="T28" s="619">
        <f t="shared" si="5"/>
        <v>7831097.81900704</v>
      </c>
      <c r="U28" s="649" t="e">
        <f t="shared" si="6"/>
        <v>#VALUE!</v>
      </c>
      <c r="V28" s="447">
        <f t="shared" si="9"/>
        <v>7.2720269798641187E-3</v>
      </c>
      <c r="W28" s="429" t="s">
        <v>3184</v>
      </c>
      <c r="X28" s="450">
        <f t="shared" si="1"/>
        <v>56536.817360572517</v>
      </c>
      <c r="Y28" s="451">
        <f t="shared" si="2"/>
        <v>7.2720269798641187E-3</v>
      </c>
      <c r="Z28" s="452">
        <f t="shared" si="3"/>
        <v>534024.78670951258</v>
      </c>
      <c r="AA28" s="453">
        <f t="shared" si="4"/>
        <v>7.3183423592702024E-2</v>
      </c>
      <c r="AB28" s="506"/>
      <c r="AC28" s="625" t="s">
        <v>3299</v>
      </c>
      <c r="AD28" s="506" t="s">
        <v>3194</v>
      </c>
      <c r="AE28" s="506" t="s">
        <v>3194</v>
      </c>
      <c r="AF28" s="548">
        <f t="shared" si="10"/>
        <v>5.3959747451033382E-5</v>
      </c>
      <c r="AG28" s="548">
        <f t="shared" si="11"/>
        <v>39374.821795452386</v>
      </c>
      <c r="AH28" s="459" t="s">
        <v>3489</v>
      </c>
      <c r="AI28" s="619">
        <v>7336447.8540929798</v>
      </c>
      <c r="AJ28" s="617" t="s">
        <v>895</v>
      </c>
    </row>
    <row r="29" spans="1:36" ht="14.1" customHeight="1">
      <c r="A29" s="441" t="s">
        <v>314</v>
      </c>
      <c r="B29" s="609" t="s">
        <v>541</v>
      </c>
      <c r="C29" s="442">
        <v>9198678.5224835165</v>
      </c>
      <c r="D29" s="442">
        <v>8538414.4849806223</v>
      </c>
      <c r="E29" s="443" t="s">
        <v>3487</v>
      </c>
      <c r="F29" s="422">
        <v>8633725.9383486453</v>
      </c>
      <c r="G29" s="444" t="s">
        <v>3488</v>
      </c>
      <c r="H29" s="610">
        <v>0.92</v>
      </c>
      <c r="I29" s="542">
        <v>0.92</v>
      </c>
      <c r="J29" s="621">
        <f>92%+2.25%</f>
        <v>0.9425</v>
      </c>
      <c r="K29" s="657">
        <v>0.95499999999999996</v>
      </c>
      <c r="L29" s="445">
        <f>100%-98.5293510292217%</f>
        <v>1.4706489707782988E-2</v>
      </c>
      <c r="M29" s="447">
        <v>1E-3</v>
      </c>
      <c r="N29" s="658">
        <v>2.0999999999999999E-3</v>
      </c>
      <c r="O29" s="448">
        <v>0</v>
      </c>
      <c r="P29" s="465">
        <v>1.26E-2</v>
      </c>
      <c r="Q29" s="648">
        <v>1.26E-2</v>
      </c>
      <c r="R29" s="445">
        <f>2.2%+1.2%</f>
        <v>3.4000000000000002E-2</v>
      </c>
      <c r="S29" s="654">
        <f>3.4%*F29/AI29</f>
        <v>3.3817521508000839E-2</v>
      </c>
      <c r="T29" s="619">
        <f t="shared" si="5"/>
        <v>9265571.5608781129</v>
      </c>
      <c r="U29" s="649" t="e">
        <f t="shared" si="6"/>
        <v>#VALUE!</v>
      </c>
      <c r="V29" s="447">
        <f t="shared" si="9"/>
        <v>7.2720269798640848E-3</v>
      </c>
      <c r="W29" s="429" t="s">
        <v>3184</v>
      </c>
      <c r="X29" s="450">
        <f t="shared" si="1"/>
        <v>66893.038394596428</v>
      </c>
      <c r="Y29" s="451">
        <f t="shared" si="2"/>
        <v>7.2720269798640848E-3</v>
      </c>
      <c r="Z29" s="452">
        <f t="shared" si="3"/>
        <v>631845.62252946757</v>
      </c>
      <c r="AA29" s="453">
        <f t="shared" si="4"/>
        <v>7.318342359270201E-2</v>
      </c>
      <c r="AB29" s="506"/>
      <c r="AC29" s="625" t="s">
        <v>3299</v>
      </c>
      <c r="AD29" s="506" t="s">
        <v>3194</v>
      </c>
      <c r="AE29" s="506" t="s">
        <v>3194</v>
      </c>
      <c r="AF29" s="548">
        <f t="shared" si="10"/>
        <v>5.3959747451033382E-5</v>
      </c>
      <c r="AG29" s="548">
        <f t="shared" si="11"/>
        <v>46587.367119472474</v>
      </c>
      <c r="AH29" s="459" t="s">
        <v>3489</v>
      </c>
      <c r="AI29" s="619">
        <v>8680313.3054681178</v>
      </c>
      <c r="AJ29" s="617" t="s">
        <v>895</v>
      </c>
    </row>
    <row r="30" spans="1:36" ht="14.1" customHeight="1">
      <c r="A30" s="441" t="s">
        <v>216</v>
      </c>
      <c r="B30" s="609" t="s">
        <v>542</v>
      </c>
      <c r="C30" s="442">
        <v>26564501.71736687</v>
      </c>
      <c r="D30" s="442">
        <v>24502192.896425262</v>
      </c>
      <c r="E30" s="443" t="s">
        <v>3228</v>
      </c>
      <c r="F30" s="422">
        <v>26379838.438428525</v>
      </c>
      <c r="G30" s="444">
        <v>24331865.768532041</v>
      </c>
      <c r="H30" s="610">
        <v>0.97199999999999998</v>
      </c>
      <c r="I30" s="445">
        <v>0.97199999999999998</v>
      </c>
      <c r="J30" s="652">
        <v>0.97499999999999998</v>
      </c>
      <c r="K30" s="540">
        <v>0.97499999999999998</v>
      </c>
      <c r="L30" s="445">
        <v>3.0000000000000001E-3</v>
      </c>
      <c r="M30" s="447">
        <v>0.01</v>
      </c>
      <c r="N30" s="612">
        <v>0.01</v>
      </c>
      <c r="O30" s="448">
        <v>0</v>
      </c>
      <c r="P30" s="447">
        <v>0</v>
      </c>
      <c r="Q30" s="612">
        <v>0</v>
      </c>
      <c r="R30" s="445">
        <f>0.5%+0.3%+0.3%</f>
        <v>1.0999999999999999E-2</v>
      </c>
      <c r="S30" s="461">
        <f>0.5%+0.3%+0.3%</f>
        <v>1.0999999999999999E-2</v>
      </c>
      <c r="T30" s="619">
        <f t="shared" si="5"/>
        <v>26564501.71736687</v>
      </c>
      <c r="U30" s="649">
        <f t="shared" si="6"/>
        <v>24502192.896425262</v>
      </c>
      <c r="V30" s="447">
        <f t="shared" si="9"/>
        <v>0</v>
      </c>
      <c r="W30" s="429" t="s">
        <v>3182</v>
      </c>
      <c r="X30" s="450">
        <f t="shared" si="1"/>
        <v>0</v>
      </c>
      <c r="Y30" s="451">
        <f t="shared" si="2"/>
        <v>0</v>
      </c>
      <c r="Z30" s="452">
        <f t="shared" si="3"/>
        <v>184663.27893834561</v>
      </c>
      <c r="AA30" s="453">
        <f t="shared" si="4"/>
        <v>7.0001671681711106E-3</v>
      </c>
      <c r="AB30" s="506"/>
      <c r="AC30" s="655" t="s">
        <v>3337</v>
      </c>
      <c r="AD30" s="506" t="s">
        <v>3195</v>
      </c>
      <c r="AE30" s="506" t="s">
        <v>3195</v>
      </c>
      <c r="AF30" s="548">
        <f t="shared" si="10"/>
        <v>0</v>
      </c>
      <c r="AG30" s="548">
        <f t="shared" si="11"/>
        <v>0</v>
      </c>
      <c r="AI30" s="619">
        <v>26379838.438428525</v>
      </c>
      <c r="AJ30" s="617" t="s">
        <v>3490</v>
      </c>
    </row>
    <row r="31" spans="1:36" ht="14.1" customHeight="1">
      <c r="A31" s="441" t="s">
        <v>216</v>
      </c>
      <c r="B31" s="609" t="s">
        <v>543</v>
      </c>
      <c r="C31" s="442">
        <v>27914207.326431185</v>
      </c>
      <c r="D31" s="442">
        <v>25747115.44526647</v>
      </c>
      <c r="E31" s="443" t="s">
        <v>3228</v>
      </c>
      <c r="F31" s="422">
        <v>27720161.561571475</v>
      </c>
      <c r="G31" s="444">
        <v>25568134.231467959</v>
      </c>
      <c r="H31" s="610">
        <v>0.97199999999999998</v>
      </c>
      <c r="I31" s="445">
        <v>0.97199999999999998</v>
      </c>
      <c r="J31" s="652">
        <v>0.97499999999999998</v>
      </c>
      <c r="K31" s="540">
        <v>0.97499999999999998</v>
      </c>
      <c r="L31" s="445">
        <v>3.0000000000000001E-3</v>
      </c>
      <c r="M31" s="447">
        <v>0.01</v>
      </c>
      <c r="N31" s="618">
        <v>0.01</v>
      </c>
      <c r="O31" s="448">
        <v>0</v>
      </c>
      <c r="P31" s="447">
        <v>0</v>
      </c>
      <c r="Q31" s="612">
        <v>0</v>
      </c>
      <c r="R31" s="445">
        <f>0.5%+0.3%+0.3%</f>
        <v>1.0999999999999999E-2</v>
      </c>
      <c r="S31" s="461">
        <f>0.5%+0.3%+0.3%</f>
        <v>1.0999999999999999E-2</v>
      </c>
      <c r="T31" s="619">
        <f t="shared" si="5"/>
        <v>27914207.326431185</v>
      </c>
      <c r="U31" s="649">
        <f t="shared" si="6"/>
        <v>25747115.44526647</v>
      </c>
      <c r="V31" s="447">
        <f t="shared" si="9"/>
        <v>0</v>
      </c>
      <c r="W31" s="429" t="s">
        <v>3182</v>
      </c>
      <c r="X31" s="450">
        <f t="shared" si="1"/>
        <v>0</v>
      </c>
      <c r="Y31" s="451">
        <f t="shared" si="2"/>
        <v>0</v>
      </c>
      <c r="Z31" s="452">
        <f t="shared" si="3"/>
        <v>194045.76485970989</v>
      </c>
      <c r="AA31" s="453">
        <f t="shared" si="4"/>
        <v>7.0001671681710542E-3</v>
      </c>
      <c r="AB31" s="506"/>
      <c r="AC31" s="655" t="s">
        <v>3337</v>
      </c>
      <c r="AD31" s="506" t="s">
        <v>3195</v>
      </c>
      <c r="AE31" s="506" t="s">
        <v>3195</v>
      </c>
      <c r="AF31" s="548">
        <f t="shared" si="10"/>
        <v>0</v>
      </c>
      <c r="AG31" s="548">
        <f t="shared" si="11"/>
        <v>0</v>
      </c>
      <c r="AI31" s="619">
        <v>27720161.561571475</v>
      </c>
      <c r="AJ31" s="617" t="s">
        <v>3490</v>
      </c>
    </row>
    <row r="32" spans="1:36" ht="14.1" customHeight="1">
      <c r="A32" s="441" t="s">
        <v>262</v>
      </c>
      <c r="B32" s="609" t="s">
        <v>544</v>
      </c>
      <c r="C32" s="442">
        <v>26849770.405879464</v>
      </c>
      <c r="D32" s="442">
        <v>24935624.924150098</v>
      </c>
      <c r="E32" s="443" t="s">
        <v>3229</v>
      </c>
      <c r="F32" s="422">
        <v>26687094.444374409</v>
      </c>
      <c r="G32" s="444">
        <v>24784546.285526905</v>
      </c>
      <c r="H32" s="610">
        <v>0.97199999999999998</v>
      </c>
      <c r="I32" s="445">
        <v>0.97199999999999998</v>
      </c>
      <c r="J32" s="652">
        <v>0.97499999999999998</v>
      </c>
      <c r="K32" s="540">
        <v>0.97499999999999998</v>
      </c>
      <c r="L32" s="445">
        <v>0</v>
      </c>
      <c r="M32" s="447">
        <v>0</v>
      </c>
      <c r="N32" s="618">
        <v>0</v>
      </c>
      <c r="O32" s="448">
        <v>0</v>
      </c>
      <c r="P32" s="447">
        <v>0</v>
      </c>
      <c r="Q32" s="612">
        <v>0</v>
      </c>
      <c r="R32" s="445">
        <v>3.0000000000000001E-3</v>
      </c>
      <c r="S32" s="461">
        <v>3.0000000000000001E-3</v>
      </c>
      <c r="T32" s="619">
        <f t="shared" si="5"/>
        <v>26849770.405879464</v>
      </c>
      <c r="U32" s="649">
        <f t="shared" si="6"/>
        <v>24935624.924150098</v>
      </c>
      <c r="V32" s="447">
        <f t="shared" si="9"/>
        <v>0</v>
      </c>
      <c r="W32" s="429" t="s">
        <v>3182</v>
      </c>
      <c r="X32" s="450">
        <f t="shared" si="1"/>
        <v>0</v>
      </c>
      <c r="Y32" s="451">
        <f t="shared" si="2"/>
        <v>0</v>
      </c>
      <c r="Z32" s="452">
        <f t="shared" si="3"/>
        <v>162675.96150505543</v>
      </c>
      <c r="AA32" s="453">
        <f t="shared" si="4"/>
        <v>6.0956790123455054E-3</v>
      </c>
      <c r="AB32" s="506"/>
      <c r="AC32" s="655" t="s">
        <v>3337</v>
      </c>
      <c r="AD32" s="506" t="s">
        <v>3196</v>
      </c>
      <c r="AE32" s="506" t="s">
        <v>3196</v>
      </c>
      <c r="AF32" s="548">
        <f t="shared" si="10"/>
        <v>0</v>
      </c>
      <c r="AG32" s="548">
        <f t="shared" si="11"/>
        <v>0</v>
      </c>
      <c r="AI32" s="619">
        <v>26687094.444374409</v>
      </c>
      <c r="AJ32" s="617" t="s">
        <v>3490</v>
      </c>
    </row>
    <row r="33" spans="1:36" ht="14.1" customHeight="1">
      <c r="A33" s="441" t="s">
        <v>262</v>
      </c>
      <c r="B33" s="609" t="s">
        <v>545</v>
      </c>
      <c r="C33" s="442">
        <v>25366595.334861275</v>
      </c>
      <c r="D33" s="442">
        <v>23558186.804244958</v>
      </c>
      <c r="E33" s="443" t="s">
        <v>3229</v>
      </c>
      <c r="F33" s="422">
        <v>25212905.555625595</v>
      </c>
      <c r="G33" s="444">
        <v>23415453.714473095</v>
      </c>
      <c r="H33" s="610">
        <v>0.97199999999999998</v>
      </c>
      <c r="I33" s="445">
        <v>0.97199999999999998</v>
      </c>
      <c r="J33" s="652">
        <v>0.97499999999999998</v>
      </c>
      <c r="K33" s="540">
        <v>0.97499999999999998</v>
      </c>
      <c r="L33" s="445">
        <v>0</v>
      </c>
      <c r="M33" s="447">
        <v>0</v>
      </c>
      <c r="N33" s="618">
        <v>0</v>
      </c>
      <c r="O33" s="448">
        <v>0</v>
      </c>
      <c r="P33" s="447">
        <v>0</v>
      </c>
      <c r="Q33" s="612">
        <v>0</v>
      </c>
      <c r="R33" s="445">
        <v>3.0000000000000001E-3</v>
      </c>
      <c r="S33" s="461">
        <v>3.0000000000000001E-3</v>
      </c>
      <c r="T33" s="619">
        <f t="shared" si="5"/>
        <v>25366595.334861275</v>
      </c>
      <c r="U33" s="649">
        <f t="shared" si="6"/>
        <v>23558186.804244958</v>
      </c>
      <c r="V33" s="447">
        <f t="shared" si="9"/>
        <v>0</v>
      </c>
      <c r="W33" s="429" t="s">
        <v>3182</v>
      </c>
      <c r="X33" s="450">
        <f t="shared" si="1"/>
        <v>0</v>
      </c>
      <c r="Y33" s="451">
        <f t="shared" si="2"/>
        <v>0</v>
      </c>
      <c r="Z33" s="452">
        <f t="shared" si="3"/>
        <v>153689.77923567966</v>
      </c>
      <c r="AA33" s="453">
        <f t="shared" si="4"/>
        <v>6.0956790123456372E-3</v>
      </c>
      <c r="AB33" s="506"/>
      <c r="AC33" s="655" t="s">
        <v>3337</v>
      </c>
      <c r="AD33" s="506" t="s">
        <v>3196</v>
      </c>
      <c r="AE33" s="506" t="s">
        <v>3196</v>
      </c>
      <c r="AF33" s="548">
        <f t="shared" si="10"/>
        <v>0</v>
      </c>
      <c r="AG33" s="548">
        <f t="shared" si="11"/>
        <v>0</v>
      </c>
      <c r="AI33" s="619">
        <v>25212905.555625595</v>
      </c>
      <c r="AJ33" s="617" t="s">
        <v>3490</v>
      </c>
    </row>
    <row r="34" spans="1:36" ht="14.1" customHeight="1">
      <c r="A34" s="441" t="s">
        <v>263</v>
      </c>
      <c r="B34" s="609" t="s">
        <v>546</v>
      </c>
      <c r="C34" s="442">
        <v>33264321.608040191</v>
      </c>
      <c r="D34" s="442">
        <v>30484020.100502513</v>
      </c>
      <c r="E34" s="443" t="s">
        <v>3224</v>
      </c>
      <c r="F34" s="422">
        <v>33499999.999999993</v>
      </c>
      <c r="G34" s="444">
        <v>30700000</v>
      </c>
      <c r="H34" s="610">
        <v>0.98</v>
      </c>
      <c r="I34" s="445">
        <v>0.98</v>
      </c>
      <c r="J34" s="611">
        <v>0.98</v>
      </c>
      <c r="K34" s="540">
        <v>0.98</v>
      </c>
      <c r="L34" s="445">
        <v>1.6E-2</v>
      </c>
      <c r="M34" s="447">
        <v>1.6E-2</v>
      </c>
      <c r="N34" s="618">
        <v>1.6E-2</v>
      </c>
      <c r="O34" s="448">
        <v>5.0000000000000001E-3</v>
      </c>
      <c r="P34" s="455">
        <v>1.2E-2</v>
      </c>
      <c r="Q34" s="659">
        <v>1.2E-2</v>
      </c>
      <c r="R34" s="445">
        <v>0</v>
      </c>
      <c r="S34" s="613">
        <v>0</v>
      </c>
      <c r="T34" s="619">
        <f t="shared" si="5"/>
        <v>33264321.608040191</v>
      </c>
      <c r="U34" s="649">
        <f t="shared" si="6"/>
        <v>30484020.100502513</v>
      </c>
      <c r="V34" s="447">
        <f t="shared" si="9"/>
        <v>0</v>
      </c>
      <c r="X34" s="450">
        <f t="shared" si="1"/>
        <v>0</v>
      </c>
      <c r="Y34" s="451">
        <f t="shared" si="2"/>
        <v>0</v>
      </c>
      <c r="Z34" s="452">
        <f t="shared" si="3"/>
        <v>-235678.39195980132</v>
      </c>
      <c r="AA34" s="453">
        <f t="shared" si="4"/>
        <v>-7.0351758793970555E-3</v>
      </c>
      <c r="AB34" s="506"/>
      <c r="AC34" s="616"/>
      <c r="AD34" s="506"/>
      <c r="AE34" s="506" t="s">
        <v>3197</v>
      </c>
      <c r="AF34" s="548">
        <f t="shared" si="10"/>
        <v>0</v>
      </c>
      <c r="AG34" s="548">
        <f t="shared" si="11"/>
        <v>0</v>
      </c>
      <c r="AI34" s="619">
        <v>33499999.999999993</v>
      </c>
      <c r="AJ34" s="617" t="s">
        <v>523</v>
      </c>
    </row>
    <row r="35" spans="1:36" ht="14.1" customHeight="1">
      <c r="A35" s="441" t="s">
        <v>440</v>
      </c>
      <c r="B35" s="609" t="s">
        <v>547</v>
      </c>
      <c r="C35" s="442">
        <v>9300000.0000000019</v>
      </c>
      <c r="D35" s="442">
        <v>8700000</v>
      </c>
      <c r="E35" s="443" t="s">
        <v>3224</v>
      </c>
      <c r="F35" s="422">
        <v>9300000.0000000019</v>
      </c>
      <c r="G35" s="444">
        <v>8700000</v>
      </c>
      <c r="H35" s="610">
        <v>0.97299999999999998</v>
      </c>
      <c r="I35" s="445">
        <v>0.97299999999999998</v>
      </c>
      <c r="J35" s="611">
        <v>0.97299999999999998</v>
      </c>
      <c r="K35" s="540">
        <v>0.97299999999999998</v>
      </c>
      <c r="L35" s="445">
        <v>0</v>
      </c>
      <c r="M35" s="447">
        <v>0</v>
      </c>
      <c r="N35" s="618">
        <v>0</v>
      </c>
      <c r="O35" s="448">
        <v>0</v>
      </c>
      <c r="P35" s="447">
        <v>0</v>
      </c>
      <c r="Q35" s="612">
        <v>0</v>
      </c>
      <c r="R35" s="445">
        <v>0</v>
      </c>
      <c r="S35" s="613">
        <v>0</v>
      </c>
      <c r="T35" s="619">
        <f t="shared" si="5"/>
        <v>9300000.0000000019</v>
      </c>
      <c r="U35" s="649">
        <f t="shared" si="6"/>
        <v>8700000</v>
      </c>
      <c r="V35" s="447">
        <f t="shared" si="9"/>
        <v>0</v>
      </c>
      <c r="X35" s="450">
        <f t="shared" si="1"/>
        <v>0</v>
      </c>
      <c r="Y35" s="451">
        <f t="shared" si="2"/>
        <v>0</v>
      </c>
      <c r="Z35" s="452">
        <f t="shared" si="3"/>
        <v>0</v>
      </c>
      <c r="AA35" s="453">
        <f t="shared" si="4"/>
        <v>0</v>
      </c>
      <c r="AB35" s="506"/>
      <c r="AC35" s="616"/>
      <c r="AD35" s="506"/>
      <c r="AE35" s="506"/>
      <c r="AF35" s="548">
        <f t="shared" si="10"/>
        <v>0</v>
      </c>
      <c r="AG35" s="548">
        <f t="shared" si="11"/>
        <v>0</v>
      </c>
      <c r="AI35" s="619">
        <v>9300000.0000000019</v>
      </c>
      <c r="AJ35" s="617" t="s">
        <v>523</v>
      </c>
    </row>
    <row r="36" spans="1:36" ht="14.1" customHeight="1">
      <c r="A36" s="441" t="s">
        <v>442</v>
      </c>
      <c r="B36" s="609" t="s">
        <v>548</v>
      </c>
      <c r="C36" s="442">
        <v>14200000.000000002</v>
      </c>
      <c r="D36" s="442">
        <v>13300000</v>
      </c>
      <c r="E36" s="443" t="s">
        <v>3224</v>
      </c>
      <c r="F36" s="422">
        <v>14200000.000000002</v>
      </c>
      <c r="G36" s="444">
        <v>13300000</v>
      </c>
      <c r="H36" s="610">
        <v>0.97699999999999998</v>
      </c>
      <c r="I36" s="445">
        <v>0.97699999999999998</v>
      </c>
      <c r="J36" s="611">
        <v>0.97699999999999998</v>
      </c>
      <c r="K36" s="540">
        <v>0.97699999999999998</v>
      </c>
      <c r="L36" s="445">
        <v>0</v>
      </c>
      <c r="M36" s="447">
        <v>0</v>
      </c>
      <c r="N36" s="618">
        <v>0</v>
      </c>
      <c r="O36" s="448">
        <v>0</v>
      </c>
      <c r="P36" s="447">
        <v>0</v>
      </c>
      <c r="Q36" s="612">
        <v>0</v>
      </c>
      <c r="R36" s="445">
        <v>0</v>
      </c>
      <c r="S36" s="613">
        <v>0</v>
      </c>
      <c r="T36" s="619">
        <f t="shared" si="5"/>
        <v>14200000.000000002</v>
      </c>
      <c r="U36" s="649">
        <f t="shared" si="6"/>
        <v>13300000</v>
      </c>
      <c r="V36" s="447">
        <f t="shared" si="9"/>
        <v>0</v>
      </c>
      <c r="X36" s="450">
        <f t="shared" si="1"/>
        <v>0</v>
      </c>
      <c r="Y36" s="451">
        <f t="shared" si="2"/>
        <v>0</v>
      </c>
      <c r="Z36" s="452">
        <f t="shared" si="3"/>
        <v>0</v>
      </c>
      <c r="AA36" s="453">
        <f t="shared" si="4"/>
        <v>0</v>
      </c>
      <c r="AB36" s="506"/>
      <c r="AC36" s="616"/>
      <c r="AD36" s="506"/>
      <c r="AE36" s="506"/>
      <c r="AF36" s="548">
        <f t="shared" si="10"/>
        <v>0</v>
      </c>
      <c r="AG36" s="548">
        <f t="shared" si="11"/>
        <v>0</v>
      </c>
      <c r="AI36" s="619">
        <v>14200000.000000002</v>
      </c>
      <c r="AJ36" s="617" t="s">
        <v>523</v>
      </c>
    </row>
    <row r="37" spans="1:36" ht="14.1" customHeight="1">
      <c r="A37" s="441" t="s">
        <v>450</v>
      </c>
      <c r="B37" s="609" t="s">
        <v>280</v>
      </c>
      <c r="C37" s="442">
        <v>20000000</v>
      </c>
      <c r="D37" s="442">
        <v>18700000</v>
      </c>
      <c r="E37" s="443" t="s">
        <v>3224</v>
      </c>
      <c r="F37" s="422">
        <v>20000000</v>
      </c>
      <c r="G37" s="444">
        <v>18700000</v>
      </c>
      <c r="H37" s="610">
        <v>0.97299999999999998</v>
      </c>
      <c r="I37" s="445">
        <v>0.97299999999999998</v>
      </c>
      <c r="J37" s="611">
        <v>0.97299999999999998</v>
      </c>
      <c r="K37" s="620">
        <v>0.97</v>
      </c>
      <c r="L37" s="445">
        <v>0</v>
      </c>
      <c r="M37" s="447">
        <v>0</v>
      </c>
      <c r="N37" s="618">
        <v>0</v>
      </c>
      <c r="O37" s="448">
        <v>0</v>
      </c>
      <c r="P37" s="447">
        <v>0</v>
      </c>
      <c r="Q37" s="612">
        <v>0</v>
      </c>
      <c r="R37" s="445">
        <v>0</v>
      </c>
      <c r="S37" s="613">
        <v>0</v>
      </c>
      <c r="T37" s="619">
        <f t="shared" si="5"/>
        <v>19938335.046248715</v>
      </c>
      <c r="U37" s="649">
        <f t="shared" si="6"/>
        <v>18642343.268242549</v>
      </c>
      <c r="V37" s="447">
        <f t="shared" si="9"/>
        <v>-3.0832476875642316E-3</v>
      </c>
      <c r="X37" s="450">
        <f t="shared" si="1"/>
        <v>-61664.953751284629</v>
      </c>
      <c r="Y37" s="451">
        <f t="shared" si="2"/>
        <v>-3.0832476875642316E-3</v>
      </c>
      <c r="Z37" s="452">
        <f t="shared" si="3"/>
        <v>-61664.953751284629</v>
      </c>
      <c r="AA37" s="453">
        <f t="shared" si="4"/>
        <v>-3.0832476875642316E-3</v>
      </c>
      <c r="AB37" s="506"/>
      <c r="AC37" s="616"/>
      <c r="AD37" s="506"/>
      <c r="AE37" s="506" t="s">
        <v>3198</v>
      </c>
      <c r="AF37" s="548">
        <f t="shared" si="10"/>
        <v>0</v>
      </c>
      <c r="AG37" s="548">
        <f t="shared" si="11"/>
        <v>0</v>
      </c>
      <c r="AI37" s="619">
        <v>20000000</v>
      </c>
      <c r="AJ37" s="617" t="s">
        <v>523</v>
      </c>
    </row>
    <row r="38" spans="1:36" ht="14.1" customHeight="1">
      <c r="A38" s="441" t="s">
        <v>454</v>
      </c>
      <c r="B38" s="609" t="s">
        <v>343</v>
      </c>
      <c r="C38" s="442">
        <v>21093956.90604455</v>
      </c>
      <c r="D38" s="442">
        <v>19380742.131949555</v>
      </c>
      <c r="E38" s="443" t="s">
        <v>3224</v>
      </c>
      <c r="F38" s="422">
        <v>20767761.696157262</v>
      </c>
      <c r="G38" s="444">
        <v>19081039.934032809</v>
      </c>
      <c r="H38" s="610">
        <v>0.95499999999999996</v>
      </c>
      <c r="I38" s="542">
        <v>0.95499999999999996</v>
      </c>
      <c r="J38" s="652">
        <v>0.97</v>
      </c>
      <c r="K38" s="620">
        <f>97%-0.003</f>
        <v>0.96699999999999997</v>
      </c>
      <c r="L38" s="445">
        <v>1.2E-2</v>
      </c>
      <c r="M38" s="447">
        <v>1.2E-2</v>
      </c>
      <c r="N38" s="618">
        <v>1.2E-2</v>
      </c>
      <c r="O38" s="448">
        <v>0</v>
      </c>
      <c r="P38" s="447">
        <v>0</v>
      </c>
      <c r="Q38" s="656">
        <v>1.35E-2</v>
      </c>
      <c r="R38" s="445">
        <v>0</v>
      </c>
      <c r="S38" s="613">
        <v>0</v>
      </c>
      <c r="T38" s="619">
        <f t="shared" si="5"/>
        <v>20744830.172902189</v>
      </c>
      <c r="U38" s="649">
        <f t="shared" si="6"/>
        <v>19059970.869519264</v>
      </c>
      <c r="V38" s="447">
        <f t="shared" si="9"/>
        <v>-1.6551030927834953E-2</v>
      </c>
      <c r="X38" s="450">
        <f t="shared" si="1"/>
        <v>-349126.73314236104</v>
      </c>
      <c r="Y38" s="451">
        <f t="shared" si="2"/>
        <v>-1.6551030927834953E-2</v>
      </c>
      <c r="Z38" s="452">
        <f t="shared" si="3"/>
        <v>-22931.523255072534</v>
      </c>
      <c r="AA38" s="453">
        <f t="shared" si="4"/>
        <v>-1.104188481675213E-3</v>
      </c>
      <c r="AB38" s="506"/>
      <c r="AC38" s="655" t="s">
        <v>3338</v>
      </c>
      <c r="AD38" s="506"/>
      <c r="AE38" s="506"/>
      <c r="AF38" s="548">
        <f t="shared" si="10"/>
        <v>0</v>
      </c>
      <c r="AG38" s="548">
        <f t="shared" si="11"/>
        <v>0</v>
      </c>
      <c r="AI38" s="619">
        <v>20767761.696157262</v>
      </c>
      <c r="AJ38" s="617" t="s">
        <v>523</v>
      </c>
    </row>
    <row r="39" spans="1:36" ht="14.1" customHeight="1">
      <c r="A39" s="441" t="s">
        <v>454</v>
      </c>
      <c r="B39" s="609" t="s">
        <v>549</v>
      </c>
      <c r="C39" s="442">
        <v>18924891.261494737</v>
      </c>
      <c r="D39" s="442">
        <v>17387844.255485006</v>
      </c>
      <c r="E39" s="443" t="s">
        <v>3224</v>
      </c>
      <c r="F39" s="422">
        <v>18632238.303842757</v>
      </c>
      <c r="G39" s="444">
        <v>17118960.065967195</v>
      </c>
      <c r="H39" s="610">
        <v>0.95499999999999996</v>
      </c>
      <c r="I39" s="542">
        <v>0.95499999999999996</v>
      </c>
      <c r="J39" s="652">
        <v>0.97</v>
      </c>
      <c r="K39" s="620">
        <f>97%-0.003</f>
        <v>0.96699999999999997</v>
      </c>
      <c r="L39" s="445">
        <v>1.2E-2</v>
      </c>
      <c r="M39" s="447">
        <v>1.2E-2</v>
      </c>
      <c r="N39" s="618">
        <v>1.2E-2</v>
      </c>
      <c r="O39" s="448">
        <v>0</v>
      </c>
      <c r="P39" s="447">
        <v>0</v>
      </c>
      <c r="Q39" s="656">
        <v>1.35E-2</v>
      </c>
      <c r="R39" s="445">
        <v>0</v>
      </c>
      <c r="S39" s="613">
        <v>0</v>
      </c>
      <c r="T39" s="619">
        <f t="shared" si="5"/>
        <v>18611664.800919823</v>
      </c>
      <c r="U39" s="649">
        <f t="shared" si="6"/>
        <v>17100057.507444095</v>
      </c>
      <c r="V39" s="447">
        <f t="shared" si="9"/>
        <v>-1.6551030927835001E-2</v>
      </c>
      <c r="X39" s="450">
        <f t="shared" si="1"/>
        <v>-313226.46057491377</v>
      </c>
      <c r="Y39" s="451">
        <f t="shared" si="2"/>
        <v>-1.6551030927835001E-2</v>
      </c>
      <c r="Z39" s="452">
        <f t="shared" si="3"/>
        <v>-20573.502922933549</v>
      </c>
      <c r="AA39" s="453">
        <f t="shared" si="4"/>
        <v>-1.1041884816753562E-3</v>
      </c>
      <c r="AB39" s="506"/>
      <c r="AC39" s="655" t="s">
        <v>3338</v>
      </c>
      <c r="AD39" s="506"/>
      <c r="AE39" s="506"/>
      <c r="AF39" s="548">
        <f t="shared" si="10"/>
        <v>0</v>
      </c>
      <c r="AG39" s="548">
        <f t="shared" si="11"/>
        <v>0</v>
      </c>
      <c r="AI39" s="619">
        <v>18632238.303842757</v>
      </c>
      <c r="AJ39" s="617" t="s">
        <v>523</v>
      </c>
    </row>
    <row r="40" spans="1:36" ht="14.1" customHeight="1">
      <c r="A40" s="441" t="s">
        <v>444</v>
      </c>
      <c r="B40" s="609" t="s">
        <v>550</v>
      </c>
      <c r="C40" s="442">
        <v>29574732.909116253</v>
      </c>
      <c r="D40" s="442">
        <v>27328033.585909903</v>
      </c>
      <c r="E40" s="443" t="s">
        <v>3224</v>
      </c>
      <c r="F40" s="422">
        <v>29366919.480970953</v>
      </c>
      <c r="G40" s="444">
        <v>27136007.089460727</v>
      </c>
      <c r="H40" s="610">
        <v>0.96799999999999997</v>
      </c>
      <c r="I40" s="542">
        <v>0.96799999999999997</v>
      </c>
      <c r="J40" s="621">
        <f>96.8%+0.2%</f>
        <v>0.97</v>
      </c>
      <c r="K40" s="660">
        <v>0.97</v>
      </c>
      <c r="L40" s="445">
        <v>0</v>
      </c>
      <c r="M40" s="447">
        <v>0</v>
      </c>
      <c r="N40" s="618">
        <v>0</v>
      </c>
      <c r="O40" s="448">
        <v>0</v>
      </c>
      <c r="P40" s="447">
        <v>0</v>
      </c>
      <c r="Q40" s="612">
        <v>0</v>
      </c>
      <c r="R40" s="445">
        <v>5.0000000000000001E-3</v>
      </c>
      <c r="S40" s="461">
        <v>5.0000000000000001E-3</v>
      </c>
      <c r="T40" s="619">
        <f t="shared" si="5"/>
        <v>29574732.909116253</v>
      </c>
      <c r="U40" s="649">
        <f t="shared" si="6"/>
        <v>27328033.585909903</v>
      </c>
      <c r="V40" s="447">
        <f t="shared" si="9"/>
        <v>0</v>
      </c>
      <c r="W40" s="429" t="s">
        <v>3182</v>
      </c>
      <c r="X40" s="450">
        <f t="shared" si="1"/>
        <v>0</v>
      </c>
      <c r="Y40" s="451">
        <f t="shared" si="2"/>
        <v>0</v>
      </c>
      <c r="Z40" s="452">
        <f t="shared" si="3"/>
        <v>207813.4281453006</v>
      </c>
      <c r="AA40" s="453">
        <f t="shared" si="4"/>
        <v>7.0764462809917335E-3</v>
      </c>
      <c r="AB40" s="506"/>
      <c r="AC40" s="625" t="s">
        <v>3301</v>
      </c>
      <c r="AD40" s="506" t="s">
        <v>3491</v>
      </c>
      <c r="AE40" s="506" t="s">
        <v>3300</v>
      </c>
      <c r="AF40" s="548">
        <f t="shared" si="10"/>
        <v>0</v>
      </c>
      <c r="AG40" s="548">
        <f t="shared" si="11"/>
        <v>0</v>
      </c>
      <c r="AI40" s="619">
        <v>29366919.480970953</v>
      </c>
      <c r="AJ40" s="617" t="s">
        <v>3490</v>
      </c>
    </row>
    <row r="41" spans="1:36" ht="14.1" customHeight="1">
      <c r="A41" s="441" t="s">
        <v>444</v>
      </c>
      <c r="B41" s="609" t="s">
        <v>551</v>
      </c>
      <c r="C41" s="442">
        <v>14660147.357992103</v>
      </c>
      <c r="D41" s="442">
        <v>13546462.130520327</v>
      </c>
      <c r="E41" s="443" t="s">
        <v>3224</v>
      </c>
      <c r="F41" s="422">
        <v>14557134.577151723</v>
      </c>
      <c r="G41" s="444">
        <v>13451274.906235501</v>
      </c>
      <c r="H41" s="610">
        <v>0.96799999999999997</v>
      </c>
      <c r="I41" s="542">
        <v>0.96799999999999997</v>
      </c>
      <c r="J41" s="621">
        <f>96.8%+0.2%</f>
        <v>0.97</v>
      </c>
      <c r="K41" s="660">
        <v>0.97</v>
      </c>
      <c r="L41" s="445">
        <v>0</v>
      </c>
      <c r="M41" s="447">
        <v>0</v>
      </c>
      <c r="N41" s="618">
        <v>0</v>
      </c>
      <c r="O41" s="448">
        <v>0</v>
      </c>
      <c r="P41" s="447">
        <v>0</v>
      </c>
      <c r="Q41" s="612">
        <v>0</v>
      </c>
      <c r="R41" s="445">
        <v>5.0000000000000001E-3</v>
      </c>
      <c r="S41" s="461">
        <v>5.0000000000000001E-3</v>
      </c>
      <c r="T41" s="619">
        <f t="shared" si="5"/>
        <v>14660147.357992103</v>
      </c>
      <c r="U41" s="649">
        <f t="shared" si="6"/>
        <v>13546462.130520327</v>
      </c>
      <c r="V41" s="447">
        <f t="shared" si="9"/>
        <v>0</v>
      </c>
      <c r="W41" s="429" t="s">
        <v>3182</v>
      </c>
      <c r="X41" s="450">
        <f t="shared" si="1"/>
        <v>0</v>
      </c>
      <c r="Y41" s="451">
        <f t="shared" si="2"/>
        <v>0</v>
      </c>
      <c r="Z41" s="452">
        <f t="shared" si="3"/>
        <v>103012.78084038012</v>
      </c>
      <c r="AA41" s="453">
        <f t="shared" si="4"/>
        <v>7.0764462809916398E-3</v>
      </c>
      <c r="AB41" s="506"/>
      <c r="AC41" s="625" t="s">
        <v>3301</v>
      </c>
      <c r="AD41" s="506" t="s">
        <v>3491</v>
      </c>
      <c r="AE41" s="506" t="s">
        <v>3300</v>
      </c>
      <c r="AF41" s="548">
        <f t="shared" si="10"/>
        <v>0</v>
      </c>
      <c r="AG41" s="548">
        <f t="shared" si="11"/>
        <v>0</v>
      </c>
      <c r="AI41" s="619">
        <v>14557134.577151723</v>
      </c>
      <c r="AJ41" s="617" t="s">
        <v>3490</v>
      </c>
    </row>
    <row r="42" spans="1:36" ht="14.1" customHeight="1">
      <c r="A42" s="441" t="s">
        <v>444</v>
      </c>
      <c r="B42" s="609" t="s">
        <v>552</v>
      </c>
      <c r="C42" s="442">
        <v>28677454.44363543</v>
      </c>
      <c r="D42" s="442">
        <v>26498918.539768092</v>
      </c>
      <c r="E42" s="443" t="s">
        <v>3224</v>
      </c>
      <c r="F42" s="422">
        <v>28475945.941877313</v>
      </c>
      <c r="G42" s="444">
        <v>26312718.004303757</v>
      </c>
      <c r="H42" s="610">
        <v>0.96799999999999997</v>
      </c>
      <c r="I42" s="542">
        <v>0.96799999999999997</v>
      </c>
      <c r="J42" s="621">
        <f>96.8%+0.2%</f>
        <v>0.97</v>
      </c>
      <c r="K42" s="660">
        <v>0.97</v>
      </c>
      <c r="L42" s="445">
        <v>0</v>
      </c>
      <c r="M42" s="447">
        <v>0</v>
      </c>
      <c r="N42" s="618">
        <v>0</v>
      </c>
      <c r="O42" s="448">
        <v>0</v>
      </c>
      <c r="P42" s="447">
        <v>0</v>
      </c>
      <c r="Q42" s="612">
        <v>0</v>
      </c>
      <c r="R42" s="445">
        <v>5.0000000000000001E-3</v>
      </c>
      <c r="S42" s="461">
        <v>5.0000000000000001E-3</v>
      </c>
      <c r="T42" s="619">
        <f t="shared" si="5"/>
        <v>28677454.44363543</v>
      </c>
      <c r="U42" s="649">
        <f t="shared" si="6"/>
        <v>26498918.539768092</v>
      </c>
      <c r="V42" s="447">
        <f t="shared" si="9"/>
        <v>0</v>
      </c>
      <c r="W42" s="429" t="s">
        <v>3182</v>
      </c>
      <c r="X42" s="450">
        <f t="shared" si="1"/>
        <v>0</v>
      </c>
      <c r="Y42" s="451">
        <f t="shared" si="2"/>
        <v>0</v>
      </c>
      <c r="Z42" s="452">
        <f t="shared" si="3"/>
        <v>201508.50175811723</v>
      </c>
      <c r="AA42" s="453">
        <f t="shared" si="4"/>
        <v>7.0764462809916589E-3</v>
      </c>
      <c r="AB42" s="506"/>
      <c r="AC42" s="625" t="s">
        <v>3301</v>
      </c>
      <c r="AD42" s="506" t="s">
        <v>3491</v>
      </c>
      <c r="AE42" s="506" t="s">
        <v>3300</v>
      </c>
      <c r="AF42" s="548">
        <f t="shared" si="10"/>
        <v>0</v>
      </c>
      <c r="AG42" s="548">
        <f t="shared" si="11"/>
        <v>0</v>
      </c>
      <c r="AI42" s="619">
        <v>28475945.941877313</v>
      </c>
      <c r="AJ42" s="617" t="s">
        <v>3490</v>
      </c>
    </row>
    <row r="43" spans="1:36" ht="14.1" customHeight="1">
      <c r="A43" s="441" t="s">
        <v>446</v>
      </c>
      <c r="B43" s="609" t="s">
        <v>304</v>
      </c>
      <c r="C43" s="442">
        <v>15497424.72714993</v>
      </c>
      <c r="D43" s="442">
        <v>13888704.867941573</v>
      </c>
      <c r="E43" s="443" t="s">
        <v>3230</v>
      </c>
      <c r="F43" s="422">
        <f>16300000</f>
        <v>16300000</v>
      </c>
      <c r="G43" s="444">
        <v>14100000</v>
      </c>
      <c r="H43" s="610">
        <v>0.88800000000000001</v>
      </c>
      <c r="I43" s="542">
        <v>0.89</v>
      </c>
      <c r="J43" s="621">
        <f>89%+1.3%</f>
        <v>0.90300000000000002</v>
      </c>
      <c r="K43" s="660">
        <v>0.93</v>
      </c>
      <c r="L43" s="445">
        <v>6.0000000000000001E-3</v>
      </c>
      <c r="M43" s="447">
        <v>1.2E-2</v>
      </c>
      <c r="N43" s="623">
        <v>6.0000000000000001E-3</v>
      </c>
      <c r="O43" s="448">
        <v>0</v>
      </c>
      <c r="P43" s="447">
        <v>0</v>
      </c>
      <c r="Q43" s="623">
        <v>0.04</v>
      </c>
      <c r="R43" s="445">
        <v>0</v>
      </c>
      <c r="S43" s="613">
        <v>0</v>
      </c>
      <c r="T43" s="619">
        <f t="shared" si="5"/>
        <v>16388108.108108111</v>
      </c>
      <c r="U43" s="649">
        <f t="shared" si="6"/>
        <v>14144359.550561797</v>
      </c>
      <c r="V43" s="447">
        <f t="shared" si="9"/>
        <v>5.7472992877183854E-2</v>
      </c>
      <c r="W43" s="429" t="s">
        <v>3185</v>
      </c>
      <c r="X43" s="450">
        <f t="shared" si="1"/>
        <v>890683.38095818087</v>
      </c>
      <c r="Y43" s="451">
        <f t="shared" si="2"/>
        <v>5.7472992877183854E-2</v>
      </c>
      <c r="Z43" s="452">
        <f t="shared" si="3"/>
        <v>88108.108108110726</v>
      </c>
      <c r="AA43" s="453">
        <f t="shared" si="4"/>
        <v>5.4054054054055662E-3</v>
      </c>
      <c r="AB43" s="543"/>
      <c r="AC43" s="625" t="s">
        <v>3303</v>
      </c>
      <c r="AD43" s="543"/>
      <c r="AE43" s="543" t="s">
        <v>3302</v>
      </c>
      <c r="AF43" s="548">
        <f t="shared" si="10"/>
        <v>-6.2925353989534694E-4</v>
      </c>
      <c r="AG43" s="548">
        <f t="shared" si="11"/>
        <v>-1025683.2700294163</v>
      </c>
      <c r="AH43" s="459" t="s">
        <v>3492</v>
      </c>
      <c r="AI43" s="619">
        <v>15274316.729970584</v>
      </c>
      <c r="AJ43" s="617" t="s">
        <v>523</v>
      </c>
    </row>
    <row r="44" spans="1:36" ht="14.1" customHeight="1">
      <c r="A44" s="441" t="s">
        <v>448</v>
      </c>
      <c r="B44" s="609" t="s">
        <v>350</v>
      </c>
      <c r="C44" s="442">
        <v>21295496.476765409</v>
      </c>
      <c r="D44" s="442">
        <v>19650722.358641252</v>
      </c>
      <c r="E44" s="443" t="s">
        <v>3224</v>
      </c>
      <c r="F44" s="422">
        <v>21189548.733099911</v>
      </c>
      <c r="G44" s="444">
        <v>19552957.570787318</v>
      </c>
      <c r="H44" s="610">
        <v>0.97199999999999998</v>
      </c>
      <c r="I44" s="445">
        <v>0.97199999999999998</v>
      </c>
      <c r="J44" s="611">
        <v>0.97199999999999998</v>
      </c>
      <c r="K44" s="540">
        <v>0.97199999999999998</v>
      </c>
      <c r="L44" s="445">
        <v>0</v>
      </c>
      <c r="M44" s="447">
        <v>0</v>
      </c>
      <c r="N44" s="618">
        <v>0</v>
      </c>
      <c r="O44" s="448">
        <v>0</v>
      </c>
      <c r="P44" s="447">
        <v>0</v>
      </c>
      <c r="Q44" s="659">
        <v>0.04</v>
      </c>
      <c r="R44" s="445">
        <v>5.0000000000000001E-3</v>
      </c>
      <c r="S44" s="461">
        <v>5.0000000000000001E-3</v>
      </c>
      <c r="T44" s="619">
        <f t="shared" si="5"/>
        <v>20443676.617694791</v>
      </c>
      <c r="U44" s="649">
        <f t="shared" si="6"/>
        <v>18864693.464295603</v>
      </c>
      <c r="V44" s="447">
        <f t="shared" si="9"/>
        <v>-4.0000000000000063E-2</v>
      </c>
      <c r="W44" s="429" t="s">
        <v>3182</v>
      </c>
      <c r="X44" s="450">
        <f t="shared" si="1"/>
        <v>-851819.85907061771</v>
      </c>
      <c r="Y44" s="451">
        <f t="shared" si="2"/>
        <v>-4.0000000000000063E-2</v>
      </c>
      <c r="Z44" s="452">
        <f t="shared" si="3"/>
        <v>-745872.11540511996</v>
      </c>
      <c r="AA44" s="453">
        <f t="shared" si="4"/>
        <v>-3.5200000000000148E-2</v>
      </c>
      <c r="AB44" s="506"/>
      <c r="AC44" s="616"/>
      <c r="AD44" s="506" t="s">
        <v>3491</v>
      </c>
      <c r="AE44" s="506" t="s">
        <v>3300</v>
      </c>
      <c r="AF44" s="548">
        <f t="shared" si="10"/>
        <v>0</v>
      </c>
      <c r="AG44" s="548">
        <f t="shared" si="11"/>
        <v>0</v>
      </c>
      <c r="AI44" s="619">
        <v>21189548.733099911</v>
      </c>
      <c r="AJ44" s="617" t="s">
        <v>3490</v>
      </c>
    </row>
    <row r="45" spans="1:36" ht="14.1" customHeight="1">
      <c r="A45" s="441" t="s">
        <v>448</v>
      </c>
      <c r="B45" s="609" t="s">
        <v>351</v>
      </c>
      <c r="C45" s="442">
        <v>6713269.631441405</v>
      </c>
      <c r="D45" s="442">
        <v>6194765.0664113779</v>
      </c>
      <c r="E45" s="443" t="s">
        <v>3224</v>
      </c>
      <c r="F45" s="422">
        <v>6679870.2800412001</v>
      </c>
      <c r="G45" s="444">
        <v>6163945.3397128144</v>
      </c>
      <c r="H45" s="610">
        <v>0.97199999999999998</v>
      </c>
      <c r="I45" s="445">
        <v>0.97199999999999998</v>
      </c>
      <c r="J45" s="611">
        <v>0.97199999999999998</v>
      </c>
      <c r="K45" s="540">
        <v>0.97199999999999998</v>
      </c>
      <c r="L45" s="445">
        <v>0</v>
      </c>
      <c r="M45" s="447">
        <v>0</v>
      </c>
      <c r="N45" s="618">
        <v>0</v>
      </c>
      <c r="O45" s="448">
        <v>0</v>
      </c>
      <c r="P45" s="447">
        <v>0</v>
      </c>
      <c r="Q45" s="659">
        <v>0.04</v>
      </c>
      <c r="R45" s="445">
        <v>5.0000000000000001E-3</v>
      </c>
      <c r="S45" s="461">
        <v>5.0000000000000001E-3</v>
      </c>
      <c r="T45" s="619">
        <f t="shared" si="5"/>
        <v>6444738.8461837489</v>
      </c>
      <c r="U45" s="649">
        <f t="shared" si="6"/>
        <v>5946974.4637549222</v>
      </c>
      <c r="V45" s="447">
        <f t="shared" si="9"/>
        <v>-3.9999999999999987E-2</v>
      </c>
      <c r="W45" s="429" t="s">
        <v>3182</v>
      </c>
      <c r="X45" s="450">
        <f t="shared" si="1"/>
        <v>-268530.78525765613</v>
      </c>
      <c r="Y45" s="451">
        <f t="shared" si="2"/>
        <v>-3.9999999999999987E-2</v>
      </c>
      <c r="Z45" s="452">
        <f t="shared" si="3"/>
        <v>-235131.43385745119</v>
      </c>
      <c r="AA45" s="453">
        <f t="shared" si="4"/>
        <v>-3.5200000000000141E-2</v>
      </c>
      <c r="AB45" s="506"/>
      <c r="AC45" s="616"/>
      <c r="AD45" s="506" t="s">
        <v>3491</v>
      </c>
      <c r="AE45" s="506" t="s">
        <v>3300</v>
      </c>
      <c r="AF45" s="548">
        <f t="shared" si="10"/>
        <v>0</v>
      </c>
      <c r="AG45" s="548">
        <f t="shared" si="11"/>
        <v>0</v>
      </c>
      <c r="AI45" s="619">
        <v>6679870.2800412001</v>
      </c>
      <c r="AJ45" s="617" t="s">
        <v>3490</v>
      </c>
    </row>
    <row r="46" spans="1:36" ht="14.1" customHeight="1">
      <c r="A46" s="441" t="s">
        <v>448</v>
      </c>
      <c r="B46" s="609" t="s">
        <v>352</v>
      </c>
      <c r="C46" s="442">
        <v>21437233.891793177</v>
      </c>
      <c r="D46" s="442">
        <v>19781512.574947361</v>
      </c>
      <c r="E46" s="443" t="s">
        <v>3224</v>
      </c>
      <c r="F46" s="422">
        <v>21330580.986858886</v>
      </c>
      <c r="G46" s="444">
        <v>19683097.089499865</v>
      </c>
      <c r="H46" s="610">
        <v>0.97199999999999998</v>
      </c>
      <c r="I46" s="445">
        <v>0.97199999999999998</v>
      </c>
      <c r="J46" s="611">
        <v>0.97199999999999998</v>
      </c>
      <c r="K46" s="540">
        <v>0.97199999999999998</v>
      </c>
      <c r="L46" s="445">
        <v>0</v>
      </c>
      <c r="M46" s="447">
        <v>0</v>
      </c>
      <c r="N46" s="618">
        <v>0</v>
      </c>
      <c r="O46" s="448">
        <v>0</v>
      </c>
      <c r="P46" s="447">
        <v>0</v>
      </c>
      <c r="Q46" s="659">
        <v>0.04</v>
      </c>
      <c r="R46" s="445">
        <v>5.0000000000000001E-3</v>
      </c>
      <c r="S46" s="461">
        <v>5.0000000000000001E-3</v>
      </c>
      <c r="T46" s="619">
        <f t="shared" si="5"/>
        <v>20579744.53612145</v>
      </c>
      <c r="U46" s="649">
        <f t="shared" si="6"/>
        <v>18990252.071949467</v>
      </c>
      <c r="V46" s="447">
        <f t="shared" si="9"/>
        <v>-3.9999999999999959E-2</v>
      </c>
      <c r="W46" s="429" t="s">
        <v>3182</v>
      </c>
      <c r="X46" s="450">
        <f t="shared" si="1"/>
        <v>-857489.35567172617</v>
      </c>
      <c r="Y46" s="451">
        <f t="shared" si="2"/>
        <v>-3.9999999999999959E-2</v>
      </c>
      <c r="Z46" s="452">
        <f t="shared" si="3"/>
        <v>-750836.45073743537</v>
      </c>
      <c r="AA46" s="453">
        <f t="shared" si="4"/>
        <v>-3.520000000000012E-2</v>
      </c>
      <c r="AB46" s="506"/>
      <c r="AC46" s="616"/>
      <c r="AD46" s="506" t="s">
        <v>3491</v>
      </c>
      <c r="AE46" s="506" t="s">
        <v>3300</v>
      </c>
      <c r="AF46" s="548">
        <f t="shared" si="10"/>
        <v>0</v>
      </c>
      <c r="AG46" s="548">
        <f t="shared" si="11"/>
        <v>0</v>
      </c>
      <c r="AI46" s="619">
        <v>21330580.986858886</v>
      </c>
      <c r="AJ46" s="617" t="s">
        <v>3490</v>
      </c>
    </row>
    <row r="47" spans="1:36" ht="14.1" customHeight="1">
      <c r="A47" s="441" t="s">
        <v>452</v>
      </c>
      <c r="B47" s="609" t="s">
        <v>305</v>
      </c>
      <c r="C47" s="442">
        <v>23439800</v>
      </c>
      <c r="D47" s="442">
        <v>21830200</v>
      </c>
      <c r="E47" s="443" t="s">
        <v>3224</v>
      </c>
      <c r="F47" s="422">
        <v>23300000</v>
      </c>
      <c r="G47" s="444">
        <v>21700000</v>
      </c>
      <c r="H47" s="610">
        <v>0.98299999999999998</v>
      </c>
      <c r="I47" s="445">
        <v>0.98299999999999998</v>
      </c>
      <c r="J47" s="611">
        <v>0.98299999999999998</v>
      </c>
      <c r="K47" s="620">
        <f>0.97-0.003</f>
        <v>0.96699999999999997</v>
      </c>
      <c r="L47" s="445">
        <v>0</v>
      </c>
      <c r="M47" s="447">
        <v>0</v>
      </c>
      <c r="N47" s="618">
        <v>0</v>
      </c>
      <c r="O47" s="448">
        <v>0</v>
      </c>
      <c r="P47" s="447">
        <v>0</v>
      </c>
      <c r="Q47" s="612">
        <v>0</v>
      </c>
      <c r="R47" s="445">
        <v>6.0000000000000001E-3</v>
      </c>
      <c r="S47" s="461">
        <v>6.0000000000000001E-3</v>
      </c>
      <c r="T47" s="619">
        <f t="shared" si="5"/>
        <v>23058277.314343844</v>
      </c>
      <c r="U47" s="649">
        <f t="shared" si="6"/>
        <v>21474876.297049843</v>
      </c>
      <c r="V47" s="447">
        <f t="shared" si="9"/>
        <v>-1.6276703967446668E-2</v>
      </c>
      <c r="X47" s="450">
        <f t="shared" si="1"/>
        <v>-381522.68565615639</v>
      </c>
      <c r="Y47" s="451">
        <f t="shared" si="2"/>
        <v>-1.6276703967446668E-2</v>
      </c>
      <c r="Z47" s="452">
        <f t="shared" si="3"/>
        <v>-241722.68565615639</v>
      </c>
      <c r="AA47" s="453">
        <f t="shared" si="4"/>
        <v>-1.0374364191251347E-2</v>
      </c>
      <c r="AB47" s="506"/>
      <c r="AC47" s="616"/>
      <c r="AD47" s="506" t="s">
        <v>3199</v>
      </c>
      <c r="AE47" s="506" t="s">
        <v>3199</v>
      </c>
      <c r="AF47" s="548">
        <f t="shared" si="10"/>
        <v>0</v>
      </c>
      <c r="AG47" s="548">
        <f t="shared" si="11"/>
        <v>0</v>
      </c>
      <c r="AI47" s="619">
        <v>23300000</v>
      </c>
      <c r="AJ47" s="617" t="s">
        <v>3490</v>
      </c>
    </row>
    <row r="48" spans="1:36" ht="14.1" customHeight="1">
      <c r="A48" s="441" t="s">
        <v>456</v>
      </c>
      <c r="B48" s="609" t="s">
        <v>355</v>
      </c>
      <c r="C48" s="442">
        <v>26894267.676372904</v>
      </c>
      <c r="D48" s="442">
        <v>24752557.065069057</v>
      </c>
      <c r="E48" s="443" t="s">
        <v>3224</v>
      </c>
      <c r="F48" s="422">
        <v>26754571.913584143</v>
      </c>
      <c r="G48" s="444">
        <v>24623985.899578098</v>
      </c>
      <c r="H48" s="610">
        <v>0.96699999999999997</v>
      </c>
      <c r="I48" s="445">
        <v>0.96699999999999997</v>
      </c>
      <c r="J48" s="611">
        <v>0.96699999999999997</v>
      </c>
      <c r="K48" s="620">
        <v>0.97</v>
      </c>
      <c r="L48" s="445">
        <v>8.9999999999999993E-3</v>
      </c>
      <c r="M48" s="455">
        <v>2.3E-2</v>
      </c>
      <c r="N48" s="618">
        <v>2.3E-2</v>
      </c>
      <c r="O48" s="448">
        <v>3.7999999999999999E-2</v>
      </c>
      <c r="P48" s="455">
        <v>2.4E-2</v>
      </c>
      <c r="Q48" s="661">
        <v>2.4E-2</v>
      </c>
      <c r="R48" s="445">
        <f>0.5%</f>
        <v>5.0000000000000001E-3</v>
      </c>
      <c r="S48" s="461">
        <v>5.0000000000000001E-3</v>
      </c>
      <c r="T48" s="619">
        <f t="shared" si="5"/>
        <v>26977703.873921111</v>
      </c>
      <c r="U48" s="649">
        <f t="shared" si="6"/>
        <v>24829348.86568458</v>
      </c>
      <c r="V48" s="447">
        <f t="shared" si="9"/>
        <v>3.1023784901756998E-3</v>
      </c>
      <c r="W48" s="429" t="s">
        <v>3182</v>
      </c>
      <c r="X48" s="450">
        <f t="shared" si="1"/>
        <v>83436.197548206896</v>
      </c>
      <c r="Y48" s="451">
        <f t="shared" si="2"/>
        <v>3.1023784901756998E-3</v>
      </c>
      <c r="Z48" s="452">
        <f t="shared" si="3"/>
        <v>223131.9603369683</v>
      </c>
      <c r="AA48" s="453">
        <f t="shared" si="4"/>
        <v>8.3399562907480931E-3</v>
      </c>
      <c r="AB48" s="506"/>
      <c r="AC48" s="616"/>
      <c r="AD48" s="506" t="s">
        <v>3493</v>
      </c>
      <c r="AE48" s="506" t="s">
        <v>3304</v>
      </c>
      <c r="AF48" s="548">
        <f t="shared" si="10"/>
        <v>0</v>
      </c>
      <c r="AG48" s="548">
        <f t="shared" si="11"/>
        <v>0</v>
      </c>
      <c r="AI48" s="619">
        <v>26754571.913584143</v>
      </c>
      <c r="AJ48" s="617" t="s">
        <v>3490</v>
      </c>
    </row>
    <row r="49" spans="1:36" ht="14.1" customHeight="1">
      <c r="A49" s="441" t="s">
        <v>456</v>
      </c>
      <c r="B49" s="609" t="s">
        <v>356</v>
      </c>
      <c r="C49" s="442">
        <v>25343634.085933834</v>
      </c>
      <c r="D49" s="442">
        <v>23325407.350631014</v>
      </c>
      <c r="E49" s="443" t="s">
        <v>3224</v>
      </c>
      <c r="F49" s="422">
        <v>25211992.713947937</v>
      </c>
      <c r="G49" s="444">
        <v>23204249.168842427</v>
      </c>
      <c r="H49" s="610">
        <v>0.96699999999999997</v>
      </c>
      <c r="I49" s="445">
        <v>0.96699999999999997</v>
      </c>
      <c r="J49" s="611">
        <v>0.96699999999999997</v>
      </c>
      <c r="K49" s="620">
        <v>0.97</v>
      </c>
      <c r="L49" s="445">
        <v>8.9999999999999993E-3</v>
      </c>
      <c r="M49" s="455">
        <v>2.3E-2</v>
      </c>
      <c r="N49" s="618">
        <v>2.3E-2</v>
      </c>
      <c r="O49" s="448">
        <v>3.7999999999999999E-2</v>
      </c>
      <c r="P49" s="455">
        <v>2.4E-2</v>
      </c>
      <c r="Q49" s="661">
        <v>2.4E-2</v>
      </c>
      <c r="R49" s="445">
        <v>5.0000000000000001E-3</v>
      </c>
      <c r="S49" s="461">
        <v>5.0000000000000001E-3</v>
      </c>
      <c r="T49" s="619">
        <f t="shared" si="5"/>
        <v>25422259.631184917</v>
      </c>
      <c r="U49" s="649">
        <f t="shared" si="6"/>
        <v>23397771.592670202</v>
      </c>
      <c r="V49" s="447">
        <f t="shared" si="9"/>
        <v>3.1023784901756139E-3</v>
      </c>
      <c r="W49" s="429" t="s">
        <v>3182</v>
      </c>
      <c r="X49" s="450">
        <f t="shared" si="1"/>
        <v>78625.545251082629</v>
      </c>
      <c r="Y49" s="451">
        <f t="shared" si="2"/>
        <v>3.1023784901756139E-3</v>
      </c>
      <c r="Z49" s="452">
        <f t="shared" si="3"/>
        <v>210266.91723698005</v>
      </c>
      <c r="AA49" s="453">
        <f t="shared" si="4"/>
        <v>8.3399562907478901E-3</v>
      </c>
      <c r="AB49" s="506"/>
      <c r="AC49" s="616"/>
      <c r="AD49" s="506" t="s">
        <v>3493</v>
      </c>
      <c r="AE49" s="506" t="s">
        <v>3304</v>
      </c>
      <c r="AF49" s="548">
        <f t="shared" si="10"/>
        <v>0</v>
      </c>
      <c r="AG49" s="548">
        <f t="shared" si="11"/>
        <v>0</v>
      </c>
      <c r="AI49" s="619">
        <v>25211992.713947937</v>
      </c>
      <c r="AJ49" s="617" t="s">
        <v>3490</v>
      </c>
    </row>
    <row r="50" spans="1:36" ht="14.1" customHeight="1">
      <c r="A50" s="441" t="s">
        <v>456</v>
      </c>
      <c r="B50" s="609" t="s">
        <v>357</v>
      </c>
      <c r="C50" s="442">
        <v>24762055.877239175</v>
      </c>
      <c r="D50" s="442">
        <v>22790142.81129716</v>
      </c>
      <c r="E50" s="443" t="s">
        <v>3224</v>
      </c>
      <c r="F50" s="422">
        <v>24633435.372467902</v>
      </c>
      <c r="G50" s="444">
        <v>22671764.931579471</v>
      </c>
      <c r="H50" s="610">
        <v>0.96699999999999997</v>
      </c>
      <c r="I50" s="445">
        <v>0.96699999999999997</v>
      </c>
      <c r="J50" s="611">
        <v>0.96699999999999997</v>
      </c>
      <c r="K50" s="620">
        <v>0.97</v>
      </c>
      <c r="L50" s="445">
        <v>8.9999999999999993E-3</v>
      </c>
      <c r="M50" s="455">
        <v>2.3E-2</v>
      </c>
      <c r="N50" s="618">
        <v>2.3E-2</v>
      </c>
      <c r="O50" s="448">
        <v>3.7999999999999999E-2</v>
      </c>
      <c r="P50" s="455">
        <v>2.4E-2</v>
      </c>
      <c r="Q50" s="661">
        <v>2.4E-2</v>
      </c>
      <c r="R50" s="445">
        <v>5.0000000000000001E-3</v>
      </c>
      <c r="S50" s="461">
        <v>5.0000000000000001E-3</v>
      </c>
      <c r="T50" s="619">
        <f t="shared" si="5"/>
        <v>24838877.146765247</v>
      </c>
      <c r="U50" s="649">
        <f t="shared" si="6"/>
        <v>22860846.460142959</v>
      </c>
      <c r="V50" s="447">
        <f t="shared" si="9"/>
        <v>3.1023784901755488E-3</v>
      </c>
      <c r="W50" s="429" t="s">
        <v>3182</v>
      </c>
      <c r="X50" s="450">
        <f t="shared" si="1"/>
        <v>76821.269526071846</v>
      </c>
      <c r="Y50" s="451">
        <f t="shared" si="2"/>
        <v>3.1023784901755488E-3</v>
      </c>
      <c r="Z50" s="452">
        <f t="shared" si="3"/>
        <v>205441.77429734543</v>
      </c>
      <c r="AA50" s="453">
        <f t="shared" si="4"/>
        <v>8.339956290747897E-3</v>
      </c>
      <c r="AB50" s="506"/>
      <c r="AC50" s="616"/>
      <c r="AD50" s="506" t="s">
        <v>3493</v>
      </c>
      <c r="AE50" s="506" t="s">
        <v>3304</v>
      </c>
      <c r="AF50" s="548">
        <f t="shared" si="10"/>
        <v>0</v>
      </c>
      <c r="AG50" s="548">
        <f t="shared" si="11"/>
        <v>0</v>
      </c>
      <c r="AI50" s="619">
        <v>24633435.372467902</v>
      </c>
      <c r="AJ50" s="617" t="s">
        <v>3490</v>
      </c>
    </row>
    <row r="51" spans="1:36" ht="14.1" customHeight="1">
      <c r="A51" s="441" t="s">
        <v>458</v>
      </c>
      <c r="B51" s="622" t="s">
        <v>553</v>
      </c>
      <c r="C51" s="442">
        <v>28140069.307529707</v>
      </c>
      <c r="D51" s="442">
        <v>25958209.853461452</v>
      </c>
      <c r="E51" s="443" t="s">
        <v>3224</v>
      </c>
      <c r="F51" s="422">
        <v>27242311.320820838</v>
      </c>
      <c r="G51" s="444">
        <v>25130060.144165099</v>
      </c>
      <c r="H51" s="610">
        <v>0.88</v>
      </c>
      <c r="I51" s="542">
        <v>0.88</v>
      </c>
      <c r="J51" s="621">
        <f>88%+2%</f>
        <v>0.9</v>
      </c>
      <c r="K51" s="620">
        <f>90%+0.015</f>
        <v>0.91500000000000004</v>
      </c>
      <c r="L51" s="445">
        <v>3.1E-2</v>
      </c>
      <c r="M51" s="447">
        <v>3.1E-2</v>
      </c>
      <c r="N51" s="618">
        <v>3.2599999999999997E-2</v>
      </c>
      <c r="O51" s="447">
        <v>0</v>
      </c>
      <c r="P51" s="447">
        <v>0</v>
      </c>
      <c r="Q51" s="659">
        <v>0</v>
      </c>
      <c r="R51" s="445">
        <f>0.5%+0.5%</f>
        <v>0.01</v>
      </c>
      <c r="S51" s="613">
        <v>1.4999999999999999E-2</v>
      </c>
      <c r="T51" s="619">
        <f t="shared" si="5"/>
        <v>28703226.749079108</v>
      </c>
      <c r="U51" s="649">
        <f t="shared" si="6"/>
        <v>26477702.498931449</v>
      </c>
      <c r="V51" s="447">
        <f t="shared" si="9"/>
        <v>2.0012652968083213E-2</v>
      </c>
      <c r="W51" s="429" t="s">
        <v>3182</v>
      </c>
      <c r="X51" s="450">
        <f t="shared" si="1"/>
        <v>563157.44154940173</v>
      </c>
      <c r="Y51" s="451">
        <f t="shared" si="2"/>
        <v>2.0012652968083213E-2</v>
      </c>
      <c r="Z51" s="452">
        <f t="shared" si="3"/>
        <v>1460915.42825827</v>
      </c>
      <c r="AA51" s="453">
        <f t="shared" si="4"/>
        <v>5.3626706304531403E-2</v>
      </c>
      <c r="AB51" s="506"/>
      <c r="AC51" s="625" t="s">
        <v>3306</v>
      </c>
      <c r="AD51" s="506" t="s">
        <v>3494</v>
      </c>
      <c r="AE51" s="506" t="s">
        <v>3305</v>
      </c>
      <c r="AF51" s="548">
        <f t="shared" si="10"/>
        <v>0</v>
      </c>
      <c r="AG51" s="548">
        <f t="shared" si="11"/>
        <v>0</v>
      </c>
      <c r="AI51" s="619">
        <v>27242311.320820838</v>
      </c>
      <c r="AJ51" s="617" t="s">
        <v>3490</v>
      </c>
    </row>
    <row r="52" spans="1:36" ht="14.1" customHeight="1">
      <c r="A52" s="441" t="s">
        <v>458</v>
      </c>
      <c r="B52" s="622" t="s">
        <v>554</v>
      </c>
      <c r="C52" s="442">
        <v>14299487.965197572</v>
      </c>
      <c r="D52" s="442">
        <v>13190767.419265823</v>
      </c>
      <c r="E52" s="443" t="s">
        <v>3224</v>
      </c>
      <c r="F52" s="422">
        <v>13843288.679179167</v>
      </c>
      <c r="G52" s="444">
        <v>12769939.855834899</v>
      </c>
      <c r="H52" s="610">
        <v>0.88</v>
      </c>
      <c r="I52" s="542">
        <v>0.88</v>
      </c>
      <c r="J52" s="621">
        <f>88%+2%</f>
        <v>0.9</v>
      </c>
      <c r="K52" s="620">
        <f>90%+0.015</f>
        <v>0.91500000000000004</v>
      </c>
      <c r="L52" s="445">
        <v>3.1E-2</v>
      </c>
      <c r="M52" s="447">
        <v>3.1E-2</v>
      </c>
      <c r="N52" s="618">
        <v>3.2599999999999997E-2</v>
      </c>
      <c r="O52" s="447">
        <v>0</v>
      </c>
      <c r="P52" s="447">
        <v>0</v>
      </c>
      <c r="Q52" s="659">
        <v>0</v>
      </c>
      <c r="R52" s="445">
        <f>0.5%+0.5%</f>
        <v>0.01</v>
      </c>
      <c r="S52" s="613">
        <v>1.4999999999999999E-2</v>
      </c>
      <c r="T52" s="619">
        <f t="shared" si="5"/>
        <v>14585658.655466354</v>
      </c>
      <c r="U52" s="649">
        <f t="shared" si="6"/>
        <v>13454749.670010287</v>
      </c>
      <c r="V52" s="447">
        <f t="shared" si="9"/>
        <v>2.0012652968083189E-2</v>
      </c>
      <c r="W52" s="429" t="s">
        <v>3182</v>
      </c>
      <c r="X52" s="450">
        <f t="shared" si="1"/>
        <v>286170.69026878104</v>
      </c>
      <c r="Y52" s="451">
        <f t="shared" si="2"/>
        <v>2.0012652968083189E-2</v>
      </c>
      <c r="Z52" s="452">
        <f t="shared" si="3"/>
        <v>742369.97628718615</v>
      </c>
      <c r="AA52" s="453">
        <f t="shared" si="4"/>
        <v>5.3626706304531438E-2</v>
      </c>
      <c r="AB52" s="506"/>
      <c r="AC52" s="625" t="s">
        <v>3306</v>
      </c>
      <c r="AD52" s="506" t="s">
        <v>3494</v>
      </c>
      <c r="AE52" s="506" t="s">
        <v>3305</v>
      </c>
      <c r="AF52" s="548">
        <f t="shared" si="10"/>
        <v>0</v>
      </c>
      <c r="AG52" s="548">
        <f t="shared" si="11"/>
        <v>0</v>
      </c>
      <c r="AI52" s="619">
        <v>13843288.679179167</v>
      </c>
      <c r="AJ52" s="617" t="s">
        <v>3490</v>
      </c>
    </row>
    <row r="53" spans="1:36" ht="14.1" customHeight="1">
      <c r="A53" s="441" t="s">
        <v>460</v>
      </c>
      <c r="B53" s="609" t="s">
        <v>555</v>
      </c>
      <c r="C53" s="442">
        <v>18308033.039999999</v>
      </c>
      <c r="D53" s="442">
        <v>16897123.248730961</v>
      </c>
      <c r="E53" s="443" t="s">
        <v>3224</v>
      </c>
      <c r="F53" s="422">
        <v>18419500</v>
      </c>
      <c r="G53" s="444">
        <v>17000000</v>
      </c>
      <c r="H53" s="610">
        <v>0.97</v>
      </c>
      <c r="I53" s="445">
        <v>0.97</v>
      </c>
      <c r="J53" s="611">
        <v>0.97</v>
      </c>
      <c r="K53" s="620">
        <f>97%-0.005</f>
        <v>0.96499999999999997</v>
      </c>
      <c r="L53" s="445">
        <v>0</v>
      </c>
      <c r="M53" s="447">
        <v>0</v>
      </c>
      <c r="N53" s="618">
        <v>0</v>
      </c>
      <c r="O53" s="448">
        <v>1.4999999999999999E-2</v>
      </c>
      <c r="P53" s="456">
        <v>2.6800000000000001E-2</v>
      </c>
      <c r="Q53" s="659">
        <v>1.4500000000000001E-2</v>
      </c>
      <c r="R53" s="445">
        <v>6.0000000000000001E-3</v>
      </c>
      <c r="S53" s="461">
        <v>6.0000000000000001E-3</v>
      </c>
      <c r="T53" s="619">
        <f t="shared" si="5"/>
        <v>18443859.06340206</v>
      </c>
      <c r="U53" s="649">
        <f t="shared" si="6"/>
        <v>17022481.830551051</v>
      </c>
      <c r="V53" s="447">
        <f t="shared" si="9"/>
        <v>7.4189304282608675E-3</v>
      </c>
      <c r="X53" s="450">
        <f t="shared" si="1"/>
        <v>135826.02340206131</v>
      </c>
      <c r="Y53" s="451">
        <f t="shared" si="2"/>
        <v>7.4189304282608675E-3</v>
      </c>
      <c r="Z53" s="452">
        <f t="shared" si="3"/>
        <v>24359.063402060419</v>
      </c>
      <c r="AA53" s="453">
        <f t="shared" si="4"/>
        <v>1.3224606206498775E-3</v>
      </c>
      <c r="AB53" s="506"/>
      <c r="AC53" s="616"/>
      <c r="AD53" s="506" t="s">
        <v>3200</v>
      </c>
      <c r="AE53" s="506" t="s">
        <v>3200</v>
      </c>
      <c r="AF53" s="548">
        <f t="shared" si="10"/>
        <v>0</v>
      </c>
      <c r="AG53" s="548">
        <f t="shared" si="11"/>
        <v>0</v>
      </c>
      <c r="AI53" s="619">
        <v>18419500</v>
      </c>
      <c r="AJ53" s="617" t="s">
        <v>3490</v>
      </c>
    </row>
    <row r="54" spans="1:36" s="203" customFormat="1" ht="14.1" customHeight="1">
      <c r="A54" s="441" t="s">
        <v>462</v>
      </c>
      <c r="B54" s="609" t="s">
        <v>307</v>
      </c>
      <c r="C54" s="442">
        <v>24622543.358395986</v>
      </c>
      <c r="D54" s="442">
        <v>22773419.548872177</v>
      </c>
      <c r="E54" s="443" t="s">
        <v>3224</v>
      </c>
      <c r="F54" s="422">
        <v>25300000</v>
      </c>
      <c r="G54" s="444">
        <v>23400000</v>
      </c>
      <c r="H54" s="610">
        <v>0.97499999999999998</v>
      </c>
      <c r="I54" s="445">
        <v>0.97499999999999998</v>
      </c>
      <c r="J54" s="611">
        <v>0.97499999999999998</v>
      </c>
      <c r="K54" s="620">
        <v>0.97</v>
      </c>
      <c r="L54" s="445">
        <v>0</v>
      </c>
      <c r="M54" s="447">
        <v>0</v>
      </c>
      <c r="N54" s="618">
        <v>0</v>
      </c>
      <c r="O54" s="456">
        <v>2.5000000000000001E-3</v>
      </c>
      <c r="P54" s="456">
        <v>3.5000000000000003E-2</v>
      </c>
      <c r="Q54" s="612">
        <v>4.6199999999999998E-2</v>
      </c>
      <c r="R54" s="445">
        <v>6.0000000000000001E-3</v>
      </c>
      <c r="S54" s="461">
        <v>6.0000000000000001E-3</v>
      </c>
      <c r="T54" s="619">
        <f t="shared" si="5"/>
        <v>24211964.819536019</v>
      </c>
      <c r="U54" s="649">
        <f t="shared" si="6"/>
        <v>22393674.971428569</v>
      </c>
      <c r="V54" s="447">
        <f t="shared" si="9"/>
        <v>-1.6674903680084896E-2</v>
      </c>
      <c r="W54" s="429"/>
      <c r="X54" s="450">
        <f t="shared" si="1"/>
        <v>-410578.53885996714</v>
      </c>
      <c r="Y54" s="451">
        <f t="shared" si="2"/>
        <v>-1.6674903680084896E-2</v>
      </c>
      <c r="Z54" s="457">
        <f t="shared" si="3"/>
        <v>-1088035.1804639809</v>
      </c>
      <c r="AA54" s="458">
        <f t="shared" si="4"/>
        <v>-4.3005343101343116E-2</v>
      </c>
      <c r="AB54" s="506"/>
      <c r="AC54" s="616"/>
      <c r="AD54" s="506" t="s">
        <v>3495</v>
      </c>
      <c r="AE54" s="506" t="s">
        <v>3307</v>
      </c>
      <c r="AF54" s="548">
        <f t="shared" si="10"/>
        <v>0</v>
      </c>
      <c r="AG54" s="548">
        <f t="shared" si="11"/>
        <v>0</v>
      </c>
      <c r="AI54" s="619">
        <v>25300000</v>
      </c>
      <c r="AJ54" s="617" t="s">
        <v>3490</v>
      </c>
    </row>
    <row r="55" spans="1:36" ht="14.1" customHeight="1">
      <c r="A55" s="441" t="s">
        <v>264</v>
      </c>
      <c r="B55" s="609" t="s">
        <v>215</v>
      </c>
      <c r="C55" s="442">
        <v>29900000</v>
      </c>
      <c r="D55" s="442">
        <v>27300000</v>
      </c>
      <c r="E55" s="443" t="s">
        <v>3224</v>
      </c>
      <c r="F55" s="422">
        <v>29900000</v>
      </c>
      <c r="G55" s="444">
        <v>27300000</v>
      </c>
      <c r="H55" s="610">
        <v>0.97499999999999998</v>
      </c>
      <c r="I55" s="445">
        <v>0.97499999999999998</v>
      </c>
      <c r="J55" s="611">
        <v>0.97499999999999998</v>
      </c>
      <c r="K55" s="540">
        <v>0.97499999999999998</v>
      </c>
      <c r="L55" s="445">
        <v>0</v>
      </c>
      <c r="M55" s="447">
        <v>0</v>
      </c>
      <c r="N55" s="618">
        <v>0</v>
      </c>
      <c r="O55" s="448">
        <v>4.0000000000000001E-3</v>
      </c>
      <c r="P55" s="447">
        <v>4.0000000000000001E-3</v>
      </c>
      <c r="Q55" s="661">
        <v>5.0000000000000001E-4</v>
      </c>
      <c r="R55" s="445">
        <v>0</v>
      </c>
      <c r="S55" s="613">
        <v>0</v>
      </c>
      <c r="T55" s="619">
        <f t="shared" si="5"/>
        <v>30005070.281124499</v>
      </c>
      <c r="U55" s="649">
        <f t="shared" si="6"/>
        <v>27395933.734939761</v>
      </c>
      <c r="V55" s="447">
        <f t="shared" si="9"/>
        <v>3.5140562248996217E-3</v>
      </c>
      <c r="X55" s="450">
        <f t="shared" si="1"/>
        <v>105070.2811244987</v>
      </c>
      <c r="Y55" s="451">
        <f t="shared" si="2"/>
        <v>3.5140562248996217E-3</v>
      </c>
      <c r="Z55" s="452">
        <f t="shared" si="3"/>
        <v>105070.2811244987</v>
      </c>
      <c r="AA55" s="453">
        <f t="shared" si="4"/>
        <v>3.5140562248996217E-3</v>
      </c>
      <c r="AB55" s="506"/>
      <c r="AC55" s="616"/>
      <c r="AD55" s="506"/>
      <c r="AE55" s="506" t="s">
        <v>3201</v>
      </c>
      <c r="AF55" s="548">
        <f t="shared" si="10"/>
        <v>0</v>
      </c>
      <c r="AG55" s="548">
        <f t="shared" si="11"/>
        <v>0</v>
      </c>
      <c r="AI55" s="619">
        <v>29900000</v>
      </c>
      <c r="AJ55" s="617" t="s">
        <v>523</v>
      </c>
    </row>
    <row r="56" spans="1:36" ht="14.1" customHeight="1">
      <c r="A56" s="441" t="s">
        <v>277</v>
      </c>
      <c r="B56" s="609" t="s">
        <v>556</v>
      </c>
      <c r="C56" s="442">
        <v>26089718.835833181</v>
      </c>
      <c r="D56" s="442">
        <v>24260506.419309769</v>
      </c>
      <c r="E56" s="443" t="s">
        <v>3224</v>
      </c>
      <c r="F56" s="422">
        <v>26407240.768926486</v>
      </c>
      <c r="G56" s="444">
        <v>24555766.132323679</v>
      </c>
      <c r="H56" s="610">
        <v>0.96799999999999997</v>
      </c>
      <c r="I56" s="445">
        <v>0.96799999999999997</v>
      </c>
      <c r="J56" s="611">
        <v>0.96799999999999997</v>
      </c>
      <c r="K56" s="540">
        <v>0.96799999999999997</v>
      </c>
      <c r="L56" s="445">
        <v>0</v>
      </c>
      <c r="M56" s="447">
        <v>0</v>
      </c>
      <c r="N56" s="618">
        <v>2.8000000000000001E-2</v>
      </c>
      <c r="O56" s="448">
        <v>2E-3</v>
      </c>
      <c r="P56" s="455">
        <v>1.4E-2</v>
      </c>
      <c r="Q56" s="661">
        <v>1.4E-2</v>
      </c>
      <c r="R56" s="445">
        <v>0</v>
      </c>
      <c r="S56" s="613">
        <v>0</v>
      </c>
      <c r="T56" s="619">
        <f t="shared" si="5"/>
        <v>25359206.708429851</v>
      </c>
      <c r="U56" s="649">
        <f t="shared" si="6"/>
        <v>23581212.239569094</v>
      </c>
      <c r="V56" s="447">
        <f t="shared" si="9"/>
        <v>-2.8000000000000039E-2</v>
      </c>
      <c r="W56" s="429" t="s">
        <v>3182</v>
      </c>
      <c r="X56" s="450">
        <f t="shared" si="1"/>
        <v>-730512.12740333006</v>
      </c>
      <c r="Y56" s="451">
        <f t="shared" si="2"/>
        <v>-2.8000000000000039E-2</v>
      </c>
      <c r="Z56" s="452">
        <f t="shared" si="3"/>
        <v>-1048034.0604966357</v>
      </c>
      <c r="AA56" s="453">
        <f t="shared" si="4"/>
        <v>-3.9687374749499078E-2</v>
      </c>
      <c r="AB56" s="506"/>
      <c r="AC56" s="616"/>
      <c r="AD56" s="506"/>
      <c r="AE56" s="506" t="s">
        <v>3308</v>
      </c>
      <c r="AF56" s="548">
        <f t="shared" si="10"/>
        <v>0</v>
      </c>
      <c r="AG56" s="548">
        <f t="shared" si="11"/>
        <v>0</v>
      </c>
      <c r="AI56" s="619">
        <v>26407240.768926486</v>
      </c>
      <c r="AJ56" s="617" t="s">
        <v>523</v>
      </c>
    </row>
    <row r="57" spans="1:36" ht="14.1" customHeight="1">
      <c r="A57" s="441" t="s">
        <v>277</v>
      </c>
      <c r="B57" s="609" t="s">
        <v>557</v>
      </c>
      <c r="C57" s="442">
        <v>8546742.0860105045</v>
      </c>
      <c r="D57" s="442">
        <v>7947509.6127543608</v>
      </c>
      <c r="E57" s="443" t="s">
        <v>3224</v>
      </c>
      <c r="F57" s="422">
        <v>8650759.2310735118</v>
      </c>
      <c r="G57" s="444">
        <v>8044233.8676763214</v>
      </c>
      <c r="H57" s="610">
        <v>0.96799999999999997</v>
      </c>
      <c r="I57" s="445">
        <v>0.96799999999999997</v>
      </c>
      <c r="J57" s="611">
        <v>0.96799999999999997</v>
      </c>
      <c r="K57" s="540">
        <v>0.96799999999999997</v>
      </c>
      <c r="L57" s="445">
        <v>0</v>
      </c>
      <c r="M57" s="447">
        <v>0</v>
      </c>
      <c r="N57" s="618">
        <v>2.8000000000000001E-2</v>
      </c>
      <c r="O57" s="448">
        <v>2E-3</v>
      </c>
      <c r="P57" s="455">
        <v>1.4E-2</v>
      </c>
      <c r="Q57" s="661">
        <v>1.4E-2</v>
      </c>
      <c r="R57" s="445">
        <v>0</v>
      </c>
      <c r="S57" s="613">
        <v>0</v>
      </c>
      <c r="T57" s="619">
        <f t="shared" si="5"/>
        <v>8307433.307602209</v>
      </c>
      <c r="U57" s="649">
        <f t="shared" si="6"/>
        <v>7724979.3435972389</v>
      </c>
      <c r="V57" s="447">
        <f t="shared" si="9"/>
        <v>-2.8000000000000157E-2</v>
      </c>
      <c r="W57" s="429" t="s">
        <v>3182</v>
      </c>
      <c r="X57" s="450">
        <f t="shared" si="1"/>
        <v>-239308.77840829547</v>
      </c>
      <c r="Y57" s="451">
        <f t="shared" si="2"/>
        <v>-2.8000000000000157E-2</v>
      </c>
      <c r="Z57" s="452">
        <f t="shared" si="3"/>
        <v>-343325.92347130273</v>
      </c>
      <c r="AA57" s="453">
        <f t="shared" si="4"/>
        <v>-3.9687374749499051E-2</v>
      </c>
      <c r="AB57" s="506"/>
      <c r="AC57" s="616"/>
      <c r="AD57" s="506"/>
      <c r="AE57" s="506" t="s">
        <v>3309</v>
      </c>
      <c r="AF57" s="548">
        <f t="shared" si="10"/>
        <v>0</v>
      </c>
      <c r="AG57" s="548">
        <f t="shared" si="11"/>
        <v>0</v>
      </c>
      <c r="AI57" s="619">
        <v>8650759.2310735118</v>
      </c>
      <c r="AJ57" s="617" t="s">
        <v>523</v>
      </c>
    </row>
    <row r="58" spans="1:36" ht="14.1" customHeight="1">
      <c r="A58" s="441" t="s">
        <v>473</v>
      </c>
      <c r="B58" s="609" t="s">
        <v>558</v>
      </c>
      <c r="C58" s="442">
        <v>29020801.999999996</v>
      </c>
      <c r="D58" s="442">
        <v>26479199.999999996</v>
      </c>
      <c r="E58" s="443" t="s">
        <v>3231</v>
      </c>
      <c r="F58" s="422">
        <v>28934000</v>
      </c>
      <c r="G58" s="444">
        <v>26400000</v>
      </c>
      <c r="H58" s="610">
        <v>0.97199999999999998</v>
      </c>
      <c r="I58" s="445">
        <v>0.97199999999999998</v>
      </c>
      <c r="J58" s="611">
        <v>0.97199999999999998</v>
      </c>
      <c r="K58" s="540">
        <v>0.97199999999999998</v>
      </c>
      <c r="L58" s="445">
        <v>0</v>
      </c>
      <c r="M58" s="447">
        <v>0</v>
      </c>
      <c r="N58" s="618">
        <v>0</v>
      </c>
      <c r="O58" s="448">
        <v>0</v>
      </c>
      <c r="P58" s="447">
        <v>0</v>
      </c>
      <c r="Q58" s="662">
        <v>0</v>
      </c>
      <c r="R58" s="445">
        <v>3.0000000000000001E-3</v>
      </c>
      <c r="S58" s="461">
        <v>3.0000000000000001E-3</v>
      </c>
      <c r="T58" s="619">
        <f t="shared" si="5"/>
        <v>29020801.999999996</v>
      </c>
      <c r="U58" s="649">
        <f t="shared" si="6"/>
        <v>26479199.999999996</v>
      </c>
      <c r="V58" s="447">
        <f t="shared" si="9"/>
        <v>0</v>
      </c>
      <c r="X58" s="450">
        <f t="shared" si="1"/>
        <v>0</v>
      </c>
      <c r="Y58" s="451">
        <f t="shared" si="2"/>
        <v>0</v>
      </c>
      <c r="Z58" s="452">
        <f t="shared" si="3"/>
        <v>86801.999999996275</v>
      </c>
      <c r="AA58" s="453">
        <f t="shared" si="4"/>
        <v>2.9999999999998713E-3</v>
      </c>
      <c r="AB58" s="506"/>
      <c r="AC58" s="616"/>
      <c r="AD58" s="506" t="s">
        <v>3496</v>
      </c>
      <c r="AE58" s="506" t="s">
        <v>3310</v>
      </c>
      <c r="AF58" s="548">
        <f t="shared" si="10"/>
        <v>0</v>
      </c>
      <c r="AG58" s="548">
        <f t="shared" si="11"/>
        <v>0</v>
      </c>
      <c r="AI58" s="619">
        <v>28934000</v>
      </c>
      <c r="AJ58" s="617" t="s">
        <v>3490</v>
      </c>
    </row>
    <row r="59" spans="1:36" ht="14.1" customHeight="1">
      <c r="A59" s="441" t="s">
        <v>467</v>
      </c>
      <c r="B59" s="609" t="s">
        <v>559</v>
      </c>
      <c r="C59" s="442">
        <v>33358917.697625112</v>
      </c>
      <c r="D59" s="442">
        <v>30362607.724784527</v>
      </c>
      <c r="E59" s="443" t="s">
        <v>3487</v>
      </c>
      <c r="F59" s="422">
        <v>32270654.144821849</v>
      </c>
      <c r="G59" s="444" t="s">
        <v>3488</v>
      </c>
      <c r="H59" s="610">
        <v>0.97799999999999998</v>
      </c>
      <c r="I59" s="542">
        <v>0.97499999999999998</v>
      </c>
      <c r="J59" s="621">
        <f>97.5%+1%</f>
        <v>0.98499999999999999</v>
      </c>
      <c r="K59" s="621">
        <f>97.5%+1%</f>
        <v>0.98499999999999999</v>
      </c>
      <c r="L59" s="445">
        <f>100%-97.8%</f>
        <v>2.200000000000002E-2</v>
      </c>
      <c r="M59" s="447">
        <v>2.8000000000000001E-2</v>
      </c>
      <c r="N59" s="658">
        <v>2.8000000000000001E-2</v>
      </c>
      <c r="O59" s="448">
        <v>0</v>
      </c>
      <c r="P59" s="663">
        <v>0.01</v>
      </c>
      <c r="Q59" s="662">
        <v>0</v>
      </c>
      <c r="R59" s="464">
        <v>7.4999999999999997E-3</v>
      </c>
      <c r="S59" s="654">
        <v>6.0000000000000001E-3</v>
      </c>
      <c r="T59" s="619">
        <f t="shared" si="5"/>
        <v>32496047.094863426</v>
      </c>
      <c r="U59" s="649" t="e">
        <f t="shared" si="6"/>
        <v>#VALUE!</v>
      </c>
      <c r="V59" s="447">
        <f t="shared" si="9"/>
        <v>-2.5866264924509687E-2</v>
      </c>
      <c r="X59" s="450">
        <f t="shared" si="1"/>
        <v>-862870.60276168585</v>
      </c>
      <c r="Y59" s="451">
        <f t="shared" si="2"/>
        <v>-2.5866264924509687E-2</v>
      </c>
      <c r="Z59" s="452">
        <f t="shared" si="3"/>
        <v>225392.95004157722</v>
      </c>
      <c r="AA59" s="453">
        <f t="shared" si="4"/>
        <v>6.9844555685197908E-3</v>
      </c>
      <c r="AB59" s="506"/>
      <c r="AC59" s="625" t="s">
        <v>3311</v>
      </c>
      <c r="AD59" s="506" t="s">
        <v>3497</v>
      </c>
      <c r="AE59" s="506" t="s">
        <v>3253</v>
      </c>
      <c r="AF59" s="548">
        <f t="shared" si="10"/>
        <v>2.5869974120087404E-4</v>
      </c>
      <c r="AG59" s="548">
        <f t="shared" si="11"/>
        <v>834840.98756483197</v>
      </c>
      <c r="AH59" s="459" t="s">
        <v>3498</v>
      </c>
      <c r="AI59" s="619">
        <v>33105495.132386681</v>
      </c>
      <c r="AJ59" s="617" t="s">
        <v>895</v>
      </c>
    </row>
    <row r="60" spans="1:36" ht="14.1" customHeight="1">
      <c r="A60" s="441" t="s">
        <v>467</v>
      </c>
      <c r="B60" s="609" t="s">
        <v>560</v>
      </c>
      <c r="C60" s="442">
        <v>33952436.302374907</v>
      </c>
      <c r="D60" s="442">
        <v>30902816.27521548</v>
      </c>
      <c r="E60" s="443" t="s">
        <v>3487</v>
      </c>
      <c r="F60" s="422">
        <v>32844810.470755693</v>
      </c>
      <c r="G60" s="444" t="s">
        <v>3488</v>
      </c>
      <c r="H60" s="610">
        <v>0.97799999999999998</v>
      </c>
      <c r="I60" s="542">
        <v>0.97499999999999998</v>
      </c>
      <c r="J60" s="621">
        <f>97.5%+1%</f>
        <v>0.98499999999999999</v>
      </c>
      <c r="K60" s="621">
        <f>97.5%+1%</f>
        <v>0.98499999999999999</v>
      </c>
      <c r="L60" s="445">
        <f>100%-97.8%</f>
        <v>2.200000000000002E-2</v>
      </c>
      <c r="M60" s="447">
        <v>2.8000000000000001E-2</v>
      </c>
      <c r="N60" s="658">
        <v>2.8000000000000001E-2</v>
      </c>
      <c r="O60" s="448">
        <v>0</v>
      </c>
      <c r="P60" s="663">
        <v>0.01</v>
      </c>
      <c r="Q60" s="662">
        <v>0</v>
      </c>
      <c r="R60" s="464">
        <v>7.4999999999999997E-3</v>
      </c>
      <c r="S60" s="654">
        <v>6.0000000000000001E-3</v>
      </c>
      <c r="T60" s="619">
        <f t="shared" si="5"/>
        <v>33074213.59014513</v>
      </c>
      <c r="U60" s="649" t="e">
        <f t="shared" si="6"/>
        <v>#VALUE!</v>
      </c>
      <c r="V60" s="447">
        <f t="shared" si="9"/>
        <v>-2.5866264924509913E-2</v>
      </c>
      <c r="X60" s="450">
        <f t="shared" si="1"/>
        <v>-878222.71222977713</v>
      </c>
      <c r="Y60" s="451">
        <f t="shared" si="2"/>
        <v>-2.5866264924509913E-2</v>
      </c>
      <c r="Z60" s="452">
        <f t="shared" si="3"/>
        <v>229403.11938943714</v>
      </c>
      <c r="AA60" s="453">
        <f t="shared" si="4"/>
        <v>6.9844555685194985E-3</v>
      </c>
      <c r="AB60" s="506"/>
      <c r="AC60" s="625" t="s">
        <v>3311</v>
      </c>
      <c r="AD60" s="506" t="s">
        <v>3497</v>
      </c>
      <c r="AE60" s="506" t="s">
        <v>3253</v>
      </c>
      <c r="AF60" s="548">
        <f t="shared" si="10"/>
        <v>2.5869974120087627E-4</v>
      </c>
      <c r="AG60" s="548">
        <f t="shared" si="11"/>
        <v>849694.39685763046</v>
      </c>
      <c r="AH60" s="459" t="s">
        <v>3498</v>
      </c>
      <c r="AI60" s="619">
        <v>33694504.867613323</v>
      </c>
      <c r="AJ60" s="617" t="s">
        <v>895</v>
      </c>
    </row>
    <row r="61" spans="1:36" ht="14.1" customHeight="1">
      <c r="A61" s="441" t="s">
        <v>470</v>
      </c>
      <c r="B61" s="609" t="s">
        <v>561</v>
      </c>
      <c r="C61" s="442">
        <v>35511231.009328827</v>
      </c>
      <c r="D61" s="442">
        <v>32134993.026407555</v>
      </c>
      <c r="E61" s="443" t="s">
        <v>3487</v>
      </c>
      <c r="F61" s="422">
        <v>33922209.257913999</v>
      </c>
      <c r="G61" s="444" t="s">
        <v>3488</v>
      </c>
      <c r="H61" s="610">
        <v>0.973608356780577</v>
      </c>
      <c r="I61" s="445">
        <v>0.97799999999999998</v>
      </c>
      <c r="J61" s="611">
        <v>0.97799999999999998</v>
      </c>
      <c r="K61" s="657">
        <f>97.5%+0.7%</f>
        <v>0.98199999999999998</v>
      </c>
      <c r="L61" s="445">
        <v>0</v>
      </c>
      <c r="M61" s="447">
        <v>0</v>
      </c>
      <c r="N61" s="623">
        <v>0</v>
      </c>
      <c r="O61" s="448">
        <v>0</v>
      </c>
      <c r="P61" s="447">
        <v>0</v>
      </c>
      <c r="Q61" s="664">
        <v>0</v>
      </c>
      <c r="R61" s="445">
        <v>0.01</v>
      </c>
      <c r="S61" s="665">
        <f>((40-17)/40*0.005+(40-5)/40*0.005)*F61/AI61</f>
        <v>6.9948399486861393E-3</v>
      </c>
      <c r="T61" s="619">
        <f t="shared" si="5"/>
        <v>34453914.281321339</v>
      </c>
      <c r="U61" s="649" t="e">
        <f t="shared" si="6"/>
        <v>#VALUE!</v>
      </c>
      <c r="V61" s="447">
        <f t="shared" si="9"/>
        <v>-2.9774150260511386E-2</v>
      </c>
      <c r="X61" s="450">
        <f t="shared" si="1"/>
        <v>-1057316.728007488</v>
      </c>
      <c r="Y61" s="451">
        <f t="shared" si="2"/>
        <v>-2.9774150260511386E-2</v>
      </c>
      <c r="Z61" s="452">
        <f t="shared" si="3"/>
        <v>531705.02340734005</v>
      </c>
      <c r="AA61" s="453">
        <f t="shared" si="4"/>
        <v>1.5674245134352331E-2</v>
      </c>
      <c r="AB61" s="506"/>
      <c r="AC61" s="616"/>
      <c r="AD61" s="666" t="s">
        <v>3499</v>
      </c>
      <c r="AE61" s="506" t="s">
        <v>3312</v>
      </c>
      <c r="AF61" s="548">
        <f t="shared" si="10"/>
        <v>3.6478325906769138E-4</v>
      </c>
      <c r="AG61" s="548">
        <f t="shared" si="11"/>
        <v>1237425.4047878087</v>
      </c>
      <c r="AH61" s="459" t="s">
        <v>3498</v>
      </c>
      <c r="AI61" s="619">
        <v>35159634.662701808</v>
      </c>
      <c r="AJ61" s="617" t="s">
        <v>3500</v>
      </c>
    </row>
    <row r="62" spans="1:36" ht="14.1" customHeight="1">
      <c r="A62" s="441" t="s">
        <v>470</v>
      </c>
      <c r="B62" s="609" t="s">
        <v>562</v>
      </c>
      <c r="C62" s="442">
        <v>25492493.548032247</v>
      </c>
      <c r="D62" s="442">
        <v>23068789.200142097</v>
      </c>
      <c r="E62" s="443" t="s">
        <v>3487</v>
      </c>
      <c r="F62" s="422">
        <v>24184167.397199284</v>
      </c>
      <c r="G62" s="444" t="s">
        <v>3488</v>
      </c>
      <c r="H62" s="610">
        <v>0.973608356780577</v>
      </c>
      <c r="I62" s="445">
        <v>0.97799999999999998</v>
      </c>
      <c r="J62" s="611">
        <v>0.97799999999999998</v>
      </c>
      <c r="K62" s="657">
        <f>97.5%+0.7%</f>
        <v>0.98199999999999998</v>
      </c>
      <c r="L62" s="445">
        <v>0</v>
      </c>
      <c r="M62" s="447">
        <v>0</v>
      </c>
      <c r="N62" s="623">
        <v>0</v>
      </c>
      <c r="O62" s="448">
        <v>0</v>
      </c>
      <c r="P62" s="447">
        <v>0</v>
      </c>
      <c r="Q62" s="664">
        <v>0</v>
      </c>
      <c r="R62" s="445">
        <f>0.5%+1.2%</f>
        <v>1.7000000000000001E-2</v>
      </c>
      <c r="S62" s="665">
        <f>((40-17)/40*0.005+(40-5)/40*0.012)*F62/AI62</f>
        <v>1.2904273698438221E-2</v>
      </c>
      <c r="T62" s="619">
        <f t="shared" si="5"/>
        <v>24707382.499037698</v>
      </c>
      <c r="U62" s="649" t="e">
        <f t="shared" si="6"/>
        <v>#VALUE!</v>
      </c>
      <c r="V62" s="447">
        <f t="shared" si="9"/>
        <v>-3.0797734537630232E-2</v>
      </c>
      <c r="X62" s="450">
        <f t="shared" si="1"/>
        <v>-785111.04899454862</v>
      </c>
      <c r="Y62" s="451">
        <f t="shared" si="2"/>
        <v>-3.0797734537630232E-2</v>
      </c>
      <c r="Z62" s="452">
        <f t="shared" si="3"/>
        <v>523215.10183841363</v>
      </c>
      <c r="AA62" s="453">
        <f t="shared" si="4"/>
        <v>2.1634612978200192E-2</v>
      </c>
      <c r="AB62" s="506"/>
      <c r="AC62" s="616"/>
      <c r="AD62" s="666" t="s">
        <v>3501</v>
      </c>
      <c r="AE62" s="506" t="s">
        <v>3313</v>
      </c>
      <c r="AF62" s="548">
        <f t="shared" si="10"/>
        <v>3.6478325906769138E-4</v>
      </c>
      <c r="AG62" s="548">
        <f t="shared" si="11"/>
        <v>882197.94009889662</v>
      </c>
      <c r="AH62" s="459" t="s">
        <v>3498</v>
      </c>
      <c r="AI62" s="619">
        <v>25066365.337298181</v>
      </c>
      <c r="AJ62" s="617" t="s">
        <v>3500</v>
      </c>
    </row>
    <row r="63" spans="1:36" ht="14.1" customHeight="1">
      <c r="A63" s="441" t="s">
        <v>465</v>
      </c>
      <c r="B63" s="609" t="s">
        <v>563</v>
      </c>
      <c r="C63" s="442">
        <v>73144888</v>
      </c>
      <c r="D63" s="442">
        <v>66141600</v>
      </c>
      <c r="E63" s="443" t="s">
        <v>3487</v>
      </c>
      <c r="F63" s="422">
        <v>73535134.61767377</v>
      </c>
      <c r="G63" s="444" t="s">
        <v>3488</v>
      </c>
      <c r="H63" s="610">
        <v>0.96089319733022505</v>
      </c>
      <c r="I63" s="445">
        <v>0.97</v>
      </c>
      <c r="J63" s="611">
        <v>0.97</v>
      </c>
      <c r="K63" s="657">
        <v>0.97199999999999998</v>
      </c>
      <c r="L63" s="445">
        <f>100%-99.36%</f>
        <v>6.3999999999999613E-3</v>
      </c>
      <c r="M63" s="447">
        <v>5.0000000000000001E-3</v>
      </c>
      <c r="N63" s="658">
        <v>6.4000000000000003E-3</v>
      </c>
      <c r="O63" s="448">
        <v>0</v>
      </c>
      <c r="P63" s="447">
        <v>0</v>
      </c>
      <c r="Q63" s="664">
        <v>0</v>
      </c>
      <c r="R63" s="667">
        <f>0.5%+0.1%+1%</f>
        <v>1.6E-2</v>
      </c>
      <c r="S63" s="665">
        <f>((39-17)/39*0.005+(39-5)/39*0.01)*F63/AI63</f>
        <v>1.1785622525962531E-2</v>
      </c>
      <c r="T63" s="619">
        <f t="shared" si="5"/>
        <v>75261789.741897106</v>
      </c>
      <c r="U63" s="649" t="e">
        <f t="shared" si="6"/>
        <v>#VALUE!</v>
      </c>
      <c r="V63" s="447">
        <f t="shared" si="9"/>
        <v>2.8941212431648076E-2</v>
      </c>
      <c r="X63" s="450">
        <f t="shared" si="1"/>
        <v>2116901.7418971062</v>
      </c>
      <c r="Y63" s="451">
        <f t="shared" si="2"/>
        <v>2.8941212431648076E-2</v>
      </c>
      <c r="Z63" s="452">
        <f t="shared" si="3"/>
        <v>1726655.1242233366</v>
      </c>
      <c r="AA63" s="453">
        <f t="shared" si="4"/>
        <v>2.3480682169151078E-2</v>
      </c>
      <c r="AB63" s="506"/>
      <c r="AC63" s="616"/>
      <c r="AD63" s="666" t="s">
        <v>3502</v>
      </c>
      <c r="AE63" s="506" t="s">
        <v>3314</v>
      </c>
      <c r="AF63" s="548">
        <f t="shared" si="10"/>
        <v>-2.0971398579627042E-4</v>
      </c>
      <c r="AG63" s="548">
        <f t="shared" si="11"/>
        <v>-1542134.6176737696</v>
      </c>
      <c r="AH63" s="459" t="s">
        <v>3498</v>
      </c>
      <c r="AI63" s="619">
        <v>71993000</v>
      </c>
      <c r="AJ63" s="617" t="s">
        <v>3500</v>
      </c>
    </row>
    <row r="64" spans="1:36" ht="14.1" customHeight="1">
      <c r="A64" s="441" t="s">
        <v>471</v>
      </c>
      <c r="B64" s="609" t="s">
        <v>564</v>
      </c>
      <c r="C64" s="442">
        <v>94828080</v>
      </c>
      <c r="D64" s="442">
        <v>79648029.898558453</v>
      </c>
      <c r="E64" s="443" t="s">
        <v>3487</v>
      </c>
      <c r="F64" s="422">
        <v>74041887.378052622</v>
      </c>
      <c r="G64" s="444" t="s">
        <v>3488</v>
      </c>
      <c r="H64" s="610">
        <f>96.9704686246714%</f>
        <v>0.96970468624671402</v>
      </c>
      <c r="I64" s="445">
        <v>0.97</v>
      </c>
      <c r="J64" s="611">
        <v>0.97</v>
      </c>
      <c r="K64" s="621">
        <v>0.97499999999999998</v>
      </c>
      <c r="L64" s="668">
        <v>0.03</v>
      </c>
      <c r="M64" s="455">
        <v>3.6299999999999999E-2</v>
      </c>
      <c r="N64" s="669">
        <v>0.03</v>
      </c>
      <c r="O64" s="448">
        <v>0</v>
      </c>
      <c r="P64" s="447">
        <v>0</v>
      </c>
      <c r="Q64" s="664">
        <v>0</v>
      </c>
      <c r="R64" s="445">
        <v>0</v>
      </c>
      <c r="S64" s="613">
        <v>0</v>
      </c>
      <c r="T64" s="619">
        <f t="shared" si="5"/>
        <v>74446211.529635102</v>
      </c>
      <c r="U64" s="649" t="e">
        <f t="shared" si="6"/>
        <v>#VALUE!</v>
      </c>
      <c r="V64" s="447">
        <f t="shared" si="9"/>
        <v>-0.21493494828077189</v>
      </c>
      <c r="X64" s="450">
        <f t="shared" si="1"/>
        <v>-20381868.470364898</v>
      </c>
      <c r="Y64" s="451">
        <f t="shared" si="2"/>
        <v>-0.21493494828077189</v>
      </c>
      <c r="Z64" s="452">
        <f t="shared" si="3"/>
        <v>404324.15158247948</v>
      </c>
      <c r="AA64" s="453">
        <f t="shared" si="4"/>
        <v>5.4607488531191687E-3</v>
      </c>
      <c r="AB64" s="506"/>
      <c r="AC64" s="616"/>
      <c r="AD64" s="506"/>
      <c r="AE64" s="506" t="s">
        <v>3315</v>
      </c>
      <c r="AF64" s="548">
        <f t="shared" si="10"/>
        <v>2.4458739860966096E-3</v>
      </c>
      <c r="AG64" s="548">
        <f t="shared" si="11"/>
        <v>18109712.621947378</v>
      </c>
      <c r="AH64" s="459" t="s">
        <v>3492</v>
      </c>
      <c r="AI64" s="619">
        <v>92151600</v>
      </c>
      <c r="AJ64" s="617" t="s">
        <v>895</v>
      </c>
    </row>
    <row r="65" spans="1:36" ht="14.1" customHeight="1">
      <c r="A65" s="441" t="s">
        <v>468</v>
      </c>
      <c r="B65" s="609" t="s">
        <v>565</v>
      </c>
      <c r="C65" s="442">
        <v>61885176</v>
      </c>
      <c r="D65" s="442">
        <v>52824578.557663046</v>
      </c>
      <c r="E65" s="443" t="s">
        <v>3487</v>
      </c>
      <c r="F65" s="422">
        <v>51422455.955834128</v>
      </c>
      <c r="G65" s="444" t="s">
        <v>3488</v>
      </c>
      <c r="H65" s="610">
        <f>9614.92649632205%/100</f>
        <v>0.96149264963220504</v>
      </c>
      <c r="I65" s="445">
        <v>0.97</v>
      </c>
      <c r="J65" s="611">
        <v>0.97</v>
      </c>
      <c r="K65" s="621">
        <v>0.97499999999999998</v>
      </c>
      <c r="L65" s="668">
        <v>4.2000000000000003E-2</v>
      </c>
      <c r="M65" s="465">
        <v>6.7500000000000004E-2</v>
      </c>
      <c r="N65" s="669">
        <v>4.2000000000000003E-2</v>
      </c>
      <c r="O65" s="448">
        <v>2E-3</v>
      </c>
      <c r="P65" s="447">
        <v>8.0000000000000002E-3</v>
      </c>
      <c r="Q65" s="665">
        <v>2E-3</v>
      </c>
      <c r="R65" s="445">
        <v>0</v>
      </c>
      <c r="S65" s="613">
        <v>0</v>
      </c>
      <c r="T65" s="619">
        <f t="shared" si="5"/>
        <v>52144854.748621203</v>
      </c>
      <c r="U65" s="649" t="e">
        <f t="shared" si="6"/>
        <v>#VALUE!</v>
      </c>
      <c r="V65" s="447">
        <f t="shared" si="9"/>
        <v>-0.15739344833371399</v>
      </c>
      <c r="X65" s="450">
        <f t="shared" si="1"/>
        <v>-9740321.251378797</v>
      </c>
      <c r="Y65" s="451">
        <f t="shared" si="2"/>
        <v>-0.15739344833371399</v>
      </c>
      <c r="Z65" s="457">
        <f t="shared" si="3"/>
        <v>722398.79278707504</v>
      </c>
      <c r="AA65" s="458">
        <f t="shared" si="4"/>
        <v>1.4048313705738424E-2</v>
      </c>
      <c r="AB65" s="507"/>
      <c r="AC65" s="670"/>
      <c r="AD65" s="507"/>
      <c r="AE65" s="507" t="s">
        <v>3316</v>
      </c>
      <c r="AF65" s="548">
        <f t="shared" si="10"/>
        <v>2.8264410507053751E-3</v>
      </c>
      <c r="AG65" s="548">
        <f t="shared" si="11"/>
        <v>14534254.044165872</v>
      </c>
      <c r="AH65" s="459" t="s">
        <v>3492</v>
      </c>
      <c r="AI65" s="619">
        <v>65956710</v>
      </c>
      <c r="AJ65" s="617" t="s">
        <v>895</v>
      </c>
    </row>
    <row r="66" spans="1:36" ht="14.1" customHeight="1">
      <c r="A66" s="441" t="s">
        <v>474</v>
      </c>
      <c r="B66" s="609" t="s">
        <v>566</v>
      </c>
      <c r="C66" s="442">
        <v>29879478.951724134</v>
      </c>
      <c r="D66" s="442">
        <v>26756188.468965512</v>
      </c>
      <c r="E66" s="443" t="s">
        <v>3487</v>
      </c>
      <c r="F66" s="422">
        <v>27140977.817986138</v>
      </c>
      <c r="G66" s="444" t="s">
        <v>3488</v>
      </c>
      <c r="H66" s="610">
        <f>97.086716359394/100</f>
        <v>0.97086716359393999</v>
      </c>
      <c r="I66" s="445">
        <v>0.96699999999999997</v>
      </c>
      <c r="J66" s="611">
        <v>0.96699999999999997</v>
      </c>
      <c r="K66" s="621">
        <v>0.98</v>
      </c>
      <c r="L66" s="445">
        <f>100%-97.7010331518982%</f>
        <v>2.2989668481018022E-2</v>
      </c>
      <c r="M66" s="465">
        <v>6.1199999999999997E-2</v>
      </c>
      <c r="N66" s="669">
        <v>4.9000000000000002E-2</v>
      </c>
      <c r="O66" s="671">
        <v>3.0000000000000001E-3</v>
      </c>
      <c r="P66" s="447">
        <v>8.0000000000000002E-3</v>
      </c>
      <c r="Q66" s="665">
        <v>3.0000000000000001E-3</v>
      </c>
      <c r="R66" s="445">
        <v>5.0000000000000001E-3</v>
      </c>
      <c r="S66" s="665">
        <f>((31-6)/31)*0.005*F66/AI66</f>
        <v>3.8132204420009744E-3</v>
      </c>
      <c r="T66" s="619">
        <f t="shared" si="5"/>
        <v>26768622.603924207</v>
      </c>
      <c r="U66" s="649" t="e">
        <f t="shared" si="6"/>
        <v>#VALUE!</v>
      </c>
      <c r="V66" s="447">
        <f t="shared" si="9"/>
        <v>-0.10411347375990375</v>
      </c>
      <c r="W66" s="429" t="s">
        <v>3186</v>
      </c>
      <c r="X66" s="450">
        <f t="shared" si="1"/>
        <v>-3110856.347799927</v>
      </c>
      <c r="Y66" s="451">
        <f t="shared" si="2"/>
        <v>-0.10411347375990375</v>
      </c>
      <c r="Z66" s="452">
        <f t="shared" si="3"/>
        <v>-372355.21406193078</v>
      </c>
      <c r="AA66" s="453">
        <f t="shared" si="4"/>
        <v>-1.3719299892547481E-2</v>
      </c>
      <c r="AB66" s="506"/>
      <c r="AC66" s="616"/>
      <c r="AD66" s="666" t="s">
        <v>3503</v>
      </c>
      <c r="AE66" s="506" t="s">
        <v>3317</v>
      </c>
      <c r="AF66" s="548">
        <f t="shared" si="10"/>
        <v>5.7441636497735477E-4</v>
      </c>
      <c r="AG66" s="548">
        <f t="shared" si="11"/>
        <v>1559022.1820138618</v>
      </c>
      <c r="AH66" s="459" t="s">
        <v>3492</v>
      </c>
      <c r="AI66" s="619">
        <v>28700000</v>
      </c>
      <c r="AJ66" s="617" t="s">
        <v>3500</v>
      </c>
    </row>
    <row r="67" spans="1:36" ht="14.1" customHeight="1">
      <c r="A67" s="441" t="s">
        <v>481</v>
      </c>
      <c r="B67" s="609" t="s">
        <v>567</v>
      </c>
      <c r="C67" s="442">
        <v>26342625.235062875</v>
      </c>
      <c r="D67" s="442">
        <v>22730239.918018389</v>
      </c>
      <c r="E67" s="443" t="s">
        <v>3487</v>
      </c>
      <c r="F67" s="422">
        <v>24713987.276218418</v>
      </c>
      <c r="G67" s="444" t="s">
        <v>3488</v>
      </c>
      <c r="H67" s="610">
        <v>0.93272253101724301</v>
      </c>
      <c r="I67" s="542">
        <v>0.95799999999999996</v>
      </c>
      <c r="J67" s="621">
        <f>95.8%+2.2%</f>
        <v>0.98</v>
      </c>
      <c r="K67" s="621">
        <v>0.98499999999999999</v>
      </c>
      <c r="L67" s="672">
        <v>8.9999999999999993E-3</v>
      </c>
      <c r="M67" s="465">
        <v>8.3999999999999995E-3</v>
      </c>
      <c r="N67" s="669">
        <v>8.9999999999999993E-3</v>
      </c>
      <c r="O67" s="448">
        <v>1.0999999999999999E-2</v>
      </c>
      <c r="P67" s="673">
        <f>1-(1-0.018)*(1-(0.039+0.029)/2)*(1-0.0203)</f>
        <v>7.0644823600000128E-2</v>
      </c>
      <c r="Q67" s="669">
        <f>1-(1-1.1%)*(1-5.1%)</f>
        <v>6.1439000000000021E-2</v>
      </c>
      <c r="R67" s="542">
        <v>1.4999999999999999E-2</v>
      </c>
      <c r="S67" s="665">
        <f>(0.04)*F67/AI67</f>
        <v>4.0534561092166764E-2</v>
      </c>
      <c r="T67" s="619">
        <f t="shared" si="5"/>
        <v>25772070.082041726</v>
      </c>
      <c r="U67" s="649" t="e">
        <f t="shared" si="6"/>
        <v>#VALUE!</v>
      </c>
      <c r="V67" s="447">
        <f t="shared" si="9"/>
        <v>-2.1659008847065182E-2</v>
      </c>
      <c r="W67" s="429" t="s">
        <v>3254</v>
      </c>
      <c r="X67" s="450">
        <f t="shared" ref="X67:X107" si="12">T67-C67</f>
        <v>-570555.15302114934</v>
      </c>
      <c r="Y67" s="451">
        <f t="shared" ref="Y67:Y107" si="13">X67/C67</f>
        <v>-2.1659008847065182E-2</v>
      </c>
      <c r="Z67" s="457">
        <f t="shared" ref="Z67:Z107" si="14">T67-F67</f>
        <v>1058082.8058233075</v>
      </c>
      <c r="AA67" s="458">
        <f t="shared" ref="AA67:AA107" si="15">Z67/F67</f>
        <v>4.2813116070569118E-2</v>
      </c>
      <c r="AB67" s="460"/>
      <c r="AC67" s="625" t="s">
        <v>3319</v>
      </c>
      <c r="AD67" s="543" t="s">
        <v>3504</v>
      </c>
      <c r="AE67" s="460" t="s">
        <v>3318</v>
      </c>
      <c r="AF67" s="548">
        <f t="shared" si="10"/>
        <v>-1.318778538026577E-4</v>
      </c>
      <c r="AG67" s="548">
        <f t="shared" si="11"/>
        <v>-325922.76008938625</v>
      </c>
      <c r="AH67" s="459" t="s">
        <v>3492</v>
      </c>
      <c r="AI67" s="619">
        <v>24388064.516129032</v>
      </c>
      <c r="AJ67" s="617" t="s">
        <v>523</v>
      </c>
    </row>
    <row r="68" spans="1:36" ht="14.1" customHeight="1">
      <c r="A68" s="441" t="s">
        <v>481</v>
      </c>
      <c r="B68" s="609" t="s">
        <v>568</v>
      </c>
      <c r="C68" s="442">
        <v>24488874.394286107</v>
      </c>
      <c r="D68" s="442">
        <v>21130695.4161667</v>
      </c>
      <c r="E68" s="443" t="s">
        <v>3487</v>
      </c>
      <c r="F68" s="422">
        <v>23319467.6179992</v>
      </c>
      <c r="G68" s="463" t="s">
        <v>3488</v>
      </c>
      <c r="H68" s="610">
        <v>0.93272253101724301</v>
      </c>
      <c r="I68" s="542">
        <v>0.95799999999999996</v>
      </c>
      <c r="J68" s="621">
        <f>95.8%+2.2%</f>
        <v>0.98</v>
      </c>
      <c r="K68" s="621">
        <v>0.98499999999999999</v>
      </c>
      <c r="L68" s="672">
        <v>8.9999999999999993E-3</v>
      </c>
      <c r="M68" s="465">
        <v>8.3999999999999995E-3</v>
      </c>
      <c r="N68" s="669">
        <v>8.9999999999999993E-3</v>
      </c>
      <c r="O68" s="448">
        <v>1.0999999999999999E-2</v>
      </c>
      <c r="P68" s="673">
        <f>1-(1-0.018)*(1-(0.039+0.029)/2)*(1-0.0203)</f>
        <v>7.0644823600000128E-2</v>
      </c>
      <c r="Q68" s="669">
        <f>1-(1-1.1%)*(1-5.1%)</f>
        <v>6.1439000000000021E-2</v>
      </c>
      <c r="R68" s="445">
        <v>0</v>
      </c>
      <c r="S68" s="665">
        <f>(0.04/2)*F68/AI68</f>
        <v>2.0267280546083385E-2</v>
      </c>
      <c r="T68" s="619">
        <f t="shared" ref="T68:T107" si="16">F68/H68*K68/(1-L68)*(1-N68)/(1-O68)*(1-Q68)*(1+S68)</f>
        <v>23844189.554809846</v>
      </c>
      <c r="U68" s="649" t="e">
        <f t="shared" ref="U68:U107" si="17">G68/I68*K68/(1-L68)*(1-N68)/(1-O68)*(1-Q68)*(1+S68)</f>
        <v>#VALUE!</v>
      </c>
      <c r="V68" s="447">
        <f t="shared" si="9"/>
        <v>-2.632562154946097E-2</v>
      </c>
      <c r="W68" s="429" t="s">
        <v>3255</v>
      </c>
      <c r="X68" s="450">
        <f t="shared" si="12"/>
        <v>-644684.83947626129</v>
      </c>
      <c r="Y68" s="451">
        <f t="shared" si="13"/>
        <v>-2.632562154946097E-2</v>
      </c>
      <c r="Z68" s="457">
        <f t="shared" si="14"/>
        <v>524721.93681064621</v>
      </c>
      <c r="AA68" s="458">
        <f t="shared" si="15"/>
        <v>2.2501454381644546E-2</v>
      </c>
      <c r="AB68" s="460"/>
      <c r="AC68" s="625" t="s">
        <v>3319</v>
      </c>
      <c r="AD68" s="543" t="s">
        <v>3505</v>
      </c>
      <c r="AE68" s="460" t="s">
        <v>3320</v>
      </c>
      <c r="AF68" s="548">
        <f t="shared" si="10"/>
        <v>-1.318778538026577E-4</v>
      </c>
      <c r="AG68" s="548">
        <f t="shared" si="11"/>
        <v>-307532.13412823156</v>
      </c>
      <c r="AH68" s="459" t="s">
        <v>3492</v>
      </c>
      <c r="AI68" s="619">
        <v>23011935.483870968</v>
      </c>
      <c r="AJ68" s="617" t="s">
        <v>523</v>
      </c>
    </row>
    <row r="69" spans="1:36" ht="14.1" customHeight="1">
      <c r="A69" s="441" t="s">
        <v>375</v>
      </c>
      <c r="B69" s="609" t="s">
        <v>483</v>
      </c>
      <c r="C69" s="466">
        <v>23745559.03866249</v>
      </c>
      <c r="D69" s="466">
        <v>22027795.193312436</v>
      </c>
      <c r="E69" s="443" t="s">
        <v>3232</v>
      </c>
      <c r="F69" s="462">
        <f>23500000*'[2]BP2022 - Distribution mensuelle'!BR3</f>
        <v>2708451.226664173</v>
      </c>
      <c r="G69" s="463">
        <f>21800000*'[2]BP2022 - Distribution mensuelle'!BR3</f>
        <v>2512520.7123948499</v>
      </c>
      <c r="H69" s="674">
        <v>0.95699999999999996</v>
      </c>
      <c r="I69" s="542">
        <v>0.95699999999999996</v>
      </c>
      <c r="J69" s="621">
        <f>95.7%+1%</f>
        <v>0.96700000000000008</v>
      </c>
      <c r="K69" s="660">
        <v>0.96700000000000008</v>
      </c>
      <c r="L69" s="445">
        <v>0</v>
      </c>
      <c r="M69" s="447">
        <v>0</v>
      </c>
      <c r="N69" s="612">
        <v>0</v>
      </c>
      <c r="O69" s="447">
        <v>0</v>
      </c>
      <c r="P69" s="447">
        <v>0</v>
      </c>
      <c r="Q69" s="661">
        <v>0</v>
      </c>
      <c r="R69" s="445">
        <v>0</v>
      </c>
      <c r="S69" s="613">
        <v>0</v>
      </c>
      <c r="T69" s="619">
        <f t="shared" si="16"/>
        <v>2736752.7023868919</v>
      </c>
      <c r="U69" s="649">
        <f t="shared" si="17"/>
        <v>2538774.847320606</v>
      </c>
      <c r="V69" s="447">
        <f t="shared" si="9"/>
        <v>-0.88474675631216282</v>
      </c>
      <c r="W69" s="429" t="s">
        <v>3332</v>
      </c>
      <c r="X69" s="450">
        <f t="shared" si="12"/>
        <v>-21008806.336275596</v>
      </c>
      <c r="Y69" s="451">
        <f t="shared" si="13"/>
        <v>-0.88474675631216282</v>
      </c>
      <c r="Z69" s="452">
        <f t="shared" si="14"/>
        <v>28301.475722718984</v>
      </c>
      <c r="AA69" s="453">
        <f t="shared" si="15"/>
        <v>1.0449320794148511E-2</v>
      </c>
      <c r="AB69" s="506"/>
      <c r="AC69" s="625" t="s">
        <v>3321</v>
      </c>
      <c r="AD69" s="506"/>
      <c r="AE69" s="506"/>
      <c r="AF69" s="548">
        <f t="shared" si="10"/>
        <v>7.6765453882451679E-2</v>
      </c>
      <c r="AG69" s="548">
        <f t="shared" si="11"/>
        <v>20791548.773335826</v>
      </c>
      <c r="AI69" s="619">
        <v>23500000</v>
      </c>
      <c r="AJ69" s="617" t="s">
        <v>523</v>
      </c>
    </row>
    <row r="70" spans="1:36" ht="14.1" customHeight="1">
      <c r="A70" s="441" t="s">
        <v>380</v>
      </c>
      <c r="B70" s="609" t="s">
        <v>484</v>
      </c>
      <c r="C70" s="466">
        <v>24048693.834900733</v>
      </c>
      <c r="D70" s="466">
        <v>22330929.989550684</v>
      </c>
      <c r="E70" s="443" t="s">
        <v>3232</v>
      </c>
      <c r="F70" s="462">
        <v>0</v>
      </c>
      <c r="G70" s="463">
        <v>0</v>
      </c>
      <c r="H70" s="674">
        <v>0.95699999999999996</v>
      </c>
      <c r="I70" s="542">
        <v>0.95699999999999996</v>
      </c>
      <c r="J70" s="621">
        <f>95.7%+1%</f>
        <v>0.96700000000000008</v>
      </c>
      <c r="K70" s="660">
        <v>0.96699999999999997</v>
      </c>
      <c r="L70" s="464">
        <v>4.0000000000000002E-4</v>
      </c>
      <c r="M70" s="467">
        <v>4.0000000000000002E-4</v>
      </c>
      <c r="N70" s="675">
        <v>0</v>
      </c>
      <c r="O70" s="447">
        <v>0</v>
      </c>
      <c r="P70" s="447">
        <v>0</v>
      </c>
      <c r="Q70" s="659">
        <v>0</v>
      </c>
      <c r="R70" s="445">
        <v>0</v>
      </c>
      <c r="S70" s="613">
        <v>0</v>
      </c>
      <c r="T70" s="619">
        <f t="shared" si="16"/>
        <v>0</v>
      </c>
      <c r="U70" s="649">
        <f t="shared" si="17"/>
        <v>0</v>
      </c>
      <c r="V70" s="447">
        <f t="shared" si="9"/>
        <v>-1</v>
      </c>
      <c r="W70" s="429" t="s">
        <v>3332</v>
      </c>
      <c r="X70" s="450">
        <f t="shared" si="12"/>
        <v>-24048693.834900733</v>
      </c>
      <c r="Y70" s="451">
        <f t="shared" si="13"/>
        <v>-1</v>
      </c>
      <c r="Z70" s="452">
        <f t="shared" si="14"/>
        <v>0</v>
      </c>
      <c r="AA70" s="453" t="e">
        <f t="shared" si="15"/>
        <v>#DIV/0!</v>
      </c>
      <c r="AB70" s="506"/>
      <c r="AC70" s="625" t="s">
        <v>3321</v>
      </c>
      <c r="AD70" s="506"/>
      <c r="AE70" s="506"/>
      <c r="AF70" s="548" t="e">
        <f t="shared" si="10"/>
        <v>#DIV/0!</v>
      </c>
      <c r="AG70" s="548">
        <f t="shared" si="11"/>
        <v>23800000</v>
      </c>
      <c r="AI70" s="619">
        <v>23800000</v>
      </c>
      <c r="AJ70" s="617" t="s">
        <v>523</v>
      </c>
    </row>
    <row r="71" spans="1:36" ht="14.1" customHeight="1">
      <c r="A71" s="441" t="s">
        <v>376</v>
      </c>
      <c r="B71" s="609" t="s">
        <v>485</v>
      </c>
      <c r="C71" s="442">
        <v>17466438.413361166</v>
      </c>
      <c r="D71" s="442">
        <v>16146300.6263048</v>
      </c>
      <c r="E71" s="443" t="s">
        <v>3232</v>
      </c>
      <c r="F71" s="462">
        <v>17200000</v>
      </c>
      <c r="G71" s="463">
        <v>15900000</v>
      </c>
      <c r="H71" s="610">
        <v>0.95799999999999996</v>
      </c>
      <c r="I71" s="542">
        <v>0.95799999999999996</v>
      </c>
      <c r="J71" s="621">
        <f>95.8%+1%</f>
        <v>0.96799999999999997</v>
      </c>
      <c r="K71" s="620">
        <v>0.97</v>
      </c>
      <c r="L71" s="464">
        <v>5.7999999999999996E-3</v>
      </c>
      <c r="M71" s="467">
        <v>5.7999999999999996E-3</v>
      </c>
      <c r="N71" s="675">
        <v>5.7999999999999996E-3</v>
      </c>
      <c r="O71" s="447">
        <v>0</v>
      </c>
      <c r="P71" s="447">
        <v>0</v>
      </c>
      <c r="Q71" s="661">
        <v>0</v>
      </c>
      <c r="R71" s="445">
        <v>5.0000000000000001E-3</v>
      </c>
      <c r="S71" s="461">
        <v>5.0000000000000001E-3</v>
      </c>
      <c r="T71" s="619">
        <f t="shared" si="16"/>
        <v>17502526.096033402</v>
      </c>
      <c r="U71" s="649">
        <f t="shared" si="17"/>
        <v>16179660.751565762</v>
      </c>
      <c r="V71" s="447">
        <f t="shared" si="9"/>
        <v>2.0661157024794707E-3</v>
      </c>
      <c r="X71" s="450">
        <f t="shared" si="12"/>
        <v>36087.682672236115</v>
      </c>
      <c r="Y71" s="451">
        <f t="shared" si="13"/>
        <v>2.0661157024794707E-3</v>
      </c>
      <c r="Z71" s="452">
        <f t="shared" si="14"/>
        <v>302526.09603340179</v>
      </c>
      <c r="AA71" s="453">
        <f t="shared" si="15"/>
        <v>1.758872651356987E-2</v>
      </c>
      <c r="AB71" s="506"/>
      <c r="AC71" s="625" t="s">
        <v>3321</v>
      </c>
      <c r="AD71" s="506" t="s">
        <v>3204</v>
      </c>
      <c r="AE71" s="506" t="s">
        <v>3204</v>
      </c>
      <c r="AF71" s="548">
        <f t="shared" si="10"/>
        <v>0</v>
      </c>
      <c r="AG71" s="548">
        <f t="shared" si="11"/>
        <v>0</v>
      </c>
      <c r="AI71" s="619">
        <v>17200000</v>
      </c>
      <c r="AJ71" s="617" t="s">
        <v>3490</v>
      </c>
    </row>
    <row r="72" spans="1:36" ht="14.1" customHeight="1">
      <c r="A72" s="441" t="s">
        <v>387</v>
      </c>
      <c r="B72" s="609" t="s">
        <v>486</v>
      </c>
      <c r="C72" s="442">
        <v>28300000.000000011</v>
      </c>
      <c r="D72" s="442">
        <v>25700000</v>
      </c>
      <c r="E72" s="443" t="s">
        <v>3233</v>
      </c>
      <c r="F72" s="422">
        <v>28300000.000000011</v>
      </c>
      <c r="G72" s="444">
        <v>25700000</v>
      </c>
      <c r="H72" s="610">
        <v>0.96499999999999997</v>
      </c>
      <c r="I72" s="445">
        <v>0.96499999999999997</v>
      </c>
      <c r="J72" s="611">
        <v>0.96499999999999997</v>
      </c>
      <c r="K72" s="540">
        <v>0.96499999999999997</v>
      </c>
      <c r="L72" s="445">
        <v>5.0000000000000001E-3</v>
      </c>
      <c r="M72" s="447">
        <v>5.0000000000000001E-3</v>
      </c>
      <c r="N72" s="612">
        <v>5.0000000000000001E-3</v>
      </c>
      <c r="O72" s="447">
        <v>0</v>
      </c>
      <c r="P72" s="447">
        <v>0</v>
      </c>
      <c r="Q72" s="659">
        <v>0</v>
      </c>
      <c r="R72" s="445">
        <v>0</v>
      </c>
      <c r="S72" s="613">
        <v>6.0000000000000001E-3</v>
      </c>
      <c r="T72" s="619">
        <f t="shared" si="16"/>
        <v>28469800.000000011</v>
      </c>
      <c r="U72" s="649">
        <f t="shared" si="17"/>
        <v>25854200</v>
      </c>
      <c r="V72" s="447">
        <f t="shared" si="9"/>
        <v>5.9999999999999975E-3</v>
      </c>
      <c r="X72" s="450">
        <f t="shared" si="12"/>
        <v>169800</v>
      </c>
      <c r="Y72" s="451">
        <f t="shared" si="13"/>
        <v>5.9999999999999975E-3</v>
      </c>
      <c r="Z72" s="452">
        <f t="shared" si="14"/>
        <v>169800</v>
      </c>
      <c r="AA72" s="453">
        <f t="shared" si="15"/>
        <v>5.9999999999999975E-3</v>
      </c>
      <c r="AB72" s="506"/>
      <c r="AC72" s="616"/>
      <c r="AD72" s="506" t="s">
        <v>3506</v>
      </c>
      <c r="AE72" s="506"/>
      <c r="AF72" s="548">
        <f t="shared" si="10"/>
        <v>0</v>
      </c>
      <c r="AG72" s="548">
        <f t="shared" si="11"/>
        <v>0</v>
      </c>
      <c r="AI72" s="619">
        <v>28300000.000000011</v>
      </c>
      <c r="AJ72" s="617" t="s">
        <v>523</v>
      </c>
    </row>
    <row r="73" spans="1:36" ht="14.1" customHeight="1">
      <c r="A73" s="441" t="s">
        <v>386</v>
      </c>
      <c r="B73" s="609" t="s">
        <v>569</v>
      </c>
      <c r="C73" s="442">
        <v>24794083.991626095</v>
      </c>
      <c r="D73" s="442">
        <v>22416569.088319473</v>
      </c>
      <c r="E73" s="443" t="s">
        <v>3233</v>
      </c>
      <c r="F73" s="422">
        <v>24794083.991626095</v>
      </c>
      <c r="G73" s="444">
        <v>22416569.088319473</v>
      </c>
      <c r="H73" s="610">
        <v>0.96499999999999997</v>
      </c>
      <c r="I73" s="445">
        <v>0.96499999999999997</v>
      </c>
      <c r="J73" s="611">
        <v>0.96499999999999997</v>
      </c>
      <c r="K73" s="620">
        <f>96.5%+0.2%</f>
        <v>0.96699999999999997</v>
      </c>
      <c r="L73" s="445">
        <v>8.9999999999999993E-3</v>
      </c>
      <c r="M73" s="447">
        <v>8.9999999999999993E-3</v>
      </c>
      <c r="N73" s="612">
        <v>8.9999999999999993E-3</v>
      </c>
      <c r="O73" s="447">
        <v>0</v>
      </c>
      <c r="P73" s="447">
        <v>0</v>
      </c>
      <c r="Q73" s="659">
        <v>0</v>
      </c>
      <c r="R73" s="445">
        <v>0</v>
      </c>
      <c r="S73" s="613">
        <v>6.0000000000000001E-3</v>
      </c>
      <c r="T73" s="619">
        <f t="shared" si="16"/>
        <v>24994543.518364608</v>
      </c>
      <c r="U73" s="649">
        <f t="shared" si="17"/>
        <v>22597806.468658406</v>
      </c>
      <c r="V73" s="447">
        <f t="shared" si="9"/>
        <v>8.0849740932641863E-3</v>
      </c>
      <c r="X73" s="450">
        <f t="shared" si="12"/>
        <v>200459.52673851326</v>
      </c>
      <c r="Y73" s="451">
        <f t="shared" si="13"/>
        <v>8.0849740932641863E-3</v>
      </c>
      <c r="Z73" s="452">
        <f t="shared" si="14"/>
        <v>200459.52673851326</v>
      </c>
      <c r="AA73" s="453">
        <f t="shared" si="15"/>
        <v>8.0849740932641863E-3</v>
      </c>
      <c r="AB73" s="506"/>
      <c r="AC73" s="616"/>
      <c r="AD73" s="506" t="s">
        <v>3506</v>
      </c>
      <c r="AE73" s="506"/>
      <c r="AF73" s="548">
        <f t="shared" si="10"/>
        <v>0</v>
      </c>
      <c r="AG73" s="548">
        <f t="shared" si="11"/>
        <v>0</v>
      </c>
      <c r="AI73" s="619">
        <v>24794083.991626095</v>
      </c>
      <c r="AJ73" s="617" t="s">
        <v>523</v>
      </c>
    </row>
    <row r="74" spans="1:36" ht="14.1" customHeight="1">
      <c r="A74" s="441" t="s">
        <v>386</v>
      </c>
      <c r="B74" s="609" t="s">
        <v>570</v>
      </c>
      <c r="C74" s="442">
        <v>11705916.008373924</v>
      </c>
      <c r="D74" s="442">
        <v>10583430.911680529</v>
      </c>
      <c r="E74" s="443" t="s">
        <v>3233</v>
      </c>
      <c r="F74" s="422">
        <v>11705916.008373924</v>
      </c>
      <c r="G74" s="444">
        <v>10583430.911680529</v>
      </c>
      <c r="H74" s="610">
        <v>0.96499999999999997</v>
      </c>
      <c r="I74" s="445">
        <v>0.96499999999999997</v>
      </c>
      <c r="J74" s="611">
        <v>0.96499999999999997</v>
      </c>
      <c r="K74" s="620">
        <f>96.5%+0.2%</f>
        <v>0.96699999999999997</v>
      </c>
      <c r="L74" s="445">
        <v>8.9999999999999993E-3</v>
      </c>
      <c r="M74" s="447">
        <v>8.9999999999999993E-3</v>
      </c>
      <c r="N74" s="612">
        <v>8.9999999999999993E-3</v>
      </c>
      <c r="O74" s="447">
        <v>0</v>
      </c>
      <c r="P74" s="447">
        <v>0</v>
      </c>
      <c r="Q74" s="659">
        <v>0</v>
      </c>
      <c r="R74" s="445">
        <v>0</v>
      </c>
      <c r="S74" s="613">
        <v>6.0000000000000001E-3</v>
      </c>
      <c r="T74" s="619">
        <f t="shared" si="16"/>
        <v>11800558.036039554</v>
      </c>
      <c r="U74" s="649">
        <f t="shared" si="17"/>
        <v>10668997.676419316</v>
      </c>
      <c r="V74" s="447">
        <f t="shared" si="9"/>
        <v>8.0849740932642123E-3</v>
      </c>
      <c r="X74" s="450">
        <f t="shared" si="12"/>
        <v>94642.027665629983</v>
      </c>
      <c r="Y74" s="451">
        <f t="shared" si="13"/>
        <v>8.0849740932642123E-3</v>
      </c>
      <c r="Z74" s="452">
        <f t="shared" si="14"/>
        <v>94642.027665629983</v>
      </c>
      <c r="AA74" s="453">
        <f t="shared" si="15"/>
        <v>8.0849740932642123E-3</v>
      </c>
      <c r="AB74" s="506"/>
      <c r="AC74" s="616"/>
      <c r="AD74" s="506" t="s">
        <v>3506</v>
      </c>
      <c r="AE74" s="506"/>
      <c r="AF74" s="548">
        <f t="shared" si="10"/>
        <v>0</v>
      </c>
      <c r="AG74" s="548">
        <f t="shared" si="11"/>
        <v>0</v>
      </c>
      <c r="AI74" s="619">
        <v>11705916.008373924</v>
      </c>
      <c r="AJ74" s="617" t="s">
        <v>523</v>
      </c>
    </row>
    <row r="75" spans="1:36" ht="14.1" customHeight="1">
      <c r="A75" s="441" t="s">
        <v>382</v>
      </c>
      <c r="B75" s="609" t="s">
        <v>488</v>
      </c>
      <c r="C75" s="442">
        <v>18700000.000000007</v>
      </c>
      <c r="D75" s="442">
        <v>17300000</v>
      </c>
      <c r="E75" s="443" t="s">
        <v>3232</v>
      </c>
      <c r="F75" s="422">
        <f>18700000*SUM('[2]BP2022 - Distribution mensuelle'!BX3:BX6)</f>
        <v>7289450.5546520762</v>
      </c>
      <c r="G75" s="444">
        <f>17300000*SUM('[2]BP2022 - Distribution mensuelle'!BX3:BX6)</f>
        <v>6743716.2885283912</v>
      </c>
      <c r="H75" s="610">
        <v>0.96099999999999997</v>
      </c>
      <c r="I75" s="445">
        <v>0.96099999999999997</v>
      </c>
      <c r="J75" s="611">
        <v>0.96099999999999997</v>
      </c>
      <c r="K75" s="540">
        <v>0.96099999999999997</v>
      </c>
      <c r="L75" s="445">
        <v>0</v>
      </c>
      <c r="M75" s="447">
        <v>0</v>
      </c>
      <c r="N75" s="612">
        <v>0</v>
      </c>
      <c r="O75" s="447">
        <v>0</v>
      </c>
      <c r="P75" s="447">
        <v>0</v>
      </c>
      <c r="Q75" s="612">
        <v>0</v>
      </c>
      <c r="R75" s="445">
        <v>0</v>
      </c>
      <c r="S75" s="613">
        <v>0</v>
      </c>
      <c r="T75" s="619">
        <f t="shared" si="16"/>
        <v>7289450.5546520762</v>
      </c>
      <c r="U75" s="649">
        <f t="shared" si="17"/>
        <v>6743716.2885283912</v>
      </c>
      <c r="V75" s="447">
        <f t="shared" si="9"/>
        <v>-0.61018980991165384</v>
      </c>
      <c r="X75" s="450">
        <f t="shared" si="12"/>
        <v>-11410549.445347931</v>
      </c>
      <c r="Y75" s="451">
        <f t="shared" si="13"/>
        <v>-0.61018980991165384</v>
      </c>
      <c r="Z75" s="452">
        <f t="shared" si="14"/>
        <v>0</v>
      </c>
      <c r="AA75" s="453">
        <f t="shared" si="15"/>
        <v>0</v>
      </c>
      <c r="AB75" s="506"/>
      <c r="AC75" s="616"/>
      <c r="AD75" s="506"/>
      <c r="AE75" s="506"/>
      <c r="AF75" s="548">
        <f t="shared" si="10"/>
        <v>1.5653511001684203E-2</v>
      </c>
      <c r="AG75" s="548">
        <f t="shared" si="11"/>
        <v>11410549.445347931</v>
      </c>
      <c r="AI75" s="619">
        <v>18700000.000000007</v>
      </c>
      <c r="AJ75" s="617" t="s">
        <v>523</v>
      </c>
    </row>
    <row r="76" spans="1:36" ht="14.1" customHeight="1">
      <c r="A76" s="441" t="s">
        <v>383</v>
      </c>
      <c r="B76" s="609" t="s">
        <v>489</v>
      </c>
      <c r="C76" s="442">
        <v>20727818.756585885</v>
      </c>
      <c r="D76" s="442">
        <v>18991991.570073765</v>
      </c>
      <c r="E76" s="443" t="s">
        <v>3232</v>
      </c>
      <c r="F76" s="422">
        <v>20300000</v>
      </c>
      <c r="G76" s="444">
        <v>18600000</v>
      </c>
      <c r="H76" s="610">
        <v>0.94899999999999995</v>
      </c>
      <c r="I76" s="542">
        <v>0.94899999999999995</v>
      </c>
      <c r="J76" s="621">
        <f>94.9%+2%</f>
        <v>0.96900000000000008</v>
      </c>
      <c r="K76" s="660">
        <v>0.96900000000000008</v>
      </c>
      <c r="L76" s="445">
        <v>0</v>
      </c>
      <c r="M76" s="447" t="s">
        <v>3226</v>
      </c>
      <c r="N76" s="623">
        <v>0</v>
      </c>
      <c r="O76" s="447">
        <v>0</v>
      </c>
      <c r="P76" s="447">
        <v>0</v>
      </c>
      <c r="Q76" s="661">
        <v>0</v>
      </c>
      <c r="R76" s="445">
        <v>0</v>
      </c>
      <c r="S76" s="613">
        <v>0</v>
      </c>
      <c r="T76" s="619">
        <f t="shared" si="16"/>
        <v>20727818.756585885</v>
      </c>
      <c r="U76" s="676">
        <f t="shared" si="17"/>
        <v>18991991.570073765</v>
      </c>
      <c r="V76" s="447">
        <f t="shared" si="9"/>
        <v>0</v>
      </c>
      <c r="X76" s="450">
        <f t="shared" si="12"/>
        <v>0</v>
      </c>
      <c r="Y76" s="451">
        <f t="shared" si="13"/>
        <v>0</v>
      </c>
      <c r="Z76" s="452">
        <f t="shared" si="14"/>
        <v>427818.75658588484</v>
      </c>
      <c r="AA76" s="453">
        <f t="shared" si="15"/>
        <v>2.1074815595363786E-2</v>
      </c>
      <c r="AB76" s="506"/>
      <c r="AC76" s="625" t="s">
        <v>3322</v>
      </c>
      <c r="AD76" s="506"/>
      <c r="AE76" s="506"/>
      <c r="AF76" s="548">
        <f t="shared" si="10"/>
        <v>0</v>
      </c>
      <c r="AG76" s="548">
        <f t="shared" si="11"/>
        <v>0</v>
      </c>
      <c r="AI76" s="619">
        <v>20300000</v>
      </c>
      <c r="AJ76" s="617" t="s">
        <v>523</v>
      </c>
    </row>
    <row r="77" spans="1:36" ht="14.1" customHeight="1">
      <c r="A77" s="441" t="s">
        <v>378</v>
      </c>
      <c r="B77" s="609" t="s">
        <v>490</v>
      </c>
      <c r="C77" s="442">
        <v>9044999.9999999981</v>
      </c>
      <c r="D77" s="442">
        <v>8240999.9999999981</v>
      </c>
      <c r="E77" s="443" t="s">
        <v>3232</v>
      </c>
      <c r="F77" s="422">
        <v>9000000</v>
      </c>
      <c r="G77" s="444">
        <v>8200000</v>
      </c>
      <c r="H77" s="610">
        <v>0.95199999999999996</v>
      </c>
      <c r="I77" s="445">
        <v>0.95199999999999996</v>
      </c>
      <c r="J77" s="611">
        <v>0.95199999999999996</v>
      </c>
      <c r="K77" s="620">
        <v>0.95499999999999996</v>
      </c>
      <c r="L77" s="445">
        <v>0</v>
      </c>
      <c r="M77" s="447">
        <v>0</v>
      </c>
      <c r="N77" s="612">
        <v>0</v>
      </c>
      <c r="O77" s="447">
        <v>0</v>
      </c>
      <c r="P77" s="447">
        <v>0</v>
      </c>
      <c r="Q77" s="659">
        <v>0</v>
      </c>
      <c r="R77" s="445">
        <v>5.0000000000000001E-3</v>
      </c>
      <c r="S77" s="461">
        <v>5.0000000000000001E-3</v>
      </c>
      <c r="T77" s="619">
        <f t="shared" si="16"/>
        <v>9073503.1512605026</v>
      </c>
      <c r="U77" s="649">
        <f t="shared" si="17"/>
        <v>8266969.5378151247</v>
      </c>
      <c r="V77" s="447">
        <f t="shared" ref="V77:V94" si="18">(T77-C77)/C77</f>
        <v>3.1512605042017141E-3</v>
      </c>
      <c r="X77" s="450">
        <f t="shared" si="12"/>
        <v>28503.151260504499</v>
      </c>
      <c r="Y77" s="451">
        <f t="shared" si="13"/>
        <v>3.1512605042017141E-3</v>
      </c>
      <c r="Z77" s="452">
        <f t="shared" si="14"/>
        <v>73503.151260502636</v>
      </c>
      <c r="AA77" s="453">
        <f t="shared" si="15"/>
        <v>8.1670168067225143E-3</v>
      </c>
      <c r="AB77" s="506"/>
      <c r="AC77" s="616"/>
      <c r="AD77" s="506" t="s">
        <v>3204</v>
      </c>
      <c r="AE77" s="506" t="s">
        <v>3204</v>
      </c>
      <c r="AF77" s="548">
        <f t="shared" ref="AF77:AF94" si="19">(AI77/F77-1)%</f>
        <v>0</v>
      </c>
      <c r="AG77" s="548">
        <f t="shared" ref="AG77:AG94" si="20">AI77-F77</f>
        <v>0</v>
      </c>
      <c r="AI77" s="619">
        <v>9000000</v>
      </c>
      <c r="AJ77" s="617" t="s">
        <v>3490</v>
      </c>
    </row>
    <row r="78" spans="1:36" ht="14.1" customHeight="1">
      <c r="A78" s="441" t="s">
        <v>373</v>
      </c>
      <c r="B78" s="609" t="s">
        <v>491</v>
      </c>
      <c r="C78" s="442">
        <v>20723600</v>
      </c>
      <c r="D78" s="442">
        <v>19315200</v>
      </c>
      <c r="E78" s="443" t="s">
        <v>3232</v>
      </c>
      <c r="F78" s="422">
        <v>20600000</v>
      </c>
      <c r="G78" s="444">
        <v>19200000</v>
      </c>
      <c r="H78" s="610">
        <v>0.96599999999999997</v>
      </c>
      <c r="I78" s="445">
        <v>0.96599999999999997</v>
      </c>
      <c r="J78" s="611">
        <v>0.96599999999999997</v>
      </c>
      <c r="K78" s="620">
        <v>0.96699999999999997</v>
      </c>
      <c r="L78" s="445">
        <v>0</v>
      </c>
      <c r="M78" s="447">
        <v>0</v>
      </c>
      <c r="N78" s="612">
        <v>0</v>
      </c>
      <c r="O78" s="448">
        <v>0</v>
      </c>
      <c r="P78" s="447">
        <v>0</v>
      </c>
      <c r="Q78" s="659">
        <v>0</v>
      </c>
      <c r="R78" s="445">
        <v>6.0000000000000001E-3</v>
      </c>
      <c r="S78" s="461">
        <v>6.0000000000000001E-3</v>
      </c>
      <c r="T78" s="619">
        <f t="shared" si="16"/>
        <v>20745053.00207039</v>
      </c>
      <c r="U78" s="649">
        <f t="shared" si="17"/>
        <v>19335195.031055901</v>
      </c>
      <c r="V78" s="447">
        <f t="shared" si="18"/>
        <v>1.0351966873704225E-3</v>
      </c>
      <c r="X78" s="450">
        <f t="shared" si="12"/>
        <v>21453.002070389688</v>
      </c>
      <c r="Y78" s="451">
        <f t="shared" si="13"/>
        <v>1.0351966873704225E-3</v>
      </c>
      <c r="Z78" s="452">
        <f t="shared" si="14"/>
        <v>145053.00207038969</v>
      </c>
      <c r="AA78" s="453">
        <f t="shared" si="15"/>
        <v>7.0414078674946451E-3</v>
      </c>
      <c r="AB78" s="506"/>
      <c r="AC78" s="616"/>
      <c r="AD78" s="506" t="s">
        <v>3507</v>
      </c>
      <c r="AE78" s="506" t="s">
        <v>3323</v>
      </c>
      <c r="AF78" s="548">
        <f t="shared" si="19"/>
        <v>0</v>
      </c>
      <c r="AG78" s="548">
        <f t="shared" si="20"/>
        <v>0</v>
      </c>
      <c r="AI78" s="619">
        <v>20600000</v>
      </c>
      <c r="AJ78" s="617" t="s">
        <v>3490</v>
      </c>
    </row>
    <row r="79" spans="1:36" ht="14.1" customHeight="1">
      <c r="A79" s="441" t="s">
        <v>374</v>
      </c>
      <c r="B79" s="609" t="s">
        <v>492</v>
      </c>
      <c r="C79" s="442">
        <v>15175499.999999998</v>
      </c>
      <c r="D79" s="442">
        <v>14069999.999999998</v>
      </c>
      <c r="E79" s="443" t="s">
        <v>3232</v>
      </c>
      <c r="F79" s="422">
        <v>15100000</v>
      </c>
      <c r="G79" s="444">
        <v>14000000</v>
      </c>
      <c r="H79" s="610">
        <v>0.96</v>
      </c>
      <c r="I79" s="445">
        <v>0.96</v>
      </c>
      <c r="J79" s="611">
        <v>0.96</v>
      </c>
      <c r="K79" s="620">
        <v>0.97499999999999998</v>
      </c>
      <c r="L79" s="445">
        <v>0</v>
      </c>
      <c r="M79" s="447">
        <v>0</v>
      </c>
      <c r="N79" s="612">
        <v>0</v>
      </c>
      <c r="O79" s="448">
        <v>0</v>
      </c>
      <c r="P79" s="447">
        <v>0</v>
      </c>
      <c r="Q79" s="659">
        <v>0</v>
      </c>
      <c r="R79" s="542">
        <v>5.0000000000000001E-3</v>
      </c>
      <c r="S79" s="461">
        <v>5.0000000000000001E-3</v>
      </c>
      <c r="T79" s="619">
        <f t="shared" si="16"/>
        <v>15412617.187499998</v>
      </c>
      <c r="U79" s="649">
        <f t="shared" si="17"/>
        <v>14289843.749999998</v>
      </c>
      <c r="V79" s="447">
        <f t="shared" si="18"/>
        <v>1.5625000000000003E-2</v>
      </c>
      <c r="X79" s="450">
        <f t="shared" si="12"/>
        <v>237117.1875</v>
      </c>
      <c r="Y79" s="451">
        <f t="shared" si="13"/>
        <v>1.5625000000000003E-2</v>
      </c>
      <c r="Z79" s="452">
        <f t="shared" si="14"/>
        <v>312617.18749999814</v>
      </c>
      <c r="AA79" s="453">
        <f t="shared" si="15"/>
        <v>2.0703124999999878E-2</v>
      </c>
      <c r="AB79" s="506"/>
      <c r="AC79" s="616"/>
      <c r="AD79" s="506" t="s">
        <v>3204</v>
      </c>
      <c r="AE79" s="506" t="s">
        <v>3204</v>
      </c>
      <c r="AF79" s="548">
        <f t="shared" si="19"/>
        <v>0</v>
      </c>
      <c r="AG79" s="548">
        <f t="shared" si="20"/>
        <v>0</v>
      </c>
      <c r="AI79" s="619">
        <v>15100000</v>
      </c>
      <c r="AJ79" s="617" t="s">
        <v>3490</v>
      </c>
    </row>
    <row r="80" spans="1:36" ht="14.1" customHeight="1">
      <c r="A80" s="441" t="s">
        <v>377</v>
      </c>
      <c r="B80" s="609" t="s">
        <v>493</v>
      </c>
      <c r="C80" s="442">
        <v>18592499.999999996</v>
      </c>
      <c r="D80" s="442">
        <v>17286000</v>
      </c>
      <c r="E80" s="443" t="s">
        <v>3232</v>
      </c>
      <c r="F80" s="422">
        <v>18500000</v>
      </c>
      <c r="G80" s="444">
        <v>17200000</v>
      </c>
      <c r="H80" s="610">
        <v>0.96699999999999997</v>
      </c>
      <c r="I80" s="445">
        <v>0.96699999999999997</v>
      </c>
      <c r="J80" s="611">
        <v>0.96699999999999997</v>
      </c>
      <c r="K80" s="620">
        <v>0.97</v>
      </c>
      <c r="L80" s="445">
        <v>7.0000000000000001E-3</v>
      </c>
      <c r="M80" s="447">
        <v>7.0000000000000001E-3</v>
      </c>
      <c r="N80" s="612">
        <v>7.0000000000000001E-3</v>
      </c>
      <c r="O80" s="447">
        <v>0</v>
      </c>
      <c r="P80" s="447">
        <v>0</v>
      </c>
      <c r="Q80" s="612">
        <v>0</v>
      </c>
      <c r="R80" s="542">
        <v>5.0000000000000001E-3</v>
      </c>
      <c r="S80" s="461">
        <v>5.0000000000000001E-3</v>
      </c>
      <c r="T80" s="619">
        <f t="shared" si="16"/>
        <v>18650180.972078592</v>
      </c>
      <c r="U80" s="649">
        <f t="shared" si="17"/>
        <v>17339627.714581173</v>
      </c>
      <c r="V80" s="447">
        <f t="shared" si="18"/>
        <v>3.1023784901758945E-3</v>
      </c>
      <c r="X80" s="450">
        <f t="shared" si="12"/>
        <v>57680.97207859531</v>
      </c>
      <c r="Y80" s="451">
        <f t="shared" si="13"/>
        <v>3.1023784901758945E-3</v>
      </c>
      <c r="Z80" s="452">
        <f t="shared" si="14"/>
        <v>150180.97207859159</v>
      </c>
      <c r="AA80" s="453">
        <f t="shared" si="15"/>
        <v>8.1178903826265719E-3</v>
      </c>
      <c r="AB80" s="506"/>
      <c r="AC80" s="616"/>
      <c r="AD80" s="506" t="s">
        <v>3204</v>
      </c>
      <c r="AE80" s="506" t="s">
        <v>3204</v>
      </c>
      <c r="AF80" s="548">
        <f t="shared" si="19"/>
        <v>0</v>
      </c>
      <c r="AG80" s="548">
        <f t="shared" si="20"/>
        <v>0</v>
      </c>
      <c r="AI80" s="619">
        <v>18500000</v>
      </c>
      <c r="AJ80" s="617" t="s">
        <v>3490</v>
      </c>
    </row>
    <row r="81" spans="1:36" ht="14.1" customHeight="1">
      <c r="A81" s="441" t="s">
        <v>379</v>
      </c>
      <c r="B81" s="609" t="s">
        <v>494</v>
      </c>
      <c r="C81" s="442">
        <v>16867200</v>
      </c>
      <c r="D81" s="442">
        <v>15662400</v>
      </c>
      <c r="E81" s="443" t="s">
        <v>3232</v>
      </c>
      <c r="F81" s="422">
        <v>16800000</v>
      </c>
      <c r="G81" s="444">
        <v>15600000</v>
      </c>
      <c r="H81" s="610">
        <v>0.96799999999999997</v>
      </c>
      <c r="I81" s="445">
        <v>0.96799999999999997</v>
      </c>
      <c r="J81" s="611">
        <v>0.96799999999999997</v>
      </c>
      <c r="K81" s="540">
        <v>0.96499999999999997</v>
      </c>
      <c r="L81" s="445">
        <v>0</v>
      </c>
      <c r="M81" s="447">
        <v>0</v>
      </c>
      <c r="N81" s="612">
        <v>0</v>
      </c>
      <c r="O81" s="448">
        <v>0</v>
      </c>
      <c r="P81" s="447">
        <v>0</v>
      </c>
      <c r="Q81" s="661">
        <v>0</v>
      </c>
      <c r="R81" s="542">
        <v>4.0000000000000001E-3</v>
      </c>
      <c r="S81" s="613">
        <v>6.0000000000000001E-3</v>
      </c>
      <c r="T81" s="619">
        <f t="shared" si="16"/>
        <v>16848421.487603307</v>
      </c>
      <c r="U81" s="649">
        <f t="shared" si="17"/>
        <v>15644962.809917355</v>
      </c>
      <c r="V81" s="447">
        <f t="shared" si="18"/>
        <v>-1.1133153337064378E-3</v>
      </c>
      <c r="X81" s="450">
        <f t="shared" si="12"/>
        <v>-18778.51239669323</v>
      </c>
      <c r="Y81" s="451">
        <f t="shared" si="13"/>
        <v>-1.1133153337064378E-3</v>
      </c>
      <c r="Z81" s="452">
        <f t="shared" si="14"/>
        <v>48421.48760330677</v>
      </c>
      <c r="AA81" s="453">
        <f t="shared" si="15"/>
        <v>2.8822314049587365E-3</v>
      </c>
      <c r="AB81" s="506"/>
      <c r="AC81" s="616"/>
      <c r="AD81" s="506" t="s">
        <v>3506</v>
      </c>
      <c r="AE81" s="506" t="s">
        <v>3205</v>
      </c>
      <c r="AF81" s="548">
        <f t="shared" si="19"/>
        <v>0</v>
      </c>
      <c r="AG81" s="548">
        <f t="shared" si="20"/>
        <v>0</v>
      </c>
      <c r="AI81" s="619">
        <v>16800000</v>
      </c>
      <c r="AJ81" s="617" t="s">
        <v>523</v>
      </c>
    </row>
    <row r="82" spans="1:36" ht="14.1" customHeight="1">
      <c r="A82" s="441" t="s">
        <v>384</v>
      </c>
      <c r="B82" s="609" t="s">
        <v>495</v>
      </c>
      <c r="C82" s="442">
        <v>20840096.627447348</v>
      </c>
      <c r="D82" s="442">
        <v>19265833.237488996</v>
      </c>
      <c r="E82" s="443" t="s">
        <v>3234</v>
      </c>
      <c r="F82" s="422">
        <v>19579000</v>
      </c>
      <c r="G82" s="444">
        <v>18100000</v>
      </c>
      <c r="H82" s="610">
        <v>0.98599999999999999</v>
      </c>
      <c r="I82" s="445">
        <v>0.98599999999999999</v>
      </c>
      <c r="J82" s="447">
        <v>0.98599999999999999</v>
      </c>
      <c r="K82" s="461">
        <v>0.98599999999999999</v>
      </c>
      <c r="L82" s="445">
        <v>0</v>
      </c>
      <c r="M82" s="447" t="s">
        <v>3226</v>
      </c>
      <c r="N82" s="623">
        <v>0</v>
      </c>
      <c r="O82" s="448">
        <f>1-(0.978*0.878)</f>
        <v>0.141316</v>
      </c>
      <c r="P82" s="673">
        <f>1-((1-0.017)*(1-0.117))</f>
        <v>0.13201099999999999</v>
      </c>
      <c r="Q82" s="677">
        <f>1-((1-0.017)*(1-0.117))</f>
        <v>0.13201099999999999</v>
      </c>
      <c r="R82" s="542">
        <v>5.2999999999999999E-2</v>
      </c>
      <c r="S82" s="678">
        <f>1-((1-0.017)*(1-0.117))-(1-((1-0.017)*(1-((0.117*6+0.02*6)/12))))</f>
        <v>4.7675499999999982E-2</v>
      </c>
      <c r="T82" s="619">
        <f t="shared" si="16"/>
        <v>20734718.569999255</v>
      </c>
      <c r="U82" s="676">
        <f t="shared" si="17"/>
        <v>19168415.451094877</v>
      </c>
      <c r="V82" s="447">
        <f t="shared" si="18"/>
        <v>-5.0565052231718154E-3</v>
      </c>
      <c r="W82" s="506"/>
      <c r="X82" s="450">
        <f t="shared" si="12"/>
        <v>-105378.05744809285</v>
      </c>
      <c r="Y82" s="451">
        <f t="shared" si="13"/>
        <v>-5.0565052231718154E-3</v>
      </c>
      <c r="Z82" s="457">
        <f t="shared" si="14"/>
        <v>1155718.5699992552</v>
      </c>
      <c r="AA82" s="458">
        <f t="shared" si="15"/>
        <v>5.9028477961042713E-2</v>
      </c>
      <c r="AB82" s="506"/>
      <c r="AC82" s="616"/>
      <c r="AD82" s="679" t="s">
        <v>3508</v>
      </c>
      <c r="AE82" s="506" t="s">
        <v>3324</v>
      </c>
      <c r="AF82" s="548">
        <f t="shared" si="19"/>
        <v>0</v>
      </c>
      <c r="AG82" s="548">
        <f t="shared" si="20"/>
        <v>0</v>
      </c>
      <c r="AI82" s="619">
        <v>19579000</v>
      </c>
      <c r="AJ82" s="617" t="s">
        <v>523</v>
      </c>
    </row>
    <row r="83" spans="1:36" ht="13.5" customHeight="1">
      <c r="A83" s="441" t="s">
        <v>381</v>
      </c>
      <c r="B83" s="609" t="s">
        <v>496</v>
      </c>
      <c r="C83" s="442">
        <f>21600000</f>
        <v>21600000</v>
      </c>
      <c r="D83" s="442">
        <f>20000000</f>
        <v>20000000</v>
      </c>
      <c r="E83" s="443" t="s">
        <v>3232</v>
      </c>
      <c r="F83" s="422">
        <f>21600000*SUM('[2]BP2022 - Distribution mensuelle'!CF3:CF8)</f>
        <v>11270228.765045892</v>
      </c>
      <c r="G83" s="444">
        <f>20000000*SUM('[2]BP2022 - Distribution mensuelle'!CF3:CF8)</f>
        <v>10435397.004672123</v>
      </c>
      <c r="H83" s="610">
        <v>0.95099999999999996</v>
      </c>
      <c r="I83" s="445">
        <v>0.95099999999999996</v>
      </c>
      <c r="J83" s="447">
        <v>0.95099999999999996</v>
      </c>
      <c r="K83" s="461">
        <v>0.95099999999999996</v>
      </c>
      <c r="L83" s="445">
        <v>0</v>
      </c>
      <c r="M83" s="447">
        <v>0</v>
      </c>
      <c r="N83" s="612">
        <v>0</v>
      </c>
      <c r="O83" s="447">
        <v>0</v>
      </c>
      <c r="P83" s="663">
        <v>0</v>
      </c>
      <c r="Q83" s="661">
        <v>0</v>
      </c>
      <c r="R83" s="542">
        <v>0</v>
      </c>
      <c r="S83" s="613">
        <v>0</v>
      </c>
      <c r="T83" s="619">
        <f t="shared" si="16"/>
        <v>11270228.765045892</v>
      </c>
      <c r="U83" s="649">
        <f t="shared" si="17"/>
        <v>10435397.004672123</v>
      </c>
      <c r="V83" s="447">
        <f t="shared" si="18"/>
        <v>-0.47823014976639389</v>
      </c>
      <c r="X83" s="450">
        <f t="shared" si="12"/>
        <v>-10329771.234954108</v>
      </c>
      <c r="Y83" s="451">
        <f t="shared" si="13"/>
        <v>-0.47823014976639389</v>
      </c>
      <c r="Z83" s="452">
        <f t="shared" si="14"/>
        <v>0</v>
      </c>
      <c r="AA83" s="453">
        <f t="shared" si="15"/>
        <v>0</v>
      </c>
      <c r="AB83" s="429"/>
      <c r="AC83" s="680"/>
      <c r="AD83" s="429"/>
      <c r="AE83" s="429"/>
      <c r="AF83" s="548">
        <f t="shared" si="19"/>
        <v>9.1655382071670413E-3</v>
      </c>
      <c r="AG83" s="548">
        <f t="shared" si="20"/>
        <v>10329771.234954115</v>
      </c>
      <c r="AI83" s="619">
        <v>21600000.000000007</v>
      </c>
      <c r="AJ83" s="617" t="s">
        <v>523</v>
      </c>
    </row>
    <row r="84" spans="1:36" ht="14.1" customHeight="1">
      <c r="A84" s="441" t="s">
        <v>385</v>
      </c>
      <c r="B84" s="609" t="s">
        <v>497</v>
      </c>
      <c r="C84" s="442">
        <v>21998547.921409089</v>
      </c>
      <c r="D84" s="442">
        <v>20157496.56818182</v>
      </c>
      <c r="E84" s="443" t="s">
        <v>3234</v>
      </c>
      <c r="F84" s="422">
        <v>21281000</v>
      </c>
      <c r="G84" s="444">
        <v>19500000</v>
      </c>
      <c r="H84" s="610">
        <v>0.97399999999999998</v>
      </c>
      <c r="I84" s="445">
        <v>0.97399999999999998</v>
      </c>
      <c r="J84" s="447">
        <v>0.97399999999999998</v>
      </c>
      <c r="K84" s="461">
        <v>0.97399999999999998</v>
      </c>
      <c r="L84" s="445">
        <v>0</v>
      </c>
      <c r="M84" s="447" t="s">
        <v>3226</v>
      </c>
      <c r="N84" s="623">
        <v>0</v>
      </c>
      <c r="O84" s="447">
        <v>0.12</v>
      </c>
      <c r="P84" s="673">
        <f>1-((1-0.029)*(1-0.112))</f>
        <v>0.13775199999999999</v>
      </c>
      <c r="Q84" s="677">
        <f>1-((1-0.029)*(1-0.112))</f>
        <v>0.13775199999999999</v>
      </c>
      <c r="R84" s="542">
        <v>5.5E-2</v>
      </c>
      <c r="S84" s="678">
        <f>1-((1-0.029)*(1-0.112))-(1-((1-0.029)*(1-((0.112*6+0.02*6)/12))))</f>
        <v>4.4665999999999872E-2</v>
      </c>
      <c r="T84" s="619">
        <f t="shared" si="16"/>
        <v>21783066.410300232</v>
      </c>
      <c r="U84" s="676">
        <f t="shared" si="17"/>
        <v>19960048.634972729</v>
      </c>
      <c r="V84" s="447">
        <f t="shared" si="18"/>
        <v>-9.7952606635072059E-3</v>
      </c>
      <c r="W84" s="506"/>
      <c r="X84" s="450">
        <f t="shared" si="12"/>
        <v>-215481.51110885665</v>
      </c>
      <c r="Y84" s="451">
        <f t="shared" si="13"/>
        <v>-9.7952606635072059E-3</v>
      </c>
      <c r="Z84" s="457">
        <f t="shared" si="14"/>
        <v>502066.41030023247</v>
      </c>
      <c r="AA84" s="458">
        <f t="shared" si="15"/>
        <v>2.3592237690908908E-2</v>
      </c>
      <c r="AB84" s="506"/>
      <c r="AC84" s="616"/>
      <c r="AD84" s="679" t="s">
        <v>3509</v>
      </c>
      <c r="AE84" s="506" t="s">
        <v>3325</v>
      </c>
      <c r="AF84" s="548">
        <f t="shared" si="19"/>
        <v>0</v>
      </c>
      <c r="AG84" s="548">
        <f t="shared" si="20"/>
        <v>0</v>
      </c>
      <c r="AI84" s="619">
        <v>21281000</v>
      </c>
      <c r="AJ84" s="617" t="s">
        <v>523</v>
      </c>
    </row>
    <row r="85" spans="1:36" ht="14.1" customHeight="1">
      <c r="A85" s="441" t="s">
        <v>816</v>
      </c>
      <c r="B85" s="609" t="s">
        <v>3160</v>
      </c>
      <c r="C85" s="442">
        <v>26120000</v>
      </c>
      <c r="D85" s="442">
        <v>23100000</v>
      </c>
      <c r="E85" s="443" t="s">
        <v>3487</v>
      </c>
      <c r="F85" s="468">
        <v>23157654.087504189</v>
      </c>
      <c r="G85" s="444" t="s">
        <v>3488</v>
      </c>
      <c r="H85" s="681">
        <v>0.96371668143082101</v>
      </c>
      <c r="I85" s="447">
        <v>0.97</v>
      </c>
      <c r="J85" s="447">
        <v>0.97</v>
      </c>
      <c r="K85" s="620">
        <v>0.96899999999999997</v>
      </c>
      <c r="L85" s="445">
        <f>100%-99.9384920836791%</f>
        <v>6.1507916320902023E-4</v>
      </c>
      <c r="M85" s="447">
        <v>3.0000000000000001E-3</v>
      </c>
      <c r="N85" s="618">
        <v>3.0000000000000001E-3</v>
      </c>
      <c r="O85" s="448">
        <v>0</v>
      </c>
      <c r="P85" s="447">
        <v>0</v>
      </c>
      <c r="Q85" s="661">
        <v>0</v>
      </c>
      <c r="R85" s="542">
        <v>0</v>
      </c>
      <c r="S85" s="654">
        <f>0.6%*F85/AI85</f>
        <v>5.3195223784465971E-3</v>
      </c>
      <c r="T85" s="619">
        <f t="shared" si="16"/>
        <v>23352611.011893734</v>
      </c>
      <c r="U85" s="649" t="e">
        <f t="shared" si="17"/>
        <v>#VALUE!</v>
      </c>
      <c r="V85" s="447">
        <f t="shared" si="18"/>
        <v>-0.1059490424236702</v>
      </c>
      <c r="X85" s="450">
        <f t="shared" si="12"/>
        <v>-2767388.9881062657</v>
      </c>
      <c r="Y85" s="451">
        <f t="shared" si="13"/>
        <v>-0.1059490424236702</v>
      </c>
      <c r="Z85" s="452">
        <f t="shared" si="14"/>
        <v>194956.92438954487</v>
      </c>
      <c r="AA85" s="453">
        <f t="shared" si="15"/>
        <v>8.418681946490562E-3</v>
      </c>
      <c r="AB85" s="506"/>
      <c r="AC85" s="616"/>
      <c r="AD85" s="506" t="s">
        <v>3506</v>
      </c>
      <c r="AE85" s="506"/>
      <c r="AF85" s="548">
        <f t="shared" si="19"/>
        <v>1.2792081189667147E-3</v>
      </c>
      <c r="AG85" s="548">
        <f t="shared" si="20"/>
        <v>2962345.9124958105</v>
      </c>
      <c r="AH85" s="459" t="s">
        <v>3492</v>
      </c>
      <c r="AI85" s="619">
        <v>26120000</v>
      </c>
      <c r="AJ85" s="617" t="s">
        <v>895</v>
      </c>
    </row>
    <row r="86" spans="1:36" ht="14.1" customHeight="1">
      <c r="A86" s="441" t="s">
        <v>817</v>
      </c>
      <c r="B86" s="609" t="s">
        <v>818</v>
      </c>
      <c r="C86" s="442">
        <v>45752303</v>
      </c>
      <c r="D86" s="442">
        <v>40225179</v>
      </c>
      <c r="E86" s="443" t="s">
        <v>3235</v>
      </c>
      <c r="F86" s="444">
        <v>45752303</v>
      </c>
      <c r="G86" s="469">
        <v>40225179</v>
      </c>
      <c r="H86" s="610">
        <v>0.97</v>
      </c>
      <c r="I86" s="445">
        <v>0.97</v>
      </c>
      <c r="J86" s="447">
        <v>0.97</v>
      </c>
      <c r="K86" s="620">
        <v>0.96699999999999997</v>
      </c>
      <c r="L86" s="445">
        <v>0</v>
      </c>
      <c r="M86" s="455">
        <v>0</v>
      </c>
      <c r="N86" s="612">
        <v>0</v>
      </c>
      <c r="O86" s="448">
        <v>0</v>
      </c>
      <c r="P86" s="447">
        <v>0</v>
      </c>
      <c r="Q86" s="612">
        <v>0</v>
      </c>
      <c r="R86" s="542">
        <v>0</v>
      </c>
      <c r="S86" s="613">
        <v>0</v>
      </c>
      <c r="T86" s="619">
        <f t="shared" si="16"/>
        <v>45610801.031958766</v>
      </c>
      <c r="U86" s="649">
        <f t="shared" si="17"/>
        <v>40100771.22989691</v>
      </c>
      <c r="V86" s="447">
        <f t="shared" si="18"/>
        <v>-3.0927835051545649E-3</v>
      </c>
      <c r="X86" s="450">
        <f t="shared" si="12"/>
        <v>-141501.96804123372</v>
      </c>
      <c r="Y86" s="451">
        <f t="shared" si="13"/>
        <v>-3.0927835051545649E-3</v>
      </c>
      <c r="Z86" s="452">
        <f t="shared" si="14"/>
        <v>-141501.96804123372</v>
      </c>
      <c r="AA86" s="453">
        <f t="shared" si="15"/>
        <v>-3.0927835051545649E-3</v>
      </c>
      <c r="AB86" s="506"/>
      <c r="AC86" s="616"/>
      <c r="AD86" s="506"/>
      <c r="AE86" s="506"/>
      <c r="AF86" s="548">
        <f t="shared" si="19"/>
        <v>0</v>
      </c>
      <c r="AG86" s="548">
        <f t="shared" si="20"/>
        <v>0</v>
      </c>
      <c r="AI86" s="619">
        <v>45752303</v>
      </c>
      <c r="AJ86" s="617" t="s">
        <v>523</v>
      </c>
    </row>
    <row r="87" spans="1:36" ht="14.1" customHeight="1">
      <c r="A87" s="441" t="s">
        <v>820</v>
      </c>
      <c r="B87" s="609" t="s">
        <v>819</v>
      </c>
      <c r="C87" s="442">
        <v>32961599.999999996</v>
      </c>
      <c r="D87" s="442">
        <v>29232000</v>
      </c>
      <c r="E87" s="443" t="s">
        <v>3487</v>
      </c>
      <c r="F87" s="422">
        <v>32628505.382718954</v>
      </c>
      <c r="G87" s="444" t="s">
        <v>3488</v>
      </c>
      <c r="H87" s="542">
        <v>0.96153540312179997</v>
      </c>
      <c r="I87" s="445">
        <v>0.97</v>
      </c>
      <c r="J87" s="447">
        <v>0.97</v>
      </c>
      <c r="K87" s="621">
        <v>0.98</v>
      </c>
      <c r="L87" s="445">
        <f>100%-99.8810381416966%</f>
        <v>1.1896185830339023E-3</v>
      </c>
      <c r="M87" s="455">
        <v>0.05</v>
      </c>
      <c r="N87" s="682">
        <f>1-99.88%</f>
        <v>1.2000000000000899E-3</v>
      </c>
      <c r="O87" s="448">
        <v>0</v>
      </c>
      <c r="P87" s="447">
        <v>0</v>
      </c>
      <c r="Q87" s="664">
        <v>0</v>
      </c>
      <c r="R87" s="445">
        <f>0.3%+0.5%</f>
        <v>8.0000000000000002E-3</v>
      </c>
      <c r="S87" s="665">
        <f>(0.003*(25-18)/25+0.01*(25-6)/25)*F87/AI87</f>
        <v>8.4215469550503949E-3</v>
      </c>
      <c r="T87" s="619">
        <f t="shared" si="16"/>
        <v>33534789.110135626</v>
      </c>
      <c r="U87" s="649" t="e">
        <f t="shared" si="17"/>
        <v>#VALUE!</v>
      </c>
      <c r="V87" s="447">
        <f t="shared" si="18"/>
        <v>1.7389602147214633E-2</v>
      </c>
      <c r="X87" s="450">
        <f t="shared" si="12"/>
        <v>573189.11013562977</v>
      </c>
      <c r="Y87" s="451">
        <f t="shared" si="13"/>
        <v>1.7389602147214633E-2</v>
      </c>
      <c r="Z87" s="452">
        <f t="shared" si="14"/>
        <v>906283.72741667181</v>
      </c>
      <c r="AA87" s="453">
        <f t="shared" si="15"/>
        <v>2.777582720343259E-2</v>
      </c>
      <c r="AB87" s="506"/>
      <c r="AC87" s="616"/>
      <c r="AD87" s="666" t="s">
        <v>3510</v>
      </c>
      <c r="AE87" s="506" t="s">
        <v>3326</v>
      </c>
      <c r="AF87" s="548">
        <f t="shared" si="19"/>
        <v>2.1911704640602548E-5</v>
      </c>
      <c r="AG87" s="548">
        <f t="shared" si="20"/>
        <v>71494.617281045765</v>
      </c>
      <c r="AH87" s="459" t="s">
        <v>3492</v>
      </c>
      <c r="AI87" s="619">
        <v>32700000</v>
      </c>
      <c r="AJ87" s="617" t="s">
        <v>3500</v>
      </c>
    </row>
    <row r="88" spans="1:36" ht="14.1" customHeight="1">
      <c r="A88" s="441" t="s">
        <v>822</v>
      </c>
      <c r="B88" s="609" t="s">
        <v>821</v>
      </c>
      <c r="C88" s="442">
        <v>74400000</v>
      </c>
      <c r="D88" s="442">
        <v>63100000</v>
      </c>
      <c r="E88" s="443" t="s">
        <v>3487</v>
      </c>
      <c r="F88" s="469">
        <v>58521743.556282714</v>
      </c>
      <c r="G88" s="444" t="s">
        <v>3488</v>
      </c>
      <c r="H88" s="610">
        <v>0.95995425465936601</v>
      </c>
      <c r="I88" s="445">
        <v>0.97</v>
      </c>
      <c r="J88" s="447">
        <v>0.97</v>
      </c>
      <c r="K88" s="541">
        <v>0.97499999999999998</v>
      </c>
      <c r="L88" s="445">
        <f>100%-99.57%</f>
        <v>4.3000000000000815E-3</v>
      </c>
      <c r="M88" s="455">
        <v>1.0999999999999999E-2</v>
      </c>
      <c r="N88" s="683">
        <f>1-99.57%</f>
        <v>4.3000000000000815E-3</v>
      </c>
      <c r="O88" s="448">
        <v>0</v>
      </c>
      <c r="P88" s="447">
        <v>0</v>
      </c>
      <c r="Q88" s="665">
        <v>0</v>
      </c>
      <c r="R88" s="445">
        <v>0</v>
      </c>
      <c r="S88" s="613">
        <v>0</v>
      </c>
      <c r="T88" s="619">
        <f t="shared" si="16"/>
        <v>59438978.149664618</v>
      </c>
      <c r="U88" s="649" t="e">
        <f t="shared" si="17"/>
        <v>#VALUE!</v>
      </c>
      <c r="V88" s="447">
        <f t="shared" si="18"/>
        <v>-0.20108900336472288</v>
      </c>
      <c r="X88" s="450">
        <f t="shared" si="12"/>
        <v>-14961021.850335382</v>
      </c>
      <c r="Y88" s="451">
        <f t="shared" si="13"/>
        <v>-0.20108900336472288</v>
      </c>
      <c r="Z88" s="452">
        <f t="shared" si="14"/>
        <v>917234.59338190407</v>
      </c>
      <c r="AA88" s="453">
        <f t="shared" si="15"/>
        <v>1.5673398255808334E-2</v>
      </c>
      <c r="AB88" s="506"/>
      <c r="AC88" s="616"/>
      <c r="AD88" s="506"/>
      <c r="AE88" s="506"/>
      <c r="AF88" s="548">
        <f t="shared" si="19"/>
        <v>2.7132234070310181E-3</v>
      </c>
      <c r="AG88" s="548">
        <f t="shared" si="20"/>
        <v>15878256.443717286</v>
      </c>
      <c r="AH88" s="459" t="s">
        <v>3492</v>
      </c>
      <c r="AI88" s="619">
        <v>74400000</v>
      </c>
      <c r="AJ88" s="617" t="s">
        <v>895</v>
      </c>
    </row>
    <row r="89" spans="1:36" ht="14.1" customHeight="1">
      <c r="A89" s="441" t="s">
        <v>824</v>
      </c>
      <c r="B89" s="609" t="s">
        <v>837</v>
      </c>
      <c r="C89" s="442">
        <v>35135818.582378216</v>
      </c>
      <c r="D89" s="442">
        <v>29246764.243712191</v>
      </c>
      <c r="E89" s="443" t="s">
        <v>3487</v>
      </c>
      <c r="F89" s="422">
        <v>29619774.459618099</v>
      </c>
      <c r="G89" s="444" t="s">
        <v>3488</v>
      </c>
      <c r="H89" s="610">
        <v>0.95750099868421401</v>
      </c>
      <c r="I89" s="445">
        <v>0.97</v>
      </c>
      <c r="J89" s="447">
        <v>0.97</v>
      </c>
      <c r="K89" s="657">
        <f>97%+0.2%</f>
        <v>0.97199999999999998</v>
      </c>
      <c r="L89" s="445">
        <f>100%-99.0739734%</f>
        <v>9.2602659999999615E-3</v>
      </c>
      <c r="M89" s="447">
        <v>1.4E-2</v>
      </c>
      <c r="N89" s="683">
        <v>9.2999999999999992E-3</v>
      </c>
      <c r="O89" s="448">
        <v>0</v>
      </c>
      <c r="P89" s="455">
        <v>7.0000000000000001E-3</v>
      </c>
      <c r="Q89" s="665">
        <v>0</v>
      </c>
      <c r="R89" s="445">
        <v>5.0000000000000001E-3</v>
      </c>
      <c r="S89" s="665">
        <f>((29-5)/29*0.005)*F89/AI89</f>
        <v>3.4812100579264139E-3</v>
      </c>
      <c r="T89" s="619">
        <f t="shared" si="16"/>
        <v>30171757.153553683</v>
      </c>
      <c r="U89" s="649" t="e">
        <f t="shared" si="17"/>
        <v>#VALUE!</v>
      </c>
      <c r="V89" s="447">
        <f t="shared" si="18"/>
        <v>-0.14128207706861781</v>
      </c>
      <c r="X89" s="450">
        <f t="shared" si="12"/>
        <v>-4964061.4288245328</v>
      </c>
      <c r="Y89" s="451">
        <f t="shared" si="13"/>
        <v>-0.14128207706861781</v>
      </c>
      <c r="Z89" s="457">
        <f t="shared" si="14"/>
        <v>551982.69393558428</v>
      </c>
      <c r="AA89" s="458">
        <f t="shared" si="15"/>
        <v>1.8635614349060147E-2</v>
      </c>
      <c r="AB89" s="543"/>
      <c r="AC89" s="684"/>
      <c r="AD89" s="666" t="s">
        <v>3511</v>
      </c>
      <c r="AE89" s="543" t="s">
        <v>3327</v>
      </c>
      <c r="AF89" s="548">
        <f t="shared" si="19"/>
        <v>1.8864732826479335E-3</v>
      </c>
      <c r="AG89" s="548">
        <f t="shared" si="20"/>
        <v>5587691.3156127185</v>
      </c>
      <c r="AH89" s="459" t="s">
        <v>3492</v>
      </c>
      <c r="AI89" s="619">
        <v>35207465.775230817</v>
      </c>
      <c r="AJ89" s="617" t="s">
        <v>3500</v>
      </c>
    </row>
    <row r="90" spans="1:36" ht="14.1" customHeight="1">
      <c r="A90" s="441" t="s">
        <v>824</v>
      </c>
      <c r="B90" s="609" t="s">
        <v>838</v>
      </c>
      <c r="C90" s="442">
        <v>17944959.350047756</v>
      </c>
      <c r="D90" s="442">
        <v>14937235.466518095</v>
      </c>
      <c r="E90" s="443" t="s">
        <v>3487</v>
      </c>
      <c r="F90" s="422">
        <v>15052853.608722609</v>
      </c>
      <c r="G90" s="444" t="s">
        <v>3488</v>
      </c>
      <c r="H90" s="610">
        <v>0.95750099868421401</v>
      </c>
      <c r="I90" s="445">
        <v>0.97</v>
      </c>
      <c r="J90" s="447">
        <v>0.97</v>
      </c>
      <c r="K90" s="657">
        <f>97%+0.2%</f>
        <v>0.97199999999999998</v>
      </c>
      <c r="L90" s="445">
        <f>100%-99.0739734%</f>
        <v>9.2602659999999615E-3</v>
      </c>
      <c r="M90" s="447">
        <v>1.4E-2</v>
      </c>
      <c r="N90" s="683">
        <v>9.2999999999999992E-3</v>
      </c>
      <c r="O90" s="448">
        <v>0</v>
      </c>
      <c r="P90" s="455">
        <v>7.0000000000000001E-3</v>
      </c>
      <c r="Q90" s="665">
        <v>0</v>
      </c>
      <c r="R90" s="667">
        <f>0.5%+0.5%</f>
        <v>0.01</v>
      </c>
      <c r="S90" s="665">
        <f>((29-5)/29*0.01)*F90/AI90</f>
        <v>6.9624201158528277E-3</v>
      </c>
      <c r="T90" s="619">
        <f t="shared" si="16"/>
        <v>15386566.297188109</v>
      </c>
      <c r="U90" s="649" t="e">
        <f t="shared" si="17"/>
        <v>#VALUE!</v>
      </c>
      <c r="V90" s="447">
        <f t="shared" si="18"/>
        <v>-0.14256889653265437</v>
      </c>
      <c r="X90" s="450">
        <f t="shared" si="12"/>
        <v>-2558393.0528596472</v>
      </c>
      <c r="Y90" s="451">
        <f t="shared" si="13"/>
        <v>-0.14256889653265437</v>
      </c>
      <c r="Z90" s="457">
        <f t="shared" si="14"/>
        <v>333712.68846550025</v>
      </c>
      <c r="AA90" s="458">
        <f t="shared" si="15"/>
        <v>2.2169397055195255E-2</v>
      </c>
      <c r="AB90" s="543"/>
      <c r="AC90" s="684"/>
      <c r="AD90" s="666" t="s">
        <v>3512</v>
      </c>
      <c r="AE90" s="543" t="s">
        <v>3327</v>
      </c>
      <c r="AF90" s="548">
        <f t="shared" si="19"/>
        <v>1.8864732826479335E-3</v>
      </c>
      <c r="AG90" s="548">
        <f t="shared" si="20"/>
        <v>2839680.616046574</v>
      </c>
      <c r="AH90" s="459" t="s">
        <v>3492</v>
      </c>
      <c r="AI90" s="619">
        <v>17892534.224769183</v>
      </c>
      <c r="AJ90" s="617" t="s">
        <v>3500</v>
      </c>
    </row>
    <row r="91" spans="1:36" ht="14.1" customHeight="1">
      <c r="A91" s="441" t="s">
        <v>826</v>
      </c>
      <c r="B91" s="609" t="s">
        <v>839</v>
      </c>
      <c r="C91" s="442">
        <v>27866932.765258834</v>
      </c>
      <c r="D91" s="442">
        <v>23558096.102395285</v>
      </c>
      <c r="E91" s="443" t="s">
        <v>3487</v>
      </c>
      <c r="F91" s="422">
        <v>23222135.661948308</v>
      </c>
      <c r="G91" s="444" t="s">
        <v>3488</v>
      </c>
      <c r="H91" s="610">
        <v>0.94824696695544797</v>
      </c>
      <c r="I91" s="445">
        <v>0.97</v>
      </c>
      <c r="J91" s="447">
        <v>0.97</v>
      </c>
      <c r="K91" s="657">
        <f>97%+0.2%</f>
        <v>0.97199999999999998</v>
      </c>
      <c r="L91" s="445">
        <f>100%-99.9%</f>
        <v>9.9999999999988987E-4</v>
      </c>
      <c r="M91" s="455">
        <v>1E-3</v>
      </c>
      <c r="N91" s="685">
        <v>1E-3</v>
      </c>
      <c r="O91" s="448">
        <v>0</v>
      </c>
      <c r="P91" s="447">
        <v>0</v>
      </c>
      <c r="Q91" s="686">
        <v>0</v>
      </c>
      <c r="R91" s="445">
        <v>5.0000000000000001E-3</v>
      </c>
      <c r="S91" s="665">
        <f>((31-6)/31*0.005)*F91/AI91</f>
        <v>3.7031770837735113E-3</v>
      </c>
      <c r="T91" s="619">
        <f t="shared" si="16"/>
        <v>23891986.428088885</v>
      </c>
      <c r="U91" s="649" t="e">
        <f t="shared" si="17"/>
        <v>#VALUE!</v>
      </c>
      <c r="V91" s="447">
        <f t="shared" si="18"/>
        <v>-0.14264025289950236</v>
      </c>
      <c r="X91" s="450">
        <f t="shared" si="12"/>
        <v>-3974946.337169949</v>
      </c>
      <c r="Y91" s="451">
        <f t="shared" si="13"/>
        <v>-0.14264025289950236</v>
      </c>
      <c r="Z91" s="452">
        <f t="shared" si="14"/>
        <v>669850.76614057645</v>
      </c>
      <c r="AA91" s="453">
        <f t="shared" si="15"/>
        <v>2.8845355823073199E-2</v>
      </c>
      <c r="AB91" s="507"/>
      <c r="AC91" s="670"/>
      <c r="AD91" s="666" t="s">
        <v>3511</v>
      </c>
      <c r="AE91" s="507" t="s">
        <v>3328</v>
      </c>
      <c r="AF91" s="548">
        <f t="shared" si="19"/>
        <v>8.8864500211069061E-4</v>
      </c>
      <c r="AG91" s="548">
        <f t="shared" si="20"/>
        <v>2063623.4794326797</v>
      </c>
      <c r="AH91" s="459" t="s">
        <v>3492</v>
      </c>
      <c r="AI91" s="619">
        <v>25285759.141380988</v>
      </c>
      <c r="AJ91" s="617" t="s">
        <v>3500</v>
      </c>
    </row>
    <row r="92" spans="1:36" ht="14.1" customHeight="1">
      <c r="A92" s="441" t="s">
        <v>826</v>
      </c>
      <c r="B92" s="609" t="s">
        <v>840</v>
      </c>
      <c r="C92" s="442">
        <v>37706835.072282329</v>
      </c>
      <c r="D92" s="442">
        <v>31876534.523290772</v>
      </c>
      <c r="E92" s="443" t="s">
        <v>3487</v>
      </c>
      <c r="F92" s="422">
        <v>31421945.386213642</v>
      </c>
      <c r="G92" s="444" t="s">
        <v>3488</v>
      </c>
      <c r="H92" s="610">
        <v>0.94824696695544797</v>
      </c>
      <c r="I92" s="445">
        <v>0.97</v>
      </c>
      <c r="J92" s="447">
        <v>0.97</v>
      </c>
      <c r="K92" s="657">
        <f>97%+0.2%</f>
        <v>0.97199999999999998</v>
      </c>
      <c r="L92" s="445">
        <f>100%-99.9%</f>
        <v>9.9999999999988987E-4</v>
      </c>
      <c r="M92" s="455">
        <v>1E-3</v>
      </c>
      <c r="N92" s="685">
        <v>1E-3</v>
      </c>
      <c r="O92" s="448">
        <v>0</v>
      </c>
      <c r="P92" s="447">
        <v>0</v>
      </c>
      <c r="Q92" s="686">
        <v>0</v>
      </c>
      <c r="R92" s="445">
        <v>5.0000000000000001E-3</v>
      </c>
      <c r="S92" s="665">
        <f>((31-6)/31*0.005)*F92/AI92</f>
        <v>3.7031770837735122E-3</v>
      </c>
      <c r="T92" s="619">
        <f t="shared" si="16"/>
        <v>32328322.581532143</v>
      </c>
      <c r="U92" s="649" t="e">
        <f t="shared" si="17"/>
        <v>#VALUE!</v>
      </c>
      <c r="V92" s="447">
        <f t="shared" si="18"/>
        <v>-0.14264025289950261</v>
      </c>
      <c r="X92" s="450">
        <f t="shared" si="12"/>
        <v>-5378512.4907501861</v>
      </c>
      <c r="Y92" s="451">
        <f t="shared" si="13"/>
        <v>-0.14264025289950261</v>
      </c>
      <c r="Z92" s="452">
        <f t="shared" si="14"/>
        <v>906377.19531850144</v>
      </c>
      <c r="AA92" s="453">
        <f t="shared" si="15"/>
        <v>2.8845355823073064E-2</v>
      </c>
      <c r="AB92" s="507"/>
      <c r="AC92" s="670"/>
      <c r="AD92" s="666" t="s">
        <v>3511</v>
      </c>
      <c r="AE92" s="507" t="s">
        <v>3329</v>
      </c>
      <c r="AF92" s="548">
        <f t="shared" si="19"/>
        <v>8.8864500211068844E-4</v>
      </c>
      <c r="AG92" s="548">
        <f t="shared" si="20"/>
        <v>2792295.4724053778</v>
      </c>
      <c r="AH92" s="459" t="s">
        <v>3492</v>
      </c>
      <c r="AI92" s="619">
        <v>34214240.858619019</v>
      </c>
      <c r="AJ92" s="617" t="s">
        <v>3500</v>
      </c>
    </row>
    <row r="93" spans="1:36" ht="14.1" customHeight="1">
      <c r="A93" s="441" t="s">
        <v>499</v>
      </c>
      <c r="B93" s="609" t="s">
        <v>842</v>
      </c>
      <c r="C93" s="442">
        <v>15059000</v>
      </c>
      <c r="D93" s="442">
        <v>14339000</v>
      </c>
      <c r="E93" s="443" t="s">
        <v>3224</v>
      </c>
      <c r="F93" s="469">
        <f>C93*(1-0.64%)</f>
        <v>14962622.4</v>
      </c>
      <c r="G93" s="469">
        <f>D93*(1-0.64%)</f>
        <v>14247230.4</v>
      </c>
      <c r="H93" s="681">
        <v>0.98499999999999999</v>
      </c>
      <c r="I93" s="445">
        <v>0.98499999999999999</v>
      </c>
      <c r="J93" s="447">
        <v>0.98499999999999999</v>
      </c>
      <c r="K93" s="461">
        <v>0.98499999999999999</v>
      </c>
      <c r="L93" s="445">
        <v>0</v>
      </c>
      <c r="M93" s="447" t="s">
        <v>3165</v>
      </c>
      <c r="N93" s="447">
        <v>0</v>
      </c>
      <c r="O93" s="448">
        <v>0</v>
      </c>
      <c r="P93" s="447" t="s">
        <v>3165</v>
      </c>
      <c r="Q93" s="446">
        <v>0</v>
      </c>
      <c r="R93" s="445">
        <v>0</v>
      </c>
      <c r="S93" s="613">
        <v>0</v>
      </c>
      <c r="T93" s="619">
        <f t="shared" si="16"/>
        <v>14962622.4</v>
      </c>
      <c r="U93" s="649">
        <f t="shared" si="17"/>
        <v>14247230.4</v>
      </c>
      <c r="V93" s="467">
        <f t="shared" si="18"/>
        <v>-6.3999999999999752E-3</v>
      </c>
      <c r="W93" s="429" t="s">
        <v>3513</v>
      </c>
      <c r="X93" s="450">
        <f t="shared" si="12"/>
        <v>-96377.599999999627</v>
      </c>
      <c r="Y93" s="451">
        <f t="shared" si="13"/>
        <v>-6.3999999999999752E-3</v>
      </c>
      <c r="Z93" s="452">
        <f t="shared" si="14"/>
        <v>0</v>
      </c>
      <c r="AA93" s="453">
        <f t="shared" si="15"/>
        <v>0</v>
      </c>
      <c r="AB93" s="506"/>
      <c r="AC93" s="616"/>
      <c r="AD93" s="687" t="s">
        <v>3165</v>
      </c>
      <c r="AE93" s="687" t="s">
        <v>3165</v>
      </c>
      <c r="AF93" s="548">
        <f t="shared" si="19"/>
        <v>6.4412238325282096E-5</v>
      </c>
      <c r="AG93" s="548">
        <f t="shared" si="20"/>
        <v>96377.599999999627</v>
      </c>
      <c r="AI93" s="619">
        <v>15059000</v>
      </c>
      <c r="AJ93" s="617" t="s">
        <v>523</v>
      </c>
    </row>
    <row r="94" spans="1:36" ht="14.1" customHeight="1">
      <c r="A94" s="441" t="s">
        <v>501</v>
      </c>
      <c r="B94" s="609" t="s">
        <v>834</v>
      </c>
      <c r="C94" s="442">
        <v>5929000</v>
      </c>
      <c r="D94" s="442">
        <v>5723000</v>
      </c>
      <c r="E94" s="443" t="s">
        <v>3224</v>
      </c>
      <c r="F94" s="469">
        <f>C94*(1-0.64%)</f>
        <v>5891054.4000000004</v>
      </c>
      <c r="G94" s="469">
        <f>D94*(1-0.64%)</f>
        <v>5686372.7999999998</v>
      </c>
      <c r="H94" s="681">
        <v>0.98499999999999999</v>
      </c>
      <c r="I94" s="445">
        <v>0.98499999999999999</v>
      </c>
      <c r="J94" s="447">
        <v>0.98499999999999999</v>
      </c>
      <c r="K94" s="461">
        <v>0.98499999999999999</v>
      </c>
      <c r="L94" s="445">
        <v>0</v>
      </c>
      <c r="M94" s="447" t="s">
        <v>3165</v>
      </c>
      <c r="N94" s="447">
        <v>0</v>
      </c>
      <c r="O94" s="448">
        <v>0</v>
      </c>
      <c r="P94" s="447" t="s">
        <v>3165</v>
      </c>
      <c r="Q94" s="446">
        <v>0</v>
      </c>
      <c r="R94" s="445">
        <v>0</v>
      </c>
      <c r="S94" s="613">
        <v>0</v>
      </c>
      <c r="T94" s="619">
        <f t="shared" si="16"/>
        <v>5891054.4000000004</v>
      </c>
      <c r="U94" s="649">
        <f t="shared" si="17"/>
        <v>5686372.7999999998</v>
      </c>
      <c r="V94" s="688">
        <f t="shared" si="18"/>
        <v>-6.399999999999937E-3</v>
      </c>
      <c r="W94" s="429" t="s">
        <v>3513</v>
      </c>
      <c r="X94" s="450">
        <f t="shared" si="12"/>
        <v>-37945.599999999627</v>
      </c>
      <c r="Y94" s="451">
        <f t="shared" si="13"/>
        <v>-6.399999999999937E-3</v>
      </c>
      <c r="Z94" s="452">
        <f t="shared" si="14"/>
        <v>0</v>
      </c>
      <c r="AA94" s="453">
        <f t="shared" si="15"/>
        <v>0</v>
      </c>
      <c r="AB94" s="506"/>
      <c r="AC94" s="616"/>
      <c r="AD94" s="687" t="s">
        <v>3165</v>
      </c>
      <c r="AE94" s="687" t="s">
        <v>3165</v>
      </c>
      <c r="AF94" s="548">
        <f t="shared" si="19"/>
        <v>6.4412238325282096E-5</v>
      </c>
      <c r="AG94" s="548">
        <f t="shared" si="20"/>
        <v>37945.599999999627</v>
      </c>
      <c r="AI94" s="619">
        <v>5929000</v>
      </c>
      <c r="AJ94" s="617" t="s">
        <v>523</v>
      </c>
    </row>
    <row r="95" spans="1:36" ht="14.1" customHeight="1">
      <c r="A95" s="441" t="s">
        <v>830</v>
      </c>
      <c r="B95" s="626" t="s">
        <v>2650</v>
      </c>
      <c r="C95" s="627" t="s">
        <v>3165</v>
      </c>
      <c r="D95" s="627" t="s">
        <v>3165</v>
      </c>
      <c r="E95" s="628" t="s">
        <v>3165</v>
      </c>
      <c r="F95" s="689" t="s">
        <v>3165</v>
      </c>
      <c r="G95" s="689" t="s">
        <v>3165</v>
      </c>
      <c r="H95" s="636" t="s">
        <v>3165</v>
      </c>
      <c r="I95" s="636" t="s">
        <v>3165</v>
      </c>
      <c r="J95" s="639" t="s">
        <v>3165</v>
      </c>
      <c r="K95" s="637"/>
      <c r="L95" s="636" t="s">
        <v>3165</v>
      </c>
      <c r="M95" s="639" t="s">
        <v>3165</v>
      </c>
      <c r="N95" s="639" t="s">
        <v>3165</v>
      </c>
      <c r="O95" s="690" t="s">
        <v>3165</v>
      </c>
      <c r="P95" s="639" t="s">
        <v>3165</v>
      </c>
      <c r="Q95" s="637"/>
      <c r="R95" s="636" t="s">
        <v>3165</v>
      </c>
      <c r="S95" s="637"/>
      <c r="T95" s="637"/>
      <c r="U95" s="691" t="e">
        <f t="shared" si="17"/>
        <v>#VALUE!</v>
      </c>
      <c r="V95" s="639" t="s">
        <v>3165</v>
      </c>
      <c r="W95" s="640" t="s">
        <v>3188</v>
      </c>
      <c r="X95" s="641" t="e">
        <f t="shared" si="12"/>
        <v>#VALUE!</v>
      </c>
      <c r="Y95" s="642" t="e">
        <f t="shared" si="13"/>
        <v>#VALUE!</v>
      </c>
      <c r="Z95" s="643" t="e">
        <f t="shared" si="14"/>
        <v>#VALUE!</v>
      </c>
      <c r="AA95" s="644" t="e">
        <f t="shared" si="15"/>
        <v>#VALUE!</v>
      </c>
      <c r="AB95" s="645"/>
      <c r="AC95" s="646"/>
      <c r="AD95" s="506"/>
      <c r="AE95" s="506"/>
      <c r="AF95" s="628" t="s">
        <v>3165</v>
      </c>
      <c r="AG95" s="628" t="s">
        <v>3165</v>
      </c>
      <c r="AH95" s="628" t="s">
        <v>3165</v>
      </c>
      <c r="AI95" s="619" t="s">
        <v>3165</v>
      </c>
      <c r="AJ95" s="617" t="s">
        <v>3165</v>
      </c>
    </row>
    <row r="96" spans="1:36" ht="14.1" customHeight="1">
      <c r="A96" s="441" t="s">
        <v>1858</v>
      </c>
      <c r="B96" s="622" t="s">
        <v>3029</v>
      </c>
      <c r="C96" s="442">
        <v>97100000</v>
      </c>
      <c r="D96" s="442">
        <v>87000000</v>
      </c>
      <c r="E96" s="443" t="s">
        <v>3236</v>
      </c>
      <c r="F96" s="422">
        <v>97100000</v>
      </c>
      <c r="G96" s="444">
        <v>87000000</v>
      </c>
      <c r="H96" s="610">
        <v>0.96699999999999997</v>
      </c>
      <c r="I96" s="445">
        <v>0.96699999999999997</v>
      </c>
      <c r="J96" s="447">
        <v>0.96699999999999997</v>
      </c>
      <c r="K96" s="461">
        <v>0.96699999999999997</v>
      </c>
      <c r="L96" s="445">
        <v>4.0000000000000001E-3</v>
      </c>
      <c r="M96" s="447">
        <v>4.0000000000000001E-3</v>
      </c>
      <c r="N96" s="612">
        <v>4.0000000000000001E-3</v>
      </c>
      <c r="O96" s="448">
        <v>0</v>
      </c>
      <c r="P96" s="447">
        <v>0</v>
      </c>
      <c r="Q96" s="612">
        <v>0</v>
      </c>
      <c r="R96" s="445">
        <v>0</v>
      </c>
      <c r="S96" s="613">
        <v>0</v>
      </c>
      <c r="T96" s="619">
        <f t="shared" si="16"/>
        <v>97100000</v>
      </c>
      <c r="U96" s="649">
        <f t="shared" si="17"/>
        <v>87000000</v>
      </c>
      <c r="V96" s="447" t="s">
        <v>3165</v>
      </c>
      <c r="W96" s="429" t="s">
        <v>3189</v>
      </c>
      <c r="X96" s="450">
        <f t="shared" si="12"/>
        <v>0</v>
      </c>
      <c r="Y96" s="451">
        <f t="shared" si="13"/>
        <v>0</v>
      </c>
      <c r="Z96" s="452">
        <f t="shared" si="14"/>
        <v>0</v>
      </c>
      <c r="AA96" s="453">
        <f t="shared" si="15"/>
        <v>0</v>
      </c>
      <c r="AB96" s="506"/>
      <c r="AC96" s="616"/>
      <c r="AD96" s="506"/>
      <c r="AE96" s="506"/>
      <c r="AF96" s="548">
        <f t="shared" ref="AF96:AF107" si="21">(AI96/F96-1)%</f>
        <v>0</v>
      </c>
      <c r="AG96" s="548">
        <f t="shared" ref="AG96:AG107" si="22">AI96-F96</f>
        <v>0</v>
      </c>
      <c r="AI96" s="619">
        <v>97100000</v>
      </c>
      <c r="AJ96" s="617" t="s">
        <v>523</v>
      </c>
    </row>
    <row r="97" spans="1:36" ht="14.1" customHeight="1">
      <c r="A97" s="441" t="s">
        <v>2074</v>
      </c>
      <c r="B97" s="609" t="s">
        <v>3161</v>
      </c>
      <c r="C97" s="442">
        <v>30289289.289289288</v>
      </c>
      <c r="D97" s="442">
        <v>26926926.926926926</v>
      </c>
      <c r="E97" s="443" t="s">
        <v>3237</v>
      </c>
      <c r="F97" s="422">
        <v>30259000</v>
      </c>
      <c r="G97" s="444">
        <v>26900000</v>
      </c>
      <c r="H97" s="610">
        <v>0.97</v>
      </c>
      <c r="I97" s="445">
        <v>0.97</v>
      </c>
      <c r="J97" s="447">
        <v>0.97</v>
      </c>
      <c r="K97" s="461">
        <v>0.97199999999999998</v>
      </c>
      <c r="L97" s="445">
        <v>1E-3</v>
      </c>
      <c r="M97" s="447">
        <v>0</v>
      </c>
      <c r="N97" s="612">
        <v>1E-3</v>
      </c>
      <c r="O97" s="448">
        <v>0</v>
      </c>
      <c r="P97" s="447">
        <v>0</v>
      </c>
      <c r="Q97" s="612">
        <v>0</v>
      </c>
      <c r="R97" s="445">
        <v>0</v>
      </c>
      <c r="S97" s="613">
        <v>0</v>
      </c>
      <c r="T97" s="619">
        <f t="shared" si="16"/>
        <v>30321389.69072165</v>
      </c>
      <c r="U97" s="649">
        <f t="shared" si="17"/>
        <v>26955463.917525772</v>
      </c>
      <c r="V97" s="447">
        <f>(T97-C97)/C97</f>
        <v>1.0597938144330313E-3</v>
      </c>
      <c r="X97" s="450">
        <f t="shared" si="12"/>
        <v>32100.401432361454</v>
      </c>
      <c r="Y97" s="451">
        <f t="shared" si="13"/>
        <v>1.0597938144330313E-3</v>
      </c>
      <c r="Z97" s="452">
        <f t="shared" si="14"/>
        <v>62389.690721649677</v>
      </c>
      <c r="AA97" s="453">
        <f t="shared" si="15"/>
        <v>2.0618556701030993E-3</v>
      </c>
      <c r="AB97" s="506"/>
      <c r="AC97" s="616"/>
      <c r="AD97" s="506"/>
      <c r="AE97" s="506"/>
      <c r="AF97" s="548">
        <f t="shared" si="21"/>
        <v>0</v>
      </c>
      <c r="AG97" s="548">
        <f t="shared" si="22"/>
        <v>0</v>
      </c>
      <c r="AI97" s="619">
        <v>30259000</v>
      </c>
      <c r="AJ97" s="617" t="s">
        <v>523</v>
      </c>
    </row>
    <row r="98" spans="1:36" ht="14.1" customHeight="1">
      <c r="A98" s="441" t="s">
        <v>1833</v>
      </c>
      <c r="B98" s="609" t="s">
        <v>3514</v>
      </c>
      <c r="C98" s="442">
        <v>43875502.008032128</v>
      </c>
      <c r="D98" s="442">
        <v>37248995.983935744</v>
      </c>
      <c r="E98" s="443" t="s">
        <v>3238</v>
      </c>
      <c r="F98" s="422">
        <v>43700000</v>
      </c>
      <c r="G98" s="444">
        <v>37100000</v>
      </c>
      <c r="H98" s="610">
        <v>0.97</v>
      </c>
      <c r="I98" s="445">
        <v>0.97</v>
      </c>
      <c r="J98" s="447">
        <v>0.97</v>
      </c>
      <c r="K98" s="461">
        <v>0.97499999999999998</v>
      </c>
      <c r="L98" s="445">
        <v>0</v>
      </c>
      <c r="M98" s="447">
        <v>0</v>
      </c>
      <c r="N98" s="612">
        <v>0</v>
      </c>
      <c r="O98" s="448">
        <v>4.0000000000000001E-3</v>
      </c>
      <c r="P98" s="447">
        <v>0</v>
      </c>
      <c r="Q98" s="612">
        <v>0</v>
      </c>
      <c r="R98" s="445">
        <v>0</v>
      </c>
      <c r="S98" s="613">
        <v>0</v>
      </c>
      <c r="T98" s="619">
        <f t="shared" si="16"/>
        <v>44101664.38951683</v>
      </c>
      <c r="U98" s="649">
        <f t="shared" si="17"/>
        <v>37441001.117873557</v>
      </c>
      <c r="V98" s="447">
        <f>(T98-C98)/C98</f>
        <v>5.154639175257744E-3</v>
      </c>
      <c r="W98" s="429" t="s">
        <v>3189</v>
      </c>
      <c r="X98" s="450">
        <f t="shared" si="12"/>
        <v>226162.38148470223</v>
      </c>
      <c r="Y98" s="451">
        <f t="shared" si="13"/>
        <v>5.154639175257744E-3</v>
      </c>
      <c r="Z98" s="452">
        <f t="shared" si="14"/>
        <v>401664.38951683044</v>
      </c>
      <c r="AA98" s="453">
        <f t="shared" si="15"/>
        <v>9.1914047944354794E-3</v>
      </c>
      <c r="AB98" s="506"/>
      <c r="AC98" s="616"/>
      <c r="AD98" s="506"/>
      <c r="AE98" s="506" t="s">
        <v>3206</v>
      </c>
      <c r="AF98" s="548">
        <f t="shared" si="21"/>
        <v>0</v>
      </c>
      <c r="AG98" s="548">
        <f t="shared" si="22"/>
        <v>0</v>
      </c>
      <c r="AI98" s="619">
        <v>43700000</v>
      </c>
      <c r="AJ98" s="617" t="s">
        <v>523</v>
      </c>
    </row>
    <row r="99" spans="1:36" ht="14.1" customHeight="1">
      <c r="A99" s="441" t="s">
        <v>1808</v>
      </c>
      <c r="B99" s="609" t="s">
        <v>3425</v>
      </c>
      <c r="C99" s="469">
        <v>14838908.844999257</v>
      </c>
      <c r="D99" s="469">
        <v>12692632.752705101</v>
      </c>
      <c r="E99" s="443" t="s">
        <v>3239</v>
      </c>
      <c r="F99" s="462">
        <f>40140000</f>
        <v>40140000</v>
      </c>
      <c r="G99" s="463">
        <f>34300000</f>
        <v>34300000</v>
      </c>
      <c r="H99" s="542">
        <v>0.97</v>
      </c>
      <c r="I99" s="445">
        <v>0.97</v>
      </c>
      <c r="J99" s="447">
        <v>0.97</v>
      </c>
      <c r="K99" s="461">
        <v>0.97199999999999998</v>
      </c>
      <c r="L99" s="447">
        <v>0</v>
      </c>
      <c r="M99" s="447">
        <v>0</v>
      </c>
      <c r="N99" s="612">
        <v>0</v>
      </c>
      <c r="O99" s="447">
        <v>0</v>
      </c>
      <c r="P99" s="447">
        <v>0</v>
      </c>
      <c r="Q99" s="612">
        <v>0</v>
      </c>
      <c r="R99" s="445">
        <v>0</v>
      </c>
      <c r="S99" s="613">
        <v>0</v>
      </c>
      <c r="T99" s="619">
        <f t="shared" si="16"/>
        <v>40222762.886597939</v>
      </c>
      <c r="U99" s="649">
        <f t="shared" si="17"/>
        <v>34370721.649484538</v>
      </c>
      <c r="V99" s="447" t="s">
        <v>3165</v>
      </c>
      <c r="W99" s="429" t="s">
        <v>3190</v>
      </c>
      <c r="X99" s="450">
        <f t="shared" si="12"/>
        <v>25383854.041598681</v>
      </c>
      <c r="Y99" s="451">
        <f t="shared" si="13"/>
        <v>1.7106280729093564</v>
      </c>
      <c r="Z99" s="452">
        <f t="shared" si="14"/>
        <v>82762.886597938836</v>
      </c>
      <c r="AA99" s="453">
        <f t="shared" si="15"/>
        <v>2.0618556701031102E-3</v>
      </c>
      <c r="AB99" s="506"/>
      <c r="AC99" s="616"/>
      <c r="AD99" s="506"/>
      <c r="AE99" s="506"/>
      <c r="AF99" s="548">
        <f t="shared" si="21"/>
        <v>-0.01</v>
      </c>
      <c r="AG99" s="548">
        <f t="shared" si="22"/>
        <v>-40140000</v>
      </c>
      <c r="AH99" t="s">
        <v>3515</v>
      </c>
      <c r="AI99" s="619"/>
      <c r="AJ99" s="617" t="s">
        <v>523</v>
      </c>
    </row>
    <row r="100" spans="1:36" ht="14.1" customHeight="1">
      <c r="A100" s="441"/>
      <c r="B100" s="609" t="s">
        <v>3163</v>
      </c>
      <c r="C100" s="469">
        <v>1158404.1867231613</v>
      </c>
      <c r="D100" s="469">
        <v>1079406.9957661091</v>
      </c>
      <c r="E100" s="443" t="s">
        <v>3516</v>
      </c>
      <c r="F100" s="422">
        <v>16572000</v>
      </c>
      <c r="G100" s="463">
        <f>F100*(1-_xlfn.NORM.INV(90%,0,1)*6.5%)</f>
        <v>15191538.284626666</v>
      </c>
      <c r="H100" s="542">
        <v>0.98499999999999999</v>
      </c>
      <c r="I100" s="445">
        <v>0.98499999999999999</v>
      </c>
      <c r="J100" s="447" t="s">
        <v>3165</v>
      </c>
      <c r="K100" s="461">
        <v>0.98499999999999999</v>
      </c>
      <c r="L100" s="444">
        <v>0</v>
      </c>
      <c r="M100" s="447" t="s">
        <v>3165</v>
      </c>
      <c r="N100" s="447">
        <v>0</v>
      </c>
      <c r="O100" s="470">
        <v>0</v>
      </c>
      <c r="P100" s="447" t="s">
        <v>3165</v>
      </c>
      <c r="Q100" s="449">
        <v>0</v>
      </c>
      <c r="R100" s="445">
        <v>0</v>
      </c>
      <c r="S100" s="613">
        <v>0</v>
      </c>
      <c r="T100" s="619">
        <f t="shared" si="16"/>
        <v>16572000</v>
      </c>
      <c r="U100" s="649">
        <f t="shared" si="17"/>
        <v>15191538.284626666</v>
      </c>
      <c r="V100" s="447" t="s">
        <v>3165</v>
      </c>
      <c r="W100" s="429" t="s">
        <v>3517</v>
      </c>
      <c r="X100" s="450">
        <f t="shared" si="12"/>
        <v>15413595.813276839</v>
      </c>
      <c r="Y100" s="451">
        <f t="shared" si="13"/>
        <v>13.305887521762232</v>
      </c>
      <c r="Z100" s="452">
        <f t="shared" si="14"/>
        <v>0</v>
      </c>
      <c r="AA100" s="453">
        <f t="shared" si="15"/>
        <v>0</v>
      </c>
      <c r="AB100" s="506"/>
      <c r="AC100" s="616"/>
      <c r="AD100" s="506"/>
      <c r="AE100" s="506"/>
      <c r="AF100" s="548">
        <f t="shared" si="21"/>
        <v>-0.01</v>
      </c>
      <c r="AG100" s="548">
        <f t="shared" si="22"/>
        <v>-16572000</v>
      </c>
      <c r="AH100" t="s">
        <v>3515</v>
      </c>
      <c r="AI100" s="619"/>
      <c r="AJ100" s="617" t="s">
        <v>523</v>
      </c>
    </row>
    <row r="101" spans="1:36" ht="14.1" customHeight="1">
      <c r="A101" s="441"/>
      <c r="B101" s="609" t="s">
        <v>3142</v>
      </c>
      <c r="C101" s="469">
        <v>3081729.1000000006</v>
      </c>
      <c r="D101" s="469">
        <v>2824801.8530708523</v>
      </c>
      <c r="E101" s="443" t="s">
        <v>3518</v>
      </c>
      <c r="F101" s="422">
        <v>22798800</v>
      </c>
      <c r="G101" s="444">
        <v>20897900</v>
      </c>
      <c r="H101" s="542">
        <v>0.98499999999999999</v>
      </c>
      <c r="I101" s="445">
        <v>0.98499999999999999</v>
      </c>
      <c r="J101" s="447" t="s">
        <v>3165</v>
      </c>
      <c r="K101" s="461">
        <v>0.98499999999999999</v>
      </c>
      <c r="L101" s="444">
        <v>0</v>
      </c>
      <c r="M101" s="447" t="s">
        <v>3165</v>
      </c>
      <c r="N101" s="447">
        <v>0</v>
      </c>
      <c r="O101" s="470">
        <v>0</v>
      </c>
      <c r="P101" s="447" t="s">
        <v>3165</v>
      </c>
      <c r="Q101" s="449">
        <v>0</v>
      </c>
      <c r="R101" s="445">
        <v>0</v>
      </c>
      <c r="S101" s="613">
        <v>0</v>
      </c>
      <c r="T101" s="619">
        <f t="shared" si="16"/>
        <v>22798800</v>
      </c>
      <c r="U101" s="649">
        <f t="shared" si="17"/>
        <v>20897900</v>
      </c>
      <c r="V101" s="447" t="s">
        <v>3165</v>
      </c>
      <c r="W101" s="429" t="s">
        <v>3519</v>
      </c>
      <c r="X101" s="450">
        <f t="shared" si="12"/>
        <v>19717070.899999999</v>
      </c>
      <c r="Y101" s="451">
        <f t="shared" si="13"/>
        <v>6.3980545532052107</v>
      </c>
      <c r="Z101" s="452">
        <f t="shared" si="14"/>
        <v>0</v>
      </c>
      <c r="AA101" s="453">
        <f t="shared" si="15"/>
        <v>0</v>
      </c>
      <c r="AB101" s="506"/>
      <c r="AC101" s="616"/>
      <c r="AD101" s="687" t="s">
        <v>3165</v>
      </c>
      <c r="AE101" s="687" t="s">
        <v>3165</v>
      </c>
      <c r="AF101" s="548">
        <f t="shared" si="21"/>
        <v>-0.01</v>
      </c>
      <c r="AG101" s="548">
        <f t="shared" si="22"/>
        <v>-22798800</v>
      </c>
      <c r="AH101" t="s">
        <v>3515</v>
      </c>
      <c r="AI101" s="619"/>
      <c r="AJ101" s="617" t="s">
        <v>523</v>
      </c>
    </row>
    <row r="102" spans="1:36" ht="14.1" customHeight="1">
      <c r="A102" s="441" t="s">
        <v>2089</v>
      </c>
      <c r="B102" s="609" t="s">
        <v>3143</v>
      </c>
      <c r="C102" s="469">
        <v>20044795.676750604</v>
      </c>
      <c r="D102" s="469">
        <v>17546812.020985331</v>
      </c>
      <c r="E102" s="443" t="s">
        <v>3240</v>
      </c>
      <c r="F102" s="422">
        <f>32900000</f>
        <v>32900000</v>
      </c>
      <c r="G102" s="444">
        <f>28800000</f>
        <v>28800000</v>
      </c>
      <c r="H102" s="542">
        <v>0.96699999999999997</v>
      </c>
      <c r="I102" s="445">
        <v>0.96699999999999997</v>
      </c>
      <c r="J102" s="447">
        <v>0.96699999999999997</v>
      </c>
      <c r="K102" s="461">
        <v>0.97199999999999998</v>
      </c>
      <c r="L102" s="445">
        <v>0.111</v>
      </c>
      <c r="M102" s="447">
        <v>0.111</v>
      </c>
      <c r="N102" s="692">
        <v>0.1341</v>
      </c>
      <c r="O102" s="447">
        <v>0</v>
      </c>
      <c r="P102" s="447">
        <v>0</v>
      </c>
      <c r="Q102" s="612">
        <v>0</v>
      </c>
      <c r="R102" s="445">
        <v>0</v>
      </c>
      <c r="S102" s="613">
        <v>0</v>
      </c>
      <c r="T102" s="619">
        <f t="shared" si="16"/>
        <v>32210811.585470118</v>
      </c>
      <c r="U102" s="649">
        <f t="shared" si="17"/>
        <v>28196698.287584785</v>
      </c>
      <c r="V102" s="447" t="s">
        <v>3165</v>
      </c>
      <c r="W102" s="429" t="s">
        <v>3191</v>
      </c>
      <c r="X102" s="450">
        <f t="shared" si="12"/>
        <v>12166015.908719514</v>
      </c>
      <c r="Y102" s="451">
        <f t="shared" si="13"/>
        <v>0.60694137794732095</v>
      </c>
      <c r="Z102" s="452">
        <f t="shared" si="14"/>
        <v>-689188.41452988237</v>
      </c>
      <c r="AA102" s="453">
        <f t="shared" si="15"/>
        <v>-2.0947976125528341E-2</v>
      </c>
      <c r="AB102" s="506"/>
      <c r="AC102" s="616"/>
      <c r="AD102" s="506"/>
      <c r="AE102" s="506"/>
      <c r="AF102" s="548">
        <f t="shared" si="21"/>
        <v>-0.01</v>
      </c>
      <c r="AG102" s="548">
        <f t="shared" si="22"/>
        <v>-32900000</v>
      </c>
      <c r="AH102" t="s">
        <v>3515</v>
      </c>
      <c r="AI102" s="619"/>
      <c r="AJ102" s="617" t="s">
        <v>523</v>
      </c>
    </row>
    <row r="103" spans="1:36">
      <c r="A103" s="441" t="s">
        <v>2089</v>
      </c>
      <c r="B103" s="609" t="s">
        <v>3520</v>
      </c>
      <c r="C103" s="469"/>
      <c r="D103" s="469"/>
      <c r="E103" s="443" t="s">
        <v>3521</v>
      </c>
      <c r="F103" s="693">
        <v>24010000</v>
      </c>
      <c r="G103" s="444">
        <v>21033000</v>
      </c>
      <c r="H103" s="542">
        <f>1-0.045</f>
        <v>0.95499999999999996</v>
      </c>
      <c r="I103" s="445">
        <v>0.95899999999999996</v>
      </c>
      <c r="J103" s="447" t="s">
        <v>3165</v>
      </c>
      <c r="K103" s="461">
        <v>0.97199999999999998</v>
      </c>
      <c r="L103" s="445">
        <v>1.0999999999999999E-2</v>
      </c>
      <c r="M103" s="447">
        <v>1.0999999999999999E-2</v>
      </c>
      <c r="N103" s="447">
        <v>1.0999999999999999E-2</v>
      </c>
      <c r="O103" s="447">
        <v>0</v>
      </c>
      <c r="P103" s="447">
        <v>0</v>
      </c>
      <c r="Q103" s="446">
        <v>0</v>
      </c>
      <c r="R103" s="445" t="s">
        <v>3165</v>
      </c>
      <c r="S103" s="613">
        <v>0</v>
      </c>
      <c r="T103" s="619">
        <f t="shared" si="16"/>
        <v>24437403.141361259</v>
      </c>
      <c r="U103" s="694">
        <f t="shared" si="17"/>
        <v>21318118.873826906</v>
      </c>
      <c r="V103" s="447" t="s">
        <v>3165</v>
      </c>
      <c r="X103" s="450">
        <f t="shared" si="12"/>
        <v>24437403.141361259</v>
      </c>
      <c r="Y103" s="451" t="e">
        <f t="shared" si="13"/>
        <v>#DIV/0!</v>
      </c>
      <c r="Z103" s="452">
        <f t="shared" si="14"/>
        <v>427403.14136125892</v>
      </c>
      <c r="AA103" s="453">
        <f t="shared" si="15"/>
        <v>1.7801047120418946E-2</v>
      </c>
      <c r="AB103" s="506"/>
      <c r="AC103" s="616"/>
      <c r="AD103" s="506"/>
      <c r="AE103" s="506"/>
      <c r="AF103" s="548">
        <f t="shared" si="21"/>
        <v>-0.01</v>
      </c>
      <c r="AG103" s="548">
        <f t="shared" si="22"/>
        <v>-24010000</v>
      </c>
      <c r="AH103" t="s">
        <v>3522</v>
      </c>
      <c r="AI103" s="619"/>
      <c r="AJ103" s="617" t="s">
        <v>523</v>
      </c>
    </row>
    <row r="104" spans="1:36">
      <c r="A104" s="441" t="s">
        <v>2089</v>
      </c>
      <c r="B104" s="609" t="s">
        <v>3523</v>
      </c>
      <c r="C104" s="469"/>
      <c r="D104" s="469"/>
      <c r="E104" s="443" t="s">
        <v>3524</v>
      </c>
      <c r="F104" s="693">
        <f>42100000*SUM('[2]BP2022 - Distribution mensuelle'!DA10:DA14)</f>
        <v>17766200</v>
      </c>
      <c r="G104" s="444">
        <f>36800000*SUM('[2]BP2022 - Distribution mensuelle'!DA10:DA14)</f>
        <v>15529600</v>
      </c>
      <c r="H104" s="610">
        <v>0.96699999999999997</v>
      </c>
      <c r="I104" s="445">
        <v>0.97</v>
      </c>
      <c r="J104" s="447" t="s">
        <v>3165</v>
      </c>
      <c r="K104" s="461">
        <v>0.97</v>
      </c>
      <c r="L104" s="445">
        <v>0</v>
      </c>
      <c r="M104" s="447">
        <v>0</v>
      </c>
      <c r="N104" s="447">
        <v>0</v>
      </c>
      <c r="O104" s="447">
        <v>1.2E-2</v>
      </c>
      <c r="P104" s="447">
        <v>1.2E-2</v>
      </c>
      <c r="Q104" s="446">
        <v>1.2E-2</v>
      </c>
      <c r="R104" s="445" t="s">
        <v>3165</v>
      </c>
      <c r="S104" s="613">
        <v>0</v>
      </c>
      <c r="T104" s="619">
        <f t="shared" si="16"/>
        <v>17821317.476732161</v>
      </c>
      <c r="U104" s="649">
        <f t="shared" si="17"/>
        <v>15529600</v>
      </c>
      <c r="V104" s="447" t="s">
        <v>3165</v>
      </c>
      <c r="X104" s="450">
        <f t="shared" si="12"/>
        <v>17821317.476732161</v>
      </c>
      <c r="Y104" s="451" t="e">
        <f t="shared" si="13"/>
        <v>#DIV/0!</v>
      </c>
      <c r="Z104" s="452">
        <f t="shared" si="14"/>
        <v>55117.476732160896</v>
      </c>
      <c r="AA104" s="453">
        <f t="shared" si="15"/>
        <v>3.1023784901757774E-3</v>
      </c>
      <c r="AB104" s="506"/>
      <c r="AC104" s="616"/>
      <c r="AD104" s="506"/>
      <c r="AE104" s="506"/>
      <c r="AF104" s="548">
        <f t="shared" si="21"/>
        <v>-0.01</v>
      </c>
      <c r="AG104" s="548">
        <f t="shared" si="22"/>
        <v>-17766200</v>
      </c>
      <c r="AH104" t="s">
        <v>3522</v>
      </c>
      <c r="AI104" s="619"/>
      <c r="AJ104" s="617" t="s">
        <v>523</v>
      </c>
    </row>
    <row r="105" spans="1:36">
      <c r="A105" s="441" t="s">
        <v>2089</v>
      </c>
      <c r="B105" s="609" t="s">
        <v>3525</v>
      </c>
      <c r="C105" s="469"/>
      <c r="D105" s="469"/>
      <c r="E105" s="443" t="s">
        <v>3524</v>
      </c>
      <c r="F105" s="693">
        <f>40800000*SUM('[2]BP2022 - Distribution mensuelle'!DB9:DB14)</f>
        <v>19584000</v>
      </c>
      <c r="G105" s="444">
        <f>35300000*SUM('[2]BP2022 - Distribution mensuelle'!DB9:DB14)</f>
        <v>16944000</v>
      </c>
      <c r="H105" s="610">
        <v>0.96699999999999997</v>
      </c>
      <c r="I105" s="445">
        <v>0.97</v>
      </c>
      <c r="J105" s="447" t="s">
        <v>3165</v>
      </c>
      <c r="K105" s="461">
        <v>0.97</v>
      </c>
      <c r="L105" s="445">
        <v>0</v>
      </c>
      <c r="M105" s="447">
        <v>0</v>
      </c>
      <c r="N105" s="447">
        <v>0</v>
      </c>
      <c r="O105" s="447">
        <v>1.2E-2</v>
      </c>
      <c r="P105" s="447">
        <v>1.2E-2</v>
      </c>
      <c r="Q105" s="446">
        <v>1.2E-2</v>
      </c>
      <c r="R105" s="445" t="s">
        <v>3165</v>
      </c>
      <c r="S105" s="613">
        <v>0</v>
      </c>
      <c r="T105" s="619">
        <f t="shared" si="16"/>
        <v>19644756.980351601</v>
      </c>
      <c r="U105" s="649">
        <f t="shared" si="17"/>
        <v>16944000</v>
      </c>
      <c r="V105" s="447" t="s">
        <v>3165</v>
      </c>
      <c r="X105" s="450">
        <f t="shared" si="12"/>
        <v>19644756.980351601</v>
      </c>
      <c r="Y105" s="451" t="e">
        <f t="shared" si="13"/>
        <v>#DIV/0!</v>
      </c>
      <c r="Z105" s="452">
        <f t="shared" si="14"/>
        <v>60756.980351600796</v>
      </c>
      <c r="AA105" s="453">
        <f t="shared" si="15"/>
        <v>3.1023784901756941E-3</v>
      </c>
      <c r="AB105" s="506"/>
      <c r="AC105" s="616"/>
      <c r="AD105" s="506"/>
      <c r="AE105" s="506"/>
      <c r="AF105" s="548">
        <f t="shared" si="21"/>
        <v>-0.01</v>
      </c>
      <c r="AG105" s="548">
        <f t="shared" si="22"/>
        <v>-19584000</v>
      </c>
      <c r="AH105" t="s">
        <v>3522</v>
      </c>
      <c r="AI105" s="619"/>
      <c r="AJ105" s="617" t="s">
        <v>523</v>
      </c>
    </row>
    <row r="106" spans="1:36">
      <c r="A106" s="441" t="s">
        <v>2089</v>
      </c>
      <c r="B106" s="609" t="s">
        <v>3526</v>
      </c>
      <c r="C106" s="469"/>
      <c r="D106" s="469"/>
      <c r="E106" s="443" t="s">
        <v>3527</v>
      </c>
      <c r="F106" s="693">
        <f>55600000*SUM('[2]BP2022 - Distribution mensuelle'!DC8:DC14)</f>
        <v>29690400</v>
      </c>
      <c r="G106" s="444">
        <f>47000000*SUM('[2]BP2022 - Distribution mensuelle'!DC8:DC14)</f>
        <v>25098000</v>
      </c>
      <c r="H106" s="610">
        <v>0.96699999999999997</v>
      </c>
      <c r="I106" s="445">
        <v>0.97</v>
      </c>
      <c r="J106" s="447" t="s">
        <v>3165</v>
      </c>
      <c r="K106" s="461">
        <v>0.97</v>
      </c>
      <c r="L106" s="445">
        <v>0</v>
      </c>
      <c r="M106" s="447">
        <v>0</v>
      </c>
      <c r="N106" s="447">
        <v>0</v>
      </c>
      <c r="O106" s="447">
        <v>1.2E-2</v>
      </c>
      <c r="P106" s="447">
        <v>1.2E-2</v>
      </c>
      <c r="Q106" s="446">
        <v>1.2E-2</v>
      </c>
      <c r="R106" s="445" t="s">
        <v>3165</v>
      </c>
      <c r="S106" s="613">
        <v>0</v>
      </c>
      <c r="T106" s="619">
        <f t="shared" si="16"/>
        <v>29782510.858324714</v>
      </c>
      <c r="U106" s="649">
        <f t="shared" si="17"/>
        <v>25098000</v>
      </c>
      <c r="V106" s="447" t="s">
        <v>3165</v>
      </c>
      <c r="X106" s="450">
        <f t="shared" si="12"/>
        <v>29782510.858324714</v>
      </c>
      <c r="Y106" s="451" t="e">
        <f t="shared" si="13"/>
        <v>#DIV/0!</v>
      </c>
      <c r="Z106" s="452">
        <f t="shared" si="14"/>
        <v>92110.858324714005</v>
      </c>
      <c r="AA106" s="453">
        <f t="shared" si="15"/>
        <v>3.102378490175747E-3</v>
      </c>
      <c r="AB106" s="506"/>
      <c r="AC106" s="616"/>
      <c r="AD106" s="506"/>
      <c r="AE106" s="506"/>
      <c r="AF106" s="548">
        <f t="shared" si="21"/>
        <v>-0.01</v>
      </c>
      <c r="AG106" s="548">
        <f t="shared" si="22"/>
        <v>-29690400</v>
      </c>
      <c r="AH106" t="s">
        <v>3522</v>
      </c>
      <c r="AI106" s="619"/>
      <c r="AJ106" s="617" t="s">
        <v>523</v>
      </c>
    </row>
    <row r="107" spans="1:36" ht="15.75" thickBot="1">
      <c r="A107" s="471" t="s">
        <v>2089</v>
      </c>
      <c r="B107" s="695" t="s">
        <v>3528</v>
      </c>
      <c r="C107" s="472"/>
      <c r="D107" s="472"/>
      <c r="E107" s="473" t="s">
        <v>3529</v>
      </c>
      <c r="F107" s="696">
        <f>48100000*SUM('[2]BP2022 - Distribution mensuelle'!DD13:DD14)</f>
        <v>11111100</v>
      </c>
      <c r="G107" s="474">
        <f>42300000*SUM('[2]BP2022 - Distribution mensuelle'!DD13:DD14)</f>
        <v>9771300</v>
      </c>
      <c r="H107" s="697">
        <v>0.96699999999999997</v>
      </c>
      <c r="I107" s="475">
        <v>0.97</v>
      </c>
      <c r="J107" s="477" t="s">
        <v>3165</v>
      </c>
      <c r="K107" s="698">
        <v>0.97</v>
      </c>
      <c r="L107" s="475">
        <v>0</v>
      </c>
      <c r="M107" s="477">
        <v>0</v>
      </c>
      <c r="N107" s="477">
        <v>0</v>
      </c>
      <c r="O107" s="477">
        <v>0</v>
      </c>
      <c r="P107" s="477">
        <v>0</v>
      </c>
      <c r="Q107" s="476">
        <v>0</v>
      </c>
      <c r="R107" s="475" t="s">
        <v>3165</v>
      </c>
      <c r="S107" s="699">
        <v>0</v>
      </c>
      <c r="T107" s="700">
        <f t="shared" si="16"/>
        <v>11145570.837642191</v>
      </c>
      <c r="U107" s="701">
        <f t="shared" si="17"/>
        <v>9771300</v>
      </c>
      <c r="V107" s="477" t="s">
        <v>3165</v>
      </c>
      <c r="W107" s="702"/>
      <c r="X107" s="703">
        <f t="shared" si="12"/>
        <v>11145570.837642191</v>
      </c>
      <c r="Y107" s="704" t="e">
        <f t="shared" si="13"/>
        <v>#DIV/0!</v>
      </c>
      <c r="Z107" s="705">
        <f t="shared" si="14"/>
        <v>34470.837642190978</v>
      </c>
      <c r="AA107" s="706">
        <f t="shared" si="15"/>
        <v>3.1023784901756781E-3</v>
      </c>
      <c r="AB107" s="707"/>
      <c r="AC107" s="708"/>
      <c r="AD107" s="508"/>
      <c r="AE107" s="508"/>
      <c r="AF107" s="548">
        <f t="shared" si="21"/>
        <v>-0.01</v>
      </c>
      <c r="AG107" s="548">
        <f t="shared" si="22"/>
        <v>-11111100</v>
      </c>
      <c r="AH107" t="s">
        <v>3522</v>
      </c>
      <c r="AI107" s="619"/>
      <c r="AJ107" s="617" t="s">
        <v>523</v>
      </c>
    </row>
    <row r="108" spans="1:36" s="52" customFormat="1">
      <c r="A108" s="431"/>
      <c r="B108" s="431" t="s">
        <v>2739</v>
      </c>
      <c r="C108" s="709">
        <f>SUM(C3:C107)</f>
        <v>2390474762.5150671</v>
      </c>
      <c r="D108" s="709">
        <f>SUM(D3:D107)</f>
        <v>2160221312.7110534</v>
      </c>
      <c r="E108" s="431"/>
      <c r="F108" s="709">
        <f>SUM(F3:F107)</f>
        <v>2404591645.0923162</v>
      </c>
      <c r="G108" s="710"/>
      <c r="H108" s="711"/>
      <c r="I108" s="449" t="s">
        <v>3530</v>
      </c>
      <c r="J108" s="712">
        <f>SUMPRODUCT(J3:J92,$F3:$F92)/SUM($F3:$F92)</f>
        <v>0.96845403289776688</v>
      </c>
      <c r="K108" s="712">
        <f>SUMPRODUCT(K3:K92,$F3:$F92)/SUM($F3:$F92)</f>
        <v>0.97037643002299545</v>
      </c>
      <c r="L108" s="713"/>
      <c r="M108" s="713"/>
      <c r="N108" s="713"/>
      <c r="O108" s="713"/>
      <c r="P108" s="713"/>
      <c r="Q108" s="713"/>
      <c r="R108" s="713"/>
      <c r="S108" s="713"/>
      <c r="T108" s="709">
        <f>SUM(T3:T107)</f>
        <v>2427053151.5738139</v>
      </c>
      <c r="U108" s="709" t="e">
        <f>SUM(U3:U107)</f>
        <v>#VALUE!</v>
      </c>
      <c r="V108" s="713">
        <f>(T108-C108)/C108</f>
        <v>1.5301725679070524E-2</v>
      </c>
      <c r="W108" s="714"/>
      <c r="X108" s="715"/>
      <c r="Y108" s="715"/>
      <c r="Z108" s="716"/>
      <c r="AA108" s="716"/>
      <c r="AB108" s="717"/>
      <c r="AC108" s="717"/>
      <c r="AF108" s="52" t="s">
        <v>3531</v>
      </c>
      <c r="AG108" s="548"/>
      <c r="AI108" s="718"/>
    </row>
    <row r="109" spans="1:36">
      <c r="F109" s="203"/>
      <c r="G109" s="203"/>
      <c r="H109" s="432"/>
      <c r="I109" s="449" t="s">
        <v>3532</v>
      </c>
      <c r="J109" s="449">
        <f>AVERAGE(J3:J92)</f>
        <v>0.96672629886363592</v>
      </c>
      <c r="K109" s="449">
        <f>AVERAGE(K3:K92)</f>
        <v>0.96839675340909037</v>
      </c>
      <c r="AF109" s="52" t="s">
        <v>3533</v>
      </c>
      <c r="AG109" s="548"/>
      <c r="AI109" s="718"/>
    </row>
    <row r="110" spans="1:36">
      <c r="F110" s="203"/>
      <c r="G110" s="203"/>
      <c r="H110" s="432"/>
    </row>
    <row r="111" spans="1:36">
      <c r="C111" s="509"/>
      <c r="F111" s="203"/>
      <c r="G111" s="203"/>
      <c r="H111" s="432"/>
      <c r="P111" s="509"/>
      <c r="Q111" s="509"/>
      <c r="R111" s="509"/>
      <c r="S111" s="509"/>
      <c r="T111" s="509"/>
    </row>
    <row r="112" spans="1:36">
      <c r="C112" s="509"/>
      <c r="F112" s="203"/>
      <c r="G112" s="203"/>
      <c r="H112" s="432"/>
      <c r="P112" s="509"/>
      <c r="Q112" s="509"/>
      <c r="R112" s="509"/>
      <c r="S112" s="509"/>
      <c r="T112" s="509"/>
    </row>
    <row r="113" spans="1:29" ht="15.75" thickBot="1">
      <c r="F113" s="203"/>
      <c r="G113" s="203"/>
      <c r="H113" s="432"/>
      <c r="I113" s="203"/>
      <c r="J113" s="203"/>
      <c r="K113" s="203"/>
      <c r="L113" s="203"/>
      <c r="M113" s="203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3"/>
      <c r="AB113" s="203"/>
      <c r="AC113" s="203"/>
    </row>
    <row r="114" spans="1:29" ht="16.5" customHeight="1">
      <c r="B114" s="761" t="s">
        <v>3534</v>
      </c>
      <c r="T114" s="449"/>
    </row>
    <row r="115" spans="1:29">
      <c r="B115" s="762"/>
    </row>
    <row r="116" spans="1:29">
      <c r="B116" s="762"/>
    </row>
    <row r="117" spans="1:29" s="454" customFormat="1">
      <c r="A117" s="203"/>
      <c r="B117" s="762"/>
      <c r="C117" s="203"/>
      <c r="D117" s="203"/>
      <c r="E117" s="203"/>
      <c r="F117" s="544"/>
      <c r="H117" s="478"/>
      <c r="I117" s="449"/>
      <c r="J117" s="449"/>
      <c r="K117" s="449"/>
      <c r="L117" s="449"/>
      <c r="M117" s="449"/>
      <c r="N117" s="449"/>
      <c r="O117" s="449"/>
      <c r="P117" s="449"/>
      <c r="Q117" s="449"/>
      <c r="R117" s="449"/>
      <c r="S117" s="449"/>
      <c r="T117" s="478"/>
      <c r="U117" s="478"/>
      <c r="W117" s="429"/>
      <c r="X117" s="479"/>
      <c r="Y117" s="479"/>
      <c r="Z117" s="433"/>
      <c r="AA117" s="433"/>
      <c r="AB117" s="459"/>
      <c r="AC117" s="459"/>
    </row>
    <row r="118" spans="1:29" s="454" customFormat="1">
      <c r="A118" s="203"/>
      <c r="B118" s="762"/>
      <c r="C118" s="203"/>
      <c r="D118" s="203"/>
      <c r="E118" s="203"/>
      <c r="H118" s="478"/>
      <c r="I118" s="449"/>
      <c r="J118" s="449"/>
      <c r="K118" s="449"/>
      <c r="L118" s="449"/>
      <c r="M118" s="449"/>
      <c r="N118" s="449"/>
      <c r="O118" s="449"/>
      <c r="P118" s="449"/>
      <c r="Q118" s="449"/>
      <c r="R118" s="449"/>
      <c r="S118" s="449"/>
      <c r="T118" s="478"/>
      <c r="U118" s="478"/>
      <c r="W118" s="429"/>
      <c r="X118" s="479"/>
      <c r="Y118" s="479"/>
      <c r="Z118" s="433"/>
      <c r="AA118" s="433"/>
      <c r="AB118" s="459"/>
      <c r="AC118" s="459"/>
    </row>
    <row r="119" spans="1:29" s="454" customFormat="1">
      <c r="A119" s="203"/>
      <c r="B119" s="762"/>
      <c r="C119" s="203"/>
      <c r="D119" s="203"/>
      <c r="E119" s="203"/>
      <c r="H119" s="478"/>
      <c r="I119" s="449"/>
      <c r="J119" s="449"/>
      <c r="K119" s="449"/>
      <c r="L119" s="449"/>
      <c r="M119" s="449"/>
      <c r="N119" s="449"/>
      <c r="O119" s="449"/>
      <c r="P119" s="449"/>
      <c r="Q119" s="449"/>
      <c r="R119" s="449"/>
      <c r="S119" s="449"/>
      <c r="T119" s="478"/>
      <c r="U119" s="478"/>
      <c r="W119" s="429"/>
      <c r="X119" s="479"/>
      <c r="Y119" s="479"/>
      <c r="Z119" s="433"/>
      <c r="AA119" s="433"/>
      <c r="AB119" s="459"/>
      <c r="AC119" s="459"/>
    </row>
    <row r="120" spans="1:29" s="454" customFormat="1" ht="15.75" thickBot="1">
      <c r="A120" s="203"/>
      <c r="B120" s="763"/>
      <c r="C120" s="203"/>
      <c r="D120" s="203"/>
      <c r="E120" s="203"/>
      <c r="H120" s="478"/>
      <c r="I120" s="449"/>
      <c r="J120" s="449"/>
      <c r="K120" s="449"/>
      <c r="L120" s="449"/>
      <c r="M120" s="449"/>
      <c r="N120" s="449"/>
      <c r="O120" s="449"/>
      <c r="P120" s="449"/>
      <c r="Q120" s="449"/>
      <c r="R120" s="449"/>
      <c r="S120" s="449"/>
      <c r="T120" s="478"/>
      <c r="U120" s="478"/>
      <c r="W120" s="429"/>
      <c r="X120" s="479"/>
      <c r="Y120" s="479"/>
      <c r="Z120" s="433"/>
      <c r="AA120" s="433"/>
      <c r="AB120" s="459"/>
      <c r="AC120" s="459"/>
    </row>
  </sheetData>
  <autoFilter ref="A2:AJ109" xr:uid="{AEB20346-9C7A-439D-BE07-5609E6DA3297}"/>
  <mergeCells count="6">
    <mergeCell ref="X1:AB1"/>
    <mergeCell ref="B114:B120"/>
    <mergeCell ref="F1:G1"/>
    <mergeCell ref="H1:K1"/>
    <mergeCell ref="L1:Q1"/>
    <mergeCell ref="R1:S1"/>
  </mergeCells>
  <pageMargins left="0.7" right="0.7" top="0.75" bottom="0.75" header="0.3" footer="0.3"/>
  <customProperties>
    <customPr name="Longview.RefreshTimestamp" r:id="rId1"/>
  </customPropertie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07EC1-9734-45C0-A19A-C9919C5A5BB9}">
  <sheetPr>
    <tabColor theme="1"/>
  </sheetPr>
  <dimension ref="A1:DF48"/>
  <sheetViews>
    <sheetView tabSelected="1" zoomScale="85" zoomScaleNormal="85" workbookViewId="0">
      <pane xSplit="3" ySplit="1" topLeftCell="CX2" activePane="bottomRight" state="frozen"/>
      <selection activeCell="F69" activeCellId="1" sqref="F99:F102 F69:F70"/>
      <selection pane="topRight" activeCell="F69" activeCellId="1" sqref="F99:F102 F69:F70"/>
      <selection pane="bottomLeft" activeCell="F69" activeCellId="1" sqref="F99:F102 F69:F70"/>
      <selection pane="bottomRight" activeCell="CZ2" sqref="CZ2"/>
    </sheetView>
  </sheetViews>
  <sheetFormatPr baseColWidth="10" defaultColWidth="11.42578125" defaultRowHeight="15"/>
  <cols>
    <col min="2" max="2" width="12" bestFit="1" customWidth="1"/>
    <col min="3" max="3" width="24.28515625" bestFit="1" customWidth="1"/>
    <col min="4" max="4" width="16.28515625" customWidth="1"/>
    <col min="5" max="108" width="18.5703125" customWidth="1"/>
    <col min="110" max="110" width="13.140625" bestFit="1" customWidth="1"/>
  </cols>
  <sheetData>
    <row r="1" spans="3:108">
      <c r="BR1" s="719">
        <v>44593</v>
      </c>
      <c r="BS1" s="719">
        <v>44562</v>
      </c>
      <c r="BX1" s="719">
        <v>44682</v>
      </c>
      <c r="CF1" s="719">
        <v>44743</v>
      </c>
      <c r="CZ1" s="577">
        <v>44531</v>
      </c>
      <c r="DA1" s="577">
        <v>44774</v>
      </c>
      <c r="DB1" s="577">
        <v>44743</v>
      </c>
      <c r="DC1" s="577">
        <v>44713</v>
      </c>
      <c r="DD1" s="577">
        <v>44866</v>
      </c>
    </row>
    <row r="2" spans="3:108" s="206" customFormat="1" ht="45">
      <c r="C2" s="206" t="s">
        <v>3158</v>
      </c>
      <c r="D2" s="206" t="s">
        <v>3159</v>
      </c>
      <c r="E2" s="206" t="s">
        <v>527</v>
      </c>
      <c r="F2" s="206" t="s">
        <v>284</v>
      </c>
      <c r="G2" s="206" t="s">
        <v>285</v>
      </c>
      <c r="H2" s="206" t="s">
        <v>528</v>
      </c>
      <c r="I2" s="206" t="s">
        <v>529</v>
      </c>
      <c r="J2" s="206" t="s">
        <v>530</v>
      </c>
      <c r="K2" s="206" t="s">
        <v>531</v>
      </c>
      <c r="L2" s="206" t="s">
        <v>532</v>
      </c>
      <c r="M2" s="206" t="s">
        <v>841</v>
      </c>
      <c r="N2" s="206" t="s">
        <v>295</v>
      </c>
      <c r="O2" s="206" t="s">
        <v>288</v>
      </c>
      <c r="P2" s="206" t="s">
        <v>289</v>
      </c>
      <c r="Q2" s="206" t="s">
        <v>296</v>
      </c>
      <c r="R2" s="206" t="s">
        <v>347</v>
      </c>
      <c r="S2" s="206" t="s">
        <v>348</v>
      </c>
      <c r="T2" s="206" t="s">
        <v>349</v>
      </c>
      <c r="U2" s="206" t="s">
        <v>297</v>
      </c>
      <c r="V2" s="206" t="s">
        <v>533</v>
      </c>
      <c r="W2" s="206" t="s">
        <v>534</v>
      </c>
      <c r="X2" s="206" t="s">
        <v>535</v>
      </c>
      <c r="Y2" s="206" t="s">
        <v>536</v>
      </c>
      <c r="Z2" s="206" t="s">
        <v>537</v>
      </c>
      <c r="AA2" s="206" t="s">
        <v>538</v>
      </c>
      <c r="AB2" s="206" t="s">
        <v>539</v>
      </c>
      <c r="AC2" s="206" t="s">
        <v>540</v>
      </c>
      <c r="AD2" s="206" t="s">
        <v>541</v>
      </c>
      <c r="AE2" s="206" t="s">
        <v>542</v>
      </c>
      <c r="AF2" s="206" t="s">
        <v>543</v>
      </c>
      <c r="AG2" s="206" t="s">
        <v>544</v>
      </c>
      <c r="AH2" s="206" t="s">
        <v>545</v>
      </c>
      <c r="AI2" s="206" t="s">
        <v>546</v>
      </c>
      <c r="AJ2" s="206" t="s">
        <v>547</v>
      </c>
      <c r="AK2" s="206" t="s">
        <v>548</v>
      </c>
      <c r="AL2" s="206" t="s">
        <v>280</v>
      </c>
      <c r="AM2" s="206" t="s">
        <v>343</v>
      </c>
      <c r="AN2" s="206" t="s">
        <v>549</v>
      </c>
      <c r="AO2" s="206" t="s">
        <v>550</v>
      </c>
      <c r="AP2" s="206" t="s">
        <v>551</v>
      </c>
      <c r="AQ2" s="206" t="s">
        <v>552</v>
      </c>
      <c r="AR2" s="206" t="s">
        <v>304</v>
      </c>
      <c r="AS2" s="206" t="s">
        <v>350</v>
      </c>
      <c r="AT2" s="206" t="s">
        <v>351</v>
      </c>
      <c r="AU2" s="206" t="s">
        <v>352</v>
      </c>
      <c r="AV2" s="206" t="s">
        <v>305</v>
      </c>
      <c r="AW2" s="206" t="s">
        <v>355</v>
      </c>
      <c r="AX2" s="206" t="s">
        <v>356</v>
      </c>
      <c r="AY2" s="206" t="s">
        <v>357</v>
      </c>
      <c r="AZ2" s="206" t="s">
        <v>553</v>
      </c>
      <c r="BA2" s="206" t="s">
        <v>554</v>
      </c>
      <c r="BB2" s="206" t="s">
        <v>555</v>
      </c>
      <c r="BC2" s="206" t="s">
        <v>307</v>
      </c>
      <c r="BD2" s="206" t="s">
        <v>215</v>
      </c>
      <c r="BE2" s="206" t="s">
        <v>556</v>
      </c>
      <c r="BF2" s="206" t="s">
        <v>557</v>
      </c>
      <c r="BG2" s="206" t="s">
        <v>558</v>
      </c>
      <c r="BH2" s="206" t="s">
        <v>559</v>
      </c>
      <c r="BI2" s="206" t="s">
        <v>560</v>
      </c>
      <c r="BJ2" s="206" t="s">
        <v>561</v>
      </c>
      <c r="BK2" s="206" t="s">
        <v>562</v>
      </c>
      <c r="BL2" s="206" t="s">
        <v>563</v>
      </c>
      <c r="BM2" s="206" t="s">
        <v>564</v>
      </c>
      <c r="BN2" s="206" t="s">
        <v>565</v>
      </c>
      <c r="BO2" s="206" t="s">
        <v>566</v>
      </c>
      <c r="BP2" s="206" t="s">
        <v>567</v>
      </c>
      <c r="BQ2" s="206" t="s">
        <v>568</v>
      </c>
      <c r="BR2" s="206" t="s">
        <v>483</v>
      </c>
      <c r="BS2" s="206" t="s">
        <v>484</v>
      </c>
      <c r="BT2" s="206" t="s">
        <v>485</v>
      </c>
      <c r="BU2" s="206" t="s">
        <v>486</v>
      </c>
      <c r="BV2" s="206" t="s">
        <v>569</v>
      </c>
      <c r="BW2" s="206" t="s">
        <v>570</v>
      </c>
      <c r="BX2" s="206" t="s">
        <v>488</v>
      </c>
      <c r="BY2" s="206" t="s">
        <v>489</v>
      </c>
      <c r="BZ2" s="206" t="s">
        <v>490</v>
      </c>
      <c r="CA2" s="206" t="s">
        <v>491</v>
      </c>
      <c r="CB2" s="206" t="s">
        <v>492</v>
      </c>
      <c r="CC2" s="206" t="s">
        <v>493</v>
      </c>
      <c r="CD2" s="206" t="s">
        <v>494</v>
      </c>
      <c r="CE2" s="206" t="s">
        <v>495</v>
      </c>
      <c r="CF2" s="206" t="s">
        <v>496</v>
      </c>
      <c r="CG2" s="206" t="s">
        <v>497</v>
      </c>
      <c r="CH2" s="206" t="s">
        <v>3160</v>
      </c>
      <c r="CI2" s="206" t="s">
        <v>818</v>
      </c>
      <c r="CJ2" s="206" t="s">
        <v>819</v>
      </c>
      <c r="CK2" s="206" t="s">
        <v>821</v>
      </c>
      <c r="CL2" s="206" t="s">
        <v>837</v>
      </c>
      <c r="CM2" s="206" t="s">
        <v>838</v>
      </c>
      <c r="CN2" s="206" t="s">
        <v>839</v>
      </c>
      <c r="CO2" s="206" t="s">
        <v>840</v>
      </c>
      <c r="CP2" s="720" t="s">
        <v>842</v>
      </c>
      <c r="CQ2" s="720" t="s">
        <v>834</v>
      </c>
      <c r="CR2" s="206" t="s">
        <v>2650</v>
      </c>
      <c r="CS2" s="206" t="s">
        <v>3029</v>
      </c>
      <c r="CT2" s="206" t="s">
        <v>3161</v>
      </c>
      <c r="CU2" s="206" t="s">
        <v>3030</v>
      </c>
      <c r="CV2" s="206" t="s">
        <v>3162</v>
      </c>
      <c r="CW2" s="720" t="s">
        <v>3163</v>
      </c>
      <c r="CX2" s="720" t="s">
        <v>3142</v>
      </c>
      <c r="CY2" s="206" t="s">
        <v>3143</v>
      </c>
      <c r="CZ2" s="206" t="s">
        <v>3520</v>
      </c>
      <c r="DA2" s="206" t="s">
        <v>3523</v>
      </c>
      <c r="DB2" s="206" t="s">
        <v>3525</v>
      </c>
      <c r="DC2" s="206" t="s">
        <v>3526</v>
      </c>
      <c r="DD2" s="206" t="s">
        <v>3528</v>
      </c>
    </row>
    <row r="3" spans="3:108">
      <c r="C3" s="52" t="s">
        <v>3164</v>
      </c>
      <c r="D3" s="415">
        <f>((D18-D$30)/D$30*D$31+1)*$B$18/SUM($B$18:$B$29)</f>
        <v>9.9091146332417557E-2</v>
      </c>
      <c r="E3" s="415">
        <f t="shared" ref="E3:H3" si="0">((E18-E$30)/E$30*E$31+1)*$B$18/SUM($B$18:$B$29)</f>
        <v>9.9091146332417557E-2</v>
      </c>
      <c r="F3" s="415">
        <f t="shared" si="0"/>
        <v>0.13345107673695134</v>
      </c>
      <c r="G3" s="415">
        <f t="shared" si="0"/>
        <v>0.13244948256939298</v>
      </c>
      <c r="H3" s="415">
        <f t="shared" si="0"/>
        <v>0.11698000324119512</v>
      </c>
      <c r="I3" s="415">
        <f t="shared" ref="I3:BT3" si="1">((I18-I$30)/I$30*I$31+1)*$B$18/SUM($B$18:$B$29)</f>
        <v>0.11698000324119512</v>
      </c>
      <c r="J3" s="415">
        <f t="shared" si="1"/>
        <v>0.11698000324119512</v>
      </c>
      <c r="K3" s="415">
        <f t="shared" si="1"/>
        <v>0.11698000324119512</v>
      </c>
      <c r="L3" s="415">
        <f t="shared" si="1"/>
        <v>0.11012116383758098</v>
      </c>
      <c r="M3" s="415">
        <f t="shared" si="1"/>
        <v>0.11012116383758098</v>
      </c>
      <c r="N3" s="415">
        <f t="shared" si="1"/>
        <v>0.11198605737550324</v>
      </c>
      <c r="O3" s="415">
        <f t="shared" si="1"/>
        <v>0.12173647592374194</v>
      </c>
      <c r="P3" s="415">
        <f t="shared" si="1"/>
        <v>0.10213549063627551</v>
      </c>
      <c r="Q3" s="415">
        <f t="shared" si="1"/>
        <v>0.13008864501978948</v>
      </c>
      <c r="R3" s="415">
        <f t="shared" si="1"/>
        <v>0.12454124316363419</v>
      </c>
      <c r="S3" s="415">
        <f t="shared" si="1"/>
        <v>0.12454124316363419</v>
      </c>
      <c r="T3" s="415">
        <f t="shared" si="1"/>
        <v>0.12454124316363419</v>
      </c>
      <c r="U3" s="415">
        <f t="shared" si="1"/>
        <v>0.1172870373807689</v>
      </c>
      <c r="V3" s="415">
        <f t="shared" si="1"/>
        <v>0.11944949454859073</v>
      </c>
      <c r="W3" s="415">
        <f t="shared" si="1"/>
        <v>0.11944949454859073</v>
      </c>
      <c r="X3" s="415">
        <f t="shared" si="1"/>
        <v>0.11944949454859073</v>
      </c>
      <c r="Y3" s="415">
        <f t="shared" si="1"/>
        <v>0.11944949454859073</v>
      </c>
      <c r="Z3" s="415">
        <f t="shared" si="1"/>
        <v>0.12449564703250651</v>
      </c>
      <c r="AA3" s="415">
        <f t="shared" si="1"/>
        <v>0.1169966662253641</v>
      </c>
      <c r="AB3" s="415">
        <f t="shared" si="1"/>
        <v>0.1169966662253641</v>
      </c>
      <c r="AC3" s="415">
        <f t="shared" si="1"/>
        <v>0.1169966662253641</v>
      </c>
      <c r="AD3" s="415">
        <f t="shared" si="1"/>
        <v>0.1169966662253641</v>
      </c>
      <c r="AE3" s="415">
        <f t="shared" si="1"/>
        <v>0.12329751670039017</v>
      </c>
      <c r="AF3" s="415">
        <f t="shared" si="1"/>
        <v>0.12329751670039017</v>
      </c>
      <c r="AG3" s="415">
        <f t="shared" si="1"/>
        <v>0.12067123389621624</v>
      </c>
      <c r="AH3" s="415">
        <f t="shared" si="1"/>
        <v>0.12067123389621624</v>
      </c>
      <c r="AI3" s="415">
        <f t="shared" si="1"/>
        <v>0.10170613057982641</v>
      </c>
      <c r="AJ3" s="415">
        <f t="shared" si="1"/>
        <v>0.13389671127898606</v>
      </c>
      <c r="AK3" s="415">
        <f t="shared" si="1"/>
        <v>0.12690032374778434</v>
      </c>
      <c r="AL3" s="415">
        <f t="shared" si="1"/>
        <v>0.1217305758087527</v>
      </c>
      <c r="AM3" s="415">
        <f t="shared" si="1"/>
        <v>0.11971455131915285</v>
      </c>
      <c r="AN3" s="415">
        <f t="shared" si="1"/>
        <v>0.11971455131915285</v>
      </c>
      <c r="AO3" s="415">
        <f t="shared" si="1"/>
        <v>0.11898842960977334</v>
      </c>
      <c r="AP3" s="415">
        <f t="shared" si="1"/>
        <v>0.11898842960977334</v>
      </c>
      <c r="AQ3" s="415">
        <f t="shared" si="1"/>
        <v>0.11898842960977334</v>
      </c>
      <c r="AR3" s="415">
        <f t="shared" si="1"/>
        <v>0.10404364126786006</v>
      </c>
      <c r="AS3" s="415">
        <f t="shared" si="1"/>
        <v>0.11724499098530672</v>
      </c>
      <c r="AT3" s="415">
        <f t="shared" si="1"/>
        <v>0.11724499098530672</v>
      </c>
      <c r="AU3" s="415">
        <f t="shared" si="1"/>
        <v>0.11724499098530672</v>
      </c>
      <c r="AV3" s="415">
        <f t="shared" si="1"/>
        <v>0.11930113531569352</v>
      </c>
      <c r="AW3" s="415">
        <f t="shared" si="1"/>
        <v>0.12255342589016294</v>
      </c>
      <c r="AX3" s="415">
        <f t="shared" si="1"/>
        <v>0.12255342589016294</v>
      </c>
      <c r="AY3" s="415">
        <f t="shared" si="1"/>
        <v>0.12255342589016294</v>
      </c>
      <c r="AZ3" s="415">
        <f t="shared" si="1"/>
        <v>0.11040506281724705</v>
      </c>
      <c r="BA3" s="415">
        <f t="shared" si="1"/>
        <v>0.11040506281724705</v>
      </c>
      <c r="BB3" s="415">
        <f t="shared" si="1"/>
        <v>0.11966860723307968</v>
      </c>
      <c r="BC3" s="415">
        <f t="shared" si="1"/>
        <v>0.11928637769019849</v>
      </c>
      <c r="BD3" s="415">
        <f t="shared" si="1"/>
        <v>0.13056037726302303</v>
      </c>
      <c r="BE3" s="415">
        <f t="shared" si="1"/>
        <v>0.11635956591696528</v>
      </c>
      <c r="BF3" s="415">
        <f t="shared" si="1"/>
        <v>0.11635956591696528</v>
      </c>
      <c r="BG3" s="415">
        <f t="shared" si="1"/>
        <v>0.11099302479278085</v>
      </c>
      <c r="BH3" s="415">
        <f t="shared" si="1"/>
        <v>0.12041356397380823</v>
      </c>
      <c r="BI3" s="415">
        <f t="shared" si="1"/>
        <v>0.12041356397380823</v>
      </c>
      <c r="BJ3" s="415">
        <f t="shared" si="1"/>
        <v>0.11489899083468355</v>
      </c>
      <c r="BK3" s="415">
        <f t="shared" si="1"/>
        <v>0.11489899083468355</v>
      </c>
      <c r="BL3" s="415">
        <f t="shared" si="1"/>
        <v>0.11791840927110182</v>
      </c>
      <c r="BM3" s="415">
        <f t="shared" si="1"/>
        <v>0.1184672014332209</v>
      </c>
      <c r="BN3" s="415">
        <f t="shared" si="1"/>
        <v>0.11531342052991835</v>
      </c>
      <c r="BO3" s="415">
        <f t="shared" si="1"/>
        <v>0.10890902447401696</v>
      </c>
      <c r="BP3" s="415">
        <f t="shared" si="1"/>
        <v>0.12033052412210961</v>
      </c>
      <c r="BQ3" s="415">
        <f t="shared" si="1"/>
        <v>0.12033052412210961</v>
      </c>
      <c r="BR3" s="415">
        <f t="shared" si="1"/>
        <v>0.11525324368783715</v>
      </c>
      <c r="BS3" s="415">
        <f t="shared" si="1"/>
        <v>0.11499771460541466</v>
      </c>
      <c r="BT3" s="415">
        <f t="shared" si="1"/>
        <v>0.12316185099967983</v>
      </c>
      <c r="BU3" s="415">
        <f t="shared" ref="BU3:CV3" si="2">((BU18-BU$30)/BU$30*BU$31+1)*$B$18/SUM($B$18:$B$29)</f>
        <v>0.12562810061166149</v>
      </c>
      <c r="BV3" s="415">
        <f t="shared" si="2"/>
        <v>0.12131774513605761</v>
      </c>
      <c r="BW3" s="415">
        <f t="shared" si="2"/>
        <v>0.12131774513605761</v>
      </c>
      <c r="BX3" s="415">
        <f t="shared" si="2"/>
        <v>0.12357791977010436</v>
      </c>
      <c r="BY3" s="415">
        <f t="shared" si="2"/>
        <v>0.11797333178043679</v>
      </c>
      <c r="BZ3" s="415">
        <f t="shared" si="2"/>
        <v>0.10297583837481497</v>
      </c>
      <c r="CA3" s="415">
        <f t="shared" si="2"/>
        <v>0.1112006767266195</v>
      </c>
      <c r="CB3" s="415">
        <f t="shared" si="2"/>
        <v>0.11742038834974501</v>
      </c>
      <c r="CC3" s="415">
        <f t="shared" si="2"/>
        <v>0.10842432497235846</v>
      </c>
      <c r="CD3" s="415">
        <f t="shared" si="2"/>
        <v>0.11706304455871071</v>
      </c>
      <c r="CE3" s="415">
        <f t="shared" si="2"/>
        <v>0.11183898371981811</v>
      </c>
      <c r="CF3" s="415">
        <f t="shared" si="2"/>
        <v>0.11346199364373562</v>
      </c>
      <c r="CG3" s="415">
        <f t="shared" si="2"/>
        <v>0.11410445610411707</v>
      </c>
      <c r="CH3" s="415">
        <f t="shared" si="2"/>
        <v>0.11387884066695116</v>
      </c>
      <c r="CI3" s="415">
        <f t="shared" si="2"/>
        <v>0.11268026306911628</v>
      </c>
      <c r="CJ3" s="415">
        <f t="shared" si="2"/>
        <v>0.11226073286692009</v>
      </c>
      <c r="CK3" s="415">
        <f t="shared" si="2"/>
        <v>0.11644987756364346</v>
      </c>
      <c r="CL3" s="415">
        <f t="shared" si="2"/>
        <v>0.1195453028255587</v>
      </c>
      <c r="CM3" s="415">
        <f t="shared" si="2"/>
        <v>0.1195453028255587</v>
      </c>
      <c r="CN3" s="415">
        <f t="shared" si="2"/>
        <v>0.11040506281724705</v>
      </c>
      <c r="CO3" s="415">
        <f t="shared" si="2"/>
        <v>0.11040506281724705</v>
      </c>
      <c r="CP3" s="415">
        <v>5.5696136146110575E-2</v>
      </c>
      <c r="CQ3" s="415">
        <v>4.261023045157853E-2</v>
      </c>
      <c r="CR3" s="415" t="s">
        <v>3165</v>
      </c>
      <c r="CS3" s="415">
        <f t="shared" si="2"/>
        <v>0.10969080379036815</v>
      </c>
      <c r="CT3" s="415">
        <f t="shared" si="2"/>
        <v>0.11102100489828549</v>
      </c>
      <c r="CU3" s="415">
        <f t="shared" si="2"/>
        <v>0.11720525984515456</v>
      </c>
      <c r="CV3" s="415">
        <f t="shared" si="2"/>
        <v>0.11280751134757566</v>
      </c>
      <c r="CW3" s="721">
        <v>2.836E-2</v>
      </c>
      <c r="CX3" s="721">
        <v>4.2369999999999998E-2</v>
      </c>
      <c r="CY3" s="415">
        <f t="shared" ref="CY3" si="3">((CY18-CY$30)/CY$30*CY$31+1)*$B$18/SUM($B$18:$B$29)</f>
        <v>0.11503689179430239</v>
      </c>
      <c r="CZ3" s="415">
        <f>((CZ18-CZ$30)/CZ$30*CZ$31+1)*$B$18/SUM($B$18:$B$29)</f>
        <v>0.1104417790443155</v>
      </c>
      <c r="DA3" s="415">
        <v>0.11600000000000001</v>
      </c>
      <c r="DB3" s="416">
        <v>0.11600000000000001</v>
      </c>
      <c r="DC3" s="415">
        <v>0.11600000000000001</v>
      </c>
      <c r="DD3" s="415">
        <v>0.126</v>
      </c>
    </row>
    <row r="4" spans="3:108">
      <c r="C4" s="52" t="s">
        <v>3166</v>
      </c>
      <c r="D4" s="415">
        <f>((D19-D$30)/D$30*D$31+1)*$B$19/SUM($B$18:$B$29)</f>
        <v>9.1334107654201857E-2</v>
      </c>
      <c r="E4" s="415">
        <f t="shared" ref="E4:BP4" si="4">((E19-E$30)/E$30*E$31+1)*$B$19/SUM($B$18:$B$29)</f>
        <v>9.1334107654201857E-2</v>
      </c>
      <c r="F4" s="415">
        <f t="shared" si="4"/>
        <v>0.10497472084552976</v>
      </c>
      <c r="G4" s="415">
        <f t="shared" si="4"/>
        <v>0.10413734940319484</v>
      </c>
      <c r="H4" s="415">
        <f t="shared" si="4"/>
        <v>0.10144003327880506</v>
      </c>
      <c r="I4" s="415">
        <f t="shared" si="4"/>
        <v>0.10144003327880506</v>
      </c>
      <c r="J4" s="415">
        <f t="shared" si="4"/>
        <v>0.10144003327880506</v>
      </c>
      <c r="K4" s="415">
        <f t="shared" si="4"/>
        <v>0.10144003327880506</v>
      </c>
      <c r="L4" s="415">
        <f t="shared" si="4"/>
        <v>9.8618006241504227E-2</v>
      </c>
      <c r="M4" s="415">
        <f t="shared" si="4"/>
        <v>9.8618006241504227E-2</v>
      </c>
      <c r="N4" s="415">
        <f t="shared" si="4"/>
        <v>0.10018936067085249</v>
      </c>
      <c r="O4" s="415">
        <f t="shared" si="4"/>
        <v>0.10079069782794292</v>
      </c>
      <c r="P4" s="415">
        <f t="shared" si="4"/>
        <v>9.2876202551516795E-2</v>
      </c>
      <c r="Q4" s="415">
        <f t="shared" si="4"/>
        <v>0.10290279473949007</v>
      </c>
      <c r="R4" s="415">
        <f t="shared" si="4"/>
        <v>0.10183364816393085</v>
      </c>
      <c r="S4" s="415">
        <f t="shared" si="4"/>
        <v>0.10183364816393085</v>
      </c>
      <c r="T4" s="415">
        <f t="shared" si="4"/>
        <v>0.10183364816393085</v>
      </c>
      <c r="U4" s="415">
        <f t="shared" si="4"/>
        <v>9.9779915943206565E-2</v>
      </c>
      <c r="V4" s="415">
        <f t="shared" si="4"/>
        <v>9.7447505132556719E-2</v>
      </c>
      <c r="W4" s="415">
        <f t="shared" si="4"/>
        <v>9.7447505132556719E-2</v>
      </c>
      <c r="X4" s="415">
        <f t="shared" si="4"/>
        <v>9.7447505132556719E-2</v>
      </c>
      <c r="Y4" s="415">
        <f t="shared" si="4"/>
        <v>9.7447505132556719E-2</v>
      </c>
      <c r="Z4" s="415">
        <f t="shared" si="4"/>
        <v>9.9690524802720754E-2</v>
      </c>
      <c r="AA4" s="415">
        <f t="shared" si="4"/>
        <v>9.9828953944531895E-2</v>
      </c>
      <c r="AB4" s="415">
        <f t="shared" si="4"/>
        <v>9.9828953944531895E-2</v>
      </c>
      <c r="AC4" s="415">
        <f t="shared" si="4"/>
        <v>9.9828953944531895E-2</v>
      </c>
      <c r="AD4" s="415">
        <f t="shared" si="4"/>
        <v>9.9828953944531895E-2</v>
      </c>
      <c r="AE4" s="415">
        <f t="shared" si="4"/>
        <v>9.9272203797246245E-2</v>
      </c>
      <c r="AF4" s="415">
        <f t="shared" si="4"/>
        <v>9.9272203797246245E-2</v>
      </c>
      <c r="AG4" s="415">
        <f t="shared" si="4"/>
        <v>9.9377895832002905E-2</v>
      </c>
      <c r="AH4" s="415">
        <f t="shared" si="4"/>
        <v>9.9377895832002905E-2</v>
      </c>
      <c r="AI4" s="415">
        <f t="shared" si="4"/>
        <v>9.4157583810123804E-2</v>
      </c>
      <c r="AJ4" s="415">
        <f t="shared" si="4"/>
        <v>0.10808291256424536</v>
      </c>
      <c r="AK4" s="415">
        <f t="shared" si="4"/>
        <v>0.10456028365957537</v>
      </c>
      <c r="AL4" s="415">
        <f t="shared" si="4"/>
        <v>9.9557666858361357E-2</v>
      </c>
      <c r="AM4" s="415">
        <f t="shared" si="4"/>
        <v>0.10144716273553056</v>
      </c>
      <c r="AN4" s="415">
        <f t="shared" si="4"/>
        <v>0.10144716273553056</v>
      </c>
      <c r="AO4" s="415">
        <f t="shared" si="4"/>
        <v>9.7944764849854177E-2</v>
      </c>
      <c r="AP4" s="415">
        <f t="shared" si="4"/>
        <v>9.7944764849854177E-2</v>
      </c>
      <c r="AQ4" s="415">
        <f t="shared" si="4"/>
        <v>9.7944764849854177E-2</v>
      </c>
      <c r="AR4" s="415">
        <f t="shared" si="4"/>
        <v>9.2659613365468838E-2</v>
      </c>
      <c r="AS4" s="415">
        <f t="shared" si="4"/>
        <v>9.8827041821481776E-2</v>
      </c>
      <c r="AT4" s="415">
        <f t="shared" si="4"/>
        <v>9.8827041821481776E-2</v>
      </c>
      <c r="AU4" s="415">
        <f t="shared" si="4"/>
        <v>9.8827041821481776E-2</v>
      </c>
      <c r="AV4" s="415">
        <f t="shared" si="4"/>
        <v>9.9171129872175384E-2</v>
      </c>
      <c r="AW4" s="415">
        <f t="shared" si="4"/>
        <v>0.10549979358729293</v>
      </c>
      <c r="AX4" s="415">
        <f t="shared" si="4"/>
        <v>0.10549979358729293</v>
      </c>
      <c r="AY4" s="415">
        <f t="shared" si="4"/>
        <v>0.10549979358729293</v>
      </c>
      <c r="AZ4" s="415">
        <f t="shared" si="4"/>
        <v>9.8273547633745018E-2</v>
      </c>
      <c r="BA4" s="415">
        <f t="shared" si="4"/>
        <v>9.8273547633745018E-2</v>
      </c>
      <c r="BB4" s="415">
        <f t="shared" si="4"/>
        <v>9.9178075980709449E-2</v>
      </c>
      <c r="BC4" s="415">
        <f t="shared" si="4"/>
        <v>9.8124681706739519E-2</v>
      </c>
      <c r="BD4" s="415">
        <f t="shared" si="4"/>
        <v>0.10467262104030484</v>
      </c>
      <c r="BE4" s="415">
        <f t="shared" si="4"/>
        <v>9.9455376971890816E-2</v>
      </c>
      <c r="BF4" s="415">
        <f t="shared" si="4"/>
        <v>9.9455376971890816E-2</v>
      </c>
      <c r="BG4" s="415">
        <f t="shared" si="4"/>
        <v>9.3444236773110187E-2</v>
      </c>
      <c r="BH4" s="415">
        <f t="shared" si="4"/>
        <v>9.775527236655196E-2</v>
      </c>
      <c r="BI4" s="415">
        <f t="shared" si="4"/>
        <v>9.775527236655196E-2</v>
      </c>
      <c r="BJ4" s="415">
        <f t="shared" si="4"/>
        <v>9.486679368199824E-2</v>
      </c>
      <c r="BK4" s="415">
        <f t="shared" si="4"/>
        <v>9.486679368199824E-2</v>
      </c>
      <c r="BL4" s="415">
        <f t="shared" si="4"/>
        <v>9.5851251672238263E-2</v>
      </c>
      <c r="BM4" s="415">
        <f t="shared" si="4"/>
        <v>9.7018375109243438E-2</v>
      </c>
      <c r="BN4" s="415">
        <f t="shared" si="4"/>
        <v>9.5448931919662999E-2</v>
      </c>
      <c r="BO4" s="415">
        <f t="shared" si="4"/>
        <v>9.7819110341165805E-2</v>
      </c>
      <c r="BP4" s="415">
        <f t="shared" si="4"/>
        <v>9.8012562880188142E-2</v>
      </c>
      <c r="BQ4" s="415">
        <f t="shared" ref="BQ4:CV4" si="5">((BQ19-BQ$30)/BQ$30*BQ$31+1)*$B$19/SUM($B$18:$B$29)</f>
        <v>9.8012562880188142E-2</v>
      </c>
      <c r="BR4" s="415">
        <f t="shared" si="5"/>
        <v>9.8306397186680744E-2</v>
      </c>
      <c r="BS4" s="415">
        <f t="shared" si="5"/>
        <v>9.8237538757186604E-2</v>
      </c>
      <c r="BT4" s="415">
        <f t="shared" si="5"/>
        <v>0.10152535982972216</v>
      </c>
      <c r="BU4" s="415">
        <f t="shared" si="5"/>
        <v>0.10221710661915223</v>
      </c>
      <c r="BV4" s="415">
        <f t="shared" si="5"/>
        <v>9.895646874331003E-2</v>
      </c>
      <c r="BW4" s="415">
        <f t="shared" si="5"/>
        <v>9.895646874331003E-2</v>
      </c>
      <c r="BX4" s="415">
        <f t="shared" si="5"/>
        <v>0.10054380961059237</v>
      </c>
      <c r="BY4" s="415">
        <f t="shared" si="5"/>
        <v>9.8303243857378667E-2</v>
      </c>
      <c r="BZ4" s="415">
        <f t="shared" si="5"/>
        <v>9.6663718510206179E-2</v>
      </c>
      <c r="CA4" s="415">
        <f t="shared" si="5"/>
        <v>9.5472018291414024E-2</v>
      </c>
      <c r="CB4" s="415">
        <f t="shared" si="5"/>
        <v>9.8151150289542563E-2</v>
      </c>
      <c r="CC4" s="415">
        <f t="shared" si="5"/>
        <v>9.4807489850496168E-2</v>
      </c>
      <c r="CD4" s="415">
        <f t="shared" si="5"/>
        <v>9.7378993305087633E-2</v>
      </c>
      <c r="CE4" s="415">
        <f t="shared" si="5"/>
        <v>9.4274903787808742E-2</v>
      </c>
      <c r="CF4" s="415">
        <f t="shared" si="5"/>
        <v>0.10351769642523521</v>
      </c>
      <c r="CG4" s="415">
        <f t="shared" si="5"/>
        <v>9.5769680771860863E-2</v>
      </c>
      <c r="CH4" s="415">
        <f t="shared" si="5"/>
        <v>9.59568186240701E-2</v>
      </c>
      <c r="CI4" s="415">
        <f t="shared" si="5"/>
        <v>9.4025478486316871E-2</v>
      </c>
      <c r="CJ4" s="415">
        <f t="shared" si="5"/>
        <v>9.3071848520346681E-2</v>
      </c>
      <c r="CK4" s="415">
        <f t="shared" si="5"/>
        <v>9.560887525725062E-2</v>
      </c>
      <c r="CL4" s="415">
        <f t="shared" si="5"/>
        <v>9.7454737234466002E-2</v>
      </c>
      <c r="CM4" s="415">
        <f t="shared" si="5"/>
        <v>9.7454737234466002E-2</v>
      </c>
      <c r="CN4" s="415">
        <f t="shared" si="5"/>
        <v>9.8273547633745018E-2</v>
      </c>
      <c r="CO4" s="415">
        <f t="shared" si="5"/>
        <v>9.8273547633745018E-2</v>
      </c>
      <c r="CP4" s="415">
        <v>6.3103932031833856E-2</v>
      </c>
      <c r="CQ4" s="415">
        <v>5.6996802983881718E-2</v>
      </c>
      <c r="CR4" s="415" t="s">
        <v>3165</v>
      </c>
      <c r="CS4" s="415">
        <f t="shared" si="5"/>
        <v>9.8255385988577706E-2</v>
      </c>
      <c r="CT4" s="415">
        <f t="shared" si="5"/>
        <v>9.3615388684785944E-2</v>
      </c>
      <c r="CU4" s="415">
        <f t="shared" si="5"/>
        <v>9.6513618543531479E-2</v>
      </c>
      <c r="CV4" s="415">
        <f t="shared" si="5"/>
        <v>9.2994377507510467E-2</v>
      </c>
      <c r="CW4" s="721">
        <v>4.5260000000000002E-2</v>
      </c>
      <c r="CX4" s="721">
        <v>5.8560000000000001E-2</v>
      </c>
      <c r="CY4" s="415">
        <f t="shared" ref="CY4" si="6">((CY19-CY$30)/CY$30*CY$31+1)*$B$19/SUM($B$18:$B$29)</f>
        <v>0.10173897636763184</v>
      </c>
      <c r="CZ4" s="415">
        <f>((CZ19-CZ$30)/CZ$30*CZ$31+1)*$B$19/SUM($B$18:$B$29)</f>
        <v>9.7107689897452346E-2</v>
      </c>
      <c r="DA4" s="415">
        <v>0.104</v>
      </c>
      <c r="DB4" s="416">
        <v>0.104</v>
      </c>
      <c r="DC4" s="415">
        <v>0.104</v>
      </c>
      <c r="DD4" s="415">
        <v>0.112</v>
      </c>
    </row>
    <row r="5" spans="3:108">
      <c r="C5" s="52" t="s">
        <v>3167</v>
      </c>
      <c r="D5" s="415">
        <f>((D20-D$30)/D$30*D$31+1)*$B$20/SUM($B$18:$B$29)</f>
        <v>0.10236957365123119</v>
      </c>
      <c r="E5" s="415">
        <f t="shared" ref="E5:BP5" si="7">((E20-E$30)/E$30*E$31+1)*$B$20/SUM($B$18:$B$29)</f>
        <v>0.10236957365123119</v>
      </c>
      <c r="F5" s="415">
        <f t="shared" si="7"/>
        <v>9.5629735216937226E-2</v>
      </c>
      <c r="G5" s="415">
        <f t="shared" si="7"/>
        <v>9.5103861202950099E-2</v>
      </c>
      <c r="H5" s="415">
        <f t="shared" si="7"/>
        <v>0.10197467640815142</v>
      </c>
      <c r="I5" s="415">
        <f t="shared" si="7"/>
        <v>0.10197467640815142</v>
      </c>
      <c r="J5" s="415">
        <f t="shared" si="7"/>
        <v>0.10197467640815142</v>
      </c>
      <c r="K5" s="415">
        <f t="shared" si="7"/>
        <v>0.10197467640815142</v>
      </c>
      <c r="L5" s="415">
        <f t="shared" si="7"/>
        <v>9.7075766433405861E-2</v>
      </c>
      <c r="M5" s="415">
        <f t="shared" si="7"/>
        <v>9.7075766433405861E-2</v>
      </c>
      <c r="N5" s="415">
        <f t="shared" si="7"/>
        <v>9.7977079481246995E-2</v>
      </c>
      <c r="O5" s="415">
        <f t="shared" si="7"/>
        <v>9.3172807652354653E-2</v>
      </c>
      <c r="P5" s="415">
        <f t="shared" si="7"/>
        <v>9.5224499711351121E-2</v>
      </c>
      <c r="Q5" s="415">
        <f t="shared" si="7"/>
        <v>9.4418615794602562E-2</v>
      </c>
      <c r="R5" s="415">
        <f t="shared" si="7"/>
        <v>9.5697310309500419E-2</v>
      </c>
      <c r="S5" s="415">
        <f t="shared" si="7"/>
        <v>9.5697310309500419E-2</v>
      </c>
      <c r="T5" s="415">
        <f t="shared" si="7"/>
        <v>9.5697310309500419E-2</v>
      </c>
      <c r="U5" s="415">
        <f t="shared" si="7"/>
        <v>9.5660085228524039E-2</v>
      </c>
      <c r="V5" s="415">
        <f t="shared" si="7"/>
        <v>9.2316704906836342E-2</v>
      </c>
      <c r="W5" s="415">
        <f t="shared" si="7"/>
        <v>9.2316704906836342E-2</v>
      </c>
      <c r="X5" s="415">
        <f t="shared" si="7"/>
        <v>9.2316704906836342E-2</v>
      </c>
      <c r="Y5" s="415">
        <f t="shared" si="7"/>
        <v>9.2316704906836342E-2</v>
      </c>
      <c r="Z5" s="415">
        <f t="shared" si="7"/>
        <v>9.4620272916568285E-2</v>
      </c>
      <c r="AA5" s="415">
        <f t="shared" si="7"/>
        <v>9.7500890699765391E-2</v>
      </c>
      <c r="AB5" s="415">
        <f t="shared" si="7"/>
        <v>9.7500890699765391E-2</v>
      </c>
      <c r="AC5" s="415">
        <f t="shared" si="7"/>
        <v>9.7500890699765391E-2</v>
      </c>
      <c r="AD5" s="415">
        <f t="shared" si="7"/>
        <v>9.7500890699765391E-2</v>
      </c>
      <c r="AE5" s="415">
        <f t="shared" si="7"/>
        <v>9.4468622260908394E-2</v>
      </c>
      <c r="AF5" s="415">
        <f t="shared" si="7"/>
        <v>9.4468622260908394E-2</v>
      </c>
      <c r="AG5" s="415">
        <f t="shared" si="7"/>
        <v>9.4977265241617093E-2</v>
      </c>
      <c r="AH5" s="415">
        <f t="shared" si="7"/>
        <v>9.4977265241617093E-2</v>
      </c>
      <c r="AI5" s="415">
        <f t="shared" si="7"/>
        <v>0.10515623346001457</v>
      </c>
      <c r="AJ5" s="415">
        <f t="shared" si="7"/>
        <v>9.7149596275195996E-2</v>
      </c>
      <c r="AK5" s="415">
        <f t="shared" si="7"/>
        <v>9.7081002825674723E-2</v>
      </c>
      <c r="AL5" s="415">
        <f t="shared" si="7"/>
        <v>9.9400231377351711E-2</v>
      </c>
      <c r="AM5" s="415">
        <f t="shared" si="7"/>
        <v>9.7214258620189273E-2</v>
      </c>
      <c r="AN5" s="415">
        <f t="shared" si="7"/>
        <v>9.7214258620189273E-2</v>
      </c>
      <c r="AO5" s="415">
        <f t="shared" si="7"/>
        <v>9.6796149144010524E-2</v>
      </c>
      <c r="AP5" s="415">
        <f t="shared" si="7"/>
        <v>9.6796149144010524E-2</v>
      </c>
      <c r="AQ5" s="415">
        <f t="shared" si="7"/>
        <v>9.6796149144010524E-2</v>
      </c>
      <c r="AR5" s="415">
        <f t="shared" si="7"/>
        <v>0.103675215469515</v>
      </c>
      <c r="AS5" s="415">
        <f t="shared" si="7"/>
        <v>0.10067926411661551</v>
      </c>
      <c r="AT5" s="415">
        <f t="shared" si="7"/>
        <v>0.10067926411661551</v>
      </c>
      <c r="AU5" s="415">
        <f t="shared" si="7"/>
        <v>0.10067926411661551</v>
      </c>
      <c r="AV5" s="415">
        <f t="shared" si="7"/>
        <v>9.6406565137822975E-2</v>
      </c>
      <c r="AW5" s="415">
        <f t="shared" si="7"/>
        <v>9.809461698699766E-2</v>
      </c>
      <c r="AX5" s="415">
        <f t="shared" si="7"/>
        <v>9.809461698699766E-2</v>
      </c>
      <c r="AY5" s="415">
        <f t="shared" si="7"/>
        <v>9.809461698699766E-2</v>
      </c>
      <c r="AZ5" s="415">
        <f t="shared" si="7"/>
        <v>9.8581722583489129E-2</v>
      </c>
      <c r="BA5" s="415">
        <f t="shared" si="7"/>
        <v>9.8581722583489129E-2</v>
      </c>
      <c r="BB5" s="415">
        <f t="shared" si="7"/>
        <v>9.6723465381665819E-2</v>
      </c>
      <c r="BC5" s="415">
        <f t="shared" si="7"/>
        <v>9.6900278181066543E-2</v>
      </c>
      <c r="BD5" s="415">
        <f t="shared" si="7"/>
        <v>9.4254821948420414E-2</v>
      </c>
      <c r="BE5" s="415">
        <f t="shared" si="7"/>
        <v>9.6644958020177404E-2</v>
      </c>
      <c r="BF5" s="415">
        <f t="shared" si="7"/>
        <v>9.6644958020177404E-2</v>
      </c>
      <c r="BG5" s="415">
        <f t="shared" si="7"/>
        <v>9.3050886639930719E-2</v>
      </c>
      <c r="BH5" s="415">
        <f t="shared" si="7"/>
        <v>9.3563167741645789E-2</v>
      </c>
      <c r="BI5" s="415">
        <f t="shared" si="7"/>
        <v>9.3563167741645789E-2</v>
      </c>
      <c r="BJ5" s="415">
        <f t="shared" si="7"/>
        <v>9.164148388673958E-2</v>
      </c>
      <c r="BK5" s="415">
        <f t="shared" si="7"/>
        <v>9.164148388673958E-2</v>
      </c>
      <c r="BL5" s="415">
        <f t="shared" si="7"/>
        <v>9.1947703251862967E-2</v>
      </c>
      <c r="BM5" s="415">
        <f t="shared" si="7"/>
        <v>9.3064477299780443E-2</v>
      </c>
      <c r="BN5" s="415">
        <f t="shared" si="7"/>
        <v>9.3280502911301494E-2</v>
      </c>
      <c r="BO5" s="415">
        <f t="shared" si="7"/>
        <v>9.7567695858269701E-2</v>
      </c>
      <c r="BP5" s="415">
        <f t="shared" si="7"/>
        <v>9.7559221746861713E-2</v>
      </c>
      <c r="BQ5" s="415">
        <f t="shared" ref="BQ5:CV5" si="8">((BQ20-BQ$30)/BQ$30*BQ$31+1)*$B$20/SUM($B$18:$B$29)</f>
        <v>9.7559221746861713E-2</v>
      </c>
      <c r="BR5" s="415">
        <f t="shared" si="8"/>
        <v>9.4569768526187495E-2</v>
      </c>
      <c r="BS5" s="415">
        <f t="shared" si="8"/>
        <v>9.4664856845096554E-2</v>
      </c>
      <c r="BT5" s="415">
        <f t="shared" si="8"/>
        <v>9.2266958950324329E-2</v>
      </c>
      <c r="BU5" s="415">
        <f t="shared" si="8"/>
        <v>9.3753059291331528E-2</v>
      </c>
      <c r="BV5" s="415">
        <f t="shared" si="8"/>
        <v>9.361348316555132E-2</v>
      </c>
      <c r="BW5" s="415">
        <f t="shared" si="8"/>
        <v>9.361348316555132E-2</v>
      </c>
      <c r="BX5" s="415">
        <f t="shared" si="8"/>
        <v>9.4143841991262481E-2</v>
      </c>
      <c r="BY5" s="415">
        <f t="shared" si="8"/>
        <v>9.4179307350019864E-2</v>
      </c>
      <c r="BZ5" s="415">
        <f t="shared" si="8"/>
        <v>9.3814784168696569E-2</v>
      </c>
      <c r="CA5" s="415">
        <f t="shared" si="8"/>
        <v>9.8304241856556507E-2</v>
      </c>
      <c r="CB5" s="415">
        <f t="shared" si="8"/>
        <v>9.650314860002962E-2</v>
      </c>
      <c r="CC5" s="415">
        <f t="shared" si="8"/>
        <v>9.8478673447810153E-2</v>
      </c>
      <c r="CD5" s="415">
        <f t="shared" si="8"/>
        <v>9.8705277785123696E-2</v>
      </c>
      <c r="CE5" s="415">
        <f t="shared" si="8"/>
        <v>9.6954581294440068E-2</v>
      </c>
      <c r="CF5" s="415">
        <f t="shared" si="8"/>
        <v>0.10369919789996213</v>
      </c>
      <c r="CG5" s="415">
        <f t="shared" si="8"/>
        <v>9.8239208627043773E-2</v>
      </c>
      <c r="CH5" s="415">
        <f t="shared" si="8"/>
        <v>9.358984591846238E-2</v>
      </c>
      <c r="CI5" s="415">
        <f t="shared" si="8"/>
        <v>9.2630462733273536E-2</v>
      </c>
      <c r="CJ5" s="415">
        <f t="shared" si="8"/>
        <v>9.1724555518361742E-2</v>
      </c>
      <c r="CK5" s="415">
        <f t="shared" si="8"/>
        <v>9.1973776206918198E-2</v>
      </c>
      <c r="CL5" s="415">
        <f t="shared" si="8"/>
        <v>9.3924420267227166E-2</v>
      </c>
      <c r="CM5" s="415">
        <f t="shared" si="8"/>
        <v>9.3924420267227166E-2</v>
      </c>
      <c r="CN5" s="415">
        <f t="shared" si="8"/>
        <v>9.8581722583489129E-2</v>
      </c>
      <c r="CO5" s="415">
        <f t="shared" si="8"/>
        <v>9.8581722583489129E-2</v>
      </c>
      <c r="CP5" s="415">
        <v>8.9345885067719052E-2</v>
      </c>
      <c r="CQ5" s="415">
        <v>8.9316637804715604E-2</v>
      </c>
      <c r="CR5" s="415" t="s">
        <v>3165</v>
      </c>
      <c r="CS5" s="415">
        <f t="shared" si="8"/>
        <v>9.686777111467329E-2</v>
      </c>
      <c r="CT5" s="415">
        <f t="shared" si="8"/>
        <v>9.5553045670970657E-2</v>
      </c>
      <c r="CU5" s="415">
        <f t="shared" si="8"/>
        <v>9.3509543026731506E-2</v>
      </c>
      <c r="CV5" s="415">
        <f t="shared" si="8"/>
        <v>9.53014869285322E-2</v>
      </c>
      <c r="CW5" s="721">
        <v>8.931E-2</v>
      </c>
      <c r="CX5" s="721">
        <v>8.9829999999999993E-2</v>
      </c>
      <c r="CY5" s="415">
        <f t="shared" ref="CY5" si="9">((CY20-CY$30)/CY$30*CY$31+1)*$B$20/SUM($B$18:$B$29)</f>
        <v>9.8908622124154827E-2</v>
      </c>
      <c r="CZ5" s="415">
        <f>((CZ20-CZ$30)/CZ$30*CZ$31+1)*$B$20/SUM($B$18:$B$29)</f>
        <v>0.11946277968679953</v>
      </c>
      <c r="DA5" s="415">
        <v>0.10199999999999999</v>
      </c>
      <c r="DB5" s="416">
        <v>0.10100000000000001</v>
      </c>
      <c r="DC5" s="415">
        <v>0.10199999999999999</v>
      </c>
      <c r="DD5" s="415">
        <v>0.10199999999999999</v>
      </c>
    </row>
    <row r="6" spans="3:108">
      <c r="C6" s="52" t="s">
        <v>3168</v>
      </c>
      <c r="D6" s="415">
        <f>((D21-D$30)/D$30*D$31+1)*$B$21/SUM($B$18:$B$29)</f>
        <v>9.1910927237227713E-2</v>
      </c>
      <c r="E6" s="415">
        <f t="shared" ref="E6:BP6" si="10">((E21-E$30)/E$30*E$31+1)*$B$21/SUM($B$18:$B$29)</f>
        <v>9.1910927237227713E-2</v>
      </c>
      <c r="F6" s="415">
        <f t="shared" si="10"/>
        <v>6.7039165365902334E-2</v>
      </c>
      <c r="G6" s="415">
        <f t="shared" si="10"/>
        <v>6.6683805870940013E-2</v>
      </c>
      <c r="H6" s="415">
        <f t="shared" si="10"/>
        <v>9.0802187957349401E-2</v>
      </c>
      <c r="I6" s="415">
        <f t="shared" si="10"/>
        <v>9.0802187957349401E-2</v>
      </c>
      <c r="J6" s="415">
        <f t="shared" si="10"/>
        <v>9.0802187957349401E-2</v>
      </c>
      <c r="K6" s="415">
        <f t="shared" si="10"/>
        <v>9.0802187957349401E-2</v>
      </c>
      <c r="L6" s="415">
        <f t="shared" si="10"/>
        <v>8.2809881000699345E-2</v>
      </c>
      <c r="M6" s="415">
        <f t="shared" si="10"/>
        <v>8.2809881000699345E-2</v>
      </c>
      <c r="N6" s="415">
        <f t="shared" si="10"/>
        <v>8.2859691489492363E-2</v>
      </c>
      <c r="O6" s="415">
        <f t="shared" si="10"/>
        <v>7.8856330138044578E-2</v>
      </c>
      <c r="P6" s="415">
        <f t="shared" si="10"/>
        <v>8.8163375078091424E-2</v>
      </c>
      <c r="Q6" s="415">
        <f t="shared" si="10"/>
        <v>6.7566382876743089E-2</v>
      </c>
      <c r="R6" s="415">
        <f t="shared" si="10"/>
        <v>7.2897081473012409E-2</v>
      </c>
      <c r="S6" s="415">
        <f t="shared" si="10"/>
        <v>7.2897081473012409E-2</v>
      </c>
      <c r="T6" s="415">
        <f t="shared" si="10"/>
        <v>7.2897081473012409E-2</v>
      </c>
      <c r="U6" s="415">
        <f t="shared" si="10"/>
        <v>7.9475465321736105E-2</v>
      </c>
      <c r="V6" s="415">
        <f t="shared" si="10"/>
        <v>7.1408351871088599E-2</v>
      </c>
      <c r="W6" s="415">
        <f t="shared" si="10"/>
        <v>7.1408351871088599E-2</v>
      </c>
      <c r="X6" s="415">
        <f t="shared" si="10"/>
        <v>7.1408351871088599E-2</v>
      </c>
      <c r="Y6" s="415">
        <f t="shared" si="10"/>
        <v>7.1408351871088599E-2</v>
      </c>
      <c r="Z6" s="415">
        <f t="shared" si="10"/>
        <v>6.969613469177903E-2</v>
      </c>
      <c r="AA6" s="415">
        <f t="shared" si="10"/>
        <v>8.4617018633737509E-2</v>
      </c>
      <c r="AB6" s="415">
        <f t="shared" si="10"/>
        <v>8.4617018633737509E-2</v>
      </c>
      <c r="AC6" s="415">
        <f t="shared" si="10"/>
        <v>8.4617018633737509E-2</v>
      </c>
      <c r="AD6" s="415">
        <f t="shared" si="10"/>
        <v>8.4617018633737509E-2</v>
      </c>
      <c r="AE6" s="415">
        <f t="shared" si="10"/>
        <v>7.2029958019625376E-2</v>
      </c>
      <c r="AF6" s="415">
        <f t="shared" si="10"/>
        <v>7.2029958019625376E-2</v>
      </c>
      <c r="AG6" s="415">
        <f t="shared" si="10"/>
        <v>7.4397379129504851E-2</v>
      </c>
      <c r="AH6" s="415">
        <f t="shared" si="10"/>
        <v>7.4397379129504851E-2</v>
      </c>
      <c r="AI6" s="415">
        <f t="shared" si="10"/>
        <v>9.3156229327770401E-2</v>
      </c>
      <c r="AJ6" s="415">
        <f t="shared" si="10"/>
        <v>7.6207521059767372E-2</v>
      </c>
      <c r="AK6" s="415">
        <f t="shared" si="10"/>
        <v>8.0482567479377598E-2</v>
      </c>
      <c r="AL6" s="415">
        <f t="shared" si="10"/>
        <v>7.8869796977836568E-2</v>
      </c>
      <c r="AM6" s="415">
        <f t="shared" si="10"/>
        <v>8.1572703114926606E-2</v>
      </c>
      <c r="AN6" s="415">
        <f t="shared" si="10"/>
        <v>8.1572703114926606E-2</v>
      </c>
      <c r="AO6" s="415">
        <f t="shared" si="10"/>
        <v>8.0357773056715487E-2</v>
      </c>
      <c r="AP6" s="415">
        <f t="shared" si="10"/>
        <v>8.0357773056715487E-2</v>
      </c>
      <c r="AQ6" s="415">
        <f t="shared" si="10"/>
        <v>8.0357773056715487E-2</v>
      </c>
      <c r="AR6" s="415">
        <f t="shared" si="10"/>
        <v>9.8280742382932967E-2</v>
      </c>
      <c r="AS6" s="415">
        <f t="shared" si="10"/>
        <v>8.2879549654116438E-2</v>
      </c>
      <c r="AT6" s="415">
        <f t="shared" si="10"/>
        <v>8.2879549654116438E-2</v>
      </c>
      <c r="AU6" s="415">
        <f t="shared" si="10"/>
        <v>8.2879549654116438E-2</v>
      </c>
      <c r="AV6" s="415">
        <f t="shared" si="10"/>
        <v>7.8431058186057501E-2</v>
      </c>
      <c r="AW6" s="415">
        <f t="shared" si="10"/>
        <v>8.2011253302539083E-2</v>
      </c>
      <c r="AX6" s="415">
        <f t="shared" si="10"/>
        <v>8.2011253302539083E-2</v>
      </c>
      <c r="AY6" s="415">
        <f t="shared" si="10"/>
        <v>8.2011253302539083E-2</v>
      </c>
      <c r="AZ6" s="415">
        <f t="shared" si="10"/>
        <v>8.527845717152048E-2</v>
      </c>
      <c r="BA6" s="415">
        <f t="shared" si="10"/>
        <v>8.527845717152048E-2</v>
      </c>
      <c r="BB6" s="415">
        <f t="shared" si="10"/>
        <v>7.9821942693353951E-2</v>
      </c>
      <c r="BC6" s="415">
        <f t="shared" si="10"/>
        <v>8.0342246850975338E-2</v>
      </c>
      <c r="BD6" s="415">
        <f t="shared" si="10"/>
        <v>6.6568520547503923E-2</v>
      </c>
      <c r="BE6" s="415">
        <f t="shared" si="10"/>
        <v>8.2856267839198458E-2</v>
      </c>
      <c r="BF6" s="415">
        <f t="shared" si="10"/>
        <v>8.2856267839198458E-2</v>
      </c>
      <c r="BG6" s="415">
        <f t="shared" si="10"/>
        <v>7.7448529137105232E-2</v>
      </c>
      <c r="BH6" s="415">
        <f t="shared" si="10"/>
        <v>7.4217730064868051E-2</v>
      </c>
      <c r="BI6" s="415">
        <f t="shared" si="10"/>
        <v>7.4217730064868051E-2</v>
      </c>
      <c r="BJ6" s="415">
        <f t="shared" si="10"/>
        <v>7.4081045581525104E-2</v>
      </c>
      <c r="BK6" s="415">
        <f t="shared" si="10"/>
        <v>7.4081045581525104E-2</v>
      </c>
      <c r="BL6" s="415">
        <f t="shared" si="10"/>
        <v>7.3634791289467455E-2</v>
      </c>
      <c r="BM6" s="415">
        <f t="shared" si="10"/>
        <v>7.4351811378683672E-2</v>
      </c>
      <c r="BN6" s="415">
        <f t="shared" si="10"/>
        <v>7.5589869767804435E-2</v>
      </c>
      <c r="BO6" s="415">
        <f t="shared" si="10"/>
        <v>8.6076141941689846E-2</v>
      </c>
      <c r="BP6" s="415">
        <f t="shared" si="10"/>
        <v>7.8475352501817225E-2</v>
      </c>
      <c r="BQ6" s="415">
        <f t="shared" ref="BQ6:CV6" si="11">((BQ21-BQ$30)/BQ$30*BQ$31+1)*$B$21/SUM($B$18:$B$29)</f>
        <v>7.8475352501817225E-2</v>
      </c>
      <c r="BR6" s="415">
        <f t="shared" si="11"/>
        <v>7.922380213596561E-2</v>
      </c>
      <c r="BS6" s="415">
        <f t="shared" si="11"/>
        <v>7.9428915989441767E-2</v>
      </c>
      <c r="BT6" s="415">
        <f t="shared" si="11"/>
        <v>7.3916488532393659E-2</v>
      </c>
      <c r="BU6" s="415">
        <f t="shared" si="11"/>
        <v>7.1653438514603318E-2</v>
      </c>
      <c r="BV6" s="415">
        <f t="shared" si="11"/>
        <v>7.2781030528475829E-2</v>
      </c>
      <c r="BW6" s="415">
        <f t="shared" si="11"/>
        <v>7.2781030528475829E-2</v>
      </c>
      <c r="BX6" s="415">
        <f t="shared" si="11"/>
        <v>7.1544618716387121E-2</v>
      </c>
      <c r="BY6" s="415">
        <f t="shared" si="11"/>
        <v>7.5093273123183354E-2</v>
      </c>
      <c r="BZ6" s="415">
        <f t="shared" si="11"/>
        <v>8.8960116817406093E-2</v>
      </c>
      <c r="CA6" s="415">
        <f t="shared" si="11"/>
        <v>8.3012976009238917E-2</v>
      </c>
      <c r="CB6" s="415">
        <f t="shared" si="11"/>
        <v>8.0290401271903511E-2</v>
      </c>
      <c r="CC6" s="415">
        <f t="shared" si="11"/>
        <v>8.5445504577140757E-2</v>
      </c>
      <c r="CD6" s="415">
        <f t="shared" si="11"/>
        <v>7.5899165521677747E-2</v>
      </c>
      <c r="CE6" s="415">
        <f t="shared" si="11"/>
        <v>7.7438265854721938E-2</v>
      </c>
      <c r="CF6" s="415">
        <f t="shared" si="11"/>
        <v>7.7016804425217328E-2</v>
      </c>
      <c r="CG6" s="415">
        <f t="shared" si="11"/>
        <v>7.7093043159336599E-2</v>
      </c>
      <c r="CH6" s="415">
        <f t="shared" si="11"/>
        <v>7.6419409741793107E-2</v>
      </c>
      <c r="CI6" s="415">
        <f t="shared" si="11"/>
        <v>7.5954809218074723E-2</v>
      </c>
      <c r="CJ6" s="415">
        <f t="shared" si="11"/>
        <v>7.6171306553818624E-2</v>
      </c>
      <c r="CK6" s="415">
        <f t="shared" si="11"/>
        <v>7.4362319335459517E-2</v>
      </c>
      <c r="CL6" s="415">
        <f t="shared" si="11"/>
        <v>7.4973194636542825E-2</v>
      </c>
      <c r="CM6" s="415">
        <f t="shared" si="11"/>
        <v>7.4973194636542825E-2</v>
      </c>
      <c r="CN6" s="415">
        <f t="shared" si="11"/>
        <v>8.527845717152048E-2</v>
      </c>
      <c r="CO6" s="415">
        <f t="shared" si="11"/>
        <v>8.527845717152048E-2</v>
      </c>
      <c r="CP6" s="415">
        <v>9.1306000970224593E-2</v>
      </c>
      <c r="CQ6" s="415">
        <v>9.8874383908352209E-2</v>
      </c>
      <c r="CR6" s="415" t="s">
        <v>3165</v>
      </c>
      <c r="CS6" s="415">
        <f t="shared" si="11"/>
        <v>8.2798386272516331E-2</v>
      </c>
      <c r="CT6" s="415">
        <f t="shared" si="11"/>
        <v>7.8775142173839269E-2</v>
      </c>
      <c r="CU6" s="415">
        <f t="shared" si="11"/>
        <v>7.5150214489771813E-2</v>
      </c>
      <c r="CV6" s="415">
        <f t="shared" si="11"/>
        <v>6.8802492830988771E-2</v>
      </c>
      <c r="CW6" s="721">
        <v>0.10204000000000001</v>
      </c>
      <c r="CX6" s="721">
        <v>9.597E-2</v>
      </c>
      <c r="CY6" s="415">
        <f t="shared" ref="CY6" si="12">((CY21-CY$30)/CY$30*CY$31+1)*$B$21/SUM($B$18:$B$29)</f>
        <v>7.5051203429697649E-2</v>
      </c>
      <c r="CZ6" s="415">
        <f>((CZ21-CZ$30)/CZ$30*CZ$31+1)*$B$21/SUM($B$18:$B$29)</f>
        <v>7.185762688845608E-2</v>
      </c>
      <c r="DA6" s="415">
        <v>7.5999999999999998E-2</v>
      </c>
      <c r="DB6" s="416">
        <v>7.5999999999999998E-2</v>
      </c>
      <c r="DC6" s="415">
        <v>7.5999999999999998E-2</v>
      </c>
      <c r="DD6" s="415">
        <v>6.6000000000000003E-2</v>
      </c>
    </row>
    <row r="7" spans="3:108">
      <c r="C7" s="52" t="s">
        <v>3169</v>
      </c>
      <c r="D7" s="415">
        <f>((D22-D$30)/D$30*D$31+1)*$B$22/SUM($B$18:$B$29)</f>
        <v>8.8664268468822374E-2</v>
      </c>
      <c r="E7" s="415">
        <f t="shared" ref="E7:BP7" si="13">((E22-E$30)/E$30*E$31+1)*$B$22/SUM($B$18:$B$29)</f>
        <v>8.8664268468822374E-2</v>
      </c>
      <c r="F7" s="415">
        <f t="shared" si="13"/>
        <v>6.3149243151783149E-2</v>
      </c>
      <c r="G7" s="415">
        <f t="shared" si="13"/>
        <v>6.3290924483387717E-2</v>
      </c>
      <c r="H7" s="415">
        <f t="shared" si="13"/>
        <v>7.3464555425368436E-2</v>
      </c>
      <c r="I7" s="415">
        <f t="shared" si="13"/>
        <v>7.3464555425368436E-2</v>
      </c>
      <c r="J7" s="415">
        <f t="shared" si="13"/>
        <v>7.3464555425368436E-2</v>
      </c>
      <c r="K7" s="415">
        <f t="shared" si="13"/>
        <v>7.3464555425368436E-2</v>
      </c>
      <c r="L7" s="415">
        <f t="shared" si="13"/>
        <v>7.1746241500100297E-2</v>
      </c>
      <c r="M7" s="415">
        <f t="shared" si="13"/>
        <v>7.1746241500100297E-2</v>
      </c>
      <c r="N7" s="415">
        <f t="shared" si="13"/>
        <v>7.0776623729004076E-2</v>
      </c>
      <c r="O7" s="415">
        <f t="shared" si="13"/>
        <v>6.9161281775976705E-2</v>
      </c>
      <c r="P7" s="415">
        <f t="shared" si="13"/>
        <v>7.7571161489088158E-2</v>
      </c>
      <c r="Q7" s="415">
        <f t="shared" si="13"/>
        <v>6.4462966251324125E-2</v>
      </c>
      <c r="R7" s="415">
        <f t="shared" si="13"/>
        <v>6.9827557302193657E-2</v>
      </c>
      <c r="S7" s="415">
        <f t="shared" si="13"/>
        <v>6.9827557302193657E-2</v>
      </c>
      <c r="T7" s="415">
        <f t="shared" si="13"/>
        <v>6.9827557302193657E-2</v>
      </c>
      <c r="U7" s="415">
        <f t="shared" si="13"/>
        <v>7.3051441988213006E-2</v>
      </c>
      <c r="V7" s="415">
        <f t="shared" si="13"/>
        <v>6.8983399811291396E-2</v>
      </c>
      <c r="W7" s="415">
        <f t="shared" si="13"/>
        <v>6.8983399811291396E-2</v>
      </c>
      <c r="X7" s="415">
        <f t="shared" si="13"/>
        <v>6.8983399811291396E-2</v>
      </c>
      <c r="Y7" s="415">
        <f t="shared" si="13"/>
        <v>6.8983399811291396E-2</v>
      </c>
      <c r="Z7" s="415">
        <f t="shared" si="13"/>
        <v>6.8131276219313211E-2</v>
      </c>
      <c r="AA7" s="415">
        <f t="shared" si="13"/>
        <v>7.0885702540011197E-2</v>
      </c>
      <c r="AB7" s="415">
        <f t="shared" si="13"/>
        <v>7.0885702540011197E-2</v>
      </c>
      <c r="AC7" s="415">
        <f t="shared" si="13"/>
        <v>7.0885702540011197E-2</v>
      </c>
      <c r="AD7" s="415">
        <f t="shared" si="13"/>
        <v>7.0885702540011197E-2</v>
      </c>
      <c r="AE7" s="415">
        <f t="shared" si="13"/>
        <v>6.9335739929052481E-2</v>
      </c>
      <c r="AF7" s="415">
        <f t="shared" si="13"/>
        <v>6.9335739929052481E-2</v>
      </c>
      <c r="AG7" s="415">
        <f t="shared" si="13"/>
        <v>7.053944616568722E-2</v>
      </c>
      <c r="AH7" s="415">
        <f t="shared" si="13"/>
        <v>7.053944616568722E-2</v>
      </c>
      <c r="AI7" s="415">
        <f t="shared" si="13"/>
        <v>8.76900876290619E-2</v>
      </c>
      <c r="AJ7" s="415">
        <f t="shared" si="13"/>
        <v>6.3737988633288417E-2</v>
      </c>
      <c r="AK7" s="415">
        <f t="shared" si="13"/>
        <v>6.9834329198805903E-2</v>
      </c>
      <c r="AL7" s="415">
        <f t="shared" si="13"/>
        <v>6.6415742029998004E-2</v>
      </c>
      <c r="AM7" s="415">
        <f t="shared" si="13"/>
        <v>7.2342313447551168E-2</v>
      </c>
      <c r="AN7" s="415">
        <f t="shared" si="13"/>
        <v>7.2342313447551168E-2</v>
      </c>
      <c r="AO7" s="415">
        <f t="shared" si="13"/>
        <v>6.8307984232890043E-2</v>
      </c>
      <c r="AP7" s="415">
        <f t="shared" si="13"/>
        <v>6.8307984232890043E-2</v>
      </c>
      <c r="AQ7" s="415">
        <f t="shared" si="13"/>
        <v>6.8307984232890043E-2</v>
      </c>
      <c r="AR7" s="415">
        <f t="shared" si="13"/>
        <v>8.7986416889986568E-2</v>
      </c>
      <c r="AS7" s="415">
        <f t="shared" si="13"/>
        <v>6.8171754894061465E-2</v>
      </c>
      <c r="AT7" s="415">
        <f t="shared" si="13"/>
        <v>6.8171754894061465E-2</v>
      </c>
      <c r="AU7" s="415">
        <f t="shared" si="13"/>
        <v>6.8171754894061465E-2</v>
      </c>
      <c r="AV7" s="415">
        <f t="shared" si="13"/>
        <v>6.9539286767134251E-2</v>
      </c>
      <c r="AW7" s="415">
        <f t="shared" si="13"/>
        <v>6.8563561453786656E-2</v>
      </c>
      <c r="AX7" s="415">
        <f t="shared" si="13"/>
        <v>6.8563561453786656E-2</v>
      </c>
      <c r="AY7" s="415">
        <f t="shared" si="13"/>
        <v>6.8563561453786656E-2</v>
      </c>
      <c r="AZ7" s="415">
        <f t="shared" si="13"/>
        <v>7.3311837778796463E-2</v>
      </c>
      <c r="BA7" s="415">
        <f t="shared" si="13"/>
        <v>7.3311837778796463E-2</v>
      </c>
      <c r="BB7" s="415">
        <f t="shared" si="13"/>
        <v>6.9544574775733031E-2</v>
      </c>
      <c r="BC7" s="415">
        <f t="shared" si="13"/>
        <v>6.8163308336224498E-2</v>
      </c>
      <c r="BD7" s="415">
        <f t="shared" si="13"/>
        <v>6.6892000473023794E-2</v>
      </c>
      <c r="BE7" s="415">
        <f t="shared" si="13"/>
        <v>7.0530171027822136E-2</v>
      </c>
      <c r="BF7" s="415">
        <f t="shared" si="13"/>
        <v>7.0530171027822136E-2</v>
      </c>
      <c r="BG7" s="415">
        <f t="shared" si="13"/>
        <v>7.4225986462340132E-2</v>
      </c>
      <c r="BH7" s="415">
        <f t="shared" si="13"/>
        <v>6.8976023299167549E-2</v>
      </c>
      <c r="BI7" s="415">
        <f t="shared" si="13"/>
        <v>6.8976023299167549E-2</v>
      </c>
      <c r="BJ7" s="415">
        <f t="shared" si="13"/>
        <v>7.1456914508388203E-2</v>
      </c>
      <c r="BK7" s="415">
        <f t="shared" si="13"/>
        <v>7.1456914508388203E-2</v>
      </c>
      <c r="BL7" s="415">
        <f t="shared" si="13"/>
        <v>6.937038216545148E-2</v>
      </c>
      <c r="BM7" s="415">
        <f t="shared" si="13"/>
        <v>7.0326716525863572E-2</v>
      </c>
      <c r="BN7" s="415">
        <f t="shared" si="13"/>
        <v>7.2507942868325861E-2</v>
      </c>
      <c r="BO7" s="415">
        <f t="shared" si="13"/>
        <v>7.2141563886032753E-2</v>
      </c>
      <c r="BP7" s="415">
        <f t="shared" si="13"/>
        <v>6.7178556483127025E-2</v>
      </c>
      <c r="BQ7" s="415">
        <f t="shared" ref="BQ7:CV7" si="14">((BQ22-BQ$30)/BQ$30*BQ$31+1)*$B$22/SUM($B$18:$B$29)</f>
        <v>6.7178556483127025E-2</v>
      </c>
      <c r="BR7" s="415">
        <f t="shared" si="14"/>
        <v>7.3913616317195258E-2</v>
      </c>
      <c r="BS7" s="415">
        <f t="shared" si="14"/>
        <v>7.4030974272714545E-2</v>
      </c>
      <c r="BT7" s="415">
        <f t="shared" si="14"/>
        <v>6.9276612860084866E-2</v>
      </c>
      <c r="BU7" s="415">
        <f t="shared" si="14"/>
        <v>6.9088157504810996E-2</v>
      </c>
      <c r="BV7" s="415">
        <f t="shared" si="14"/>
        <v>7.0215092824961453E-2</v>
      </c>
      <c r="BW7" s="415">
        <f t="shared" si="14"/>
        <v>7.0215092824961453E-2</v>
      </c>
      <c r="BX7" s="415">
        <f t="shared" si="14"/>
        <v>6.8180389045029363E-2</v>
      </c>
      <c r="BY7" s="415">
        <f t="shared" si="14"/>
        <v>7.205138528672185E-2</v>
      </c>
      <c r="BZ7" s="415">
        <f t="shared" si="14"/>
        <v>7.9776621967953987E-2</v>
      </c>
      <c r="CA7" s="415">
        <f t="shared" si="14"/>
        <v>7.1421158034631366E-2</v>
      </c>
      <c r="CB7" s="415">
        <f t="shared" si="14"/>
        <v>7.0859837944520832E-2</v>
      </c>
      <c r="CC7" s="415">
        <f t="shared" si="14"/>
        <v>7.2949728358060448E-2</v>
      </c>
      <c r="CD7" s="415">
        <f t="shared" si="14"/>
        <v>6.8810627103026989E-2</v>
      </c>
      <c r="CE7" s="415">
        <f t="shared" si="14"/>
        <v>7.1333133156637557E-2</v>
      </c>
      <c r="CF7" s="415">
        <f t="shared" si="14"/>
        <v>6.7698888594797432E-2</v>
      </c>
      <c r="CG7" s="415">
        <f t="shared" si="14"/>
        <v>7.0123580186660692E-2</v>
      </c>
      <c r="CH7" s="415">
        <f t="shared" si="14"/>
        <v>7.4100185841408858E-2</v>
      </c>
      <c r="CI7" s="415">
        <f t="shared" si="14"/>
        <v>7.3648532197926775E-2</v>
      </c>
      <c r="CJ7" s="415">
        <f t="shared" si="14"/>
        <v>7.2461939555760524E-2</v>
      </c>
      <c r="CK7" s="415">
        <f t="shared" si="14"/>
        <v>7.0738802427110878E-2</v>
      </c>
      <c r="CL7" s="415">
        <f t="shared" si="14"/>
        <v>6.9362465314633123E-2</v>
      </c>
      <c r="CM7" s="415">
        <f t="shared" si="14"/>
        <v>6.9362465314633123E-2</v>
      </c>
      <c r="CN7" s="415">
        <f t="shared" si="14"/>
        <v>7.3311837778796463E-2</v>
      </c>
      <c r="CO7" s="415">
        <f t="shared" si="14"/>
        <v>7.3311837778796463E-2</v>
      </c>
      <c r="CP7" s="415">
        <v>0.10327647467582698</v>
      </c>
      <c r="CQ7" s="415">
        <v>0.10808245637405089</v>
      </c>
      <c r="CR7" s="415" t="s">
        <v>3165</v>
      </c>
      <c r="CS7" s="415">
        <f t="shared" si="14"/>
        <v>7.1969999447276334E-2</v>
      </c>
      <c r="CT7" s="415">
        <f t="shared" si="14"/>
        <v>7.3604930170254226E-2</v>
      </c>
      <c r="CU7" s="415">
        <f t="shared" si="14"/>
        <v>7.1504627098144216E-2</v>
      </c>
      <c r="CV7" s="415">
        <f t="shared" si="14"/>
        <v>7.3229671081717282E-2</v>
      </c>
      <c r="CW7" s="721">
        <v>0.11622</v>
      </c>
      <c r="CX7" s="721">
        <v>0.11405</v>
      </c>
      <c r="CY7" s="415">
        <f t="shared" ref="CY7" si="15">((CY22-CY$30)/CY$30*CY$31+1)*$B$22/SUM($B$18:$B$29)</f>
        <v>7.2226369536214891E-2</v>
      </c>
      <c r="CZ7" s="415">
        <f>((CZ22-CZ$30)/CZ$30*CZ$31+1)*$B$22/SUM($B$18:$B$29)</f>
        <v>6.6700415463898599E-2</v>
      </c>
      <c r="DA7" s="415">
        <v>6.8000000000000005E-2</v>
      </c>
      <c r="DB7" s="416">
        <v>6.9000000000000006E-2</v>
      </c>
      <c r="DC7" s="415">
        <v>6.8000000000000005E-2</v>
      </c>
      <c r="DD7" s="415">
        <v>6.5000000000000002E-2</v>
      </c>
    </row>
    <row r="8" spans="3:108">
      <c r="C8" s="52" t="s">
        <v>3170</v>
      </c>
      <c r="D8" s="415">
        <f>((D23-D$30)/D$30*D$31+1)*$B$23/SUM($B$18:$B$29)</f>
        <v>6.4358779141934941E-2</v>
      </c>
      <c r="E8" s="415">
        <f t="shared" ref="E8:BP8" si="16">((E23-E$30)/E$30*E$31+1)*$B$23/SUM($B$18:$B$29)</f>
        <v>6.4358779141934941E-2</v>
      </c>
      <c r="F8" s="415">
        <f t="shared" si="16"/>
        <v>4.7881770582165327E-2</v>
      </c>
      <c r="G8" s="415">
        <f t="shared" si="16"/>
        <v>4.8693657083664334E-2</v>
      </c>
      <c r="H8" s="415">
        <f t="shared" si="16"/>
        <v>5.0083322120742416E-2</v>
      </c>
      <c r="I8" s="415">
        <f t="shared" si="16"/>
        <v>5.0083322120742416E-2</v>
      </c>
      <c r="J8" s="415">
        <f t="shared" si="16"/>
        <v>5.0083322120742416E-2</v>
      </c>
      <c r="K8" s="415">
        <f t="shared" si="16"/>
        <v>5.0083322120742416E-2</v>
      </c>
      <c r="L8" s="415">
        <f t="shared" si="16"/>
        <v>6.2885148933913504E-2</v>
      </c>
      <c r="M8" s="415">
        <f t="shared" si="16"/>
        <v>6.2885148933913504E-2</v>
      </c>
      <c r="N8" s="415">
        <f t="shared" si="16"/>
        <v>6.1463246258682581E-2</v>
      </c>
      <c r="O8" s="415">
        <f t="shared" si="16"/>
        <v>5.5678900681327595E-2</v>
      </c>
      <c r="P8" s="415">
        <f t="shared" si="16"/>
        <v>6.5869855965432142E-2</v>
      </c>
      <c r="Q8" s="415">
        <f t="shared" si="16"/>
        <v>5.0157900871681045E-2</v>
      </c>
      <c r="R8" s="415">
        <f t="shared" si="16"/>
        <v>5.2532185991086666E-2</v>
      </c>
      <c r="S8" s="415">
        <f t="shared" si="16"/>
        <v>5.2532185991086666E-2</v>
      </c>
      <c r="T8" s="415">
        <f t="shared" si="16"/>
        <v>5.2532185991086666E-2</v>
      </c>
      <c r="U8" s="415">
        <f t="shared" si="16"/>
        <v>5.6473377950333081E-2</v>
      </c>
      <c r="V8" s="415">
        <f t="shared" si="16"/>
        <v>5.845261424388111E-2</v>
      </c>
      <c r="W8" s="415">
        <f t="shared" si="16"/>
        <v>5.845261424388111E-2</v>
      </c>
      <c r="X8" s="415">
        <f t="shared" si="16"/>
        <v>5.845261424388111E-2</v>
      </c>
      <c r="Y8" s="415">
        <f t="shared" si="16"/>
        <v>5.845261424388111E-2</v>
      </c>
      <c r="Z8" s="415">
        <f t="shared" si="16"/>
        <v>5.4208616461529094E-2</v>
      </c>
      <c r="AA8" s="415">
        <f t="shared" si="16"/>
        <v>5.6505658824720216E-2</v>
      </c>
      <c r="AB8" s="415">
        <f t="shared" si="16"/>
        <v>5.6505658824720216E-2</v>
      </c>
      <c r="AC8" s="415">
        <f t="shared" si="16"/>
        <v>5.6505658824720216E-2</v>
      </c>
      <c r="AD8" s="415">
        <f t="shared" si="16"/>
        <v>5.6505658824720216E-2</v>
      </c>
      <c r="AE8" s="415">
        <f t="shared" si="16"/>
        <v>5.5142418827408571E-2</v>
      </c>
      <c r="AF8" s="415">
        <f t="shared" si="16"/>
        <v>5.5142418827408571E-2</v>
      </c>
      <c r="AG8" s="415">
        <f t="shared" si="16"/>
        <v>5.52512282933358E-2</v>
      </c>
      <c r="AH8" s="415">
        <f t="shared" si="16"/>
        <v>5.52512282933358E-2</v>
      </c>
      <c r="AI8" s="415">
        <f t="shared" si="16"/>
        <v>6.2767848364419371E-2</v>
      </c>
      <c r="AJ8" s="415">
        <f t="shared" si="16"/>
        <v>4.5733858939999025E-2</v>
      </c>
      <c r="AK8" s="415">
        <f t="shared" si="16"/>
        <v>5.2389032682741123E-2</v>
      </c>
      <c r="AL8" s="415">
        <f t="shared" si="16"/>
        <v>4.9856634153449118E-2</v>
      </c>
      <c r="AM8" s="415">
        <f t="shared" si="16"/>
        <v>5.6208380133444549E-2</v>
      </c>
      <c r="AN8" s="415">
        <f t="shared" si="16"/>
        <v>5.6208380133444549E-2</v>
      </c>
      <c r="AO8" s="415">
        <f t="shared" si="16"/>
        <v>5.306427312573879E-2</v>
      </c>
      <c r="AP8" s="415">
        <f t="shared" si="16"/>
        <v>5.306427312573879E-2</v>
      </c>
      <c r="AQ8" s="415">
        <f t="shared" si="16"/>
        <v>5.306427312573879E-2</v>
      </c>
      <c r="AR8" s="415">
        <f t="shared" si="16"/>
        <v>5.279204099048674E-2</v>
      </c>
      <c r="AS8" s="415">
        <f t="shared" si="16"/>
        <v>5.2658495169771884E-2</v>
      </c>
      <c r="AT8" s="415">
        <f t="shared" si="16"/>
        <v>5.2658495169771884E-2</v>
      </c>
      <c r="AU8" s="415">
        <f t="shared" si="16"/>
        <v>5.2658495169771884E-2</v>
      </c>
      <c r="AV8" s="415">
        <f t="shared" si="16"/>
        <v>5.3911332350814266E-2</v>
      </c>
      <c r="AW8" s="415">
        <f t="shared" si="16"/>
        <v>5.2318584528196599E-2</v>
      </c>
      <c r="AX8" s="415">
        <f t="shared" si="16"/>
        <v>5.2318584528196599E-2</v>
      </c>
      <c r="AY8" s="415">
        <f t="shared" si="16"/>
        <v>5.2318584528196599E-2</v>
      </c>
      <c r="AZ8" s="415">
        <f t="shared" si="16"/>
        <v>5.9776501336542449E-2</v>
      </c>
      <c r="BA8" s="415">
        <f t="shared" si="16"/>
        <v>5.9776501336542449E-2</v>
      </c>
      <c r="BB8" s="415">
        <f t="shared" si="16"/>
        <v>5.3204623092983322E-2</v>
      </c>
      <c r="BC8" s="415">
        <f t="shared" si="16"/>
        <v>5.2810375741562152E-2</v>
      </c>
      <c r="BD8" s="415">
        <f t="shared" si="16"/>
        <v>5.5562561299392757E-2</v>
      </c>
      <c r="BE8" s="415">
        <f t="shared" si="16"/>
        <v>5.5021831741491896E-2</v>
      </c>
      <c r="BF8" s="415">
        <f t="shared" si="16"/>
        <v>5.5021831741491896E-2</v>
      </c>
      <c r="BG8" s="415">
        <f t="shared" si="16"/>
        <v>6.2178169918812365E-2</v>
      </c>
      <c r="BH8" s="415">
        <f t="shared" si="16"/>
        <v>5.5575769759074876E-2</v>
      </c>
      <c r="BI8" s="415">
        <f t="shared" si="16"/>
        <v>5.5575769759074876E-2</v>
      </c>
      <c r="BJ8" s="415">
        <f t="shared" si="16"/>
        <v>6.1065532278588713E-2</v>
      </c>
      <c r="BK8" s="415">
        <f t="shared" si="16"/>
        <v>6.1065532278588713E-2</v>
      </c>
      <c r="BL8" s="415">
        <f t="shared" si="16"/>
        <v>5.7740614120224382E-2</v>
      </c>
      <c r="BM8" s="415">
        <f t="shared" si="16"/>
        <v>5.7931409737582408E-2</v>
      </c>
      <c r="BN8" s="415">
        <f t="shared" si="16"/>
        <v>6.0343608772144543E-2</v>
      </c>
      <c r="BO8" s="415">
        <f t="shared" si="16"/>
        <v>6.1565028330564549E-2</v>
      </c>
      <c r="BP8" s="415">
        <f t="shared" si="16"/>
        <v>5.1355319385773091E-2</v>
      </c>
      <c r="BQ8" s="415">
        <f t="shared" ref="BQ8:CV8" si="17">((BQ23-BQ$30)/BQ$30*BQ$31+1)*$B$23/SUM($B$18:$B$29)</f>
        <v>5.1355319385773091E-2</v>
      </c>
      <c r="BR8" s="415">
        <f t="shared" si="17"/>
        <v>5.8017665331547043E-2</v>
      </c>
      <c r="BS8" s="415">
        <f t="shared" si="17"/>
        <v>5.8215935831388378E-2</v>
      </c>
      <c r="BT8" s="415">
        <f t="shared" si="17"/>
        <v>5.1817757894004744E-2</v>
      </c>
      <c r="BU8" s="415">
        <f t="shared" si="17"/>
        <v>5.1649442662505145E-2</v>
      </c>
      <c r="BV8" s="415">
        <f t="shared" si="17"/>
        <v>5.4945472217389858E-2</v>
      </c>
      <c r="BW8" s="415">
        <f t="shared" si="17"/>
        <v>5.4945472217389858E-2</v>
      </c>
      <c r="BX8" s="415">
        <f t="shared" si="17"/>
        <v>5.3802640995393045E-2</v>
      </c>
      <c r="BY8" s="415">
        <f t="shared" si="17"/>
        <v>5.7231379298274494E-2</v>
      </c>
      <c r="BZ8" s="415">
        <f t="shared" si="17"/>
        <v>7.093140025488949E-2</v>
      </c>
      <c r="CA8" s="415">
        <f t="shared" si="17"/>
        <v>5.8103599978202684E-2</v>
      </c>
      <c r="CB8" s="415">
        <f t="shared" si="17"/>
        <v>5.4796721296207752E-2</v>
      </c>
      <c r="CC8" s="415">
        <f t="shared" si="17"/>
        <v>6.0122438076824533E-2</v>
      </c>
      <c r="CD8" s="415">
        <f t="shared" si="17"/>
        <v>5.4033835369514546E-2</v>
      </c>
      <c r="CE8" s="415">
        <f t="shared" si="17"/>
        <v>5.821772022802281E-2</v>
      </c>
      <c r="CF8" s="415">
        <f t="shared" si="17"/>
        <v>5.6375269244658396E-2</v>
      </c>
      <c r="CG8" s="415">
        <f t="shared" si="17"/>
        <v>5.6176376033325807E-2</v>
      </c>
      <c r="CH8" s="415">
        <f t="shared" si="17"/>
        <v>6.0311375186494591E-2</v>
      </c>
      <c r="CI8" s="415">
        <f t="shared" si="17"/>
        <v>6.1718888572884843E-2</v>
      </c>
      <c r="CJ8" s="415">
        <f t="shared" si="17"/>
        <v>6.1477848829746988E-2</v>
      </c>
      <c r="CK8" s="415">
        <f t="shared" si="17"/>
        <v>5.932839053040069E-2</v>
      </c>
      <c r="CL8" s="415">
        <f t="shared" si="17"/>
        <v>5.5827516918330718E-2</v>
      </c>
      <c r="CM8" s="415">
        <f t="shared" si="17"/>
        <v>5.5827516918330718E-2</v>
      </c>
      <c r="CN8" s="415">
        <f t="shared" si="17"/>
        <v>5.9776501336542449E-2</v>
      </c>
      <c r="CO8" s="415">
        <f t="shared" si="17"/>
        <v>5.9776501336542449E-2</v>
      </c>
      <c r="CP8" s="415">
        <v>0.11119560514481257</v>
      </c>
      <c r="CQ8" s="415">
        <v>0.11356067670174505</v>
      </c>
      <c r="CR8" s="415" t="s">
        <v>3165</v>
      </c>
      <c r="CS8" s="415">
        <f t="shared" si="17"/>
        <v>6.3213280320505258E-2</v>
      </c>
      <c r="CT8" s="415">
        <f t="shared" si="17"/>
        <v>6.1043012660415605E-2</v>
      </c>
      <c r="CU8" s="415">
        <f t="shared" si="17"/>
        <v>5.8882480823189205E-2</v>
      </c>
      <c r="CV8" s="415">
        <f t="shared" si="17"/>
        <v>5.9699034480917554E-2</v>
      </c>
      <c r="CW8" s="721">
        <v>0.12841</v>
      </c>
      <c r="CX8" s="721">
        <v>0.12177</v>
      </c>
      <c r="CY8" s="415">
        <f t="shared" ref="CY8" si="18">((CY23-CY$30)/CY$30*CY$31+1)*$B$23/SUM($B$18:$B$29)</f>
        <v>5.5942788196893155E-2</v>
      </c>
      <c r="CZ8" s="415">
        <f>((CZ23-CZ$30)/CZ$30*CZ$31+1)*$B$23/SUM($B$18:$B$29)</f>
        <v>6.8507742928943988E-2</v>
      </c>
      <c r="DA8" s="415">
        <v>5.3999999999999999E-2</v>
      </c>
      <c r="DB8" s="416">
        <v>5.3999999999999999E-2</v>
      </c>
      <c r="DC8" s="415">
        <v>5.3999999999999999E-2</v>
      </c>
      <c r="DD8" s="415">
        <v>4.5999999999999999E-2</v>
      </c>
    </row>
    <row r="9" spans="3:108">
      <c r="C9" s="52" t="s">
        <v>3171</v>
      </c>
      <c r="D9" s="415">
        <f>((D24-D$30)/D$30*D$31+1)*$B$24/SUM($B$18:$B$29)</f>
        <v>5.7309685389642442E-2</v>
      </c>
      <c r="E9" s="415">
        <f t="shared" ref="E9:BP9" si="19">((E24-E$30)/E$30*E$31+1)*$B$24/SUM($B$18:$B$29)</f>
        <v>5.7309685389642442E-2</v>
      </c>
      <c r="F9" s="415">
        <f t="shared" si="19"/>
        <v>4.9651987735968448E-2</v>
      </c>
      <c r="G9" s="415">
        <f t="shared" si="19"/>
        <v>5.1091354837016392E-2</v>
      </c>
      <c r="H9" s="415">
        <f t="shared" si="19"/>
        <v>4.2290223351820568E-2</v>
      </c>
      <c r="I9" s="415">
        <f t="shared" si="19"/>
        <v>4.2290223351820568E-2</v>
      </c>
      <c r="J9" s="415">
        <f t="shared" si="19"/>
        <v>4.2290223351820568E-2</v>
      </c>
      <c r="K9" s="415">
        <f t="shared" si="19"/>
        <v>4.2290223351820568E-2</v>
      </c>
      <c r="L9" s="415">
        <f t="shared" si="19"/>
        <v>6.3251161758124175E-2</v>
      </c>
      <c r="M9" s="415">
        <f t="shared" si="19"/>
        <v>6.3251161758124175E-2</v>
      </c>
      <c r="N9" s="415">
        <f t="shared" si="19"/>
        <v>6.1654066506086555E-2</v>
      </c>
      <c r="O9" s="415">
        <f t="shared" si="19"/>
        <v>5.3741412041530753E-2</v>
      </c>
      <c r="P9" s="415">
        <f t="shared" si="19"/>
        <v>6.3918923275991954E-2</v>
      </c>
      <c r="Q9" s="415">
        <f t="shared" si="19"/>
        <v>5.1932330984717508E-2</v>
      </c>
      <c r="R9" s="415">
        <f t="shared" si="19"/>
        <v>5.1365195611512732E-2</v>
      </c>
      <c r="S9" s="415">
        <f t="shared" si="19"/>
        <v>5.1365195611512732E-2</v>
      </c>
      <c r="T9" s="415">
        <f t="shared" si="19"/>
        <v>5.1365195611512732E-2</v>
      </c>
      <c r="U9" s="415">
        <f t="shared" si="19"/>
        <v>5.6094959557979759E-2</v>
      </c>
      <c r="V9" s="415">
        <f t="shared" si="19"/>
        <v>5.9685837627625957E-2</v>
      </c>
      <c r="W9" s="415">
        <f t="shared" si="19"/>
        <v>5.9685837627625957E-2</v>
      </c>
      <c r="X9" s="415">
        <f t="shared" si="19"/>
        <v>5.9685837627625957E-2</v>
      </c>
      <c r="Y9" s="415">
        <f t="shared" si="19"/>
        <v>5.9685837627625957E-2</v>
      </c>
      <c r="Z9" s="415">
        <f t="shared" si="19"/>
        <v>5.6617592995790403E-2</v>
      </c>
      <c r="AA9" s="415">
        <f t="shared" si="19"/>
        <v>5.5805765230534217E-2</v>
      </c>
      <c r="AB9" s="415">
        <f t="shared" si="19"/>
        <v>5.5805765230534217E-2</v>
      </c>
      <c r="AC9" s="415">
        <f t="shared" si="19"/>
        <v>5.5805765230534217E-2</v>
      </c>
      <c r="AD9" s="415">
        <f t="shared" si="19"/>
        <v>5.5805765230534217E-2</v>
      </c>
      <c r="AE9" s="415">
        <f t="shared" si="19"/>
        <v>5.5502094611938502E-2</v>
      </c>
      <c r="AF9" s="415">
        <f t="shared" si="19"/>
        <v>5.5502094611938502E-2</v>
      </c>
      <c r="AG9" s="415">
        <f t="shared" si="19"/>
        <v>5.4209501642986421E-2</v>
      </c>
      <c r="AH9" s="415">
        <f t="shared" si="19"/>
        <v>5.4209501642986421E-2</v>
      </c>
      <c r="AI9" s="415">
        <f t="shared" si="19"/>
        <v>5.4725432766013889E-2</v>
      </c>
      <c r="AJ9" s="415">
        <f t="shared" si="19"/>
        <v>4.2226792850300558E-2</v>
      </c>
      <c r="AK9" s="415">
        <f t="shared" si="19"/>
        <v>4.7148257595318536E-2</v>
      </c>
      <c r="AL9" s="415">
        <f t="shared" si="19"/>
        <v>4.8978871135575371E-2</v>
      </c>
      <c r="AM9" s="415">
        <f t="shared" si="19"/>
        <v>5.3277876255321203E-2</v>
      </c>
      <c r="AN9" s="415">
        <f t="shared" si="19"/>
        <v>5.3277876255321203E-2</v>
      </c>
      <c r="AO9" s="415">
        <f t="shared" si="19"/>
        <v>5.1528455100240123E-2</v>
      </c>
      <c r="AP9" s="415">
        <f t="shared" si="19"/>
        <v>5.1528455100240123E-2</v>
      </c>
      <c r="AQ9" s="415">
        <f t="shared" si="19"/>
        <v>5.1528455100240123E-2</v>
      </c>
      <c r="AR9" s="415">
        <f t="shared" si="19"/>
        <v>4.8534154317199832E-2</v>
      </c>
      <c r="AS9" s="415">
        <f t="shared" si="19"/>
        <v>5.063891402738642E-2</v>
      </c>
      <c r="AT9" s="415">
        <f t="shared" si="19"/>
        <v>5.063891402738642E-2</v>
      </c>
      <c r="AU9" s="415">
        <f t="shared" si="19"/>
        <v>5.063891402738642E-2</v>
      </c>
      <c r="AV9" s="415">
        <f t="shared" si="19"/>
        <v>5.45312780387101E-2</v>
      </c>
      <c r="AW9" s="415">
        <f t="shared" si="19"/>
        <v>4.8679109940908002E-2</v>
      </c>
      <c r="AX9" s="415">
        <f t="shared" si="19"/>
        <v>4.8679109940908002E-2</v>
      </c>
      <c r="AY9" s="415">
        <f t="shared" si="19"/>
        <v>4.8679109940908002E-2</v>
      </c>
      <c r="AZ9" s="415">
        <f t="shared" si="19"/>
        <v>5.8723038303922351E-2</v>
      </c>
      <c r="BA9" s="415">
        <f t="shared" si="19"/>
        <v>5.8723038303922351E-2</v>
      </c>
      <c r="BB9" s="415">
        <f t="shared" si="19"/>
        <v>5.2787219565539174E-2</v>
      </c>
      <c r="BC9" s="415">
        <f t="shared" si="19"/>
        <v>5.1237233097612557E-2</v>
      </c>
      <c r="BD9" s="415">
        <f t="shared" si="19"/>
        <v>6.0379357350993333E-2</v>
      </c>
      <c r="BE9" s="415">
        <f t="shared" si="19"/>
        <v>5.4491167993147238E-2</v>
      </c>
      <c r="BF9" s="415">
        <f t="shared" si="19"/>
        <v>5.4491167993147238E-2</v>
      </c>
      <c r="BG9" s="415">
        <f t="shared" si="19"/>
        <v>6.1403868052984749E-2</v>
      </c>
      <c r="BH9" s="415">
        <f t="shared" si="19"/>
        <v>5.3647636178124625E-2</v>
      </c>
      <c r="BI9" s="415">
        <f t="shared" si="19"/>
        <v>5.3647636178124625E-2</v>
      </c>
      <c r="BJ9" s="415">
        <f t="shared" si="19"/>
        <v>6.0954203226013505E-2</v>
      </c>
      <c r="BK9" s="415">
        <f t="shared" si="19"/>
        <v>6.0954203226013505E-2</v>
      </c>
      <c r="BL9" s="415">
        <f t="shared" si="19"/>
        <v>5.6679122516677082E-2</v>
      </c>
      <c r="BM9" s="415">
        <f t="shared" si="19"/>
        <v>5.6415118805047751E-2</v>
      </c>
      <c r="BN9" s="415">
        <f t="shared" si="19"/>
        <v>5.8900749042421603E-2</v>
      </c>
      <c r="BO9" s="415">
        <f t="shared" si="19"/>
        <v>5.6219612265653168E-2</v>
      </c>
      <c r="BP9" s="415">
        <f t="shared" si="19"/>
        <v>5.0767318611689059E-2</v>
      </c>
      <c r="BQ9" s="415">
        <f t="shared" ref="BQ9:CV9" si="20">((BQ24-BQ$30)/BQ$30*BQ$31+1)*$B$24/SUM($B$18:$B$29)</f>
        <v>5.0767318611689059E-2</v>
      </c>
      <c r="BR9" s="415">
        <f t="shared" si="20"/>
        <v>5.8038980823247474E-2</v>
      </c>
      <c r="BS9" s="415">
        <f t="shared" si="20"/>
        <v>5.818612280134957E-2</v>
      </c>
      <c r="BT9" s="415">
        <f t="shared" si="20"/>
        <v>5.2692565455664926E-2</v>
      </c>
      <c r="BU9" s="415">
        <f t="shared" si="20"/>
        <v>5.1296230453756204E-2</v>
      </c>
      <c r="BV9" s="415">
        <f t="shared" si="20"/>
        <v>5.4576734872352879E-2</v>
      </c>
      <c r="BW9" s="415">
        <f t="shared" si="20"/>
        <v>5.4576734872352879E-2</v>
      </c>
      <c r="BX9" s="415">
        <f t="shared" si="20"/>
        <v>5.4642302865922081E-2</v>
      </c>
      <c r="BY9" s="415">
        <f t="shared" si="20"/>
        <v>5.6744069788816874E-2</v>
      </c>
      <c r="BZ9" s="415">
        <f t="shared" si="20"/>
        <v>7.5053296657844992E-2</v>
      </c>
      <c r="CA9" s="415">
        <f t="shared" si="20"/>
        <v>5.6583610287218665E-2</v>
      </c>
      <c r="CB9" s="415">
        <f t="shared" si="20"/>
        <v>5.5047921704150189E-2</v>
      </c>
      <c r="CC9" s="415">
        <f t="shared" si="20"/>
        <v>5.8323770233724696E-2</v>
      </c>
      <c r="CD9" s="415">
        <f t="shared" si="20"/>
        <v>5.7167166899750439E-2</v>
      </c>
      <c r="CE9" s="415">
        <f t="shared" si="20"/>
        <v>6.0987782244880967E-2</v>
      </c>
      <c r="CF9" s="415">
        <f t="shared" si="20"/>
        <v>5.9713558380460968E-2</v>
      </c>
      <c r="CG9" s="415">
        <f t="shared" si="20"/>
        <v>5.890243205018638E-2</v>
      </c>
      <c r="CH9" s="415">
        <f t="shared" si="20"/>
        <v>5.9994279874904521E-2</v>
      </c>
      <c r="CI9" s="415">
        <f t="shared" si="20"/>
        <v>6.1291753077901953E-2</v>
      </c>
      <c r="CJ9" s="415">
        <f t="shared" si="20"/>
        <v>6.0402905182479184E-2</v>
      </c>
      <c r="CK9" s="415">
        <f t="shared" si="20"/>
        <v>5.8377812426865162E-2</v>
      </c>
      <c r="CL9" s="415">
        <f t="shared" si="20"/>
        <v>5.3478551228570752E-2</v>
      </c>
      <c r="CM9" s="415">
        <f t="shared" si="20"/>
        <v>5.3478551228570752E-2</v>
      </c>
      <c r="CN9" s="415">
        <f t="shared" si="20"/>
        <v>5.8723038303922351E-2</v>
      </c>
      <c r="CO9" s="415">
        <f t="shared" si="20"/>
        <v>5.8723038303922351E-2</v>
      </c>
      <c r="CP9" s="415">
        <v>0.11902295761167415</v>
      </c>
      <c r="CQ9" s="415">
        <v>0.1196383375516185</v>
      </c>
      <c r="CR9" s="415" t="s">
        <v>3165</v>
      </c>
      <c r="CS9" s="415">
        <f t="shared" si="20"/>
        <v>6.3619722200902104E-2</v>
      </c>
      <c r="CT9" s="415">
        <f t="shared" si="20"/>
        <v>5.9601833855317525E-2</v>
      </c>
      <c r="CU9" s="415">
        <f t="shared" si="20"/>
        <v>5.714507171490129E-2</v>
      </c>
      <c r="CV9" s="415">
        <f t="shared" si="20"/>
        <v>6.223965050934268E-2</v>
      </c>
      <c r="CW9" s="721">
        <v>0.14144000000000001</v>
      </c>
      <c r="CX9" s="721">
        <v>0.12997</v>
      </c>
      <c r="CY9" s="415">
        <f t="shared" ref="CY9" si="21">((CY24-CY$30)/CY$30*CY$31+1)*$B$24/SUM($B$18:$B$29)</f>
        <v>5.7113858785385385E-2</v>
      </c>
      <c r="CZ9" s="415">
        <f>((CZ24-CZ$30)/CZ$30*CZ$31+1)*$B$24/SUM($B$18:$B$29)</f>
        <v>6.7119996889130409E-2</v>
      </c>
      <c r="DA9" s="415">
        <v>5.8000000000000003E-2</v>
      </c>
      <c r="DB9" s="416">
        <v>5.8000000000000003E-2</v>
      </c>
      <c r="DC9" s="415">
        <v>5.8000000000000003E-2</v>
      </c>
      <c r="DD9" s="415">
        <v>4.9000000000000002E-2</v>
      </c>
    </row>
    <row r="10" spans="3:108">
      <c r="C10" s="52" t="s">
        <v>3172</v>
      </c>
      <c r="D10" s="415">
        <f>((D25-D$30)/D$30*D$31+1)*$B$25/SUM($B$18:$B$29)</f>
        <v>5.65948403351643E-2</v>
      </c>
      <c r="E10" s="415">
        <f t="shared" ref="E10:BP10" si="22">((E25-E$30)/E$30*E$31+1)*$B$25/SUM($B$18:$B$29)</f>
        <v>5.65948403351643E-2</v>
      </c>
      <c r="F10" s="415">
        <f t="shared" si="22"/>
        <v>5.008738307196247E-2</v>
      </c>
      <c r="G10" s="415">
        <f t="shared" si="22"/>
        <v>5.1284998799657221E-2</v>
      </c>
      <c r="H10" s="415">
        <f t="shared" si="22"/>
        <v>3.8554203201552548E-2</v>
      </c>
      <c r="I10" s="415">
        <f t="shared" si="22"/>
        <v>3.8554203201552548E-2</v>
      </c>
      <c r="J10" s="415">
        <f t="shared" si="22"/>
        <v>3.8554203201552548E-2</v>
      </c>
      <c r="K10" s="415">
        <f t="shared" si="22"/>
        <v>3.8554203201552548E-2</v>
      </c>
      <c r="L10" s="415">
        <f t="shared" si="22"/>
        <v>5.641703447079105E-2</v>
      </c>
      <c r="M10" s="415">
        <f t="shared" si="22"/>
        <v>5.641703447079105E-2</v>
      </c>
      <c r="N10" s="415">
        <f t="shared" si="22"/>
        <v>5.431514572593904E-2</v>
      </c>
      <c r="O10" s="415">
        <f t="shared" si="22"/>
        <v>5.076816588262828E-2</v>
      </c>
      <c r="P10" s="415">
        <f t="shared" si="22"/>
        <v>5.9044855992097904E-2</v>
      </c>
      <c r="Q10" s="415">
        <f t="shared" si="22"/>
        <v>5.2444831404619613E-2</v>
      </c>
      <c r="R10" s="415">
        <f t="shared" si="22"/>
        <v>5.1224904109303915E-2</v>
      </c>
      <c r="S10" s="415">
        <f t="shared" si="22"/>
        <v>5.1224904109303915E-2</v>
      </c>
      <c r="T10" s="415">
        <f t="shared" si="22"/>
        <v>5.1224904109303915E-2</v>
      </c>
      <c r="U10" s="415">
        <f t="shared" si="22"/>
        <v>5.1573230909917563E-2</v>
      </c>
      <c r="V10" s="415">
        <f t="shared" si="22"/>
        <v>5.9261189354814302E-2</v>
      </c>
      <c r="W10" s="415">
        <f t="shared" si="22"/>
        <v>5.9261189354814302E-2</v>
      </c>
      <c r="X10" s="415">
        <f t="shared" si="22"/>
        <v>5.9261189354814302E-2</v>
      </c>
      <c r="Y10" s="415">
        <f t="shared" si="22"/>
        <v>5.9261189354814302E-2</v>
      </c>
      <c r="Z10" s="415">
        <f t="shared" si="22"/>
        <v>5.5890148957702918E-2</v>
      </c>
      <c r="AA10" s="415">
        <f t="shared" si="22"/>
        <v>5.063893412051422E-2</v>
      </c>
      <c r="AB10" s="415">
        <f t="shared" si="22"/>
        <v>5.063893412051422E-2</v>
      </c>
      <c r="AC10" s="415">
        <f t="shared" si="22"/>
        <v>5.063893412051422E-2</v>
      </c>
      <c r="AD10" s="415">
        <f t="shared" si="22"/>
        <v>5.063893412051422E-2</v>
      </c>
      <c r="AE10" s="415">
        <f t="shared" si="22"/>
        <v>5.5026893055243761E-2</v>
      </c>
      <c r="AF10" s="415">
        <f t="shared" si="22"/>
        <v>5.5026893055243761E-2</v>
      </c>
      <c r="AG10" s="415">
        <f t="shared" si="22"/>
        <v>5.332448716710577E-2</v>
      </c>
      <c r="AH10" s="415">
        <f t="shared" si="22"/>
        <v>5.332448716710577E-2</v>
      </c>
      <c r="AI10" s="415">
        <f t="shared" si="22"/>
        <v>5.3782045259712433E-2</v>
      </c>
      <c r="AJ10" s="415">
        <f t="shared" si="22"/>
        <v>3.9032620546124976E-2</v>
      </c>
      <c r="AK10" s="415">
        <f t="shared" si="22"/>
        <v>4.3201582767392263E-2</v>
      </c>
      <c r="AL10" s="415">
        <f t="shared" si="22"/>
        <v>4.5200366252592127E-2</v>
      </c>
      <c r="AM10" s="415">
        <f t="shared" si="22"/>
        <v>4.8048078492859414E-2</v>
      </c>
      <c r="AN10" s="415">
        <f t="shared" si="22"/>
        <v>4.8048078492859414E-2</v>
      </c>
      <c r="AO10" s="415">
        <f t="shared" si="22"/>
        <v>4.8736614938950311E-2</v>
      </c>
      <c r="AP10" s="415">
        <f t="shared" si="22"/>
        <v>4.8736614938950311E-2</v>
      </c>
      <c r="AQ10" s="415">
        <f t="shared" si="22"/>
        <v>4.8736614938950311E-2</v>
      </c>
      <c r="AR10" s="415">
        <f t="shared" si="22"/>
        <v>4.1963894246712381E-2</v>
      </c>
      <c r="AS10" s="415">
        <f t="shared" si="22"/>
        <v>4.5959330166174248E-2</v>
      </c>
      <c r="AT10" s="415">
        <f t="shared" si="22"/>
        <v>4.5959330166174248E-2</v>
      </c>
      <c r="AU10" s="415">
        <f t="shared" si="22"/>
        <v>4.5959330166174248E-2</v>
      </c>
      <c r="AV10" s="415">
        <f t="shared" si="22"/>
        <v>5.0646852250176795E-2</v>
      </c>
      <c r="AW10" s="415">
        <f t="shared" si="22"/>
        <v>4.4415933325470815E-2</v>
      </c>
      <c r="AX10" s="415">
        <f t="shared" si="22"/>
        <v>4.4415933325470815E-2</v>
      </c>
      <c r="AY10" s="415">
        <f t="shared" si="22"/>
        <v>4.4415933325470815E-2</v>
      </c>
      <c r="AZ10" s="415">
        <f t="shared" si="22"/>
        <v>5.2150062716341691E-2</v>
      </c>
      <c r="BA10" s="415">
        <f t="shared" si="22"/>
        <v>5.2150062716341691E-2</v>
      </c>
      <c r="BB10" s="415">
        <f t="shared" si="22"/>
        <v>4.8938357061431043E-2</v>
      </c>
      <c r="BC10" s="415">
        <f t="shared" si="22"/>
        <v>4.8421010052818042E-2</v>
      </c>
      <c r="BD10" s="415">
        <f t="shared" si="22"/>
        <v>5.483875051583309E-2</v>
      </c>
      <c r="BE10" s="415">
        <f t="shared" si="22"/>
        <v>4.9581793666828487E-2</v>
      </c>
      <c r="BF10" s="415">
        <f t="shared" si="22"/>
        <v>4.9581793666828487E-2</v>
      </c>
      <c r="BG10" s="415">
        <f t="shared" si="22"/>
        <v>6.074179653442939E-2</v>
      </c>
      <c r="BH10" s="415">
        <f t="shared" si="22"/>
        <v>5.3647636178124625E-2</v>
      </c>
      <c r="BI10" s="415">
        <f t="shared" si="22"/>
        <v>5.3647636178124625E-2</v>
      </c>
      <c r="BJ10" s="415">
        <f t="shared" si="22"/>
        <v>6.0449062803614707E-2</v>
      </c>
      <c r="BK10" s="415">
        <f t="shared" si="22"/>
        <v>6.0449062803614707E-2</v>
      </c>
      <c r="BL10" s="415">
        <f t="shared" si="22"/>
        <v>5.6882725612646748E-2</v>
      </c>
      <c r="BM10" s="415">
        <f t="shared" si="22"/>
        <v>5.5999482317782609E-2</v>
      </c>
      <c r="BN10" s="415">
        <f t="shared" si="22"/>
        <v>5.8387270030123312E-2</v>
      </c>
      <c r="BO10" s="415">
        <f t="shared" si="22"/>
        <v>5.3378156284170038E-2</v>
      </c>
      <c r="BP10" s="415">
        <f t="shared" si="22"/>
        <v>4.7757645230421863E-2</v>
      </c>
      <c r="BQ10" s="415">
        <f t="shared" ref="BQ10:CV10" si="23">((BQ25-BQ$30)/BQ$30*BQ$31+1)*$B$25/SUM($B$18:$B$29)</f>
        <v>4.7757645230421863E-2</v>
      </c>
      <c r="BR10" s="415">
        <f t="shared" si="23"/>
        <v>5.4131798593239695E-2</v>
      </c>
      <c r="BS10" s="415">
        <f t="shared" si="23"/>
        <v>5.4135970784489416E-2</v>
      </c>
      <c r="BT10" s="415">
        <f t="shared" si="23"/>
        <v>5.2537574358427347E-2</v>
      </c>
      <c r="BU10" s="415">
        <f t="shared" si="23"/>
        <v>5.2178046080193323E-2</v>
      </c>
      <c r="BV10" s="415">
        <f t="shared" si="23"/>
        <v>5.5452104379533677E-2</v>
      </c>
      <c r="BW10" s="415">
        <f t="shared" si="23"/>
        <v>5.5452104379533677E-2</v>
      </c>
      <c r="BX10" s="415">
        <f t="shared" si="23"/>
        <v>5.4615809546589185E-2</v>
      </c>
      <c r="BY10" s="415">
        <f t="shared" si="23"/>
        <v>5.5312263067074062E-2</v>
      </c>
      <c r="BZ10" s="415">
        <f t="shared" si="23"/>
        <v>6.5496801262973262E-2</v>
      </c>
      <c r="CA10" s="415">
        <f t="shared" si="23"/>
        <v>5.2249344547383045E-2</v>
      </c>
      <c r="CB10" s="415">
        <f t="shared" si="23"/>
        <v>5.0788623233496852E-2</v>
      </c>
      <c r="CC10" s="415">
        <f t="shared" si="23"/>
        <v>5.3962575447559134E-2</v>
      </c>
      <c r="CD10" s="415">
        <f t="shared" si="23"/>
        <v>5.3730081393520049E-2</v>
      </c>
      <c r="CE10" s="415">
        <f t="shared" si="23"/>
        <v>5.8176796028323492E-2</v>
      </c>
      <c r="CF10" s="415">
        <f t="shared" si="23"/>
        <v>5.4168927102067894E-2</v>
      </c>
      <c r="CG10" s="415">
        <f t="shared" si="23"/>
        <v>5.5864940049037873E-2</v>
      </c>
      <c r="CH10" s="415">
        <f t="shared" si="23"/>
        <v>5.8466140061866567E-2</v>
      </c>
      <c r="CI10" s="415">
        <f t="shared" si="23"/>
        <v>6.0855887853209716E-2</v>
      </c>
      <c r="CJ10" s="415">
        <f t="shared" si="23"/>
        <v>6.0502402165757092E-2</v>
      </c>
      <c r="CK10" s="415">
        <f t="shared" si="23"/>
        <v>5.815428638707771E-2</v>
      </c>
      <c r="CL10" s="415">
        <f t="shared" si="23"/>
        <v>5.3581861238886593E-2</v>
      </c>
      <c r="CM10" s="415">
        <f t="shared" si="23"/>
        <v>5.3581861238886593E-2</v>
      </c>
      <c r="CN10" s="415">
        <f t="shared" si="23"/>
        <v>5.2150062716341691E-2</v>
      </c>
      <c r="CO10" s="415">
        <f t="shared" si="23"/>
        <v>5.2150062716341691E-2</v>
      </c>
      <c r="CP10" s="415">
        <v>0.11001560226036108</v>
      </c>
      <c r="CQ10" s="415">
        <v>0.11346076994804849</v>
      </c>
      <c r="CR10" s="415" t="s">
        <v>3165</v>
      </c>
      <c r="CS10" s="415">
        <f t="shared" si="23"/>
        <v>5.6902085719603056E-2</v>
      </c>
      <c r="CT10" s="415">
        <f t="shared" si="23"/>
        <v>5.9229411080984118E-2</v>
      </c>
      <c r="CU10" s="415">
        <f t="shared" si="23"/>
        <v>5.6630480139733888E-2</v>
      </c>
      <c r="CV10" s="415">
        <f t="shared" si="23"/>
        <v>6.4878173193733249E-2</v>
      </c>
      <c r="CW10" s="721">
        <v>0.12612000000000001</v>
      </c>
      <c r="CX10" s="721">
        <v>0.11624</v>
      </c>
      <c r="CY10" s="415">
        <f t="shared" ref="CY10" si="24">((CY25-CY$30)/CY$30*CY$31+1)*$B$25/SUM($B$18:$B$29)</f>
        <v>5.6667915845196967E-2</v>
      </c>
      <c r="CZ10" s="415">
        <f>((CZ25-CZ$30)/CZ$30*CZ$31+1)*$B$25/SUM($B$18:$B$29)</f>
        <v>5.29591237875566E-2</v>
      </c>
      <c r="DA10" s="415">
        <v>5.2999999999999999E-2</v>
      </c>
      <c r="DB10" s="416">
        <v>5.3999999999999999E-2</v>
      </c>
      <c r="DC10" s="415">
        <v>5.2999999999999999E-2</v>
      </c>
      <c r="DD10" s="415">
        <v>4.8000000000000001E-2</v>
      </c>
    </row>
    <row r="11" spans="3:108">
      <c r="C11" s="52" t="s">
        <v>3173</v>
      </c>
      <c r="D11" s="415">
        <f>((D26-D$30)/D$30*D$31+1)*$B$26/SUM($B$18:$B$29)</f>
        <v>6.9201277898077312E-2</v>
      </c>
      <c r="E11" s="415">
        <f t="shared" ref="E11:BP11" si="25">((E26-E$30)/E$30*E$31+1)*$B$26/SUM($B$18:$B$29)</f>
        <v>6.9201277898077312E-2</v>
      </c>
      <c r="F11" s="415">
        <f t="shared" si="25"/>
        <v>6.1926781420682184E-2</v>
      </c>
      <c r="G11" s="415">
        <f t="shared" si="25"/>
        <v>6.2507521331036736E-2</v>
      </c>
      <c r="H11" s="415">
        <f t="shared" si="25"/>
        <v>6.0040774028384279E-2</v>
      </c>
      <c r="I11" s="415">
        <f t="shared" si="25"/>
        <v>6.0040774028384279E-2</v>
      </c>
      <c r="J11" s="415">
        <f t="shared" si="25"/>
        <v>6.0040774028384279E-2</v>
      </c>
      <c r="K11" s="415">
        <f t="shared" si="25"/>
        <v>6.0040774028384279E-2</v>
      </c>
      <c r="L11" s="415">
        <f t="shared" si="25"/>
        <v>6.7489603823296787E-2</v>
      </c>
      <c r="M11" s="415">
        <f t="shared" si="25"/>
        <v>6.7489603823296787E-2</v>
      </c>
      <c r="N11" s="415">
        <f t="shared" si="25"/>
        <v>6.6407802929668039E-2</v>
      </c>
      <c r="O11" s="415">
        <f t="shared" si="25"/>
        <v>6.4330749348389768E-2</v>
      </c>
      <c r="P11" s="415">
        <f t="shared" si="25"/>
        <v>7.0070424303501647E-2</v>
      </c>
      <c r="Q11" s="415">
        <f t="shared" si="25"/>
        <v>6.3573839282989542E-2</v>
      </c>
      <c r="R11" s="415">
        <f t="shared" si="25"/>
        <v>6.4642510504338502E-2</v>
      </c>
      <c r="S11" s="415">
        <f t="shared" si="25"/>
        <v>6.4642510504338502E-2</v>
      </c>
      <c r="T11" s="415">
        <f t="shared" si="25"/>
        <v>6.4642510504338502E-2</v>
      </c>
      <c r="U11" s="415">
        <f t="shared" si="25"/>
        <v>6.6232711641078551E-2</v>
      </c>
      <c r="V11" s="415">
        <f t="shared" si="25"/>
        <v>6.7363739289639832E-2</v>
      </c>
      <c r="W11" s="415">
        <f t="shared" si="25"/>
        <v>6.7363739289639832E-2</v>
      </c>
      <c r="X11" s="415">
        <f t="shared" si="25"/>
        <v>6.7363739289639832E-2</v>
      </c>
      <c r="Y11" s="415">
        <f t="shared" si="25"/>
        <v>6.7363739289639832E-2</v>
      </c>
      <c r="Z11" s="415">
        <f t="shared" si="25"/>
        <v>6.6200519291848031E-2</v>
      </c>
      <c r="AA11" s="415">
        <f t="shared" si="25"/>
        <v>6.4790806234823542E-2</v>
      </c>
      <c r="AB11" s="415">
        <f t="shared" si="25"/>
        <v>6.4790806234823542E-2</v>
      </c>
      <c r="AC11" s="415">
        <f t="shared" si="25"/>
        <v>6.4790806234823542E-2</v>
      </c>
      <c r="AD11" s="415">
        <f t="shared" si="25"/>
        <v>6.4790806234823542E-2</v>
      </c>
      <c r="AE11" s="415">
        <f t="shared" si="25"/>
        <v>6.5949421971595729E-2</v>
      </c>
      <c r="AF11" s="415">
        <f t="shared" si="25"/>
        <v>6.5949421971595729E-2</v>
      </c>
      <c r="AG11" s="415">
        <f t="shared" si="25"/>
        <v>6.6965467765970246E-2</v>
      </c>
      <c r="AH11" s="415">
        <f t="shared" si="25"/>
        <v>6.6965467765970246E-2</v>
      </c>
      <c r="AI11" s="415">
        <f t="shared" si="25"/>
        <v>6.7932568905830104E-2</v>
      </c>
      <c r="AJ11" s="415">
        <f t="shared" si="25"/>
        <v>6.0314165860857652E-2</v>
      </c>
      <c r="AK11" s="415">
        <f t="shared" si="25"/>
        <v>6.2319375798168521E-2</v>
      </c>
      <c r="AL11" s="415">
        <f t="shared" si="25"/>
        <v>6.6790969892890156E-2</v>
      </c>
      <c r="AM11" s="415">
        <f t="shared" si="25"/>
        <v>6.4182546639223723E-2</v>
      </c>
      <c r="AN11" s="415">
        <f t="shared" si="25"/>
        <v>6.4182546639223723E-2</v>
      </c>
      <c r="AO11" s="415">
        <f t="shared" si="25"/>
        <v>6.7372683695614458E-2</v>
      </c>
      <c r="AP11" s="415">
        <f t="shared" si="25"/>
        <v>6.7372683695614458E-2</v>
      </c>
      <c r="AQ11" s="415">
        <f t="shared" si="25"/>
        <v>6.7372683695614458E-2</v>
      </c>
      <c r="AR11" s="415">
        <f t="shared" si="25"/>
        <v>6.24780740760109E-2</v>
      </c>
      <c r="AS11" s="415">
        <f t="shared" si="25"/>
        <v>6.745201834392657E-2</v>
      </c>
      <c r="AT11" s="415">
        <f t="shared" si="25"/>
        <v>6.745201834392657E-2</v>
      </c>
      <c r="AU11" s="415">
        <f t="shared" si="25"/>
        <v>6.745201834392657E-2</v>
      </c>
      <c r="AV11" s="415">
        <f t="shared" si="25"/>
        <v>6.655565089999893E-2</v>
      </c>
      <c r="AW11" s="415">
        <f t="shared" si="25"/>
        <v>6.1804579116348624E-2</v>
      </c>
      <c r="AX11" s="415">
        <f t="shared" si="25"/>
        <v>6.1804579116348624E-2</v>
      </c>
      <c r="AY11" s="415">
        <f t="shared" si="25"/>
        <v>6.1804579116348624E-2</v>
      </c>
      <c r="AZ11" s="415">
        <f t="shared" si="25"/>
        <v>6.5962907352784275E-2</v>
      </c>
      <c r="BA11" s="415">
        <f t="shared" si="25"/>
        <v>6.5962907352784275E-2</v>
      </c>
      <c r="BB11" s="415">
        <f t="shared" si="25"/>
        <v>6.6327047610711801E-2</v>
      </c>
      <c r="BC11" s="415">
        <f t="shared" si="25"/>
        <v>6.7243750595890883E-2</v>
      </c>
      <c r="BD11" s="415">
        <f t="shared" si="25"/>
        <v>5.8102398048956866E-2</v>
      </c>
      <c r="BE11" s="415">
        <f t="shared" si="25"/>
        <v>6.5419324403548515E-2</v>
      </c>
      <c r="BF11" s="415">
        <f t="shared" si="25"/>
        <v>6.5419324403548515E-2</v>
      </c>
      <c r="BG11" s="415">
        <f t="shared" si="25"/>
        <v>7.1084099700669881E-2</v>
      </c>
      <c r="BH11" s="415">
        <f t="shared" si="25"/>
        <v>6.8095003449080163E-2</v>
      </c>
      <c r="BI11" s="415">
        <f t="shared" si="25"/>
        <v>6.8095003449080163E-2</v>
      </c>
      <c r="BJ11" s="415">
        <f t="shared" si="25"/>
        <v>6.9701804016374339E-2</v>
      </c>
      <c r="BK11" s="415">
        <f t="shared" si="25"/>
        <v>6.9701804016374339E-2</v>
      </c>
      <c r="BL11" s="415">
        <f t="shared" si="25"/>
        <v>6.9343801309892178E-2</v>
      </c>
      <c r="BM11" s="415">
        <f t="shared" si="25"/>
        <v>6.8318378499028318E-2</v>
      </c>
      <c r="BN11" s="415">
        <f t="shared" si="25"/>
        <v>6.937843010290598E-2</v>
      </c>
      <c r="BO11" s="415">
        <f t="shared" si="25"/>
        <v>6.8131351802790591E-2</v>
      </c>
      <c r="BP11" s="415">
        <f t="shared" si="25"/>
        <v>6.7511934859161099E-2</v>
      </c>
      <c r="BQ11" s="415">
        <f t="shared" ref="BQ11:CV11" si="26">((BQ26-BQ$30)/BQ$30*BQ$31+1)*$B$26/SUM($B$18:$B$29)</f>
        <v>6.7511934859161099E-2</v>
      </c>
      <c r="BR11" s="415">
        <f t="shared" si="26"/>
        <v>6.7298655379366162E-2</v>
      </c>
      <c r="BS11" s="415">
        <f t="shared" si="26"/>
        <v>6.7352612678490034E-2</v>
      </c>
      <c r="BT11" s="415">
        <f t="shared" si="26"/>
        <v>6.5866950901668289E-2</v>
      </c>
      <c r="BU11" s="415">
        <f t="shared" si="26"/>
        <v>6.4199000913507762E-2</v>
      </c>
      <c r="BV11" s="415">
        <f t="shared" si="26"/>
        <v>6.6530571710855205E-2</v>
      </c>
      <c r="BW11" s="415">
        <f t="shared" si="26"/>
        <v>6.6530571710855205E-2</v>
      </c>
      <c r="BX11" s="415">
        <f t="shared" si="26"/>
        <v>6.5904105568094215E-2</v>
      </c>
      <c r="BY11" s="415">
        <f t="shared" si="26"/>
        <v>6.7333804437609418E-2</v>
      </c>
      <c r="BZ11" s="415">
        <f t="shared" si="26"/>
        <v>6.4106850707050064E-2</v>
      </c>
      <c r="CA11" s="415">
        <f t="shared" si="26"/>
        <v>7.0017898637675588E-2</v>
      </c>
      <c r="CB11" s="415">
        <f t="shared" si="26"/>
        <v>6.7388284163494905E-2</v>
      </c>
      <c r="CC11" s="415">
        <f t="shared" si="26"/>
        <v>7.085385955104391E-2</v>
      </c>
      <c r="CD11" s="415">
        <f t="shared" si="26"/>
        <v>6.9375664898449804E-2</v>
      </c>
      <c r="CE11" s="415">
        <f t="shared" si="26"/>
        <v>7.1640885503281376E-2</v>
      </c>
      <c r="CF11" s="415">
        <f t="shared" si="26"/>
        <v>6.4744846942248219E-2</v>
      </c>
      <c r="CG11" s="415">
        <f t="shared" si="26"/>
        <v>7.084962451661328E-2</v>
      </c>
      <c r="CH11" s="415">
        <f t="shared" si="26"/>
        <v>6.8934178995051262E-2</v>
      </c>
      <c r="CI11" s="415">
        <f t="shared" si="26"/>
        <v>7.0597885004921812E-2</v>
      </c>
      <c r="CJ11" s="415">
        <f t="shared" si="26"/>
        <v>7.1337678914576194E-2</v>
      </c>
      <c r="CK11" s="415">
        <f t="shared" si="26"/>
        <v>6.9365430768598219E-2</v>
      </c>
      <c r="CL11" s="415">
        <f t="shared" si="26"/>
        <v>6.8324695585570999E-2</v>
      </c>
      <c r="CM11" s="415">
        <f t="shared" si="26"/>
        <v>6.8324695585570999E-2</v>
      </c>
      <c r="CN11" s="415">
        <f t="shared" si="26"/>
        <v>6.5962907352784275E-2</v>
      </c>
      <c r="CO11" s="415">
        <f t="shared" si="26"/>
        <v>6.5962907352784275E-2</v>
      </c>
      <c r="CP11" s="415">
        <v>8.879521705497502E-2</v>
      </c>
      <c r="CQ11" s="415">
        <v>9.5660716664446518E-2</v>
      </c>
      <c r="CR11" s="415" t="s">
        <v>3165</v>
      </c>
      <c r="CS11" s="415">
        <f t="shared" si="26"/>
        <v>6.7739250183364963E-2</v>
      </c>
      <c r="CT11" s="415">
        <f t="shared" si="26"/>
        <v>7.0750032068848084E-2</v>
      </c>
      <c r="CU11" s="415">
        <f t="shared" si="26"/>
        <v>6.8652606582128031E-2</v>
      </c>
      <c r="CV11" s="415">
        <f t="shared" si="26"/>
        <v>6.5427552174376985E-2</v>
      </c>
      <c r="CW11" s="721">
        <v>9.5280000000000004E-2</v>
      </c>
      <c r="CX11" s="721">
        <v>8.5879999999999998E-2</v>
      </c>
      <c r="CY11" s="415">
        <f t="shared" ref="CY11" si="27">((CY26-CY$30)/CY$30*CY$31+1)*$B$26/SUM($B$18:$B$29)</f>
        <v>6.2991563703097053E-2</v>
      </c>
      <c r="CZ11" s="415">
        <f>((CZ26-CZ$30)/CZ$30*CZ$31+1)*$B$26/SUM($B$18:$B$29)</f>
        <v>6.6325242773504323E-2</v>
      </c>
      <c r="DA11" s="415">
        <v>6.3E-2</v>
      </c>
      <c r="DB11" s="416">
        <v>6.4000000000000001E-2</v>
      </c>
      <c r="DC11" s="415">
        <v>6.3E-2</v>
      </c>
      <c r="DD11" s="415">
        <v>0.06</v>
      </c>
    </row>
    <row r="12" spans="3:108">
      <c r="C12" s="52" t="s">
        <v>3174</v>
      </c>
      <c r="D12" s="415">
        <f>((D27-D$30)/D$30*D$31+1)*$B$27/SUM($B$18:$B$29)</f>
        <v>9.4185830268929502E-2</v>
      </c>
      <c r="E12" s="415">
        <f t="shared" ref="E12:BP12" si="28">((E27-E$30)/E$30*E$31+1)*$B$27/SUM($B$18:$B$29)</f>
        <v>9.4185830268929502E-2</v>
      </c>
      <c r="F12" s="415">
        <f t="shared" si="28"/>
        <v>9.7255211137981579E-2</v>
      </c>
      <c r="G12" s="415">
        <f t="shared" si="28"/>
        <v>9.6818993443483062E-2</v>
      </c>
      <c r="H12" s="415">
        <f t="shared" si="28"/>
        <v>9.6523761762678406E-2</v>
      </c>
      <c r="I12" s="415">
        <f t="shared" si="28"/>
        <v>9.6523761762678406E-2</v>
      </c>
      <c r="J12" s="415">
        <f t="shared" si="28"/>
        <v>9.6523761762678406E-2</v>
      </c>
      <c r="K12" s="415">
        <f t="shared" si="28"/>
        <v>9.6523761762678406E-2</v>
      </c>
      <c r="L12" s="415">
        <f t="shared" si="28"/>
        <v>8.0224019654007217E-2</v>
      </c>
      <c r="M12" s="415">
        <f t="shared" si="28"/>
        <v>8.0224019654007217E-2</v>
      </c>
      <c r="N12" s="415">
        <f t="shared" si="28"/>
        <v>7.9880601405642765E-2</v>
      </c>
      <c r="O12" s="415">
        <f t="shared" si="28"/>
        <v>8.9256324780972798E-2</v>
      </c>
      <c r="P12" s="415">
        <f t="shared" si="28"/>
        <v>8.411841604954283E-2</v>
      </c>
      <c r="Q12" s="415">
        <f t="shared" si="28"/>
        <v>9.6622367600181655E-2</v>
      </c>
      <c r="R12" s="415">
        <f t="shared" si="28"/>
        <v>9.676352572628745E-2</v>
      </c>
      <c r="S12" s="415">
        <f t="shared" si="28"/>
        <v>9.676352572628745E-2</v>
      </c>
      <c r="T12" s="415">
        <f t="shared" si="28"/>
        <v>9.676352572628745E-2</v>
      </c>
      <c r="U12" s="415">
        <f t="shared" si="28"/>
        <v>9.0632636929033811E-2</v>
      </c>
      <c r="V12" s="415">
        <f t="shared" si="28"/>
        <v>9.3657699452557322E-2</v>
      </c>
      <c r="W12" s="415">
        <f t="shared" si="28"/>
        <v>9.3657699452557322E-2</v>
      </c>
      <c r="X12" s="415">
        <f t="shared" si="28"/>
        <v>9.3657699452557322E-2</v>
      </c>
      <c r="Y12" s="415">
        <f t="shared" si="28"/>
        <v>9.3657699452557322E-2</v>
      </c>
      <c r="Z12" s="415">
        <f t="shared" si="28"/>
        <v>9.4570104362217411E-2</v>
      </c>
      <c r="AA12" s="415">
        <f t="shared" si="28"/>
        <v>8.7137188763969461E-2</v>
      </c>
      <c r="AB12" s="415">
        <f t="shared" si="28"/>
        <v>8.7137188763969461E-2</v>
      </c>
      <c r="AC12" s="415">
        <f t="shared" si="28"/>
        <v>8.7137188763969461E-2</v>
      </c>
      <c r="AD12" s="415">
        <f t="shared" si="28"/>
        <v>8.7137188763969461E-2</v>
      </c>
      <c r="AE12" s="415">
        <f t="shared" si="28"/>
        <v>9.5260624855399642E-2</v>
      </c>
      <c r="AF12" s="415">
        <f t="shared" si="28"/>
        <v>9.5260624855399642E-2</v>
      </c>
      <c r="AG12" s="415">
        <f t="shared" si="28"/>
        <v>9.5434046906587744E-2</v>
      </c>
      <c r="AH12" s="415">
        <f t="shared" si="28"/>
        <v>9.5434046906587744E-2</v>
      </c>
      <c r="AI12" s="415">
        <f t="shared" si="28"/>
        <v>9.0897605150486852E-2</v>
      </c>
      <c r="AJ12" s="415">
        <f t="shared" si="28"/>
        <v>9.3785821901772135E-2</v>
      </c>
      <c r="AK12" s="415">
        <f t="shared" si="28"/>
        <v>8.8807603001207019E-2</v>
      </c>
      <c r="AL12" s="415">
        <f t="shared" si="28"/>
        <v>9.8471090832355848E-2</v>
      </c>
      <c r="AM12" s="415">
        <f t="shared" si="28"/>
        <v>8.7362779114156561E-2</v>
      </c>
      <c r="AN12" s="415">
        <f t="shared" si="28"/>
        <v>8.7362779114156561E-2</v>
      </c>
      <c r="AO12" s="415">
        <f t="shared" si="28"/>
        <v>9.6026968691410294E-2</v>
      </c>
      <c r="AP12" s="415">
        <f t="shared" si="28"/>
        <v>9.6026968691410294E-2</v>
      </c>
      <c r="AQ12" s="415">
        <f t="shared" si="28"/>
        <v>9.6026968691410294E-2</v>
      </c>
      <c r="AR12" s="415">
        <f t="shared" si="28"/>
        <v>0.1026927466739281</v>
      </c>
      <c r="AS12" s="415">
        <f t="shared" si="28"/>
        <v>9.6124469158368975E-2</v>
      </c>
      <c r="AT12" s="415">
        <f t="shared" si="28"/>
        <v>9.6124469158368975E-2</v>
      </c>
      <c r="AU12" s="415">
        <f t="shared" si="28"/>
        <v>9.6124469158368975E-2</v>
      </c>
      <c r="AV12" s="415">
        <f t="shared" si="28"/>
        <v>9.3051833774998746E-2</v>
      </c>
      <c r="AW12" s="415">
        <f t="shared" si="28"/>
        <v>8.963049991109312E-2</v>
      </c>
      <c r="AX12" s="415">
        <f t="shared" si="28"/>
        <v>8.963049991109312E-2</v>
      </c>
      <c r="AY12" s="415">
        <f t="shared" si="28"/>
        <v>8.963049991109312E-2</v>
      </c>
      <c r="AZ12" s="415">
        <f t="shared" si="28"/>
        <v>8.4513951661289083E-2</v>
      </c>
      <c r="BA12" s="415">
        <f t="shared" si="28"/>
        <v>8.4513951661289083E-2</v>
      </c>
      <c r="BB12" s="415">
        <f t="shared" si="28"/>
        <v>9.3496342205144398E-2</v>
      </c>
      <c r="BC12" s="415">
        <f t="shared" si="28"/>
        <v>9.6124379995255818E-2</v>
      </c>
      <c r="BD12" s="415">
        <f t="shared" si="28"/>
        <v>8.9491844142756335E-2</v>
      </c>
      <c r="BE12" s="415">
        <f t="shared" si="28"/>
        <v>9.0296185985618588E-2</v>
      </c>
      <c r="BF12" s="415">
        <f t="shared" si="28"/>
        <v>9.0296185985618588E-2</v>
      </c>
      <c r="BG12" s="415">
        <f t="shared" si="28"/>
        <v>9.3492267652300953E-2</v>
      </c>
      <c r="BH12" s="415">
        <f t="shared" si="28"/>
        <v>9.7575295914267765E-2</v>
      </c>
      <c r="BI12" s="415">
        <f t="shared" si="28"/>
        <v>9.7575295914267765E-2</v>
      </c>
      <c r="BJ12" s="415">
        <f t="shared" si="28"/>
        <v>9.3430522882735262E-2</v>
      </c>
      <c r="BK12" s="415">
        <f t="shared" si="28"/>
        <v>9.3430522882735262E-2</v>
      </c>
      <c r="BL12" s="415">
        <f t="shared" si="28"/>
        <v>9.6879422687572103E-2</v>
      </c>
      <c r="BM12" s="415">
        <f t="shared" si="28"/>
        <v>9.5338253377172125E-2</v>
      </c>
      <c r="BN12" s="415">
        <f t="shared" si="28"/>
        <v>9.3864001788913173E-2</v>
      </c>
      <c r="BO12" s="415">
        <f t="shared" si="28"/>
        <v>9.0121121561969081E-2</v>
      </c>
      <c r="BP12" s="415">
        <f t="shared" si="28"/>
        <v>9.8240657229412789E-2</v>
      </c>
      <c r="BQ12" s="415">
        <f t="shared" ref="BQ12:CV12" si="29">((BQ27-BQ$30)/BQ$30*BQ$31+1)*$B$27/SUM($B$18:$B$29)</f>
        <v>9.8240657229412789E-2</v>
      </c>
      <c r="BR12" s="415">
        <f t="shared" si="29"/>
        <v>9.0717232201494483E-2</v>
      </c>
      <c r="BS12" s="415">
        <f t="shared" si="29"/>
        <v>9.0559973044224806E-2</v>
      </c>
      <c r="BT12" s="415">
        <f t="shared" si="29"/>
        <v>9.5676763089550837E-2</v>
      </c>
      <c r="BU12" s="415">
        <f t="shared" si="29"/>
        <v>9.7072835767330085E-2</v>
      </c>
      <c r="BV12" s="415">
        <f t="shared" si="29"/>
        <v>9.6594471217031921E-2</v>
      </c>
      <c r="BW12" s="415">
        <f t="shared" si="29"/>
        <v>9.6594471217031921E-2</v>
      </c>
      <c r="BX12" s="415">
        <f t="shared" si="29"/>
        <v>9.5521494596572831E-2</v>
      </c>
      <c r="BY12" s="415">
        <f t="shared" si="29"/>
        <v>9.4283438747964785E-2</v>
      </c>
      <c r="BZ12" s="415">
        <f t="shared" si="29"/>
        <v>7.4284383235269091E-2</v>
      </c>
      <c r="CA12" s="415">
        <f t="shared" si="29"/>
        <v>9.3810432592555157E-2</v>
      </c>
      <c r="CB12" s="415">
        <f t="shared" si="29"/>
        <v>9.2389716515357559E-2</v>
      </c>
      <c r="CC12" s="415">
        <f t="shared" si="29"/>
        <v>9.1670954757210238E-2</v>
      </c>
      <c r="CD12" s="415">
        <f t="shared" si="29"/>
        <v>9.537476857366016E-2</v>
      </c>
      <c r="CE12" s="415">
        <f t="shared" si="29"/>
        <v>9.3890145500979849E-2</v>
      </c>
      <c r="CF12" s="415">
        <f t="shared" si="29"/>
        <v>8.7357126763645668E-2</v>
      </c>
      <c r="CG12" s="415">
        <f t="shared" si="29"/>
        <v>9.4498825914885662E-2</v>
      </c>
      <c r="CH12" s="415">
        <f t="shared" si="29"/>
        <v>9.2978589993247193E-2</v>
      </c>
      <c r="CI12" s="415">
        <f t="shared" si="29"/>
        <v>9.3153501002904218E-2</v>
      </c>
      <c r="CJ12" s="415">
        <f t="shared" si="29"/>
        <v>9.5167151139777043E-2</v>
      </c>
      <c r="CK12" s="415">
        <f t="shared" si="29"/>
        <v>9.4991377744048699E-2</v>
      </c>
      <c r="CL12" s="415">
        <f t="shared" si="29"/>
        <v>9.8056820679861295E-2</v>
      </c>
      <c r="CM12" s="415">
        <f t="shared" si="29"/>
        <v>9.8056820679861295E-2</v>
      </c>
      <c r="CN12" s="415">
        <f t="shared" si="29"/>
        <v>8.4513951661289083E-2</v>
      </c>
      <c r="CO12" s="415">
        <f t="shared" si="29"/>
        <v>8.4513951661289083E-2</v>
      </c>
      <c r="CP12" s="415">
        <v>6.9790615043725648E-2</v>
      </c>
      <c r="CQ12" s="415">
        <v>7.5529505794591723E-2</v>
      </c>
      <c r="CR12" s="415" t="s">
        <v>3165</v>
      </c>
      <c r="CS12" s="415">
        <f t="shared" si="29"/>
        <v>8.0303270019014397E-2</v>
      </c>
      <c r="CT12" s="415">
        <f t="shared" si="29"/>
        <v>9.5031653786903883E-2</v>
      </c>
      <c r="CU12" s="415">
        <f t="shared" si="29"/>
        <v>9.4661247980677612E-2</v>
      </c>
      <c r="CV12" s="415">
        <f t="shared" si="29"/>
        <v>8.8120116491886599E-2</v>
      </c>
      <c r="CW12" s="721">
        <v>6.4269999999999994E-2</v>
      </c>
      <c r="CX12" s="721">
        <v>6.5140000000000003E-2</v>
      </c>
      <c r="CY12" s="415">
        <f t="shared" ref="CY12" si="30">((CY27-CY$30)/CY$30*CY$31+1)*$B$27/SUM($B$18:$B$29)</f>
        <v>8.8428963029727164E-2</v>
      </c>
      <c r="CZ12" s="415">
        <f>((CZ27-CZ$30)/CZ$30*CZ$31+1)*$B$27/SUM($B$18:$B$29)</f>
        <v>8.6001161024562137E-2</v>
      </c>
      <c r="DA12" s="415">
        <v>8.5999999999999993E-2</v>
      </c>
      <c r="DB12" s="416">
        <v>8.5999999999999993E-2</v>
      </c>
      <c r="DC12" s="415">
        <v>8.5999999999999993E-2</v>
      </c>
      <c r="DD12" s="415">
        <v>9.5000000000000001E-2</v>
      </c>
    </row>
    <row r="13" spans="3:108">
      <c r="C13" s="52" t="s">
        <v>3175</v>
      </c>
      <c r="D13" s="415">
        <f>((D28-D$30)/D$30*D$31+1)*$B$28/SUM($B$18:$B$29)</f>
        <v>8.9930989322154709E-2</v>
      </c>
      <c r="E13" s="415">
        <f t="shared" ref="E13:BP13" si="31">((E28-E$30)/E$30*E$31+1)*$B$28/SUM($B$18:$B$29)</f>
        <v>8.9930989322154709E-2</v>
      </c>
      <c r="F13" s="415">
        <f t="shared" si="31"/>
        <v>0.10310675319921361</v>
      </c>
      <c r="G13" s="415">
        <f t="shared" si="31"/>
        <v>0.10298535610240701</v>
      </c>
      <c r="H13" s="415">
        <f t="shared" si="31"/>
        <v>0.10807955242804947</v>
      </c>
      <c r="I13" s="415">
        <f t="shared" si="31"/>
        <v>0.10807955242804947</v>
      </c>
      <c r="J13" s="415">
        <f t="shared" si="31"/>
        <v>0.10807955242804947</v>
      </c>
      <c r="K13" s="415">
        <f t="shared" si="31"/>
        <v>0.10807955242804947</v>
      </c>
      <c r="L13" s="415">
        <f t="shared" si="31"/>
        <v>0.10114398319660732</v>
      </c>
      <c r="M13" s="415">
        <f t="shared" si="31"/>
        <v>0.10114398319660732</v>
      </c>
      <c r="N13" s="415">
        <f t="shared" si="31"/>
        <v>0.10254801714305264</v>
      </c>
      <c r="O13" s="415">
        <f t="shared" si="31"/>
        <v>0.10302594407492925</v>
      </c>
      <c r="P13" s="415">
        <f t="shared" si="31"/>
        <v>9.8653062492153207E-2</v>
      </c>
      <c r="Q13" s="415">
        <f t="shared" si="31"/>
        <v>0.10255693573876949</v>
      </c>
      <c r="R13" s="415">
        <f t="shared" si="31"/>
        <v>9.9099913659756858E-2</v>
      </c>
      <c r="S13" s="415">
        <f t="shared" si="31"/>
        <v>9.9099913659756858E-2</v>
      </c>
      <c r="T13" s="415">
        <f t="shared" si="31"/>
        <v>9.9099913659756858E-2</v>
      </c>
      <c r="U13" s="415">
        <f t="shared" si="31"/>
        <v>9.4934940814155891E-2</v>
      </c>
      <c r="V13" s="415">
        <f t="shared" si="31"/>
        <v>9.7038650849787897E-2</v>
      </c>
      <c r="W13" s="415">
        <f t="shared" si="31"/>
        <v>9.7038650849787897E-2</v>
      </c>
      <c r="X13" s="415">
        <f t="shared" si="31"/>
        <v>9.7038650849787897E-2</v>
      </c>
      <c r="Y13" s="415">
        <f t="shared" si="31"/>
        <v>9.7038650849787897E-2</v>
      </c>
      <c r="Z13" s="415">
        <f t="shared" si="31"/>
        <v>9.7855258746778945E-2</v>
      </c>
      <c r="AA13" s="415">
        <f t="shared" si="31"/>
        <v>9.6012730159212981E-2</v>
      </c>
      <c r="AB13" s="415">
        <f t="shared" si="31"/>
        <v>9.6012730159212981E-2</v>
      </c>
      <c r="AC13" s="415">
        <f t="shared" si="31"/>
        <v>9.6012730159212981E-2</v>
      </c>
      <c r="AD13" s="415">
        <f t="shared" si="31"/>
        <v>9.6012730159212981E-2</v>
      </c>
      <c r="AE13" s="415">
        <f t="shared" si="31"/>
        <v>9.7093007864655204E-2</v>
      </c>
      <c r="AF13" s="415">
        <f t="shared" si="31"/>
        <v>9.7093007864655204E-2</v>
      </c>
      <c r="AG13" s="415">
        <f t="shared" si="31"/>
        <v>9.7549578841928608E-2</v>
      </c>
      <c r="AH13" s="415">
        <f t="shared" si="31"/>
        <v>9.7549578841928608E-2</v>
      </c>
      <c r="AI13" s="415">
        <f t="shared" si="31"/>
        <v>9.1173811342178418E-2</v>
      </c>
      <c r="AJ13" s="415">
        <f t="shared" si="31"/>
        <v>0.10955347628777237</v>
      </c>
      <c r="AK13" s="415">
        <f t="shared" si="31"/>
        <v>0.10376653438535126</v>
      </c>
      <c r="AL13" s="415">
        <f t="shared" si="31"/>
        <v>9.9280916692100887E-2</v>
      </c>
      <c r="AM13" s="415">
        <f t="shared" si="31"/>
        <v>9.8580334998101329E-2</v>
      </c>
      <c r="AN13" s="415">
        <f t="shared" si="31"/>
        <v>9.8580334998101329E-2</v>
      </c>
      <c r="AO13" s="415">
        <f t="shared" si="31"/>
        <v>9.9380515432850772E-2</v>
      </c>
      <c r="AP13" s="415">
        <f t="shared" si="31"/>
        <v>9.9380515432850772E-2</v>
      </c>
      <c r="AQ13" s="415">
        <f t="shared" si="31"/>
        <v>9.9380515432850772E-2</v>
      </c>
      <c r="AR13" s="415">
        <f t="shared" si="31"/>
        <v>0.10318318244155716</v>
      </c>
      <c r="AS13" s="415">
        <f t="shared" si="31"/>
        <v>9.7190019010339565E-2</v>
      </c>
      <c r="AT13" s="415">
        <f t="shared" si="31"/>
        <v>9.7190019010339565E-2</v>
      </c>
      <c r="AU13" s="415">
        <f t="shared" si="31"/>
        <v>9.7190019010339565E-2</v>
      </c>
      <c r="AV13" s="415">
        <f t="shared" si="31"/>
        <v>9.6827972111222585E-2</v>
      </c>
      <c r="AW13" s="415">
        <f t="shared" si="31"/>
        <v>0.10197701334045904</v>
      </c>
      <c r="AX13" s="415">
        <f t="shared" si="31"/>
        <v>0.10197701334045904</v>
      </c>
      <c r="AY13" s="415">
        <f t="shared" si="31"/>
        <v>0.10197701334045904</v>
      </c>
      <c r="AZ13" s="415">
        <f t="shared" si="31"/>
        <v>0.10376010273101408</v>
      </c>
      <c r="BA13" s="415">
        <f t="shared" si="31"/>
        <v>0.10376010273101408</v>
      </c>
      <c r="BB13" s="415">
        <f t="shared" si="31"/>
        <v>9.830221302945627E-2</v>
      </c>
      <c r="BC13" s="415">
        <f t="shared" si="31"/>
        <v>9.9531126715111801E-2</v>
      </c>
      <c r="BD13" s="415">
        <f t="shared" si="31"/>
        <v>9.8128343861532116E-2</v>
      </c>
      <c r="BE13" s="415">
        <f t="shared" si="31"/>
        <v>9.9770849203309697E-2</v>
      </c>
      <c r="BF13" s="415">
        <f t="shared" si="31"/>
        <v>9.9770849203309697E-2</v>
      </c>
      <c r="BG13" s="415">
        <f t="shared" si="31"/>
        <v>9.3658602768831492E-2</v>
      </c>
      <c r="BH13" s="415">
        <f t="shared" si="31"/>
        <v>0.10000287142241374</v>
      </c>
      <c r="BI13" s="415">
        <f t="shared" si="31"/>
        <v>0.10000287142241374</v>
      </c>
      <c r="BJ13" s="415">
        <f t="shared" si="31"/>
        <v>9.573283062224712E-2</v>
      </c>
      <c r="BK13" s="415">
        <f t="shared" si="31"/>
        <v>9.573283062224712E-2</v>
      </c>
      <c r="BL13" s="415">
        <f t="shared" si="31"/>
        <v>9.9249374330809603E-2</v>
      </c>
      <c r="BM13" s="415">
        <f t="shared" si="31"/>
        <v>9.7846708827694515E-2</v>
      </c>
      <c r="BN13" s="415">
        <f t="shared" si="31"/>
        <v>9.5172845002229819E-2</v>
      </c>
      <c r="BO13" s="415">
        <f t="shared" si="31"/>
        <v>9.6198236247251268E-2</v>
      </c>
      <c r="BP13" s="415">
        <f t="shared" si="31"/>
        <v>9.9385530010742851E-2</v>
      </c>
      <c r="BQ13" s="415">
        <f t="shared" ref="BQ13:CV13" si="32">((BQ28-BQ$30)/BQ$30*BQ$31+1)*$B$28/SUM($B$18:$B$29)</f>
        <v>9.9385530010742851E-2</v>
      </c>
      <c r="BR13" s="415">
        <f t="shared" si="32"/>
        <v>9.440126164436495E-2</v>
      </c>
      <c r="BS13" s="415">
        <f t="shared" si="32"/>
        <v>9.4206497672580103E-2</v>
      </c>
      <c r="BT13" s="415">
        <f t="shared" si="32"/>
        <v>0.10323980418717897</v>
      </c>
      <c r="BU13" s="415">
        <f t="shared" si="32"/>
        <v>0.10222416241404568</v>
      </c>
      <c r="BV13" s="415">
        <f t="shared" si="32"/>
        <v>9.8927638476178234E-2</v>
      </c>
      <c r="BW13" s="415">
        <f t="shared" si="32"/>
        <v>9.8927638476178234E-2</v>
      </c>
      <c r="BX13" s="415">
        <f t="shared" si="32"/>
        <v>9.8952384877864966E-2</v>
      </c>
      <c r="BY13" s="415">
        <f t="shared" si="32"/>
        <v>9.6280653527623897E-2</v>
      </c>
      <c r="BZ13" s="415">
        <f t="shared" si="32"/>
        <v>9.3616117910791899E-2</v>
      </c>
      <c r="CA13" s="415">
        <f t="shared" si="32"/>
        <v>9.4129557047883158E-2</v>
      </c>
      <c r="CB13" s="415">
        <f t="shared" si="32"/>
        <v>9.6580382828909545E-2</v>
      </c>
      <c r="CC13" s="415">
        <f t="shared" si="32"/>
        <v>9.2574050736274463E-2</v>
      </c>
      <c r="CD13" s="415">
        <f t="shared" si="32"/>
        <v>9.3613177095423161E-2</v>
      </c>
      <c r="CE13" s="415">
        <f t="shared" si="32"/>
        <v>9.1887121499850746E-2</v>
      </c>
      <c r="CF13" s="415">
        <f t="shared" si="32"/>
        <v>9.4936943176498576E-2</v>
      </c>
      <c r="CG13" s="415">
        <f t="shared" si="32"/>
        <v>9.2616562664006613E-2</v>
      </c>
      <c r="CH13" s="415">
        <f t="shared" si="32"/>
        <v>9.398353781621463E-2</v>
      </c>
      <c r="CI13" s="415">
        <f t="shared" si="32"/>
        <v>9.3965885115840905E-2</v>
      </c>
      <c r="CJ13" s="415">
        <f t="shared" si="32"/>
        <v>9.6006511607283629E-2</v>
      </c>
      <c r="CK13" s="415">
        <f t="shared" si="32"/>
        <v>9.7529711781816353E-2</v>
      </c>
      <c r="CL13" s="415">
        <f t="shared" si="32"/>
        <v>9.9592636611006174E-2</v>
      </c>
      <c r="CM13" s="415">
        <f t="shared" si="32"/>
        <v>9.9592636611006174E-2</v>
      </c>
      <c r="CN13" s="415">
        <f t="shared" si="32"/>
        <v>0.10376010273101408</v>
      </c>
      <c r="CO13" s="415">
        <f t="shared" si="32"/>
        <v>0.10376010273101408</v>
      </c>
      <c r="CP13" s="415">
        <v>4.9946899870199679E-2</v>
      </c>
      <c r="CQ13" s="415">
        <v>4.6073664579725594E-2</v>
      </c>
      <c r="CR13" s="415" t="s">
        <v>3165</v>
      </c>
      <c r="CS13" s="415">
        <f t="shared" si="32"/>
        <v>0.10081997536281224</v>
      </c>
      <c r="CT13" s="415">
        <f t="shared" si="32"/>
        <v>9.3335671286487953E-2</v>
      </c>
      <c r="CU13" s="415">
        <f t="shared" si="32"/>
        <v>9.649272221560902E-2</v>
      </c>
      <c r="CV13" s="415">
        <f t="shared" si="32"/>
        <v>0.10068680061318941</v>
      </c>
      <c r="CW13" s="721">
        <v>3.542E-2</v>
      </c>
      <c r="CX13" s="721">
        <v>4.3209999999999998E-2</v>
      </c>
      <c r="CY13" s="415">
        <f t="shared" ref="CY13" si="33">((CY28-CY$30)/CY$30*CY$31+1)*$B$28/SUM($B$18:$B$29)</f>
        <v>0.10360593685789113</v>
      </c>
      <c r="CZ13" s="415">
        <f>((CZ28-CZ$30)/CZ$30*CZ$31+1)*$B$28/SUM($B$18:$B$29)</f>
        <v>9.0941814294161302E-2</v>
      </c>
      <c r="DA13" s="415">
        <v>0.1</v>
      </c>
      <c r="DB13" s="416">
        <v>9.9000000000000005E-2</v>
      </c>
      <c r="DC13" s="415">
        <v>0.1</v>
      </c>
      <c r="DD13" s="415">
        <v>0.105</v>
      </c>
    </row>
    <row r="14" spans="3:108">
      <c r="C14" s="52" t="s">
        <v>3176</v>
      </c>
      <c r="D14" s="415">
        <f>((D29-D$30)/D$30*D$31+1)*$B$29/SUM($B$18:$B$29)</f>
        <v>9.5048574300196267E-2</v>
      </c>
      <c r="E14" s="415">
        <f t="shared" ref="E14:BP14" si="34">((E29-E$30)/E$30*E$31+1)*$B$29/SUM($B$18:$B$29)</f>
        <v>9.5048574300196267E-2</v>
      </c>
      <c r="F14" s="415">
        <f t="shared" si="34"/>
        <v>0.12584617153492239</v>
      </c>
      <c r="G14" s="415">
        <f t="shared" si="34"/>
        <v>0.12495269487287</v>
      </c>
      <c r="H14" s="415">
        <f t="shared" si="34"/>
        <v>0.11976670679590323</v>
      </c>
      <c r="I14" s="415">
        <f t="shared" si="34"/>
        <v>0.11976670679590323</v>
      </c>
      <c r="J14" s="415">
        <f t="shared" si="34"/>
        <v>0.11976670679590323</v>
      </c>
      <c r="K14" s="415">
        <f t="shared" si="34"/>
        <v>0.11976670679590323</v>
      </c>
      <c r="L14" s="415">
        <f t="shared" si="34"/>
        <v>0.10821798914996925</v>
      </c>
      <c r="M14" s="415">
        <f t="shared" si="34"/>
        <v>0.10821798914996925</v>
      </c>
      <c r="N14" s="415">
        <f t="shared" si="34"/>
        <v>0.10994230728482927</v>
      </c>
      <c r="O14" s="415">
        <f t="shared" si="34"/>
        <v>0.11948090987216071</v>
      </c>
      <c r="P14" s="415">
        <f t="shared" si="34"/>
        <v>0.1023537324549573</v>
      </c>
      <c r="Q14" s="415">
        <f t="shared" si="34"/>
        <v>0.1232723894350914</v>
      </c>
      <c r="R14" s="415">
        <f t="shared" si="34"/>
        <v>0.11957492398544187</v>
      </c>
      <c r="S14" s="415">
        <f t="shared" si="34"/>
        <v>0.11957492398544187</v>
      </c>
      <c r="T14" s="415">
        <f t="shared" si="34"/>
        <v>0.11957492398544187</v>
      </c>
      <c r="U14" s="415">
        <f t="shared" si="34"/>
        <v>0.11880419633505293</v>
      </c>
      <c r="V14" s="415">
        <f t="shared" si="34"/>
        <v>0.11493481291133012</v>
      </c>
      <c r="W14" s="415">
        <f t="shared" si="34"/>
        <v>0.11493481291133012</v>
      </c>
      <c r="X14" s="415">
        <f t="shared" si="34"/>
        <v>0.11493481291133012</v>
      </c>
      <c r="Y14" s="415">
        <f t="shared" si="34"/>
        <v>0.11493481291133012</v>
      </c>
      <c r="Z14" s="415">
        <f t="shared" si="34"/>
        <v>0.11802390352124535</v>
      </c>
      <c r="AA14" s="415">
        <f t="shared" si="34"/>
        <v>0.11927968462281481</v>
      </c>
      <c r="AB14" s="415">
        <f t="shared" si="34"/>
        <v>0.11927968462281481</v>
      </c>
      <c r="AC14" s="415">
        <f t="shared" si="34"/>
        <v>0.11927968462281481</v>
      </c>
      <c r="AD14" s="415">
        <f t="shared" si="34"/>
        <v>0.11927968462281481</v>
      </c>
      <c r="AE14" s="415">
        <f t="shared" si="34"/>
        <v>0.11762149810653616</v>
      </c>
      <c r="AF14" s="415">
        <f t="shared" si="34"/>
        <v>0.11762149810653616</v>
      </c>
      <c r="AG14" s="415">
        <f t="shared" si="34"/>
        <v>0.11730246911705769</v>
      </c>
      <c r="AH14" s="415">
        <f t="shared" si="34"/>
        <v>0.11730246911705769</v>
      </c>
      <c r="AI14" s="415">
        <f t="shared" si="34"/>
        <v>9.6854423404561768E-2</v>
      </c>
      <c r="AJ14" s="415">
        <f t="shared" si="34"/>
        <v>0.13027853380168983</v>
      </c>
      <c r="AK14" s="415">
        <f t="shared" si="34"/>
        <v>0.12350910685860325</v>
      </c>
      <c r="AL14" s="415">
        <f t="shared" si="34"/>
        <v>0.12544713798873616</v>
      </c>
      <c r="AM14" s="415">
        <f t="shared" si="34"/>
        <v>0.12004901512954283</v>
      </c>
      <c r="AN14" s="415">
        <f t="shared" si="34"/>
        <v>0.12004901512954283</v>
      </c>
      <c r="AO14" s="415">
        <f t="shared" si="34"/>
        <v>0.12149538812195197</v>
      </c>
      <c r="AP14" s="415">
        <f t="shared" si="34"/>
        <v>0.12149538812195197</v>
      </c>
      <c r="AQ14" s="415">
        <f t="shared" si="34"/>
        <v>0.12149538812195197</v>
      </c>
      <c r="AR14" s="415">
        <f t="shared" si="34"/>
        <v>0.10171027787834118</v>
      </c>
      <c r="AS14" s="415">
        <f t="shared" si="34"/>
        <v>0.12217415265245021</v>
      </c>
      <c r="AT14" s="415">
        <f t="shared" si="34"/>
        <v>0.12217415265245021</v>
      </c>
      <c r="AU14" s="415">
        <f t="shared" si="34"/>
        <v>0.12217415265245021</v>
      </c>
      <c r="AV14" s="415">
        <f t="shared" si="34"/>
        <v>0.12162590529519454</v>
      </c>
      <c r="AW14" s="415">
        <f t="shared" si="34"/>
        <v>0.12445162861674446</v>
      </c>
      <c r="AX14" s="415">
        <f t="shared" si="34"/>
        <v>0.12445162861674446</v>
      </c>
      <c r="AY14" s="415">
        <f t="shared" si="34"/>
        <v>0.12445162861674446</v>
      </c>
      <c r="AZ14" s="415">
        <f t="shared" si="34"/>
        <v>0.10926280791330772</v>
      </c>
      <c r="BA14" s="415">
        <f t="shared" si="34"/>
        <v>0.10926280791330772</v>
      </c>
      <c r="BB14" s="415">
        <f t="shared" si="34"/>
        <v>0.12200753137019156</v>
      </c>
      <c r="BC14" s="415">
        <f t="shared" si="34"/>
        <v>0.1218152310365446</v>
      </c>
      <c r="BD14" s="415">
        <f t="shared" si="34"/>
        <v>0.12054840350825978</v>
      </c>
      <c r="BE14" s="415">
        <f t="shared" si="34"/>
        <v>0.11957250723000111</v>
      </c>
      <c r="BF14" s="415">
        <f t="shared" si="34"/>
        <v>0.11957250723000111</v>
      </c>
      <c r="BG14" s="415">
        <f t="shared" si="34"/>
        <v>0.10827853156670388</v>
      </c>
      <c r="BH14" s="415">
        <f t="shared" si="34"/>
        <v>0.11653002965287285</v>
      </c>
      <c r="BI14" s="415">
        <f t="shared" si="34"/>
        <v>0.11653002965287285</v>
      </c>
      <c r="BJ14" s="415">
        <f t="shared" si="34"/>
        <v>0.11172081567709123</v>
      </c>
      <c r="BK14" s="415">
        <f t="shared" si="34"/>
        <v>0.11172081567709123</v>
      </c>
      <c r="BL14" s="415">
        <f t="shared" si="34"/>
        <v>0.1145024017720556</v>
      </c>
      <c r="BM14" s="415">
        <f t="shared" si="34"/>
        <v>0.11492206668890052</v>
      </c>
      <c r="BN14" s="415">
        <f t="shared" si="34"/>
        <v>0.11181242726424828</v>
      </c>
      <c r="BO14" s="415">
        <f t="shared" si="34"/>
        <v>0.11187295700642612</v>
      </c>
      <c r="BP14" s="415">
        <f t="shared" si="34"/>
        <v>0.12342537693869565</v>
      </c>
      <c r="BQ14" s="415">
        <f t="shared" ref="BQ14:CV14" si="35">((BQ29-BQ$30)/BQ$30*BQ$31+1)*$B$29/SUM($B$18:$B$29)</f>
        <v>0.12342537693869565</v>
      </c>
      <c r="BR14" s="415">
        <f t="shared" si="35"/>
        <v>0.11612757817287388</v>
      </c>
      <c r="BS14" s="415">
        <f t="shared" si="35"/>
        <v>0.11598288671762387</v>
      </c>
      <c r="BT14" s="415">
        <f t="shared" si="35"/>
        <v>0.11802131294130046</v>
      </c>
      <c r="BU14" s="415">
        <f t="shared" si="35"/>
        <v>0.11904041916710179</v>
      </c>
      <c r="BV14" s="415">
        <f t="shared" si="35"/>
        <v>0.11608918672830196</v>
      </c>
      <c r="BW14" s="415">
        <f t="shared" si="35"/>
        <v>0.11608918672830196</v>
      </c>
      <c r="BX14" s="415">
        <f t="shared" si="35"/>
        <v>0.11857068241618797</v>
      </c>
      <c r="BY14" s="415">
        <f t="shared" si="35"/>
        <v>0.11521384973489603</v>
      </c>
      <c r="BZ14" s="415">
        <f t="shared" si="35"/>
        <v>9.4320070132103556E-2</v>
      </c>
      <c r="CA14" s="415">
        <f t="shared" si="35"/>
        <v>0.11569448599062086</v>
      </c>
      <c r="CB14" s="415">
        <f t="shared" si="35"/>
        <v>0.11978342380264172</v>
      </c>
      <c r="CC14" s="415">
        <f t="shared" si="35"/>
        <v>0.11238662999149672</v>
      </c>
      <c r="CD14" s="415">
        <f t="shared" si="35"/>
        <v>0.11884819749605519</v>
      </c>
      <c r="CE14" s="415">
        <f t="shared" si="35"/>
        <v>0.11335968118123445</v>
      </c>
      <c r="CF14" s="415">
        <f t="shared" si="35"/>
        <v>0.11730874740147246</v>
      </c>
      <c r="CG14" s="415">
        <f t="shared" si="35"/>
        <v>0.11576126992292537</v>
      </c>
      <c r="CH14" s="415">
        <f t="shared" si="35"/>
        <v>0.11138679727953539</v>
      </c>
      <c r="CI14" s="415">
        <f t="shared" si="35"/>
        <v>0.10947665366762836</v>
      </c>
      <c r="CJ14" s="415">
        <f t="shared" si="35"/>
        <v>0.10941511914517217</v>
      </c>
      <c r="CK14" s="415">
        <f t="shared" si="35"/>
        <v>0.11311933957081051</v>
      </c>
      <c r="CL14" s="415">
        <f t="shared" si="35"/>
        <v>0.11587779745934593</v>
      </c>
      <c r="CM14" s="415">
        <f t="shared" si="35"/>
        <v>0.11587779745934593</v>
      </c>
      <c r="CN14" s="415">
        <f t="shared" si="35"/>
        <v>0.10926280791330772</v>
      </c>
      <c r="CO14" s="415">
        <f t="shared" si="35"/>
        <v>0.10926280791330772</v>
      </c>
      <c r="CP14" s="415">
        <v>4.8504674122536742E-2</v>
      </c>
      <c r="CQ14" s="415">
        <v>4.0195817237245239E-2</v>
      </c>
      <c r="CR14" s="415" t="s">
        <v>3165</v>
      </c>
      <c r="CS14" s="415">
        <f t="shared" si="35"/>
        <v>0.10782006958038616</v>
      </c>
      <c r="CT14" s="415">
        <f t="shared" si="35"/>
        <v>0.1084388736629071</v>
      </c>
      <c r="CU14" s="415">
        <f t="shared" si="35"/>
        <v>0.11365212754042722</v>
      </c>
      <c r="CV14" s="415">
        <f t="shared" si="35"/>
        <v>0.11581313284022927</v>
      </c>
      <c r="CW14" s="721">
        <v>2.7869999999999999E-2</v>
      </c>
      <c r="CX14" s="721">
        <v>3.7010000000000001E-2</v>
      </c>
      <c r="CY14" s="415">
        <f t="shared" ref="CY14" si="36">((CY29-CY$30)/CY$30*CY$31+1)*$B$29/SUM($B$18:$B$29)</f>
        <v>0.11228691032980721</v>
      </c>
      <c r="CZ14" s="415">
        <f>((CZ29-CZ$30)/CZ$30*CZ$31+1)*$B$29/SUM($B$18:$B$29)</f>
        <v>0.10257462732121893</v>
      </c>
      <c r="DA14" s="415">
        <v>0.12</v>
      </c>
      <c r="DB14" s="416">
        <v>0.11899999999999999</v>
      </c>
      <c r="DC14" s="415">
        <v>0.12</v>
      </c>
      <c r="DD14" s="415">
        <v>0.126</v>
      </c>
    </row>
    <row r="15" spans="3:108">
      <c r="D15" s="417"/>
      <c r="E15" s="418"/>
      <c r="F15" s="419"/>
      <c r="CP15" s="421"/>
      <c r="CQ15" s="421"/>
      <c r="DC15" s="415"/>
    </row>
    <row r="16" spans="3:108">
      <c r="D16" s="418"/>
      <c r="E16" s="418"/>
    </row>
    <row r="17" spans="2:108">
      <c r="B17" t="s">
        <v>3177</v>
      </c>
      <c r="C17" t="s">
        <v>3178</v>
      </c>
    </row>
    <row r="18" spans="2:108">
      <c r="B18">
        <v>31</v>
      </c>
      <c r="C18" s="52" t="s">
        <v>3164</v>
      </c>
      <c r="D18">
        <v>7.7729999999999997</v>
      </c>
      <c r="E18">
        <v>7.7729999999999997</v>
      </c>
      <c r="F18">
        <v>9.2759999999999998</v>
      </c>
      <c r="G18">
        <v>9.39</v>
      </c>
      <c r="H18">
        <v>7.423</v>
      </c>
      <c r="I18">
        <v>7.423</v>
      </c>
      <c r="J18">
        <v>7.423</v>
      </c>
      <c r="K18">
        <v>7.423</v>
      </c>
      <c r="L18">
        <v>10.093</v>
      </c>
      <c r="M18">
        <v>10.093</v>
      </c>
      <c r="N18">
        <v>10.093</v>
      </c>
      <c r="O18">
        <v>10.076000000000001</v>
      </c>
      <c r="P18">
        <v>7.992</v>
      </c>
      <c r="Q18">
        <v>9.548</v>
      </c>
      <c r="R18">
        <v>8.9760000000000009</v>
      </c>
      <c r="S18">
        <v>8.9760000000000009</v>
      </c>
      <c r="T18">
        <v>8.9760000000000009</v>
      </c>
      <c r="U18">
        <v>7.9939999999999998</v>
      </c>
      <c r="V18">
        <v>9.1419999999999995</v>
      </c>
      <c r="W18">
        <v>9.1419999999999995</v>
      </c>
      <c r="X18">
        <v>9.1419999999999995</v>
      </c>
      <c r="Y18">
        <v>9.1419999999999995</v>
      </c>
      <c r="Z18">
        <v>9.0909999999999993</v>
      </c>
      <c r="AA18">
        <v>7.8220000000000001</v>
      </c>
      <c r="AB18">
        <v>7.8220000000000001</v>
      </c>
      <c r="AC18">
        <v>7.8220000000000001</v>
      </c>
      <c r="AD18">
        <v>7.8220000000000001</v>
      </c>
      <c r="AE18">
        <v>8.9139999999999997</v>
      </c>
      <c r="AF18">
        <v>8.9139999999999997</v>
      </c>
      <c r="AG18">
        <v>8.27</v>
      </c>
      <c r="AH18">
        <v>8.27</v>
      </c>
      <c r="AI18">
        <v>7.3630000000000004</v>
      </c>
      <c r="AJ18">
        <v>9.6010000000000009</v>
      </c>
      <c r="AK18">
        <v>9.1310000000000002</v>
      </c>
      <c r="AL18">
        <v>8.0410000000000004</v>
      </c>
      <c r="AM18">
        <v>8.2080000000000002</v>
      </c>
      <c r="AN18">
        <v>8.2080000000000002</v>
      </c>
      <c r="AO18">
        <v>8.02</v>
      </c>
      <c r="AP18">
        <v>8.02</v>
      </c>
      <c r="AQ18">
        <v>8.02</v>
      </c>
      <c r="AR18">
        <v>7.6459999999999999</v>
      </c>
      <c r="AS18">
        <v>7.8390000000000004</v>
      </c>
      <c r="AT18">
        <v>7.8390000000000004</v>
      </c>
      <c r="AU18">
        <v>7.8390000000000004</v>
      </c>
      <c r="AV18">
        <v>7.89</v>
      </c>
      <c r="AW18">
        <v>8.2750000000000004</v>
      </c>
      <c r="AX18">
        <v>8.2750000000000004</v>
      </c>
      <c r="AY18">
        <v>8.2750000000000004</v>
      </c>
      <c r="AZ18">
        <v>9.7870000000000008</v>
      </c>
      <c r="BA18">
        <v>9.7870000000000008</v>
      </c>
      <c r="BB18">
        <v>7.9980000000000002</v>
      </c>
      <c r="BC18">
        <v>8.02</v>
      </c>
      <c r="BD18">
        <v>5.2009999999999996</v>
      </c>
      <c r="BE18">
        <v>7.8289999999999997</v>
      </c>
      <c r="BF18">
        <v>7.8289999999999997</v>
      </c>
      <c r="BG18">
        <v>8.1059999999999999</v>
      </c>
      <c r="BH18">
        <v>8.6419999999999995</v>
      </c>
      <c r="BI18">
        <v>8.6419999999999995</v>
      </c>
      <c r="BJ18">
        <v>8.6850000000000005</v>
      </c>
      <c r="BK18">
        <v>8.6850000000000005</v>
      </c>
      <c r="BL18">
        <v>8.6639999999999997</v>
      </c>
      <c r="BM18">
        <v>8.6639999999999997</v>
      </c>
      <c r="BN18">
        <v>8.577</v>
      </c>
      <c r="BO18">
        <v>7.9109999999999996</v>
      </c>
      <c r="BP18">
        <v>8.1240000000000006</v>
      </c>
      <c r="BQ18">
        <v>8.1240000000000006</v>
      </c>
      <c r="BR18">
        <v>8.07</v>
      </c>
      <c r="BS18">
        <v>8.048</v>
      </c>
      <c r="BT18">
        <v>8.3819999999999997</v>
      </c>
      <c r="BU18">
        <v>9.0980000000000008</v>
      </c>
      <c r="BV18">
        <v>9.0739999999999998</v>
      </c>
      <c r="BW18">
        <v>9.0739999999999998</v>
      </c>
      <c r="BX18">
        <v>8.7010000000000005</v>
      </c>
      <c r="BY18">
        <v>8.4440000000000008</v>
      </c>
      <c r="BZ18">
        <v>8.9369999999999994</v>
      </c>
      <c r="CA18">
        <v>7.6929999999999996</v>
      </c>
      <c r="CB18">
        <v>7.8070000000000004</v>
      </c>
      <c r="CC18">
        <v>7.5880000000000001</v>
      </c>
      <c r="CD18">
        <v>8.0250000000000004</v>
      </c>
      <c r="CE18">
        <v>7.9850000000000003</v>
      </c>
      <c r="CF18">
        <v>7.7960000000000003</v>
      </c>
      <c r="CG18">
        <v>7.9939999999999998</v>
      </c>
      <c r="CH18">
        <v>8.4540000000000006</v>
      </c>
      <c r="CI18">
        <v>8.2859999999999996</v>
      </c>
      <c r="CJ18">
        <v>8.6270000000000007</v>
      </c>
      <c r="CK18">
        <v>8.6270000000000007</v>
      </c>
      <c r="CL18">
        <v>8.5719999999999992</v>
      </c>
      <c r="CM18">
        <v>8.5719999999999992</v>
      </c>
      <c r="CN18">
        <v>9.7870000000000008</v>
      </c>
      <c r="CO18">
        <v>9.7870000000000008</v>
      </c>
      <c r="CS18">
        <v>10.093</v>
      </c>
      <c r="CT18">
        <v>7.89</v>
      </c>
      <c r="CU18">
        <v>8.593</v>
      </c>
      <c r="CV18">
        <v>8.2460000000000004</v>
      </c>
      <c r="CY18">
        <v>8.4459999999999997</v>
      </c>
      <c r="CZ18" s="420">
        <v>7.0732518337408337</v>
      </c>
    </row>
    <row r="19" spans="2:108">
      <c r="B19">
        <v>28.25</v>
      </c>
      <c r="C19" s="52" t="s">
        <v>3166</v>
      </c>
      <c r="D19">
        <v>7.819</v>
      </c>
      <c r="E19">
        <v>7.819</v>
      </c>
      <c r="F19">
        <v>8.6470000000000002</v>
      </c>
      <c r="G19">
        <v>8.7330000000000005</v>
      </c>
      <c r="H19">
        <v>7.2380000000000004</v>
      </c>
      <c r="I19">
        <v>7.2380000000000004</v>
      </c>
      <c r="J19">
        <v>7.2380000000000004</v>
      </c>
      <c r="K19">
        <v>7.2380000000000004</v>
      </c>
      <c r="L19">
        <v>9.9830000000000005</v>
      </c>
      <c r="M19">
        <v>9.9830000000000005</v>
      </c>
      <c r="N19">
        <v>9.9830000000000005</v>
      </c>
      <c r="O19">
        <v>9.5329999999999995</v>
      </c>
      <c r="P19">
        <v>7.9829999999999997</v>
      </c>
      <c r="Q19">
        <v>8.8780000000000001</v>
      </c>
      <c r="R19">
        <v>8.52</v>
      </c>
      <c r="S19">
        <v>8.52</v>
      </c>
      <c r="T19">
        <v>8.52</v>
      </c>
      <c r="U19">
        <v>7.7320000000000002</v>
      </c>
      <c r="V19">
        <v>8.5820000000000007</v>
      </c>
      <c r="W19">
        <v>8.5820000000000007</v>
      </c>
      <c r="X19">
        <v>8.5820000000000007</v>
      </c>
      <c r="Y19">
        <v>8.5820000000000007</v>
      </c>
      <c r="Z19">
        <v>8.4890000000000008</v>
      </c>
      <c r="AA19">
        <v>7.5739999999999998</v>
      </c>
      <c r="AB19">
        <v>7.5739999999999998</v>
      </c>
      <c r="AC19">
        <v>7.5739999999999998</v>
      </c>
      <c r="AD19">
        <v>7.5739999999999998</v>
      </c>
      <c r="AE19">
        <v>8.3699999999999992</v>
      </c>
      <c r="AF19">
        <v>8.3699999999999992</v>
      </c>
      <c r="AG19">
        <v>7.8630000000000004</v>
      </c>
      <c r="AH19">
        <v>7.8630000000000004</v>
      </c>
      <c r="AI19">
        <v>7.423</v>
      </c>
      <c r="AJ19">
        <v>9.06</v>
      </c>
      <c r="AK19">
        <v>8.7149999999999999</v>
      </c>
      <c r="AL19">
        <v>7.6379999999999999</v>
      </c>
      <c r="AM19">
        <v>7.9320000000000004</v>
      </c>
      <c r="AN19">
        <v>7.9320000000000004</v>
      </c>
      <c r="AO19">
        <v>7.6159999999999997</v>
      </c>
      <c r="AP19">
        <v>7.6159999999999997</v>
      </c>
      <c r="AQ19">
        <v>7.6159999999999997</v>
      </c>
      <c r="AR19">
        <v>7.569</v>
      </c>
      <c r="AS19">
        <v>7.5570000000000004</v>
      </c>
      <c r="AT19">
        <v>7.5570000000000004</v>
      </c>
      <c r="AU19">
        <v>7.5570000000000004</v>
      </c>
      <c r="AV19">
        <v>7.5339999999999998</v>
      </c>
      <c r="AW19">
        <v>8.0570000000000004</v>
      </c>
      <c r="AX19">
        <v>8.0570000000000004</v>
      </c>
      <c r="AY19">
        <v>8.0570000000000004</v>
      </c>
      <c r="AZ19">
        <v>9.6590000000000007</v>
      </c>
      <c r="BA19">
        <v>9.6590000000000007</v>
      </c>
      <c r="BB19">
        <v>7.6319999999999997</v>
      </c>
      <c r="BC19">
        <v>7.6159999999999997</v>
      </c>
      <c r="BD19">
        <v>4.8780000000000001</v>
      </c>
      <c r="BE19">
        <v>7.548</v>
      </c>
      <c r="BF19">
        <v>7.548</v>
      </c>
      <c r="BG19">
        <v>7.7229999999999999</v>
      </c>
      <c r="BH19">
        <v>8.1310000000000002</v>
      </c>
      <c r="BI19">
        <v>8.1310000000000002</v>
      </c>
      <c r="BJ19">
        <v>8.1720000000000006</v>
      </c>
      <c r="BK19">
        <v>8.1720000000000006</v>
      </c>
      <c r="BL19">
        <v>8.1010000000000009</v>
      </c>
      <c r="BM19">
        <v>8.173</v>
      </c>
      <c r="BN19">
        <v>8.1240000000000006</v>
      </c>
      <c r="BO19">
        <v>7.8470000000000004</v>
      </c>
      <c r="BP19">
        <v>7.6740000000000004</v>
      </c>
      <c r="BQ19">
        <v>7.6740000000000004</v>
      </c>
      <c r="BR19">
        <v>7.8</v>
      </c>
      <c r="BS19">
        <v>7.7850000000000001</v>
      </c>
      <c r="BT19">
        <v>7.9269999999999996</v>
      </c>
      <c r="BU19">
        <v>8.5790000000000006</v>
      </c>
      <c r="BV19">
        <v>8.5359999999999996</v>
      </c>
      <c r="BW19">
        <v>8.5359999999999996</v>
      </c>
      <c r="BX19">
        <v>8.2010000000000005</v>
      </c>
      <c r="BY19">
        <v>8.0559999999999992</v>
      </c>
      <c r="BZ19">
        <v>9.0779999999999994</v>
      </c>
      <c r="CA19">
        <v>7.4509999999999996</v>
      </c>
      <c r="CB19">
        <v>7.4740000000000002</v>
      </c>
      <c r="CC19">
        <v>7.423</v>
      </c>
      <c r="CD19">
        <v>7.6420000000000003</v>
      </c>
      <c r="CE19">
        <v>7.6210000000000004</v>
      </c>
      <c r="CF19">
        <v>7.8010000000000002</v>
      </c>
      <c r="CG19">
        <v>7.6349999999999998</v>
      </c>
      <c r="CH19">
        <v>8.0890000000000004</v>
      </c>
      <c r="CI19">
        <v>7.85</v>
      </c>
      <c r="CJ19">
        <v>8.1180000000000003</v>
      </c>
      <c r="CK19">
        <v>8.1110000000000007</v>
      </c>
      <c r="CL19">
        <v>8.0839999999999996</v>
      </c>
      <c r="CM19">
        <v>8.0839999999999996</v>
      </c>
      <c r="CN19">
        <v>9.6590000000000007</v>
      </c>
      <c r="CO19">
        <v>9.6590000000000007</v>
      </c>
      <c r="CS19">
        <v>9.9830000000000005</v>
      </c>
      <c r="CT19">
        <v>7.556</v>
      </c>
      <c r="CU19">
        <v>8.1319999999999997</v>
      </c>
      <c r="CV19">
        <v>7.7770000000000001</v>
      </c>
      <c r="CY19">
        <v>8.3089999999999993</v>
      </c>
      <c r="CZ19" s="420">
        <v>6.932698494402266</v>
      </c>
    </row>
    <row r="20" spans="2:108">
      <c r="B20">
        <v>31</v>
      </c>
      <c r="C20" s="52" t="s">
        <v>3167</v>
      </c>
      <c r="D20">
        <v>7.9059999999999997</v>
      </c>
      <c r="E20">
        <v>7.9059999999999997</v>
      </c>
      <c r="F20">
        <v>7.9729999999999999</v>
      </c>
      <c r="G20">
        <v>8.0399999999999991</v>
      </c>
      <c r="H20">
        <v>6.9329999999999998</v>
      </c>
      <c r="I20">
        <v>6.9329999999999998</v>
      </c>
      <c r="J20">
        <v>6.9329999999999998</v>
      </c>
      <c r="K20">
        <v>6.9329999999999998</v>
      </c>
      <c r="L20">
        <v>9.3390000000000004</v>
      </c>
      <c r="M20">
        <v>9.3390000000000004</v>
      </c>
      <c r="N20">
        <v>9.3390000000000004</v>
      </c>
      <c r="O20">
        <v>8.6829999999999998</v>
      </c>
      <c r="P20">
        <v>7.7069999999999999</v>
      </c>
      <c r="Q20">
        <v>8.1560000000000006</v>
      </c>
      <c r="R20">
        <v>7.9480000000000004</v>
      </c>
      <c r="S20">
        <v>7.9480000000000004</v>
      </c>
      <c r="T20">
        <v>7.9480000000000004</v>
      </c>
      <c r="U20">
        <v>7.2670000000000003</v>
      </c>
      <c r="V20">
        <v>7.9279999999999999</v>
      </c>
      <c r="W20">
        <v>7.9279999999999999</v>
      </c>
      <c r="X20">
        <v>7.9279999999999999</v>
      </c>
      <c r="Y20">
        <v>7.9279999999999999</v>
      </c>
      <c r="Z20">
        <v>7.9</v>
      </c>
      <c r="AA20">
        <v>7.173</v>
      </c>
      <c r="AB20">
        <v>7.173</v>
      </c>
      <c r="AC20">
        <v>7.173</v>
      </c>
      <c r="AD20">
        <v>7.173</v>
      </c>
      <c r="AE20">
        <v>7.8220000000000001</v>
      </c>
      <c r="AF20">
        <v>7.8220000000000001</v>
      </c>
      <c r="AG20">
        <v>7.37</v>
      </c>
      <c r="AH20">
        <v>7.37</v>
      </c>
      <c r="AI20">
        <v>7.4909999999999997</v>
      </c>
      <c r="AJ20">
        <v>8.3010000000000002</v>
      </c>
      <c r="AK20">
        <v>8.1110000000000007</v>
      </c>
      <c r="AL20">
        <v>7.32</v>
      </c>
      <c r="AM20">
        <v>7.468</v>
      </c>
      <c r="AN20">
        <v>7.468</v>
      </c>
      <c r="AO20">
        <v>7.2409999999999997</v>
      </c>
      <c r="AP20">
        <v>7.2409999999999997</v>
      </c>
      <c r="AQ20">
        <v>7.2409999999999997</v>
      </c>
      <c r="AR20">
        <v>7.6340000000000003</v>
      </c>
      <c r="AS20">
        <v>7.3079999999999998</v>
      </c>
      <c r="AT20">
        <v>7.3079999999999998</v>
      </c>
      <c r="AU20">
        <v>7.3079999999999998</v>
      </c>
      <c r="AV20">
        <v>7.1120000000000001</v>
      </c>
      <c r="AW20">
        <v>7.4889999999999999</v>
      </c>
      <c r="AX20">
        <v>7.4889999999999999</v>
      </c>
      <c r="AY20">
        <v>7.4889999999999999</v>
      </c>
      <c r="AZ20">
        <v>9.1969999999999992</v>
      </c>
      <c r="BA20">
        <v>9.1969999999999992</v>
      </c>
      <c r="BB20">
        <v>7.2229999999999999</v>
      </c>
      <c r="BC20">
        <v>7.2409999999999997</v>
      </c>
      <c r="BD20">
        <v>4.4539999999999997</v>
      </c>
      <c r="BE20">
        <v>7.0620000000000003</v>
      </c>
      <c r="BF20">
        <v>7.0620000000000003</v>
      </c>
      <c r="BG20">
        <v>7.2930000000000001</v>
      </c>
      <c r="BH20">
        <v>7.5979999999999999</v>
      </c>
      <c r="BI20">
        <v>7.5979999999999999</v>
      </c>
      <c r="BJ20">
        <v>7.58</v>
      </c>
      <c r="BK20">
        <v>7.58</v>
      </c>
      <c r="BL20">
        <v>7.516</v>
      </c>
      <c r="BM20">
        <v>7.625</v>
      </c>
      <c r="BN20">
        <v>7.633</v>
      </c>
      <c r="BO20">
        <v>7.4480000000000004</v>
      </c>
      <c r="BP20">
        <v>7.3220000000000001</v>
      </c>
      <c r="BQ20">
        <v>7.3220000000000001</v>
      </c>
      <c r="BR20">
        <v>7.3129999999999997</v>
      </c>
      <c r="BS20">
        <v>7.3049999999999997</v>
      </c>
      <c r="BT20">
        <v>7.1859999999999999</v>
      </c>
      <c r="BU20">
        <v>7.8689999999999998</v>
      </c>
      <c r="BV20">
        <v>7.9029999999999996</v>
      </c>
      <c r="BW20">
        <v>7.9029999999999996</v>
      </c>
      <c r="BX20">
        <v>7.59</v>
      </c>
      <c r="BY20">
        <v>7.53</v>
      </c>
      <c r="BZ20">
        <v>8.52</v>
      </c>
      <c r="CA20">
        <v>7.2080000000000002</v>
      </c>
      <c r="CB20">
        <v>7.09</v>
      </c>
      <c r="CC20">
        <v>7.2140000000000004</v>
      </c>
      <c r="CD20">
        <v>7.3360000000000003</v>
      </c>
      <c r="CE20">
        <v>7.3390000000000004</v>
      </c>
      <c r="CF20">
        <v>7.4279999999999999</v>
      </c>
      <c r="CG20">
        <v>7.3620000000000001</v>
      </c>
      <c r="CH20">
        <v>7.5910000000000002</v>
      </c>
      <c r="CI20">
        <v>7.3659999999999997</v>
      </c>
      <c r="CJ20">
        <v>7.5949999999999998</v>
      </c>
      <c r="CK20">
        <v>7.532</v>
      </c>
      <c r="CL20">
        <v>7.58</v>
      </c>
      <c r="CM20">
        <v>7.58</v>
      </c>
      <c r="CN20">
        <v>9.1969999999999992</v>
      </c>
      <c r="CO20">
        <v>9.1969999999999992</v>
      </c>
      <c r="CS20">
        <v>9.3390000000000004</v>
      </c>
      <c r="CT20">
        <v>7.2670000000000003</v>
      </c>
      <c r="CU20">
        <v>7.6260000000000003</v>
      </c>
      <c r="CV20">
        <v>7.4829999999999997</v>
      </c>
      <c r="CY20">
        <v>7.7949999999999999</v>
      </c>
      <c r="CZ20" s="420">
        <v>7.3999433792304741</v>
      </c>
    </row>
    <row r="21" spans="2:108">
      <c r="B21">
        <v>30</v>
      </c>
      <c r="C21" s="52" t="s">
        <v>3168</v>
      </c>
      <c r="D21">
        <v>7.6059999999999999</v>
      </c>
      <c r="E21">
        <v>7.6059999999999999</v>
      </c>
      <c r="F21">
        <v>7.0650000000000004</v>
      </c>
      <c r="G21">
        <v>7.093</v>
      </c>
      <c r="H21">
        <v>6.6669999999999998</v>
      </c>
      <c r="I21">
        <v>6.6669999999999998</v>
      </c>
      <c r="J21">
        <v>6.6669999999999998</v>
      </c>
      <c r="K21">
        <v>6.6669999999999998</v>
      </c>
      <c r="L21">
        <v>8.6739999999999995</v>
      </c>
      <c r="M21">
        <v>8.6739999999999995</v>
      </c>
      <c r="N21">
        <v>8.6739999999999995</v>
      </c>
      <c r="O21">
        <v>8.1129999999999995</v>
      </c>
      <c r="P21">
        <v>7.5369999999999999</v>
      </c>
      <c r="Q21">
        <v>7.1959999999999997</v>
      </c>
      <c r="R21">
        <v>7.2220000000000004</v>
      </c>
      <c r="S21">
        <v>7.2220000000000004</v>
      </c>
      <c r="T21">
        <v>7.2220000000000004</v>
      </c>
      <c r="U21">
        <v>6.8120000000000003</v>
      </c>
      <c r="V21">
        <v>7.0990000000000002</v>
      </c>
      <c r="W21">
        <v>7.0990000000000002</v>
      </c>
      <c r="X21">
        <v>7.0990000000000002</v>
      </c>
      <c r="Y21">
        <v>7.0990000000000002</v>
      </c>
      <c r="Z21">
        <v>6.9989999999999997</v>
      </c>
      <c r="AA21">
        <v>6.8380000000000001</v>
      </c>
      <c r="AB21">
        <v>6.8380000000000001</v>
      </c>
      <c r="AC21">
        <v>6.8380000000000001</v>
      </c>
      <c r="AD21">
        <v>6.8380000000000001</v>
      </c>
      <c r="AE21">
        <v>7.0629999999999997</v>
      </c>
      <c r="AF21">
        <v>7.0629999999999997</v>
      </c>
      <c r="AG21">
        <v>6.7359999999999998</v>
      </c>
      <c r="AH21">
        <v>6.7359999999999998</v>
      </c>
      <c r="AI21">
        <v>7.1609999999999996</v>
      </c>
      <c r="AJ21">
        <v>7.65</v>
      </c>
      <c r="AK21">
        <v>7.6349999999999998</v>
      </c>
      <c r="AL21">
        <v>6.742</v>
      </c>
      <c r="AM21">
        <v>7.0430000000000001</v>
      </c>
      <c r="AN21">
        <v>7.0430000000000001</v>
      </c>
      <c r="AO21">
        <v>6.758</v>
      </c>
      <c r="AP21">
        <v>6.758</v>
      </c>
      <c r="AQ21">
        <v>6.758</v>
      </c>
      <c r="AR21">
        <v>7.5650000000000004</v>
      </c>
      <c r="AS21">
        <v>6.8259999999999996</v>
      </c>
      <c r="AT21">
        <v>6.8259999999999996</v>
      </c>
      <c r="AU21">
        <v>6.8259999999999996</v>
      </c>
      <c r="AV21">
        <v>6.59</v>
      </c>
      <c r="AW21">
        <v>7.06</v>
      </c>
      <c r="AX21">
        <v>7.06</v>
      </c>
      <c r="AY21">
        <v>7.06</v>
      </c>
      <c r="AZ21">
        <v>8.6750000000000007</v>
      </c>
      <c r="BA21">
        <v>8.6750000000000007</v>
      </c>
      <c r="BB21">
        <v>6.742</v>
      </c>
      <c r="BC21">
        <v>6.758</v>
      </c>
      <c r="BD21">
        <v>3.93</v>
      </c>
      <c r="BE21">
        <v>6.633</v>
      </c>
      <c r="BF21">
        <v>6.633</v>
      </c>
      <c r="BG21">
        <v>6.7030000000000003</v>
      </c>
      <c r="BH21">
        <v>6.9420000000000002</v>
      </c>
      <c r="BI21">
        <v>6.9420000000000002</v>
      </c>
      <c r="BJ21">
        <v>6.8630000000000004</v>
      </c>
      <c r="BK21">
        <v>6.8630000000000004</v>
      </c>
      <c r="BL21">
        <v>6.8150000000000004</v>
      </c>
      <c r="BM21">
        <v>6.9610000000000003</v>
      </c>
      <c r="BN21">
        <v>6.9829999999999997</v>
      </c>
      <c r="BO21">
        <v>7.0960000000000001</v>
      </c>
      <c r="BP21">
        <v>6.742</v>
      </c>
      <c r="BQ21">
        <v>6.742</v>
      </c>
      <c r="BR21">
        <v>6.8479999999999999</v>
      </c>
      <c r="BS21">
        <v>6.8449999999999998</v>
      </c>
      <c r="BT21">
        <v>6.5709999999999997</v>
      </c>
      <c r="BU21">
        <v>7.109</v>
      </c>
      <c r="BV21">
        <v>7.125</v>
      </c>
      <c r="BW21">
        <v>7.125</v>
      </c>
      <c r="BX21">
        <v>6.827</v>
      </c>
      <c r="BY21">
        <v>6.8929999999999998</v>
      </c>
      <c r="BZ21">
        <v>8.4339999999999993</v>
      </c>
      <c r="CA21">
        <v>6.7370000000000001</v>
      </c>
      <c r="CB21">
        <v>6.6260000000000003</v>
      </c>
      <c r="CC21">
        <v>6.8310000000000004</v>
      </c>
      <c r="CD21">
        <v>6.5750000000000002</v>
      </c>
      <c r="CE21">
        <v>6.6040000000000001</v>
      </c>
      <c r="CF21">
        <v>6.5190000000000001</v>
      </c>
      <c r="CG21">
        <v>6.6219999999999999</v>
      </c>
      <c r="CH21">
        <v>6.9690000000000003</v>
      </c>
      <c r="CI21">
        <v>6.7169999999999996</v>
      </c>
      <c r="CJ21">
        <v>6.9409999999999998</v>
      </c>
      <c r="CK21">
        <v>6.8550000000000004</v>
      </c>
      <c r="CL21">
        <v>6.9429999999999996</v>
      </c>
      <c r="CM21">
        <v>6.9429999999999996</v>
      </c>
      <c r="CN21">
        <v>8.6750000000000007</v>
      </c>
      <c r="CO21">
        <v>8.6750000000000007</v>
      </c>
      <c r="CS21">
        <v>8.6739999999999995</v>
      </c>
      <c r="CT21">
        <v>6.6970000000000001</v>
      </c>
      <c r="CU21">
        <v>6.9790000000000001</v>
      </c>
      <c r="CV21">
        <v>6.4279999999999999</v>
      </c>
      <c r="CY21">
        <v>6.9329999999999998</v>
      </c>
      <c r="CZ21" s="420">
        <v>5.7626869128812261</v>
      </c>
    </row>
    <row r="22" spans="2:108">
      <c r="B22">
        <v>31</v>
      </c>
      <c r="C22" s="52" t="s">
        <v>3169</v>
      </c>
      <c r="D22">
        <v>7.35</v>
      </c>
      <c r="E22">
        <v>7.35</v>
      </c>
      <c r="F22">
        <v>6.8540000000000001</v>
      </c>
      <c r="G22">
        <v>6.89</v>
      </c>
      <c r="H22">
        <v>6.0019999999999998</v>
      </c>
      <c r="I22">
        <v>6.0019999999999998</v>
      </c>
      <c r="J22">
        <v>6.0019999999999998</v>
      </c>
      <c r="K22">
        <v>6.0019999999999998</v>
      </c>
      <c r="L22">
        <v>7.875</v>
      </c>
      <c r="M22">
        <v>7.875</v>
      </c>
      <c r="N22">
        <v>7.875</v>
      </c>
      <c r="O22">
        <v>7.5119999999999996</v>
      </c>
      <c r="P22">
        <v>6.9790000000000001</v>
      </c>
      <c r="Q22">
        <v>6.9870000000000001</v>
      </c>
      <c r="R22">
        <v>7.0259999999999998</v>
      </c>
      <c r="S22">
        <v>7.0259999999999998</v>
      </c>
      <c r="T22">
        <v>7.0259999999999998</v>
      </c>
      <c r="U22">
        <v>6.5069999999999997</v>
      </c>
      <c r="V22">
        <v>6.8840000000000003</v>
      </c>
      <c r="W22">
        <v>6.8840000000000003</v>
      </c>
      <c r="X22">
        <v>6.8840000000000003</v>
      </c>
      <c r="Y22">
        <v>6.8840000000000003</v>
      </c>
      <c r="Z22">
        <v>6.8440000000000003</v>
      </c>
      <c r="AA22">
        <v>6.2869999999999999</v>
      </c>
      <c r="AB22">
        <v>6.2869999999999999</v>
      </c>
      <c r="AC22">
        <v>6.2869999999999999</v>
      </c>
      <c r="AD22">
        <v>6.2869999999999999</v>
      </c>
      <c r="AE22">
        <v>6.87</v>
      </c>
      <c r="AF22">
        <v>6.87</v>
      </c>
      <c r="AG22">
        <v>6.5140000000000002</v>
      </c>
      <c r="AH22">
        <v>6.5140000000000002</v>
      </c>
      <c r="AI22">
        <v>6.843</v>
      </c>
      <c r="AJ22">
        <v>7.1189999999999998</v>
      </c>
      <c r="AK22">
        <v>7.1790000000000003</v>
      </c>
      <c r="AL22">
        <v>6.2549999999999999</v>
      </c>
      <c r="AM22">
        <v>6.65</v>
      </c>
      <c r="AN22">
        <v>6.65</v>
      </c>
      <c r="AO22">
        <v>6.2409999999999997</v>
      </c>
      <c r="AP22">
        <v>6.2409999999999997</v>
      </c>
      <c r="AQ22">
        <v>6.2409999999999997</v>
      </c>
      <c r="AR22">
        <v>7.1230000000000002</v>
      </c>
      <c r="AS22">
        <v>6.266</v>
      </c>
      <c r="AT22">
        <v>6.266</v>
      </c>
      <c r="AU22">
        <v>6.266</v>
      </c>
      <c r="AV22">
        <v>6.1989999999999998</v>
      </c>
      <c r="AW22">
        <v>6.54</v>
      </c>
      <c r="AX22">
        <v>6.54</v>
      </c>
      <c r="AY22">
        <v>6.54</v>
      </c>
      <c r="AZ22">
        <v>7.9359999999999999</v>
      </c>
      <c r="BA22">
        <v>7.9359999999999999</v>
      </c>
      <c r="BB22">
        <v>6.3049999999999997</v>
      </c>
      <c r="BC22">
        <v>6.2409999999999997</v>
      </c>
      <c r="BD22">
        <v>3.891</v>
      </c>
      <c r="BE22">
        <v>6.0460000000000003</v>
      </c>
      <c r="BF22">
        <v>6.0460000000000003</v>
      </c>
      <c r="BG22">
        <v>6.44</v>
      </c>
      <c r="BH22">
        <v>6.6420000000000003</v>
      </c>
      <c r="BI22">
        <v>6.6420000000000003</v>
      </c>
      <c r="BJ22">
        <v>6.6210000000000004</v>
      </c>
      <c r="BK22">
        <v>6.6210000000000004</v>
      </c>
      <c r="BL22">
        <v>6.5179999999999998</v>
      </c>
      <c r="BM22">
        <v>6.6950000000000003</v>
      </c>
      <c r="BN22">
        <v>6.7430000000000003</v>
      </c>
      <c r="BO22">
        <v>6.41</v>
      </c>
      <c r="BP22">
        <v>6.2519999999999998</v>
      </c>
      <c r="BQ22">
        <v>6.2519999999999998</v>
      </c>
      <c r="BR22">
        <v>6.5570000000000004</v>
      </c>
      <c r="BS22">
        <v>6.5510000000000002</v>
      </c>
      <c r="BT22">
        <v>6.2960000000000003</v>
      </c>
      <c r="BU22">
        <v>6.9180000000000001</v>
      </c>
      <c r="BV22">
        <v>6.9139999999999997</v>
      </c>
      <c r="BW22">
        <v>6.9139999999999997</v>
      </c>
      <c r="BX22">
        <v>6.61</v>
      </c>
      <c r="BY22">
        <v>6.68</v>
      </c>
      <c r="BZ22">
        <v>7.8810000000000002</v>
      </c>
      <c r="CA22">
        <v>6.1970000000000001</v>
      </c>
      <c r="CB22">
        <v>6.2110000000000003</v>
      </c>
      <c r="CC22">
        <v>6.2539999999999996</v>
      </c>
      <c r="CD22">
        <v>6.2140000000000004</v>
      </c>
      <c r="CE22">
        <v>6.2270000000000003</v>
      </c>
      <c r="CF22">
        <v>6.0709999999999997</v>
      </c>
      <c r="CG22">
        <v>6.242</v>
      </c>
      <c r="CH22">
        <v>6.7619999999999996</v>
      </c>
      <c r="CI22">
        <v>6.4950000000000001</v>
      </c>
      <c r="CJ22">
        <v>6.6269999999999998</v>
      </c>
      <c r="CK22">
        <v>6.5819999999999999</v>
      </c>
      <c r="CL22">
        <v>6.6289999999999996</v>
      </c>
      <c r="CM22">
        <v>6.6289999999999996</v>
      </c>
      <c r="CN22">
        <v>7.9359999999999999</v>
      </c>
      <c r="CO22">
        <v>7.9359999999999999</v>
      </c>
      <c r="CS22">
        <v>7.875</v>
      </c>
      <c r="CT22">
        <v>6.383</v>
      </c>
      <c r="CU22">
        <v>6.7279999999999998</v>
      </c>
      <c r="CV22">
        <v>6.5209999999999999</v>
      </c>
      <c r="CY22">
        <v>6.718</v>
      </c>
      <c r="CZ22" s="420">
        <v>5.4891777120061782</v>
      </c>
    </row>
    <row r="23" spans="2:108">
      <c r="B23">
        <v>30</v>
      </c>
      <c r="C23" s="52" t="s">
        <v>3170</v>
      </c>
      <c r="D23">
        <v>6.4509999999999996</v>
      </c>
      <c r="E23">
        <v>6.4509999999999996</v>
      </c>
      <c r="F23">
        <v>6.383</v>
      </c>
      <c r="G23">
        <v>6.4210000000000003</v>
      </c>
      <c r="H23">
        <v>5.2930000000000001</v>
      </c>
      <c r="I23">
        <v>5.2930000000000001</v>
      </c>
      <c r="J23">
        <v>5.2930000000000001</v>
      </c>
      <c r="K23">
        <v>5.2930000000000001</v>
      </c>
      <c r="L23">
        <v>7.484</v>
      </c>
      <c r="M23">
        <v>7.484</v>
      </c>
      <c r="N23">
        <v>7.484</v>
      </c>
      <c r="O23">
        <v>6.9450000000000003</v>
      </c>
      <c r="P23">
        <v>6.5869999999999997</v>
      </c>
      <c r="Q23">
        <v>6.4939999999999998</v>
      </c>
      <c r="R23">
        <v>6.4720000000000004</v>
      </c>
      <c r="S23">
        <v>6.4720000000000004</v>
      </c>
      <c r="T23">
        <v>6.4720000000000004</v>
      </c>
      <c r="U23">
        <v>6.0129999999999999</v>
      </c>
      <c r="V23">
        <v>6.5</v>
      </c>
      <c r="W23">
        <v>6.5</v>
      </c>
      <c r="X23">
        <v>6.5</v>
      </c>
      <c r="Y23">
        <v>6.5</v>
      </c>
      <c r="Z23">
        <v>6.3609999999999998</v>
      </c>
      <c r="AA23">
        <v>5.8710000000000004</v>
      </c>
      <c r="AB23">
        <v>5.8710000000000004</v>
      </c>
      <c r="AC23">
        <v>5.8710000000000004</v>
      </c>
      <c r="AD23">
        <v>5.8710000000000004</v>
      </c>
      <c r="AE23">
        <v>6.4020000000000001</v>
      </c>
      <c r="AF23">
        <v>6.4020000000000001</v>
      </c>
      <c r="AG23">
        <v>6.0430000000000001</v>
      </c>
      <c r="AH23">
        <v>6.0430000000000001</v>
      </c>
      <c r="AI23">
        <v>5.9960000000000004</v>
      </c>
      <c r="AJ23">
        <v>6.5359999999999996</v>
      </c>
      <c r="AK23">
        <v>6.6420000000000003</v>
      </c>
      <c r="AL23">
        <v>5.774</v>
      </c>
      <c r="AM23">
        <v>6.181</v>
      </c>
      <c r="AN23">
        <v>6.181</v>
      </c>
      <c r="AO23">
        <v>5.7679999999999998</v>
      </c>
      <c r="AP23">
        <v>5.7679999999999998</v>
      </c>
      <c r="AQ23">
        <v>5.7679999999999998</v>
      </c>
      <c r="AR23">
        <v>6.0339999999999998</v>
      </c>
      <c r="AS23">
        <v>5.8250000000000002</v>
      </c>
      <c r="AT23">
        <v>5.8250000000000002</v>
      </c>
      <c r="AU23">
        <v>5.8250000000000002</v>
      </c>
      <c r="AV23">
        <v>5.7290000000000001</v>
      </c>
      <c r="AW23">
        <v>6.0739999999999998</v>
      </c>
      <c r="AX23">
        <v>6.0739999999999998</v>
      </c>
      <c r="AY23">
        <v>6.0739999999999998</v>
      </c>
      <c r="AZ23">
        <v>7.36</v>
      </c>
      <c r="BA23">
        <v>7.36</v>
      </c>
      <c r="BB23">
        <v>5.8129999999999997</v>
      </c>
      <c r="BC23">
        <v>5.7679999999999998</v>
      </c>
      <c r="BD23">
        <v>3.6960000000000002</v>
      </c>
      <c r="BE23">
        <v>5.5140000000000002</v>
      </c>
      <c r="BF23">
        <v>5.5140000000000002</v>
      </c>
      <c r="BG23">
        <v>5.9880000000000004</v>
      </c>
      <c r="BH23">
        <v>6.1929999999999996</v>
      </c>
      <c r="BI23">
        <v>6.1929999999999996</v>
      </c>
      <c r="BJ23">
        <v>6.2240000000000002</v>
      </c>
      <c r="BK23">
        <v>6.2240000000000002</v>
      </c>
      <c r="BL23">
        <v>6.0890000000000004</v>
      </c>
      <c r="BM23">
        <v>6.2670000000000003</v>
      </c>
      <c r="BN23">
        <v>6.3079999999999998</v>
      </c>
      <c r="BO23">
        <v>6.0620000000000003</v>
      </c>
      <c r="BP23">
        <v>5.7549999999999999</v>
      </c>
      <c r="BQ23">
        <v>5.7549999999999999</v>
      </c>
      <c r="BR23">
        <v>6.0460000000000003</v>
      </c>
      <c r="BS23">
        <v>6.0439999999999996</v>
      </c>
      <c r="BT23">
        <v>5.6870000000000003</v>
      </c>
      <c r="BU23">
        <v>6.3120000000000003</v>
      </c>
      <c r="BV23">
        <v>6.3460000000000001</v>
      </c>
      <c r="BW23">
        <v>6.3460000000000001</v>
      </c>
      <c r="BX23">
        <v>6.1349999999999998</v>
      </c>
      <c r="BY23">
        <v>6.1840000000000002</v>
      </c>
      <c r="BZ23">
        <v>7.5860000000000003</v>
      </c>
      <c r="CA23">
        <v>5.7690000000000001</v>
      </c>
      <c r="CB23">
        <v>5.7229999999999999</v>
      </c>
      <c r="CC23">
        <v>5.8470000000000004</v>
      </c>
      <c r="CD23">
        <v>5.7270000000000003</v>
      </c>
      <c r="CE23">
        <v>5.742</v>
      </c>
      <c r="CF23">
        <v>5.7149999999999999</v>
      </c>
      <c r="CG23">
        <v>5.7610000000000001</v>
      </c>
      <c r="CH23">
        <v>6.2610000000000001</v>
      </c>
      <c r="CI23">
        <v>6.0419999999999998</v>
      </c>
      <c r="CJ23">
        <v>6.1779999999999999</v>
      </c>
      <c r="CK23">
        <v>6.16</v>
      </c>
      <c r="CL23">
        <v>6.1769999999999996</v>
      </c>
      <c r="CM23">
        <v>6.1769999999999996</v>
      </c>
      <c r="CN23">
        <v>7.36</v>
      </c>
      <c r="CO23">
        <v>7.36</v>
      </c>
      <c r="CS23">
        <v>7.484</v>
      </c>
      <c r="CT23">
        <v>5.9589999999999996</v>
      </c>
      <c r="CU23">
        <v>6.2930000000000001</v>
      </c>
      <c r="CV23">
        <v>6.0179999999999998</v>
      </c>
      <c r="CY23">
        <v>6.1360000000000001</v>
      </c>
      <c r="CZ23" s="420">
        <v>5.6373285291468287</v>
      </c>
    </row>
    <row r="24" spans="2:108">
      <c r="B24">
        <v>31</v>
      </c>
      <c r="C24" s="52" t="s">
        <v>3171</v>
      </c>
      <c r="D24">
        <v>6.0780000000000003</v>
      </c>
      <c r="E24">
        <v>6.0780000000000003</v>
      </c>
      <c r="F24">
        <v>6.3890000000000002</v>
      </c>
      <c r="G24">
        <v>6.4489999999999998</v>
      </c>
      <c r="H24">
        <v>4.984</v>
      </c>
      <c r="I24">
        <v>4.984</v>
      </c>
      <c r="J24">
        <v>4.984</v>
      </c>
      <c r="K24">
        <v>4.984</v>
      </c>
      <c r="L24">
        <v>7.3840000000000003</v>
      </c>
      <c r="M24">
        <v>7.3840000000000003</v>
      </c>
      <c r="N24">
        <v>7.3840000000000003</v>
      </c>
      <c r="O24">
        <v>6.76</v>
      </c>
      <c r="P24">
        <v>6.4160000000000004</v>
      </c>
      <c r="Q24">
        <v>6.4980000000000002</v>
      </c>
      <c r="R24">
        <v>6.3680000000000003</v>
      </c>
      <c r="S24">
        <v>6.3680000000000003</v>
      </c>
      <c r="T24">
        <v>6.3680000000000003</v>
      </c>
      <c r="U24">
        <v>5.9370000000000003</v>
      </c>
      <c r="V24">
        <v>6.468</v>
      </c>
      <c r="W24">
        <v>6.468</v>
      </c>
      <c r="X24">
        <v>6.468</v>
      </c>
      <c r="Y24">
        <v>6.468</v>
      </c>
      <c r="Z24">
        <v>6.3849999999999998</v>
      </c>
      <c r="AA24">
        <v>5.7850000000000001</v>
      </c>
      <c r="AB24">
        <v>5.7850000000000001</v>
      </c>
      <c r="AC24">
        <v>5.7850000000000001</v>
      </c>
      <c r="AD24">
        <v>5.7850000000000001</v>
      </c>
      <c r="AE24">
        <v>6.3460000000000001</v>
      </c>
      <c r="AF24">
        <v>6.3460000000000001</v>
      </c>
      <c r="AG24">
        <v>5.9420000000000002</v>
      </c>
      <c r="AH24">
        <v>5.9420000000000002</v>
      </c>
      <c r="AI24">
        <v>5.62</v>
      </c>
      <c r="AJ24">
        <v>6.3579999999999997</v>
      </c>
      <c r="AK24">
        <v>6.4029999999999996</v>
      </c>
      <c r="AL24">
        <v>5.6920000000000002</v>
      </c>
      <c r="AM24">
        <v>6.0229999999999997</v>
      </c>
      <c r="AN24">
        <v>6.0229999999999997</v>
      </c>
      <c r="AO24">
        <v>5.6520000000000001</v>
      </c>
      <c r="AP24">
        <v>5.6520000000000001</v>
      </c>
      <c r="AQ24">
        <v>5.6520000000000001</v>
      </c>
      <c r="AR24">
        <v>5.8380000000000001</v>
      </c>
      <c r="AS24">
        <v>5.7039999999999997</v>
      </c>
      <c r="AT24">
        <v>5.7039999999999997</v>
      </c>
      <c r="AU24">
        <v>5.7039999999999997</v>
      </c>
      <c r="AV24">
        <v>5.6890000000000001</v>
      </c>
      <c r="AW24">
        <v>5.9009999999999998</v>
      </c>
      <c r="AX24">
        <v>5.9009999999999998</v>
      </c>
      <c r="AY24">
        <v>5.9009999999999998</v>
      </c>
      <c r="AZ24">
        <v>7.2080000000000002</v>
      </c>
      <c r="BA24">
        <v>7.2080000000000002</v>
      </c>
      <c r="BB24">
        <v>5.7389999999999999</v>
      </c>
      <c r="BC24">
        <v>5.6520000000000001</v>
      </c>
      <c r="BD24">
        <v>3.7570000000000001</v>
      </c>
      <c r="BE24">
        <v>5.4219999999999997</v>
      </c>
      <c r="BF24">
        <v>5.4219999999999997</v>
      </c>
      <c r="BG24">
        <v>5.859</v>
      </c>
      <c r="BH24">
        <v>6.0460000000000003</v>
      </c>
      <c r="BI24">
        <v>6.0460000000000003</v>
      </c>
      <c r="BJ24">
        <v>6.1219999999999999</v>
      </c>
      <c r="BK24">
        <v>6.1219999999999999</v>
      </c>
      <c r="BL24">
        <v>5.9569999999999999</v>
      </c>
      <c r="BM24">
        <v>6.1260000000000003</v>
      </c>
      <c r="BN24">
        <v>6.16</v>
      </c>
      <c r="BO24">
        <v>5.76</v>
      </c>
      <c r="BP24">
        <v>5.6740000000000004</v>
      </c>
      <c r="BQ24">
        <v>5.6740000000000004</v>
      </c>
      <c r="BR24">
        <v>5.976</v>
      </c>
      <c r="BS24">
        <v>5.9720000000000004</v>
      </c>
      <c r="BT24">
        <v>5.6539999999999999</v>
      </c>
      <c r="BU24">
        <v>6.2320000000000002</v>
      </c>
      <c r="BV24">
        <v>6.2530000000000001</v>
      </c>
      <c r="BW24">
        <v>6.2530000000000001</v>
      </c>
      <c r="BX24">
        <v>6.0990000000000002</v>
      </c>
      <c r="BY24">
        <v>6.0919999999999996</v>
      </c>
      <c r="BZ24">
        <v>7.6660000000000004</v>
      </c>
      <c r="CA24">
        <v>5.6390000000000002</v>
      </c>
      <c r="CB24">
        <v>5.6689999999999996</v>
      </c>
      <c r="CC24">
        <v>5.7039999999999997</v>
      </c>
      <c r="CD24">
        <v>5.7770000000000001</v>
      </c>
      <c r="CE24">
        <v>5.7779999999999996</v>
      </c>
      <c r="CF24">
        <v>5.77</v>
      </c>
      <c r="CG24">
        <v>5.7949999999999999</v>
      </c>
      <c r="CH24">
        <v>6.1619999999999999</v>
      </c>
      <c r="CI24">
        <v>5.9279999999999999</v>
      </c>
      <c r="CJ24">
        <v>6.0209999999999999</v>
      </c>
      <c r="CK24">
        <v>6.0289999999999999</v>
      </c>
      <c r="CL24">
        <v>6.0140000000000002</v>
      </c>
      <c r="CM24">
        <v>6.0140000000000002</v>
      </c>
      <c r="CN24">
        <v>7.2080000000000002</v>
      </c>
      <c r="CO24">
        <v>7.2080000000000002</v>
      </c>
      <c r="CS24">
        <v>7.3840000000000003</v>
      </c>
      <c r="CT24">
        <v>5.819</v>
      </c>
      <c r="CU24">
        <v>6.1420000000000003</v>
      </c>
      <c r="CV24">
        <v>6.0419999999999998</v>
      </c>
      <c r="CY24">
        <v>6.1079999999999997</v>
      </c>
      <c r="CZ24" s="420">
        <v>5.5043726676103475</v>
      </c>
    </row>
    <row r="25" spans="2:108">
      <c r="B25">
        <v>31</v>
      </c>
      <c r="C25" s="52" t="s">
        <v>3172</v>
      </c>
      <c r="D25">
        <v>6.0490000000000004</v>
      </c>
      <c r="E25">
        <v>6.0490000000000004</v>
      </c>
      <c r="F25">
        <v>6.4039999999999999</v>
      </c>
      <c r="G25">
        <v>6.4560000000000004</v>
      </c>
      <c r="H25">
        <v>4.8620000000000001</v>
      </c>
      <c r="I25">
        <v>4.8620000000000001</v>
      </c>
      <c r="J25">
        <v>4.8620000000000001</v>
      </c>
      <c r="K25">
        <v>4.8620000000000001</v>
      </c>
      <c r="L25">
        <v>6.9889999999999999</v>
      </c>
      <c r="M25">
        <v>6.9889999999999999</v>
      </c>
      <c r="N25">
        <v>6.9889999999999999</v>
      </c>
      <c r="O25">
        <v>6.6150000000000002</v>
      </c>
      <c r="P25">
        <v>6.2149999999999999</v>
      </c>
      <c r="Q25">
        <v>6.5179999999999998</v>
      </c>
      <c r="R25">
        <v>6.3630000000000004</v>
      </c>
      <c r="S25">
        <v>6.3630000000000004</v>
      </c>
      <c r="T25">
        <v>6.3630000000000004</v>
      </c>
      <c r="U25">
        <v>5.7850000000000001</v>
      </c>
      <c r="V25">
        <v>6.4489999999999998</v>
      </c>
      <c r="W25">
        <v>6.4489999999999998</v>
      </c>
      <c r="X25">
        <v>6.4489999999999998</v>
      </c>
      <c r="Y25">
        <v>6.4489999999999998</v>
      </c>
      <c r="Z25">
        <v>6.3559999999999999</v>
      </c>
      <c r="AA25">
        <v>5.6130000000000004</v>
      </c>
      <c r="AB25">
        <v>5.6130000000000004</v>
      </c>
      <c r="AC25">
        <v>5.6130000000000004</v>
      </c>
      <c r="AD25">
        <v>5.6130000000000004</v>
      </c>
      <c r="AE25">
        <v>6.3280000000000003</v>
      </c>
      <c r="AF25">
        <v>6.3280000000000003</v>
      </c>
      <c r="AG25">
        <v>5.9109999999999996</v>
      </c>
      <c r="AH25">
        <v>5.9109999999999996</v>
      </c>
      <c r="AI25">
        <v>5.585</v>
      </c>
      <c r="AJ25">
        <v>6.2450000000000001</v>
      </c>
      <c r="AK25">
        <v>6.2679999999999998</v>
      </c>
      <c r="AL25">
        <v>5.57</v>
      </c>
      <c r="AM25">
        <v>5.851</v>
      </c>
      <c r="AN25">
        <v>5.851</v>
      </c>
      <c r="AO25">
        <v>5.5540000000000003</v>
      </c>
      <c r="AP25">
        <v>5.5540000000000003</v>
      </c>
      <c r="AQ25">
        <v>5.5540000000000003</v>
      </c>
      <c r="AR25">
        <v>5.6239999999999997</v>
      </c>
      <c r="AS25">
        <v>5.5540000000000003</v>
      </c>
      <c r="AT25">
        <v>5.5540000000000003</v>
      </c>
      <c r="AU25">
        <v>5.5540000000000003</v>
      </c>
      <c r="AV25">
        <v>5.5570000000000004</v>
      </c>
      <c r="AW25">
        <v>5.7640000000000002</v>
      </c>
      <c r="AX25">
        <v>5.7640000000000002</v>
      </c>
      <c r="AY25">
        <v>5.7640000000000002</v>
      </c>
      <c r="AZ25">
        <v>6.88</v>
      </c>
      <c r="BA25">
        <v>6.88</v>
      </c>
      <c r="BB25">
        <v>5.609</v>
      </c>
      <c r="BC25">
        <v>5.5540000000000003</v>
      </c>
      <c r="BD25">
        <v>3.6429999999999998</v>
      </c>
      <c r="BE25">
        <v>5.2309999999999999</v>
      </c>
      <c r="BF25">
        <v>5.2309999999999999</v>
      </c>
      <c r="BG25">
        <v>5.8289999999999997</v>
      </c>
      <c r="BH25">
        <v>6.0460000000000003</v>
      </c>
      <c r="BI25">
        <v>6.0460000000000003</v>
      </c>
      <c r="BJ25">
        <v>6.0979999999999999</v>
      </c>
      <c r="BK25">
        <v>6.0979999999999999</v>
      </c>
      <c r="BL25">
        <v>5.9660000000000002</v>
      </c>
      <c r="BM25">
        <v>6.109</v>
      </c>
      <c r="BN25">
        <v>6.1379999999999999</v>
      </c>
      <c r="BO25">
        <v>5.6440000000000001</v>
      </c>
      <c r="BP25">
        <v>5.5679999999999996</v>
      </c>
      <c r="BQ25">
        <v>5.5679999999999996</v>
      </c>
      <c r="BR25">
        <v>5.8330000000000002</v>
      </c>
      <c r="BS25">
        <v>5.8239999999999998</v>
      </c>
      <c r="BT25">
        <v>5.6479999999999997</v>
      </c>
      <c r="BU25">
        <v>6.266</v>
      </c>
      <c r="BV25">
        <v>6.29</v>
      </c>
      <c r="BW25">
        <v>6.29</v>
      </c>
      <c r="BX25">
        <v>6.0979999999999999</v>
      </c>
      <c r="BY25">
        <v>6.0369999999999999</v>
      </c>
      <c r="BZ25">
        <v>7.2309999999999999</v>
      </c>
      <c r="CA25">
        <v>5.476</v>
      </c>
      <c r="CB25">
        <v>5.5229999999999997</v>
      </c>
      <c r="CC25">
        <v>5.54</v>
      </c>
      <c r="CD25">
        <v>5.6479999999999997</v>
      </c>
      <c r="CE25">
        <v>5.6559999999999997</v>
      </c>
      <c r="CF25">
        <v>5.5609999999999999</v>
      </c>
      <c r="CG25">
        <v>5.6740000000000004</v>
      </c>
      <c r="CH25">
        <v>6.0970000000000004</v>
      </c>
      <c r="CI25">
        <v>5.9080000000000004</v>
      </c>
      <c r="CJ25">
        <v>6.0259999999999998</v>
      </c>
      <c r="CK25">
        <v>6.0190000000000001</v>
      </c>
      <c r="CL25">
        <v>6.0179999999999998</v>
      </c>
      <c r="CM25">
        <v>6.0179999999999998</v>
      </c>
      <c r="CN25">
        <v>6.88</v>
      </c>
      <c r="CO25">
        <v>6.88</v>
      </c>
      <c r="CS25">
        <v>6.9889999999999999</v>
      </c>
      <c r="CT25">
        <v>5.8040000000000003</v>
      </c>
      <c r="CU25">
        <v>6.1210000000000004</v>
      </c>
      <c r="CV25">
        <v>6.157</v>
      </c>
      <c r="CY25">
        <v>6.09</v>
      </c>
      <c r="CZ25" s="420">
        <v>4.9915429159696316</v>
      </c>
    </row>
    <row r="26" spans="2:108">
      <c r="B26">
        <v>30</v>
      </c>
      <c r="C26" s="52" t="s">
        <v>3173</v>
      </c>
      <c r="D26">
        <v>6.6539999999999999</v>
      </c>
      <c r="E26">
        <v>6.6539999999999999</v>
      </c>
      <c r="F26">
        <v>6.883</v>
      </c>
      <c r="G26">
        <v>6.9370000000000003</v>
      </c>
      <c r="H26">
        <v>5.6289999999999996</v>
      </c>
      <c r="I26">
        <v>5.6289999999999996</v>
      </c>
      <c r="J26">
        <v>5.6289999999999996</v>
      </c>
      <c r="K26">
        <v>5.6289999999999996</v>
      </c>
      <c r="L26">
        <v>7.7590000000000003</v>
      </c>
      <c r="M26">
        <v>7.7590000000000003</v>
      </c>
      <c r="N26">
        <v>7.7590000000000003</v>
      </c>
      <c r="O26">
        <v>7.3810000000000002</v>
      </c>
      <c r="P26">
        <v>6.766</v>
      </c>
      <c r="Q26">
        <v>7.0350000000000001</v>
      </c>
      <c r="R26">
        <v>6.9180000000000001</v>
      </c>
      <c r="S26">
        <v>6.9180000000000001</v>
      </c>
      <c r="T26">
        <v>6.9180000000000001</v>
      </c>
      <c r="U26">
        <v>6.3520000000000003</v>
      </c>
      <c r="V26">
        <v>6.9119999999999999</v>
      </c>
      <c r="W26">
        <v>6.9119999999999999</v>
      </c>
      <c r="X26">
        <v>6.9119999999999999</v>
      </c>
      <c r="Y26">
        <v>6.9119999999999999</v>
      </c>
      <c r="Z26">
        <v>6.8550000000000004</v>
      </c>
      <c r="AA26">
        <v>6.1559999999999997</v>
      </c>
      <c r="AB26">
        <v>6.1559999999999997</v>
      </c>
      <c r="AC26">
        <v>6.1559999999999997</v>
      </c>
      <c r="AD26">
        <v>6.1559999999999997</v>
      </c>
      <c r="AE26">
        <v>6.8250000000000002</v>
      </c>
      <c r="AF26">
        <v>6.8250000000000002</v>
      </c>
      <c r="AG26">
        <v>6.4669999999999996</v>
      </c>
      <c r="AH26">
        <v>6.4669999999999996</v>
      </c>
      <c r="AI26">
        <v>6.194</v>
      </c>
      <c r="AJ26">
        <v>7.069</v>
      </c>
      <c r="AK26">
        <v>6.9930000000000003</v>
      </c>
      <c r="AL26">
        <v>6.3390000000000004</v>
      </c>
      <c r="AM26">
        <v>6.452</v>
      </c>
      <c r="AN26">
        <v>6.452</v>
      </c>
      <c r="AO26">
        <v>6.2869999999999999</v>
      </c>
      <c r="AP26">
        <v>6.2869999999999999</v>
      </c>
      <c r="AQ26">
        <v>6.2869999999999999</v>
      </c>
      <c r="AR26">
        <v>6.36</v>
      </c>
      <c r="AS26">
        <v>6.3150000000000004</v>
      </c>
      <c r="AT26">
        <v>6.3150000000000004</v>
      </c>
      <c r="AU26">
        <v>6.3150000000000004</v>
      </c>
      <c r="AV26">
        <v>6.173</v>
      </c>
      <c r="AW26">
        <v>6.3890000000000002</v>
      </c>
      <c r="AX26">
        <v>6.3890000000000002</v>
      </c>
      <c r="AY26">
        <v>6.3890000000000002</v>
      </c>
      <c r="AZ26">
        <v>7.6790000000000003</v>
      </c>
      <c r="BA26">
        <v>7.6790000000000003</v>
      </c>
      <c r="BB26">
        <v>6.2709999999999999</v>
      </c>
      <c r="BC26">
        <v>6.2869999999999999</v>
      </c>
      <c r="BD26">
        <v>3.75</v>
      </c>
      <c r="BE26">
        <v>5.9320000000000004</v>
      </c>
      <c r="BF26">
        <v>5.9320000000000004</v>
      </c>
      <c r="BG26">
        <v>6.4050000000000002</v>
      </c>
      <c r="BH26">
        <v>6.6959999999999997</v>
      </c>
      <c r="BI26">
        <v>6.6959999999999997</v>
      </c>
      <c r="BJ26">
        <v>6.6479999999999997</v>
      </c>
      <c r="BK26">
        <v>6.6479999999999997</v>
      </c>
      <c r="BL26">
        <v>6.6189999999999998</v>
      </c>
      <c r="BM26">
        <v>6.7060000000000004</v>
      </c>
      <c r="BN26">
        <v>6.7080000000000002</v>
      </c>
      <c r="BO26">
        <v>6.3390000000000004</v>
      </c>
      <c r="BP26">
        <v>6.343</v>
      </c>
      <c r="BQ26">
        <v>6.343</v>
      </c>
      <c r="BR26">
        <v>6.3970000000000002</v>
      </c>
      <c r="BS26">
        <v>6.3890000000000002</v>
      </c>
      <c r="BT26">
        <v>6.2489999999999997</v>
      </c>
      <c r="BU26">
        <v>6.8120000000000003</v>
      </c>
      <c r="BV26">
        <v>6.8520000000000003</v>
      </c>
      <c r="BW26">
        <v>6.8520000000000003</v>
      </c>
      <c r="BX26">
        <v>6.6070000000000002</v>
      </c>
      <c r="BY26">
        <v>6.585</v>
      </c>
      <c r="BZ26">
        <v>7.2649999999999997</v>
      </c>
      <c r="CA26">
        <v>6.2320000000000002</v>
      </c>
      <c r="CB26">
        <v>6.1689999999999996</v>
      </c>
      <c r="CC26">
        <v>6.2640000000000002</v>
      </c>
      <c r="CD26">
        <v>6.3220000000000001</v>
      </c>
      <c r="CE26">
        <v>6.3440000000000003</v>
      </c>
      <c r="CF26">
        <v>6.0410000000000004</v>
      </c>
      <c r="CG26">
        <v>6.3650000000000002</v>
      </c>
      <c r="CH26">
        <v>6.64</v>
      </c>
      <c r="CI26">
        <v>6.4630000000000001</v>
      </c>
      <c r="CJ26">
        <v>6.69</v>
      </c>
      <c r="CK26">
        <v>6.6239999999999997</v>
      </c>
      <c r="CL26">
        <v>6.6769999999999996</v>
      </c>
      <c r="CM26">
        <v>6.6769999999999996</v>
      </c>
      <c r="CN26">
        <v>7.6790000000000003</v>
      </c>
      <c r="CO26">
        <v>7.6790000000000003</v>
      </c>
      <c r="CS26">
        <v>7.7590000000000003</v>
      </c>
      <c r="CT26">
        <v>6.3630000000000004</v>
      </c>
      <c r="CU26">
        <v>6.7050000000000001</v>
      </c>
      <c r="CV26">
        <v>6.2759999999999998</v>
      </c>
      <c r="CY26">
        <v>6.43</v>
      </c>
      <c r="CZ26" s="420">
        <v>5.5556556427744193</v>
      </c>
    </row>
    <row r="27" spans="2:108">
      <c r="B27">
        <v>31</v>
      </c>
      <c r="C27" s="52" t="s">
        <v>3174</v>
      </c>
      <c r="D27">
        <v>7.5739999999999998</v>
      </c>
      <c r="E27">
        <v>7.5739999999999998</v>
      </c>
      <c r="F27">
        <v>8.0289999999999999</v>
      </c>
      <c r="G27">
        <v>8.1020000000000003</v>
      </c>
      <c r="H27">
        <v>6.7549999999999999</v>
      </c>
      <c r="I27">
        <v>6.7549999999999999</v>
      </c>
      <c r="J27">
        <v>6.7549999999999999</v>
      </c>
      <c r="K27">
        <v>6.7549999999999999</v>
      </c>
      <c r="L27">
        <v>8.3650000000000002</v>
      </c>
      <c r="M27">
        <v>8.3650000000000002</v>
      </c>
      <c r="N27">
        <v>8.3650000000000002</v>
      </c>
      <c r="O27">
        <v>8.4920000000000009</v>
      </c>
      <c r="P27">
        <v>7.2489999999999997</v>
      </c>
      <c r="Q27">
        <v>8.2420000000000009</v>
      </c>
      <c r="R27">
        <v>7.9859999999999998</v>
      </c>
      <c r="S27">
        <v>7.9859999999999998</v>
      </c>
      <c r="T27">
        <v>7.9859999999999998</v>
      </c>
      <c r="U27">
        <v>7.0979999999999999</v>
      </c>
      <c r="V27">
        <v>7.9880000000000004</v>
      </c>
      <c r="W27">
        <v>7.9880000000000004</v>
      </c>
      <c r="X27">
        <v>7.9880000000000004</v>
      </c>
      <c r="Y27">
        <v>7.9880000000000004</v>
      </c>
      <c r="Z27">
        <v>7.8979999999999997</v>
      </c>
      <c r="AA27">
        <v>6.8280000000000003</v>
      </c>
      <c r="AB27">
        <v>6.8280000000000003</v>
      </c>
      <c r="AC27">
        <v>6.8280000000000003</v>
      </c>
      <c r="AD27">
        <v>6.8280000000000003</v>
      </c>
      <c r="AE27">
        <v>7.8520000000000003</v>
      </c>
      <c r="AF27">
        <v>7.8520000000000003</v>
      </c>
      <c r="AG27">
        <v>7.3860000000000001</v>
      </c>
      <c r="AH27">
        <v>7.3860000000000001</v>
      </c>
      <c r="AI27">
        <v>6.9619999999999997</v>
      </c>
      <c r="AJ27">
        <v>8.1820000000000004</v>
      </c>
      <c r="AK27">
        <v>7.8280000000000003</v>
      </c>
      <c r="AL27">
        <v>7.29</v>
      </c>
      <c r="AM27">
        <v>7.1440000000000001</v>
      </c>
      <c r="AN27">
        <v>7.1440000000000001</v>
      </c>
      <c r="AO27">
        <v>7.2140000000000004</v>
      </c>
      <c r="AP27">
        <v>7.2140000000000004</v>
      </c>
      <c r="AQ27">
        <v>7.2140000000000004</v>
      </c>
      <c r="AR27">
        <v>7.6020000000000003</v>
      </c>
      <c r="AS27">
        <v>7.1619999999999999</v>
      </c>
      <c r="AT27">
        <v>7.1619999999999999</v>
      </c>
      <c r="AU27">
        <v>7.1619999999999999</v>
      </c>
      <c r="AV27">
        <v>6.9980000000000002</v>
      </c>
      <c r="AW27">
        <v>7.2169999999999996</v>
      </c>
      <c r="AX27">
        <v>7.2169999999999996</v>
      </c>
      <c r="AY27">
        <v>7.2169999999999996</v>
      </c>
      <c r="AZ27">
        <v>8.4949999999999992</v>
      </c>
      <c r="BA27">
        <v>8.4949999999999992</v>
      </c>
      <c r="BB27">
        <v>7.1139999999999999</v>
      </c>
      <c r="BC27">
        <v>7.2140000000000004</v>
      </c>
      <c r="BD27">
        <v>4.3559999999999999</v>
      </c>
      <c r="BE27">
        <v>6.8150000000000004</v>
      </c>
      <c r="BF27">
        <v>6.8150000000000004</v>
      </c>
      <c r="BG27">
        <v>7.3129999999999997</v>
      </c>
      <c r="BH27">
        <v>7.7539999999999996</v>
      </c>
      <c r="BI27">
        <v>7.7539999999999996</v>
      </c>
      <c r="BJ27">
        <v>7.665</v>
      </c>
      <c r="BK27">
        <v>7.665</v>
      </c>
      <c r="BL27">
        <v>7.734</v>
      </c>
      <c r="BM27">
        <v>7.718</v>
      </c>
      <c r="BN27">
        <v>7.6580000000000004</v>
      </c>
      <c r="BO27">
        <v>7.1440000000000001</v>
      </c>
      <c r="BP27">
        <v>7.3460000000000001</v>
      </c>
      <c r="BQ27">
        <v>7.3460000000000001</v>
      </c>
      <c r="BR27">
        <v>7.1719999999999997</v>
      </c>
      <c r="BS27">
        <v>7.1550000000000002</v>
      </c>
      <c r="BT27">
        <v>7.3179999999999996</v>
      </c>
      <c r="BU27">
        <v>7.9969999999999999</v>
      </c>
      <c r="BV27">
        <v>8.0289999999999999</v>
      </c>
      <c r="BW27">
        <v>8.0289999999999999</v>
      </c>
      <c r="BX27">
        <v>7.6420000000000003</v>
      </c>
      <c r="BY27">
        <v>7.5339999999999998</v>
      </c>
      <c r="BZ27">
        <v>7.6310000000000002</v>
      </c>
      <c r="CA27">
        <v>7.0389999999999997</v>
      </c>
      <c r="CB27">
        <v>6.9489999999999998</v>
      </c>
      <c r="CC27">
        <v>6.9580000000000002</v>
      </c>
      <c r="CD27">
        <v>7.2110000000000003</v>
      </c>
      <c r="CE27">
        <v>7.2060000000000004</v>
      </c>
      <c r="CF27">
        <v>6.8120000000000003</v>
      </c>
      <c r="CG27">
        <v>7.2130000000000001</v>
      </c>
      <c r="CH27">
        <v>7.5650000000000004</v>
      </c>
      <c r="CI27">
        <v>7.39</v>
      </c>
      <c r="CJ27">
        <v>7.7679999999999998</v>
      </c>
      <c r="CK27">
        <v>7.6669999999999998</v>
      </c>
      <c r="CL27">
        <v>7.74</v>
      </c>
      <c r="CM27">
        <v>7.74</v>
      </c>
      <c r="CN27">
        <v>8.4949999999999992</v>
      </c>
      <c r="CO27">
        <v>8.4949999999999992</v>
      </c>
      <c r="CS27">
        <v>8.3650000000000002</v>
      </c>
      <c r="CT27">
        <v>7.2460000000000004</v>
      </c>
      <c r="CU27">
        <v>7.673</v>
      </c>
      <c r="CV27">
        <v>7.17</v>
      </c>
      <c r="CY27">
        <v>7.3719999999999999</v>
      </c>
      <c r="CZ27" s="420">
        <v>6.1881456697979678</v>
      </c>
    </row>
    <row r="28" spans="2:108">
      <c r="B28">
        <v>30</v>
      </c>
      <c r="C28" s="52" t="s">
        <v>3175</v>
      </c>
      <c r="D28">
        <v>7.5229999999999997</v>
      </c>
      <c r="E28">
        <v>7.5229999999999997</v>
      </c>
      <c r="F28">
        <v>8.3490000000000002</v>
      </c>
      <c r="G28">
        <v>8.4489999999999998</v>
      </c>
      <c r="H28">
        <v>7.25</v>
      </c>
      <c r="I28">
        <v>7.25</v>
      </c>
      <c r="J28">
        <v>7.25</v>
      </c>
      <c r="K28">
        <v>7.25</v>
      </c>
      <c r="L28">
        <v>9.7690000000000001</v>
      </c>
      <c r="M28">
        <v>9.7690000000000001</v>
      </c>
      <c r="N28">
        <v>9.7690000000000001</v>
      </c>
      <c r="O28">
        <v>9.3309999999999995</v>
      </c>
      <c r="P28">
        <v>7.984</v>
      </c>
      <c r="Q28">
        <v>8.6069999999999993</v>
      </c>
      <c r="R28">
        <v>8.1869999999999994</v>
      </c>
      <c r="S28">
        <v>8.1869999999999994</v>
      </c>
      <c r="T28">
        <v>8.1869999999999994</v>
      </c>
      <c r="U28">
        <v>7.3490000000000002</v>
      </c>
      <c r="V28">
        <v>8.2840000000000007</v>
      </c>
      <c r="W28">
        <v>8.2840000000000007</v>
      </c>
      <c r="X28">
        <v>8.2840000000000007</v>
      </c>
      <c r="Y28">
        <v>8.2840000000000007</v>
      </c>
      <c r="Z28">
        <v>8.1590000000000007</v>
      </c>
      <c r="AA28">
        <v>7.23</v>
      </c>
      <c r="AB28">
        <v>7.23</v>
      </c>
      <c r="AC28">
        <v>7.23</v>
      </c>
      <c r="AD28">
        <v>7.23</v>
      </c>
      <c r="AE28">
        <v>8.0440000000000005</v>
      </c>
      <c r="AF28">
        <v>8.0440000000000005</v>
      </c>
      <c r="AG28">
        <v>7.5739999999999998</v>
      </c>
      <c r="AH28">
        <v>7.5739999999999998</v>
      </c>
      <c r="AI28">
        <v>7.085</v>
      </c>
      <c r="AJ28">
        <v>8.8689999999999998</v>
      </c>
      <c r="AK28">
        <v>8.4580000000000002</v>
      </c>
      <c r="AL28">
        <v>7.423</v>
      </c>
      <c r="AM28">
        <v>7.6210000000000004</v>
      </c>
      <c r="AN28">
        <v>7.6210000000000004</v>
      </c>
      <c r="AO28">
        <v>7.4480000000000004</v>
      </c>
      <c r="AP28">
        <v>7.4480000000000004</v>
      </c>
      <c r="AQ28">
        <v>7.4480000000000004</v>
      </c>
      <c r="AR28">
        <v>7.73</v>
      </c>
      <c r="AS28">
        <v>7.3</v>
      </c>
      <c r="AT28">
        <v>7.3</v>
      </c>
      <c r="AU28">
        <v>7.3</v>
      </c>
      <c r="AV28">
        <v>7.2359999999999998</v>
      </c>
      <c r="AW28">
        <v>7.7229999999999999</v>
      </c>
      <c r="AX28">
        <v>7.7229999999999999</v>
      </c>
      <c r="AY28">
        <v>7.7229999999999999</v>
      </c>
      <c r="AZ28">
        <v>9.6280000000000001</v>
      </c>
      <c r="BA28">
        <v>9.6280000000000001</v>
      </c>
      <c r="BB28">
        <v>7.3869999999999996</v>
      </c>
      <c r="BC28">
        <v>7.4480000000000004</v>
      </c>
      <c r="BD28">
        <v>4.601</v>
      </c>
      <c r="BE28">
        <v>7.3129999999999997</v>
      </c>
      <c r="BF28">
        <v>7.3129999999999997</v>
      </c>
      <c r="BG28">
        <v>7.4619999999999997</v>
      </c>
      <c r="BH28">
        <v>7.9779999999999998</v>
      </c>
      <c r="BI28">
        <v>7.9779999999999998</v>
      </c>
      <c r="BJ28">
        <v>7.9260000000000002</v>
      </c>
      <c r="BK28">
        <v>7.9260000000000002</v>
      </c>
      <c r="BL28">
        <v>7.9850000000000003</v>
      </c>
      <c r="BM28">
        <v>7.9539999999999997</v>
      </c>
      <c r="BN28">
        <v>7.85</v>
      </c>
      <c r="BO28">
        <v>7.5229999999999997</v>
      </c>
      <c r="BP28">
        <v>7.5030000000000001</v>
      </c>
      <c r="BQ28">
        <v>7.5030000000000001</v>
      </c>
      <c r="BR28">
        <v>7.4219999999999997</v>
      </c>
      <c r="BS28">
        <v>7.4029999999999996</v>
      </c>
      <c r="BT28">
        <v>7.7439999999999998</v>
      </c>
      <c r="BU28">
        <v>8.327</v>
      </c>
      <c r="BV28">
        <v>8.2669999999999995</v>
      </c>
      <c r="BW28">
        <v>8.2669999999999995</v>
      </c>
      <c r="BX28">
        <v>7.8959999999999999</v>
      </c>
      <c r="BY28">
        <v>7.734</v>
      </c>
      <c r="BZ28">
        <v>8.6530000000000005</v>
      </c>
      <c r="CA28">
        <v>7.1689999999999996</v>
      </c>
      <c r="CB28">
        <v>7.2030000000000003</v>
      </c>
      <c r="CC28">
        <v>7.1079999999999997</v>
      </c>
      <c r="CD28">
        <v>7.2619999999999996</v>
      </c>
      <c r="CE28">
        <v>7.2519999999999998</v>
      </c>
      <c r="CF28">
        <v>7.2169999999999996</v>
      </c>
      <c r="CG28">
        <v>7.2610000000000001</v>
      </c>
      <c r="CH28">
        <v>7.7409999999999997</v>
      </c>
      <c r="CI28">
        <v>7.5709999999999997</v>
      </c>
      <c r="CJ28">
        <v>7.9710000000000001</v>
      </c>
      <c r="CK28">
        <v>7.9260000000000002</v>
      </c>
      <c r="CL28">
        <v>7.9279999999999999</v>
      </c>
      <c r="CM28">
        <v>7.9279999999999999</v>
      </c>
      <c r="CN28">
        <v>9.6280000000000001</v>
      </c>
      <c r="CO28">
        <v>9.6280000000000001</v>
      </c>
      <c r="CS28">
        <v>9.7690000000000001</v>
      </c>
      <c r="CT28">
        <v>7.3029999999999999</v>
      </c>
      <c r="CU28">
        <v>7.8789999999999996</v>
      </c>
      <c r="CV28">
        <v>7.8639999999999999</v>
      </c>
      <c r="CY28">
        <v>8.1240000000000006</v>
      </c>
      <c r="CZ28" s="420">
        <v>6.4768498262771859</v>
      </c>
    </row>
    <row r="29" spans="2:108">
      <c r="B29">
        <v>31</v>
      </c>
      <c r="C29" s="52" t="s">
        <v>3176</v>
      </c>
      <c r="D29">
        <v>7.609</v>
      </c>
      <c r="E29">
        <v>7.609</v>
      </c>
      <c r="F29">
        <v>9.0139999999999993</v>
      </c>
      <c r="G29">
        <v>9.1189999999999998</v>
      </c>
      <c r="H29">
        <v>7.5140000000000002</v>
      </c>
      <c r="I29">
        <v>7.5140000000000002</v>
      </c>
      <c r="J29">
        <v>7.5140000000000002</v>
      </c>
      <c r="K29">
        <v>7.5140000000000002</v>
      </c>
      <c r="L29">
        <v>9.9830000000000005</v>
      </c>
      <c r="M29">
        <v>9.9830000000000005</v>
      </c>
      <c r="N29">
        <v>9.9830000000000005</v>
      </c>
      <c r="O29">
        <v>9.9659999999999993</v>
      </c>
      <c r="P29">
        <v>8.0009999999999994</v>
      </c>
      <c r="Q29">
        <v>9.282</v>
      </c>
      <c r="R29">
        <v>8.7989999999999995</v>
      </c>
      <c r="S29">
        <v>8.7989999999999995</v>
      </c>
      <c r="T29">
        <v>8.7989999999999995</v>
      </c>
      <c r="U29">
        <v>8.0449999999999999</v>
      </c>
      <c r="V29">
        <v>8.94</v>
      </c>
      <c r="W29">
        <v>8.94</v>
      </c>
      <c r="X29">
        <v>8.94</v>
      </c>
      <c r="Y29">
        <v>8.94</v>
      </c>
      <c r="Z29">
        <v>8.8330000000000002</v>
      </c>
      <c r="AA29">
        <v>7.8979999999999997</v>
      </c>
      <c r="AB29">
        <v>7.8979999999999997</v>
      </c>
      <c r="AC29">
        <v>7.8979999999999997</v>
      </c>
      <c r="AD29">
        <v>7.8979999999999997</v>
      </c>
      <c r="AE29">
        <v>8.6989999999999998</v>
      </c>
      <c r="AF29">
        <v>8.6989999999999998</v>
      </c>
      <c r="AG29">
        <v>8.1519999999999992</v>
      </c>
      <c r="AH29">
        <v>8.1519999999999992</v>
      </c>
      <c r="AI29">
        <v>7.1829999999999998</v>
      </c>
      <c r="AJ29">
        <v>9.4730000000000008</v>
      </c>
      <c r="AK29">
        <v>9.0150000000000006</v>
      </c>
      <c r="AL29">
        <v>8.1609999999999996</v>
      </c>
      <c r="AM29">
        <v>8.2189999999999994</v>
      </c>
      <c r="AN29">
        <v>8.2189999999999994</v>
      </c>
      <c r="AO29">
        <v>8.1080000000000005</v>
      </c>
      <c r="AP29">
        <v>8.1080000000000005</v>
      </c>
      <c r="AQ29">
        <v>8.1080000000000005</v>
      </c>
      <c r="AR29">
        <v>7.57</v>
      </c>
      <c r="AS29">
        <v>7.9969999999999999</v>
      </c>
      <c r="AT29">
        <v>7.9969999999999999</v>
      </c>
      <c r="AU29">
        <v>7.9969999999999999</v>
      </c>
      <c r="AV29">
        <v>7.9690000000000003</v>
      </c>
      <c r="AW29">
        <v>8.3360000000000003</v>
      </c>
      <c r="AX29">
        <v>8.3360000000000003</v>
      </c>
      <c r="AY29">
        <v>8.3360000000000003</v>
      </c>
      <c r="AZ29">
        <v>9.73</v>
      </c>
      <c r="BA29">
        <v>9.73</v>
      </c>
      <c r="BB29">
        <v>8.077</v>
      </c>
      <c r="BC29">
        <v>8.1080000000000005</v>
      </c>
      <c r="BD29">
        <v>4.9950000000000001</v>
      </c>
      <c r="BE29">
        <v>7.9539999999999997</v>
      </c>
      <c r="BF29">
        <v>7.9539999999999997</v>
      </c>
      <c r="BG29">
        <v>7.9829999999999997</v>
      </c>
      <c r="BH29">
        <v>8.4909999999999997</v>
      </c>
      <c r="BI29">
        <v>8.4909999999999997</v>
      </c>
      <c r="BJ29">
        <v>8.5340000000000007</v>
      </c>
      <c r="BK29">
        <v>8.5340000000000007</v>
      </c>
      <c r="BL29">
        <v>8.5129999999999999</v>
      </c>
      <c r="BM29">
        <v>8.5190000000000001</v>
      </c>
      <c r="BN29">
        <v>8.4269999999999996</v>
      </c>
      <c r="BO29">
        <v>8.032</v>
      </c>
      <c r="BP29">
        <v>8.2330000000000005</v>
      </c>
      <c r="BQ29">
        <v>8.2330000000000005</v>
      </c>
      <c r="BR29">
        <v>8.1020000000000003</v>
      </c>
      <c r="BS29">
        <v>8.0839999999999996</v>
      </c>
      <c r="BT29">
        <v>8.1829999999999998</v>
      </c>
      <c r="BU29">
        <v>8.8439999999999994</v>
      </c>
      <c r="BV29">
        <v>8.8529999999999998</v>
      </c>
      <c r="BW29">
        <v>8.8529999999999998</v>
      </c>
      <c r="BX29">
        <v>8.5120000000000005</v>
      </c>
      <c r="BY29">
        <v>8.3379999999999992</v>
      </c>
      <c r="BZ29">
        <v>8.5429999999999993</v>
      </c>
      <c r="CA29">
        <v>7.8620000000000001</v>
      </c>
      <c r="CB29">
        <v>7.8879999999999999</v>
      </c>
      <c r="CC29">
        <v>7.7370000000000001</v>
      </c>
      <c r="CD29">
        <v>8.0920000000000005</v>
      </c>
      <c r="CE29">
        <v>8.0510000000000002</v>
      </c>
      <c r="CF29">
        <v>7.9409999999999998</v>
      </c>
      <c r="CG29">
        <v>8.06</v>
      </c>
      <c r="CH29">
        <v>8.3480000000000008</v>
      </c>
      <c r="CI29">
        <v>8.1389999999999993</v>
      </c>
      <c r="CJ29">
        <v>8.484</v>
      </c>
      <c r="CK29">
        <v>8.4779999999999998</v>
      </c>
      <c r="CL29">
        <v>8.43</v>
      </c>
      <c r="CM29">
        <v>8.43</v>
      </c>
      <c r="CN29">
        <v>9.73</v>
      </c>
      <c r="CO29">
        <v>9.73</v>
      </c>
      <c r="CS29">
        <v>9.9830000000000005</v>
      </c>
      <c r="CT29">
        <v>7.7859999999999996</v>
      </c>
      <c r="CU29">
        <v>8.4480000000000004</v>
      </c>
      <c r="CV29">
        <v>8.3770000000000007</v>
      </c>
      <c r="CY29">
        <v>8.3350000000000009</v>
      </c>
      <c r="CZ29" s="420">
        <v>6.7883464161626579</v>
      </c>
    </row>
    <row r="30" spans="2:108">
      <c r="C30" t="s">
        <v>3179</v>
      </c>
      <c r="D30" s="420">
        <f>SUMPRODUCT(D18:D29,$B$18:$B$29)/SUM($B$18:$B$29)</f>
        <v>7.1962101300479118</v>
      </c>
      <c r="E30" s="420">
        <f t="shared" ref="E30:BP30" si="37">SUMPRODUCT(E18:E29,$B$18:$B$29)/SUM($B$18:$B$29)</f>
        <v>7.1962101300479118</v>
      </c>
      <c r="F30" s="420">
        <f t="shared" si="37"/>
        <v>7.6024277891854899</v>
      </c>
      <c r="G30" s="420">
        <f t="shared" si="37"/>
        <v>7.6701800136892526</v>
      </c>
      <c r="H30" s="420">
        <f t="shared" si="37"/>
        <v>6.3745557837097868</v>
      </c>
      <c r="I30" s="420">
        <f t="shared" si="37"/>
        <v>6.3745557837097868</v>
      </c>
      <c r="J30" s="420">
        <f t="shared" si="37"/>
        <v>6.3745557837097868</v>
      </c>
      <c r="K30" s="420">
        <f t="shared" si="37"/>
        <v>6.3745557837097868</v>
      </c>
      <c r="L30" s="420">
        <f t="shared" si="37"/>
        <v>8.6337241615331966</v>
      </c>
      <c r="M30" s="420">
        <f t="shared" si="37"/>
        <v>8.6337241615331966</v>
      </c>
      <c r="N30" s="420">
        <f t="shared" si="37"/>
        <v>8.6337241615331966</v>
      </c>
      <c r="O30" s="420">
        <f t="shared" si="37"/>
        <v>8.2782511978097197</v>
      </c>
      <c r="P30" s="420">
        <f t="shared" si="37"/>
        <v>7.2801334702258726</v>
      </c>
      <c r="Q30" s="420">
        <f t="shared" si="37"/>
        <v>7.783503080082137</v>
      </c>
      <c r="R30" s="420">
        <f t="shared" si="37"/>
        <v>7.5622340862423014</v>
      </c>
      <c r="S30" s="420">
        <f t="shared" si="37"/>
        <v>7.5622340862423014</v>
      </c>
      <c r="T30" s="420">
        <f t="shared" si="37"/>
        <v>7.5622340862423014</v>
      </c>
      <c r="U30" s="420">
        <f t="shared" si="37"/>
        <v>6.9043997262149208</v>
      </c>
      <c r="V30" s="420">
        <f t="shared" si="37"/>
        <v>7.5949637234770693</v>
      </c>
      <c r="W30" s="420">
        <f t="shared" si="37"/>
        <v>7.5949637234770693</v>
      </c>
      <c r="X30" s="420">
        <f t="shared" si="37"/>
        <v>7.5949637234770693</v>
      </c>
      <c r="Y30" s="420">
        <f t="shared" si="37"/>
        <v>7.5949637234770693</v>
      </c>
      <c r="Z30" s="420">
        <f t="shared" si="37"/>
        <v>7.5114339493497608</v>
      </c>
      <c r="AA30" s="420">
        <f t="shared" si="37"/>
        <v>6.7526392881587967</v>
      </c>
      <c r="AB30" s="420">
        <f t="shared" si="37"/>
        <v>6.7526392881587967</v>
      </c>
      <c r="AC30" s="420">
        <f t="shared" si="37"/>
        <v>6.7526392881587967</v>
      </c>
      <c r="AD30" s="420">
        <f t="shared" si="37"/>
        <v>6.7526392881587967</v>
      </c>
      <c r="AE30" s="420">
        <f t="shared" si="37"/>
        <v>7.4585448323066386</v>
      </c>
      <c r="AF30" s="420">
        <f t="shared" si="37"/>
        <v>7.4585448323066386</v>
      </c>
      <c r="AG30" s="420">
        <f t="shared" si="37"/>
        <v>7.0160841889117025</v>
      </c>
      <c r="AH30" s="420">
        <f t="shared" si="37"/>
        <v>7.0160841889117025</v>
      </c>
      <c r="AI30" s="420">
        <f t="shared" si="37"/>
        <v>6.7384989733059548</v>
      </c>
      <c r="AJ30" s="420">
        <f t="shared" si="37"/>
        <v>7.8667049965776874</v>
      </c>
      <c r="AK30" s="420">
        <f t="shared" si="37"/>
        <v>7.6934257357973994</v>
      </c>
      <c r="AL30" s="420">
        <f t="shared" si="37"/>
        <v>6.8509582477754964</v>
      </c>
      <c r="AM30" s="420">
        <f t="shared" si="37"/>
        <v>7.0621273100616015</v>
      </c>
      <c r="AN30" s="420">
        <f t="shared" si="37"/>
        <v>7.0621273100616015</v>
      </c>
      <c r="AO30" s="420">
        <f t="shared" si="37"/>
        <v>6.822483230663928</v>
      </c>
      <c r="AP30" s="420">
        <f t="shared" si="37"/>
        <v>6.822483230663928</v>
      </c>
      <c r="AQ30" s="420">
        <f t="shared" si="37"/>
        <v>6.822483230663928</v>
      </c>
      <c r="AR30" s="420">
        <f t="shared" si="37"/>
        <v>7.021605065023957</v>
      </c>
      <c r="AS30" s="420">
        <f t="shared" si="37"/>
        <v>6.8013559206023277</v>
      </c>
      <c r="AT30" s="420">
        <f t="shared" si="37"/>
        <v>6.8013559206023277</v>
      </c>
      <c r="AU30" s="420">
        <f t="shared" si="37"/>
        <v>6.8013559206023277</v>
      </c>
      <c r="AV30" s="420">
        <f t="shared" si="37"/>
        <v>6.7200807665982216</v>
      </c>
      <c r="AW30" s="420">
        <f t="shared" si="37"/>
        <v>7.064126625598905</v>
      </c>
      <c r="AX30" s="420">
        <f t="shared" si="37"/>
        <v>7.064126625598905</v>
      </c>
      <c r="AY30" s="420">
        <f t="shared" si="37"/>
        <v>7.064126625598905</v>
      </c>
      <c r="AZ30" s="420">
        <f t="shared" si="37"/>
        <v>8.5129356605065034</v>
      </c>
      <c r="BA30" s="420">
        <f t="shared" si="37"/>
        <v>8.5129356605065034</v>
      </c>
      <c r="BB30" s="420">
        <f t="shared" si="37"/>
        <v>6.822748802190282</v>
      </c>
      <c r="BC30" s="420">
        <f t="shared" si="37"/>
        <v>6.822483230663928</v>
      </c>
      <c r="BD30" s="420">
        <f t="shared" si="37"/>
        <v>4.2609733059548249</v>
      </c>
      <c r="BE30" s="420">
        <f t="shared" si="37"/>
        <v>6.6040246406570855</v>
      </c>
      <c r="BF30" s="420">
        <f t="shared" si="37"/>
        <v>6.6040246406570855</v>
      </c>
      <c r="BG30" s="420">
        <f t="shared" si="37"/>
        <v>6.9224579055441486</v>
      </c>
      <c r="BH30" s="420">
        <f t="shared" si="37"/>
        <v>7.2601225188227234</v>
      </c>
      <c r="BI30" s="420">
        <f t="shared" si="37"/>
        <v>7.2601225188227234</v>
      </c>
      <c r="BJ30" s="420">
        <f t="shared" si="37"/>
        <v>7.2584366872005495</v>
      </c>
      <c r="BK30" s="420">
        <f t="shared" si="37"/>
        <v>7.2584366872005495</v>
      </c>
      <c r="BL30" s="420">
        <f t="shared" si="37"/>
        <v>7.2032888432580435</v>
      </c>
      <c r="BM30" s="420">
        <f t="shared" si="37"/>
        <v>7.2899746748802183</v>
      </c>
      <c r="BN30" s="420">
        <f t="shared" si="37"/>
        <v>7.272796714579056</v>
      </c>
      <c r="BO30" s="420">
        <f t="shared" si="37"/>
        <v>6.929765229295004</v>
      </c>
      <c r="BP30" s="420">
        <f t="shared" si="37"/>
        <v>6.8752073921971251</v>
      </c>
      <c r="BQ30" s="420">
        <f t="shared" ref="BQ30:CY30" si="38">SUMPRODUCT(BQ18:BQ29,$B$18:$B$29)/SUM($B$18:$B$29)</f>
        <v>6.8752073921971251</v>
      </c>
      <c r="BR30" s="420">
        <f t="shared" si="38"/>
        <v>6.9581190965092405</v>
      </c>
      <c r="BS30" s="420">
        <f t="shared" si="38"/>
        <v>6.9472012320328531</v>
      </c>
      <c r="BT30" s="420">
        <f t="shared" si="38"/>
        <v>6.8997802874743313</v>
      </c>
      <c r="BU30" s="420">
        <f t="shared" si="38"/>
        <v>7.5266276522929516</v>
      </c>
      <c r="BV30" s="420">
        <f t="shared" si="38"/>
        <v>7.5335742642026009</v>
      </c>
      <c r="BW30" s="420">
        <f t="shared" si="38"/>
        <v>7.5335742642026009</v>
      </c>
      <c r="BX30" s="420">
        <f t="shared" si="38"/>
        <v>7.240082819986311</v>
      </c>
      <c r="BY30" s="420">
        <f t="shared" si="38"/>
        <v>7.1725311430527032</v>
      </c>
      <c r="BZ30" s="420">
        <f t="shared" si="38"/>
        <v>8.1129979466119089</v>
      </c>
      <c r="CA30" s="420">
        <f t="shared" si="38"/>
        <v>6.7029014373716649</v>
      </c>
      <c r="CB30" s="420">
        <f t="shared" si="38"/>
        <v>6.6913552361396302</v>
      </c>
      <c r="CC30" s="420">
        <f t="shared" si="38"/>
        <v>6.7023812457221092</v>
      </c>
      <c r="CD30" s="420">
        <f t="shared" si="38"/>
        <v>6.8168637919233399</v>
      </c>
      <c r="CE30" s="420">
        <f t="shared" si="38"/>
        <v>6.814661875427789</v>
      </c>
      <c r="CF30" s="420">
        <f t="shared" si="38"/>
        <v>6.7183771389459279</v>
      </c>
      <c r="CG30" s="420">
        <f t="shared" si="38"/>
        <v>6.8295653661875431</v>
      </c>
      <c r="CH30" s="420">
        <f t="shared" si="38"/>
        <v>7.2202416153319655</v>
      </c>
      <c r="CI30" s="420">
        <f t="shared" si="38"/>
        <v>7.0100602327173167</v>
      </c>
      <c r="CJ30" s="420">
        <f t="shared" si="38"/>
        <v>7.2507091033538673</v>
      </c>
      <c r="CK30" s="420">
        <f t="shared" si="38"/>
        <v>7.2143456536618755</v>
      </c>
      <c r="CL30" s="420">
        <f t="shared" si="38"/>
        <v>7.229557837097877</v>
      </c>
      <c r="CM30" s="420">
        <f t="shared" si="38"/>
        <v>7.229557837097877</v>
      </c>
      <c r="CN30" s="420">
        <f t="shared" si="38"/>
        <v>8.5129356605065034</v>
      </c>
      <c r="CO30" s="420">
        <f t="shared" si="38"/>
        <v>8.5129356605065034</v>
      </c>
      <c r="CP30" s="420"/>
      <c r="CQ30" s="420"/>
      <c r="CR30" s="420"/>
      <c r="CS30" s="420">
        <f t="shared" si="38"/>
        <v>8.6337241615331966</v>
      </c>
      <c r="CT30" s="420">
        <f t="shared" si="38"/>
        <v>6.8368569472963729</v>
      </c>
      <c r="CU30" s="420">
        <f t="shared" si="38"/>
        <v>7.2735660506502402</v>
      </c>
      <c r="CV30" s="420">
        <f t="shared" si="38"/>
        <v>7.0284907597535931</v>
      </c>
      <c r="CW30" s="420"/>
      <c r="CX30" s="420"/>
      <c r="CY30" s="420">
        <f t="shared" si="38"/>
        <v>7.2284825462012332</v>
      </c>
      <c r="CZ30" s="420">
        <f>SUMPRODUCT(CZ18:CZ29,$B$18:$B$29)/SUM($B$18:$B$29)</f>
        <v>6.1473033763978506</v>
      </c>
    </row>
    <row r="31" spans="2:108">
      <c r="C31" s="52" t="s">
        <v>3180</v>
      </c>
      <c r="D31">
        <v>2.09</v>
      </c>
      <c r="E31">
        <v>2.09</v>
      </c>
      <c r="F31">
        <v>2.6</v>
      </c>
      <c r="G31">
        <v>2.5</v>
      </c>
      <c r="H31">
        <v>2.2999999999999998</v>
      </c>
      <c r="I31">
        <v>2.2999999999999998</v>
      </c>
      <c r="J31">
        <v>2.2999999999999998</v>
      </c>
      <c r="K31">
        <v>2.2999999999999998</v>
      </c>
      <c r="L31">
        <v>1.76</v>
      </c>
      <c r="M31">
        <v>1.76</v>
      </c>
      <c r="N31">
        <v>1.89</v>
      </c>
      <c r="O31">
        <v>2</v>
      </c>
      <c r="P31">
        <v>2.08</v>
      </c>
      <c r="Q31">
        <v>2.35</v>
      </c>
      <c r="R31">
        <v>2.5</v>
      </c>
      <c r="S31">
        <v>2.5</v>
      </c>
      <c r="T31">
        <v>2.5</v>
      </c>
      <c r="U31">
        <v>2.42</v>
      </c>
      <c r="V31">
        <v>2</v>
      </c>
      <c r="W31">
        <v>2</v>
      </c>
      <c r="X31">
        <v>2</v>
      </c>
      <c r="Y31">
        <v>2</v>
      </c>
      <c r="Z31">
        <v>2.2200000000000002</v>
      </c>
      <c r="AA31">
        <v>2.39</v>
      </c>
      <c r="AB31">
        <v>2.39</v>
      </c>
      <c r="AC31">
        <v>2.39</v>
      </c>
      <c r="AD31">
        <v>2.39</v>
      </c>
      <c r="AE31">
        <v>2.3199999999999998</v>
      </c>
      <c r="AF31">
        <v>2.3199999999999998</v>
      </c>
      <c r="AG31">
        <v>2.36</v>
      </c>
      <c r="AH31">
        <v>2.36</v>
      </c>
      <c r="AI31">
        <v>2.14</v>
      </c>
      <c r="AJ31">
        <v>2.62</v>
      </c>
      <c r="AK31">
        <v>2.65</v>
      </c>
      <c r="AL31">
        <v>2.5</v>
      </c>
      <c r="AM31">
        <v>2.5299999999999998</v>
      </c>
      <c r="AN31">
        <v>2.5299999999999998</v>
      </c>
      <c r="AO31">
        <v>2.29</v>
      </c>
      <c r="AP31">
        <v>2.29</v>
      </c>
      <c r="AQ31">
        <v>2.29</v>
      </c>
      <c r="AR31">
        <v>2.54</v>
      </c>
      <c r="AS31">
        <v>2.5</v>
      </c>
      <c r="AT31">
        <v>2.5</v>
      </c>
      <c r="AU31">
        <v>2.5</v>
      </c>
      <c r="AV31">
        <v>2.33</v>
      </c>
      <c r="AW31">
        <v>2.59</v>
      </c>
      <c r="AX31">
        <v>2.59</v>
      </c>
      <c r="AY31">
        <v>2.59</v>
      </c>
      <c r="AZ31">
        <v>2.0099999999999998</v>
      </c>
      <c r="BA31">
        <v>2.0099999999999998</v>
      </c>
      <c r="BB31">
        <v>2.38</v>
      </c>
      <c r="BC31">
        <v>2.31</v>
      </c>
      <c r="BD31">
        <v>2.44</v>
      </c>
      <c r="BE31">
        <v>2</v>
      </c>
      <c r="BF31">
        <v>2</v>
      </c>
      <c r="BG31">
        <v>1.8</v>
      </c>
      <c r="BH31">
        <v>2.2000000000000002</v>
      </c>
      <c r="BI31">
        <v>2.2000000000000002</v>
      </c>
      <c r="BJ31">
        <v>1.8</v>
      </c>
      <c r="BK31">
        <v>1.8</v>
      </c>
      <c r="BL31">
        <v>1.92</v>
      </c>
      <c r="BM31">
        <v>2.1</v>
      </c>
      <c r="BN31">
        <v>2</v>
      </c>
      <c r="BO31">
        <v>2</v>
      </c>
      <c r="BP31">
        <v>2.2999999999999998</v>
      </c>
      <c r="BQ31">
        <v>2.2999999999999998</v>
      </c>
      <c r="BR31">
        <v>2.2400000000000002</v>
      </c>
      <c r="BS31">
        <v>2.2400000000000002</v>
      </c>
      <c r="BT31">
        <v>2.1</v>
      </c>
      <c r="BU31">
        <v>2.2999999999999998</v>
      </c>
      <c r="BV31">
        <v>2.1</v>
      </c>
      <c r="BW31">
        <v>2.1</v>
      </c>
      <c r="BX31">
        <v>2.2599999999999998</v>
      </c>
      <c r="BY31">
        <v>2.2000000000000002</v>
      </c>
      <c r="BZ31">
        <v>2.1</v>
      </c>
      <c r="CA31">
        <v>2.1</v>
      </c>
      <c r="CB31">
        <v>2.2999999999999998</v>
      </c>
      <c r="CC31">
        <v>2.1</v>
      </c>
      <c r="CD31">
        <v>2.14</v>
      </c>
      <c r="CE31">
        <v>1.85</v>
      </c>
      <c r="CF31">
        <v>2.1</v>
      </c>
      <c r="CG31">
        <v>2.02</v>
      </c>
      <c r="CH31">
        <v>2</v>
      </c>
      <c r="CI31">
        <v>1.8</v>
      </c>
      <c r="CJ31">
        <v>1.7</v>
      </c>
      <c r="CK31">
        <v>1.9</v>
      </c>
      <c r="CL31">
        <v>2.2000000000000002</v>
      </c>
      <c r="CM31">
        <v>2.2000000000000002</v>
      </c>
      <c r="CN31">
        <v>2.0099999999999998</v>
      </c>
      <c r="CO31">
        <v>2.0099999999999998</v>
      </c>
      <c r="CS31">
        <v>1.73</v>
      </c>
      <c r="CT31">
        <v>2</v>
      </c>
      <c r="CU31">
        <v>2.1</v>
      </c>
      <c r="CV31">
        <v>1.9</v>
      </c>
      <c r="CY31">
        <v>2.11</v>
      </c>
      <c r="CZ31">
        <v>2</v>
      </c>
      <c r="DA31">
        <v>1.83</v>
      </c>
      <c r="DB31">
        <v>1.89</v>
      </c>
      <c r="DC31">
        <v>2.2200000000000002</v>
      </c>
      <c r="DD31">
        <v>1.97</v>
      </c>
    </row>
    <row r="33" spans="1:110" s="480" customFormat="1" ht="30">
      <c r="A33" s="480" t="s">
        <v>3181</v>
      </c>
      <c r="C33" s="481" t="s">
        <v>3535</v>
      </c>
      <c r="D33" s="722">
        <f>'Prod B22'!T3</f>
        <v>17000000</v>
      </c>
      <c r="E33" s="722">
        <f>'Prod B22'!T4</f>
        <v>10600000.000000002</v>
      </c>
      <c r="F33" s="722">
        <f>'Prod B22'!T5</f>
        <v>5955806.7831449136</v>
      </c>
      <c r="G33" s="722">
        <f>'Prod B22'!T6</f>
        <v>17700000.261780106</v>
      </c>
      <c r="H33" s="722">
        <f>'Prod B22'!T7</f>
        <v>18896831.535788734</v>
      </c>
      <c r="I33" s="722">
        <f>'Prod B22'!T8</f>
        <v>12584122.271967255</v>
      </c>
      <c r="J33" s="722">
        <f>'Prod B22'!T9</f>
        <v>16344528.634079646</v>
      </c>
      <c r="K33" s="722">
        <f>'Prod B22'!T10</f>
        <v>19786219.685823932</v>
      </c>
      <c r="L33" s="723"/>
      <c r="M33" s="723"/>
      <c r="N33" s="722">
        <f>'Prod B22'!T13</f>
        <v>12329100.529100532</v>
      </c>
      <c r="O33" s="722">
        <f>'Prod B22'!T14</f>
        <v>18541000</v>
      </c>
      <c r="P33" s="722">
        <f>'Prod B22'!T15</f>
        <v>29661474.558670819</v>
      </c>
      <c r="Q33" s="722">
        <f>'Prod B22'!T16</f>
        <v>19599999.999999996</v>
      </c>
      <c r="R33" s="722">
        <f>'Prod B22'!T17</f>
        <v>25493854.824375607</v>
      </c>
      <c r="S33" s="722">
        <f>'Prod B22'!T18</f>
        <v>12637262.679501656</v>
      </c>
      <c r="T33" s="722">
        <f>'Prod B22'!T19</f>
        <v>24720387.587788809</v>
      </c>
      <c r="U33" s="722">
        <f>'Prod B22'!T20</f>
        <v>24365258.102253318</v>
      </c>
      <c r="V33" s="722">
        <f>'Prod B22'!T21</f>
        <v>25111496.895193432</v>
      </c>
      <c r="W33" s="722">
        <f>'Prod B22'!T22</f>
        <v>25783202.843433682</v>
      </c>
      <c r="X33" s="722">
        <f>'Prod B22'!T23</f>
        <v>12722380.645959811</v>
      </c>
      <c r="Y33" s="722">
        <f>'Prod B22'!T24</f>
        <v>31958174.925503239</v>
      </c>
      <c r="Z33" s="722">
        <f>'Prod B22'!T25</f>
        <v>19634800</v>
      </c>
      <c r="AA33" s="722">
        <f>'Prod B22'!T26</f>
        <v>38492043.651489906</v>
      </c>
      <c r="AB33" s="722">
        <f>'Prod B22'!T27</f>
        <v>9844355.6487649176</v>
      </c>
      <c r="AC33" s="722">
        <f>'Prod B22'!T28</f>
        <v>7831097.81900704</v>
      </c>
      <c r="AD33" s="722">
        <f>'Prod B22'!T29</f>
        <v>9265571.5608781129</v>
      </c>
      <c r="AE33" s="722">
        <f>'Prod B22'!T30</f>
        <v>26564501.71736687</v>
      </c>
      <c r="AF33" s="722">
        <f>'Prod B22'!T31</f>
        <v>27914207.326431185</v>
      </c>
      <c r="AG33" s="722">
        <f>'Prod B22'!T32</f>
        <v>26849770.405879464</v>
      </c>
      <c r="AH33" s="722">
        <f>'Prod B22'!T33</f>
        <v>25366595.334861275</v>
      </c>
      <c r="AI33" s="722">
        <f>'Prod B22'!T34</f>
        <v>33264321.608040191</v>
      </c>
      <c r="AJ33" s="722">
        <f>'Prod B22'!T35</f>
        <v>9300000.0000000019</v>
      </c>
      <c r="AK33" s="722">
        <f>'Prod B22'!T36</f>
        <v>14200000.000000002</v>
      </c>
      <c r="AL33" s="722">
        <f>'Prod B22'!T37</f>
        <v>19938335.046248715</v>
      </c>
      <c r="AM33" s="722">
        <f>'Prod B22'!T38</f>
        <v>20744830.172902189</v>
      </c>
      <c r="AN33" s="722">
        <f>'Prod B22'!T39</f>
        <v>18611664.800919823</v>
      </c>
      <c r="AO33" s="722">
        <f>'Prod B22'!T40</f>
        <v>29574732.909116253</v>
      </c>
      <c r="AP33" s="722">
        <f>'Prod B22'!T41</f>
        <v>14660147.357992103</v>
      </c>
      <c r="AQ33" s="722">
        <f>'Prod B22'!T42</f>
        <v>28677454.44363543</v>
      </c>
      <c r="AR33" s="722">
        <f>'Prod B22'!T43</f>
        <v>16388108.108108111</v>
      </c>
      <c r="AS33" s="722">
        <f>'Prod B22'!T44</f>
        <v>20443676.617694791</v>
      </c>
      <c r="AT33" s="722">
        <f>'Prod B22'!T45</f>
        <v>6444738.8461837489</v>
      </c>
      <c r="AU33" s="722">
        <f>'Prod B22'!T46</f>
        <v>20579744.53612145</v>
      </c>
      <c r="AV33" s="722">
        <f>'Prod B22'!T47</f>
        <v>23058277.314343844</v>
      </c>
      <c r="AW33" s="722">
        <f>'Prod B22'!T48</f>
        <v>26977703.873921111</v>
      </c>
      <c r="AX33" s="722">
        <f>'Prod B22'!T49</f>
        <v>25422259.631184917</v>
      </c>
      <c r="AY33" s="722">
        <f>'Prod B22'!T50</f>
        <v>24838877.146765247</v>
      </c>
      <c r="AZ33" s="722">
        <f>'Prod B22'!T51</f>
        <v>28703226.749079108</v>
      </c>
      <c r="BA33" s="722">
        <f>'Prod B22'!T52</f>
        <v>14585658.655466354</v>
      </c>
      <c r="BB33" s="722">
        <f>'Prod B22'!T53</f>
        <v>18443859.06340206</v>
      </c>
      <c r="BC33" s="722">
        <f>'Prod B22'!T54</f>
        <v>24211964.819536019</v>
      </c>
      <c r="BD33" s="722">
        <f>'Prod B22'!T55</f>
        <v>30005070.281124499</v>
      </c>
      <c r="BE33" s="722">
        <f>'Prod B22'!T56</f>
        <v>25359206.708429851</v>
      </c>
      <c r="BF33" s="722">
        <f>'Prod B22'!T57</f>
        <v>8307433.307602209</v>
      </c>
      <c r="BG33" s="722">
        <f>'Prod B22'!T58</f>
        <v>29020801.999999996</v>
      </c>
      <c r="BH33" s="722">
        <f>'Prod B22'!T59</f>
        <v>32496047.094863426</v>
      </c>
      <c r="BI33" s="722">
        <f>'Prod B22'!T60</f>
        <v>33074213.59014513</v>
      </c>
      <c r="BJ33" s="722">
        <f>'Prod B22'!T61</f>
        <v>34453914.281321339</v>
      </c>
      <c r="BK33" s="722">
        <f>'Prod B22'!T62</f>
        <v>24707382.499037698</v>
      </c>
      <c r="BL33" s="722">
        <f>'Prod B22'!T63</f>
        <v>75261789.741897106</v>
      </c>
      <c r="BM33" s="722">
        <f>'Prod B22'!T64</f>
        <v>74446211.529635102</v>
      </c>
      <c r="BN33" s="722">
        <f>'Prod B22'!T65</f>
        <v>52144854.748621203</v>
      </c>
      <c r="BO33" s="722">
        <f>'Prod B22'!T66</f>
        <v>26768622.603924207</v>
      </c>
      <c r="BP33" s="722">
        <f>'Prod B22'!T67</f>
        <v>25772070.082041726</v>
      </c>
      <c r="BQ33" s="724">
        <f>'Prod B22'!T68</f>
        <v>23844189.554809846</v>
      </c>
      <c r="BR33" s="725">
        <v>23745559.03866249</v>
      </c>
      <c r="BS33" s="725"/>
      <c r="BT33" s="726">
        <f>'Prod B22'!T71</f>
        <v>17502526.096033402</v>
      </c>
      <c r="BU33" s="722">
        <f>'Prod B22'!T72</f>
        <v>28469800.000000011</v>
      </c>
      <c r="BV33" s="722">
        <f>'Prod B22'!T73</f>
        <v>24994543.518364608</v>
      </c>
      <c r="BW33" s="722">
        <f>'Prod B22'!T74</f>
        <v>11800558.036039554</v>
      </c>
      <c r="BX33" s="722">
        <v>18700000</v>
      </c>
      <c r="BY33" s="722">
        <f>'Prod B22'!T76</f>
        <v>20727818.756585885</v>
      </c>
      <c r="BZ33" s="722">
        <f>'Prod B22'!T77</f>
        <v>9073503.1512605026</v>
      </c>
      <c r="CA33" s="722">
        <f>'Prod B22'!T78</f>
        <v>20745053.00207039</v>
      </c>
      <c r="CB33" s="722">
        <f>'Prod B22'!T79</f>
        <v>15412617.187499998</v>
      </c>
      <c r="CC33" s="722">
        <f>'Prod B22'!T80</f>
        <v>18650180.972078592</v>
      </c>
      <c r="CD33" s="722">
        <f>'Prod B22'!T81</f>
        <v>16848421.487603307</v>
      </c>
      <c r="CE33" s="722">
        <f>'Prod B22'!T82</f>
        <v>20734718.569999255</v>
      </c>
      <c r="CF33" s="722">
        <v>21600000</v>
      </c>
      <c r="CG33" s="722">
        <f>'Prod B22'!T84</f>
        <v>21783066.410300232</v>
      </c>
      <c r="CH33" s="722">
        <f>'Prod B22'!T85</f>
        <v>23352611.011893734</v>
      </c>
      <c r="CI33" s="722">
        <f>'Prod B22'!T86</f>
        <v>45610801.031958766</v>
      </c>
      <c r="CJ33" s="722">
        <f>'Prod B22'!T87</f>
        <v>33534789.110135626</v>
      </c>
      <c r="CK33" s="722">
        <f>'Prod B22'!T88</f>
        <v>59438978.149664618</v>
      </c>
      <c r="CL33" s="722">
        <f>'Prod B22'!T89</f>
        <v>30171757.153553683</v>
      </c>
      <c r="CM33" s="722">
        <f>'Prod B22'!T90</f>
        <v>15386566.297188109</v>
      </c>
      <c r="CN33" s="722">
        <f>'Prod B22'!T91</f>
        <v>23891986.428088885</v>
      </c>
      <c r="CO33" s="722">
        <f>'Prod B22'!T92</f>
        <v>32328322.581532143</v>
      </c>
      <c r="CP33" s="722">
        <f>'Prod B22'!T93</f>
        <v>14962622.4</v>
      </c>
      <c r="CQ33" s="722">
        <f>'Prod B22'!T94</f>
        <v>5891054.4000000004</v>
      </c>
      <c r="CR33" s="722">
        <f>'Prod B22'!T95</f>
        <v>0</v>
      </c>
      <c r="CS33" s="722">
        <f>'Prod B22'!T96</f>
        <v>97100000</v>
      </c>
      <c r="CT33" s="722">
        <f>'Prod B22'!T97</f>
        <v>30321389.69072165</v>
      </c>
      <c r="CU33" s="724">
        <f>'Prod B22'!T98</f>
        <v>44101664.38951683</v>
      </c>
      <c r="CV33" s="724">
        <f>'Prod B22'!T99</f>
        <v>40222762.886597939</v>
      </c>
      <c r="CW33" s="724">
        <f>'Prod B22'!T100</f>
        <v>16572000</v>
      </c>
      <c r="CX33" s="724">
        <f>'Prod B22'!T101</f>
        <v>22798800</v>
      </c>
      <c r="CY33" s="724">
        <f>'Prod B22'!T102</f>
        <v>32210811.585470118</v>
      </c>
      <c r="CZ33" s="724">
        <f>'Prod B22'!T103</f>
        <v>24437403.141361259</v>
      </c>
      <c r="DA33" s="727">
        <v>42230610.134436399</v>
      </c>
      <c r="DB33" s="728">
        <v>40926577.042399175</v>
      </c>
      <c r="DC33" s="728">
        <v>55772492.244053774</v>
      </c>
      <c r="DD33" s="728">
        <v>48249224.405377455</v>
      </c>
      <c r="DE33" s="545" t="s">
        <v>504</v>
      </c>
      <c r="DF33" s="482">
        <f>SUM(D33:BQ33)+SUM(BR34:BS34)+SUM(BT33:BW33)+BX34+SUM(BY33:CE33)+CF34+SUM(CG33:CZ33)+SUM(DA34:DD34)-SUM('Prod B22'!T3:T107)</f>
        <v>0</v>
      </c>
    </row>
    <row r="34" spans="1:110" s="484" customFormat="1" ht="30">
      <c r="A34" s="486"/>
      <c r="B34" s="487"/>
      <c r="C34" s="485" t="s">
        <v>3536</v>
      </c>
      <c r="D34" s="729"/>
      <c r="E34" s="729"/>
      <c r="F34" s="729"/>
      <c r="G34" s="729"/>
      <c r="H34" s="729"/>
      <c r="I34" s="729"/>
      <c r="J34" s="729"/>
      <c r="K34" s="729"/>
      <c r="L34" s="729"/>
      <c r="M34" s="729"/>
      <c r="N34" s="729"/>
      <c r="O34" s="729"/>
      <c r="P34" s="729"/>
      <c r="Q34" s="729"/>
      <c r="R34" s="729"/>
      <c r="S34" s="729"/>
      <c r="T34" s="729"/>
      <c r="U34" s="729"/>
      <c r="V34" s="729"/>
      <c r="W34" s="729"/>
      <c r="X34" s="729"/>
      <c r="Y34" s="729"/>
      <c r="Z34" s="729"/>
      <c r="AA34" s="729"/>
      <c r="AB34" s="729"/>
      <c r="AC34" s="729"/>
      <c r="AD34" s="729"/>
      <c r="AE34" s="729"/>
      <c r="AF34" s="729"/>
      <c r="AG34" s="729"/>
      <c r="AH34" s="729"/>
      <c r="AI34" s="729"/>
      <c r="AJ34" s="729"/>
      <c r="AK34" s="729"/>
      <c r="AL34" s="729"/>
      <c r="AM34" s="729"/>
      <c r="AN34" s="729"/>
      <c r="AO34" s="729"/>
      <c r="AP34" s="729"/>
      <c r="AQ34" s="729"/>
      <c r="AR34" s="729"/>
      <c r="AS34" s="729"/>
      <c r="AT34" s="729"/>
      <c r="AU34" s="729"/>
      <c r="AV34" s="729"/>
      <c r="AW34" s="729"/>
      <c r="AX34" s="729"/>
      <c r="AY34" s="729"/>
      <c r="AZ34" s="729"/>
      <c r="BA34" s="729"/>
      <c r="BB34" s="729"/>
      <c r="BC34" s="729"/>
      <c r="BD34" s="729"/>
      <c r="BE34" s="729"/>
      <c r="BF34" s="729"/>
      <c r="BG34" s="729"/>
      <c r="BH34" s="729"/>
      <c r="BI34" s="729"/>
      <c r="BJ34" s="729"/>
      <c r="BK34" s="729"/>
      <c r="BL34" s="729"/>
      <c r="BM34" s="729"/>
      <c r="BN34" s="729"/>
      <c r="BO34" s="729"/>
      <c r="BP34" s="729"/>
      <c r="BQ34" s="729"/>
      <c r="BR34" s="730">
        <f>'Prod B22'!T69</f>
        <v>2736752.7023868919</v>
      </c>
      <c r="BS34" s="730">
        <f>'Prod B22'!T70</f>
        <v>0</v>
      </c>
      <c r="BT34" s="729"/>
      <c r="BU34" s="729"/>
      <c r="BV34" s="729"/>
      <c r="BW34" s="729"/>
      <c r="BX34" s="729">
        <f>'Prod B22'!T75</f>
        <v>7289450.5546520762</v>
      </c>
      <c r="BY34" s="729"/>
      <c r="BZ34" s="729"/>
      <c r="CA34" s="729"/>
      <c r="CB34" s="729"/>
      <c r="CC34" s="729"/>
      <c r="CD34" s="729"/>
      <c r="CE34" s="729"/>
      <c r="CF34" s="729">
        <f>'Prod B22'!T83</f>
        <v>11270228.765045892</v>
      </c>
      <c r="CG34" s="729"/>
      <c r="CH34" s="729"/>
      <c r="CI34" s="729"/>
      <c r="CJ34" s="729"/>
      <c r="CK34" s="729"/>
      <c r="CL34" s="729"/>
      <c r="CM34" s="729"/>
      <c r="CN34" s="729"/>
      <c r="CO34" s="729"/>
      <c r="CP34" s="729"/>
      <c r="CQ34" s="729"/>
      <c r="CR34" s="729"/>
      <c r="CS34" s="729"/>
      <c r="CT34" s="729"/>
      <c r="CU34" s="729"/>
      <c r="CV34" s="730"/>
      <c r="CW34" s="730"/>
      <c r="CX34" s="730"/>
      <c r="CY34" s="730"/>
      <c r="CZ34" s="483"/>
      <c r="DA34" s="483">
        <f>'Prod B22'!T104</f>
        <v>17821317.476732161</v>
      </c>
      <c r="DB34" s="731">
        <f>'Prod B22'!T105</f>
        <v>19644756.980351601</v>
      </c>
      <c r="DC34" s="731">
        <f>'Prod B22'!T106</f>
        <v>29782510.858324714</v>
      </c>
      <c r="DD34" s="731">
        <f>'Prod B22'!T107</f>
        <v>11145570.837642191</v>
      </c>
    </row>
    <row r="35" spans="1:110">
      <c r="D35" s="418"/>
      <c r="E35" s="418"/>
    </row>
    <row r="36" spans="1:110">
      <c r="C36" s="52" t="s">
        <v>3164</v>
      </c>
      <c r="D36" s="732">
        <f>D$33*D3</f>
        <v>1684549.4876510985</v>
      </c>
      <c r="E36" s="732">
        <f t="shared" ref="E36:BP40" si="39">E$33*E3</f>
        <v>1050366.1511236264</v>
      </c>
      <c r="F36" s="732">
        <f t="shared" si="39"/>
        <v>794808.82804792712</v>
      </c>
      <c r="G36" s="732">
        <f t="shared" si="39"/>
        <v>2344355.8761508954</v>
      </c>
      <c r="H36" s="732">
        <f t="shared" si="39"/>
        <v>2210551.4143048842</v>
      </c>
      <c r="I36" s="732">
        <f t="shared" si="39"/>
        <v>1472090.6641623252</v>
      </c>
      <c r="J36" s="732">
        <f t="shared" si="39"/>
        <v>1911983.0125904435</v>
      </c>
      <c r="K36" s="732">
        <f t="shared" si="39"/>
        <v>2314592.0429786821</v>
      </c>
      <c r="L36" s="733">
        <f t="shared" si="39"/>
        <v>0</v>
      </c>
      <c r="M36" s="733">
        <f t="shared" si="39"/>
        <v>0</v>
      </c>
      <c r="N36" s="732">
        <f t="shared" si="39"/>
        <v>1380687.3592401994</v>
      </c>
      <c r="O36" s="732">
        <f t="shared" si="39"/>
        <v>2257116.0001020995</v>
      </c>
      <c r="P36" s="732">
        <f t="shared" si="39"/>
        <v>3029489.2570452476</v>
      </c>
      <c r="Q36" s="732">
        <f t="shared" si="39"/>
        <v>2549737.4423878733</v>
      </c>
      <c r="R36" s="732">
        <f t="shared" si="39"/>
        <v>3175036.3728609509</v>
      </c>
      <c r="S36" s="732">
        <f t="shared" si="39"/>
        <v>1573860.404290535</v>
      </c>
      <c r="T36" s="732">
        <f t="shared" si="39"/>
        <v>3078707.8016700903</v>
      </c>
      <c r="U36" s="732">
        <f t="shared" si="39"/>
        <v>2857728.937831067</v>
      </c>
      <c r="V36" s="732">
        <f t="shared" si="39"/>
        <v>2999555.6114893607</v>
      </c>
      <c r="W36" s="732">
        <f t="shared" si="39"/>
        <v>3079790.5474919407</v>
      </c>
      <c r="X36" s="732">
        <f t="shared" si="39"/>
        <v>1519681.9376146728</v>
      </c>
      <c r="Y36" s="732">
        <f t="shared" si="39"/>
        <v>3817387.8415468084</v>
      </c>
      <c r="Z36" s="732">
        <f t="shared" si="39"/>
        <v>2444447.1303538587</v>
      </c>
      <c r="AA36" s="732">
        <f t="shared" si="39"/>
        <v>4503440.7834255099</v>
      </c>
      <c r="AB36" s="732">
        <f t="shared" si="39"/>
        <v>1151756.7920423266</v>
      </c>
      <c r="AC36" s="732">
        <f t="shared" si="39"/>
        <v>916212.3377085434</v>
      </c>
      <c r="AD36" s="732">
        <f t="shared" si="39"/>
        <v>1084040.9832952823</v>
      </c>
      <c r="AE36" s="732">
        <f t="shared" si="39"/>
        <v>3275337.094134585</v>
      </c>
      <c r="AF36" s="732">
        <f t="shared" si="39"/>
        <v>3441752.4440088025</v>
      </c>
      <c r="AG36" s="732">
        <f t="shared" si="39"/>
        <v>3239994.9247075859</v>
      </c>
      <c r="AH36" s="732">
        <f t="shared" si="39"/>
        <v>3061018.3588037128</v>
      </c>
      <c r="AI36" s="732">
        <f t="shared" si="39"/>
        <v>3383185.4371166769</v>
      </c>
      <c r="AJ36" s="732">
        <f t="shared" si="39"/>
        <v>1245239.4148945706</v>
      </c>
      <c r="AK36" s="732">
        <f t="shared" si="39"/>
        <v>1801984.5972185379</v>
      </c>
      <c r="AL36" s="732">
        <f t="shared" si="39"/>
        <v>2427105.0058476902</v>
      </c>
      <c r="AM36" s="732">
        <f t="shared" si="39"/>
        <v>2483458.0363410097</v>
      </c>
      <c r="AN36" s="732">
        <f t="shared" si="39"/>
        <v>2228087.100944587</v>
      </c>
      <c r="AO36" s="732">
        <f t="shared" si="39"/>
        <v>3519051.0249842261</v>
      </c>
      <c r="AP36" s="732">
        <f t="shared" si="39"/>
        <v>1744387.9119753479</v>
      </c>
      <c r="AQ36" s="732">
        <f t="shared" si="39"/>
        <v>3412285.2694539959</v>
      </c>
      <c r="AR36" s="732">
        <f t="shared" si="39"/>
        <v>1705078.4410589091</v>
      </c>
      <c r="AS36" s="732">
        <f t="shared" si="39"/>
        <v>2396918.6807481516</v>
      </c>
      <c r="AT36" s="732">
        <f t="shared" si="39"/>
        <v>755613.34792346961</v>
      </c>
      <c r="AU36" s="732">
        <f t="shared" si="39"/>
        <v>2412871.9626174746</v>
      </c>
      <c r="AV36" s="732">
        <f t="shared" si="39"/>
        <v>2750878.6620253208</v>
      </c>
      <c r="AW36" s="732">
        <f t="shared" si="39"/>
        <v>3306210.0323993526</v>
      </c>
      <c r="AX36" s="732">
        <f t="shared" si="39"/>
        <v>3115585.0116709019</v>
      </c>
      <c r="AY36" s="732">
        <f t="shared" si="39"/>
        <v>3044089.4896009564</v>
      </c>
      <c r="AZ36" s="732">
        <f t="shared" si="39"/>
        <v>3168981.5522897649</v>
      </c>
      <c r="BA36" s="732">
        <f t="shared" si="39"/>
        <v>1610330.5600876859</v>
      </c>
      <c r="BB36" s="732">
        <f t="shared" si="39"/>
        <v>2207150.9261205378</v>
      </c>
      <c r="BC36" s="732">
        <f t="shared" si="39"/>
        <v>2888157.5800849721</v>
      </c>
      <c r="BD36" s="732">
        <f t="shared" si="39"/>
        <v>3917473.295707135</v>
      </c>
      <c r="BE36" s="732">
        <f t="shared" si="39"/>
        <v>2950786.2845914913</v>
      </c>
      <c r="BF36" s="732">
        <f t="shared" si="39"/>
        <v>966649.33355673216</v>
      </c>
      <c r="BG36" s="732">
        <f t="shared" si="39"/>
        <v>3221106.5958923837</v>
      </c>
      <c r="BH36" s="732">
        <f t="shared" si="39"/>
        <v>3912964.8457532222</v>
      </c>
      <c r="BI36" s="732">
        <f t="shared" si="39"/>
        <v>3982583.9340203381</v>
      </c>
      <c r="BJ36" s="732">
        <f t="shared" si="39"/>
        <v>3958719.9812285132</v>
      </c>
      <c r="BK36" s="732">
        <f t="shared" si="39"/>
        <v>2838853.3153059534</v>
      </c>
      <c r="BL36" s="732">
        <f t="shared" si="39"/>
        <v>8874750.5252606366</v>
      </c>
      <c r="BM36" s="732">
        <f t="shared" si="39"/>
        <v>8819434.337221453</v>
      </c>
      <c r="BN36" s="732">
        <f t="shared" si="39"/>
        <v>6013001.5640992662</v>
      </c>
      <c r="BO36" s="732">
        <f t="shared" si="39"/>
        <v>2915344.5743065053</v>
      </c>
      <c r="BP36" s="732">
        <f t="shared" si="39"/>
        <v>3101166.700683821</v>
      </c>
      <c r="BQ36" s="732">
        <f t="shared" ref="BQ36:CY45" si="40">BQ$33*BQ3</f>
        <v>2869183.8263972001</v>
      </c>
      <c r="BR36" s="732">
        <f>BR$33*BR3</f>
        <v>2736752.7023868919</v>
      </c>
      <c r="BS36" s="734"/>
      <c r="BT36" s="732">
        <f t="shared" si="40"/>
        <v>2155643.5111576738</v>
      </c>
      <c r="BU36" s="732">
        <f t="shared" si="40"/>
        <v>3576606.8987938818</v>
      </c>
      <c r="BV36" s="732">
        <f t="shared" si="40"/>
        <v>3032281.6603530585</v>
      </c>
      <c r="BW36" s="732">
        <f t="shared" si="40"/>
        <v>1431617.0922795031</v>
      </c>
      <c r="BX36" s="732">
        <f t="shared" si="40"/>
        <v>2310907.0997009515</v>
      </c>
      <c r="BY36" s="732">
        <f t="shared" si="40"/>
        <v>2445329.8392554671</v>
      </c>
      <c r="BZ36" s="732">
        <f t="shared" si="40"/>
        <v>934351.59399757581</v>
      </c>
      <c r="CA36" s="732">
        <f t="shared" si="40"/>
        <v>2306863.9325598166</v>
      </c>
      <c r="CB36" s="732">
        <f t="shared" si="40"/>
        <v>1809755.4956422045</v>
      </c>
      <c r="CC36" s="732">
        <f t="shared" si="40"/>
        <v>2022133.2825099453</v>
      </c>
      <c r="CD36" s="732">
        <f t="shared" si="40"/>
        <v>1972327.5153472449</v>
      </c>
      <c r="CE36" s="732">
        <f t="shared" si="40"/>
        <v>2318949.8525851569</v>
      </c>
      <c r="CF36" s="732">
        <f t="shared" si="40"/>
        <v>2450779.0627046893</v>
      </c>
      <c r="CG36" s="732">
        <f t="shared" si="40"/>
        <v>2485544.9450271698</v>
      </c>
      <c r="CH36" s="732">
        <f t="shared" si="40"/>
        <v>2659368.2685807357</v>
      </c>
      <c r="CI36" s="732">
        <f t="shared" si="40"/>
        <v>5139437.0590742342</v>
      </c>
      <c r="CJ36" s="732">
        <f t="shared" si="40"/>
        <v>3764640.0020414367</v>
      </c>
      <c r="CK36" s="732">
        <f t="shared" si="40"/>
        <v>6921661.7280365238</v>
      </c>
      <c r="CL36" s="732">
        <f t="shared" si="40"/>
        <v>3606891.845700792</v>
      </c>
      <c r="CM36" s="732">
        <f t="shared" si="40"/>
        <v>1839391.7274428878</v>
      </c>
      <c r="CN36" s="732">
        <f t="shared" si="40"/>
        <v>2637796.262421967</v>
      </c>
      <c r="CO36" s="732">
        <f t="shared" si="40"/>
        <v>3569210.4853902822</v>
      </c>
      <c r="CP36" s="732">
        <f t="shared" si="40"/>
        <v>833360.25429324375</v>
      </c>
      <c r="CQ36" s="732">
        <f t="shared" si="40"/>
        <v>251019.18558678569</v>
      </c>
      <c r="CR36" s="732"/>
      <c r="CS36" s="732">
        <f t="shared" si="40"/>
        <v>10650977.048044747</v>
      </c>
      <c r="CT36" s="732">
        <f t="shared" si="40"/>
        <v>3366311.1533764317</v>
      </c>
      <c r="CU36" s="732">
        <f t="shared" si="40"/>
        <v>5168947.0343771195</v>
      </c>
      <c r="CV36" s="732">
        <f t="shared" si="40"/>
        <v>4537429.7807607418</v>
      </c>
      <c r="CW36" s="732">
        <f t="shared" ref="CW36:CW45" si="41">CW$33*CW3</f>
        <v>469981.92</v>
      </c>
      <c r="CX36" s="732">
        <f t="shared" ref="CX36:DD47" si="42">CX$33*CX3</f>
        <v>965985.15599999996</v>
      </c>
      <c r="CY36" s="732">
        <f t="shared" si="42"/>
        <v>3705431.6469643875</v>
      </c>
      <c r="CZ36" s="732">
        <f t="shared" si="42"/>
        <v>2698910.2781550814</v>
      </c>
      <c r="DA36" s="735"/>
      <c r="DB36" s="735"/>
      <c r="DC36" s="735"/>
      <c r="DD36" s="735"/>
    </row>
    <row r="37" spans="1:110">
      <c r="B37">
        <f>'Prod B22'!B110</f>
        <v>0</v>
      </c>
      <c r="C37" s="52" t="s">
        <v>3166</v>
      </c>
      <c r="D37" s="732">
        <f t="shared" ref="D37:S47" si="43">D$33*D4</f>
        <v>1552679.8301214315</v>
      </c>
      <c r="E37" s="732">
        <f t="shared" si="43"/>
        <v>968141.54113453988</v>
      </c>
      <c r="F37" s="732">
        <f t="shared" si="43"/>
        <v>625209.1544705499</v>
      </c>
      <c r="G37" s="732">
        <f t="shared" si="43"/>
        <v>1843231.1116976351</v>
      </c>
      <c r="H37" s="732">
        <f t="shared" si="43"/>
        <v>1916895.2198543821</v>
      </c>
      <c r="I37" s="732">
        <f t="shared" si="39"/>
        <v>1276533.7820529102</v>
      </c>
      <c r="J37" s="732">
        <f t="shared" si="39"/>
        <v>1657989.5285674215</v>
      </c>
      <c r="K37" s="732">
        <f t="shared" si="39"/>
        <v>2007114.7833917276</v>
      </c>
      <c r="L37" s="733">
        <f t="shared" si="39"/>
        <v>0</v>
      </c>
      <c r="M37" s="733">
        <f t="shared" si="39"/>
        <v>0</v>
      </c>
      <c r="N37" s="732">
        <f t="shared" si="39"/>
        <v>1235244.6996572514</v>
      </c>
      <c r="O37" s="732">
        <f t="shared" si="39"/>
        <v>1868760.3284278896</v>
      </c>
      <c r="P37" s="732">
        <f t="shared" si="39"/>
        <v>2754845.1190877734</v>
      </c>
      <c r="Q37" s="732">
        <f t="shared" si="39"/>
        <v>2016894.776894005</v>
      </c>
      <c r="R37" s="732">
        <f t="shared" si="39"/>
        <v>2596132.2425277969</v>
      </c>
      <c r="S37" s="732">
        <f t="shared" si="39"/>
        <v>1286898.5614595457</v>
      </c>
      <c r="T37" s="732">
        <f t="shared" si="39"/>
        <v>2517367.252090889</v>
      </c>
      <c r="U37" s="732">
        <f t="shared" si="39"/>
        <v>2431163.4053773689</v>
      </c>
      <c r="V37" s="732">
        <f t="shared" si="39"/>
        <v>2447052.7225805442</v>
      </c>
      <c r="W37" s="732">
        <f t="shared" si="39"/>
        <v>2512508.7914192546</v>
      </c>
      <c r="X37" s="732">
        <f t="shared" si="39"/>
        <v>1239764.2532955089</v>
      </c>
      <c r="Y37" s="732">
        <f t="shared" si="39"/>
        <v>3114244.4150801222</v>
      </c>
      <c r="Z37" s="732">
        <f t="shared" si="39"/>
        <v>1957403.5163964615</v>
      </c>
      <c r="AA37" s="732">
        <f t="shared" si="39"/>
        <v>3842620.4529154971</v>
      </c>
      <c r="AB37" s="732">
        <f t="shared" si="39"/>
        <v>982751.72667414532</v>
      </c>
      <c r="AC37" s="732">
        <f t="shared" si="39"/>
        <v>781770.30350877799</v>
      </c>
      <c r="AD37" s="732">
        <f t="shared" si="39"/>
        <v>924972.3166206656</v>
      </c>
      <c r="AE37" s="732">
        <f t="shared" si="39"/>
        <v>2637116.6282587419</v>
      </c>
      <c r="AF37" s="732">
        <f t="shared" si="39"/>
        <v>2771104.878548061</v>
      </c>
      <c r="AG37" s="732">
        <f t="shared" si="39"/>
        <v>2668273.686508684</v>
      </c>
      <c r="AH37" s="732">
        <f t="shared" si="39"/>
        <v>2520878.8688004147</v>
      </c>
      <c r="AI37" s="732">
        <f t="shared" si="39"/>
        <v>3132088.1496959566</v>
      </c>
      <c r="AJ37" s="732">
        <f t="shared" si="39"/>
        <v>1005171.086847482</v>
      </c>
      <c r="AK37" s="732">
        <f t="shared" si="39"/>
        <v>1484756.0279659706</v>
      </c>
      <c r="AL37" s="732">
        <f t="shared" si="39"/>
        <v>1985014.1182448205</v>
      </c>
      <c r="AM37" s="732">
        <f t="shared" si="39"/>
        <v>2104504.1624713531</v>
      </c>
      <c r="AN37" s="732">
        <f t="shared" si="39"/>
        <v>1888100.5878380593</v>
      </c>
      <c r="AO37" s="732">
        <f t="shared" si="39"/>
        <v>2896690.2602806352</v>
      </c>
      <c r="AP37" s="732">
        <f t="shared" si="39"/>
        <v>1435884.6856427474</v>
      </c>
      <c r="AQ37" s="732">
        <f t="shared" si="39"/>
        <v>2808806.5319742779</v>
      </c>
      <c r="AR37" s="732">
        <f t="shared" si="39"/>
        <v>1518515.7610888025</v>
      </c>
      <c r="AS37" s="732">
        <f t="shared" si="39"/>
        <v>2020388.0840817722</v>
      </c>
      <c r="AT37" s="732">
        <f t="shared" si="39"/>
        <v>636914.47548032959</v>
      </c>
      <c r="AU37" s="732">
        <f t="shared" si="39"/>
        <v>2033835.2739466857</v>
      </c>
      <c r="AV37" s="732">
        <f t="shared" si="39"/>
        <v>2286715.4141694289</v>
      </c>
      <c r="AW37" s="732">
        <f t="shared" si="39"/>
        <v>2846142.1901577902</v>
      </c>
      <c r="AX37" s="732">
        <f t="shared" si="39"/>
        <v>2682043.1436125785</v>
      </c>
      <c r="AY37" s="732">
        <f t="shared" si="39"/>
        <v>2620496.4119238611</v>
      </c>
      <c r="AZ37" s="732">
        <f t="shared" si="39"/>
        <v>2820767.92116781</v>
      </c>
      <c r="BA37" s="732">
        <f t="shared" si="39"/>
        <v>1433384.420647518</v>
      </c>
      <c r="BB37" s="732">
        <f t="shared" si="39"/>
        <v>1829226.4555675862</v>
      </c>
      <c r="BC37" s="732">
        <f t="shared" si="39"/>
        <v>2375791.341411747</v>
      </c>
      <c r="BD37" s="732">
        <f t="shared" si="39"/>
        <v>3140709.3508238574</v>
      </c>
      <c r="BE37" s="732">
        <f t="shared" si="39"/>
        <v>2522109.4628949934</v>
      </c>
      <c r="BF37" s="732">
        <f t="shared" si="39"/>
        <v>826218.91127641953</v>
      </c>
      <c r="BG37" s="732">
        <f t="shared" si="39"/>
        <v>2711826.6934335493</v>
      </c>
      <c r="BH37" s="732">
        <f t="shared" si="39"/>
        <v>3176659.9345946736</v>
      </c>
      <c r="BI37" s="732">
        <f t="shared" si="39"/>
        <v>3233178.7578141517</v>
      </c>
      <c r="BJ37" s="732">
        <f t="shared" si="39"/>
        <v>3268532.3776633642</v>
      </c>
      <c r="BK37" s="732">
        <f t="shared" si="39"/>
        <v>2343910.1579584233</v>
      </c>
      <c r="BL37" s="732">
        <f t="shared" si="39"/>
        <v>7213936.7498536594</v>
      </c>
      <c r="BM37" s="732">
        <f t="shared" si="39"/>
        <v>7222650.4756442215</v>
      </c>
      <c r="BN37" s="732">
        <f t="shared" si="39"/>
        <v>4977170.6908618612</v>
      </c>
      <c r="BO37" s="732">
        <f t="shared" si="39"/>
        <v>2618482.848174287</v>
      </c>
      <c r="BP37" s="732">
        <f t="shared" si="39"/>
        <v>2525986.63946873</v>
      </c>
      <c r="BQ37" s="732">
        <f t="shared" si="40"/>
        <v>2337030.1280679251</v>
      </c>
      <c r="BR37" s="734"/>
      <c r="BS37" s="734"/>
      <c r="BT37" s="732">
        <f t="shared" si="40"/>
        <v>1776950.2598288935</v>
      </c>
      <c r="BU37" s="732">
        <f t="shared" si="40"/>
        <v>2910100.5820259415</v>
      </c>
      <c r="BV37" s="732">
        <f t="shared" si="40"/>
        <v>2473371.7644283497</v>
      </c>
      <c r="BW37" s="732">
        <f t="shared" si="40"/>
        <v>1167741.5524469642</v>
      </c>
      <c r="BX37" s="732">
        <f t="shared" si="40"/>
        <v>1880169.2397180772</v>
      </c>
      <c r="BY37" s="732">
        <f t="shared" si="40"/>
        <v>2037611.8218602098</v>
      </c>
      <c r="BZ37" s="732">
        <f t="shared" si="40"/>
        <v>877078.55451491394</v>
      </c>
      <c r="CA37" s="732">
        <f t="shared" si="40"/>
        <v>1980572.0796700176</v>
      </c>
      <c r="CB37" s="732">
        <f t="shared" si="40"/>
        <v>1512766.1059254992</v>
      </c>
      <c r="CC37" s="732">
        <f t="shared" si="40"/>
        <v>1768176.8432202579</v>
      </c>
      <c r="CD37" s="732">
        <f t="shared" si="40"/>
        <v>1640682.3232426171</v>
      </c>
      <c r="CE37" s="732">
        <f t="shared" si="40"/>
        <v>1954763.598253971</v>
      </c>
      <c r="CF37" s="732">
        <f t="shared" si="40"/>
        <v>2235982.2427850808</v>
      </c>
      <c r="CG37" s="732">
        <f t="shared" si="40"/>
        <v>2086157.3163466984</v>
      </c>
      <c r="CH37" s="732">
        <f t="shared" si="40"/>
        <v>2240842.259266749</v>
      </c>
      <c r="CI37" s="732">
        <f t="shared" si="40"/>
        <v>4288577.391174118</v>
      </c>
      <c r="CJ37" s="732">
        <f t="shared" si="40"/>
        <v>3121144.8122203145</v>
      </c>
      <c r="CK37" s="732">
        <f t="shared" si="40"/>
        <v>5682893.8473297302</v>
      </c>
      <c r="CL37" s="732">
        <f t="shared" si="40"/>
        <v>2940380.6653016941</v>
      </c>
      <c r="CM37" s="732">
        <f t="shared" si="40"/>
        <v>1499493.7754331576</v>
      </c>
      <c r="CN37" s="732">
        <f t="shared" si="40"/>
        <v>2347950.2663055826</v>
      </c>
      <c r="CO37" s="732">
        <f t="shared" si="40"/>
        <v>3177018.9491352737</v>
      </c>
      <c r="CP37" s="732">
        <f t="shared" si="40"/>
        <v>944200.30694759474</v>
      </c>
      <c r="CQ37" s="732">
        <f t="shared" si="40"/>
        <v>335771.26700412954</v>
      </c>
      <c r="CR37" s="732"/>
      <c r="CS37" s="732">
        <f t="shared" si="40"/>
        <v>9540597.9794908948</v>
      </c>
      <c r="CT37" s="732">
        <f t="shared" si="40"/>
        <v>2838548.6813597688</v>
      </c>
      <c r="CU37" s="732">
        <f t="shared" si="40"/>
        <v>4256411.2140246732</v>
      </c>
      <c r="CV37" s="732">
        <f t="shared" si="40"/>
        <v>3740490.7962713703</v>
      </c>
      <c r="CW37" s="732">
        <f t="shared" si="41"/>
        <v>750048.72</v>
      </c>
      <c r="CX37" s="732">
        <f t="shared" si="42"/>
        <v>1335097.7280000001</v>
      </c>
      <c r="CY37" s="732">
        <f t="shared" si="42"/>
        <v>3277094.9986763862</v>
      </c>
      <c r="CZ37" s="732">
        <f t="shared" si="42"/>
        <v>2373059.7661503367</v>
      </c>
      <c r="DA37" s="735"/>
      <c r="DB37" s="735"/>
      <c r="DC37" s="735"/>
      <c r="DD37" s="735"/>
    </row>
    <row r="38" spans="1:110">
      <c r="C38" s="52" t="s">
        <v>3167</v>
      </c>
      <c r="D38" s="732">
        <f>D$33*D5</f>
        <v>1740282.7520709301</v>
      </c>
      <c r="E38" s="732">
        <f t="shared" si="43"/>
        <v>1085117.4807030507</v>
      </c>
      <c r="F38" s="732">
        <f t="shared" si="43"/>
        <v>569552.22567538673</v>
      </c>
      <c r="G38" s="732">
        <f t="shared" si="43"/>
        <v>1683338.3681885155</v>
      </c>
      <c r="H38" s="732">
        <f t="shared" si="43"/>
        <v>1926998.281001407</v>
      </c>
      <c r="I38" s="732">
        <f t="shared" si="39"/>
        <v>1283261.7965644719</v>
      </c>
      <c r="J38" s="732">
        <f t="shared" si="39"/>
        <v>1666728.0185040371</v>
      </c>
      <c r="K38" s="732">
        <f t="shared" si="39"/>
        <v>2017693.3498024908</v>
      </c>
      <c r="L38" s="733">
        <f t="shared" si="39"/>
        <v>0</v>
      </c>
      <c r="M38" s="733">
        <f t="shared" si="39"/>
        <v>0</v>
      </c>
      <c r="N38" s="732">
        <f t="shared" si="39"/>
        <v>1207969.2624719671</v>
      </c>
      <c r="O38" s="732">
        <f t="shared" si="39"/>
        <v>1727517.0266823077</v>
      </c>
      <c r="P38" s="732">
        <f t="shared" si="39"/>
        <v>2824499.0755503979</v>
      </c>
      <c r="Q38" s="732">
        <f t="shared" si="39"/>
        <v>1850604.8695742099</v>
      </c>
      <c r="R38" s="732">
        <f t="shared" si="39"/>
        <v>2439693.3361136266</v>
      </c>
      <c r="S38" s="732">
        <f t="shared" si="39"/>
        <v>1209352.0481029388</v>
      </c>
      <c r="T38" s="732">
        <f t="shared" si="39"/>
        <v>2365674.6019597482</v>
      </c>
      <c r="U38" s="732">
        <f t="shared" si="39"/>
        <v>2330782.6666765381</v>
      </c>
      <c r="V38" s="732">
        <f t="shared" si="39"/>
        <v>2318210.6486425092</v>
      </c>
      <c r="W38" s="732">
        <f t="shared" si="39"/>
        <v>2380220.328450371</v>
      </c>
      <c r="X38" s="732">
        <f t="shared" si="39"/>
        <v>1174488.2598055177</v>
      </c>
      <c r="Y38" s="732">
        <f t="shared" si="39"/>
        <v>2950273.4039587388</v>
      </c>
      <c r="Z38" s="732">
        <f t="shared" si="39"/>
        <v>1857850.1346622349</v>
      </c>
      <c r="AA38" s="732">
        <f t="shared" si="39"/>
        <v>3753008.5408745157</v>
      </c>
      <c r="AB38" s="732">
        <f t="shared" si="39"/>
        <v>959833.44411984622</v>
      </c>
      <c r="AC38" s="732">
        <f t="shared" si="39"/>
        <v>763539.01251017652</v>
      </c>
      <c r="AD38" s="732">
        <f t="shared" si="39"/>
        <v>903401.48002803151</v>
      </c>
      <c r="AE38" s="732">
        <f t="shared" si="39"/>
        <v>2509511.8782871831</v>
      </c>
      <c r="AF38" s="732">
        <f t="shared" si="39"/>
        <v>2637016.7076333091</v>
      </c>
      <c r="AG38" s="732">
        <f t="shared" si="39"/>
        <v>2550117.7655157349</v>
      </c>
      <c r="AH38" s="732">
        <f t="shared" si="39"/>
        <v>2409249.8533958863</v>
      </c>
      <c r="AI38" s="732">
        <f t="shared" si="39"/>
        <v>3497950.7689040815</v>
      </c>
      <c r="AJ38" s="732">
        <f t="shared" si="39"/>
        <v>903491.24535932299</v>
      </c>
      <c r="AK38" s="732">
        <f t="shared" si="39"/>
        <v>1378550.2401245811</v>
      </c>
      <c r="AL38" s="732">
        <f t="shared" si="39"/>
        <v>1981875.1168762827</v>
      </c>
      <c r="AM38" s="732">
        <f t="shared" si="39"/>
        <v>2016693.2854604193</v>
      </c>
      <c r="AN38" s="732">
        <f t="shared" si="39"/>
        <v>1809319.1953088932</v>
      </c>
      <c r="AO38" s="732">
        <f t="shared" si="39"/>
        <v>2862720.2575650932</v>
      </c>
      <c r="AP38" s="732">
        <f t="shared" si="39"/>
        <v>1419045.8101373755</v>
      </c>
      <c r="AQ38" s="732">
        <f t="shared" si="39"/>
        <v>2775867.1573967026</v>
      </c>
      <c r="AR38" s="732">
        <f t="shared" si="39"/>
        <v>1699040.6392458142</v>
      </c>
      <c r="AS38" s="732">
        <f t="shared" si="39"/>
        <v>2058254.3177075707</v>
      </c>
      <c r="AT38" s="732">
        <f t="shared" si="39"/>
        <v>648851.56445754552</v>
      </c>
      <c r="AU38" s="732">
        <f t="shared" si="39"/>
        <v>2071953.5356046464</v>
      </c>
      <c r="AV38" s="732">
        <f t="shared" si="39"/>
        <v>2222969.3138712756</v>
      </c>
      <c r="AW38" s="732">
        <f t="shared" si="39"/>
        <v>2646367.5287009343</v>
      </c>
      <c r="AX38" s="732">
        <f t="shared" si="39"/>
        <v>2493786.8214650969</v>
      </c>
      <c r="AY38" s="732">
        <f t="shared" si="39"/>
        <v>2436560.1400990263</v>
      </c>
      <c r="AZ38" s="732">
        <f t="shared" si="39"/>
        <v>2829613.5366287013</v>
      </c>
      <c r="BA38" s="732">
        <f t="shared" si="39"/>
        <v>1437879.3552706512</v>
      </c>
      <c r="BB38" s="732">
        <f t="shared" si="39"/>
        <v>1783953.9636232925</v>
      </c>
      <c r="BC38" s="732">
        <f t="shared" si="39"/>
        <v>2346146.1263232371</v>
      </c>
      <c r="BD38" s="732">
        <f t="shared" si="39"/>
        <v>2828122.5568972304</v>
      </c>
      <c r="BE38" s="732">
        <f t="shared" si="39"/>
        <v>2450839.4677612041</v>
      </c>
      <c r="BF38" s="732">
        <f t="shared" si="39"/>
        <v>802871.54326863901</v>
      </c>
      <c r="BG38" s="732">
        <f t="shared" si="39"/>
        <v>2700411.3571018744</v>
      </c>
      <c r="BH38" s="732">
        <f t="shared" si="39"/>
        <v>3040433.1052771281</v>
      </c>
      <c r="BI38" s="732">
        <f t="shared" si="39"/>
        <v>3094528.1940577696</v>
      </c>
      <c r="BJ38" s="732">
        <f t="shared" si="39"/>
        <v>3157407.830446816</v>
      </c>
      <c r="BK38" s="732">
        <f t="shared" si="39"/>
        <v>2264221.1951690749</v>
      </c>
      <c r="BL38" s="732">
        <f t="shared" si="39"/>
        <v>6920148.7093920596</v>
      </c>
      <c r="BM38" s="732">
        <f t="shared" si="39"/>
        <v>6928297.7629543794</v>
      </c>
      <c r="BN38" s="732">
        <f t="shared" si="39"/>
        <v>4864098.2751881536</v>
      </c>
      <c r="BO38" s="732">
        <f t="shared" si="39"/>
        <v>2611752.8287644805</v>
      </c>
      <c r="BP38" s="732">
        <f t="shared" si="39"/>
        <v>2514303.1000095694</v>
      </c>
      <c r="BQ38" s="732">
        <f t="shared" si="40"/>
        <v>2326220.5761518977</v>
      </c>
      <c r="BR38" s="734"/>
      <c r="BS38" s="734"/>
      <c r="BT38" s="732">
        <f t="shared" si="40"/>
        <v>1614904.8568296942</v>
      </c>
      <c r="BU38" s="732">
        <f t="shared" si="40"/>
        <v>2669130.8474123515</v>
      </c>
      <c r="BV38" s="732">
        <f t="shared" si="40"/>
        <v>2339826.2788870651</v>
      </c>
      <c r="BW38" s="732">
        <f t="shared" si="40"/>
        <v>1104691.3410509001</v>
      </c>
      <c r="BX38" s="732">
        <f t="shared" si="40"/>
        <v>1760489.8452366083</v>
      </c>
      <c r="BY38" s="732">
        <f t="shared" si="40"/>
        <v>1952131.6133720085</v>
      </c>
      <c r="BZ38" s="732">
        <f t="shared" si="40"/>
        <v>851228.73978949222</v>
      </c>
      <c r="CA38" s="732">
        <f t="shared" si="40"/>
        <v>2039326.7076426111</v>
      </c>
      <c r="CB38" s="732">
        <f t="shared" si="40"/>
        <v>1487366.086760683</v>
      </c>
      <c r="CC38" s="732">
        <f t="shared" si="40"/>
        <v>1836645.0816918903</v>
      </c>
      <c r="CD38" s="732">
        <f t="shared" si="40"/>
        <v>1663028.1231747314</v>
      </c>
      <c r="CE38" s="732">
        <f t="shared" si="40"/>
        <v>2010325.9572123289</v>
      </c>
      <c r="CF38" s="732">
        <f t="shared" si="40"/>
        <v>2239902.6746391817</v>
      </c>
      <c r="CG38" s="732">
        <f t="shared" si="40"/>
        <v>2139951.2056182339</v>
      </c>
      <c r="CH38" s="732">
        <f t="shared" si="40"/>
        <v>2185567.2663969225</v>
      </c>
      <c r="CI38" s="732">
        <f t="shared" si="40"/>
        <v>4224949.6052256105</v>
      </c>
      <c r="CJ38" s="732">
        <f t="shared" si="40"/>
        <v>3075963.6255291882</v>
      </c>
      <c r="CK38" s="732">
        <f t="shared" si="40"/>
        <v>5466827.2743051546</v>
      </c>
      <c r="CL38" s="732">
        <f t="shared" si="40"/>
        <v>2833864.7990910937</v>
      </c>
      <c r="CM38" s="732">
        <f t="shared" si="40"/>
        <v>1445174.3193666493</v>
      </c>
      <c r="CN38" s="732">
        <f t="shared" si="40"/>
        <v>2355313.178022346</v>
      </c>
      <c r="CO38" s="732">
        <f t="shared" si="40"/>
        <v>3186981.7283221488</v>
      </c>
      <c r="CP38" s="732">
        <f t="shared" si="40"/>
        <v>1336848.7412620788</v>
      </c>
      <c r="CQ38" s="732">
        <f t="shared" si="40"/>
        <v>526169.17213267623</v>
      </c>
      <c r="CR38" s="732"/>
      <c r="CS38" s="732">
        <f t="shared" si="40"/>
        <v>9405860.5752347764</v>
      </c>
      <c r="CT38" s="732">
        <f t="shared" si="40"/>
        <v>2897301.1339248247</v>
      </c>
      <c r="CU38" s="732">
        <f t="shared" si="40"/>
        <v>4123926.4837819966</v>
      </c>
      <c r="CV38" s="732">
        <f t="shared" si="40"/>
        <v>3833289.1114665638</v>
      </c>
      <c r="CW38" s="732">
        <f t="shared" si="41"/>
        <v>1480045.32</v>
      </c>
      <c r="CX38" s="732">
        <f t="shared" si="42"/>
        <v>2048016.2039999999</v>
      </c>
      <c r="CY38" s="732">
        <f t="shared" si="42"/>
        <v>3185926.9914196124</v>
      </c>
      <c r="CZ38" s="732">
        <f t="shared" si="42"/>
        <v>2919360.1075939429</v>
      </c>
      <c r="DA38" s="735"/>
      <c r="DB38" s="735"/>
      <c r="DC38" s="735"/>
      <c r="DD38" s="735"/>
    </row>
    <row r="39" spans="1:110">
      <c r="C39" s="52" t="s">
        <v>3168</v>
      </c>
      <c r="D39" s="732">
        <f t="shared" si="43"/>
        <v>1562485.7630328711</v>
      </c>
      <c r="E39" s="732">
        <f t="shared" si="43"/>
        <v>974255.82871461392</v>
      </c>
      <c r="F39" s="732">
        <f t="shared" si="43"/>
        <v>399272.31582261471</v>
      </c>
      <c r="G39" s="732">
        <f t="shared" si="43"/>
        <v>1180303.3813721319</v>
      </c>
      <c r="H39" s="732">
        <f t="shared" si="43"/>
        <v>1715873.6489110561</v>
      </c>
      <c r="I39" s="732">
        <f t="shared" si="39"/>
        <v>1142665.8358174374</v>
      </c>
      <c r="J39" s="732">
        <f t="shared" si="39"/>
        <v>1484118.9611059793</v>
      </c>
      <c r="K39" s="732">
        <f t="shared" si="39"/>
        <v>1796632.0388775915</v>
      </c>
      <c r="L39" s="733">
        <f t="shared" si="39"/>
        <v>0</v>
      </c>
      <c r="M39" s="733">
        <f t="shared" si="39"/>
        <v>0</v>
      </c>
      <c r="N39" s="732">
        <f t="shared" si="39"/>
        <v>1021585.4661842071</v>
      </c>
      <c r="O39" s="732">
        <f t="shared" si="39"/>
        <v>1462075.2170894844</v>
      </c>
      <c r="P39" s="732">
        <f t="shared" si="39"/>
        <v>2615055.7068853616</v>
      </c>
      <c r="Q39" s="732">
        <f t="shared" si="39"/>
        <v>1324301.1043841643</v>
      </c>
      <c r="R39" s="732">
        <f t="shared" si="39"/>
        <v>1858427.6121936592</v>
      </c>
      <c r="S39" s="732">
        <f t="shared" si="39"/>
        <v>921219.56714349135</v>
      </c>
      <c r="T39" s="732">
        <f t="shared" si="39"/>
        <v>1802044.1080314855</v>
      </c>
      <c r="U39" s="732">
        <f t="shared" si="39"/>
        <v>1936440.2253607833</v>
      </c>
      <c r="V39" s="732">
        <f t="shared" si="39"/>
        <v>1793170.6063017214</v>
      </c>
      <c r="W39" s="732">
        <f t="shared" si="39"/>
        <v>1841136.0210075644</v>
      </c>
      <c r="X39" s="732">
        <f t="shared" si="39"/>
        <v>908484.23380462569</v>
      </c>
      <c r="Y39" s="732">
        <f t="shared" si="39"/>
        <v>2282080.600238136</v>
      </c>
      <c r="Z39" s="732">
        <f t="shared" si="39"/>
        <v>1368469.6654461429</v>
      </c>
      <c r="AA39" s="732">
        <f t="shared" si="39"/>
        <v>3257081.9749087589</v>
      </c>
      <c r="AB39" s="732">
        <f t="shared" si="39"/>
        <v>833000.02536868013</v>
      </c>
      <c r="AC39" s="732">
        <f t="shared" si="39"/>
        <v>662644.15007353981</v>
      </c>
      <c r="AD39" s="732">
        <f t="shared" si="39"/>
        <v>784025.04141905159</v>
      </c>
      <c r="AE39" s="732">
        <f t="shared" si="39"/>
        <v>1913439.9435142018</v>
      </c>
      <c r="AF39" s="732">
        <f t="shared" si="39"/>
        <v>2010659.1818739574</v>
      </c>
      <c r="AG39" s="732">
        <f t="shared" si="39"/>
        <v>1997552.5484263739</v>
      </c>
      <c r="AH39" s="732">
        <f t="shared" si="39"/>
        <v>1887208.2103524033</v>
      </c>
      <c r="AI39" s="732">
        <f t="shared" si="39"/>
        <v>3098778.7721513002</v>
      </c>
      <c r="AJ39" s="732">
        <f t="shared" si="39"/>
        <v>708729.94585583673</v>
      </c>
      <c r="AK39" s="732">
        <f t="shared" si="39"/>
        <v>1142852.4582071621</v>
      </c>
      <c r="AL39" s="732">
        <f t="shared" si="39"/>
        <v>1572532.4371737198</v>
      </c>
      <c r="AM39" s="732">
        <f t="shared" si="39"/>
        <v>1692211.8728637218</v>
      </c>
      <c r="AN39" s="732">
        <f t="shared" si="39"/>
        <v>1518203.8072799623</v>
      </c>
      <c r="AO39" s="732">
        <f t="shared" si="39"/>
        <v>2376559.6753237387</v>
      </c>
      <c r="AP39" s="732">
        <f t="shared" si="39"/>
        <v>1178056.7943715365</v>
      </c>
      <c r="AQ39" s="732">
        <f t="shared" si="39"/>
        <v>2304456.3760259529</v>
      </c>
      <c r="AR39" s="732">
        <f t="shared" si="39"/>
        <v>1610635.4311166282</v>
      </c>
      <c r="AS39" s="732">
        <f t="shared" si="39"/>
        <v>1694362.7113489346</v>
      </c>
      <c r="AT39" s="732">
        <f t="shared" si="39"/>
        <v>534137.05321009911</v>
      </c>
      <c r="AU39" s="732">
        <f t="shared" si="39"/>
        <v>1705639.9591505092</v>
      </c>
      <c r="AV39" s="732">
        <f t="shared" si="39"/>
        <v>1808485.0897115518</v>
      </c>
      <c r="AW39" s="732">
        <f t="shared" si="39"/>
        <v>2212475.305925034</v>
      </c>
      <c r="AX39" s="732">
        <f t="shared" si="39"/>
        <v>2084911.37413602</v>
      </c>
      <c r="AY39" s="732">
        <f t="shared" si="39"/>
        <v>2037067.4454340138</v>
      </c>
      <c r="AZ39" s="732">
        <f t="shared" si="39"/>
        <v>2447766.8930057837</v>
      </c>
      <c r="BA39" s="732">
        <f t="shared" si="39"/>
        <v>1243842.4669686044</v>
      </c>
      <c r="BB39" s="732">
        <f t="shared" si="39"/>
        <v>1472224.6612031762</v>
      </c>
      <c r="BC39" s="732">
        <f t="shared" si="39"/>
        <v>1945243.6542782935</v>
      </c>
      <c r="BD39" s="732">
        <f t="shared" si="39"/>
        <v>1997393.1375383355</v>
      </c>
      <c r="BE39" s="732">
        <f t="shared" si="39"/>
        <v>2101169.223223262</v>
      </c>
      <c r="BF39" s="732">
        <f t="shared" si="39"/>
        <v>688322.91919096699</v>
      </c>
      <c r="BG39" s="732">
        <f t="shared" si="39"/>
        <v>2247618.4292791616</v>
      </c>
      <c r="BH39" s="732">
        <f t="shared" si="39"/>
        <v>2411782.8514618133</v>
      </c>
      <c r="BI39" s="732">
        <f t="shared" si="39"/>
        <v>2454693.0563411815</v>
      </c>
      <c r="BJ39" s="732">
        <f t="shared" si="39"/>
        <v>2552381.994336525</v>
      </c>
      <c r="BK39" s="732">
        <f t="shared" si="39"/>
        <v>1830348.7291113874</v>
      </c>
      <c r="BL39" s="732">
        <f t="shared" si="39"/>
        <v>5541886.1797163757</v>
      </c>
      <c r="BM39" s="732">
        <f t="shared" si="39"/>
        <v>5535210.6775090145</v>
      </c>
      <c r="BN39" s="732">
        <f t="shared" si="39"/>
        <v>3941622.7795093553</v>
      </c>
      <c r="BO39" s="732">
        <f t="shared" si="39"/>
        <v>2304139.7588389073</v>
      </c>
      <c r="BP39" s="732">
        <f t="shared" si="39"/>
        <v>2022472.284389762</v>
      </c>
      <c r="BQ39" s="732">
        <f t="shared" si="40"/>
        <v>1871181.180433851</v>
      </c>
      <c r="BR39" s="734"/>
      <c r="BS39" s="734"/>
      <c r="BT39" s="732">
        <f t="shared" si="40"/>
        <v>1293725.2694653736</v>
      </c>
      <c r="BU39" s="732">
        <f t="shared" si="40"/>
        <v>2039959.0638230543</v>
      </c>
      <c r="BV39" s="732">
        <f t="shared" si="40"/>
        <v>1819128.6348554122</v>
      </c>
      <c r="BW39" s="732">
        <f t="shared" si="40"/>
        <v>858856.7746740455</v>
      </c>
      <c r="BX39" s="732">
        <f t="shared" si="40"/>
        <v>1337884.3699964392</v>
      </c>
      <c r="BY39" s="732">
        <f t="shared" si="40"/>
        <v>1556519.7551361467</v>
      </c>
      <c r="BZ39" s="732">
        <f t="shared" si="40"/>
        <v>807179.90027923661</v>
      </c>
      <c r="CA39" s="732">
        <f t="shared" si="40"/>
        <v>1722108.5871712591</v>
      </c>
      <c r="CB39" s="732">
        <f t="shared" si="40"/>
        <v>1237485.2186346117</v>
      </c>
      <c r="CC39" s="732">
        <f t="shared" si="40"/>
        <v>1593574.1236142449</v>
      </c>
      <c r="CD39" s="732">
        <f t="shared" si="40"/>
        <v>1278781.1312665953</v>
      </c>
      <c r="CE39" s="732">
        <f t="shared" si="40"/>
        <v>1605660.6490464422</v>
      </c>
      <c r="CF39" s="732">
        <f t="shared" si="40"/>
        <v>1663562.9755846942</v>
      </c>
      <c r="CG39" s="732">
        <f t="shared" si="40"/>
        <v>1679322.8789119711</v>
      </c>
      <c r="CH39" s="732">
        <f t="shared" si="40"/>
        <v>1784592.7494586171</v>
      </c>
      <c r="CI39" s="732">
        <f t="shared" si="40"/>
        <v>3464359.6906659938</v>
      </c>
      <c r="CJ39" s="732">
        <f t="shared" si="40"/>
        <v>2554388.7015257995</v>
      </c>
      <c r="CK39" s="732">
        <f t="shared" si="40"/>
        <v>4420020.2741387608</v>
      </c>
      <c r="CL39" s="732">
        <f t="shared" si="40"/>
        <v>2262073.0215998837</v>
      </c>
      <c r="CM39" s="732">
        <f t="shared" si="40"/>
        <v>1153580.0297871542</v>
      </c>
      <c r="CN39" s="732">
        <f t="shared" si="40"/>
        <v>2037471.7413503265</v>
      </c>
      <c r="CO39" s="732">
        <f t="shared" si="40"/>
        <v>2756909.4726962871</v>
      </c>
      <c r="CP39" s="732">
        <f t="shared" si="40"/>
        <v>1366177.2153715042</v>
      </c>
      <c r="CQ39" s="732">
        <f t="shared" si="40"/>
        <v>582474.37437058752</v>
      </c>
      <c r="CR39" s="732"/>
      <c r="CS39" s="732">
        <f t="shared" si="40"/>
        <v>8039723.307061336</v>
      </c>
      <c r="CT39" s="732">
        <f t="shared" si="40"/>
        <v>2388571.7837949824</v>
      </c>
      <c r="CU39" s="732">
        <f t="shared" si="40"/>
        <v>3314249.5382281211</v>
      </c>
      <c r="CV39" s="732">
        <f t="shared" si="40"/>
        <v>2767426.3551477157</v>
      </c>
      <c r="CW39" s="732">
        <f t="shared" si="41"/>
        <v>1691006.8800000001</v>
      </c>
      <c r="CX39" s="732">
        <f t="shared" si="42"/>
        <v>2188000.8360000001</v>
      </c>
      <c r="CY39" s="732">
        <f t="shared" si="42"/>
        <v>2417460.1729367794</v>
      </c>
      <c r="CZ39" s="732">
        <f t="shared" si="42"/>
        <v>1756013.797054722</v>
      </c>
      <c r="DA39" s="735"/>
      <c r="DB39" s="735"/>
      <c r="DC39" s="735"/>
      <c r="DD39" s="735"/>
    </row>
    <row r="40" spans="1:110">
      <c r="C40" s="52" t="s">
        <v>3169</v>
      </c>
      <c r="D40" s="732">
        <f t="shared" si="43"/>
        <v>1507292.5639699805</v>
      </c>
      <c r="E40" s="732">
        <f t="shared" si="43"/>
        <v>939841.24576951738</v>
      </c>
      <c r="F40" s="732">
        <f t="shared" si="43"/>
        <v>376104.69071385759</v>
      </c>
      <c r="G40" s="732">
        <f t="shared" si="43"/>
        <v>1120249.3799242675</v>
      </c>
      <c r="H40" s="732">
        <f t="shared" si="43"/>
        <v>1388247.3277248016</v>
      </c>
      <c r="I40" s="732">
        <f t="shared" si="39"/>
        <v>924486.94812855171</v>
      </c>
      <c r="J40" s="732">
        <f t="shared" si="39"/>
        <v>1200743.5297398656</v>
      </c>
      <c r="K40" s="732">
        <f t="shared" si="39"/>
        <v>1453585.8327677283</v>
      </c>
      <c r="L40" s="733">
        <f t="shared" si="39"/>
        <v>0</v>
      </c>
      <c r="M40" s="733">
        <f t="shared" si="39"/>
        <v>0</v>
      </c>
      <c r="N40" s="732">
        <f t="shared" si="39"/>
        <v>872612.10906521336</v>
      </c>
      <c r="O40" s="732">
        <f t="shared" si="39"/>
        <v>1282319.325408384</v>
      </c>
      <c r="P40" s="732">
        <f t="shared" si="39"/>
        <v>2300875.0329951341</v>
      </c>
      <c r="Q40" s="732">
        <f t="shared" si="39"/>
        <v>1263474.1385259526</v>
      </c>
      <c r="R40" s="732">
        <f t="shared" si="39"/>
        <v>1780173.608602894</v>
      </c>
      <c r="S40" s="732">
        <f t="shared" si="39"/>
        <v>882429.18389577523</v>
      </c>
      <c r="T40" s="732">
        <f t="shared" ref="T40:BT44" si="44">T$33*T7</f>
        <v>1726164.2808187599</v>
      </c>
      <c r="U40" s="732">
        <f t="shared" si="44"/>
        <v>1779917.2387845952</v>
      </c>
      <c r="V40" s="732">
        <f t="shared" si="44"/>
        <v>1732276.430181131</v>
      </c>
      <c r="W40" s="732">
        <f t="shared" si="44"/>
        <v>1778612.9901642108</v>
      </c>
      <c r="X40" s="732">
        <f t="shared" si="44"/>
        <v>877633.0706516814</v>
      </c>
      <c r="Y40" s="732">
        <f t="shared" si="44"/>
        <v>2204583.5581251774</v>
      </c>
      <c r="Z40" s="732">
        <f t="shared" si="44"/>
        <v>1337743.982310971</v>
      </c>
      <c r="AA40" s="732">
        <f t="shared" si="44"/>
        <v>2728535.5564366397</v>
      </c>
      <c r="AB40" s="732">
        <f t="shared" si="44"/>
        <v>697824.06621642888</v>
      </c>
      <c r="AC40" s="732">
        <f t="shared" si="44"/>
        <v>555112.87055986351</v>
      </c>
      <c r="AD40" s="732">
        <f t="shared" si="44"/>
        <v>656796.54952759319</v>
      </c>
      <c r="AE40" s="732">
        <f t="shared" si="44"/>
        <v>1841869.3824202174</v>
      </c>
      <c r="AF40" s="732">
        <f t="shared" si="44"/>
        <v>1935452.219511084</v>
      </c>
      <c r="AG40" s="732">
        <f t="shared" si="44"/>
        <v>1893967.9341065963</v>
      </c>
      <c r="AH40" s="732">
        <f t="shared" si="44"/>
        <v>1789345.5860302194</v>
      </c>
      <c r="AI40" s="732">
        <f t="shared" si="44"/>
        <v>2916951.2767303418</v>
      </c>
      <c r="AJ40" s="732">
        <f t="shared" si="44"/>
        <v>592763.29428958241</v>
      </c>
      <c r="AK40" s="732">
        <f t="shared" si="44"/>
        <v>991647.47462304391</v>
      </c>
      <c r="AL40" s="732">
        <f t="shared" si="44"/>
        <v>1324219.316939323</v>
      </c>
      <c r="AM40" s="732">
        <f t="shared" si="44"/>
        <v>1500729.0067843073</v>
      </c>
      <c r="AN40" s="732">
        <f t="shared" si="44"/>
        <v>1346410.8888088968</v>
      </c>
      <c r="AO40" s="732">
        <f t="shared" si="44"/>
        <v>2020190.3892478473</v>
      </c>
      <c r="AP40" s="732">
        <f t="shared" si="44"/>
        <v>1001405.1145815692</v>
      </c>
      <c r="AQ40" s="732">
        <f t="shared" si="44"/>
        <v>1958899.1059752714</v>
      </c>
      <c r="AR40" s="732">
        <f t="shared" si="44"/>
        <v>1441930.9120381693</v>
      </c>
      <c r="AS40" s="732">
        <f t="shared" si="44"/>
        <v>1393681.3115149448</v>
      </c>
      <c r="AT40" s="732">
        <f t="shared" si="44"/>
        <v>439349.15697827504</v>
      </c>
      <c r="AU40" s="732">
        <f t="shared" si="44"/>
        <v>1402957.3002988722</v>
      </c>
      <c r="AV40" s="732">
        <f t="shared" si="44"/>
        <v>1603456.1585182627</v>
      </c>
      <c r="AW40" s="732">
        <f t="shared" si="44"/>
        <v>1849687.4574416485</v>
      </c>
      <c r="AX40" s="732">
        <f t="shared" si="44"/>
        <v>1743040.6605168667</v>
      </c>
      <c r="AY40" s="732">
        <f t="shared" si="44"/>
        <v>1703041.8796952961</v>
      </c>
      <c r="AZ40" s="732">
        <f t="shared" si="44"/>
        <v>2104286.3031564988</v>
      </c>
      <c r="BA40" s="732">
        <f t="shared" si="44"/>
        <v>1069301.4412464479</v>
      </c>
      <c r="BB40" s="732">
        <f t="shared" si="44"/>
        <v>1282670.335787846</v>
      </c>
      <c r="BC40" s="732">
        <f t="shared" si="44"/>
        <v>1650367.6234198539</v>
      </c>
      <c r="BD40" s="732">
        <f t="shared" si="44"/>
        <v>2007099.1754380921</v>
      </c>
      <c r="BE40" s="732">
        <f t="shared" si="44"/>
        <v>1788589.1862754519</v>
      </c>
      <c r="BF40" s="732">
        <f t="shared" si="44"/>
        <v>585924.69198740995</v>
      </c>
      <c r="BG40" s="732">
        <f t="shared" si="44"/>
        <v>2154097.6563782534</v>
      </c>
      <c r="BH40" s="732">
        <f t="shared" si="44"/>
        <v>2241448.1015461455</v>
      </c>
      <c r="BI40" s="732">
        <f t="shared" si="44"/>
        <v>2281327.7271954943</v>
      </c>
      <c r="BJ40" s="732">
        <f t="shared" si="44"/>
        <v>2461970.4072797145</v>
      </c>
      <c r="BK40" s="732">
        <f t="shared" si="44"/>
        <v>1765513.3189597838</v>
      </c>
      <c r="BL40" s="732">
        <f t="shared" si="44"/>
        <v>5220939.1168512581</v>
      </c>
      <c r="BM40" s="732">
        <f t="shared" si="44"/>
        <v>5235557.6146691237</v>
      </c>
      <c r="BN40" s="732">
        <f t="shared" si="44"/>
        <v>3780916.1489901766</v>
      </c>
      <c r="BO40" s="732">
        <f t="shared" si="44"/>
        <v>1931130.2977220987</v>
      </c>
      <c r="BP40" s="732">
        <f t="shared" si="44"/>
        <v>1731330.4656935481</v>
      </c>
      <c r="BQ40" s="732">
        <f t="shared" si="44"/>
        <v>1601818.2348021807</v>
      </c>
      <c r="BR40" s="734"/>
      <c r="BS40" s="734"/>
      <c r="BT40" s="732">
        <f t="shared" si="44"/>
        <v>1212515.7244284386</v>
      </c>
      <c r="BU40" s="732">
        <f t="shared" si="40"/>
        <v>1966926.0265304688</v>
      </c>
      <c r="BV40" s="732">
        <f t="shared" si="40"/>
        <v>1754994.1932595095</v>
      </c>
      <c r="BW40" s="732">
        <f t="shared" si="40"/>
        <v>828577.27788686205</v>
      </c>
      <c r="BX40" s="734"/>
      <c r="BY40" s="732">
        <f t="shared" si="40"/>
        <v>1493468.0553841095</v>
      </c>
      <c r="BZ40" s="732">
        <f t="shared" si="40"/>
        <v>723853.43082314834</v>
      </c>
      <c r="CA40" s="732">
        <f t="shared" si="40"/>
        <v>1481635.7088976731</v>
      </c>
      <c r="CB40" s="732">
        <f t="shared" si="40"/>
        <v>1092135.5562071863</v>
      </c>
      <c r="CC40" s="732">
        <f t="shared" si="40"/>
        <v>1360525.635741801</v>
      </c>
      <c r="CD40" s="732">
        <f t="shared" si="40"/>
        <v>1159350.4482580984</v>
      </c>
      <c r="CE40" s="732">
        <f t="shared" si="40"/>
        <v>1479072.4407191623</v>
      </c>
      <c r="CF40" s="732">
        <f t="shared" si="40"/>
        <v>1462295.9936476245</v>
      </c>
      <c r="CG40" s="732">
        <f t="shared" si="40"/>
        <v>1527506.6041340434</v>
      </c>
      <c r="CH40" s="732">
        <f t="shared" si="40"/>
        <v>1730432.8158634566</v>
      </c>
      <c r="CI40" s="732">
        <f t="shared" si="40"/>
        <v>3359168.5483754468</v>
      </c>
      <c r="CJ40" s="732">
        <f t="shared" si="40"/>
        <v>2429995.8615138242</v>
      </c>
      <c r="CK40" s="732">
        <f t="shared" si="40"/>
        <v>4204642.1317984862</v>
      </c>
      <c r="CL40" s="732">
        <f t="shared" si="40"/>
        <v>2092787.4590449012</v>
      </c>
      <c r="CM40" s="732">
        <f t="shared" si="40"/>
        <v>1067250.1711000132</v>
      </c>
      <c r="CN40" s="732">
        <f t="shared" si="40"/>
        <v>1751565.433229259</v>
      </c>
      <c r="CO40" s="732">
        <f t="shared" si="40"/>
        <v>2370048.7407578868</v>
      </c>
      <c r="CP40" s="732">
        <f t="shared" si="40"/>
        <v>1545286.8933775616</v>
      </c>
      <c r="CQ40" s="732">
        <f t="shared" si="40"/>
        <v>636719.63018516055</v>
      </c>
      <c r="CR40" s="732"/>
      <c r="CS40" s="732">
        <f t="shared" si="40"/>
        <v>6988286.9463305324</v>
      </c>
      <c r="CT40" s="732">
        <f t="shared" si="40"/>
        <v>2231803.7708506333</v>
      </c>
      <c r="CU40" s="732">
        <f t="shared" si="40"/>
        <v>3153473.0665799067</v>
      </c>
      <c r="CV40" s="732">
        <f t="shared" si="40"/>
        <v>2945499.6961834724</v>
      </c>
      <c r="CW40" s="732">
        <f t="shared" si="41"/>
        <v>1925997.84</v>
      </c>
      <c r="CX40" s="732">
        <f t="shared" si="42"/>
        <v>2600203.14</v>
      </c>
      <c r="CY40" s="732">
        <f t="shared" si="40"/>
        <v>2326469.9806335564</v>
      </c>
      <c r="CZ40" s="732">
        <f t="shared" si="42"/>
        <v>1629984.9423875767</v>
      </c>
      <c r="DA40" s="735"/>
      <c r="DB40" s="735"/>
      <c r="DC40" s="735"/>
      <c r="DD40" s="735"/>
    </row>
    <row r="41" spans="1:110">
      <c r="C41" s="52" t="s">
        <v>3170</v>
      </c>
      <c r="D41" s="732">
        <f t="shared" si="43"/>
        <v>1094099.2454128941</v>
      </c>
      <c r="E41" s="732">
        <f t="shared" si="43"/>
        <v>682203.05890451046</v>
      </c>
      <c r="F41" s="732">
        <f t="shared" si="43"/>
        <v>285174.57402224885</v>
      </c>
      <c r="G41" s="732">
        <f t="shared" si="43"/>
        <v>861877.74312788935</v>
      </c>
      <c r="H41" s="732">
        <f t="shared" si="43"/>
        <v>946416.10086831078</v>
      </c>
      <c r="I41" s="732">
        <f t="shared" si="43"/>
        <v>630254.64935374493</v>
      </c>
      <c r="J41" s="732">
        <f t="shared" si="43"/>
        <v>818588.292492309</v>
      </c>
      <c r="K41" s="732">
        <f t="shared" si="43"/>
        <v>990959.61407689482</v>
      </c>
      <c r="L41" s="733">
        <f t="shared" si="43"/>
        <v>0</v>
      </c>
      <c r="M41" s="733">
        <f t="shared" si="43"/>
        <v>0</v>
      </c>
      <c r="N41" s="732">
        <f t="shared" si="43"/>
        <v>757786.54196815973</v>
      </c>
      <c r="O41" s="732">
        <f t="shared" si="43"/>
        <v>1032342.4975324949</v>
      </c>
      <c r="P41" s="732">
        <f t="shared" si="43"/>
        <v>1953797.0569019767</v>
      </c>
      <c r="Q41" s="732">
        <f t="shared" si="43"/>
        <v>983094.85708494834</v>
      </c>
      <c r="R41" s="732">
        <f t="shared" si="43"/>
        <v>1339247.9232638616</v>
      </c>
      <c r="S41" s="732">
        <f t="shared" si="43"/>
        <v>663863.0334977993</v>
      </c>
      <c r="T41" s="732">
        <f t="shared" si="44"/>
        <v>1298615.998533472</v>
      </c>
      <c r="U41" s="732">
        <f t="shared" si="44"/>
        <v>1375988.4296659669</v>
      </c>
      <c r="V41" s="732">
        <f t="shared" si="44"/>
        <v>1467832.6411011599</v>
      </c>
      <c r="W41" s="732">
        <f t="shared" si="44"/>
        <v>1507095.6097789675</v>
      </c>
      <c r="X41" s="732">
        <f t="shared" si="44"/>
        <v>743656.40816210781</v>
      </c>
      <c r="Y41" s="732">
        <f t="shared" si="44"/>
        <v>1868038.8708589147</v>
      </c>
      <c r="Z41" s="732">
        <f t="shared" si="44"/>
        <v>1064375.3424988315</v>
      </c>
      <c r="AA41" s="732">
        <f t="shared" si="44"/>
        <v>2175018.2860373263</v>
      </c>
      <c r="AB41" s="732">
        <f t="shared" si="44"/>
        <v>556261.80163831764</v>
      </c>
      <c r="AC41" s="732">
        <f t="shared" si="44"/>
        <v>442501.34158382239</v>
      </c>
      <c r="AD41" s="732">
        <f t="shared" si="44"/>
        <v>523557.22543500899</v>
      </c>
      <c r="AE41" s="732">
        <f t="shared" si="44"/>
        <v>1464830.8796404582</v>
      </c>
      <c r="AF41" s="732">
        <f t="shared" si="44"/>
        <v>1539256.9116291853</v>
      </c>
      <c r="AG41" s="732">
        <f t="shared" si="44"/>
        <v>1483482.7943188976</v>
      </c>
      <c r="AH41" s="732">
        <f t="shared" si="44"/>
        <v>1401535.5498710871</v>
      </c>
      <c r="AI41" s="732">
        <f t="shared" si="44"/>
        <v>2087929.8946387453</v>
      </c>
      <c r="AJ41" s="732">
        <f t="shared" si="44"/>
        <v>425324.88814199105</v>
      </c>
      <c r="AK41" s="732">
        <f t="shared" si="44"/>
        <v>743924.26409492409</v>
      </c>
      <c r="AL41" s="732">
        <f t="shared" si="44"/>
        <v>994058.2760297152</v>
      </c>
      <c r="AM41" s="732">
        <f t="shared" si="44"/>
        <v>1166033.3001622364</v>
      </c>
      <c r="AN41" s="732">
        <f t="shared" si="44"/>
        <v>1046131.530046351</v>
      </c>
      <c r="AO41" s="732">
        <f t="shared" si="44"/>
        <v>1569361.7047101201</v>
      </c>
      <c r="AP41" s="732">
        <f t="shared" si="44"/>
        <v>777930.06346807093</v>
      </c>
      <c r="AQ41" s="732">
        <f t="shared" si="44"/>
        <v>1521748.275148002</v>
      </c>
      <c r="AR41" s="732">
        <f t="shared" si="44"/>
        <v>865161.67499977152</v>
      </c>
      <c r="AS41" s="732">
        <f t="shared" si="44"/>
        <v>1076533.2464252596</v>
      </c>
      <c r="AT41" s="732">
        <f t="shared" si="44"/>
        <v>339370.24940220814</v>
      </c>
      <c r="AU41" s="732">
        <f t="shared" si="44"/>
        <v>1083698.3782504906</v>
      </c>
      <c r="AV41" s="732">
        <f t="shared" si="44"/>
        <v>1243102.451730832</v>
      </c>
      <c r="AW41" s="732">
        <f t="shared" si="44"/>
        <v>1411435.2805043985</v>
      </c>
      <c r="AX41" s="732">
        <f t="shared" si="44"/>
        <v>1330056.6394119081</v>
      </c>
      <c r="AY41" s="732">
        <f t="shared" si="44"/>
        <v>1299534.8935885283</v>
      </c>
      <c r="AZ41" s="732">
        <f t="shared" si="44"/>
        <v>1715778.4721294083</v>
      </c>
      <c r="BA41" s="732">
        <f t="shared" si="44"/>
        <v>871879.64411283645</v>
      </c>
      <c r="BB41" s="732">
        <f t="shared" si="44"/>
        <v>981298.56984841102</v>
      </c>
      <c r="BC41" s="732">
        <f t="shared" si="44"/>
        <v>1278642.9595611813</v>
      </c>
      <c r="BD41" s="732">
        <f t="shared" si="44"/>
        <v>1667158.5567875679</v>
      </c>
      <c r="BE41" s="732">
        <f t="shared" si="44"/>
        <v>1395310.0046089399</v>
      </c>
      <c r="BF41" s="732">
        <f t="shared" si="44"/>
        <v>457090.19765455421</v>
      </c>
      <c r="BG41" s="732">
        <f t="shared" si="44"/>
        <v>1804460.3579362095</v>
      </c>
      <c r="BH41" s="732">
        <f t="shared" si="44"/>
        <v>1805992.8314241837</v>
      </c>
      <c r="BI41" s="732">
        <f t="shared" si="44"/>
        <v>1838124.879448371</v>
      </c>
      <c r="BJ41" s="732">
        <f t="shared" si="44"/>
        <v>2103946.614669757</v>
      </c>
      <c r="BK41" s="732">
        <f t="shared" si="44"/>
        <v>1508769.4635144244</v>
      </c>
      <c r="BL41" s="732">
        <f t="shared" si="44"/>
        <v>4345661.9594843425</v>
      </c>
      <c r="BM41" s="732">
        <f t="shared" si="44"/>
        <v>4312773.9835340222</v>
      </c>
      <c r="BN41" s="732">
        <f t="shared" si="44"/>
        <v>3146608.7144311015</v>
      </c>
      <c r="BO41" s="732">
        <f t="shared" si="44"/>
        <v>1648011.0089807843</v>
      </c>
      <c r="BP41" s="732">
        <f t="shared" si="44"/>
        <v>1323532.89029578</v>
      </c>
      <c r="BQ41" s="732">
        <f t="shared" si="44"/>
        <v>1224525.9700821743</v>
      </c>
      <c r="BR41" s="734"/>
      <c r="BS41" s="734"/>
      <c r="BT41" s="732">
        <f t="shared" si="44"/>
        <v>906941.65977775888</v>
      </c>
      <c r="BU41" s="732">
        <f t="shared" si="40"/>
        <v>1470449.3027129895</v>
      </c>
      <c r="BV41" s="732">
        <f t="shared" si="40"/>
        <v>1373336.9964746444</v>
      </c>
      <c r="BW41" s="732">
        <f t="shared" si="40"/>
        <v>648387.23371890793</v>
      </c>
      <c r="BX41" s="734"/>
      <c r="BY41" s="732">
        <f t="shared" si="40"/>
        <v>1186281.6572840551</v>
      </c>
      <c r="BZ41" s="732">
        <f t="shared" si="40"/>
        <v>643596.28373605979</v>
      </c>
      <c r="CA41" s="732">
        <f t="shared" si="40"/>
        <v>1205362.2611589106</v>
      </c>
      <c r="CB41" s="732">
        <f t="shared" si="40"/>
        <v>844560.88846857881</v>
      </c>
      <c r="CC41" s="732">
        <f t="shared" si="40"/>
        <v>1121294.3506153664</v>
      </c>
      <c r="CD41" s="732">
        <f t="shared" si="40"/>
        <v>910384.83289734845</v>
      </c>
      <c r="CE41" s="732">
        <f t="shared" si="40"/>
        <v>1207128.0447150059</v>
      </c>
      <c r="CF41" s="732">
        <f t="shared" si="40"/>
        <v>1217705.8156846215</v>
      </c>
      <c r="CG41" s="732">
        <f t="shared" si="40"/>
        <v>1223693.7298239344</v>
      </c>
      <c r="CH41" s="732">
        <f t="shared" si="40"/>
        <v>1408428.0843225881</v>
      </c>
      <c r="CI41" s="732">
        <f t="shared" si="40"/>
        <v>2815047.946611484</v>
      </c>
      <c r="CJ41" s="732">
        <f t="shared" si="40"/>
        <v>2061646.6954503634</v>
      </c>
      <c r="CK41" s="732">
        <f t="shared" si="40"/>
        <v>3526418.9083912559</v>
      </c>
      <c r="CL41" s="732">
        <f t="shared" si="40"/>
        <v>1684414.282945784</v>
      </c>
      <c r="CM41" s="732">
        <f t="shared" si="40"/>
        <v>858993.79027128639</v>
      </c>
      <c r="CN41" s="732">
        <f t="shared" si="40"/>
        <v>1428179.3586513093</v>
      </c>
      <c r="CO41" s="732">
        <f t="shared" si="40"/>
        <v>1932474.0180031315</v>
      </c>
      <c r="CP41" s="732">
        <f t="shared" si="40"/>
        <v>1663777.8523213279</v>
      </c>
      <c r="CQ41" s="732">
        <f t="shared" si="40"/>
        <v>668992.12415079272</v>
      </c>
      <c r="CR41" s="732"/>
      <c r="CS41" s="732">
        <f t="shared" si="40"/>
        <v>6138009.5191210601</v>
      </c>
      <c r="CT41" s="732">
        <f t="shared" si="40"/>
        <v>1850908.9747721169</v>
      </c>
      <c r="CU41" s="732">
        <f t="shared" si="40"/>
        <v>2596815.407686451</v>
      </c>
      <c r="CV41" s="732">
        <f t="shared" si="40"/>
        <v>2401260.1084847813</v>
      </c>
      <c r="CW41" s="732">
        <f t="shared" si="41"/>
        <v>2128010.52</v>
      </c>
      <c r="CX41" s="732">
        <f t="shared" si="42"/>
        <v>2776209.8760000002</v>
      </c>
      <c r="CY41" s="732">
        <f t="shared" si="40"/>
        <v>1801962.610175987</v>
      </c>
      <c r="CZ41" s="732">
        <f t="shared" si="42"/>
        <v>1674151.3322593453</v>
      </c>
      <c r="DA41" s="735"/>
      <c r="DB41" s="735"/>
      <c r="DC41" s="732">
        <f t="shared" ref="DB41:DC44" si="45">DC$33*DC8</f>
        <v>3011714.5811789036</v>
      </c>
      <c r="DD41" s="735"/>
    </row>
    <row r="42" spans="1:110">
      <c r="C42" s="52" t="s">
        <v>3171</v>
      </c>
      <c r="D42" s="732">
        <f t="shared" si="43"/>
        <v>974264.65162392147</v>
      </c>
      <c r="E42" s="732">
        <f t="shared" si="43"/>
        <v>607482.66513020999</v>
      </c>
      <c r="F42" s="732">
        <f t="shared" si="43"/>
        <v>295717.64535450895</v>
      </c>
      <c r="G42" s="732">
        <f t="shared" si="43"/>
        <v>904316.99398989044</v>
      </c>
      <c r="H42" s="732">
        <f t="shared" si="43"/>
        <v>799151.22629023204</v>
      </c>
      <c r="I42" s="732">
        <f t="shared" si="43"/>
        <v>532185.34156811493</v>
      </c>
      <c r="J42" s="732">
        <f t="shared" si="43"/>
        <v>691213.76651545498</v>
      </c>
      <c r="K42" s="732">
        <f t="shared" si="43"/>
        <v>836763.64980168303</v>
      </c>
      <c r="L42" s="733">
        <f t="shared" si="43"/>
        <v>0</v>
      </c>
      <c r="M42" s="733">
        <f t="shared" si="43"/>
        <v>0</v>
      </c>
      <c r="N42" s="732">
        <f t="shared" si="43"/>
        <v>760139.18398139114</v>
      </c>
      <c r="O42" s="732">
        <f t="shared" si="43"/>
        <v>996419.52066202171</v>
      </c>
      <c r="P42" s="732">
        <f t="shared" si="43"/>
        <v>1895929.5165684675</v>
      </c>
      <c r="Q42" s="732">
        <f t="shared" si="43"/>
        <v>1017873.687300463</v>
      </c>
      <c r="R42" s="732">
        <f t="shared" si="43"/>
        <v>1309496.8399455606</v>
      </c>
      <c r="S42" s="732">
        <f t="shared" si="43"/>
        <v>649115.46952667215</v>
      </c>
      <c r="T42" s="732">
        <f t="shared" si="44"/>
        <v>1269767.5440391835</v>
      </c>
      <c r="U42" s="732">
        <f t="shared" si="44"/>
        <v>1366768.1678656386</v>
      </c>
      <c r="V42" s="732">
        <f t="shared" si="44"/>
        <v>1498800.7262731486</v>
      </c>
      <c r="W42" s="732">
        <f t="shared" si="44"/>
        <v>1538892.0584333267</v>
      </c>
      <c r="X42" s="732">
        <f t="shared" si="44"/>
        <v>759345.94547160831</v>
      </c>
      <c r="Y42" s="732">
        <f t="shared" si="44"/>
        <v>1907450.4394788535</v>
      </c>
      <c r="Z42" s="732">
        <f t="shared" si="44"/>
        <v>1111675.1149537454</v>
      </c>
      <c r="AA42" s="732">
        <f t="shared" si="44"/>
        <v>2148077.9512585206</v>
      </c>
      <c r="AB42" s="732">
        <f t="shared" si="44"/>
        <v>549371.80018085835</v>
      </c>
      <c r="AC42" s="732">
        <f t="shared" si="44"/>
        <v>437020.40638485539</v>
      </c>
      <c r="AD42" s="732">
        <f t="shared" si="44"/>
        <v>517072.31125307846</v>
      </c>
      <c r="AE42" s="732">
        <f t="shared" si="44"/>
        <v>1474385.4876362989</v>
      </c>
      <c r="AF42" s="732">
        <f t="shared" si="44"/>
        <v>1549296.9760488505</v>
      </c>
      <c r="AG42" s="732">
        <f t="shared" si="44"/>
        <v>1455512.672931331</v>
      </c>
      <c r="AH42" s="732">
        <f t="shared" si="44"/>
        <v>1375110.491482134</v>
      </c>
      <c r="AI42" s="732">
        <f t="shared" si="44"/>
        <v>1820404.3956678666</v>
      </c>
      <c r="AJ42" s="732">
        <f t="shared" si="44"/>
        <v>392709.17350779526</v>
      </c>
      <c r="AK42" s="732">
        <f t="shared" si="44"/>
        <v>669505.25785352336</v>
      </c>
      <c r="AL42" s="732">
        <f t="shared" si="44"/>
        <v>976557.14288814203</v>
      </c>
      <c r="AM42" s="732">
        <f t="shared" si="44"/>
        <v>1105240.4948895364</v>
      </c>
      <c r="AN42" s="732">
        <f t="shared" si="44"/>
        <v>991589.97416892368</v>
      </c>
      <c r="AO42" s="732">
        <f t="shared" si="44"/>
        <v>1523940.2968089909</v>
      </c>
      <c r="AP42" s="732">
        <f t="shared" si="44"/>
        <v>755414.74489919993</v>
      </c>
      <c r="AQ42" s="732">
        <f t="shared" si="44"/>
        <v>1477704.9236880499</v>
      </c>
      <c r="AR42" s="732">
        <f t="shared" si="44"/>
        <v>795382.96788587281</v>
      </c>
      <c r="AS42" s="732">
        <f t="shared" si="44"/>
        <v>1035245.5826471365</v>
      </c>
      <c r="AT42" s="732">
        <f t="shared" si="44"/>
        <v>326354.57636085642</v>
      </c>
      <c r="AU42" s="732">
        <f t="shared" si="44"/>
        <v>1042135.9142702295</v>
      </c>
      <c r="AV42" s="732">
        <f t="shared" si="44"/>
        <v>1257397.3313221657</v>
      </c>
      <c r="AW42" s="732">
        <f t="shared" si="44"/>
        <v>1313250.6128318654</v>
      </c>
      <c r="AX42" s="732">
        <f t="shared" si="44"/>
        <v>1237532.9715327579</v>
      </c>
      <c r="AY42" s="732">
        <f t="shared" si="44"/>
        <v>1209134.4314360928</v>
      </c>
      <c r="AZ42" s="732">
        <f t="shared" si="44"/>
        <v>1685540.6838323411</v>
      </c>
      <c r="BA42" s="732">
        <f t="shared" si="44"/>
        <v>856514.19191288727</v>
      </c>
      <c r="BB42" s="732">
        <f t="shared" si="44"/>
        <v>973600.03801566432</v>
      </c>
      <c r="BC42" s="732">
        <f t="shared" si="44"/>
        <v>1240554.0852097617</v>
      </c>
      <c r="BD42" s="732">
        <f t="shared" si="44"/>
        <v>1811686.8608456862</v>
      </c>
      <c r="BE42" s="732">
        <f t="shared" si="44"/>
        <v>1381852.7929219974</v>
      </c>
      <c r="BF42" s="732">
        <f t="shared" si="44"/>
        <v>452681.74395641877</v>
      </c>
      <c r="BG42" s="732">
        <f t="shared" si="44"/>
        <v>1781989.4967997957</v>
      </c>
      <c r="BH42" s="732">
        <f t="shared" si="44"/>
        <v>1743336.1117724366</v>
      </c>
      <c r="BI42" s="732">
        <f t="shared" si="44"/>
        <v>1774353.377561691</v>
      </c>
      <c r="BJ42" s="732">
        <f t="shared" si="44"/>
        <v>2100110.8930353099</v>
      </c>
      <c r="BK42" s="732">
        <f t="shared" si="44"/>
        <v>1506018.8140291933</v>
      </c>
      <c r="BL42" s="732">
        <f t="shared" si="44"/>
        <v>4265772.2016053768</v>
      </c>
      <c r="BM42" s="732">
        <f t="shared" si="44"/>
        <v>4199891.8680300796</v>
      </c>
      <c r="BN42" s="732">
        <f t="shared" si="44"/>
        <v>3071371.0034020641</v>
      </c>
      <c r="BO42" s="732">
        <f t="shared" si="44"/>
        <v>1504921.5836782181</v>
      </c>
      <c r="BP42" s="732">
        <f t="shared" si="44"/>
        <v>1308378.8931377917</v>
      </c>
      <c r="BQ42" s="732">
        <f t="shared" si="44"/>
        <v>1210505.5681665398</v>
      </c>
      <c r="BR42" s="734"/>
      <c r="BS42" s="734"/>
      <c r="BT42" s="732">
        <f t="shared" si="44"/>
        <v>922253.0019547235</v>
      </c>
      <c r="BU42" s="732">
        <f t="shared" si="40"/>
        <v>1460393.4217723489</v>
      </c>
      <c r="BV42" s="732">
        <f t="shared" si="40"/>
        <v>1364120.5748572713</v>
      </c>
      <c r="BW42" s="732">
        <f t="shared" si="40"/>
        <v>644035.92727874394</v>
      </c>
      <c r="BX42" s="734"/>
      <c r="BY42" s="732">
        <f t="shared" si="40"/>
        <v>1176180.7940936568</v>
      </c>
      <c r="BZ42" s="732">
        <f t="shared" si="40"/>
        <v>680996.32373744587</v>
      </c>
      <c r="CA42" s="732">
        <f t="shared" si="40"/>
        <v>1173829.9944568465</v>
      </c>
      <c r="CB42" s="732">
        <f t="shared" si="40"/>
        <v>848432.54419353942</v>
      </c>
      <c r="CC42" s="732">
        <f t="shared" si="40"/>
        <v>1087748.8698328962</v>
      </c>
      <c r="CD42" s="732">
        <f t="shared" si="40"/>
        <v>963176.52317915985</v>
      </c>
      <c r="CE42" s="732">
        <f t="shared" si="40"/>
        <v>1264564.5010560043</v>
      </c>
      <c r="CF42" s="734"/>
      <c r="CG42" s="732">
        <f t="shared" si="40"/>
        <v>1283075.5890774068</v>
      </c>
      <c r="CH42" s="732">
        <f t="shared" si="40"/>
        <v>1401023.08085733</v>
      </c>
      <c r="CI42" s="732">
        <f t="shared" si="40"/>
        <v>2795565.9545361325</v>
      </c>
      <c r="CJ42" s="732">
        <f t="shared" si="40"/>
        <v>2025598.6869339577</v>
      </c>
      <c r="CK42" s="732">
        <f t="shared" si="40"/>
        <v>3469917.5172656579</v>
      </c>
      <c r="CL42" s="732">
        <f t="shared" si="40"/>
        <v>1613541.8605923166</v>
      </c>
      <c r="CM42" s="732">
        <f t="shared" si="40"/>
        <v>822851.2739559745</v>
      </c>
      <c r="CN42" s="732">
        <f t="shared" si="40"/>
        <v>1403010.0341734565</v>
      </c>
      <c r="CO42" s="732">
        <f t="shared" si="40"/>
        <v>1898417.3252568699</v>
      </c>
      <c r="CP42" s="732">
        <f t="shared" si="40"/>
        <v>1780895.5716746862</v>
      </c>
      <c r="CQ42" s="732">
        <f t="shared" si="40"/>
        <v>704795.95484214742</v>
      </c>
      <c r="CR42" s="732"/>
      <c r="CS42" s="732">
        <f t="shared" si="40"/>
        <v>6177475.0257075941</v>
      </c>
      <c r="CT42" s="732">
        <f t="shared" si="40"/>
        <v>1807210.4306087294</v>
      </c>
      <c r="CU42" s="732">
        <f t="shared" si="40"/>
        <v>2520192.7742854478</v>
      </c>
      <c r="CV42" s="732">
        <f t="shared" si="40"/>
        <v>2503450.7045820151</v>
      </c>
      <c r="CW42" s="732">
        <f t="shared" si="41"/>
        <v>2343943.6800000002</v>
      </c>
      <c r="CX42" s="732">
        <f t="shared" si="42"/>
        <v>2963160.0359999998</v>
      </c>
      <c r="CY42" s="732">
        <f t="shared" si="40"/>
        <v>1839683.7442551958</v>
      </c>
      <c r="CZ42" s="732">
        <f t="shared" si="42"/>
        <v>1640238.4228265935</v>
      </c>
      <c r="DA42" s="735"/>
      <c r="DB42" s="732">
        <f t="shared" si="45"/>
        <v>2373741.4684591522</v>
      </c>
      <c r="DC42" s="732">
        <f t="shared" si="45"/>
        <v>3234804.550155119</v>
      </c>
      <c r="DD42" s="735"/>
    </row>
    <row r="43" spans="1:110">
      <c r="C43" s="52" t="s">
        <v>3172</v>
      </c>
      <c r="D43" s="732">
        <f t="shared" si="43"/>
        <v>962112.28569779312</v>
      </c>
      <c r="E43" s="732">
        <f t="shared" si="43"/>
        <v>599905.30755274172</v>
      </c>
      <c r="F43" s="732">
        <f t="shared" si="43"/>
        <v>298310.7758499718</v>
      </c>
      <c r="G43" s="732">
        <f t="shared" si="43"/>
        <v>907744.4921793252</v>
      </c>
      <c r="H43" s="732">
        <f t="shared" si="43"/>
        <v>728552.28289630509</v>
      </c>
      <c r="I43" s="732">
        <f t="shared" si="43"/>
        <v>485170.80718660867</v>
      </c>
      <c r="J43" s="732">
        <f t="shared" si="43"/>
        <v>630150.27819190081</v>
      </c>
      <c r="K43" s="732">
        <f t="shared" si="43"/>
        <v>762841.93435781507</v>
      </c>
      <c r="L43" s="733">
        <f t="shared" si="43"/>
        <v>0</v>
      </c>
      <c r="M43" s="733">
        <f t="shared" si="43"/>
        <v>0</v>
      </c>
      <c r="N43" s="732">
        <f t="shared" si="43"/>
        <v>669656.89190784749</v>
      </c>
      <c r="O43" s="732">
        <f t="shared" si="43"/>
        <v>941292.56362981093</v>
      </c>
      <c r="P43" s="732">
        <f t="shared" si="43"/>
        <v>1751357.4938299942</v>
      </c>
      <c r="Q43" s="732">
        <f t="shared" si="43"/>
        <v>1027918.6955305443</v>
      </c>
      <c r="R43" s="732">
        <f t="shared" si="43"/>
        <v>1305920.2687551554</v>
      </c>
      <c r="S43" s="732">
        <f t="shared" si="43"/>
        <v>647342.56896155735</v>
      </c>
      <c r="T43" s="732">
        <f t="shared" si="44"/>
        <v>1266299.4837293085</v>
      </c>
      <c r="U43" s="732">
        <f t="shared" si="44"/>
        <v>1256595.0822872501</v>
      </c>
      <c r="V43" s="732">
        <f t="shared" si="44"/>
        <v>1488137.1724888894</v>
      </c>
      <c r="W43" s="732">
        <f t="shared" si="44"/>
        <v>1527943.26587831</v>
      </c>
      <c r="X43" s="732">
        <f t="shared" si="44"/>
        <v>753943.40850424906</v>
      </c>
      <c r="Y43" s="732">
        <f t="shared" si="44"/>
        <v>1893879.455694526</v>
      </c>
      <c r="Z43" s="732">
        <f t="shared" si="44"/>
        <v>1097391.8967547053</v>
      </c>
      <c r="AA43" s="732">
        <f t="shared" si="44"/>
        <v>1949196.0626317549</v>
      </c>
      <c r="AB43" s="732">
        <f t="shared" si="44"/>
        <v>498507.67715671868</v>
      </c>
      <c r="AC43" s="732">
        <f t="shared" si="44"/>
        <v>396558.44654800009</v>
      </c>
      <c r="AD43" s="732">
        <f t="shared" si="44"/>
        <v>469198.66786021687</v>
      </c>
      <c r="AE43" s="732">
        <f t="shared" si="44"/>
        <v>1461761.995067386</v>
      </c>
      <c r="AF43" s="732">
        <f t="shared" si="44"/>
        <v>1536032.1012734307</v>
      </c>
      <c r="AG43" s="732">
        <f t="shared" si="44"/>
        <v>1431750.2374480558</v>
      </c>
      <c r="AH43" s="732">
        <f t="shared" si="44"/>
        <v>1352660.6874069751</v>
      </c>
      <c r="AI43" s="732">
        <f t="shared" si="44"/>
        <v>1789023.2502572478</v>
      </c>
      <c r="AJ43" s="732">
        <f t="shared" si="44"/>
        <v>363003.37107896234</v>
      </c>
      <c r="AK43" s="732">
        <f t="shared" si="44"/>
        <v>613462.47529697022</v>
      </c>
      <c r="AL43" s="732">
        <f t="shared" si="44"/>
        <v>901220.0465573353</v>
      </c>
      <c r="AM43" s="732">
        <f t="shared" si="44"/>
        <v>996749.22846864269</v>
      </c>
      <c r="AN43" s="732">
        <f t="shared" si="44"/>
        <v>894254.73123738437</v>
      </c>
      <c r="AO43" s="732">
        <f t="shared" si="44"/>
        <v>1441372.3697139006</v>
      </c>
      <c r="AP43" s="732">
        <f t="shared" si="44"/>
        <v>714485.95673473086</v>
      </c>
      <c r="AQ43" s="732">
        <f t="shared" si="44"/>
        <v>1397642.0546487495</v>
      </c>
      <c r="AR43" s="732">
        <f t="shared" si="44"/>
        <v>687708.83555233851</v>
      </c>
      <c r="AS43" s="732">
        <f t="shared" si="44"/>
        <v>939577.68348313135</v>
      </c>
      <c r="AT43" s="732">
        <f t="shared" si="44"/>
        <v>296195.88046652777</v>
      </c>
      <c r="AU43" s="732">
        <f t="shared" si="44"/>
        <v>945831.27387112624</v>
      </c>
      <c r="AV43" s="732">
        <f t="shared" si="44"/>
        <v>1167829.164283176</v>
      </c>
      <c r="AW43" s="732">
        <f t="shared" si="44"/>
        <v>1198239.8965383759</v>
      </c>
      <c r="AX43" s="732">
        <f t="shared" si="44"/>
        <v>1129153.3887615176</v>
      </c>
      <c r="AY43" s="732">
        <f t="shared" si="44"/>
        <v>1103241.9112302859</v>
      </c>
      <c r="AZ43" s="732">
        <f t="shared" si="44"/>
        <v>1496875.0751258519</v>
      </c>
      <c r="BA43" s="732">
        <f t="shared" si="44"/>
        <v>760643.01364172238</v>
      </c>
      <c r="BB43" s="732">
        <f t="shared" si="44"/>
        <v>902612.16043548111</v>
      </c>
      <c r="BC43" s="732">
        <f t="shared" si="44"/>
        <v>1172367.7919252303</v>
      </c>
      <c r="BD43" s="732">
        <f t="shared" si="44"/>
        <v>1645440.5633566242</v>
      </c>
      <c r="BE43" s="732">
        <f t="shared" si="44"/>
        <v>1257354.9545718217</v>
      </c>
      <c r="BF43" s="732">
        <f t="shared" si="44"/>
        <v>411897.44415847125</v>
      </c>
      <c r="BG43" s="732">
        <f t="shared" si="44"/>
        <v>1762775.6503499614</v>
      </c>
      <c r="BH43" s="732">
        <f t="shared" si="44"/>
        <v>1743336.1117724366</v>
      </c>
      <c r="BI43" s="732">
        <f t="shared" si="44"/>
        <v>1774353.377561691</v>
      </c>
      <c r="BJ43" s="732">
        <f t="shared" si="44"/>
        <v>2082706.8282219514</v>
      </c>
      <c r="BK43" s="732">
        <f t="shared" si="44"/>
        <v>1493538.1163972607</v>
      </c>
      <c r="BL43" s="732">
        <f t="shared" si="44"/>
        <v>4281095.7350050444</v>
      </c>
      <c r="BM43" s="732">
        <f t="shared" si="44"/>
        <v>4168949.3061797046</v>
      </c>
      <c r="BN43" s="732">
        <f t="shared" si="44"/>
        <v>3044595.7148893042</v>
      </c>
      <c r="BO43" s="732">
        <f t="shared" si="44"/>
        <v>1428859.7208642331</v>
      </c>
      <c r="BP43" s="732">
        <f t="shared" si="44"/>
        <v>1230813.379831718</v>
      </c>
      <c r="BQ43" s="732">
        <f t="shared" si="44"/>
        <v>1138742.3455655393</v>
      </c>
      <c r="BR43" s="734"/>
      <c r="BS43" s="734"/>
      <c r="BT43" s="732">
        <f t="shared" si="44"/>
        <v>919540.26623066992</v>
      </c>
      <c r="BU43" s="732">
        <f t="shared" si="40"/>
        <v>1485498.5362938885</v>
      </c>
      <c r="BV43" s="732">
        <f t="shared" si="40"/>
        <v>1386000.0360991512</v>
      </c>
      <c r="BW43" s="732">
        <f t="shared" si="40"/>
        <v>654365.77595121029</v>
      </c>
      <c r="BX43" s="734"/>
      <c r="BY43" s="732">
        <f t="shared" si="40"/>
        <v>1146502.5638709106</v>
      </c>
      <c r="BZ43" s="732">
        <f t="shared" si="40"/>
        <v>594285.43265707081</v>
      </c>
      <c r="CA43" s="732">
        <f t="shared" si="40"/>
        <v>1083915.4219588989</v>
      </c>
      <c r="CB43" s="732">
        <f t="shared" si="40"/>
        <v>782785.60737805534</v>
      </c>
      <c r="CC43" s="732">
        <f t="shared" si="40"/>
        <v>1006411.7978164228</v>
      </c>
      <c r="CD43" s="732">
        <f t="shared" si="40"/>
        <v>905267.05788125785</v>
      </c>
      <c r="CE43" s="732">
        <f t="shared" si="40"/>
        <v>1206279.4929515379</v>
      </c>
      <c r="CF43" s="734"/>
      <c r="CG43" s="732">
        <f t="shared" si="40"/>
        <v>1216909.6990956331</v>
      </c>
      <c r="CH43" s="732">
        <f t="shared" si="40"/>
        <v>1365337.0262316666</v>
      </c>
      <c r="CI43" s="732">
        <f t="shared" si="40"/>
        <v>2775685.7924959445</v>
      </c>
      <c r="CJ43" s="732">
        <f t="shared" si="40"/>
        <v>2028935.2972852772</v>
      </c>
      <c r="CK43" s="732">
        <f t="shared" si="40"/>
        <v>3456631.3578708507</v>
      </c>
      <c r="CL43" s="732">
        <f t="shared" si="40"/>
        <v>1616658.9051350974</v>
      </c>
      <c r="CM43" s="732">
        <f t="shared" si="40"/>
        <v>824440.8602788623</v>
      </c>
      <c r="CN43" s="732">
        <f t="shared" si="40"/>
        <v>1245968.5906428199</v>
      </c>
      <c r="CO43" s="732">
        <f t="shared" si="40"/>
        <v>1685924.0501410265</v>
      </c>
      <c r="CP43" s="732">
        <f t="shared" si="40"/>
        <v>1646121.9147303693</v>
      </c>
      <c r="CQ43" s="732">
        <f t="shared" si="40"/>
        <v>668403.56802983885</v>
      </c>
      <c r="CR43" s="732"/>
      <c r="CS43" s="732">
        <f t="shared" si="40"/>
        <v>5525192.5233734567</v>
      </c>
      <c r="CT43" s="732">
        <f t="shared" si="40"/>
        <v>1795918.0545384665</v>
      </c>
      <c r="CU43" s="732">
        <f t="shared" si="40"/>
        <v>2497498.4293397423</v>
      </c>
      <c r="CV43" s="732">
        <f t="shared" si="40"/>
        <v>2609579.3768871669</v>
      </c>
      <c r="CW43" s="732">
        <f t="shared" si="41"/>
        <v>2090060.6400000001</v>
      </c>
      <c r="CX43" s="732">
        <f t="shared" si="42"/>
        <v>2650132.5120000001</v>
      </c>
      <c r="CY43" s="732">
        <f t="shared" si="40"/>
        <v>1825319.5602309161</v>
      </c>
      <c r="CZ43" s="732">
        <f t="shared" si="42"/>
        <v>1294183.4580097755</v>
      </c>
      <c r="DA43" s="732">
        <f t="shared" si="42"/>
        <v>2238222.3371251291</v>
      </c>
      <c r="DB43" s="732">
        <f t="shared" si="45"/>
        <v>2210035.1602895553</v>
      </c>
      <c r="DC43" s="732">
        <f t="shared" si="45"/>
        <v>2955942.0889348499</v>
      </c>
      <c r="DD43" s="735"/>
    </row>
    <row r="44" spans="1:110">
      <c r="C44" s="52" t="s">
        <v>3173</v>
      </c>
      <c r="D44" s="732">
        <f t="shared" si="43"/>
        <v>1176421.7242673144</v>
      </c>
      <c r="E44" s="732">
        <f t="shared" si="43"/>
        <v>733533.54571961961</v>
      </c>
      <c r="F44" s="732">
        <f t="shared" si="43"/>
        <v>368823.94484363135</v>
      </c>
      <c r="G44" s="732">
        <f t="shared" si="43"/>
        <v>1106383.1439225757</v>
      </c>
      <c r="H44" s="732">
        <f t="shared" si="43"/>
        <v>1134580.3920927371</v>
      </c>
      <c r="I44" s="732">
        <f t="shared" si="43"/>
        <v>755560.44167674368</v>
      </c>
      <c r="J44" s="732">
        <f t="shared" si="43"/>
        <v>981338.15031923237</v>
      </c>
      <c r="K44" s="732">
        <f t="shared" si="43"/>
        <v>1187979.9450325232</v>
      </c>
      <c r="L44" s="733">
        <f t="shared" si="43"/>
        <v>0</v>
      </c>
      <c r="M44" s="733">
        <f t="shared" si="43"/>
        <v>0</v>
      </c>
      <c r="N44" s="732">
        <f t="shared" si="43"/>
        <v>818748.4782365741</v>
      </c>
      <c r="O44" s="732">
        <f t="shared" si="43"/>
        <v>1192756.4236684947</v>
      </c>
      <c r="P44" s="732">
        <f t="shared" si="43"/>
        <v>2078392.1077935835</v>
      </c>
      <c r="Q44" s="732">
        <f t="shared" si="43"/>
        <v>1246047.2499465947</v>
      </c>
      <c r="R44" s="732">
        <f t="shared" si="43"/>
        <v>1647986.7782807809</v>
      </c>
      <c r="S44" s="732">
        <f t="shared" si="43"/>
        <v>816904.3855057708</v>
      </c>
      <c r="T44" s="732">
        <f t="shared" si="44"/>
        <v>1597987.9143149571</v>
      </c>
      <c r="U44" s="732">
        <f t="shared" si="44"/>
        <v>1613777.1139469969</v>
      </c>
      <c r="V44" s="732">
        <f t="shared" si="44"/>
        <v>1691604.3300204105</v>
      </c>
      <c r="W44" s="732">
        <f t="shared" si="44"/>
        <v>1736852.9543969668</v>
      </c>
      <c r="X44" s="732">
        <f t="shared" si="44"/>
        <v>857027.13297799637</v>
      </c>
      <c r="Y44" s="732">
        <f t="shared" si="44"/>
        <v>2152822.1638543052</v>
      </c>
      <c r="Z44" s="732">
        <f t="shared" si="44"/>
        <v>1299833.9561915777</v>
      </c>
      <c r="AA44" s="732">
        <f t="shared" si="44"/>
        <v>2493930.541806052</v>
      </c>
      <c r="AB44" s="732">
        <f t="shared" si="44"/>
        <v>637823.73934581841</v>
      </c>
      <c r="AC44" s="732">
        <f t="shared" si="44"/>
        <v>507383.14139723434</v>
      </c>
      <c r="AD44" s="732">
        <f t="shared" si="44"/>
        <v>600323.8516557453</v>
      </c>
      <c r="AE44" s="732">
        <f t="shared" si="44"/>
        <v>1751913.5332238071</v>
      </c>
      <c r="AF44" s="732">
        <f t="shared" si="44"/>
        <v>1840925.8379734193</v>
      </c>
      <c r="AG44" s="732">
        <f t="shared" si="44"/>
        <v>1798007.4346386231</v>
      </c>
      <c r="AH44" s="732">
        <f t="shared" si="44"/>
        <v>1698685.9222290639</v>
      </c>
      <c r="AI44" s="732">
        <f t="shared" si="44"/>
        <v>2259730.8197438833</v>
      </c>
      <c r="AJ44" s="732">
        <f t="shared" si="44"/>
        <v>560921.74250597623</v>
      </c>
      <c r="AK44" s="732">
        <f t="shared" si="44"/>
        <v>884935.13633399305</v>
      </c>
      <c r="AL44" s="732">
        <f t="shared" si="44"/>
        <v>1331700.7357883547</v>
      </c>
      <c r="AM44" s="732">
        <f t="shared" si="44"/>
        <v>1331456.0300950704</v>
      </c>
      <c r="AN44" s="732">
        <f t="shared" si="44"/>
        <v>1194544.0441186351</v>
      </c>
      <c r="AO44" s="732">
        <f t="shared" si="44"/>
        <v>1992529.125668169</v>
      </c>
      <c r="AP44" s="732">
        <f t="shared" si="44"/>
        <v>987693.47088109993</v>
      </c>
      <c r="AQ44" s="732">
        <f t="shared" si="44"/>
        <v>1932077.0674264431</v>
      </c>
      <c r="AR44" s="732">
        <f t="shared" si="44"/>
        <v>1023897.4323440534</v>
      </c>
      <c r="AS44" s="732">
        <f t="shared" si="44"/>
        <v>1378967.2502340518</v>
      </c>
      <c r="AT44" s="732">
        <f t="shared" si="44"/>
        <v>434710.6428746024</v>
      </c>
      <c r="AU44" s="732">
        <f t="shared" si="44"/>
        <v>1388145.3059637868</v>
      </c>
      <c r="AV44" s="732">
        <f t="shared" si="44"/>
        <v>1534658.6552888337</v>
      </c>
      <c r="AW44" s="732">
        <f t="shared" si="44"/>
        <v>1667345.6334531822</v>
      </c>
      <c r="AX44" s="732">
        <f t="shared" si="44"/>
        <v>1571212.0566919239</v>
      </c>
      <c r="AY44" s="732">
        <f t="shared" si="44"/>
        <v>1535156.3477785164</v>
      </c>
      <c r="AZ44" s="732">
        <f t="shared" si="44"/>
        <v>1893348.2867754647</v>
      </c>
      <c r="BA44" s="732">
        <f t="shared" si="44"/>
        <v>962112.45056986308</v>
      </c>
      <c r="BB44" s="732">
        <f t="shared" si="44"/>
        <v>1223326.7182235268</v>
      </c>
      <c r="BC44" s="732">
        <f t="shared" si="44"/>
        <v>1628103.3237613642</v>
      </c>
      <c r="BD44" s="732">
        <f t="shared" si="44"/>
        <v>1743366.5369608216</v>
      </c>
      <c r="BE44" s="732">
        <f t="shared" si="44"/>
        <v>1658982.1702754162</v>
      </c>
      <c r="BF44" s="732">
        <f t="shared" si="44"/>
        <v>543466.67451087292</v>
      </c>
      <c r="BG44" s="732">
        <f t="shared" si="44"/>
        <v>2062917.5827613997</v>
      </c>
      <c r="BH44" s="732">
        <f t="shared" si="44"/>
        <v>2212818.4390061963</v>
      </c>
      <c r="BI44" s="732">
        <f t="shared" si="44"/>
        <v>2252188.6884965468</v>
      </c>
      <c r="BJ44" s="732">
        <f t="shared" si="44"/>
        <v>2401499.9808336208</v>
      </c>
      <c r="BK44" s="732">
        <f t="shared" si="44"/>
        <v>1722149.1327055229</v>
      </c>
      <c r="BL44" s="732">
        <f t="shared" si="44"/>
        <v>5218938.594088994</v>
      </c>
      <c r="BM44" s="732">
        <f t="shared" si="44"/>
        <v>5086044.4571003364</v>
      </c>
      <c r="BN44" s="732">
        <f t="shared" si="44"/>
        <v>3617728.1604034011</v>
      </c>
      <c r="BO44" s="732">
        <f t="shared" si="44"/>
        <v>1823782.4439040925</v>
      </c>
      <c r="BP44" s="732">
        <f t="shared" si="44"/>
        <v>1739922.3165645357</v>
      </c>
      <c r="BQ44" s="732">
        <f t="shared" si="44"/>
        <v>1609767.3719938118</v>
      </c>
      <c r="BR44" s="734"/>
      <c r="BS44" s="734"/>
      <c r="BT44" s="732">
        <f t="shared" si="44"/>
        <v>1152838.0270225999</v>
      </c>
      <c r="BU44" s="732">
        <f t="shared" si="40"/>
        <v>1827732.7162073839</v>
      </c>
      <c r="BV44" s="732">
        <f t="shared" si="40"/>
        <v>1662901.2699286477</v>
      </c>
      <c r="BW44" s="732">
        <f t="shared" si="40"/>
        <v>785097.87264483818</v>
      </c>
      <c r="BX44" s="734"/>
      <c r="BY44" s="732">
        <f t="shared" si="40"/>
        <v>1395682.8945741663</v>
      </c>
      <c r="BZ44" s="732">
        <f t="shared" si="40"/>
        <v>581673.71190780529</v>
      </c>
      <c r="CA44" s="732">
        <f t="shared" si="40"/>
        <v>1452525.0183321722</v>
      </c>
      <c r="CB44" s="732">
        <f t="shared" si="40"/>
        <v>1038629.8267344155</v>
      </c>
      <c r="CC44" s="732">
        <f t="shared" si="40"/>
        <v>1321437.3031972081</v>
      </c>
      <c r="CD44" s="732">
        <f t="shared" si="40"/>
        <v>1168870.4431918082</v>
      </c>
      <c r="CE44" s="732">
        <f t="shared" si="40"/>
        <v>1485453.5990160787</v>
      </c>
      <c r="CF44" s="734"/>
      <c r="CG44" s="732">
        <f t="shared" si="40"/>
        <v>1543322.0759902226</v>
      </c>
      <c r="CH44" s="732">
        <f t="shared" si="40"/>
        <v>1609793.0674956879</v>
      </c>
      <c r="CI44" s="732">
        <f t="shared" si="40"/>
        <v>3220026.0862365942</v>
      </c>
      <c r="CJ44" s="732">
        <f t="shared" si="40"/>
        <v>2392294.0180068817</v>
      </c>
      <c r="CK44" s="732">
        <f t="shared" si="40"/>
        <v>4123010.3237967831</v>
      </c>
      <c r="CL44" s="732">
        <f t="shared" si="40"/>
        <v>2061476.1227983295</v>
      </c>
      <c r="CM44" s="732">
        <f t="shared" si="40"/>
        <v>1051282.458362584</v>
      </c>
      <c r="CN44" s="732">
        <f t="shared" si="40"/>
        <v>1575984.8872300065</v>
      </c>
      <c r="CO44" s="732">
        <f t="shared" si="40"/>
        <v>2132470.1473165285</v>
      </c>
      <c r="CP44" s="732">
        <f t="shared" si="40"/>
        <v>1328609.3037196314</v>
      </c>
      <c r="CQ44" s="732">
        <f t="shared" si="40"/>
        <v>563542.48581324099</v>
      </c>
      <c r="CR44" s="732"/>
      <c r="CS44" s="732">
        <f t="shared" si="40"/>
        <v>6577481.1928047379</v>
      </c>
      <c r="CT44" s="732">
        <f t="shared" si="40"/>
        <v>2145239.2929905965</v>
      </c>
      <c r="CU44" s="732">
        <f t="shared" si="40"/>
        <v>3027694.2149505448</v>
      </c>
      <c r="CV44" s="732">
        <f t="shared" si="40"/>
        <v>2631676.9173604809</v>
      </c>
      <c r="CW44" s="732">
        <f t="shared" si="41"/>
        <v>1578980.1600000001</v>
      </c>
      <c r="CX44" s="732">
        <f t="shared" si="42"/>
        <v>1957960.9439999999</v>
      </c>
      <c r="CY44" s="732">
        <f t="shared" si="40"/>
        <v>2029009.3899145976</v>
      </c>
      <c r="CZ44" s="732">
        <f t="shared" si="42"/>
        <v>1620816.6961047826</v>
      </c>
      <c r="DA44" s="732">
        <f t="shared" si="42"/>
        <v>2660528.4384694933</v>
      </c>
      <c r="DB44" s="732">
        <f t="shared" si="42"/>
        <v>2619300.9307135474</v>
      </c>
      <c r="DC44" s="732">
        <f t="shared" si="45"/>
        <v>3513667.0113753877</v>
      </c>
      <c r="DD44" s="735"/>
    </row>
    <row r="45" spans="1:110">
      <c r="C45" s="52" t="s">
        <v>3174</v>
      </c>
      <c r="D45" s="732">
        <f t="shared" si="43"/>
        <v>1601159.1145718016</v>
      </c>
      <c r="E45" s="732">
        <f t="shared" si="43"/>
        <v>998369.80085065286</v>
      </c>
      <c r="F45" s="732">
        <f t="shared" si="43"/>
        <v>579233.24619178148</v>
      </c>
      <c r="G45" s="732">
        <f t="shared" si="43"/>
        <v>1713696.2092949366</v>
      </c>
      <c r="H45" s="732">
        <f t="shared" si="43"/>
        <v>1823993.2652299399</v>
      </c>
      <c r="I45" s="732">
        <f t="shared" si="43"/>
        <v>1214666.8201717825</v>
      </c>
      <c r="J45" s="732">
        <f t="shared" si="43"/>
        <v>1577635.3879991793</v>
      </c>
      <c r="K45" s="732">
        <f t="shared" si="43"/>
        <v>1909840.3551384867</v>
      </c>
      <c r="L45" s="733">
        <f t="shared" si="43"/>
        <v>0</v>
      </c>
      <c r="M45" s="733">
        <f t="shared" si="43"/>
        <v>0</v>
      </c>
      <c r="N45" s="732">
        <f t="shared" si="43"/>
        <v>984855.96505517885</v>
      </c>
      <c r="O45" s="732">
        <f t="shared" si="43"/>
        <v>1654901.5177640168</v>
      </c>
      <c r="P45" s="732">
        <f t="shared" si="43"/>
        <v>2495076.2575692018</v>
      </c>
      <c r="Q45" s="732">
        <f t="shared" si="43"/>
        <v>1893798.4049635602</v>
      </c>
      <c r="R45" s="732">
        <f t="shared" si="43"/>
        <v>2466875.2771607065</v>
      </c>
      <c r="S45" s="732">
        <f t="shared" si="43"/>
        <v>1222826.0923978109</v>
      </c>
      <c r="T45" s="732">
        <f t="shared" ref="T45:CE47" si="46">T$33*T12</f>
        <v>2392031.8603147995</v>
      </c>
      <c r="U45" s="732">
        <f t="shared" si="46"/>
        <v>2208287.5912637245</v>
      </c>
      <c r="V45" s="732">
        <f t="shared" si="46"/>
        <v>2351885.0290138526</v>
      </c>
      <c r="W45" s="732">
        <f t="shared" si="46"/>
        <v>2414795.462834633</v>
      </c>
      <c r="X45" s="732">
        <f t="shared" si="46"/>
        <v>1191548.902860336</v>
      </c>
      <c r="Y45" s="732">
        <f t="shared" si="46"/>
        <v>2993129.1422250359</v>
      </c>
      <c r="Z45" s="732">
        <f t="shared" si="46"/>
        <v>1856865.0851312664</v>
      </c>
      <c r="AA45" s="732">
        <f t="shared" si="46"/>
        <v>3354088.4735708283</v>
      </c>
      <c r="AB45" s="732">
        <f t="shared" si="46"/>
        <v>857809.47642607766</v>
      </c>
      <c r="AC45" s="732">
        <f t="shared" si="46"/>
        <v>682379.84888392605</v>
      </c>
      <c r="AD45" s="732">
        <f t="shared" si="46"/>
        <v>807375.85810630326</v>
      </c>
      <c r="AE45" s="732">
        <f t="shared" si="46"/>
        <v>2530551.0325687048</v>
      </c>
      <c r="AF45" s="732">
        <f t="shared" si="46"/>
        <v>2659124.8322590091</v>
      </c>
      <c r="AG45" s="732">
        <f t="shared" si="46"/>
        <v>2562382.2483458123</v>
      </c>
      <c r="AH45" s="732">
        <f t="shared" si="46"/>
        <v>2420836.8490475807</v>
      </c>
      <c r="AI45" s="732">
        <f t="shared" si="46"/>
        <v>3023647.1711264453</v>
      </c>
      <c r="AJ45" s="732">
        <f t="shared" si="46"/>
        <v>872208.14368648105</v>
      </c>
      <c r="AK45" s="732">
        <f t="shared" si="46"/>
        <v>1261067.9626171398</v>
      </c>
      <c r="AL45" s="732">
        <f t="shared" si="46"/>
        <v>1963349.6013851012</v>
      </c>
      <c r="AM45" s="732">
        <f t="shared" si="46"/>
        <v>1812326.0161559442</v>
      </c>
      <c r="AN45" s="732">
        <f t="shared" si="46"/>
        <v>1625966.7609494813</v>
      </c>
      <c r="AO45" s="732">
        <f t="shared" si="46"/>
        <v>2839971.9511205279</v>
      </c>
      <c r="AP45" s="732">
        <f t="shared" si="46"/>
        <v>1407769.5113573691</v>
      </c>
      <c r="AQ45" s="732">
        <f t="shared" si="46"/>
        <v>2753809.0200083246</v>
      </c>
      <c r="AR45" s="732">
        <f t="shared" si="46"/>
        <v>1682939.8344108933</v>
      </c>
      <c r="AS45" s="732">
        <f t="shared" si="46"/>
        <v>1965137.5625212719</v>
      </c>
      <c r="AT45" s="732">
        <f t="shared" si="46"/>
        <v>619497.10045373219</v>
      </c>
      <c r="AU45" s="732">
        <f t="shared" si="46"/>
        <v>1978217.0189495187</v>
      </c>
      <c r="AV45" s="732">
        <f t="shared" si="46"/>
        <v>2145614.9877921478</v>
      </c>
      <c r="AW45" s="732">
        <f t="shared" si="46"/>
        <v>2418025.0846729828</v>
      </c>
      <c r="AX45" s="732">
        <f t="shared" si="46"/>
        <v>2278609.8396127061</v>
      </c>
      <c r="AY45" s="732">
        <f t="shared" si="46"/>
        <v>2226320.9758947953</v>
      </c>
      <c r="AZ45" s="732">
        <f t="shared" si="46"/>
        <v>2425823.1179946917</v>
      </c>
      <c r="BA45" s="732">
        <f t="shared" si="46"/>
        <v>1232691.6505561462</v>
      </c>
      <c r="BB45" s="732">
        <f t="shared" si="46"/>
        <v>1724433.3585752931</v>
      </c>
      <c r="BC45" s="732">
        <f t="shared" si="46"/>
        <v>2327360.1067448459</v>
      </c>
      <c r="BD45" s="732">
        <f t="shared" si="46"/>
        <v>2685209.0730908439</v>
      </c>
      <c r="BE45" s="732">
        <f t="shared" si="46"/>
        <v>2289839.6453921283</v>
      </c>
      <c r="BF45" s="732">
        <f t="shared" si="46"/>
        <v>750129.54300637171</v>
      </c>
      <c r="BG45" s="732">
        <f t="shared" si="46"/>
        <v>2713220.5880684303</v>
      </c>
      <c r="BH45" s="732">
        <f t="shared" si="46"/>
        <v>3170811.4113252801</v>
      </c>
      <c r="BI45" s="732">
        <f t="shared" si="46"/>
        <v>3227226.1781901075</v>
      </c>
      <c r="BJ45" s="732">
        <f t="shared" si="46"/>
        <v>3219047.2266607927</v>
      </c>
      <c r="BK45" s="732">
        <f t="shared" si="46"/>
        <v>2308423.6659488343</v>
      </c>
      <c r="BL45" s="732">
        <f t="shared" si="46"/>
        <v>7291318.7406284278</v>
      </c>
      <c r="BM45" s="732">
        <f t="shared" si="46"/>
        <v>7097571.777782904</v>
      </c>
      <c r="BN45" s="732">
        <f t="shared" si="46"/>
        <v>4894524.7394071985</v>
      </c>
      <c r="BO45" s="732">
        <f t="shared" si="46"/>
        <v>2412418.2917347266</v>
      </c>
      <c r="BP45" s="732">
        <f t="shared" si="46"/>
        <v>2531865.1030222657</v>
      </c>
      <c r="BQ45" s="732">
        <f t="shared" si="46"/>
        <v>2342468.852967219</v>
      </c>
      <c r="BR45" s="734"/>
      <c r="BS45" s="734"/>
      <c r="BT45" s="732">
        <f t="shared" si="46"/>
        <v>1674585.0427588688</v>
      </c>
      <c r="BU45" s="732">
        <f t="shared" si="46"/>
        <v>2763644.2197287353</v>
      </c>
      <c r="BV45" s="732">
        <f t="shared" si="46"/>
        <v>2414334.7144675218</v>
      </c>
      <c r="BW45" s="732">
        <f t="shared" si="46"/>
        <v>1139868.6635571374</v>
      </c>
      <c r="BX45" s="734"/>
      <c r="BY45" s="732">
        <f t="shared" si="46"/>
        <v>1954290.0301154808</v>
      </c>
      <c r="BZ45" s="732">
        <f t="shared" si="46"/>
        <v>674019.58537465695</v>
      </c>
      <c r="CA45" s="732">
        <f t="shared" si="46"/>
        <v>1946102.3962797082</v>
      </c>
      <c r="CB45" s="732">
        <f t="shared" si="46"/>
        <v>1423967.3327128524</v>
      </c>
      <c r="CC45" s="732">
        <f t="shared" si="46"/>
        <v>1709679.8961051998</v>
      </c>
      <c r="CD45" s="732">
        <f t="shared" si="46"/>
        <v>1606914.3002116485</v>
      </c>
      <c r="CE45" s="732">
        <f t="shared" si="46"/>
        <v>1946785.743459099</v>
      </c>
      <c r="CF45" s="734"/>
      <c r="CG45" s="732">
        <f t="shared" si="40"/>
        <v>2058474.2005993549</v>
      </c>
      <c r="CH45" s="732">
        <f t="shared" si="40"/>
        <v>2171292.8445466571</v>
      </c>
      <c r="CI45" s="732">
        <f t="shared" si="40"/>
        <v>4248805.7996738357</v>
      </c>
      <c r="CJ45" s="732">
        <f t="shared" si="40"/>
        <v>3191410.3436848265</v>
      </c>
      <c r="CK45" s="732">
        <f t="shared" si="40"/>
        <v>5646190.4261350483</v>
      </c>
      <c r="CL45" s="732">
        <f t="shared" si="40"/>
        <v>2958546.5808023359</v>
      </c>
      <c r="CM45" s="732">
        <f t="shared" si="40"/>
        <v>1508757.7722821718</v>
      </c>
      <c r="CN45" s="732">
        <f t="shared" ref="CG45:CY47" si="47">CN$33*CN12</f>
        <v>2019206.1860756788</v>
      </c>
      <c r="CO45" s="732">
        <f t="shared" si="47"/>
        <v>2732194.2919461681</v>
      </c>
      <c r="CP45" s="732">
        <f t="shared" si="47"/>
        <v>1044250.6199630264</v>
      </c>
      <c r="CQ45" s="732">
        <f t="shared" si="47"/>
        <v>444948.42744105507</v>
      </c>
      <c r="CR45" s="732"/>
      <c r="CS45" s="732">
        <f t="shared" si="47"/>
        <v>7797447.5188462976</v>
      </c>
      <c r="CT45" s="732">
        <f t="shared" si="47"/>
        <v>2881491.8074264564</v>
      </c>
      <c r="CU45" s="732">
        <f t="shared" si="47"/>
        <v>4174718.5891366717</v>
      </c>
      <c r="CV45" s="732">
        <f t="shared" si="47"/>
        <v>3544434.5511925435</v>
      </c>
      <c r="CW45" s="732">
        <f t="shared" si="41"/>
        <v>1065082.44</v>
      </c>
      <c r="CX45" s="732">
        <f t="shared" si="47"/>
        <v>1485113.8320000002</v>
      </c>
      <c r="CY45" s="732">
        <f t="shared" si="47"/>
        <v>2848368.6668490446</v>
      </c>
      <c r="CZ45" s="732">
        <f t="shared" si="42"/>
        <v>2101645.0425823503</v>
      </c>
      <c r="DA45" s="732">
        <f t="shared" si="42"/>
        <v>3631832.4715615301</v>
      </c>
      <c r="DB45" s="732">
        <f t="shared" si="42"/>
        <v>3519685.625646329</v>
      </c>
      <c r="DC45" s="732">
        <f t="shared" si="42"/>
        <v>4796434.3329886245</v>
      </c>
      <c r="DD45" s="735"/>
    </row>
    <row r="46" spans="1:110">
      <c r="C46" s="52" t="s">
        <v>3175</v>
      </c>
      <c r="D46" s="732">
        <f t="shared" si="43"/>
        <v>1528826.8184766301</v>
      </c>
      <c r="E46" s="732">
        <f t="shared" si="43"/>
        <v>953268.48681484011</v>
      </c>
      <c r="F46" s="732">
        <f t="shared" si="43"/>
        <v>614083.90009192494</v>
      </c>
      <c r="G46" s="732">
        <f t="shared" si="43"/>
        <v>1822840.8299721216</v>
      </c>
      <c r="H46" s="732">
        <f t="shared" si="43"/>
        <v>2042361.0946962968</v>
      </c>
      <c r="I46" s="732">
        <f t="shared" si="43"/>
        <v>1360086.3028540697</v>
      </c>
      <c r="J46" s="732">
        <f t="shared" si="43"/>
        <v>1766509.3394187668</v>
      </c>
      <c r="K46" s="732">
        <f t="shared" si="43"/>
        <v>2138485.767886912</v>
      </c>
      <c r="L46" s="733">
        <f t="shared" si="43"/>
        <v>0</v>
      </c>
      <c r="M46" s="733">
        <f t="shared" si="43"/>
        <v>0</v>
      </c>
      <c r="N46" s="732">
        <f t="shared" si="43"/>
        <v>1264324.8124166208</v>
      </c>
      <c r="O46" s="732">
        <f t="shared" si="43"/>
        <v>1910204.0290932632</v>
      </c>
      <c r="P46" s="732">
        <f t="shared" si="43"/>
        <v>2926195.3032459649</v>
      </c>
      <c r="Q46" s="732">
        <f t="shared" si="43"/>
        <v>2010115.9404798816</v>
      </c>
      <c r="R46" s="732">
        <f t="shared" si="43"/>
        <v>2526438.8119499986</v>
      </c>
      <c r="S46" s="732">
        <f t="shared" si="43"/>
        <v>1252351.6404342817</v>
      </c>
      <c r="T46" s="732">
        <f t="shared" si="46"/>
        <v>2449788.275585596</v>
      </c>
      <c r="U46" s="732">
        <f t="shared" si="46"/>
        <v>2313114.335859051</v>
      </c>
      <c r="V46" s="732">
        <f t="shared" si="46"/>
        <v>2436785.7795282081</v>
      </c>
      <c r="W46" s="732">
        <f t="shared" si="46"/>
        <v>2501967.2185132196</v>
      </c>
      <c r="X46" s="732">
        <f t="shared" si="46"/>
        <v>1234562.6534813931</v>
      </c>
      <c r="Y46" s="732">
        <f t="shared" si="46"/>
        <v>3101178.1783923553</v>
      </c>
      <c r="Z46" s="732">
        <f t="shared" si="46"/>
        <v>1921368.4344412552</v>
      </c>
      <c r="AA46" s="732">
        <f t="shared" si="46"/>
        <v>3695726.2003871473</v>
      </c>
      <c r="AB46" s="732">
        <f t="shared" si="46"/>
        <v>945183.4624961901</v>
      </c>
      <c r="AC46" s="732">
        <f t="shared" si="46"/>
        <v>751885.0817467242</v>
      </c>
      <c r="AD46" s="732">
        <f t="shared" si="46"/>
        <v>889612.82204546803</v>
      </c>
      <c r="AE46" s="732">
        <f t="shared" si="46"/>
        <v>2579227.3741649482</v>
      </c>
      <c r="AF46" s="732">
        <f t="shared" si="46"/>
        <v>2710274.3514807988</v>
      </c>
      <c r="AG46" s="732">
        <f t="shared" si="46"/>
        <v>2619183.7950960202</v>
      </c>
      <c r="AH46" s="732">
        <f t="shared" si="46"/>
        <v>2474500.6915693483</v>
      </c>
      <c r="AI46" s="732">
        <f t="shared" si="46"/>
        <v>3032834.9827170055</v>
      </c>
      <c r="AJ46" s="732">
        <f t="shared" si="46"/>
        <v>1018847.3294762833</v>
      </c>
      <c r="AK46" s="732">
        <f t="shared" si="46"/>
        <v>1473484.788271988</v>
      </c>
      <c r="AL46" s="732">
        <f t="shared" si="46"/>
        <v>1979496.1807058142</v>
      </c>
      <c r="AM46" s="732">
        <f t="shared" si="46"/>
        <v>2045032.3079234182</v>
      </c>
      <c r="AN46" s="732">
        <f t="shared" si="46"/>
        <v>1834744.1509470472</v>
      </c>
      <c r="AO46" s="732">
        <f t="shared" si="46"/>
        <v>2939152.2002968676</v>
      </c>
      <c r="AP46" s="732">
        <f t="shared" si="46"/>
        <v>1456933.0007588007</v>
      </c>
      <c r="AQ46" s="732">
        <f t="shared" si="46"/>
        <v>2849980.203910586</v>
      </c>
      <c r="AR46" s="732">
        <f t="shared" si="46"/>
        <v>1690977.1487908815</v>
      </c>
      <c r="AS46" s="732">
        <f t="shared" si="46"/>
        <v>1986921.3191149912</v>
      </c>
      <c r="AT46" s="732">
        <f t="shared" si="46"/>
        <v>626364.29097727244</v>
      </c>
      <c r="AU46" s="732">
        <f t="shared" si="46"/>
        <v>2000145.7626935756</v>
      </c>
      <c r="AV46" s="732">
        <f t="shared" si="46"/>
        <v>2232686.2327261223</v>
      </c>
      <c r="AW46" s="732">
        <f t="shared" si="46"/>
        <v>2751105.6678458066</v>
      </c>
      <c r="AX46" s="732">
        <f t="shared" si="46"/>
        <v>2592486.1095539578</v>
      </c>
      <c r="AY46" s="732">
        <f t="shared" si="46"/>
        <v>2532994.5061577028</v>
      </c>
      <c r="AZ46" s="732">
        <f t="shared" si="46"/>
        <v>2978249.7561960393</v>
      </c>
      <c r="BA46" s="732">
        <f t="shared" si="46"/>
        <v>1513409.4404906936</v>
      </c>
      <c r="BB46" s="732">
        <f t="shared" si="46"/>
        <v>1813072.1627358173</v>
      </c>
      <c r="BC46" s="732">
        <f t="shared" si="46"/>
        <v>2409844.1384750684</v>
      </c>
      <c r="BD46" s="732">
        <f t="shared" si="46"/>
        <v>2944347.8541356227</v>
      </c>
      <c r="BE46" s="732">
        <f t="shared" si="46"/>
        <v>2530109.5884223143</v>
      </c>
      <c r="BF46" s="732">
        <f t="shared" si="46"/>
        <v>828839.67579933233</v>
      </c>
      <c r="BG46" s="732">
        <f t="shared" si="46"/>
        <v>2718047.7665509102</v>
      </c>
      <c r="BH46" s="732">
        <f t="shared" si="46"/>
        <v>3249698.0193643286</v>
      </c>
      <c r="BI46" s="732">
        <f t="shared" si="46"/>
        <v>3307516.3290527323</v>
      </c>
      <c r="BJ46" s="732">
        <f t="shared" si="46"/>
        <v>3298370.7401671568</v>
      </c>
      <c r="BK46" s="732">
        <f t="shared" si="46"/>
        <v>2365307.6638994487</v>
      </c>
      <c r="BL46" s="732">
        <f t="shared" si="46"/>
        <v>7469685.5429002326</v>
      </c>
      <c r="BM46" s="732">
        <f t="shared" si="46"/>
        <v>7284316.7828651601</v>
      </c>
      <c r="BN46" s="732">
        <f t="shared" si="46"/>
        <v>4962774.1786543131</v>
      </c>
      <c r="BO46" s="732">
        <f t="shared" si="46"/>
        <v>2575094.2812658115</v>
      </c>
      <c r="BP46" s="732">
        <f t="shared" si="46"/>
        <v>2561370.844577726</v>
      </c>
      <c r="BQ46" s="732">
        <f t="shared" si="46"/>
        <v>2369767.4165813951</v>
      </c>
      <c r="BR46" s="734"/>
      <c r="BS46" s="734"/>
      <c r="BT46" s="732">
        <f>BT$33*BT13</f>
        <v>1806957.3669354783</v>
      </c>
      <c r="BU46" s="732">
        <f t="shared" si="46"/>
        <v>2910301.4590953989</v>
      </c>
      <c r="BV46" s="732">
        <f t="shared" si="46"/>
        <v>2472651.165061878</v>
      </c>
      <c r="BW46" s="732">
        <f t="shared" si="46"/>
        <v>1167401.3392064809</v>
      </c>
      <c r="BX46" s="734"/>
      <c r="BY46" s="732">
        <f t="shared" si="46"/>
        <v>1995687.9360862295</v>
      </c>
      <c r="BZ46" s="732">
        <f t="shared" si="46"/>
        <v>849426.14087234507</v>
      </c>
      <c r="CA46" s="732">
        <f t="shared" si="46"/>
        <v>1952722.6500197444</v>
      </c>
      <c r="CB46" s="732">
        <f t="shared" si="46"/>
        <v>1488556.468364181</v>
      </c>
      <c r="CC46" s="732">
        <f t="shared" si="46"/>
        <v>1726522.7995499042</v>
      </c>
      <c r="CD46" s="732">
        <f t="shared" si="46"/>
        <v>1577234.2644973414</v>
      </c>
      <c r="CE46" s="732">
        <f t="shared" si="46"/>
        <v>1905253.6045067331</v>
      </c>
      <c r="CF46" s="734"/>
      <c r="CG46" s="732">
        <f t="shared" si="47"/>
        <v>2017472.7352037891</v>
      </c>
      <c r="CH46" s="732">
        <f t="shared" si="47"/>
        <v>2194761.0001436649</v>
      </c>
      <c r="CI46" s="732">
        <f t="shared" si="47"/>
        <v>4285859.289810515</v>
      </c>
      <c r="CJ46" s="732">
        <f t="shared" si="47"/>
        <v>3219558.1199500444</v>
      </c>
      <c r="CK46" s="732">
        <f t="shared" si="47"/>
        <v>5797066.4075424699</v>
      </c>
      <c r="CL46" s="732">
        <f t="shared" si="47"/>
        <v>3004884.8461093982</v>
      </c>
      <c r="CM46" s="732">
        <f t="shared" si="47"/>
        <v>1532388.7059270102</v>
      </c>
      <c r="CN46" s="732">
        <f t="shared" si="47"/>
        <v>2479034.9662264967</v>
      </c>
      <c r="CO46" s="732">
        <f t="shared" si="47"/>
        <v>3354390.0721811373</v>
      </c>
      <c r="CP46" s="732">
        <f t="shared" si="47"/>
        <v>747336.60280840681</v>
      </c>
      <c r="CQ46" s="732">
        <f t="shared" si="47"/>
        <v>271422.46444651665</v>
      </c>
      <c r="CR46" s="732"/>
      <c r="CS46" s="732">
        <f t="shared" si="47"/>
        <v>9789619.6077290699</v>
      </c>
      <c r="CT46" s="732">
        <f t="shared" si="47"/>
        <v>2830067.2611227003</v>
      </c>
      <c r="CU46" s="732">
        <f t="shared" si="47"/>
        <v>4255489.6511836639</v>
      </c>
      <c r="CV46" s="732">
        <f t="shared" si="47"/>
        <v>4049901.3068744815</v>
      </c>
      <c r="CW46" s="732">
        <f t="shared" si="47"/>
        <v>586980.24</v>
      </c>
      <c r="CX46" s="732">
        <f t="shared" si="47"/>
        <v>985136.14799999993</v>
      </c>
      <c r="CY46" s="732">
        <f t="shared" si="47"/>
        <v>3337231.3112656451</v>
      </c>
      <c r="CZ46" s="732">
        <f t="shared" si="42"/>
        <v>2222381.7783132298</v>
      </c>
      <c r="DA46" s="732">
        <f t="shared" si="42"/>
        <v>4223061.0134436404</v>
      </c>
      <c r="DB46" s="732">
        <f t="shared" si="42"/>
        <v>4051731.1271975185</v>
      </c>
      <c r="DC46" s="732">
        <f t="shared" si="42"/>
        <v>5577249.2244053781</v>
      </c>
      <c r="DD46" s="732">
        <f t="shared" si="42"/>
        <v>5066168.5625646329</v>
      </c>
    </row>
    <row r="47" spans="1:110">
      <c r="C47" s="52" t="s">
        <v>3176</v>
      </c>
      <c r="D47" s="732">
        <f t="shared" si="43"/>
        <v>1615825.7631033366</v>
      </c>
      <c r="E47" s="732">
        <f t="shared" si="43"/>
        <v>1007514.8875820806</v>
      </c>
      <c r="F47" s="732">
        <f t="shared" si="43"/>
        <v>749515.48206050915</v>
      </c>
      <c r="G47" s="732">
        <f t="shared" si="43"/>
        <v>2211662.7319599288</v>
      </c>
      <c r="H47" s="732">
        <f t="shared" si="43"/>
        <v>2263211.2819183869</v>
      </c>
      <c r="I47" s="732">
        <f t="shared" si="43"/>
        <v>1507158.8824304978</v>
      </c>
      <c r="J47" s="732">
        <f t="shared" si="43"/>
        <v>1957530.3686350617</v>
      </c>
      <c r="K47" s="732">
        <f t="shared" si="43"/>
        <v>2369730.3717114036</v>
      </c>
      <c r="L47" s="733">
        <f t="shared" si="43"/>
        <v>0</v>
      </c>
      <c r="M47" s="733">
        <f t="shared" si="43"/>
        <v>0</v>
      </c>
      <c r="N47" s="732">
        <f t="shared" si="43"/>
        <v>1355489.7589159219</v>
      </c>
      <c r="O47" s="732">
        <f t="shared" si="43"/>
        <v>2215295.5499397316</v>
      </c>
      <c r="P47" s="732">
        <f t="shared" si="43"/>
        <v>3035962.6311977156</v>
      </c>
      <c r="Q47" s="732">
        <f t="shared" si="43"/>
        <v>2416138.8329277909</v>
      </c>
      <c r="R47" s="732">
        <f t="shared" si="43"/>
        <v>3048425.7527206037</v>
      </c>
      <c r="S47" s="732">
        <f t="shared" si="43"/>
        <v>1511099.724285472</v>
      </c>
      <c r="T47" s="732">
        <f t="shared" si="46"/>
        <v>2955938.4667005073</v>
      </c>
      <c r="U47" s="732">
        <f t="shared" si="46"/>
        <v>2894694.9073343421</v>
      </c>
      <c r="V47" s="732">
        <f t="shared" si="46"/>
        <v>2886185.1975725042</v>
      </c>
      <c r="W47" s="732">
        <f t="shared" si="46"/>
        <v>2963387.595064925</v>
      </c>
      <c r="X47" s="732">
        <f t="shared" si="46"/>
        <v>1462244.4393301182</v>
      </c>
      <c r="Y47" s="732">
        <f t="shared" si="46"/>
        <v>3673106.8560502762</v>
      </c>
      <c r="Z47" s="732">
        <f t="shared" si="46"/>
        <v>2317375.7408589483</v>
      </c>
      <c r="AA47" s="732">
        <f t="shared" si="46"/>
        <v>4591318.8272373369</v>
      </c>
      <c r="AB47" s="732">
        <f t="shared" si="46"/>
        <v>1174231.6370995049</v>
      </c>
      <c r="AC47" s="732">
        <f t="shared" si="46"/>
        <v>934090.87810157263</v>
      </c>
      <c r="AD47" s="732">
        <f t="shared" si="46"/>
        <v>1105194.4536316632</v>
      </c>
      <c r="AE47" s="732">
        <f t="shared" si="46"/>
        <v>3124556.4884503437</v>
      </c>
      <c r="AF47" s="732">
        <f t="shared" si="46"/>
        <v>3283310.8841912835</v>
      </c>
      <c r="AG47" s="732">
        <f t="shared" si="46"/>
        <v>3149544.3638357655</v>
      </c>
      <c r="AH47" s="732">
        <f t="shared" si="46"/>
        <v>2975564.2658724645</v>
      </c>
      <c r="AI47" s="732">
        <f t="shared" si="46"/>
        <v>3221796.6892906376</v>
      </c>
      <c r="AJ47" s="732">
        <f t="shared" si="46"/>
        <v>1211590.3643557157</v>
      </c>
      <c r="AK47" s="732">
        <f t="shared" si="46"/>
        <v>1753829.3173921665</v>
      </c>
      <c r="AL47" s="732">
        <f t="shared" si="46"/>
        <v>2501207.0678124167</v>
      </c>
      <c r="AM47" s="732">
        <f t="shared" si="46"/>
        <v>2490396.4312865315</v>
      </c>
      <c r="AN47" s="732">
        <f t="shared" si="46"/>
        <v>2234312.0292716036</v>
      </c>
      <c r="AO47" s="732">
        <f t="shared" si="46"/>
        <v>3593193.653396145</v>
      </c>
      <c r="AP47" s="732">
        <f t="shared" si="46"/>
        <v>1781140.2931842594</v>
      </c>
      <c r="AQ47" s="732">
        <f t="shared" si="46"/>
        <v>3484178.4579790831</v>
      </c>
      <c r="AR47" s="732">
        <f t="shared" si="46"/>
        <v>1666839.0295759721</v>
      </c>
      <c r="AS47" s="732">
        <f t="shared" si="46"/>
        <v>2497688.8678675704</v>
      </c>
      <c r="AT47" s="732">
        <f t="shared" si="46"/>
        <v>787380.50759882922</v>
      </c>
      <c r="AU47" s="732">
        <f t="shared" si="46"/>
        <v>2514312.8505045301</v>
      </c>
      <c r="AV47" s="732">
        <f t="shared" si="46"/>
        <v>2804483.852904717</v>
      </c>
      <c r="AW47" s="732">
        <f t="shared" si="46"/>
        <v>3357419.1834497382</v>
      </c>
      <c r="AX47" s="732">
        <f t="shared" si="46"/>
        <v>3163841.6142186802</v>
      </c>
      <c r="AY47" s="732">
        <f t="shared" si="46"/>
        <v>3091238.7139261696</v>
      </c>
      <c r="AZ47" s="732">
        <f t="shared" si="46"/>
        <v>3136195.1507767467</v>
      </c>
      <c r="BA47" s="732">
        <f t="shared" si="46"/>
        <v>1593670.0199612945</v>
      </c>
      <c r="BB47" s="732">
        <f t="shared" si="46"/>
        <v>2250289.713265419</v>
      </c>
      <c r="BC47" s="732">
        <f t="shared" si="46"/>
        <v>2949386.0883404701</v>
      </c>
      <c r="BD47" s="732">
        <f t="shared" si="46"/>
        <v>3617063.3195426897</v>
      </c>
      <c r="BE47" s="732">
        <f t="shared" si="46"/>
        <v>3032263.9274908211</v>
      </c>
      <c r="BF47" s="732">
        <f t="shared" si="46"/>
        <v>993340.62923601712</v>
      </c>
      <c r="BG47" s="732">
        <f t="shared" si="46"/>
        <v>3142329.8254480627</v>
      </c>
      <c r="BH47" s="732">
        <f t="shared" si="46"/>
        <v>3786765.3315655873</v>
      </c>
      <c r="BI47" s="732">
        <f t="shared" si="46"/>
        <v>3854139.0904050618</v>
      </c>
      <c r="BJ47" s="732">
        <f t="shared" si="46"/>
        <v>3849219.4067778024</v>
      </c>
      <c r="BK47" s="732">
        <f t="shared" si="46"/>
        <v>2760328.9260383802</v>
      </c>
      <c r="BL47" s="732">
        <f t="shared" si="46"/>
        <v>8617655.6871106755</v>
      </c>
      <c r="BM47" s="732">
        <f t="shared" si="46"/>
        <v>8555512.4861447196</v>
      </c>
      <c r="BN47" s="732">
        <f t="shared" si="46"/>
        <v>5830442.7787849996</v>
      </c>
      <c r="BO47" s="732">
        <f t="shared" si="46"/>
        <v>2994684.9656900591</v>
      </c>
      <c r="BP47" s="732">
        <f t="shared" si="46"/>
        <v>3180927.4643664812</v>
      </c>
      <c r="BQ47" s="732">
        <f t="shared" si="46"/>
        <v>2942978.083600115</v>
      </c>
      <c r="BR47" s="734"/>
      <c r="BS47" s="734"/>
      <c r="BT47" s="732">
        <f>BT$33*BT14</f>
        <v>2065671.1096432358</v>
      </c>
      <c r="BU47" s="732">
        <f t="shared" si="46"/>
        <v>3389056.9256035555</v>
      </c>
      <c r="BV47" s="732">
        <f t="shared" si="46"/>
        <v>2901596.2296920982</v>
      </c>
      <c r="BW47" s="732">
        <f t="shared" si="46"/>
        <v>1369917.1853439601</v>
      </c>
      <c r="BX47" s="734"/>
      <c r="BY47" s="732">
        <f t="shared" si="46"/>
        <v>2388131.7955534454</v>
      </c>
      <c r="BZ47" s="732">
        <f t="shared" si="46"/>
        <v>855813.45357075322</v>
      </c>
      <c r="CA47" s="732">
        <f t="shared" si="46"/>
        <v>2400088.2439227202</v>
      </c>
      <c r="CB47" s="732">
        <f t="shared" si="46"/>
        <v>1846176.0564781921</v>
      </c>
      <c r="CC47" s="732">
        <f t="shared" si="46"/>
        <v>2096030.9881834493</v>
      </c>
      <c r="CD47" s="732">
        <f t="shared" si="46"/>
        <v>2002404.5244554577</v>
      </c>
      <c r="CE47" s="732">
        <f t="shared" si="46"/>
        <v>2350481.0864777369</v>
      </c>
      <c r="CF47" s="734"/>
      <c r="CG47" s="732">
        <f t="shared" si="47"/>
        <v>2521635.4304717742</v>
      </c>
      <c r="CH47" s="732">
        <f t="shared" si="47"/>
        <v>2601172.548729653</v>
      </c>
      <c r="CI47" s="732">
        <f t="shared" si="47"/>
        <v>4993317.8680788558</v>
      </c>
      <c r="CJ47" s="732">
        <f t="shared" si="47"/>
        <v>3669212.9459937117</v>
      </c>
      <c r="CK47" s="732">
        <f t="shared" si="47"/>
        <v>6723697.9530538982</v>
      </c>
      <c r="CL47" s="732">
        <f t="shared" si="47"/>
        <v>3496236.7644320652</v>
      </c>
      <c r="CM47" s="732">
        <f t="shared" si="47"/>
        <v>1782961.4129803618</v>
      </c>
      <c r="CN47" s="732">
        <f t="shared" si="47"/>
        <v>2610505.523759631</v>
      </c>
      <c r="CO47" s="732">
        <f t="shared" si="47"/>
        <v>3532283.3003853951</v>
      </c>
      <c r="CP47" s="732">
        <f t="shared" si="47"/>
        <v>725757.12353056867</v>
      </c>
      <c r="CQ47" s="732">
        <f t="shared" si="47"/>
        <v>236795.74599706943</v>
      </c>
      <c r="CR47" s="732"/>
      <c r="CS47" s="732">
        <f t="shared" si="47"/>
        <v>10469328.756255496</v>
      </c>
      <c r="CT47" s="732">
        <f t="shared" si="47"/>
        <v>3288017.3459559386</v>
      </c>
      <c r="CU47" s="732">
        <f t="shared" si="47"/>
        <v>5012247.9859424839</v>
      </c>
      <c r="CV47" s="732">
        <f t="shared" si="47"/>
        <v>4658324.1813866114</v>
      </c>
      <c r="CW47" s="732">
        <f t="shared" si="47"/>
        <v>461861.63999999996</v>
      </c>
      <c r="CX47" s="732">
        <f t="shared" si="47"/>
        <v>843783.58799999999</v>
      </c>
      <c r="CY47" s="732">
        <f t="shared" si="47"/>
        <v>3616852.5121479984</v>
      </c>
      <c r="CZ47" s="732">
        <f t="shared" si="42"/>
        <v>2506657.5199235156</v>
      </c>
      <c r="DA47" s="732">
        <f t="shared" si="42"/>
        <v>5067673.216132368</v>
      </c>
      <c r="DB47" s="732">
        <f t="shared" si="42"/>
        <v>4870262.6680455012</v>
      </c>
      <c r="DC47" s="732">
        <f t="shared" si="42"/>
        <v>6692699.0692864526</v>
      </c>
      <c r="DD47" s="732">
        <f t="shared" si="42"/>
        <v>6079402.2750775591</v>
      </c>
    </row>
    <row r="48" spans="1:110">
      <c r="C48" s="424" t="s">
        <v>504</v>
      </c>
      <c r="D48" s="736">
        <f>SUM(D36:D47)-D33</f>
        <v>0</v>
      </c>
      <c r="E48" s="736">
        <f t="shared" ref="E48:BP48" si="48">SUM(E36:E47)-E33</f>
        <v>0</v>
      </c>
      <c r="F48" s="736">
        <f t="shared" si="48"/>
        <v>0</v>
      </c>
      <c r="G48" s="736">
        <f t="shared" si="48"/>
        <v>0</v>
      </c>
      <c r="H48" s="736">
        <f t="shared" si="48"/>
        <v>0</v>
      </c>
      <c r="I48" s="736">
        <f t="shared" si="48"/>
        <v>0</v>
      </c>
      <c r="J48" s="736">
        <f t="shared" si="48"/>
        <v>0</v>
      </c>
      <c r="K48" s="736">
        <f t="shared" si="48"/>
        <v>0</v>
      </c>
      <c r="L48" s="736">
        <f t="shared" si="48"/>
        <v>0</v>
      </c>
      <c r="M48" s="736">
        <f t="shared" si="48"/>
        <v>0</v>
      </c>
      <c r="N48" s="736">
        <f t="shared" si="48"/>
        <v>0</v>
      </c>
      <c r="O48" s="736">
        <f t="shared" si="48"/>
        <v>0</v>
      </c>
      <c r="P48" s="736">
        <f t="shared" si="48"/>
        <v>0</v>
      </c>
      <c r="Q48" s="736">
        <f t="shared" si="48"/>
        <v>0</v>
      </c>
      <c r="R48" s="736">
        <f t="shared" si="48"/>
        <v>0</v>
      </c>
      <c r="S48" s="736">
        <f t="shared" si="48"/>
        <v>0</v>
      </c>
      <c r="T48" s="736">
        <f t="shared" si="48"/>
        <v>0</v>
      </c>
      <c r="U48" s="736">
        <f t="shared" si="48"/>
        <v>0</v>
      </c>
      <c r="V48" s="736">
        <f t="shared" si="48"/>
        <v>0</v>
      </c>
      <c r="W48" s="736">
        <f t="shared" si="48"/>
        <v>0</v>
      </c>
      <c r="X48" s="736">
        <f t="shared" si="48"/>
        <v>0</v>
      </c>
      <c r="Y48" s="736">
        <f t="shared" si="48"/>
        <v>0</v>
      </c>
      <c r="Z48" s="736">
        <f t="shared" si="48"/>
        <v>0</v>
      </c>
      <c r="AA48" s="736">
        <f t="shared" si="48"/>
        <v>0</v>
      </c>
      <c r="AB48" s="736">
        <f t="shared" si="48"/>
        <v>0</v>
      </c>
      <c r="AC48" s="736">
        <f t="shared" si="48"/>
        <v>0</v>
      </c>
      <c r="AD48" s="736">
        <f t="shared" si="48"/>
        <v>0</v>
      </c>
      <c r="AE48" s="736">
        <f t="shared" si="48"/>
        <v>0</v>
      </c>
      <c r="AF48" s="736">
        <f t="shared" si="48"/>
        <v>0</v>
      </c>
      <c r="AG48" s="736">
        <f t="shared" si="48"/>
        <v>0</v>
      </c>
      <c r="AH48" s="736">
        <f t="shared" si="48"/>
        <v>0</v>
      </c>
      <c r="AI48" s="736">
        <f t="shared" si="48"/>
        <v>0</v>
      </c>
      <c r="AJ48" s="736">
        <f t="shared" si="48"/>
        <v>0</v>
      </c>
      <c r="AK48" s="736">
        <f t="shared" si="48"/>
        <v>0</v>
      </c>
      <c r="AL48" s="736">
        <f t="shared" si="48"/>
        <v>0</v>
      </c>
      <c r="AM48" s="736">
        <f t="shared" si="48"/>
        <v>0</v>
      </c>
      <c r="AN48" s="736">
        <f t="shared" si="48"/>
        <v>0</v>
      </c>
      <c r="AO48" s="736">
        <f t="shared" si="48"/>
        <v>0</v>
      </c>
      <c r="AP48" s="736">
        <f t="shared" si="48"/>
        <v>0</v>
      </c>
      <c r="AQ48" s="736">
        <f t="shared" si="48"/>
        <v>0</v>
      </c>
      <c r="AR48" s="736">
        <f t="shared" si="48"/>
        <v>0</v>
      </c>
      <c r="AS48" s="736">
        <f t="shared" si="48"/>
        <v>0</v>
      </c>
      <c r="AT48" s="736">
        <f t="shared" si="48"/>
        <v>0</v>
      </c>
      <c r="AU48" s="736">
        <f t="shared" si="48"/>
        <v>0</v>
      </c>
      <c r="AV48" s="736">
        <f t="shared" si="48"/>
        <v>0</v>
      </c>
      <c r="AW48" s="736">
        <f t="shared" si="48"/>
        <v>0</v>
      </c>
      <c r="AX48" s="736">
        <f t="shared" si="48"/>
        <v>0</v>
      </c>
      <c r="AY48" s="736">
        <f t="shared" si="48"/>
        <v>0</v>
      </c>
      <c r="AZ48" s="736">
        <f t="shared" si="48"/>
        <v>0</v>
      </c>
      <c r="BA48" s="736">
        <f t="shared" si="48"/>
        <v>0</v>
      </c>
      <c r="BB48" s="736">
        <f t="shared" si="48"/>
        <v>0</v>
      </c>
      <c r="BC48" s="736">
        <f t="shared" si="48"/>
        <v>0</v>
      </c>
      <c r="BD48" s="736">
        <f t="shared" si="48"/>
        <v>0</v>
      </c>
      <c r="BE48" s="736">
        <f t="shared" si="48"/>
        <v>0</v>
      </c>
      <c r="BF48" s="736">
        <f t="shared" si="48"/>
        <v>0</v>
      </c>
      <c r="BG48" s="736">
        <f t="shared" si="48"/>
        <v>0</v>
      </c>
      <c r="BH48" s="736">
        <f t="shared" si="48"/>
        <v>0</v>
      </c>
      <c r="BI48" s="736">
        <f t="shared" si="48"/>
        <v>0</v>
      </c>
      <c r="BJ48" s="736">
        <f t="shared" si="48"/>
        <v>0</v>
      </c>
      <c r="BK48" s="736">
        <f t="shared" si="48"/>
        <v>0</v>
      </c>
      <c r="BL48" s="736">
        <f t="shared" si="48"/>
        <v>0</v>
      </c>
      <c r="BM48" s="736">
        <f t="shared" si="48"/>
        <v>0</v>
      </c>
      <c r="BN48" s="736">
        <f t="shared" si="48"/>
        <v>0</v>
      </c>
      <c r="BO48" s="736">
        <f t="shared" si="48"/>
        <v>0</v>
      </c>
      <c r="BP48" s="736">
        <f t="shared" si="48"/>
        <v>0</v>
      </c>
      <c r="BQ48" s="736">
        <f t="shared" ref="BQ48:CU48" si="49">SUM(BQ36:BQ47)-BQ33</f>
        <v>0</v>
      </c>
      <c r="BR48" s="737">
        <f>SUM(BR36:BR47)-BR34</f>
        <v>0</v>
      </c>
      <c r="BS48" s="737">
        <f>SUM(BS36:BS47)-BS34</f>
        <v>0</v>
      </c>
      <c r="BT48" s="736">
        <f t="shared" si="49"/>
        <v>0</v>
      </c>
      <c r="BU48" s="736">
        <f t="shared" si="49"/>
        <v>0</v>
      </c>
      <c r="BV48" s="736">
        <f t="shared" si="49"/>
        <v>0</v>
      </c>
      <c r="BW48" s="736">
        <f t="shared" si="49"/>
        <v>0</v>
      </c>
      <c r="BX48" s="737">
        <f>SUM(BX36:BX47)-BX34</f>
        <v>0</v>
      </c>
      <c r="BY48" s="736">
        <f t="shared" si="49"/>
        <v>0</v>
      </c>
      <c r="BZ48" s="736">
        <f t="shared" si="49"/>
        <v>0</v>
      </c>
      <c r="CA48" s="736">
        <f t="shared" si="49"/>
        <v>0</v>
      </c>
      <c r="CB48" s="736">
        <f t="shared" si="49"/>
        <v>0</v>
      </c>
      <c r="CC48" s="736">
        <f t="shared" si="49"/>
        <v>0</v>
      </c>
      <c r="CD48" s="736">
        <f t="shared" si="49"/>
        <v>0</v>
      </c>
      <c r="CE48" s="736">
        <f t="shared" si="49"/>
        <v>0</v>
      </c>
      <c r="CF48" s="737">
        <f>SUM(CF36:CF47)-CF34</f>
        <v>0</v>
      </c>
      <c r="CG48" s="736">
        <f t="shared" si="49"/>
        <v>0</v>
      </c>
      <c r="CH48" s="736">
        <f t="shared" si="49"/>
        <v>0</v>
      </c>
      <c r="CI48" s="736">
        <f t="shared" si="49"/>
        <v>0</v>
      </c>
      <c r="CJ48" s="736">
        <f t="shared" si="49"/>
        <v>0</v>
      </c>
      <c r="CK48" s="736">
        <f t="shared" si="49"/>
        <v>0</v>
      </c>
      <c r="CL48" s="736">
        <f t="shared" si="49"/>
        <v>0</v>
      </c>
      <c r="CM48" s="736">
        <f t="shared" si="49"/>
        <v>0</v>
      </c>
      <c r="CN48" s="736">
        <f t="shared" si="49"/>
        <v>0</v>
      </c>
      <c r="CO48" s="736">
        <f t="shared" si="49"/>
        <v>0</v>
      </c>
      <c r="CP48" s="736">
        <f t="shared" si="49"/>
        <v>0</v>
      </c>
      <c r="CQ48" s="736">
        <f t="shared" si="49"/>
        <v>0</v>
      </c>
      <c r="CR48" s="736">
        <f t="shared" si="49"/>
        <v>0</v>
      </c>
      <c r="CS48" s="736">
        <f t="shared" si="49"/>
        <v>0</v>
      </c>
      <c r="CT48" s="736">
        <f t="shared" si="49"/>
        <v>0</v>
      </c>
      <c r="CU48" s="736">
        <f t="shared" si="49"/>
        <v>0</v>
      </c>
      <c r="CV48" s="736">
        <f>SUM(CV36:CV47)-CV33</f>
        <v>0</v>
      </c>
      <c r="CW48" s="736">
        <f>SUM(CW36:CW47)-CW33</f>
        <v>0</v>
      </c>
      <c r="CX48" s="736">
        <f>SUM(CX36:CX47)-CX33</f>
        <v>0</v>
      </c>
      <c r="CY48" s="736">
        <f>SUM(CY36:CY47)-CY33</f>
        <v>0</v>
      </c>
      <c r="CZ48" s="736">
        <f>SUM(CZ36:CZ47)-CZ33</f>
        <v>0</v>
      </c>
      <c r="DA48" s="737">
        <f>SUM(DA36:DA47)-DA34</f>
        <v>0</v>
      </c>
      <c r="DB48" s="737">
        <f>SUM(DB36:DB47)-DB34</f>
        <v>0</v>
      </c>
      <c r="DC48" s="737">
        <f>SUM(DC36:DC47)-DC34</f>
        <v>0</v>
      </c>
      <c r="DD48" s="737">
        <f>SUM(DD36:DD47)-DD34</f>
        <v>0</v>
      </c>
    </row>
  </sheetData>
  <pageMargins left="0.7" right="0.7" top="0.75" bottom="0.75" header="0.3" footer="0.3"/>
  <pageSetup paperSize="9" orientation="portrait" r:id="rId1"/>
  <customProperties>
    <customPr name="Longview.RefreshTimestamp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71F4-8D8A-4DF5-A725-1A73118A5864}">
  <sheetPr>
    <tabColor theme="1"/>
  </sheetPr>
  <dimension ref="A1:T37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6" sqref="D6"/>
    </sheetView>
  </sheetViews>
  <sheetFormatPr baseColWidth="10" defaultRowHeight="15"/>
  <cols>
    <col min="1" max="1" width="62.140625" customWidth="1"/>
    <col min="2" max="2" width="13.28515625" bestFit="1" customWidth="1"/>
    <col min="3" max="3" width="15.7109375" bestFit="1" customWidth="1"/>
    <col min="4" max="4" width="36.7109375" customWidth="1"/>
    <col min="5" max="5" width="27.85546875" style="3" customWidth="1"/>
    <col min="6" max="6" width="27.85546875" style="149" customWidth="1"/>
    <col min="7" max="7" width="56.7109375" bestFit="1" customWidth="1"/>
    <col min="8" max="8" width="19.28515625" bestFit="1" customWidth="1"/>
    <col min="9" max="9" width="16.7109375" bestFit="1" customWidth="1"/>
    <col min="10" max="10" width="19.7109375" bestFit="1" customWidth="1"/>
    <col min="11" max="11" width="14.7109375" bestFit="1" customWidth="1"/>
    <col min="12" max="12" width="15.140625" bestFit="1" customWidth="1"/>
    <col min="13" max="13" width="15.28515625" bestFit="1" customWidth="1"/>
    <col min="14" max="14" width="13.5703125" bestFit="1" customWidth="1"/>
    <col min="15" max="15" width="22.140625" bestFit="1" customWidth="1"/>
    <col min="16" max="16" width="14.7109375" bestFit="1" customWidth="1"/>
    <col min="17" max="17" width="20.140625" bestFit="1" customWidth="1"/>
    <col min="18" max="19" width="18.28515625" bestFit="1" customWidth="1"/>
    <col min="20" max="20" width="24.140625" bestFit="1" customWidth="1"/>
  </cols>
  <sheetData>
    <row r="1" spans="1:20">
      <c r="A1" s="136" t="s">
        <v>848</v>
      </c>
      <c r="B1" s="136" t="s">
        <v>849</v>
      </c>
      <c r="C1" s="136" t="s">
        <v>850</v>
      </c>
      <c r="D1" s="136" t="s">
        <v>851</v>
      </c>
      <c r="E1" s="137" t="s">
        <v>852</v>
      </c>
      <c r="F1" s="138" t="s">
        <v>853</v>
      </c>
      <c r="G1" s="136" t="s">
        <v>854</v>
      </c>
      <c r="H1" s="139" t="s">
        <v>855</v>
      </c>
      <c r="I1" s="139" t="s">
        <v>856</v>
      </c>
      <c r="J1" s="139" t="s">
        <v>857</v>
      </c>
      <c r="K1" s="136" t="s">
        <v>858</v>
      </c>
      <c r="L1" s="140" t="s">
        <v>859</v>
      </c>
      <c r="M1" s="140" t="s">
        <v>860</v>
      </c>
      <c r="N1" s="140" t="s">
        <v>861</v>
      </c>
      <c r="O1" s="139" t="s">
        <v>862</v>
      </c>
      <c r="P1" s="139" t="s">
        <v>863</v>
      </c>
      <c r="Q1" s="139" t="s">
        <v>864</v>
      </c>
      <c r="R1" s="136" t="s">
        <v>865</v>
      </c>
      <c r="S1" s="136" t="s">
        <v>866</v>
      </c>
      <c r="T1" s="141" t="s">
        <v>867</v>
      </c>
    </row>
    <row r="2" spans="1:20">
      <c r="A2" s="142" t="s">
        <v>868</v>
      </c>
      <c r="B2" s="143" t="s">
        <v>869</v>
      </c>
      <c r="C2" s="143" t="s">
        <v>869</v>
      </c>
      <c r="D2" s="143" t="s">
        <v>870</v>
      </c>
      <c r="E2" s="144"/>
      <c r="F2" s="145" t="e">
        <f>VLOOKUP(C2,'[3]entities zones'!$C:$D,2,FALSE)</f>
        <v>#N/A</v>
      </c>
      <c r="G2" s="143" t="s">
        <v>871</v>
      </c>
      <c r="H2" s="146" t="s">
        <v>872</v>
      </c>
      <c r="I2" s="146" t="s">
        <v>873</v>
      </c>
      <c r="J2" s="146" t="s">
        <v>874</v>
      </c>
      <c r="K2" s="143" t="s">
        <v>875</v>
      </c>
      <c r="L2" s="147"/>
      <c r="M2" s="147"/>
      <c r="N2" s="147">
        <v>0</v>
      </c>
      <c r="O2" s="146">
        <v>3</v>
      </c>
      <c r="P2" s="146" t="b">
        <v>1</v>
      </c>
      <c r="Q2" s="146" t="b">
        <v>1</v>
      </c>
      <c r="R2" s="143" t="s">
        <v>876</v>
      </c>
      <c r="S2" s="143" t="s">
        <v>877</v>
      </c>
      <c r="T2" s="148">
        <v>377</v>
      </c>
    </row>
    <row r="3" spans="1:20">
      <c r="A3" s="142" t="s">
        <v>878</v>
      </c>
      <c r="B3" s="143" t="s">
        <v>869</v>
      </c>
      <c r="C3" s="143" t="s">
        <v>879</v>
      </c>
      <c r="D3" s="143" t="s">
        <v>880</v>
      </c>
      <c r="E3" s="144"/>
      <c r="F3" s="145" t="e">
        <f>VLOOKUP(C3,'[3]entities zones'!$C:$D,2,FALSE)</f>
        <v>#N/A</v>
      </c>
      <c r="G3" s="143" t="s">
        <v>881</v>
      </c>
      <c r="H3" s="146" t="s">
        <v>872</v>
      </c>
      <c r="I3" s="146" t="s">
        <v>873</v>
      </c>
      <c r="J3" s="146" t="s">
        <v>874</v>
      </c>
      <c r="K3" s="143" t="s">
        <v>869</v>
      </c>
      <c r="L3" s="147">
        <v>1</v>
      </c>
      <c r="M3" s="147">
        <v>1</v>
      </c>
      <c r="N3" s="147">
        <v>1</v>
      </c>
      <c r="O3" s="146">
        <v>5</v>
      </c>
      <c r="P3" s="146" t="b">
        <v>1</v>
      </c>
      <c r="Q3" s="146" t="b">
        <v>1</v>
      </c>
      <c r="R3" s="143" t="s">
        <v>882</v>
      </c>
      <c r="S3" s="143" t="s">
        <v>883</v>
      </c>
      <c r="T3" s="148">
        <v>353</v>
      </c>
    </row>
    <row r="4" spans="1:20">
      <c r="A4" s="142" t="s">
        <v>884</v>
      </c>
      <c r="B4" s="143" t="s">
        <v>869</v>
      </c>
      <c r="C4" s="143" t="s">
        <v>512</v>
      </c>
      <c r="D4" s="143" t="s">
        <v>885</v>
      </c>
      <c r="E4" s="144"/>
      <c r="F4" s="145" t="e">
        <f>VLOOKUP(C4,'[3]entities zones'!$C:$D,2,FALSE)</f>
        <v>#N/A</v>
      </c>
      <c r="G4" s="143" t="s">
        <v>886</v>
      </c>
      <c r="H4" s="146" t="s">
        <v>872</v>
      </c>
      <c r="I4" s="146" t="s">
        <v>873</v>
      </c>
      <c r="J4" s="146" t="s">
        <v>874</v>
      </c>
      <c r="K4" s="143" t="s">
        <v>879</v>
      </c>
      <c r="L4" s="147">
        <v>1</v>
      </c>
      <c r="M4" s="147">
        <v>10</v>
      </c>
      <c r="N4" s="147">
        <v>2</v>
      </c>
      <c r="O4" s="146">
        <v>48</v>
      </c>
      <c r="P4" s="146" t="b">
        <v>1</v>
      </c>
      <c r="Q4" s="146" t="b">
        <v>1</v>
      </c>
      <c r="R4" s="143" t="s">
        <v>887</v>
      </c>
      <c r="S4" s="143" t="s">
        <v>888</v>
      </c>
      <c r="T4" s="148">
        <v>293</v>
      </c>
    </row>
    <row r="5" spans="1:20">
      <c r="A5" s="142" t="s">
        <v>889</v>
      </c>
      <c r="B5" s="143" t="s">
        <v>869</v>
      </c>
      <c r="C5" s="143" t="s">
        <v>249</v>
      </c>
      <c r="D5" s="143" t="s">
        <v>890</v>
      </c>
      <c r="E5" s="144"/>
      <c r="F5" s="145" t="str">
        <f>VLOOKUP(C5,'[3]entities zones'!$C:$D,2,FALSE)</f>
        <v>EURZONSUD</v>
      </c>
      <c r="G5" s="143" t="s">
        <v>890</v>
      </c>
      <c r="H5" s="146" t="s">
        <v>872</v>
      </c>
      <c r="I5" s="146" t="s">
        <v>873</v>
      </c>
      <c r="J5" s="146" t="s">
        <v>874</v>
      </c>
      <c r="K5" s="143" t="s">
        <v>512</v>
      </c>
      <c r="L5" s="147">
        <v>1</v>
      </c>
      <c r="M5" s="147">
        <v>160</v>
      </c>
      <c r="N5" s="147">
        <v>3</v>
      </c>
      <c r="O5" s="146">
        <v>2</v>
      </c>
      <c r="P5" s="146" t="b">
        <v>1</v>
      </c>
      <c r="Q5" s="146" t="b">
        <v>1</v>
      </c>
      <c r="R5" s="143" t="s">
        <v>891</v>
      </c>
      <c r="S5" s="143" t="s">
        <v>892</v>
      </c>
      <c r="T5" s="148">
        <v>2</v>
      </c>
    </row>
    <row r="6" spans="1:20">
      <c r="A6" s="136" t="s">
        <v>893</v>
      </c>
      <c r="B6" s="136" t="s">
        <v>869</v>
      </c>
      <c r="C6" s="136" t="s">
        <v>406</v>
      </c>
      <c r="D6" s="136" t="s">
        <v>894</v>
      </c>
      <c r="E6" s="137" t="s">
        <v>895</v>
      </c>
      <c r="F6" s="145" t="str">
        <f>VLOOKUP(C6,'[3]entities zones'!$C:$D,2,FALSE)</f>
        <v>EURZONSUD</v>
      </c>
      <c r="G6" s="136" t="s">
        <v>894</v>
      </c>
      <c r="H6" s="139" t="s">
        <v>872</v>
      </c>
      <c r="I6" s="139" t="s">
        <v>873</v>
      </c>
      <c r="J6" s="139" t="s">
        <v>874</v>
      </c>
      <c r="K6" s="136" t="s">
        <v>249</v>
      </c>
      <c r="L6" s="140">
        <v>1</v>
      </c>
      <c r="M6" s="140">
        <v>30</v>
      </c>
      <c r="N6" s="140">
        <v>4</v>
      </c>
      <c r="O6" s="139">
        <v>0</v>
      </c>
      <c r="P6" s="139" t="b">
        <v>0</v>
      </c>
      <c r="Q6" s="139" t="b">
        <v>1</v>
      </c>
      <c r="R6" s="136" t="s">
        <v>891</v>
      </c>
      <c r="S6" s="136" t="s">
        <v>896</v>
      </c>
      <c r="T6" s="141">
        <v>0</v>
      </c>
    </row>
    <row r="7" spans="1:20">
      <c r="A7" s="136" t="s">
        <v>897</v>
      </c>
      <c r="B7" s="136" t="s">
        <v>869</v>
      </c>
      <c r="C7" s="136" t="s">
        <v>898</v>
      </c>
      <c r="D7" s="136" t="s">
        <v>899</v>
      </c>
      <c r="E7" s="137"/>
      <c r="F7" s="145" t="str">
        <f>VLOOKUP(C7,'[3]entities zones'!$C:$D,2,FALSE)</f>
        <v>EURZONSUD</v>
      </c>
      <c r="G7" s="136" t="s">
        <v>899</v>
      </c>
      <c r="H7" s="139" t="s">
        <v>872</v>
      </c>
      <c r="I7" s="139" t="s">
        <v>873</v>
      </c>
      <c r="J7" s="139" t="s">
        <v>874</v>
      </c>
      <c r="K7" s="136" t="s">
        <v>249</v>
      </c>
      <c r="L7" s="140">
        <v>1</v>
      </c>
      <c r="M7" s="140">
        <v>40</v>
      </c>
      <c r="N7" s="140">
        <v>4</v>
      </c>
      <c r="O7" s="139">
        <v>0</v>
      </c>
      <c r="P7" s="139" t="b">
        <v>0</v>
      </c>
      <c r="Q7" s="139" t="b">
        <v>1</v>
      </c>
      <c r="R7" s="136" t="s">
        <v>891</v>
      </c>
      <c r="S7" s="136" t="s">
        <v>900</v>
      </c>
      <c r="T7" s="141">
        <v>0</v>
      </c>
    </row>
    <row r="8" spans="1:20">
      <c r="A8" s="142" t="s">
        <v>901</v>
      </c>
      <c r="B8" s="143" t="s">
        <v>869</v>
      </c>
      <c r="C8" s="143" t="s">
        <v>204</v>
      </c>
      <c r="D8" s="143" t="s">
        <v>902</v>
      </c>
      <c r="E8" s="144"/>
      <c r="F8" s="145" t="str">
        <f>VLOOKUP(C8,'[3]entities zones'!$C:$D,2,FALSE)</f>
        <v>EURZONNOR</v>
      </c>
      <c r="G8" s="143" t="s">
        <v>902</v>
      </c>
      <c r="H8" s="146" t="s">
        <v>872</v>
      </c>
      <c r="I8" s="146" t="s">
        <v>873</v>
      </c>
      <c r="J8" s="146" t="s">
        <v>874</v>
      </c>
      <c r="K8" s="143" t="s">
        <v>512</v>
      </c>
      <c r="L8" s="147">
        <v>1</v>
      </c>
      <c r="M8" s="147">
        <v>170</v>
      </c>
      <c r="N8" s="147">
        <v>3</v>
      </c>
      <c r="O8" s="146">
        <v>2</v>
      </c>
      <c r="P8" s="146" t="b">
        <v>1</v>
      </c>
      <c r="Q8" s="146" t="b">
        <v>1</v>
      </c>
      <c r="R8" s="143" t="s">
        <v>891</v>
      </c>
      <c r="S8" s="143" t="s">
        <v>903</v>
      </c>
      <c r="T8" s="148">
        <v>2</v>
      </c>
    </row>
    <row r="9" spans="1:20">
      <c r="A9" s="136" t="s">
        <v>904</v>
      </c>
      <c r="B9" s="136" t="s">
        <v>869</v>
      </c>
      <c r="C9" s="136" t="s">
        <v>409</v>
      </c>
      <c r="D9" s="136" t="s">
        <v>905</v>
      </c>
      <c r="E9" s="137" t="s">
        <v>895</v>
      </c>
      <c r="F9" s="145" t="str">
        <f>VLOOKUP(C9,'[3]entities zones'!$C:$D,2,FALSE)</f>
        <v>EURZONNOR</v>
      </c>
      <c r="G9" s="136" t="s">
        <v>905</v>
      </c>
      <c r="H9" s="139" t="s">
        <v>872</v>
      </c>
      <c r="I9" s="139" t="s">
        <v>873</v>
      </c>
      <c r="J9" s="139" t="s">
        <v>874</v>
      </c>
      <c r="K9" s="136" t="s">
        <v>204</v>
      </c>
      <c r="L9" s="140">
        <v>1</v>
      </c>
      <c r="M9" s="140">
        <v>40</v>
      </c>
      <c r="N9" s="140">
        <v>4</v>
      </c>
      <c r="O9" s="139">
        <v>0</v>
      </c>
      <c r="P9" s="139" t="b">
        <v>0</v>
      </c>
      <c r="Q9" s="139" t="b">
        <v>1</v>
      </c>
      <c r="R9" s="136" t="s">
        <v>891</v>
      </c>
      <c r="S9" s="136" t="s">
        <v>906</v>
      </c>
      <c r="T9" s="141">
        <v>0</v>
      </c>
    </row>
    <row r="10" spans="1:20">
      <c r="A10" s="136" t="s">
        <v>907</v>
      </c>
      <c r="B10" s="136" t="s">
        <v>869</v>
      </c>
      <c r="C10" s="136" t="s">
        <v>908</v>
      </c>
      <c r="D10" s="136" t="s">
        <v>909</v>
      </c>
      <c r="E10" s="137"/>
      <c r="F10" s="145" t="str">
        <f>VLOOKUP(C10,'[3]entities zones'!$C:$D,2,FALSE)</f>
        <v>EURZONNOR</v>
      </c>
      <c r="G10" s="136" t="s">
        <v>909</v>
      </c>
      <c r="H10" s="139" t="s">
        <v>872</v>
      </c>
      <c r="I10" s="139" t="s">
        <v>873</v>
      </c>
      <c r="J10" s="139" t="s">
        <v>874</v>
      </c>
      <c r="K10" s="136" t="s">
        <v>204</v>
      </c>
      <c r="L10" s="140">
        <v>1</v>
      </c>
      <c r="M10" s="140">
        <v>50</v>
      </c>
      <c r="N10" s="140">
        <v>4</v>
      </c>
      <c r="O10" s="139">
        <v>0</v>
      </c>
      <c r="P10" s="139" t="b">
        <v>0</v>
      </c>
      <c r="Q10" s="139" t="b">
        <v>1</v>
      </c>
      <c r="R10" s="136" t="s">
        <v>891</v>
      </c>
      <c r="S10" s="136" t="s">
        <v>910</v>
      </c>
      <c r="T10" s="141">
        <v>0</v>
      </c>
    </row>
    <row r="11" spans="1:20">
      <c r="A11" s="142" t="s">
        <v>911</v>
      </c>
      <c r="B11" s="143" t="s">
        <v>869</v>
      </c>
      <c r="C11" s="143" t="s">
        <v>205</v>
      </c>
      <c r="D11" s="143" t="s">
        <v>912</v>
      </c>
      <c r="E11" s="144"/>
      <c r="F11" s="145" t="str">
        <f>VLOOKUP(C11,'[3]entities zones'!$C:$D,2,FALSE)</f>
        <v>EURZONNOR</v>
      </c>
      <c r="G11" s="143" t="s">
        <v>912</v>
      </c>
      <c r="H11" s="146" t="s">
        <v>872</v>
      </c>
      <c r="I11" s="146" t="s">
        <v>873</v>
      </c>
      <c r="J11" s="146" t="s">
        <v>874</v>
      </c>
      <c r="K11" s="143" t="s">
        <v>512</v>
      </c>
      <c r="L11" s="147">
        <v>1</v>
      </c>
      <c r="M11" s="147">
        <v>180</v>
      </c>
      <c r="N11" s="147">
        <v>3</v>
      </c>
      <c r="O11" s="146">
        <v>2</v>
      </c>
      <c r="P11" s="146" t="b">
        <v>1</v>
      </c>
      <c r="Q11" s="146" t="b">
        <v>1</v>
      </c>
      <c r="R11" s="143" t="s">
        <v>913</v>
      </c>
      <c r="S11" s="143" t="s">
        <v>914</v>
      </c>
      <c r="T11" s="148">
        <v>2</v>
      </c>
    </row>
    <row r="12" spans="1:20">
      <c r="A12" s="136" t="s">
        <v>915</v>
      </c>
      <c r="B12" s="136" t="s">
        <v>869</v>
      </c>
      <c r="C12" s="136" t="s">
        <v>411</v>
      </c>
      <c r="D12" s="136" t="s">
        <v>916</v>
      </c>
      <c r="E12" s="137" t="s">
        <v>895</v>
      </c>
      <c r="F12" s="145" t="str">
        <f>VLOOKUP(C12,'[3]entities zones'!$C:$D,2,FALSE)</f>
        <v>EURZONNOR</v>
      </c>
      <c r="G12" s="136" t="s">
        <v>916</v>
      </c>
      <c r="H12" s="139" t="s">
        <v>872</v>
      </c>
      <c r="I12" s="139" t="s">
        <v>873</v>
      </c>
      <c r="J12" s="139" t="s">
        <v>874</v>
      </c>
      <c r="K12" s="136" t="s">
        <v>205</v>
      </c>
      <c r="L12" s="140">
        <v>1</v>
      </c>
      <c r="M12" s="140">
        <v>50</v>
      </c>
      <c r="N12" s="140">
        <v>4</v>
      </c>
      <c r="O12" s="139">
        <v>0</v>
      </c>
      <c r="P12" s="139" t="b">
        <v>0</v>
      </c>
      <c r="Q12" s="139" t="b">
        <v>1</v>
      </c>
      <c r="R12" s="136" t="s">
        <v>913</v>
      </c>
      <c r="S12" s="136" t="s">
        <v>917</v>
      </c>
      <c r="T12" s="141">
        <v>0</v>
      </c>
    </row>
    <row r="13" spans="1:20">
      <c r="A13" s="136" t="s">
        <v>918</v>
      </c>
      <c r="B13" s="136" t="s">
        <v>869</v>
      </c>
      <c r="C13" s="136" t="s">
        <v>919</v>
      </c>
      <c r="D13" s="136" t="s">
        <v>920</v>
      </c>
      <c r="E13" s="137"/>
      <c r="F13" s="145" t="str">
        <f>VLOOKUP(C13,'[3]entities zones'!$C:$D,2,FALSE)</f>
        <v>EURZONNOR</v>
      </c>
      <c r="G13" s="136" t="s">
        <v>920</v>
      </c>
      <c r="H13" s="139" t="s">
        <v>872</v>
      </c>
      <c r="I13" s="139" t="s">
        <v>873</v>
      </c>
      <c r="J13" s="139" t="s">
        <v>874</v>
      </c>
      <c r="K13" s="136" t="s">
        <v>205</v>
      </c>
      <c r="L13" s="140">
        <v>1</v>
      </c>
      <c r="M13" s="140">
        <v>60</v>
      </c>
      <c r="N13" s="140">
        <v>4</v>
      </c>
      <c r="O13" s="139">
        <v>0</v>
      </c>
      <c r="P13" s="139" t="b">
        <v>0</v>
      </c>
      <c r="Q13" s="139" t="b">
        <v>1</v>
      </c>
      <c r="R13" s="136" t="s">
        <v>913</v>
      </c>
      <c r="S13" s="136" t="s">
        <v>921</v>
      </c>
      <c r="T13" s="141">
        <v>0</v>
      </c>
    </row>
    <row r="14" spans="1:20">
      <c r="A14" s="142" t="s">
        <v>922</v>
      </c>
      <c r="B14" s="143" t="s">
        <v>869</v>
      </c>
      <c r="C14" s="143" t="s">
        <v>923</v>
      </c>
      <c r="D14" s="143" t="s">
        <v>924</v>
      </c>
      <c r="E14" s="144"/>
      <c r="F14" s="145" t="e">
        <f>VLOOKUP(C14,'[3]entities zones'!$C:$D,2,FALSE)</f>
        <v>#N/A</v>
      </c>
      <c r="G14" s="143" t="s">
        <v>925</v>
      </c>
      <c r="H14" s="146" t="s">
        <v>872</v>
      </c>
      <c r="I14" s="146" t="s">
        <v>873</v>
      </c>
      <c r="J14" s="146" t="s">
        <v>874</v>
      </c>
      <c r="K14" s="143" t="s">
        <v>512</v>
      </c>
      <c r="L14" s="147">
        <v>1</v>
      </c>
      <c r="M14" s="147">
        <v>190</v>
      </c>
      <c r="N14" s="147">
        <v>3</v>
      </c>
      <c r="O14" s="146">
        <v>10</v>
      </c>
      <c r="P14" s="146" t="b">
        <v>1</v>
      </c>
      <c r="Q14" s="146" t="b">
        <v>1</v>
      </c>
      <c r="R14" s="143" t="s">
        <v>887</v>
      </c>
      <c r="S14" s="143" t="s">
        <v>926</v>
      </c>
      <c r="T14" s="148">
        <v>69</v>
      </c>
    </row>
    <row r="15" spans="1:20">
      <c r="A15" s="136" t="s">
        <v>927</v>
      </c>
      <c r="B15" s="136" t="s">
        <v>869</v>
      </c>
      <c r="C15" s="136" t="s">
        <v>928</v>
      </c>
      <c r="D15" s="136" t="s">
        <v>929</v>
      </c>
      <c r="E15" s="137"/>
      <c r="F15" s="145" t="e">
        <f>VLOOKUP(C15,'[3]entities zones'!$C:$D,2,FALSE)</f>
        <v>#N/A</v>
      </c>
      <c r="G15" s="136" t="s">
        <v>929</v>
      </c>
      <c r="H15" s="139" t="s">
        <v>872</v>
      </c>
      <c r="I15" s="139" t="s">
        <v>873</v>
      </c>
      <c r="J15" s="139" t="s">
        <v>874</v>
      </c>
      <c r="K15" s="136" t="s">
        <v>923</v>
      </c>
      <c r="L15" s="140">
        <v>1</v>
      </c>
      <c r="M15" s="140">
        <v>10</v>
      </c>
      <c r="N15" s="140">
        <v>4</v>
      </c>
      <c r="O15" s="139">
        <v>0</v>
      </c>
      <c r="P15" s="139" t="b">
        <v>0</v>
      </c>
      <c r="Q15" s="139" t="b">
        <v>1</v>
      </c>
      <c r="R15" s="136" t="s">
        <v>913</v>
      </c>
      <c r="S15" s="136" t="s">
        <v>930</v>
      </c>
      <c r="T15" s="141">
        <v>0</v>
      </c>
    </row>
    <row r="16" spans="1:20">
      <c r="A16" s="142" t="s">
        <v>931</v>
      </c>
      <c r="B16" s="143" t="s">
        <v>869</v>
      </c>
      <c r="C16" s="143" t="s">
        <v>253</v>
      </c>
      <c r="D16" s="143" t="s">
        <v>932</v>
      </c>
      <c r="E16" s="144"/>
      <c r="F16" s="145" t="str">
        <f>VLOOKUP(C16,'[3]entities zones'!$C:$D,2,FALSE)</f>
        <v>EURZONSUD</v>
      </c>
      <c r="G16" s="143" t="s">
        <v>933</v>
      </c>
      <c r="H16" s="146" t="s">
        <v>872</v>
      </c>
      <c r="I16" s="146" t="s">
        <v>873</v>
      </c>
      <c r="J16" s="146" t="s">
        <v>874</v>
      </c>
      <c r="K16" s="143" t="s">
        <v>923</v>
      </c>
      <c r="L16" s="147">
        <v>1</v>
      </c>
      <c r="M16" s="147">
        <v>20</v>
      </c>
      <c r="N16" s="147">
        <v>4</v>
      </c>
      <c r="O16" s="146">
        <v>7</v>
      </c>
      <c r="P16" s="146" t="b">
        <v>1</v>
      </c>
      <c r="Q16" s="146" t="b">
        <v>1</v>
      </c>
      <c r="R16" s="143" t="s">
        <v>887</v>
      </c>
      <c r="S16" s="143" t="s">
        <v>934</v>
      </c>
      <c r="T16" s="148">
        <v>10</v>
      </c>
    </row>
    <row r="17" spans="1:20">
      <c r="A17" s="136" t="s">
        <v>935</v>
      </c>
      <c r="B17" s="136" t="s">
        <v>869</v>
      </c>
      <c r="C17" s="136" t="s">
        <v>936</v>
      </c>
      <c r="D17" s="136" t="s">
        <v>937</v>
      </c>
      <c r="E17" s="137" t="s">
        <v>895</v>
      </c>
      <c r="F17" s="145" t="str">
        <f>VLOOKUP(C17,'[3]entities zones'!$C:$D,2,FALSE)</f>
        <v>EURZONSUD</v>
      </c>
      <c r="G17" s="136" t="s">
        <v>937</v>
      </c>
      <c r="H17" s="139" t="s">
        <v>872</v>
      </c>
      <c r="I17" s="139" t="s">
        <v>873</v>
      </c>
      <c r="J17" s="139" t="s">
        <v>874</v>
      </c>
      <c r="K17" s="136" t="s">
        <v>253</v>
      </c>
      <c r="L17" s="140">
        <v>1</v>
      </c>
      <c r="M17" s="140">
        <v>10</v>
      </c>
      <c r="N17" s="140">
        <v>5</v>
      </c>
      <c r="O17" s="139">
        <v>0</v>
      </c>
      <c r="P17" s="139" t="b">
        <v>0</v>
      </c>
      <c r="Q17" s="139" t="b">
        <v>1</v>
      </c>
      <c r="R17" s="136" t="s">
        <v>913</v>
      </c>
      <c r="S17" s="136" t="s">
        <v>938</v>
      </c>
      <c r="T17" s="141">
        <v>0</v>
      </c>
    </row>
    <row r="18" spans="1:20">
      <c r="A18" s="136" t="s">
        <v>939</v>
      </c>
      <c r="B18" s="136" t="s">
        <v>869</v>
      </c>
      <c r="C18" s="136" t="s">
        <v>316</v>
      </c>
      <c r="D18" s="136" t="s">
        <v>940</v>
      </c>
      <c r="E18" s="137"/>
      <c r="F18" s="145" t="str">
        <f>VLOOKUP(C18,'[3]entities zones'!$C:$D,2,FALSE)</f>
        <v>EURZONSUD</v>
      </c>
      <c r="G18" s="136" t="s">
        <v>940</v>
      </c>
      <c r="H18" s="139" t="s">
        <v>872</v>
      </c>
      <c r="I18" s="139" t="s">
        <v>873</v>
      </c>
      <c r="J18" s="139" t="s">
        <v>874</v>
      </c>
      <c r="K18" s="136" t="s">
        <v>253</v>
      </c>
      <c r="L18" s="140">
        <v>1</v>
      </c>
      <c r="M18" s="140">
        <v>20</v>
      </c>
      <c r="N18" s="140">
        <v>5</v>
      </c>
      <c r="O18" s="139">
        <v>0</v>
      </c>
      <c r="P18" s="139" t="b">
        <v>0</v>
      </c>
      <c r="Q18" s="139" t="b">
        <v>1</v>
      </c>
      <c r="R18" s="136" t="s">
        <v>913</v>
      </c>
      <c r="S18" s="136" t="s">
        <v>941</v>
      </c>
      <c r="T18" s="141">
        <v>0</v>
      </c>
    </row>
    <row r="19" spans="1:20">
      <c r="A19" s="136" t="s">
        <v>942</v>
      </c>
      <c r="B19" s="136" t="s">
        <v>869</v>
      </c>
      <c r="C19" s="136" t="s">
        <v>317</v>
      </c>
      <c r="D19" s="136" t="s">
        <v>943</v>
      </c>
      <c r="E19" s="137"/>
      <c r="F19" s="145" t="str">
        <f>VLOOKUP(C19,'[3]entities zones'!$C:$D,2,FALSE)</f>
        <v>EURZONSUD</v>
      </c>
      <c r="G19" s="136" t="s">
        <v>943</v>
      </c>
      <c r="H19" s="139" t="s">
        <v>872</v>
      </c>
      <c r="I19" s="139" t="s">
        <v>873</v>
      </c>
      <c r="J19" s="139" t="s">
        <v>874</v>
      </c>
      <c r="K19" s="136" t="s">
        <v>253</v>
      </c>
      <c r="L19" s="140">
        <v>1</v>
      </c>
      <c r="M19" s="140">
        <v>30</v>
      </c>
      <c r="N19" s="140">
        <v>5</v>
      </c>
      <c r="O19" s="139">
        <v>0</v>
      </c>
      <c r="P19" s="139" t="b">
        <v>0</v>
      </c>
      <c r="Q19" s="139" t="b">
        <v>1</v>
      </c>
      <c r="R19" s="136" t="s">
        <v>913</v>
      </c>
      <c r="S19" s="136" t="s">
        <v>944</v>
      </c>
      <c r="T19" s="141">
        <v>0</v>
      </c>
    </row>
    <row r="20" spans="1:20">
      <c r="A20" s="136" t="s">
        <v>945</v>
      </c>
      <c r="B20" s="136" t="s">
        <v>869</v>
      </c>
      <c r="C20" s="136" t="s">
        <v>318</v>
      </c>
      <c r="D20" s="136" t="s">
        <v>946</v>
      </c>
      <c r="E20" s="137"/>
      <c r="F20" s="145" t="str">
        <f>VLOOKUP(C20,'[3]entities zones'!$C:$D,2,FALSE)</f>
        <v>EURZONSUD</v>
      </c>
      <c r="G20" s="136" t="s">
        <v>946</v>
      </c>
      <c r="H20" s="139" t="s">
        <v>872</v>
      </c>
      <c r="I20" s="139" t="s">
        <v>873</v>
      </c>
      <c r="J20" s="139" t="s">
        <v>874</v>
      </c>
      <c r="K20" s="136" t="s">
        <v>253</v>
      </c>
      <c r="L20" s="140">
        <v>1</v>
      </c>
      <c r="M20" s="140">
        <v>40</v>
      </c>
      <c r="N20" s="140">
        <v>5</v>
      </c>
      <c r="O20" s="139">
        <v>0</v>
      </c>
      <c r="P20" s="139" t="b">
        <v>0</v>
      </c>
      <c r="Q20" s="139" t="b">
        <v>1</v>
      </c>
      <c r="R20" s="136" t="s">
        <v>913</v>
      </c>
      <c r="S20" s="136" t="s">
        <v>947</v>
      </c>
      <c r="T20" s="141">
        <v>0</v>
      </c>
    </row>
    <row r="21" spans="1:20">
      <c r="A21" s="136" t="s">
        <v>948</v>
      </c>
      <c r="B21" s="136" t="s">
        <v>869</v>
      </c>
      <c r="C21" s="136" t="s">
        <v>319</v>
      </c>
      <c r="D21" s="136" t="s">
        <v>949</v>
      </c>
      <c r="E21" s="137"/>
      <c r="F21" s="145" t="str">
        <f>VLOOKUP(C21,'[3]entities zones'!$C:$D,2,FALSE)</f>
        <v>EURZONSUD</v>
      </c>
      <c r="G21" s="136" t="s">
        <v>949</v>
      </c>
      <c r="H21" s="139" t="s">
        <v>872</v>
      </c>
      <c r="I21" s="139" t="s">
        <v>873</v>
      </c>
      <c r="J21" s="139" t="s">
        <v>874</v>
      </c>
      <c r="K21" s="136" t="s">
        <v>253</v>
      </c>
      <c r="L21" s="140">
        <v>1</v>
      </c>
      <c r="M21" s="140">
        <v>50</v>
      </c>
      <c r="N21" s="140">
        <v>5</v>
      </c>
      <c r="O21" s="139">
        <v>0</v>
      </c>
      <c r="P21" s="139" t="b">
        <v>0</v>
      </c>
      <c r="Q21" s="139" t="b">
        <v>1</v>
      </c>
      <c r="R21" s="136" t="s">
        <v>913</v>
      </c>
      <c r="S21" s="136" t="s">
        <v>950</v>
      </c>
      <c r="T21" s="141">
        <v>0</v>
      </c>
    </row>
    <row r="22" spans="1:20">
      <c r="A22" s="136" t="s">
        <v>951</v>
      </c>
      <c r="B22" s="136" t="s">
        <v>869</v>
      </c>
      <c r="C22" s="136" t="s">
        <v>952</v>
      </c>
      <c r="D22" s="136" t="s">
        <v>953</v>
      </c>
      <c r="E22" s="137"/>
      <c r="F22" s="145" t="str">
        <f>VLOOKUP(C22,'[3]entities zones'!$C:$D,2,FALSE)</f>
        <v>EURZONSUD</v>
      </c>
      <c r="G22" s="136" t="s">
        <v>953</v>
      </c>
      <c r="H22" s="139" t="s">
        <v>872</v>
      </c>
      <c r="I22" s="139" t="s">
        <v>873</v>
      </c>
      <c r="J22" s="139" t="s">
        <v>874</v>
      </c>
      <c r="K22" s="136" t="s">
        <v>253</v>
      </c>
      <c r="L22" s="140">
        <v>1</v>
      </c>
      <c r="M22" s="140">
        <v>60</v>
      </c>
      <c r="N22" s="140">
        <v>5</v>
      </c>
      <c r="O22" s="139">
        <v>0</v>
      </c>
      <c r="P22" s="139" t="b">
        <v>0</v>
      </c>
      <c r="Q22" s="139" t="b">
        <v>1</v>
      </c>
      <c r="R22" s="136" t="s">
        <v>913</v>
      </c>
      <c r="S22" s="136" t="s">
        <v>954</v>
      </c>
      <c r="T22" s="141">
        <v>0</v>
      </c>
    </row>
    <row r="23" spans="1:20">
      <c r="A23" s="142" t="s">
        <v>955</v>
      </c>
      <c r="B23" s="143" t="s">
        <v>869</v>
      </c>
      <c r="C23" s="143" t="s">
        <v>956</v>
      </c>
      <c r="D23" s="143" t="s">
        <v>957</v>
      </c>
      <c r="E23" s="144"/>
      <c r="F23" s="145" t="str">
        <f>VLOOKUP(C23,'[3]entities zones'!$C:$D,2,FALSE)</f>
        <v>EURZONSUD</v>
      </c>
      <c r="G23" s="143" t="s">
        <v>958</v>
      </c>
      <c r="H23" s="146" t="s">
        <v>872</v>
      </c>
      <c r="I23" s="146" t="s">
        <v>873</v>
      </c>
      <c r="J23" s="146" t="s">
        <v>874</v>
      </c>
      <c r="K23" s="143" t="s">
        <v>253</v>
      </c>
      <c r="L23" s="147">
        <v>1</v>
      </c>
      <c r="M23" s="147">
        <v>888</v>
      </c>
      <c r="N23" s="147">
        <v>5</v>
      </c>
      <c r="O23" s="146">
        <v>3</v>
      </c>
      <c r="P23" s="146" t="b">
        <v>1</v>
      </c>
      <c r="Q23" s="146" t="b">
        <v>1</v>
      </c>
      <c r="R23" s="143" t="s">
        <v>887</v>
      </c>
      <c r="S23" s="143" t="s">
        <v>959</v>
      </c>
      <c r="T23" s="148">
        <v>3</v>
      </c>
    </row>
    <row r="24" spans="1:20">
      <c r="A24" s="136" t="s">
        <v>960</v>
      </c>
      <c r="B24" s="136" t="s">
        <v>869</v>
      </c>
      <c r="C24" s="136" t="s">
        <v>961</v>
      </c>
      <c r="D24" s="136" t="s">
        <v>962</v>
      </c>
      <c r="E24" s="137"/>
      <c r="F24" s="145" t="str">
        <f>VLOOKUP(C24,'[3]entities zones'!$C:$D,2,FALSE)</f>
        <v>EURZONSUD</v>
      </c>
      <c r="G24" s="136" t="s">
        <v>963</v>
      </c>
      <c r="H24" s="139" t="s">
        <v>872</v>
      </c>
      <c r="I24" s="139" t="s">
        <v>873</v>
      </c>
      <c r="J24" s="139" t="s">
        <v>874</v>
      </c>
      <c r="K24" s="136" t="s">
        <v>956</v>
      </c>
      <c r="L24" s="140">
        <v>1</v>
      </c>
      <c r="M24" s="140">
        <v>888</v>
      </c>
      <c r="N24" s="140">
        <v>6</v>
      </c>
      <c r="O24" s="139">
        <v>0</v>
      </c>
      <c r="P24" s="139" t="b">
        <v>0</v>
      </c>
      <c r="Q24" s="139" t="b">
        <v>1</v>
      </c>
      <c r="R24" s="136" t="s">
        <v>964</v>
      </c>
      <c r="S24" s="136" t="s">
        <v>965</v>
      </c>
      <c r="T24" s="141">
        <v>0</v>
      </c>
    </row>
    <row r="25" spans="1:20">
      <c r="A25" s="136" t="s">
        <v>966</v>
      </c>
      <c r="B25" s="136" t="s">
        <v>869</v>
      </c>
      <c r="C25" s="136" t="s">
        <v>967</v>
      </c>
      <c r="D25" s="136" t="s">
        <v>962</v>
      </c>
      <c r="E25" s="137"/>
      <c r="F25" s="145" t="str">
        <f>VLOOKUP(C25,'[3]entities zones'!$C:$D,2,FALSE)</f>
        <v>EURZONSUD</v>
      </c>
      <c r="G25" s="136" t="s">
        <v>963</v>
      </c>
      <c r="H25" s="139" t="s">
        <v>872</v>
      </c>
      <c r="I25" s="139" t="s">
        <v>873</v>
      </c>
      <c r="J25" s="139" t="s">
        <v>874</v>
      </c>
      <c r="K25" s="136" t="s">
        <v>956</v>
      </c>
      <c r="L25" s="140">
        <v>1</v>
      </c>
      <c r="M25" s="140">
        <v>888</v>
      </c>
      <c r="N25" s="140">
        <v>6</v>
      </c>
      <c r="O25" s="139">
        <v>0</v>
      </c>
      <c r="P25" s="139" t="b">
        <v>0</v>
      </c>
      <c r="Q25" s="139" t="b">
        <v>1</v>
      </c>
      <c r="R25" s="136" t="s">
        <v>887</v>
      </c>
      <c r="S25" s="136" t="s">
        <v>959</v>
      </c>
      <c r="T25" s="141">
        <v>0</v>
      </c>
    </row>
    <row r="26" spans="1:20">
      <c r="A26" s="136" t="s">
        <v>968</v>
      </c>
      <c r="B26" s="136" t="s">
        <v>869</v>
      </c>
      <c r="C26" s="136" t="s">
        <v>969</v>
      </c>
      <c r="D26" s="136" t="s">
        <v>970</v>
      </c>
      <c r="E26" s="137"/>
      <c r="F26" s="145" t="str">
        <f>VLOOKUP(C26,'[3]entities zones'!$C:$D,2,FALSE)</f>
        <v>EURZONSUD</v>
      </c>
      <c r="G26" s="136" t="s">
        <v>971</v>
      </c>
      <c r="H26" s="139" t="s">
        <v>872</v>
      </c>
      <c r="I26" s="139" t="s">
        <v>873</v>
      </c>
      <c r="J26" s="139" t="s">
        <v>874</v>
      </c>
      <c r="K26" s="136" t="s">
        <v>956</v>
      </c>
      <c r="L26" s="140">
        <v>1</v>
      </c>
      <c r="M26" s="140">
        <v>999</v>
      </c>
      <c r="N26" s="140">
        <v>6</v>
      </c>
      <c r="O26" s="139">
        <v>0</v>
      </c>
      <c r="P26" s="139" t="b">
        <v>0</v>
      </c>
      <c r="Q26" s="139" t="b">
        <v>1</v>
      </c>
      <c r="R26" s="136" t="s">
        <v>887</v>
      </c>
      <c r="S26" s="136" t="s">
        <v>959</v>
      </c>
      <c r="T26" s="141">
        <v>0</v>
      </c>
    </row>
    <row r="27" spans="1:20">
      <c r="A27" s="142" t="s">
        <v>972</v>
      </c>
      <c r="B27" s="143" t="s">
        <v>869</v>
      </c>
      <c r="C27" s="143" t="s">
        <v>254</v>
      </c>
      <c r="D27" s="143" t="s">
        <v>973</v>
      </c>
      <c r="E27" s="144"/>
      <c r="F27" s="145" t="str">
        <f>VLOOKUP(C27,'[3]entities zones'!$C:$D,2,FALSE)</f>
        <v>EURZONSUD</v>
      </c>
      <c r="G27" s="143" t="s">
        <v>974</v>
      </c>
      <c r="H27" s="146" t="s">
        <v>872</v>
      </c>
      <c r="I27" s="146" t="s">
        <v>873</v>
      </c>
      <c r="J27" s="146" t="s">
        <v>874</v>
      </c>
      <c r="K27" s="143" t="s">
        <v>923</v>
      </c>
      <c r="L27" s="147">
        <v>1</v>
      </c>
      <c r="M27" s="147">
        <v>30</v>
      </c>
      <c r="N27" s="147">
        <v>4</v>
      </c>
      <c r="O27" s="146">
        <v>5</v>
      </c>
      <c r="P27" s="146" t="b">
        <v>1</v>
      </c>
      <c r="Q27" s="146" t="b">
        <v>1</v>
      </c>
      <c r="R27" s="143" t="s">
        <v>887</v>
      </c>
      <c r="S27" s="143" t="s">
        <v>975</v>
      </c>
      <c r="T27" s="148">
        <v>8</v>
      </c>
    </row>
    <row r="28" spans="1:20">
      <c r="A28" s="136" t="s">
        <v>976</v>
      </c>
      <c r="B28" s="136" t="s">
        <v>869</v>
      </c>
      <c r="C28" s="136" t="s">
        <v>977</v>
      </c>
      <c r="D28" s="136" t="s">
        <v>978</v>
      </c>
      <c r="E28" s="137" t="s">
        <v>895</v>
      </c>
      <c r="F28" s="145" t="str">
        <f>VLOOKUP(C28,'[3]entities zones'!$C:$D,2,FALSE)</f>
        <v>EURZONSUD</v>
      </c>
      <c r="G28" s="136" t="s">
        <v>978</v>
      </c>
      <c r="H28" s="139" t="s">
        <v>872</v>
      </c>
      <c r="I28" s="139" t="s">
        <v>873</v>
      </c>
      <c r="J28" s="139" t="s">
        <v>874</v>
      </c>
      <c r="K28" s="136" t="s">
        <v>254</v>
      </c>
      <c r="L28" s="140">
        <v>1</v>
      </c>
      <c r="M28" s="140">
        <v>10</v>
      </c>
      <c r="N28" s="140">
        <v>5</v>
      </c>
      <c r="O28" s="139">
        <v>0</v>
      </c>
      <c r="P28" s="139" t="b">
        <v>0</v>
      </c>
      <c r="Q28" s="139" t="b">
        <v>1</v>
      </c>
      <c r="R28" s="136" t="s">
        <v>913</v>
      </c>
      <c r="S28" s="136" t="s">
        <v>979</v>
      </c>
      <c r="T28" s="141">
        <v>0</v>
      </c>
    </row>
    <row r="29" spans="1:20">
      <c r="A29" s="136" t="s">
        <v>980</v>
      </c>
      <c r="B29" s="136" t="s">
        <v>869</v>
      </c>
      <c r="C29" s="136" t="s">
        <v>320</v>
      </c>
      <c r="D29" s="136" t="s">
        <v>981</v>
      </c>
      <c r="E29" s="137"/>
      <c r="F29" s="145" t="str">
        <f>VLOOKUP(C29,'[3]entities zones'!$C:$D,2,FALSE)</f>
        <v>EURZONSUD</v>
      </c>
      <c r="G29" s="136" t="s">
        <v>981</v>
      </c>
      <c r="H29" s="139" t="s">
        <v>872</v>
      </c>
      <c r="I29" s="139" t="s">
        <v>873</v>
      </c>
      <c r="J29" s="139" t="s">
        <v>874</v>
      </c>
      <c r="K29" s="136" t="s">
        <v>254</v>
      </c>
      <c r="L29" s="140">
        <v>1</v>
      </c>
      <c r="M29" s="140">
        <v>20</v>
      </c>
      <c r="N29" s="140">
        <v>5</v>
      </c>
      <c r="O29" s="139">
        <v>0</v>
      </c>
      <c r="P29" s="139" t="b">
        <v>0</v>
      </c>
      <c r="Q29" s="139" t="b">
        <v>1</v>
      </c>
      <c r="R29" s="136" t="s">
        <v>913</v>
      </c>
      <c r="S29" s="136" t="s">
        <v>982</v>
      </c>
      <c r="T29" s="141">
        <v>0</v>
      </c>
    </row>
    <row r="30" spans="1:20">
      <c r="A30" s="136" t="s">
        <v>983</v>
      </c>
      <c r="B30" s="136" t="s">
        <v>869</v>
      </c>
      <c r="C30" s="136" t="s">
        <v>321</v>
      </c>
      <c r="D30" s="136" t="s">
        <v>984</v>
      </c>
      <c r="E30" s="137"/>
      <c r="F30" s="145" t="str">
        <f>VLOOKUP(C30,'[3]entities zones'!$C:$D,2,FALSE)</f>
        <v>EURZONSUD</v>
      </c>
      <c r="G30" s="136" t="s">
        <v>984</v>
      </c>
      <c r="H30" s="139" t="s">
        <v>872</v>
      </c>
      <c r="I30" s="139" t="s">
        <v>873</v>
      </c>
      <c r="J30" s="139" t="s">
        <v>874</v>
      </c>
      <c r="K30" s="136" t="s">
        <v>254</v>
      </c>
      <c r="L30" s="140">
        <v>1</v>
      </c>
      <c r="M30" s="140">
        <v>30</v>
      </c>
      <c r="N30" s="140">
        <v>5</v>
      </c>
      <c r="O30" s="139">
        <v>0</v>
      </c>
      <c r="P30" s="139" t="b">
        <v>0</v>
      </c>
      <c r="Q30" s="139" t="b">
        <v>1</v>
      </c>
      <c r="R30" s="136" t="s">
        <v>913</v>
      </c>
      <c r="S30" s="136" t="s">
        <v>985</v>
      </c>
      <c r="T30" s="141">
        <v>0</v>
      </c>
    </row>
    <row r="31" spans="1:20">
      <c r="A31" s="136" t="s">
        <v>986</v>
      </c>
      <c r="B31" s="136" t="s">
        <v>869</v>
      </c>
      <c r="C31" s="136" t="s">
        <v>987</v>
      </c>
      <c r="D31" s="136" t="s">
        <v>988</v>
      </c>
      <c r="E31" s="137"/>
      <c r="F31" s="145" t="str">
        <f>VLOOKUP(C31,'[3]entities zones'!$C:$D,2,FALSE)</f>
        <v>EURZONSUD</v>
      </c>
      <c r="G31" s="136" t="s">
        <v>988</v>
      </c>
      <c r="H31" s="139" t="s">
        <v>872</v>
      </c>
      <c r="I31" s="139" t="s">
        <v>873</v>
      </c>
      <c r="J31" s="139" t="s">
        <v>874</v>
      </c>
      <c r="K31" s="136" t="s">
        <v>254</v>
      </c>
      <c r="L31" s="140">
        <v>1</v>
      </c>
      <c r="M31" s="140">
        <v>40</v>
      </c>
      <c r="N31" s="140">
        <v>5</v>
      </c>
      <c r="O31" s="139">
        <v>0</v>
      </c>
      <c r="P31" s="139" t="b">
        <v>0</v>
      </c>
      <c r="Q31" s="139" t="b">
        <v>1</v>
      </c>
      <c r="R31" s="136" t="s">
        <v>913</v>
      </c>
      <c r="S31" s="136" t="s">
        <v>989</v>
      </c>
      <c r="T31" s="141">
        <v>0</v>
      </c>
    </row>
    <row r="32" spans="1:20">
      <c r="A32" s="142" t="s">
        <v>990</v>
      </c>
      <c r="B32" s="143" t="s">
        <v>869</v>
      </c>
      <c r="C32" s="143" t="s">
        <v>991</v>
      </c>
      <c r="D32" s="143" t="s">
        <v>992</v>
      </c>
      <c r="E32" s="144"/>
      <c r="F32" s="145" t="str">
        <f>VLOOKUP(C32,'[3]entities zones'!$C:$D,2,FALSE)</f>
        <v>EURZONSUD</v>
      </c>
      <c r="G32" s="143" t="s">
        <v>993</v>
      </c>
      <c r="H32" s="146" t="s">
        <v>872</v>
      </c>
      <c r="I32" s="146" t="s">
        <v>873</v>
      </c>
      <c r="J32" s="146" t="s">
        <v>874</v>
      </c>
      <c r="K32" s="143" t="s">
        <v>254</v>
      </c>
      <c r="L32" s="147">
        <v>1</v>
      </c>
      <c r="M32" s="147">
        <v>888</v>
      </c>
      <c r="N32" s="147">
        <v>5</v>
      </c>
      <c r="O32" s="146">
        <v>3</v>
      </c>
      <c r="P32" s="146" t="b">
        <v>1</v>
      </c>
      <c r="Q32" s="146" t="b">
        <v>1</v>
      </c>
      <c r="R32" s="143" t="s">
        <v>887</v>
      </c>
      <c r="S32" s="143" t="s">
        <v>959</v>
      </c>
      <c r="T32" s="148">
        <v>3</v>
      </c>
    </row>
    <row r="33" spans="1:20">
      <c r="A33" s="136" t="s">
        <v>994</v>
      </c>
      <c r="B33" s="136" t="s">
        <v>869</v>
      </c>
      <c r="C33" s="136" t="s">
        <v>995</v>
      </c>
      <c r="D33" s="136" t="s">
        <v>996</v>
      </c>
      <c r="E33" s="137"/>
      <c r="F33" s="145" t="str">
        <f>VLOOKUP(C33,'[3]entities zones'!$C:$D,2,FALSE)</f>
        <v>EURZONSUD</v>
      </c>
      <c r="G33" s="136" t="s">
        <v>997</v>
      </c>
      <c r="H33" s="139" t="s">
        <v>872</v>
      </c>
      <c r="I33" s="139" t="s">
        <v>873</v>
      </c>
      <c r="J33" s="139" t="s">
        <v>874</v>
      </c>
      <c r="K33" s="136" t="s">
        <v>991</v>
      </c>
      <c r="L33" s="140">
        <v>1</v>
      </c>
      <c r="M33" s="140">
        <v>888</v>
      </c>
      <c r="N33" s="140">
        <v>6</v>
      </c>
      <c r="O33" s="139">
        <v>0</v>
      </c>
      <c r="P33" s="139" t="b">
        <v>0</v>
      </c>
      <c r="Q33" s="139" t="b">
        <v>1</v>
      </c>
      <c r="R33" s="136" t="s">
        <v>998</v>
      </c>
      <c r="S33" s="136" t="s">
        <v>999</v>
      </c>
      <c r="T33" s="141">
        <v>0</v>
      </c>
    </row>
    <row r="34" spans="1:20">
      <c r="A34" s="136" t="s">
        <v>1000</v>
      </c>
      <c r="B34" s="136" t="s">
        <v>869</v>
      </c>
      <c r="C34" s="136" t="s">
        <v>1001</v>
      </c>
      <c r="D34" s="136" t="s">
        <v>996</v>
      </c>
      <c r="E34" s="137"/>
      <c r="F34" s="145" t="str">
        <f>VLOOKUP(C34,'[3]entities zones'!$C:$D,2,FALSE)</f>
        <v>EURZONSUD</v>
      </c>
      <c r="G34" s="136" t="s">
        <v>997</v>
      </c>
      <c r="H34" s="139" t="s">
        <v>872</v>
      </c>
      <c r="I34" s="139" t="s">
        <v>873</v>
      </c>
      <c r="J34" s="139" t="s">
        <v>874</v>
      </c>
      <c r="K34" s="136" t="s">
        <v>991</v>
      </c>
      <c r="L34" s="140">
        <v>1</v>
      </c>
      <c r="M34" s="140">
        <v>888</v>
      </c>
      <c r="N34" s="140">
        <v>6</v>
      </c>
      <c r="O34" s="139">
        <v>0</v>
      </c>
      <c r="P34" s="139" t="b">
        <v>0</v>
      </c>
      <c r="Q34" s="139" t="b">
        <v>1</v>
      </c>
      <c r="R34" s="136" t="s">
        <v>887</v>
      </c>
      <c r="S34" s="136" t="s">
        <v>959</v>
      </c>
      <c r="T34" s="141">
        <v>0</v>
      </c>
    </row>
    <row r="35" spans="1:20">
      <c r="A35" s="136" t="s">
        <v>1002</v>
      </c>
      <c r="B35" s="136" t="s">
        <v>869</v>
      </c>
      <c r="C35" s="136" t="s">
        <v>1003</v>
      </c>
      <c r="D35" s="136" t="s">
        <v>1004</v>
      </c>
      <c r="E35" s="137"/>
      <c r="F35" s="145" t="str">
        <f>VLOOKUP(C35,'[3]entities zones'!$C:$D,2,FALSE)</f>
        <v>EURZONSUD</v>
      </c>
      <c r="G35" s="136" t="s">
        <v>1005</v>
      </c>
      <c r="H35" s="139" t="s">
        <v>872</v>
      </c>
      <c r="I35" s="139" t="s">
        <v>873</v>
      </c>
      <c r="J35" s="139" t="s">
        <v>874</v>
      </c>
      <c r="K35" s="136" t="s">
        <v>991</v>
      </c>
      <c r="L35" s="140">
        <v>1</v>
      </c>
      <c r="M35" s="140">
        <v>999</v>
      </c>
      <c r="N35" s="140">
        <v>6</v>
      </c>
      <c r="O35" s="139">
        <v>0</v>
      </c>
      <c r="P35" s="139" t="b">
        <v>0</v>
      </c>
      <c r="Q35" s="139" t="b">
        <v>1</v>
      </c>
      <c r="R35" s="136" t="s">
        <v>887</v>
      </c>
      <c r="S35" s="136" t="s">
        <v>959</v>
      </c>
      <c r="T35" s="141">
        <v>0</v>
      </c>
    </row>
    <row r="36" spans="1:20">
      <c r="A36" s="142" t="s">
        <v>1006</v>
      </c>
      <c r="B36" s="143" t="s">
        <v>869</v>
      </c>
      <c r="C36" s="143" t="s">
        <v>255</v>
      </c>
      <c r="D36" s="143" t="s">
        <v>1007</v>
      </c>
      <c r="E36" s="144"/>
      <c r="F36" s="145" t="str">
        <f>VLOOKUP(C36,'[3]entities zones'!$C:$D,2,FALSE)</f>
        <v>EURZONSUD</v>
      </c>
      <c r="G36" s="143" t="s">
        <v>1008</v>
      </c>
      <c r="H36" s="146" t="s">
        <v>872</v>
      </c>
      <c r="I36" s="146" t="s">
        <v>873</v>
      </c>
      <c r="J36" s="146" t="s">
        <v>874</v>
      </c>
      <c r="K36" s="143" t="s">
        <v>923</v>
      </c>
      <c r="L36" s="147">
        <v>1</v>
      </c>
      <c r="M36" s="147">
        <v>40</v>
      </c>
      <c r="N36" s="147">
        <v>4</v>
      </c>
      <c r="O36" s="146">
        <v>4</v>
      </c>
      <c r="P36" s="146" t="b">
        <v>1</v>
      </c>
      <c r="Q36" s="146" t="b">
        <v>1</v>
      </c>
      <c r="R36" s="143" t="s">
        <v>887</v>
      </c>
      <c r="S36" s="143" t="s">
        <v>1009</v>
      </c>
      <c r="T36" s="148">
        <v>6</v>
      </c>
    </row>
    <row r="37" spans="1:20">
      <c r="A37" s="136" t="s">
        <v>1010</v>
      </c>
      <c r="B37" s="136" t="s">
        <v>869</v>
      </c>
      <c r="C37" s="136" t="s">
        <v>1011</v>
      </c>
      <c r="D37" s="136" t="s">
        <v>1012</v>
      </c>
      <c r="E37" s="137" t="s">
        <v>895</v>
      </c>
      <c r="F37" s="145" t="str">
        <f>VLOOKUP(C37,'[3]entities zones'!$C:$D,2,FALSE)</f>
        <v>EURZONSUD</v>
      </c>
      <c r="G37" s="136" t="s">
        <v>1012</v>
      </c>
      <c r="H37" s="139" t="s">
        <v>872</v>
      </c>
      <c r="I37" s="139" t="s">
        <v>873</v>
      </c>
      <c r="J37" s="139" t="s">
        <v>874</v>
      </c>
      <c r="K37" s="136" t="s">
        <v>255</v>
      </c>
      <c r="L37" s="140">
        <v>1</v>
      </c>
      <c r="M37" s="140">
        <v>10</v>
      </c>
      <c r="N37" s="140">
        <v>5</v>
      </c>
      <c r="O37" s="139">
        <v>0</v>
      </c>
      <c r="P37" s="139" t="b">
        <v>0</v>
      </c>
      <c r="Q37" s="139" t="b">
        <v>1</v>
      </c>
      <c r="R37" s="136" t="s">
        <v>913</v>
      </c>
      <c r="S37" s="136" t="s">
        <v>1013</v>
      </c>
      <c r="T37" s="141">
        <v>0</v>
      </c>
    </row>
    <row r="38" spans="1:20">
      <c r="A38" s="136" t="s">
        <v>1014</v>
      </c>
      <c r="B38" s="136" t="s">
        <v>869</v>
      </c>
      <c r="C38" s="136" t="s">
        <v>419</v>
      </c>
      <c r="D38" s="136" t="s">
        <v>1015</v>
      </c>
      <c r="E38" s="137"/>
      <c r="F38" s="145" t="str">
        <f>VLOOKUP(C38,'[3]entities zones'!$C:$D,2,FALSE)</f>
        <v>EURZONSUD</v>
      </c>
      <c r="G38" s="136" t="s">
        <v>1015</v>
      </c>
      <c r="H38" s="139" t="s">
        <v>872</v>
      </c>
      <c r="I38" s="139" t="s">
        <v>873</v>
      </c>
      <c r="J38" s="139" t="s">
        <v>874</v>
      </c>
      <c r="K38" s="136" t="s">
        <v>255</v>
      </c>
      <c r="L38" s="140">
        <v>1</v>
      </c>
      <c r="M38" s="140">
        <v>20</v>
      </c>
      <c r="N38" s="140">
        <v>5</v>
      </c>
      <c r="O38" s="139">
        <v>0</v>
      </c>
      <c r="P38" s="139" t="b">
        <v>0</v>
      </c>
      <c r="Q38" s="139" t="b">
        <v>1</v>
      </c>
      <c r="R38" s="136" t="s">
        <v>913</v>
      </c>
      <c r="S38" s="136" t="s">
        <v>1016</v>
      </c>
      <c r="T38" s="141">
        <v>0</v>
      </c>
    </row>
    <row r="39" spans="1:20">
      <c r="A39" s="136" t="s">
        <v>1017</v>
      </c>
      <c r="B39" s="136" t="s">
        <v>869</v>
      </c>
      <c r="C39" s="136" t="s">
        <v>1018</v>
      </c>
      <c r="D39" s="136" t="s">
        <v>1019</v>
      </c>
      <c r="E39" s="137"/>
      <c r="F39" s="145" t="str">
        <f>VLOOKUP(C39,'[3]entities zones'!$C:$D,2,FALSE)</f>
        <v>EURZONSUD</v>
      </c>
      <c r="G39" s="136" t="s">
        <v>1019</v>
      </c>
      <c r="H39" s="139" t="s">
        <v>872</v>
      </c>
      <c r="I39" s="139" t="s">
        <v>873</v>
      </c>
      <c r="J39" s="139" t="s">
        <v>874</v>
      </c>
      <c r="K39" s="136" t="s">
        <v>255</v>
      </c>
      <c r="L39" s="140">
        <v>1</v>
      </c>
      <c r="M39" s="140">
        <v>30</v>
      </c>
      <c r="N39" s="140">
        <v>5</v>
      </c>
      <c r="O39" s="139">
        <v>0</v>
      </c>
      <c r="P39" s="139" t="b">
        <v>0</v>
      </c>
      <c r="Q39" s="139" t="b">
        <v>1</v>
      </c>
      <c r="R39" s="136" t="s">
        <v>913</v>
      </c>
      <c r="S39" s="136" t="s">
        <v>1020</v>
      </c>
      <c r="T39" s="141">
        <v>0</v>
      </c>
    </row>
    <row r="40" spans="1:20">
      <c r="A40" s="142" t="s">
        <v>1021</v>
      </c>
      <c r="B40" s="143" t="s">
        <v>869</v>
      </c>
      <c r="C40" s="143" t="s">
        <v>1022</v>
      </c>
      <c r="D40" s="143" t="s">
        <v>1023</v>
      </c>
      <c r="E40" s="144"/>
      <c r="F40" s="145" t="str">
        <f>VLOOKUP(C40,'[3]entities zones'!$C:$D,2,FALSE)</f>
        <v>EURZONSUD</v>
      </c>
      <c r="G40" s="143" t="s">
        <v>1024</v>
      </c>
      <c r="H40" s="146" t="s">
        <v>872</v>
      </c>
      <c r="I40" s="146" t="s">
        <v>873</v>
      </c>
      <c r="J40" s="146" t="s">
        <v>874</v>
      </c>
      <c r="K40" s="143" t="s">
        <v>255</v>
      </c>
      <c r="L40" s="147">
        <v>1</v>
      </c>
      <c r="M40" s="147">
        <v>888</v>
      </c>
      <c r="N40" s="147">
        <v>5</v>
      </c>
      <c r="O40" s="146">
        <v>2</v>
      </c>
      <c r="P40" s="146" t="b">
        <v>1</v>
      </c>
      <c r="Q40" s="146" t="b">
        <v>1</v>
      </c>
      <c r="R40" s="143" t="s">
        <v>1025</v>
      </c>
      <c r="S40" s="143" t="s">
        <v>959</v>
      </c>
      <c r="T40" s="148">
        <v>2</v>
      </c>
    </row>
    <row r="41" spans="1:20">
      <c r="A41" s="136" t="s">
        <v>1026</v>
      </c>
      <c r="B41" s="136" t="s">
        <v>869</v>
      </c>
      <c r="C41" s="136" t="s">
        <v>1027</v>
      </c>
      <c r="D41" s="136" t="s">
        <v>1028</v>
      </c>
      <c r="E41" s="137"/>
      <c r="F41" s="145" t="str">
        <f>VLOOKUP(C41,'[3]entities zones'!$C:$D,2,FALSE)</f>
        <v>EURZONSUD</v>
      </c>
      <c r="G41" s="136" t="s">
        <v>1029</v>
      </c>
      <c r="H41" s="139" t="s">
        <v>872</v>
      </c>
      <c r="I41" s="139" t="s">
        <v>873</v>
      </c>
      <c r="J41" s="139" t="s">
        <v>874</v>
      </c>
      <c r="K41" s="136" t="s">
        <v>1022</v>
      </c>
      <c r="L41" s="140">
        <v>1</v>
      </c>
      <c r="M41" s="140">
        <v>888</v>
      </c>
      <c r="N41" s="140">
        <v>6</v>
      </c>
      <c r="O41" s="139">
        <v>0</v>
      </c>
      <c r="P41" s="139" t="b">
        <v>0</v>
      </c>
      <c r="Q41" s="139" t="b">
        <v>1</v>
      </c>
      <c r="R41" s="136" t="s">
        <v>1025</v>
      </c>
      <c r="S41" s="136" t="s">
        <v>959</v>
      </c>
      <c r="T41" s="141">
        <v>0</v>
      </c>
    </row>
    <row r="42" spans="1:20">
      <c r="A42" s="136" t="s">
        <v>1030</v>
      </c>
      <c r="B42" s="136" t="s">
        <v>869</v>
      </c>
      <c r="C42" s="136" t="s">
        <v>1031</v>
      </c>
      <c r="D42" s="136" t="s">
        <v>1032</v>
      </c>
      <c r="E42" s="137"/>
      <c r="F42" s="145" t="str">
        <f>VLOOKUP(C42,'[3]entities zones'!$C:$D,2,FALSE)</f>
        <v>EURZONSUD</v>
      </c>
      <c r="G42" s="136" t="s">
        <v>1033</v>
      </c>
      <c r="H42" s="139" t="s">
        <v>872</v>
      </c>
      <c r="I42" s="139" t="s">
        <v>873</v>
      </c>
      <c r="J42" s="139" t="s">
        <v>874</v>
      </c>
      <c r="K42" s="136" t="s">
        <v>1022</v>
      </c>
      <c r="L42" s="140">
        <v>1</v>
      </c>
      <c r="M42" s="140">
        <v>999</v>
      </c>
      <c r="N42" s="140">
        <v>6</v>
      </c>
      <c r="O42" s="139">
        <v>0</v>
      </c>
      <c r="P42" s="139" t="b">
        <v>0</v>
      </c>
      <c r="Q42" s="139" t="b">
        <v>1</v>
      </c>
      <c r="R42" s="136" t="s">
        <v>1025</v>
      </c>
      <c r="S42" s="136" t="s">
        <v>959</v>
      </c>
      <c r="T42" s="141">
        <v>0</v>
      </c>
    </row>
    <row r="43" spans="1:20">
      <c r="A43" s="142" t="s">
        <v>1034</v>
      </c>
      <c r="B43" s="143" t="s">
        <v>869</v>
      </c>
      <c r="C43" s="143" t="s">
        <v>251</v>
      </c>
      <c r="D43" s="143" t="s">
        <v>1035</v>
      </c>
      <c r="E43" s="144"/>
      <c r="F43" s="145" t="str">
        <f>VLOOKUP(C43,'[3]entities zones'!$C:$D,2,FALSE)</f>
        <v>EURZONNOR</v>
      </c>
      <c r="G43" s="143" t="s">
        <v>1036</v>
      </c>
      <c r="H43" s="146" t="s">
        <v>872</v>
      </c>
      <c r="I43" s="146" t="s">
        <v>873</v>
      </c>
      <c r="J43" s="146" t="s">
        <v>874</v>
      </c>
      <c r="K43" s="143" t="s">
        <v>923</v>
      </c>
      <c r="L43" s="147">
        <v>1</v>
      </c>
      <c r="M43" s="147">
        <v>50</v>
      </c>
      <c r="N43" s="147">
        <v>4</v>
      </c>
      <c r="O43" s="146">
        <v>4</v>
      </c>
      <c r="P43" s="146" t="b">
        <v>1</v>
      </c>
      <c r="Q43" s="146" t="b">
        <v>1</v>
      </c>
      <c r="R43" s="143" t="s">
        <v>1025</v>
      </c>
      <c r="S43" s="143" t="s">
        <v>1037</v>
      </c>
      <c r="T43" s="148">
        <v>6</v>
      </c>
    </row>
    <row r="44" spans="1:20">
      <c r="A44" s="136" t="s">
        <v>1038</v>
      </c>
      <c r="B44" s="136" t="s">
        <v>869</v>
      </c>
      <c r="C44" s="136" t="s">
        <v>1039</v>
      </c>
      <c r="D44" s="136" t="s">
        <v>1040</v>
      </c>
      <c r="E44" s="137" t="s">
        <v>895</v>
      </c>
      <c r="F44" s="145" t="str">
        <f>VLOOKUP(C44,'[3]entities zones'!$C:$D,2,FALSE)</f>
        <v>EURZONNOR</v>
      </c>
      <c r="G44" s="136" t="s">
        <v>1040</v>
      </c>
      <c r="H44" s="139" t="s">
        <v>872</v>
      </c>
      <c r="I44" s="139" t="s">
        <v>873</v>
      </c>
      <c r="J44" s="139" t="s">
        <v>874</v>
      </c>
      <c r="K44" s="136" t="s">
        <v>251</v>
      </c>
      <c r="L44" s="140">
        <v>1</v>
      </c>
      <c r="M44" s="140">
        <v>10</v>
      </c>
      <c r="N44" s="140">
        <v>5</v>
      </c>
      <c r="O44" s="139">
        <v>0</v>
      </c>
      <c r="P44" s="139" t="b">
        <v>0</v>
      </c>
      <c r="Q44" s="139" t="b">
        <v>1</v>
      </c>
      <c r="R44" s="136" t="s">
        <v>1041</v>
      </c>
      <c r="S44" s="136" t="s">
        <v>1042</v>
      </c>
      <c r="T44" s="141">
        <v>0</v>
      </c>
    </row>
    <row r="45" spans="1:20">
      <c r="A45" s="136" t="s">
        <v>1043</v>
      </c>
      <c r="B45" s="136" t="s">
        <v>869</v>
      </c>
      <c r="C45" s="136" t="s">
        <v>421</v>
      </c>
      <c r="D45" s="136" t="s">
        <v>1044</v>
      </c>
      <c r="E45" s="137"/>
      <c r="F45" s="145" t="str">
        <f>VLOOKUP(C45,'[3]entities zones'!$C:$D,2,FALSE)</f>
        <v>EURZONNOR</v>
      </c>
      <c r="G45" s="136" t="s">
        <v>1044</v>
      </c>
      <c r="H45" s="139" t="s">
        <v>872</v>
      </c>
      <c r="I45" s="139" t="s">
        <v>873</v>
      </c>
      <c r="J45" s="139" t="s">
        <v>874</v>
      </c>
      <c r="K45" s="136" t="s">
        <v>251</v>
      </c>
      <c r="L45" s="140">
        <v>1</v>
      </c>
      <c r="M45" s="140">
        <v>20</v>
      </c>
      <c r="N45" s="140">
        <v>5</v>
      </c>
      <c r="O45" s="139">
        <v>0</v>
      </c>
      <c r="P45" s="139" t="b">
        <v>0</v>
      </c>
      <c r="Q45" s="139" t="b">
        <v>1</v>
      </c>
      <c r="R45" s="136" t="s">
        <v>1041</v>
      </c>
      <c r="S45" s="136" t="s">
        <v>1045</v>
      </c>
      <c r="T45" s="141">
        <v>0</v>
      </c>
    </row>
    <row r="46" spans="1:20">
      <c r="A46" s="136" t="s">
        <v>1046</v>
      </c>
      <c r="B46" s="136" t="s">
        <v>869</v>
      </c>
      <c r="C46" s="136" t="s">
        <v>1047</v>
      </c>
      <c r="D46" s="136" t="s">
        <v>1048</v>
      </c>
      <c r="E46" s="137"/>
      <c r="F46" s="145" t="str">
        <f>VLOOKUP(C46,'[3]entities zones'!$C:$D,2,FALSE)</f>
        <v>EURZONNOR</v>
      </c>
      <c r="G46" s="136" t="s">
        <v>1048</v>
      </c>
      <c r="H46" s="139" t="s">
        <v>872</v>
      </c>
      <c r="I46" s="139" t="s">
        <v>873</v>
      </c>
      <c r="J46" s="139" t="s">
        <v>874</v>
      </c>
      <c r="K46" s="136" t="s">
        <v>251</v>
      </c>
      <c r="L46" s="140">
        <v>1</v>
      </c>
      <c r="M46" s="140">
        <v>30</v>
      </c>
      <c r="N46" s="140">
        <v>5</v>
      </c>
      <c r="O46" s="139">
        <v>0</v>
      </c>
      <c r="P46" s="139" t="b">
        <v>0</v>
      </c>
      <c r="Q46" s="139" t="b">
        <v>1</v>
      </c>
      <c r="R46" s="136" t="s">
        <v>1041</v>
      </c>
      <c r="S46" s="136" t="s">
        <v>1049</v>
      </c>
      <c r="T46" s="141">
        <v>0</v>
      </c>
    </row>
    <row r="47" spans="1:20">
      <c r="A47" s="142" t="s">
        <v>1050</v>
      </c>
      <c r="B47" s="143" t="s">
        <v>869</v>
      </c>
      <c r="C47" s="143" t="s">
        <v>1051</v>
      </c>
      <c r="D47" s="143" t="s">
        <v>1052</v>
      </c>
      <c r="E47" s="144"/>
      <c r="F47" s="145" t="str">
        <f>VLOOKUP(C47,'[3]entities zones'!$C:$D,2,FALSE)</f>
        <v>EURZONNOR</v>
      </c>
      <c r="G47" s="143" t="s">
        <v>1053</v>
      </c>
      <c r="H47" s="146" t="s">
        <v>872</v>
      </c>
      <c r="I47" s="146" t="s">
        <v>873</v>
      </c>
      <c r="J47" s="146" t="s">
        <v>874</v>
      </c>
      <c r="K47" s="143" t="s">
        <v>251</v>
      </c>
      <c r="L47" s="147">
        <v>1</v>
      </c>
      <c r="M47" s="147">
        <v>888</v>
      </c>
      <c r="N47" s="147">
        <v>5</v>
      </c>
      <c r="O47" s="146">
        <v>2</v>
      </c>
      <c r="P47" s="146" t="b">
        <v>1</v>
      </c>
      <c r="Q47" s="146" t="b">
        <v>1</v>
      </c>
      <c r="R47" s="143" t="s">
        <v>1025</v>
      </c>
      <c r="S47" s="143" t="s">
        <v>959</v>
      </c>
      <c r="T47" s="148">
        <v>2</v>
      </c>
    </row>
    <row r="48" spans="1:20">
      <c r="A48" s="136" t="s">
        <v>1054</v>
      </c>
      <c r="B48" s="136" t="s">
        <v>869</v>
      </c>
      <c r="C48" s="136" t="s">
        <v>1055</v>
      </c>
      <c r="D48" s="136" t="s">
        <v>1056</v>
      </c>
      <c r="E48" s="137"/>
      <c r="F48" s="145" t="str">
        <f>VLOOKUP(C48,'[3]entities zones'!$C:$D,2,FALSE)</f>
        <v>EURZONNOR</v>
      </c>
      <c r="G48" s="136" t="s">
        <v>1057</v>
      </c>
      <c r="H48" s="139" t="s">
        <v>872</v>
      </c>
      <c r="I48" s="139" t="s">
        <v>873</v>
      </c>
      <c r="J48" s="139" t="s">
        <v>874</v>
      </c>
      <c r="K48" s="136" t="s">
        <v>1051</v>
      </c>
      <c r="L48" s="140">
        <v>1</v>
      </c>
      <c r="M48" s="140">
        <v>888</v>
      </c>
      <c r="N48" s="140">
        <v>6</v>
      </c>
      <c r="O48" s="139">
        <v>0</v>
      </c>
      <c r="P48" s="139" t="b">
        <v>0</v>
      </c>
      <c r="Q48" s="139" t="b">
        <v>1</v>
      </c>
      <c r="R48" s="136" t="s">
        <v>1025</v>
      </c>
      <c r="S48" s="136" t="s">
        <v>1058</v>
      </c>
      <c r="T48" s="141">
        <v>0</v>
      </c>
    </row>
    <row r="49" spans="1:20">
      <c r="A49" s="136" t="s">
        <v>1059</v>
      </c>
      <c r="B49" s="136" t="s">
        <v>869</v>
      </c>
      <c r="C49" s="136" t="s">
        <v>1060</v>
      </c>
      <c r="D49" s="136" t="s">
        <v>1061</v>
      </c>
      <c r="E49" s="137"/>
      <c r="F49" s="145" t="str">
        <f>VLOOKUP(C49,'[3]entities zones'!$C:$D,2,FALSE)</f>
        <v>EURZONNOR</v>
      </c>
      <c r="G49" s="136" t="s">
        <v>1062</v>
      </c>
      <c r="H49" s="139" t="s">
        <v>872</v>
      </c>
      <c r="I49" s="139" t="s">
        <v>873</v>
      </c>
      <c r="J49" s="139" t="s">
        <v>874</v>
      </c>
      <c r="K49" s="136" t="s">
        <v>1051</v>
      </c>
      <c r="L49" s="140">
        <v>1</v>
      </c>
      <c r="M49" s="140">
        <v>999</v>
      </c>
      <c r="N49" s="140">
        <v>6</v>
      </c>
      <c r="O49" s="139">
        <v>0</v>
      </c>
      <c r="P49" s="139" t="b">
        <v>0</v>
      </c>
      <c r="Q49" s="139" t="b">
        <v>1</v>
      </c>
      <c r="R49" s="136" t="s">
        <v>1025</v>
      </c>
      <c r="S49" s="136" t="s">
        <v>1058</v>
      </c>
      <c r="T49" s="141">
        <v>0</v>
      </c>
    </row>
    <row r="50" spans="1:20">
      <c r="A50" s="142" t="s">
        <v>1063</v>
      </c>
      <c r="B50" s="143" t="s">
        <v>869</v>
      </c>
      <c r="C50" s="143" t="s">
        <v>252</v>
      </c>
      <c r="D50" s="143" t="s">
        <v>1064</v>
      </c>
      <c r="E50" s="144"/>
      <c r="F50" s="145" t="str">
        <f>VLOOKUP(C50,'[3]entities zones'!$C:$D,2,FALSE)</f>
        <v>EURZONSUD</v>
      </c>
      <c r="G50" s="143" t="s">
        <v>1065</v>
      </c>
      <c r="H50" s="146" t="s">
        <v>872</v>
      </c>
      <c r="I50" s="146" t="s">
        <v>873</v>
      </c>
      <c r="J50" s="146" t="s">
        <v>874</v>
      </c>
      <c r="K50" s="143" t="s">
        <v>923</v>
      </c>
      <c r="L50" s="147">
        <v>1</v>
      </c>
      <c r="M50" s="147">
        <v>60</v>
      </c>
      <c r="N50" s="147">
        <v>4</v>
      </c>
      <c r="O50" s="146">
        <v>4</v>
      </c>
      <c r="P50" s="146" t="b">
        <v>1</v>
      </c>
      <c r="Q50" s="146" t="b">
        <v>1</v>
      </c>
      <c r="R50" s="143" t="s">
        <v>1025</v>
      </c>
      <c r="S50" s="143" t="s">
        <v>1066</v>
      </c>
      <c r="T50" s="148">
        <v>6</v>
      </c>
    </row>
    <row r="51" spans="1:20">
      <c r="A51" s="136" t="s">
        <v>1067</v>
      </c>
      <c r="B51" s="136" t="s">
        <v>869</v>
      </c>
      <c r="C51" s="136" t="s">
        <v>1068</v>
      </c>
      <c r="D51" s="136" t="s">
        <v>1069</v>
      </c>
      <c r="E51" s="137" t="s">
        <v>895</v>
      </c>
      <c r="F51" s="145" t="str">
        <f>VLOOKUP(C51,'[3]entities zones'!$C:$D,2,FALSE)</f>
        <v>EURZONSUD</v>
      </c>
      <c r="G51" s="136" t="s">
        <v>1069</v>
      </c>
      <c r="H51" s="139" t="s">
        <v>872</v>
      </c>
      <c r="I51" s="139" t="s">
        <v>873</v>
      </c>
      <c r="J51" s="139" t="s">
        <v>874</v>
      </c>
      <c r="K51" s="136" t="s">
        <v>252</v>
      </c>
      <c r="L51" s="140">
        <v>1</v>
      </c>
      <c r="M51" s="140">
        <v>10</v>
      </c>
      <c r="N51" s="140">
        <v>5</v>
      </c>
      <c r="O51" s="139">
        <v>0</v>
      </c>
      <c r="P51" s="139" t="b">
        <v>0</v>
      </c>
      <c r="Q51" s="139" t="b">
        <v>1</v>
      </c>
      <c r="R51" s="136" t="s">
        <v>1041</v>
      </c>
      <c r="S51" s="136" t="s">
        <v>1070</v>
      </c>
      <c r="T51" s="141">
        <v>0</v>
      </c>
    </row>
    <row r="52" spans="1:20">
      <c r="A52" s="136" t="s">
        <v>1071</v>
      </c>
      <c r="B52" s="136" t="s">
        <v>869</v>
      </c>
      <c r="C52" s="136" t="s">
        <v>423</v>
      </c>
      <c r="D52" s="136" t="s">
        <v>1072</v>
      </c>
      <c r="E52" s="137"/>
      <c r="F52" s="145" t="str">
        <f>VLOOKUP(C52,'[3]entities zones'!$C:$D,2,FALSE)</f>
        <v>EURZONSUD</v>
      </c>
      <c r="G52" s="136" t="s">
        <v>1072</v>
      </c>
      <c r="H52" s="139" t="s">
        <v>872</v>
      </c>
      <c r="I52" s="139" t="s">
        <v>873</v>
      </c>
      <c r="J52" s="139" t="s">
        <v>874</v>
      </c>
      <c r="K52" s="136" t="s">
        <v>252</v>
      </c>
      <c r="L52" s="140">
        <v>1</v>
      </c>
      <c r="M52" s="140">
        <v>20</v>
      </c>
      <c r="N52" s="140">
        <v>5</v>
      </c>
      <c r="O52" s="139">
        <v>0</v>
      </c>
      <c r="P52" s="139" t="b">
        <v>0</v>
      </c>
      <c r="Q52" s="139" t="b">
        <v>1</v>
      </c>
      <c r="R52" s="136" t="s">
        <v>1041</v>
      </c>
      <c r="S52" s="136" t="s">
        <v>1073</v>
      </c>
      <c r="T52" s="141">
        <v>0</v>
      </c>
    </row>
    <row r="53" spans="1:20">
      <c r="A53" s="136" t="s">
        <v>1074</v>
      </c>
      <c r="B53" s="136" t="s">
        <v>869</v>
      </c>
      <c r="C53" s="136" t="s">
        <v>1075</v>
      </c>
      <c r="D53" s="136" t="s">
        <v>1076</v>
      </c>
      <c r="E53" s="137"/>
      <c r="F53" s="145" t="str">
        <f>VLOOKUP(C53,'[3]entities zones'!$C:$D,2,FALSE)</f>
        <v>EURZONSUD</v>
      </c>
      <c r="G53" s="136" t="s">
        <v>1076</v>
      </c>
      <c r="H53" s="139" t="s">
        <v>872</v>
      </c>
      <c r="I53" s="139" t="s">
        <v>873</v>
      </c>
      <c r="J53" s="139" t="s">
        <v>874</v>
      </c>
      <c r="K53" s="136" t="s">
        <v>252</v>
      </c>
      <c r="L53" s="140">
        <v>1</v>
      </c>
      <c r="M53" s="140">
        <v>30</v>
      </c>
      <c r="N53" s="140">
        <v>5</v>
      </c>
      <c r="O53" s="139">
        <v>0</v>
      </c>
      <c r="P53" s="139" t="b">
        <v>0</v>
      </c>
      <c r="Q53" s="139" t="b">
        <v>1</v>
      </c>
      <c r="R53" s="136" t="s">
        <v>1041</v>
      </c>
      <c r="S53" s="136" t="s">
        <v>1077</v>
      </c>
      <c r="T53" s="141">
        <v>0</v>
      </c>
    </row>
    <row r="54" spans="1:20">
      <c r="A54" s="142" t="s">
        <v>1078</v>
      </c>
      <c r="B54" s="143" t="s">
        <v>869</v>
      </c>
      <c r="C54" s="143" t="s">
        <v>1079</v>
      </c>
      <c r="D54" s="143" t="s">
        <v>1080</v>
      </c>
      <c r="E54" s="144"/>
      <c r="F54" s="145" t="str">
        <f>VLOOKUP(C54,'[3]entities zones'!$C:$D,2,FALSE)</f>
        <v>EURZONSUD</v>
      </c>
      <c r="G54" s="143" t="s">
        <v>1081</v>
      </c>
      <c r="H54" s="146" t="s">
        <v>872</v>
      </c>
      <c r="I54" s="146" t="s">
        <v>873</v>
      </c>
      <c r="J54" s="146" t="s">
        <v>874</v>
      </c>
      <c r="K54" s="143" t="s">
        <v>252</v>
      </c>
      <c r="L54" s="147">
        <v>1</v>
      </c>
      <c r="M54" s="147">
        <v>888</v>
      </c>
      <c r="N54" s="147">
        <v>5</v>
      </c>
      <c r="O54" s="146">
        <v>2</v>
      </c>
      <c r="P54" s="146" t="b">
        <v>1</v>
      </c>
      <c r="Q54" s="146" t="b">
        <v>1</v>
      </c>
      <c r="R54" s="143" t="s">
        <v>1025</v>
      </c>
      <c r="S54" s="143" t="s">
        <v>1058</v>
      </c>
      <c r="T54" s="148">
        <v>2</v>
      </c>
    </row>
    <row r="55" spans="1:20">
      <c r="A55" s="136" t="s">
        <v>1082</v>
      </c>
      <c r="B55" s="136" t="s">
        <v>869</v>
      </c>
      <c r="C55" s="136" t="s">
        <v>1083</v>
      </c>
      <c r="D55" s="136" t="s">
        <v>1084</v>
      </c>
      <c r="E55" s="137"/>
      <c r="F55" s="145" t="str">
        <f>VLOOKUP(C55,'[3]entities zones'!$C:$D,2,FALSE)</f>
        <v>EURZONSUD</v>
      </c>
      <c r="G55" s="136" t="s">
        <v>1085</v>
      </c>
      <c r="H55" s="139" t="s">
        <v>872</v>
      </c>
      <c r="I55" s="139" t="s">
        <v>873</v>
      </c>
      <c r="J55" s="139" t="s">
        <v>874</v>
      </c>
      <c r="K55" s="136" t="s">
        <v>1079</v>
      </c>
      <c r="L55" s="140">
        <v>1</v>
      </c>
      <c r="M55" s="140">
        <v>888</v>
      </c>
      <c r="N55" s="140">
        <v>6</v>
      </c>
      <c r="O55" s="139">
        <v>0</v>
      </c>
      <c r="P55" s="139" t="b">
        <v>0</v>
      </c>
      <c r="Q55" s="139" t="b">
        <v>1</v>
      </c>
      <c r="R55" s="136" t="s">
        <v>1025</v>
      </c>
      <c r="S55" s="136" t="s">
        <v>1058</v>
      </c>
      <c r="T55" s="141">
        <v>0</v>
      </c>
    </row>
    <row r="56" spans="1:20">
      <c r="A56" s="136" t="s">
        <v>1086</v>
      </c>
      <c r="B56" s="136" t="s">
        <v>869</v>
      </c>
      <c r="C56" s="136" t="s">
        <v>1087</v>
      </c>
      <c r="D56" s="136" t="s">
        <v>1088</v>
      </c>
      <c r="E56" s="137"/>
      <c r="F56" s="145" t="str">
        <f>VLOOKUP(C56,'[3]entities zones'!$C:$D,2,FALSE)</f>
        <v>EURZONSUD</v>
      </c>
      <c r="G56" s="136" t="s">
        <v>1089</v>
      </c>
      <c r="H56" s="139" t="s">
        <v>872</v>
      </c>
      <c r="I56" s="139" t="s">
        <v>873</v>
      </c>
      <c r="J56" s="139" t="s">
        <v>874</v>
      </c>
      <c r="K56" s="136" t="s">
        <v>1079</v>
      </c>
      <c r="L56" s="140">
        <v>1</v>
      </c>
      <c r="M56" s="140">
        <v>999</v>
      </c>
      <c r="N56" s="140">
        <v>6</v>
      </c>
      <c r="O56" s="139">
        <v>0</v>
      </c>
      <c r="P56" s="139" t="b">
        <v>0</v>
      </c>
      <c r="Q56" s="139" t="b">
        <v>1</v>
      </c>
      <c r="R56" s="136" t="s">
        <v>1025</v>
      </c>
      <c r="S56" s="136" t="s">
        <v>1058</v>
      </c>
      <c r="T56" s="141">
        <v>0</v>
      </c>
    </row>
    <row r="57" spans="1:20">
      <c r="A57" s="142" t="s">
        <v>1090</v>
      </c>
      <c r="B57" s="143" t="s">
        <v>869</v>
      </c>
      <c r="C57" s="143" t="s">
        <v>256</v>
      </c>
      <c r="D57" s="143" t="s">
        <v>1091</v>
      </c>
      <c r="E57" s="144"/>
      <c r="F57" s="145" t="str">
        <f>VLOOKUP(C57,'[3]entities zones'!$C:$D,2,FALSE)</f>
        <v>EURZONNOR</v>
      </c>
      <c r="G57" s="143" t="s">
        <v>1092</v>
      </c>
      <c r="H57" s="146" t="s">
        <v>872</v>
      </c>
      <c r="I57" s="146" t="s">
        <v>873</v>
      </c>
      <c r="J57" s="146" t="s">
        <v>874</v>
      </c>
      <c r="K57" s="143" t="s">
        <v>923</v>
      </c>
      <c r="L57" s="147">
        <v>1</v>
      </c>
      <c r="M57" s="147">
        <v>80</v>
      </c>
      <c r="N57" s="147">
        <v>4</v>
      </c>
      <c r="O57" s="146">
        <v>4</v>
      </c>
      <c r="P57" s="146" t="b">
        <v>1</v>
      </c>
      <c r="Q57" s="146" t="b">
        <v>1</v>
      </c>
      <c r="R57" s="143" t="s">
        <v>1093</v>
      </c>
      <c r="S57" s="143" t="s">
        <v>1094</v>
      </c>
      <c r="T57" s="148">
        <v>6</v>
      </c>
    </row>
    <row r="58" spans="1:20">
      <c r="A58" s="136" t="s">
        <v>1095</v>
      </c>
      <c r="B58" s="136" t="s">
        <v>869</v>
      </c>
      <c r="C58" s="136" t="s">
        <v>1096</v>
      </c>
      <c r="D58" s="136" t="s">
        <v>1097</v>
      </c>
      <c r="E58" s="137" t="s">
        <v>895</v>
      </c>
      <c r="F58" s="145" t="str">
        <f>VLOOKUP(C58,'[3]entities zones'!$C:$D,2,FALSE)</f>
        <v>EURZONNOR</v>
      </c>
      <c r="G58" s="136" t="s">
        <v>1097</v>
      </c>
      <c r="H58" s="139" t="s">
        <v>872</v>
      </c>
      <c r="I58" s="139" t="s">
        <v>873</v>
      </c>
      <c r="J58" s="139" t="s">
        <v>874</v>
      </c>
      <c r="K58" s="136" t="s">
        <v>256</v>
      </c>
      <c r="L58" s="140">
        <v>1</v>
      </c>
      <c r="M58" s="140">
        <v>10</v>
      </c>
      <c r="N58" s="140">
        <v>5</v>
      </c>
      <c r="O58" s="139">
        <v>0</v>
      </c>
      <c r="P58" s="139" t="b">
        <v>0</v>
      </c>
      <c r="Q58" s="139" t="b">
        <v>1</v>
      </c>
      <c r="R58" s="136" t="s">
        <v>1041</v>
      </c>
      <c r="S58" s="136" t="s">
        <v>1098</v>
      </c>
      <c r="T58" s="141">
        <v>0</v>
      </c>
    </row>
    <row r="59" spans="1:20">
      <c r="A59" s="136" t="s">
        <v>1099</v>
      </c>
      <c r="B59" s="136" t="s">
        <v>869</v>
      </c>
      <c r="C59" s="136" t="s">
        <v>425</v>
      </c>
      <c r="D59" s="136" t="s">
        <v>1100</v>
      </c>
      <c r="E59" s="137"/>
      <c r="F59" s="145" t="str">
        <f>VLOOKUP(C59,'[3]entities zones'!$C:$D,2,FALSE)</f>
        <v>EURZONNOR</v>
      </c>
      <c r="G59" s="136" t="s">
        <v>1100</v>
      </c>
      <c r="H59" s="139" t="s">
        <v>872</v>
      </c>
      <c r="I59" s="139" t="s">
        <v>873</v>
      </c>
      <c r="J59" s="139" t="s">
        <v>874</v>
      </c>
      <c r="K59" s="136" t="s">
        <v>256</v>
      </c>
      <c r="L59" s="140">
        <v>1</v>
      </c>
      <c r="M59" s="140">
        <v>20</v>
      </c>
      <c r="N59" s="140">
        <v>5</v>
      </c>
      <c r="O59" s="139">
        <v>0</v>
      </c>
      <c r="P59" s="139" t="b">
        <v>0</v>
      </c>
      <c r="Q59" s="139" t="b">
        <v>1</v>
      </c>
      <c r="R59" s="136" t="s">
        <v>1041</v>
      </c>
      <c r="S59" s="136" t="s">
        <v>1101</v>
      </c>
      <c r="T59" s="141">
        <v>0</v>
      </c>
    </row>
    <row r="60" spans="1:20">
      <c r="A60" s="136" t="s">
        <v>1102</v>
      </c>
      <c r="B60" s="136" t="s">
        <v>869</v>
      </c>
      <c r="C60" s="136" t="s">
        <v>1103</v>
      </c>
      <c r="D60" s="136" t="s">
        <v>1104</v>
      </c>
      <c r="E60" s="137"/>
      <c r="F60" s="145" t="str">
        <f>VLOOKUP(C60,'[3]entities zones'!$C:$D,2,FALSE)</f>
        <v>EURZONNOR</v>
      </c>
      <c r="G60" s="136" t="s">
        <v>1104</v>
      </c>
      <c r="H60" s="139" t="s">
        <v>872</v>
      </c>
      <c r="I60" s="139" t="s">
        <v>873</v>
      </c>
      <c r="J60" s="139" t="s">
        <v>874</v>
      </c>
      <c r="K60" s="136" t="s">
        <v>256</v>
      </c>
      <c r="L60" s="140">
        <v>1</v>
      </c>
      <c r="M60" s="140">
        <v>30</v>
      </c>
      <c r="N60" s="140">
        <v>5</v>
      </c>
      <c r="O60" s="139">
        <v>0</v>
      </c>
      <c r="P60" s="139" t="b">
        <v>0</v>
      </c>
      <c r="Q60" s="139" t="b">
        <v>1</v>
      </c>
      <c r="R60" s="136" t="s">
        <v>1041</v>
      </c>
      <c r="S60" s="136" t="s">
        <v>1105</v>
      </c>
      <c r="T60" s="141">
        <v>0</v>
      </c>
    </row>
    <row r="61" spans="1:20">
      <c r="A61" s="142" t="s">
        <v>1106</v>
      </c>
      <c r="B61" s="143" t="s">
        <v>869</v>
      </c>
      <c r="C61" s="143" t="s">
        <v>1107</v>
      </c>
      <c r="D61" s="143" t="s">
        <v>1108</v>
      </c>
      <c r="E61" s="144"/>
      <c r="F61" s="145" t="str">
        <f>VLOOKUP(C61,'[3]entities zones'!$C:$D,2,FALSE)</f>
        <v>EURZONNOR</v>
      </c>
      <c r="G61" s="143" t="s">
        <v>1109</v>
      </c>
      <c r="H61" s="146" t="s">
        <v>872</v>
      </c>
      <c r="I61" s="146" t="s">
        <v>873</v>
      </c>
      <c r="J61" s="146" t="s">
        <v>874</v>
      </c>
      <c r="K61" s="143" t="s">
        <v>256</v>
      </c>
      <c r="L61" s="147">
        <v>1</v>
      </c>
      <c r="M61" s="147">
        <v>888</v>
      </c>
      <c r="N61" s="147">
        <v>5</v>
      </c>
      <c r="O61" s="146">
        <v>2</v>
      </c>
      <c r="P61" s="146" t="b">
        <v>1</v>
      </c>
      <c r="Q61" s="146" t="b">
        <v>1</v>
      </c>
      <c r="R61" s="143" t="s">
        <v>1093</v>
      </c>
      <c r="S61" s="143" t="s">
        <v>1058</v>
      </c>
      <c r="T61" s="148">
        <v>2</v>
      </c>
    </row>
    <row r="62" spans="1:20">
      <c r="A62" s="136" t="s">
        <v>1110</v>
      </c>
      <c r="B62" s="136" t="s">
        <v>869</v>
      </c>
      <c r="C62" s="136" t="s">
        <v>1111</v>
      </c>
      <c r="D62" s="136" t="s">
        <v>1112</v>
      </c>
      <c r="E62" s="137"/>
      <c r="F62" s="145" t="str">
        <f>VLOOKUP(C62,'[3]entities zones'!$C:$D,2,FALSE)</f>
        <v>EURZONNOR</v>
      </c>
      <c r="G62" s="136" t="s">
        <v>1113</v>
      </c>
      <c r="H62" s="139" t="s">
        <v>872</v>
      </c>
      <c r="I62" s="139" t="s">
        <v>873</v>
      </c>
      <c r="J62" s="139" t="s">
        <v>874</v>
      </c>
      <c r="K62" s="136" t="s">
        <v>1107</v>
      </c>
      <c r="L62" s="140">
        <v>1</v>
      </c>
      <c r="M62" s="140">
        <v>888</v>
      </c>
      <c r="N62" s="140">
        <v>6</v>
      </c>
      <c r="O62" s="139">
        <v>0</v>
      </c>
      <c r="P62" s="139" t="b">
        <v>0</v>
      </c>
      <c r="Q62" s="139" t="b">
        <v>1</v>
      </c>
      <c r="R62" s="136" t="s">
        <v>1093</v>
      </c>
      <c r="S62" s="136" t="s">
        <v>1058</v>
      </c>
      <c r="T62" s="141">
        <v>0</v>
      </c>
    </row>
    <row r="63" spans="1:20">
      <c r="A63" s="136" t="s">
        <v>1114</v>
      </c>
      <c r="B63" s="136" t="s">
        <v>869</v>
      </c>
      <c r="C63" s="136" t="s">
        <v>1115</v>
      </c>
      <c r="D63" s="136" t="s">
        <v>1116</v>
      </c>
      <c r="E63" s="137"/>
      <c r="F63" s="145" t="str">
        <f>VLOOKUP(C63,'[3]entities zones'!$C:$D,2,FALSE)</f>
        <v>EURZONNOR</v>
      </c>
      <c r="G63" s="136" t="s">
        <v>1117</v>
      </c>
      <c r="H63" s="139" t="s">
        <v>872</v>
      </c>
      <c r="I63" s="139" t="s">
        <v>873</v>
      </c>
      <c r="J63" s="139" t="s">
        <v>874</v>
      </c>
      <c r="K63" s="136" t="s">
        <v>1107</v>
      </c>
      <c r="L63" s="140">
        <v>1</v>
      </c>
      <c r="M63" s="140">
        <v>999</v>
      </c>
      <c r="N63" s="140">
        <v>6</v>
      </c>
      <c r="O63" s="139">
        <v>0</v>
      </c>
      <c r="P63" s="139" t="b">
        <v>0</v>
      </c>
      <c r="Q63" s="139" t="b">
        <v>1</v>
      </c>
      <c r="R63" s="136" t="s">
        <v>1093</v>
      </c>
      <c r="S63" s="136" t="s">
        <v>1058</v>
      </c>
      <c r="T63" s="141">
        <v>0</v>
      </c>
    </row>
    <row r="64" spans="1:20">
      <c r="A64" s="142" t="s">
        <v>1118</v>
      </c>
      <c r="B64" s="143" t="s">
        <v>869</v>
      </c>
      <c r="C64" s="143" t="s">
        <v>257</v>
      </c>
      <c r="D64" s="143" t="s">
        <v>1119</v>
      </c>
      <c r="E64" s="144"/>
      <c r="F64" s="145" t="str">
        <f>VLOOKUP(C64,'[3]entities zones'!$C:$D,2,FALSE)</f>
        <v>EURZONNOR</v>
      </c>
      <c r="G64" s="143" t="s">
        <v>1120</v>
      </c>
      <c r="H64" s="146" t="s">
        <v>872</v>
      </c>
      <c r="I64" s="146" t="s">
        <v>873</v>
      </c>
      <c r="J64" s="146" t="s">
        <v>874</v>
      </c>
      <c r="K64" s="143" t="s">
        <v>923</v>
      </c>
      <c r="L64" s="147">
        <v>1</v>
      </c>
      <c r="M64" s="147">
        <v>90</v>
      </c>
      <c r="N64" s="147">
        <v>4</v>
      </c>
      <c r="O64" s="146">
        <v>4</v>
      </c>
      <c r="P64" s="146" t="b">
        <v>1</v>
      </c>
      <c r="Q64" s="146" t="b">
        <v>1</v>
      </c>
      <c r="R64" s="143" t="s">
        <v>1093</v>
      </c>
      <c r="S64" s="143" t="s">
        <v>1121</v>
      </c>
      <c r="T64" s="148">
        <v>6</v>
      </c>
    </row>
    <row r="65" spans="1:20">
      <c r="A65" s="136" t="s">
        <v>1122</v>
      </c>
      <c r="B65" s="136" t="s">
        <v>869</v>
      </c>
      <c r="C65" s="136" t="s">
        <v>1123</v>
      </c>
      <c r="D65" s="136" t="s">
        <v>1124</v>
      </c>
      <c r="E65" s="137" t="s">
        <v>895</v>
      </c>
      <c r="F65" s="145" t="str">
        <f>VLOOKUP(C65,'[3]entities zones'!$C:$D,2,FALSE)</f>
        <v>EURZONNOR</v>
      </c>
      <c r="G65" s="136" t="s">
        <v>1124</v>
      </c>
      <c r="H65" s="139" t="s">
        <v>872</v>
      </c>
      <c r="I65" s="139" t="s">
        <v>873</v>
      </c>
      <c r="J65" s="139" t="s">
        <v>874</v>
      </c>
      <c r="K65" s="136" t="s">
        <v>257</v>
      </c>
      <c r="L65" s="140">
        <v>1</v>
      </c>
      <c r="M65" s="140">
        <v>10</v>
      </c>
      <c r="N65" s="140">
        <v>5</v>
      </c>
      <c r="O65" s="139">
        <v>0</v>
      </c>
      <c r="P65" s="139" t="b">
        <v>0</v>
      </c>
      <c r="Q65" s="139" t="b">
        <v>1</v>
      </c>
      <c r="R65" s="136" t="s">
        <v>1041</v>
      </c>
      <c r="S65" s="136" t="s">
        <v>1125</v>
      </c>
      <c r="T65" s="141">
        <v>0</v>
      </c>
    </row>
    <row r="66" spans="1:20">
      <c r="A66" s="136" t="s">
        <v>1126</v>
      </c>
      <c r="B66" s="136" t="s">
        <v>869</v>
      </c>
      <c r="C66" s="136" t="s">
        <v>427</v>
      </c>
      <c r="D66" s="136" t="s">
        <v>1127</v>
      </c>
      <c r="E66" s="137"/>
      <c r="F66" s="145" t="str">
        <f>VLOOKUP(C66,'[3]entities zones'!$C:$D,2,FALSE)</f>
        <v>EURZONNOR</v>
      </c>
      <c r="G66" s="136" t="s">
        <v>1127</v>
      </c>
      <c r="H66" s="139" t="s">
        <v>872</v>
      </c>
      <c r="I66" s="139" t="s">
        <v>873</v>
      </c>
      <c r="J66" s="139" t="s">
        <v>874</v>
      </c>
      <c r="K66" s="136" t="s">
        <v>257</v>
      </c>
      <c r="L66" s="140">
        <v>1</v>
      </c>
      <c r="M66" s="140">
        <v>20</v>
      </c>
      <c r="N66" s="140">
        <v>5</v>
      </c>
      <c r="O66" s="139">
        <v>0</v>
      </c>
      <c r="P66" s="139" t="b">
        <v>0</v>
      </c>
      <c r="Q66" s="139" t="b">
        <v>1</v>
      </c>
      <c r="R66" s="136" t="s">
        <v>1041</v>
      </c>
      <c r="S66" s="136" t="s">
        <v>1128</v>
      </c>
      <c r="T66" s="141">
        <v>0</v>
      </c>
    </row>
    <row r="67" spans="1:20">
      <c r="A67" s="136" t="s">
        <v>1129</v>
      </c>
      <c r="B67" s="136" t="s">
        <v>869</v>
      </c>
      <c r="C67" s="136" t="s">
        <v>1130</v>
      </c>
      <c r="D67" s="136" t="s">
        <v>1131</v>
      </c>
      <c r="E67" s="137"/>
      <c r="F67" s="145" t="str">
        <f>VLOOKUP(C67,'[3]entities zones'!$C:$D,2,FALSE)</f>
        <v>EURZONNOR</v>
      </c>
      <c r="G67" s="136" t="s">
        <v>1131</v>
      </c>
      <c r="H67" s="139" t="s">
        <v>872</v>
      </c>
      <c r="I67" s="139" t="s">
        <v>873</v>
      </c>
      <c r="J67" s="139" t="s">
        <v>874</v>
      </c>
      <c r="K67" s="136" t="s">
        <v>257</v>
      </c>
      <c r="L67" s="140">
        <v>1</v>
      </c>
      <c r="M67" s="140">
        <v>30</v>
      </c>
      <c r="N67" s="140">
        <v>5</v>
      </c>
      <c r="O67" s="139">
        <v>0</v>
      </c>
      <c r="P67" s="139" t="b">
        <v>0</v>
      </c>
      <c r="Q67" s="139" t="b">
        <v>1</v>
      </c>
      <c r="R67" s="136" t="s">
        <v>1132</v>
      </c>
      <c r="S67" s="136" t="s">
        <v>1133</v>
      </c>
      <c r="T67" s="141">
        <v>0</v>
      </c>
    </row>
    <row r="68" spans="1:20">
      <c r="A68" s="142" t="s">
        <v>1134</v>
      </c>
      <c r="B68" s="143" t="s">
        <v>869</v>
      </c>
      <c r="C68" s="143" t="s">
        <v>1135</v>
      </c>
      <c r="D68" s="143" t="s">
        <v>1136</v>
      </c>
      <c r="E68" s="144"/>
      <c r="F68" s="145" t="str">
        <f>VLOOKUP(C68,'[3]entities zones'!$C:$D,2,FALSE)</f>
        <v>EURZONNOR</v>
      </c>
      <c r="G68" s="143" t="s">
        <v>1137</v>
      </c>
      <c r="H68" s="146" t="s">
        <v>872</v>
      </c>
      <c r="I68" s="146" t="s">
        <v>873</v>
      </c>
      <c r="J68" s="146" t="s">
        <v>874</v>
      </c>
      <c r="K68" s="143" t="s">
        <v>257</v>
      </c>
      <c r="L68" s="147">
        <v>1</v>
      </c>
      <c r="M68" s="147">
        <v>888</v>
      </c>
      <c r="N68" s="147">
        <v>5</v>
      </c>
      <c r="O68" s="146">
        <v>2</v>
      </c>
      <c r="P68" s="146" t="b">
        <v>1</v>
      </c>
      <c r="Q68" s="146" t="b">
        <v>1</v>
      </c>
      <c r="R68" s="143" t="s">
        <v>1093</v>
      </c>
      <c r="S68" s="143" t="s">
        <v>1058</v>
      </c>
      <c r="T68" s="148">
        <v>2</v>
      </c>
    </row>
    <row r="69" spans="1:20">
      <c r="A69" s="136" t="s">
        <v>1138</v>
      </c>
      <c r="B69" s="136" t="s">
        <v>869</v>
      </c>
      <c r="C69" s="136" t="s">
        <v>1139</v>
      </c>
      <c r="D69" s="136" t="s">
        <v>1140</v>
      </c>
      <c r="E69" s="137"/>
      <c r="F69" s="145" t="str">
        <f>VLOOKUP(C69,'[3]entities zones'!$C:$D,2,FALSE)</f>
        <v>EURZONNOR</v>
      </c>
      <c r="G69" s="136" t="s">
        <v>1141</v>
      </c>
      <c r="H69" s="139" t="s">
        <v>872</v>
      </c>
      <c r="I69" s="139" t="s">
        <v>873</v>
      </c>
      <c r="J69" s="139" t="s">
        <v>874</v>
      </c>
      <c r="K69" s="136" t="s">
        <v>1135</v>
      </c>
      <c r="L69" s="140">
        <v>1</v>
      </c>
      <c r="M69" s="140">
        <v>888</v>
      </c>
      <c r="N69" s="140">
        <v>6</v>
      </c>
      <c r="O69" s="139">
        <v>0</v>
      </c>
      <c r="P69" s="139" t="b">
        <v>0</v>
      </c>
      <c r="Q69" s="139" t="b">
        <v>1</v>
      </c>
      <c r="R69" s="136" t="s">
        <v>1093</v>
      </c>
      <c r="S69" s="136" t="s">
        <v>1142</v>
      </c>
      <c r="T69" s="141">
        <v>0</v>
      </c>
    </row>
    <row r="70" spans="1:20">
      <c r="A70" s="136" t="s">
        <v>1143</v>
      </c>
      <c r="B70" s="136" t="s">
        <v>869</v>
      </c>
      <c r="C70" s="136" t="s">
        <v>1144</v>
      </c>
      <c r="D70" s="136" t="s">
        <v>1145</v>
      </c>
      <c r="E70" s="137"/>
      <c r="F70" s="145" t="str">
        <f>VLOOKUP(C70,'[3]entities zones'!$C:$D,2,FALSE)</f>
        <v>EURZONNOR</v>
      </c>
      <c r="G70" s="136" t="s">
        <v>1146</v>
      </c>
      <c r="H70" s="139" t="s">
        <v>872</v>
      </c>
      <c r="I70" s="139" t="s">
        <v>873</v>
      </c>
      <c r="J70" s="139" t="s">
        <v>874</v>
      </c>
      <c r="K70" s="136" t="s">
        <v>1135</v>
      </c>
      <c r="L70" s="140">
        <v>1</v>
      </c>
      <c r="M70" s="140">
        <v>999</v>
      </c>
      <c r="N70" s="140">
        <v>6</v>
      </c>
      <c r="O70" s="139">
        <v>0</v>
      </c>
      <c r="P70" s="139" t="b">
        <v>0</v>
      </c>
      <c r="Q70" s="139" t="b">
        <v>1</v>
      </c>
      <c r="R70" s="136" t="s">
        <v>1093</v>
      </c>
      <c r="S70" s="136" t="s">
        <v>1142</v>
      </c>
      <c r="T70" s="141">
        <v>0</v>
      </c>
    </row>
    <row r="71" spans="1:20">
      <c r="A71" s="142" t="s">
        <v>1147</v>
      </c>
      <c r="B71" s="143" t="s">
        <v>869</v>
      </c>
      <c r="C71" s="143" t="s">
        <v>258</v>
      </c>
      <c r="D71" s="143" t="s">
        <v>1148</v>
      </c>
      <c r="E71" s="144"/>
      <c r="F71" s="145" t="str">
        <f>VLOOKUP(C71,'[3]entities zones'!$C:$D,2,FALSE)</f>
        <v>EURZONNOR</v>
      </c>
      <c r="G71" s="143" t="s">
        <v>1149</v>
      </c>
      <c r="H71" s="146" t="s">
        <v>872</v>
      </c>
      <c r="I71" s="146" t="s">
        <v>873</v>
      </c>
      <c r="J71" s="146" t="s">
        <v>874</v>
      </c>
      <c r="K71" s="143" t="s">
        <v>923</v>
      </c>
      <c r="L71" s="147">
        <v>1</v>
      </c>
      <c r="M71" s="147">
        <v>100</v>
      </c>
      <c r="N71" s="147">
        <v>4</v>
      </c>
      <c r="O71" s="146">
        <v>4</v>
      </c>
      <c r="P71" s="146" t="b">
        <v>1</v>
      </c>
      <c r="Q71" s="146" t="b">
        <v>1</v>
      </c>
      <c r="R71" s="143" t="s">
        <v>1150</v>
      </c>
      <c r="S71" s="143" t="s">
        <v>1151</v>
      </c>
      <c r="T71" s="148">
        <v>6</v>
      </c>
    </row>
    <row r="72" spans="1:20">
      <c r="A72" s="136" t="s">
        <v>1152</v>
      </c>
      <c r="B72" s="136" t="s">
        <v>869</v>
      </c>
      <c r="C72" s="136" t="s">
        <v>1153</v>
      </c>
      <c r="D72" s="136" t="s">
        <v>1154</v>
      </c>
      <c r="E72" s="137" t="s">
        <v>895</v>
      </c>
      <c r="F72" s="145" t="str">
        <f>VLOOKUP(C72,'[3]entities zones'!$C:$D,2,FALSE)</f>
        <v>EURZONNOR</v>
      </c>
      <c r="G72" s="136" t="s">
        <v>1154</v>
      </c>
      <c r="H72" s="139" t="s">
        <v>872</v>
      </c>
      <c r="I72" s="139" t="s">
        <v>873</v>
      </c>
      <c r="J72" s="139" t="s">
        <v>874</v>
      </c>
      <c r="K72" s="136" t="s">
        <v>258</v>
      </c>
      <c r="L72" s="140">
        <v>1</v>
      </c>
      <c r="M72" s="140">
        <v>10</v>
      </c>
      <c r="N72" s="140">
        <v>5</v>
      </c>
      <c r="O72" s="139">
        <v>0</v>
      </c>
      <c r="P72" s="139" t="b">
        <v>0</v>
      </c>
      <c r="Q72" s="139" t="b">
        <v>1</v>
      </c>
      <c r="R72" s="136" t="s">
        <v>1132</v>
      </c>
      <c r="S72" s="136" t="s">
        <v>1155</v>
      </c>
      <c r="T72" s="141">
        <v>0</v>
      </c>
    </row>
    <row r="73" spans="1:20">
      <c r="A73" s="136" t="s">
        <v>1156</v>
      </c>
      <c r="B73" s="136" t="s">
        <v>869</v>
      </c>
      <c r="C73" s="136" t="s">
        <v>429</v>
      </c>
      <c r="D73" s="136" t="s">
        <v>1157</v>
      </c>
      <c r="E73" s="137"/>
      <c r="F73" s="145" t="str">
        <f>VLOOKUP(C73,'[3]entities zones'!$C:$D,2,FALSE)</f>
        <v>EURZONNOR</v>
      </c>
      <c r="G73" s="136" t="s">
        <v>1157</v>
      </c>
      <c r="H73" s="139" t="s">
        <v>872</v>
      </c>
      <c r="I73" s="139" t="s">
        <v>873</v>
      </c>
      <c r="J73" s="139" t="s">
        <v>874</v>
      </c>
      <c r="K73" s="136" t="s">
        <v>258</v>
      </c>
      <c r="L73" s="140">
        <v>1</v>
      </c>
      <c r="M73" s="140">
        <v>20</v>
      </c>
      <c r="N73" s="140">
        <v>5</v>
      </c>
      <c r="O73" s="139">
        <v>0</v>
      </c>
      <c r="P73" s="139" t="b">
        <v>0</v>
      </c>
      <c r="Q73" s="139" t="b">
        <v>1</v>
      </c>
      <c r="R73" s="136" t="s">
        <v>1132</v>
      </c>
      <c r="S73" s="136" t="s">
        <v>1158</v>
      </c>
      <c r="T73" s="141">
        <v>0</v>
      </c>
    </row>
    <row r="74" spans="1:20">
      <c r="A74" s="136" t="s">
        <v>1159</v>
      </c>
      <c r="B74" s="136" t="s">
        <v>869</v>
      </c>
      <c r="C74" s="136" t="s">
        <v>1160</v>
      </c>
      <c r="D74" s="136" t="s">
        <v>1161</v>
      </c>
      <c r="E74" s="137"/>
      <c r="F74" s="145" t="str">
        <f>VLOOKUP(C74,'[3]entities zones'!$C:$D,2,FALSE)</f>
        <v>EURZONNOR</v>
      </c>
      <c r="G74" s="136" t="s">
        <v>1161</v>
      </c>
      <c r="H74" s="139" t="s">
        <v>872</v>
      </c>
      <c r="I74" s="139" t="s">
        <v>873</v>
      </c>
      <c r="J74" s="139" t="s">
        <v>874</v>
      </c>
      <c r="K74" s="136" t="s">
        <v>258</v>
      </c>
      <c r="L74" s="140">
        <v>1</v>
      </c>
      <c r="M74" s="140">
        <v>30</v>
      </c>
      <c r="N74" s="140">
        <v>5</v>
      </c>
      <c r="O74" s="139">
        <v>0</v>
      </c>
      <c r="P74" s="139" t="b">
        <v>0</v>
      </c>
      <c r="Q74" s="139" t="b">
        <v>1</v>
      </c>
      <c r="R74" s="136" t="s">
        <v>1132</v>
      </c>
      <c r="S74" s="136" t="s">
        <v>1162</v>
      </c>
      <c r="T74" s="141">
        <v>0</v>
      </c>
    </row>
    <row r="75" spans="1:20">
      <c r="A75" s="142" t="s">
        <v>1163</v>
      </c>
      <c r="B75" s="143" t="s">
        <v>869</v>
      </c>
      <c r="C75" s="143" t="s">
        <v>1164</v>
      </c>
      <c r="D75" s="143" t="s">
        <v>1165</v>
      </c>
      <c r="E75" s="144"/>
      <c r="F75" s="145" t="str">
        <f>VLOOKUP(C75,'[3]entities zones'!$C:$D,2,FALSE)</f>
        <v>EURZONNOR</v>
      </c>
      <c r="G75" s="143" t="s">
        <v>1166</v>
      </c>
      <c r="H75" s="146" t="s">
        <v>872</v>
      </c>
      <c r="I75" s="146" t="s">
        <v>873</v>
      </c>
      <c r="J75" s="146" t="s">
        <v>874</v>
      </c>
      <c r="K75" s="143" t="s">
        <v>258</v>
      </c>
      <c r="L75" s="147">
        <v>1</v>
      </c>
      <c r="M75" s="147">
        <v>888</v>
      </c>
      <c r="N75" s="147">
        <v>5</v>
      </c>
      <c r="O75" s="146">
        <v>2</v>
      </c>
      <c r="P75" s="146" t="b">
        <v>1</v>
      </c>
      <c r="Q75" s="146" t="b">
        <v>1</v>
      </c>
      <c r="R75" s="143" t="s">
        <v>1150</v>
      </c>
      <c r="S75" s="143" t="s">
        <v>1142</v>
      </c>
      <c r="T75" s="148">
        <v>2</v>
      </c>
    </row>
    <row r="76" spans="1:20">
      <c r="A76" s="136" t="s">
        <v>1167</v>
      </c>
      <c r="B76" s="136" t="s">
        <v>869</v>
      </c>
      <c r="C76" s="136" t="s">
        <v>1168</v>
      </c>
      <c r="D76" s="136" t="s">
        <v>1169</v>
      </c>
      <c r="E76" s="137"/>
      <c r="F76" s="145" t="str">
        <f>VLOOKUP(C76,'[3]entities zones'!$C:$D,2,FALSE)</f>
        <v>EURZONNOR</v>
      </c>
      <c r="G76" s="136" t="s">
        <v>1170</v>
      </c>
      <c r="H76" s="139" t="s">
        <v>872</v>
      </c>
      <c r="I76" s="139" t="s">
        <v>873</v>
      </c>
      <c r="J76" s="139" t="s">
        <v>874</v>
      </c>
      <c r="K76" s="136" t="s">
        <v>1164</v>
      </c>
      <c r="L76" s="140">
        <v>1</v>
      </c>
      <c r="M76" s="140">
        <v>888</v>
      </c>
      <c r="N76" s="140">
        <v>6</v>
      </c>
      <c r="O76" s="139">
        <v>0</v>
      </c>
      <c r="P76" s="139" t="b">
        <v>0</v>
      </c>
      <c r="Q76" s="139" t="b">
        <v>1</v>
      </c>
      <c r="R76" s="136" t="s">
        <v>1150</v>
      </c>
      <c r="S76" s="136" t="s">
        <v>1142</v>
      </c>
      <c r="T76" s="141">
        <v>0</v>
      </c>
    </row>
    <row r="77" spans="1:20">
      <c r="A77" s="136" t="s">
        <v>1171</v>
      </c>
      <c r="B77" s="136" t="s">
        <v>869</v>
      </c>
      <c r="C77" s="136" t="s">
        <v>1172</v>
      </c>
      <c r="D77" s="136" t="s">
        <v>1173</v>
      </c>
      <c r="E77" s="137"/>
      <c r="F77" s="145" t="str">
        <f>VLOOKUP(C77,'[3]entities zones'!$C:$D,2,FALSE)</f>
        <v>EURZONNOR</v>
      </c>
      <c r="G77" s="136" t="s">
        <v>1174</v>
      </c>
      <c r="H77" s="139" t="s">
        <v>872</v>
      </c>
      <c r="I77" s="139" t="s">
        <v>873</v>
      </c>
      <c r="J77" s="139" t="s">
        <v>874</v>
      </c>
      <c r="K77" s="136" t="s">
        <v>1164</v>
      </c>
      <c r="L77" s="140">
        <v>1</v>
      </c>
      <c r="M77" s="140">
        <v>999</v>
      </c>
      <c r="N77" s="140">
        <v>6</v>
      </c>
      <c r="O77" s="139">
        <v>0</v>
      </c>
      <c r="P77" s="139" t="b">
        <v>0</v>
      </c>
      <c r="Q77" s="139" t="b">
        <v>1</v>
      </c>
      <c r="R77" s="136" t="s">
        <v>1150</v>
      </c>
      <c r="S77" s="136" t="s">
        <v>1142</v>
      </c>
      <c r="T77" s="141">
        <v>0</v>
      </c>
    </row>
    <row r="78" spans="1:20">
      <c r="A78" s="142" t="s">
        <v>1175</v>
      </c>
      <c r="B78" s="143" t="s">
        <v>869</v>
      </c>
      <c r="C78" s="143" t="s">
        <v>1176</v>
      </c>
      <c r="D78" s="143" t="s">
        <v>1177</v>
      </c>
      <c r="E78" s="144"/>
      <c r="F78" s="145" t="e">
        <f>VLOOKUP(C78,'[3]entities zones'!$C:$D,2,FALSE)</f>
        <v>#N/A</v>
      </c>
      <c r="G78" s="143" t="s">
        <v>1178</v>
      </c>
      <c r="H78" s="146" t="s">
        <v>872</v>
      </c>
      <c r="I78" s="146" t="s">
        <v>873</v>
      </c>
      <c r="J78" s="146" t="s">
        <v>874</v>
      </c>
      <c r="K78" s="143" t="s">
        <v>923</v>
      </c>
      <c r="L78" s="147">
        <v>1</v>
      </c>
      <c r="M78" s="147">
        <v>888</v>
      </c>
      <c r="N78" s="147">
        <v>4</v>
      </c>
      <c r="O78" s="146">
        <v>5</v>
      </c>
      <c r="P78" s="146" t="b">
        <v>1</v>
      </c>
      <c r="Q78" s="146" t="b">
        <v>1</v>
      </c>
      <c r="R78" s="143" t="s">
        <v>1150</v>
      </c>
      <c r="S78" s="143" t="s">
        <v>1142</v>
      </c>
      <c r="T78" s="148">
        <v>5</v>
      </c>
    </row>
    <row r="79" spans="1:20">
      <c r="A79" s="136" t="s">
        <v>1179</v>
      </c>
      <c r="B79" s="136" t="s">
        <v>869</v>
      </c>
      <c r="C79" s="136" t="s">
        <v>1180</v>
      </c>
      <c r="D79" s="136" t="s">
        <v>1181</v>
      </c>
      <c r="E79" s="137"/>
      <c r="F79" s="145" t="e">
        <f>VLOOKUP(C79,'[3]entities zones'!$C:$D,2,FALSE)</f>
        <v>#N/A</v>
      </c>
      <c r="G79" s="136" t="s">
        <v>1182</v>
      </c>
      <c r="H79" s="139" t="s">
        <v>872</v>
      </c>
      <c r="I79" s="139" t="s">
        <v>873</v>
      </c>
      <c r="J79" s="139" t="s">
        <v>874</v>
      </c>
      <c r="K79" s="136" t="s">
        <v>1176</v>
      </c>
      <c r="L79" s="140">
        <v>1</v>
      </c>
      <c r="M79" s="140">
        <v>100</v>
      </c>
      <c r="N79" s="140">
        <v>5</v>
      </c>
      <c r="O79" s="139">
        <v>0</v>
      </c>
      <c r="P79" s="139" t="b">
        <v>0</v>
      </c>
      <c r="Q79" s="139" t="b">
        <v>1</v>
      </c>
      <c r="R79" s="136" t="s">
        <v>1132</v>
      </c>
      <c r="S79" s="136" t="s">
        <v>1183</v>
      </c>
      <c r="T79" s="141">
        <v>0</v>
      </c>
    </row>
    <row r="80" spans="1:20">
      <c r="A80" s="136" t="s">
        <v>1184</v>
      </c>
      <c r="B80" s="136" t="s">
        <v>869</v>
      </c>
      <c r="C80" s="136" t="s">
        <v>1185</v>
      </c>
      <c r="D80" s="136" t="s">
        <v>1186</v>
      </c>
      <c r="E80" s="137"/>
      <c r="F80" s="145" t="e">
        <f>VLOOKUP(C80,'[3]entities zones'!$C:$D,2,FALSE)</f>
        <v>#N/A</v>
      </c>
      <c r="G80" s="136" t="s">
        <v>1187</v>
      </c>
      <c r="H80" s="139" t="s">
        <v>872</v>
      </c>
      <c r="I80" s="139" t="s">
        <v>873</v>
      </c>
      <c r="J80" s="139" t="s">
        <v>874</v>
      </c>
      <c r="K80" s="136" t="s">
        <v>1176</v>
      </c>
      <c r="L80" s="140">
        <v>1</v>
      </c>
      <c r="M80" s="140">
        <v>200</v>
      </c>
      <c r="N80" s="140">
        <v>5</v>
      </c>
      <c r="O80" s="139">
        <v>0</v>
      </c>
      <c r="P80" s="139" t="b">
        <v>0</v>
      </c>
      <c r="Q80" s="139" t="b">
        <v>1</v>
      </c>
      <c r="R80" s="136" t="s">
        <v>1132</v>
      </c>
      <c r="S80" s="136" t="s">
        <v>1183</v>
      </c>
      <c r="T80" s="141">
        <v>0</v>
      </c>
    </row>
    <row r="81" spans="1:20">
      <c r="A81" s="136" t="s">
        <v>1188</v>
      </c>
      <c r="B81" s="136" t="s">
        <v>869</v>
      </c>
      <c r="C81" s="136" t="s">
        <v>1189</v>
      </c>
      <c r="D81" s="136" t="s">
        <v>1190</v>
      </c>
      <c r="E81" s="137"/>
      <c r="F81" s="145" t="e">
        <f>VLOOKUP(C81,'[3]entities zones'!$C:$D,2,FALSE)</f>
        <v>#N/A</v>
      </c>
      <c r="G81" s="136" t="s">
        <v>1190</v>
      </c>
      <c r="H81" s="139" t="s">
        <v>872</v>
      </c>
      <c r="I81" s="139" t="s">
        <v>873</v>
      </c>
      <c r="J81" s="139" t="s">
        <v>874</v>
      </c>
      <c r="K81" s="136" t="s">
        <v>1176</v>
      </c>
      <c r="L81" s="140">
        <v>1</v>
      </c>
      <c r="M81" s="140">
        <v>777</v>
      </c>
      <c r="N81" s="140">
        <v>5</v>
      </c>
      <c r="O81" s="139">
        <v>0</v>
      </c>
      <c r="P81" s="139" t="b">
        <v>0</v>
      </c>
      <c r="Q81" s="139" t="b">
        <v>1</v>
      </c>
      <c r="R81" s="136" t="s">
        <v>1132</v>
      </c>
      <c r="S81" s="136" t="s">
        <v>1191</v>
      </c>
      <c r="T81" s="141">
        <v>0</v>
      </c>
    </row>
    <row r="82" spans="1:20">
      <c r="A82" s="136" t="s">
        <v>1192</v>
      </c>
      <c r="B82" s="136" t="s">
        <v>869</v>
      </c>
      <c r="C82" s="136" t="s">
        <v>1193</v>
      </c>
      <c r="D82" s="136" t="s">
        <v>1194</v>
      </c>
      <c r="E82" s="137"/>
      <c r="F82" s="145" t="e">
        <f>VLOOKUP(C82,'[3]entities zones'!$C:$D,2,FALSE)</f>
        <v>#N/A</v>
      </c>
      <c r="G82" s="136" t="s">
        <v>1195</v>
      </c>
      <c r="H82" s="139" t="s">
        <v>872</v>
      </c>
      <c r="I82" s="139" t="s">
        <v>873</v>
      </c>
      <c r="J82" s="139" t="s">
        <v>874</v>
      </c>
      <c r="K82" s="136" t="s">
        <v>1176</v>
      </c>
      <c r="L82" s="140">
        <v>1</v>
      </c>
      <c r="M82" s="140">
        <v>888</v>
      </c>
      <c r="N82" s="140">
        <v>5</v>
      </c>
      <c r="O82" s="139">
        <v>0</v>
      </c>
      <c r="P82" s="139" t="b">
        <v>0</v>
      </c>
      <c r="Q82" s="139" t="b">
        <v>1</v>
      </c>
      <c r="R82" s="136" t="s">
        <v>1150</v>
      </c>
      <c r="S82" s="136" t="s">
        <v>1142</v>
      </c>
      <c r="T82" s="141">
        <v>0</v>
      </c>
    </row>
    <row r="83" spans="1:20">
      <c r="A83" s="136" t="s">
        <v>1196</v>
      </c>
      <c r="B83" s="136" t="s">
        <v>869</v>
      </c>
      <c r="C83" s="136" t="s">
        <v>1197</v>
      </c>
      <c r="D83" s="136" t="s">
        <v>1198</v>
      </c>
      <c r="E83" s="137"/>
      <c r="F83" s="145" t="e">
        <f>VLOOKUP(C83,'[3]entities zones'!$C:$D,2,FALSE)</f>
        <v>#N/A</v>
      </c>
      <c r="G83" s="136" t="s">
        <v>1199</v>
      </c>
      <c r="H83" s="139" t="s">
        <v>872</v>
      </c>
      <c r="I83" s="139" t="s">
        <v>873</v>
      </c>
      <c r="J83" s="139" t="s">
        <v>874</v>
      </c>
      <c r="K83" s="136" t="s">
        <v>1176</v>
      </c>
      <c r="L83" s="140">
        <v>1</v>
      </c>
      <c r="M83" s="140">
        <v>999</v>
      </c>
      <c r="N83" s="140">
        <v>5</v>
      </c>
      <c r="O83" s="139">
        <v>0</v>
      </c>
      <c r="P83" s="139" t="b">
        <v>0</v>
      </c>
      <c r="Q83" s="139" t="b">
        <v>1</v>
      </c>
      <c r="R83" s="136" t="s">
        <v>1150</v>
      </c>
      <c r="S83" s="136" t="s">
        <v>1142</v>
      </c>
      <c r="T83" s="141">
        <v>0</v>
      </c>
    </row>
    <row r="84" spans="1:20">
      <c r="A84" s="142" t="s">
        <v>1200</v>
      </c>
      <c r="B84" s="143" t="s">
        <v>869</v>
      </c>
      <c r="C84" s="143" t="s">
        <v>1201</v>
      </c>
      <c r="D84" s="143" t="s">
        <v>1202</v>
      </c>
      <c r="E84" s="144"/>
      <c r="F84" s="145" t="e">
        <f>VLOOKUP(C84,'[3]entities zones'!$C:$D,2,FALSE)</f>
        <v>#N/A</v>
      </c>
      <c r="G84" s="143" t="s">
        <v>1203</v>
      </c>
      <c r="H84" s="146" t="s">
        <v>872</v>
      </c>
      <c r="I84" s="146" t="s">
        <v>873</v>
      </c>
      <c r="J84" s="146" t="s">
        <v>874</v>
      </c>
      <c r="K84" s="143" t="s">
        <v>512</v>
      </c>
      <c r="L84" s="147">
        <v>1</v>
      </c>
      <c r="M84" s="147">
        <v>200</v>
      </c>
      <c r="N84" s="147">
        <v>3</v>
      </c>
      <c r="O84" s="146">
        <v>3</v>
      </c>
      <c r="P84" s="146" t="b">
        <v>1</v>
      </c>
      <c r="Q84" s="146" t="b">
        <v>1</v>
      </c>
      <c r="R84" s="143" t="s">
        <v>1204</v>
      </c>
      <c r="S84" s="143" t="s">
        <v>1142</v>
      </c>
      <c r="T84" s="148">
        <v>5</v>
      </c>
    </row>
    <row r="85" spans="1:20">
      <c r="A85" s="136" t="s">
        <v>1205</v>
      </c>
      <c r="B85" s="136" t="s">
        <v>869</v>
      </c>
      <c r="C85" s="136" t="s">
        <v>1206</v>
      </c>
      <c r="D85" s="136" t="s">
        <v>1207</v>
      </c>
      <c r="E85" s="137"/>
      <c r="F85" s="145" t="e">
        <f>VLOOKUP(C85,'[3]entities zones'!$C:$D,2,FALSE)</f>
        <v>#N/A</v>
      </c>
      <c r="G85" s="136" t="s">
        <v>1207</v>
      </c>
      <c r="H85" s="139" t="s">
        <v>872</v>
      </c>
      <c r="I85" s="139" t="s">
        <v>873</v>
      </c>
      <c r="J85" s="139" t="s">
        <v>874</v>
      </c>
      <c r="K85" s="136" t="s">
        <v>1201</v>
      </c>
      <c r="L85" s="140">
        <v>1</v>
      </c>
      <c r="M85" s="140">
        <v>10</v>
      </c>
      <c r="N85" s="140">
        <v>4</v>
      </c>
      <c r="O85" s="139">
        <v>0</v>
      </c>
      <c r="P85" s="139" t="b">
        <v>0</v>
      </c>
      <c r="Q85" s="139" t="b">
        <v>1</v>
      </c>
      <c r="R85" s="136" t="s">
        <v>1204</v>
      </c>
      <c r="S85" s="136" t="s">
        <v>1208</v>
      </c>
      <c r="T85" s="141">
        <v>0</v>
      </c>
    </row>
    <row r="86" spans="1:20">
      <c r="A86" s="136" t="s">
        <v>1209</v>
      </c>
      <c r="B86" s="136" t="s">
        <v>869</v>
      </c>
      <c r="C86" s="136" t="s">
        <v>1210</v>
      </c>
      <c r="D86" s="136" t="s">
        <v>1211</v>
      </c>
      <c r="E86" s="137"/>
      <c r="F86" s="145" t="e">
        <f>VLOOKUP(C86,'[3]entities zones'!$C:$D,2,FALSE)</f>
        <v>#N/A</v>
      </c>
      <c r="G86" s="136" t="s">
        <v>1211</v>
      </c>
      <c r="H86" s="139" t="s">
        <v>872</v>
      </c>
      <c r="I86" s="139" t="s">
        <v>873</v>
      </c>
      <c r="J86" s="139" t="s">
        <v>874</v>
      </c>
      <c r="K86" s="136" t="s">
        <v>1201</v>
      </c>
      <c r="L86" s="140">
        <v>1</v>
      </c>
      <c r="M86" s="140">
        <v>20</v>
      </c>
      <c r="N86" s="140">
        <v>4</v>
      </c>
      <c r="O86" s="139">
        <v>0</v>
      </c>
      <c r="P86" s="139" t="b">
        <v>0</v>
      </c>
      <c r="Q86" s="139" t="b">
        <v>1</v>
      </c>
      <c r="R86" s="136" t="s">
        <v>1204</v>
      </c>
      <c r="S86" s="136" t="s">
        <v>1212</v>
      </c>
      <c r="T86" s="141">
        <v>0</v>
      </c>
    </row>
    <row r="87" spans="1:20">
      <c r="A87" s="142" t="s">
        <v>1213</v>
      </c>
      <c r="B87" s="143" t="s">
        <v>869</v>
      </c>
      <c r="C87" s="143" t="s">
        <v>1214</v>
      </c>
      <c r="D87" s="143" t="s">
        <v>1215</v>
      </c>
      <c r="E87" s="144"/>
      <c r="F87" s="145" t="e">
        <f>VLOOKUP(C87,'[3]entities zones'!$C:$D,2,FALSE)</f>
        <v>#N/A</v>
      </c>
      <c r="G87" s="143" t="s">
        <v>1216</v>
      </c>
      <c r="H87" s="146" t="s">
        <v>872</v>
      </c>
      <c r="I87" s="146" t="s">
        <v>873</v>
      </c>
      <c r="J87" s="146" t="s">
        <v>874</v>
      </c>
      <c r="K87" s="143" t="s">
        <v>1201</v>
      </c>
      <c r="L87" s="147">
        <v>1</v>
      </c>
      <c r="M87" s="147">
        <v>30</v>
      </c>
      <c r="N87" s="147">
        <v>4</v>
      </c>
      <c r="O87" s="146">
        <v>2</v>
      </c>
      <c r="P87" s="146" t="b">
        <v>1</v>
      </c>
      <c r="Q87" s="146" t="b">
        <v>1</v>
      </c>
      <c r="R87" s="143" t="s">
        <v>1217</v>
      </c>
      <c r="S87" s="143" t="s">
        <v>1142</v>
      </c>
      <c r="T87" s="148">
        <v>2</v>
      </c>
    </row>
    <row r="88" spans="1:20">
      <c r="A88" s="136" t="s">
        <v>1218</v>
      </c>
      <c r="B88" s="136" t="s">
        <v>869</v>
      </c>
      <c r="C88" s="136" t="s">
        <v>1219</v>
      </c>
      <c r="D88" s="136" t="s">
        <v>1220</v>
      </c>
      <c r="E88" s="137"/>
      <c r="F88" s="145" t="e">
        <f>VLOOKUP(C88,'[3]entities zones'!$C:$D,2,FALSE)</f>
        <v>#N/A</v>
      </c>
      <c r="G88" s="136" t="s">
        <v>1221</v>
      </c>
      <c r="H88" s="139" t="s">
        <v>872</v>
      </c>
      <c r="I88" s="139" t="s">
        <v>873</v>
      </c>
      <c r="J88" s="139" t="s">
        <v>874</v>
      </c>
      <c r="K88" s="136" t="s">
        <v>1214</v>
      </c>
      <c r="L88" s="140">
        <v>1</v>
      </c>
      <c r="M88" s="140">
        <v>10</v>
      </c>
      <c r="N88" s="140">
        <v>5</v>
      </c>
      <c r="O88" s="139">
        <v>0</v>
      </c>
      <c r="P88" s="139" t="b">
        <v>0</v>
      </c>
      <c r="Q88" s="139" t="b">
        <v>1</v>
      </c>
      <c r="R88" s="136" t="s">
        <v>1222</v>
      </c>
      <c r="S88" s="136" t="s">
        <v>1223</v>
      </c>
      <c r="T88" s="141">
        <v>0</v>
      </c>
    </row>
    <row r="89" spans="1:20">
      <c r="A89" s="136" t="s">
        <v>1224</v>
      </c>
      <c r="B89" s="136" t="s">
        <v>869</v>
      </c>
      <c r="C89" s="136" t="s">
        <v>1225</v>
      </c>
      <c r="D89" s="136" t="s">
        <v>1226</v>
      </c>
      <c r="E89" s="137"/>
      <c r="F89" s="145" t="e">
        <f>VLOOKUP(C89,'[3]entities zones'!$C:$D,2,FALSE)</f>
        <v>#N/A</v>
      </c>
      <c r="G89" s="136" t="s">
        <v>1227</v>
      </c>
      <c r="H89" s="139" t="s">
        <v>872</v>
      </c>
      <c r="I89" s="139" t="s">
        <v>873</v>
      </c>
      <c r="J89" s="139" t="s">
        <v>874</v>
      </c>
      <c r="K89" s="136" t="s">
        <v>1214</v>
      </c>
      <c r="L89" s="140">
        <v>1</v>
      </c>
      <c r="M89" s="140">
        <v>20</v>
      </c>
      <c r="N89" s="140">
        <v>5</v>
      </c>
      <c r="O89" s="139">
        <v>0</v>
      </c>
      <c r="P89" s="139" t="b">
        <v>0</v>
      </c>
      <c r="Q89" s="139" t="b">
        <v>1</v>
      </c>
      <c r="R89" s="136" t="s">
        <v>1222</v>
      </c>
      <c r="S89" s="136" t="s">
        <v>1142</v>
      </c>
      <c r="T89" s="141">
        <v>0</v>
      </c>
    </row>
    <row r="90" spans="1:20">
      <c r="A90" s="136" t="s">
        <v>1228</v>
      </c>
      <c r="B90" s="136" t="s">
        <v>869</v>
      </c>
      <c r="C90" s="136" t="s">
        <v>250</v>
      </c>
      <c r="D90" s="136" t="s">
        <v>1229</v>
      </c>
      <c r="E90" s="137" t="s">
        <v>895</v>
      </c>
      <c r="F90" s="145" t="str">
        <f>VLOOKUP(C90,'[3]entities zones'!$C:$D,2,FALSE)</f>
        <v>EURZONSUD</v>
      </c>
      <c r="G90" s="136" t="s">
        <v>1229</v>
      </c>
      <c r="H90" s="139" t="s">
        <v>872</v>
      </c>
      <c r="I90" s="139" t="s">
        <v>873</v>
      </c>
      <c r="J90" s="139" t="s">
        <v>874</v>
      </c>
      <c r="K90" s="136" t="s">
        <v>512</v>
      </c>
      <c r="L90" s="140">
        <v>1</v>
      </c>
      <c r="M90" s="140">
        <v>210</v>
      </c>
      <c r="N90" s="140">
        <v>3</v>
      </c>
      <c r="O90" s="139">
        <v>0</v>
      </c>
      <c r="P90" s="139" t="b">
        <v>0</v>
      </c>
      <c r="Q90" s="139" t="b">
        <v>1</v>
      </c>
      <c r="R90" s="136" t="s">
        <v>1041</v>
      </c>
      <c r="S90" s="136" t="s">
        <v>1230</v>
      </c>
      <c r="T90" s="141">
        <v>0</v>
      </c>
    </row>
    <row r="91" spans="1:20">
      <c r="A91" s="136" t="s">
        <v>1231</v>
      </c>
      <c r="B91" s="136" t="s">
        <v>869</v>
      </c>
      <c r="C91" s="136" t="s">
        <v>1232</v>
      </c>
      <c r="D91" s="136" t="s">
        <v>1233</v>
      </c>
      <c r="E91" s="137"/>
      <c r="F91" s="145" t="e">
        <f>VLOOKUP(C91,'[3]entities zones'!$C:$D,2,FALSE)</f>
        <v>#N/A</v>
      </c>
      <c r="G91" s="136" t="s">
        <v>1233</v>
      </c>
      <c r="H91" s="139" t="s">
        <v>872</v>
      </c>
      <c r="I91" s="139" t="s">
        <v>873</v>
      </c>
      <c r="J91" s="139" t="s">
        <v>874</v>
      </c>
      <c r="K91" s="136" t="s">
        <v>512</v>
      </c>
      <c r="L91" s="140">
        <v>1</v>
      </c>
      <c r="M91" s="140">
        <v>220</v>
      </c>
      <c r="N91" s="140">
        <v>3</v>
      </c>
      <c r="O91" s="139">
        <v>0</v>
      </c>
      <c r="P91" s="139" t="b">
        <v>0</v>
      </c>
      <c r="Q91" s="139" t="b">
        <v>1</v>
      </c>
      <c r="R91" s="136" t="s">
        <v>1132</v>
      </c>
      <c r="S91" s="136" t="s">
        <v>1234</v>
      </c>
      <c r="T91" s="141">
        <v>0</v>
      </c>
    </row>
    <row r="92" spans="1:20">
      <c r="A92" s="142" t="s">
        <v>1235</v>
      </c>
      <c r="B92" s="143" t="s">
        <v>869</v>
      </c>
      <c r="C92" s="143" t="s">
        <v>261</v>
      </c>
      <c r="D92" s="143" t="s">
        <v>1236</v>
      </c>
      <c r="E92" s="144"/>
      <c r="F92" s="145" t="str">
        <f>VLOOKUP(C92,'[3]entities zones'!$C:$D,2,FALSE)</f>
        <v>EURZONSUD</v>
      </c>
      <c r="G92" s="143" t="s">
        <v>1237</v>
      </c>
      <c r="H92" s="146" t="s">
        <v>872</v>
      </c>
      <c r="I92" s="146" t="s">
        <v>873</v>
      </c>
      <c r="J92" s="146" t="s">
        <v>874</v>
      </c>
      <c r="K92" s="143" t="s">
        <v>512</v>
      </c>
      <c r="L92" s="147">
        <v>1</v>
      </c>
      <c r="M92" s="147">
        <v>230</v>
      </c>
      <c r="N92" s="147">
        <v>3</v>
      </c>
      <c r="O92" s="146">
        <v>4</v>
      </c>
      <c r="P92" s="146" t="b">
        <v>1</v>
      </c>
      <c r="Q92" s="146" t="b">
        <v>1</v>
      </c>
      <c r="R92" s="143" t="s">
        <v>1132</v>
      </c>
      <c r="S92" s="143" t="s">
        <v>1238</v>
      </c>
      <c r="T92" s="148">
        <v>6</v>
      </c>
    </row>
    <row r="93" spans="1:20">
      <c r="A93" s="136" t="s">
        <v>1239</v>
      </c>
      <c r="B93" s="136" t="s">
        <v>869</v>
      </c>
      <c r="C93" s="136" t="s">
        <v>1240</v>
      </c>
      <c r="D93" s="136" t="s">
        <v>1241</v>
      </c>
      <c r="E93" s="137"/>
      <c r="F93" s="145" t="str">
        <f>VLOOKUP(C93,'[3]entities zones'!$C:$D,2,FALSE)</f>
        <v>EURZONSUD</v>
      </c>
      <c r="G93" s="136" t="s">
        <v>1241</v>
      </c>
      <c r="H93" s="139" t="s">
        <v>872</v>
      </c>
      <c r="I93" s="139" t="s">
        <v>873</v>
      </c>
      <c r="J93" s="139" t="s">
        <v>874</v>
      </c>
      <c r="K93" s="136" t="s">
        <v>261</v>
      </c>
      <c r="L93" s="140">
        <v>1</v>
      </c>
      <c r="M93" s="140">
        <v>10</v>
      </c>
      <c r="N93" s="140">
        <v>4</v>
      </c>
      <c r="O93" s="139">
        <v>0</v>
      </c>
      <c r="P93" s="139" t="b">
        <v>0</v>
      </c>
      <c r="Q93" s="139" t="b">
        <v>1</v>
      </c>
      <c r="R93" s="136" t="s">
        <v>1204</v>
      </c>
      <c r="S93" s="136" t="s">
        <v>1242</v>
      </c>
      <c r="T93" s="141">
        <v>0</v>
      </c>
    </row>
    <row r="94" spans="1:20">
      <c r="A94" s="136" t="s">
        <v>1243</v>
      </c>
      <c r="B94" s="136" t="s">
        <v>869</v>
      </c>
      <c r="C94" s="136" t="s">
        <v>315</v>
      </c>
      <c r="D94" s="136" t="s">
        <v>1244</v>
      </c>
      <c r="E94" s="137" t="s">
        <v>895</v>
      </c>
      <c r="F94" s="145" t="str">
        <f>VLOOKUP(C94,'[3]entities zones'!$C:$D,2,FALSE)</f>
        <v>EURZONSUD</v>
      </c>
      <c r="G94" s="136" t="s">
        <v>1244</v>
      </c>
      <c r="H94" s="139" t="s">
        <v>872</v>
      </c>
      <c r="I94" s="139" t="s">
        <v>873</v>
      </c>
      <c r="J94" s="139" t="s">
        <v>874</v>
      </c>
      <c r="K94" s="136" t="s">
        <v>261</v>
      </c>
      <c r="L94" s="140">
        <v>1</v>
      </c>
      <c r="M94" s="140">
        <v>20</v>
      </c>
      <c r="N94" s="140">
        <v>4</v>
      </c>
      <c r="O94" s="139">
        <v>0</v>
      </c>
      <c r="P94" s="139" t="b">
        <v>0</v>
      </c>
      <c r="Q94" s="139" t="b">
        <v>1</v>
      </c>
      <c r="R94" s="136" t="s">
        <v>1132</v>
      </c>
      <c r="S94" s="136" t="s">
        <v>1245</v>
      </c>
      <c r="T94" s="141">
        <v>0</v>
      </c>
    </row>
    <row r="95" spans="1:20">
      <c r="A95" s="136" t="s">
        <v>1246</v>
      </c>
      <c r="B95" s="136" t="s">
        <v>869</v>
      </c>
      <c r="C95" s="136" t="s">
        <v>314</v>
      </c>
      <c r="D95" s="136" t="s">
        <v>1247</v>
      </c>
      <c r="E95" s="137" t="s">
        <v>895</v>
      </c>
      <c r="F95" s="145" t="str">
        <f>VLOOKUP(C95,'[3]entities zones'!$C:$D,2,FALSE)</f>
        <v>EURZONSUD</v>
      </c>
      <c r="G95" s="136" t="s">
        <v>1247</v>
      </c>
      <c r="H95" s="139" t="s">
        <v>872</v>
      </c>
      <c r="I95" s="139" t="s">
        <v>873</v>
      </c>
      <c r="J95" s="139" t="s">
        <v>874</v>
      </c>
      <c r="K95" s="136" t="s">
        <v>261</v>
      </c>
      <c r="L95" s="140">
        <v>1</v>
      </c>
      <c r="M95" s="140">
        <v>30</v>
      </c>
      <c r="N95" s="140">
        <v>4</v>
      </c>
      <c r="O95" s="139">
        <v>0</v>
      </c>
      <c r="P95" s="139" t="b">
        <v>0</v>
      </c>
      <c r="Q95" s="139" t="b">
        <v>1</v>
      </c>
      <c r="R95" s="136" t="s">
        <v>1132</v>
      </c>
      <c r="S95" s="136" t="s">
        <v>1248</v>
      </c>
      <c r="T95" s="141">
        <v>0</v>
      </c>
    </row>
    <row r="96" spans="1:20">
      <c r="A96" s="142" t="s">
        <v>1249</v>
      </c>
      <c r="B96" s="143" t="s">
        <v>869</v>
      </c>
      <c r="C96" s="143" t="s">
        <v>1250</v>
      </c>
      <c r="D96" s="143" t="s">
        <v>1251</v>
      </c>
      <c r="E96" s="144"/>
      <c r="F96" s="145" t="str">
        <f>VLOOKUP(C96,'[3]entities zones'!$C:$D,2,FALSE)</f>
        <v>EURZONSUD</v>
      </c>
      <c r="G96" s="143" t="s">
        <v>1252</v>
      </c>
      <c r="H96" s="146" t="s">
        <v>872</v>
      </c>
      <c r="I96" s="146" t="s">
        <v>873</v>
      </c>
      <c r="J96" s="146" t="s">
        <v>874</v>
      </c>
      <c r="K96" s="143" t="s">
        <v>261</v>
      </c>
      <c r="L96" s="147">
        <v>1</v>
      </c>
      <c r="M96" s="147">
        <v>888</v>
      </c>
      <c r="N96" s="147">
        <v>4</v>
      </c>
      <c r="O96" s="146">
        <v>2</v>
      </c>
      <c r="P96" s="146" t="b">
        <v>1</v>
      </c>
      <c r="Q96" s="146" t="b">
        <v>1</v>
      </c>
      <c r="R96" s="143" t="s">
        <v>998</v>
      </c>
      <c r="S96" s="143" t="s">
        <v>1253</v>
      </c>
      <c r="T96" s="148">
        <v>2</v>
      </c>
    </row>
    <row r="97" spans="1:20">
      <c r="A97" s="136" t="s">
        <v>1254</v>
      </c>
      <c r="B97" s="136" t="s">
        <v>869</v>
      </c>
      <c r="C97" s="136" t="s">
        <v>1255</v>
      </c>
      <c r="D97" s="136" t="s">
        <v>1256</v>
      </c>
      <c r="E97" s="137"/>
      <c r="F97" s="145" t="str">
        <f>VLOOKUP(C97,'[3]entities zones'!$C:$D,2,FALSE)</f>
        <v>EURZONSUD</v>
      </c>
      <c r="G97" s="136" t="s">
        <v>1257</v>
      </c>
      <c r="H97" s="139" t="s">
        <v>872</v>
      </c>
      <c r="I97" s="139" t="s">
        <v>873</v>
      </c>
      <c r="J97" s="139" t="s">
        <v>874</v>
      </c>
      <c r="K97" s="136" t="s">
        <v>1250</v>
      </c>
      <c r="L97" s="140">
        <v>1</v>
      </c>
      <c r="M97" s="140">
        <v>888</v>
      </c>
      <c r="N97" s="140">
        <v>5</v>
      </c>
      <c r="O97" s="139">
        <v>0</v>
      </c>
      <c r="P97" s="139" t="b">
        <v>0</v>
      </c>
      <c r="Q97" s="139" t="b">
        <v>1</v>
      </c>
      <c r="R97" s="136" t="s">
        <v>1204</v>
      </c>
      <c r="S97" s="136" t="s">
        <v>1183</v>
      </c>
      <c r="T97" s="141">
        <v>0</v>
      </c>
    </row>
    <row r="98" spans="1:20">
      <c r="A98" s="136" t="s">
        <v>1258</v>
      </c>
      <c r="B98" s="136" t="s">
        <v>869</v>
      </c>
      <c r="C98" s="136" t="s">
        <v>1259</v>
      </c>
      <c r="D98" s="136" t="s">
        <v>1260</v>
      </c>
      <c r="E98" s="137"/>
      <c r="F98" s="145" t="str">
        <f>VLOOKUP(C98,'[3]entities zones'!$C:$D,2,FALSE)</f>
        <v>EURZONSUD</v>
      </c>
      <c r="G98" s="136" t="s">
        <v>1261</v>
      </c>
      <c r="H98" s="139" t="s">
        <v>872</v>
      </c>
      <c r="I98" s="139" t="s">
        <v>873</v>
      </c>
      <c r="J98" s="139" t="s">
        <v>874</v>
      </c>
      <c r="K98" s="136" t="s">
        <v>1250</v>
      </c>
      <c r="L98" s="140">
        <v>1</v>
      </c>
      <c r="M98" s="140">
        <v>999</v>
      </c>
      <c r="N98" s="140">
        <v>5</v>
      </c>
      <c r="O98" s="139">
        <v>0</v>
      </c>
      <c r="P98" s="139" t="b">
        <v>0</v>
      </c>
      <c r="Q98" s="139" t="b">
        <v>1</v>
      </c>
      <c r="R98" s="136" t="s">
        <v>998</v>
      </c>
      <c r="S98" s="136" t="s">
        <v>1262</v>
      </c>
      <c r="T98" s="141">
        <v>0</v>
      </c>
    </row>
    <row r="99" spans="1:20">
      <c r="A99" s="136" t="s">
        <v>1263</v>
      </c>
      <c r="B99" s="136" t="s">
        <v>869</v>
      </c>
      <c r="C99" s="136" t="s">
        <v>260</v>
      </c>
      <c r="D99" s="136" t="s">
        <v>1264</v>
      </c>
      <c r="E99" s="137" t="s">
        <v>895</v>
      </c>
      <c r="F99" s="145" t="str">
        <f>VLOOKUP(C99,'[3]entities zones'!$C:$D,2,FALSE)</f>
        <v>EURZONNOR</v>
      </c>
      <c r="G99" s="136" t="s">
        <v>1264</v>
      </c>
      <c r="H99" s="139" t="s">
        <v>872</v>
      </c>
      <c r="I99" s="139" t="s">
        <v>873</v>
      </c>
      <c r="J99" s="139" t="s">
        <v>874</v>
      </c>
      <c r="K99" s="136" t="s">
        <v>512</v>
      </c>
      <c r="L99" s="140">
        <v>1</v>
      </c>
      <c r="M99" s="140">
        <v>240</v>
      </c>
      <c r="N99" s="140">
        <v>3</v>
      </c>
      <c r="O99" s="139">
        <v>0</v>
      </c>
      <c r="P99" s="139" t="b">
        <v>0</v>
      </c>
      <c r="Q99" s="139" t="b">
        <v>1</v>
      </c>
      <c r="R99" s="136" t="s">
        <v>1132</v>
      </c>
      <c r="S99" s="136" t="s">
        <v>1265</v>
      </c>
      <c r="T99" s="141">
        <v>0</v>
      </c>
    </row>
    <row r="100" spans="1:20">
      <c r="A100" s="142" t="s">
        <v>1266</v>
      </c>
      <c r="B100" s="143" t="s">
        <v>869</v>
      </c>
      <c r="C100" s="143" t="s">
        <v>1267</v>
      </c>
      <c r="D100" s="143" t="s">
        <v>1268</v>
      </c>
      <c r="E100" s="144"/>
      <c r="F100" s="145" t="e">
        <f>VLOOKUP(C100,'[3]entities zones'!$C:$D,2,FALSE)</f>
        <v>#N/A</v>
      </c>
      <c r="G100" s="143" t="s">
        <v>1269</v>
      </c>
      <c r="H100" s="146" t="s">
        <v>872</v>
      </c>
      <c r="I100" s="146" t="s">
        <v>873</v>
      </c>
      <c r="J100" s="146" t="s">
        <v>874</v>
      </c>
      <c r="K100" s="143" t="s">
        <v>512</v>
      </c>
      <c r="L100" s="147">
        <v>1</v>
      </c>
      <c r="M100" s="147">
        <v>250</v>
      </c>
      <c r="N100" s="147">
        <v>3</v>
      </c>
      <c r="O100" s="146">
        <v>4</v>
      </c>
      <c r="P100" s="146" t="b">
        <v>1</v>
      </c>
      <c r="Q100" s="146" t="b">
        <v>1</v>
      </c>
      <c r="R100" s="143" t="s">
        <v>1204</v>
      </c>
      <c r="S100" s="143" t="s">
        <v>1270</v>
      </c>
      <c r="T100" s="148">
        <v>6</v>
      </c>
    </row>
    <row r="101" spans="1:20">
      <c r="A101" s="136" t="s">
        <v>1271</v>
      </c>
      <c r="B101" s="136" t="s">
        <v>869</v>
      </c>
      <c r="C101" s="136" t="s">
        <v>1272</v>
      </c>
      <c r="D101" s="136" t="s">
        <v>1273</v>
      </c>
      <c r="E101" s="137"/>
      <c r="F101" s="145" t="e">
        <f>VLOOKUP(C101,'[3]entities zones'!$C:$D,2,FALSE)</f>
        <v>#N/A</v>
      </c>
      <c r="G101" s="136" t="s">
        <v>1273</v>
      </c>
      <c r="H101" s="139" t="s">
        <v>872</v>
      </c>
      <c r="I101" s="139" t="s">
        <v>873</v>
      </c>
      <c r="J101" s="139" t="s">
        <v>874</v>
      </c>
      <c r="K101" s="136" t="s">
        <v>1267</v>
      </c>
      <c r="L101" s="140">
        <v>1</v>
      </c>
      <c r="M101" s="140">
        <v>10</v>
      </c>
      <c r="N101" s="140">
        <v>4</v>
      </c>
      <c r="O101" s="139">
        <v>0</v>
      </c>
      <c r="P101" s="139" t="b">
        <v>0</v>
      </c>
      <c r="Q101" s="139" t="b">
        <v>1</v>
      </c>
      <c r="R101" s="136" t="s">
        <v>1204</v>
      </c>
      <c r="S101" s="136" t="s">
        <v>1274</v>
      </c>
      <c r="T101" s="141">
        <v>0</v>
      </c>
    </row>
    <row r="102" spans="1:20">
      <c r="A102" s="136" t="s">
        <v>1275</v>
      </c>
      <c r="B102" s="136" t="s">
        <v>869</v>
      </c>
      <c r="C102" s="136" t="s">
        <v>216</v>
      </c>
      <c r="D102" s="136" t="s">
        <v>1276</v>
      </c>
      <c r="E102" s="137" t="s">
        <v>895</v>
      </c>
      <c r="F102" s="145" t="str">
        <f>VLOOKUP(C102,'[3]entities zones'!$C:$D,2,FALSE)</f>
        <v>EURZONNOR</v>
      </c>
      <c r="G102" s="136" t="s">
        <v>1276</v>
      </c>
      <c r="H102" s="139" t="s">
        <v>872</v>
      </c>
      <c r="I102" s="139" t="s">
        <v>873</v>
      </c>
      <c r="J102" s="139" t="s">
        <v>874</v>
      </c>
      <c r="K102" s="136" t="s">
        <v>1267</v>
      </c>
      <c r="L102" s="140">
        <v>1</v>
      </c>
      <c r="M102" s="140">
        <v>20</v>
      </c>
      <c r="N102" s="140">
        <v>4</v>
      </c>
      <c r="O102" s="139">
        <v>0</v>
      </c>
      <c r="P102" s="139" t="b">
        <v>0</v>
      </c>
      <c r="Q102" s="139" t="b">
        <v>1</v>
      </c>
      <c r="R102" s="136" t="s">
        <v>1204</v>
      </c>
      <c r="S102" s="136" t="s">
        <v>1277</v>
      </c>
      <c r="T102" s="141">
        <v>0</v>
      </c>
    </row>
    <row r="103" spans="1:20">
      <c r="A103" s="136" t="s">
        <v>1278</v>
      </c>
      <c r="B103" s="136" t="s">
        <v>869</v>
      </c>
      <c r="C103" s="136" t="s">
        <v>262</v>
      </c>
      <c r="D103" s="136" t="s">
        <v>1279</v>
      </c>
      <c r="E103" s="137" t="s">
        <v>895</v>
      </c>
      <c r="F103" s="145" t="str">
        <f>VLOOKUP(C103,'[3]entities zones'!$C:$D,2,FALSE)</f>
        <v>EURZONNOR</v>
      </c>
      <c r="G103" s="136" t="s">
        <v>1279</v>
      </c>
      <c r="H103" s="139" t="s">
        <v>872</v>
      </c>
      <c r="I103" s="139" t="s">
        <v>873</v>
      </c>
      <c r="J103" s="139" t="s">
        <v>874</v>
      </c>
      <c r="K103" s="136" t="s">
        <v>1267</v>
      </c>
      <c r="L103" s="140">
        <v>1</v>
      </c>
      <c r="M103" s="140">
        <v>30</v>
      </c>
      <c r="N103" s="140">
        <v>4</v>
      </c>
      <c r="O103" s="139">
        <v>0</v>
      </c>
      <c r="P103" s="139" t="b">
        <v>0</v>
      </c>
      <c r="Q103" s="139" t="b">
        <v>1</v>
      </c>
      <c r="R103" s="136" t="s">
        <v>1204</v>
      </c>
      <c r="S103" s="136" t="s">
        <v>1280</v>
      </c>
      <c r="T103" s="141">
        <v>0</v>
      </c>
    </row>
    <row r="104" spans="1:20">
      <c r="A104" s="142" t="s">
        <v>1281</v>
      </c>
      <c r="B104" s="143" t="s">
        <v>869</v>
      </c>
      <c r="C104" s="143" t="s">
        <v>1282</v>
      </c>
      <c r="D104" s="143" t="s">
        <v>1283</v>
      </c>
      <c r="E104" s="144"/>
      <c r="F104" s="145" t="e">
        <f>VLOOKUP(C104,'[3]entities zones'!$C:$D,2,FALSE)</f>
        <v>#N/A</v>
      </c>
      <c r="G104" s="143" t="s">
        <v>1284</v>
      </c>
      <c r="H104" s="146" t="s">
        <v>872</v>
      </c>
      <c r="I104" s="146" t="s">
        <v>873</v>
      </c>
      <c r="J104" s="146" t="s">
        <v>874</v>
      </c>
      <c r="K104" s="143" t="s">
        <v>1267</v>
      </c>
      <c r="L104" s="147">
        <v>1</v>
      </c>
      <c r="M104" s="147">
        <v>888</v>
      </c>
      <c r="N104" s="147">
        <v>4</v>
      </c>
      <c r="O104" s="146">
        <v>2</v>
      </c>
      <c r="P104" s="146" t="b">
        <v>1</v>
      </c>
      <c r="Q104" s="146" t="b">
        <v>1</v>
      </c>
      <c r="R104" s="143" t="s">
        <v>1285</v>
      </c>
      <c r="S104" s="143" t="s">
        <v>1270</v>
      </c>
      <c r="T104" s="148">
        <v>2</v>
      </c>
    </row>
    <row r="105" spans="1:20">
      <c r="A105" s="136" t="s">
        <v>1286</v>
      </c>
      <c r="B105" s="136" t="s">
        <v>869</v>
      </c>
      <c r="C105" s="136" t="s">
        <v>1287</v>
      </c>
      <c r="D105" s="136" t="s">
        <v>1288</v>
      </c>
      <c r="E105" s="137"/>
      <c r="F105" s="145" t="e">
        <f>VLOOKUP(C105,'[3]entities zones'!$C:$D,2,FALSE)</f>
        <v>#N/A</v>
      </c>
      <c r="G105" s="136" t="s">
        <v>1289</v>
      </c>
      <c r="H105" s="139" t="s">
        <v>872</v>
      </c>
      <c r="I105" s="139" t="s">
        <v>873</v>
      </c>
      <c r="J105" s="139" t="s">
        <v>874</v>
      </c>
      <c r="K105" s="136" t="s">
        <v>1282</v>
      </c>
      <c r="L105" s="140">
        <v>1</v>
      </c>
      <c r="M105" s="140">
        <v>888</v>
      </c>
      <c r="N105" s="140">
        <v>5</v>
      </c>
      <c r="O105" s="139">
        <v>0</v>
      </c>
      <c r="P105" s="139" t="b">
        <v>0</v>
      </c>
      <c r="Q105" s="139" t="b">
        <v>1</v>
      </c>
      <c r="R105" s="136" t="s">
        <v>882</v>
      </c>
      <c r="S105" s="136" t="s">
        <v>1290</v>
      </c>
      <c r="T105" s="141">
        <v>0</v>
      </c>
    </row>
    <row r="106" spans="1:20">
      <c r="A106" s="136" t="s">
        <v>1291</v>
      </c>
      <c r="B106" s="136" t="s">
        <v>869</v>
      </c>
      <c r="C106" s="136" t="s">
        <v>1292</v>
      </c>
      <c r="D106" s="136" t="s">
        <v>1293</v>
      </c>
      <c r="E106" s="137"/>
      <c r="F106" s="145" t="e">
        <f>VLOOKUP(C106,'[3]entities zones'!$C:$D,2,FALSE)</f>
        <v>#N/A</v>
      </c>
      <c r="G106" s="136" t="s">
        <v>1294</v>
      </c>
      <c r="H106" s="139" t="s">
        <v>872</v>
      </c>
      <c r="I106" s="139" t="s">
        <v>873</v>
      </c>
      <c r="J106" s="139" t="s">
        <v>874</v>
      </c>
      <c r="K106" s="136" t="s">
        <v>1282</v>
      </c>
      <c r="L106" s="140">
        <v>1</v>
      </c>
      <c r="M106" s="140">
        <v>999</v>
      </c>
      <c r="N106" s="140">
        <v>5</v>
      </c>
      <c r="O106" s="139">
        <v>0</v>
      </c>
      <c r="P106" s="139" t="b">
        <v>0</v>
      </c>
      <c r="Q106" s="139" t="b">
        <v>1</v>
      </c>
      <c r="R106" s="136" t="s">
        <v>1295</v>
      </c>
      <c r="S106" s="136" t="s">
        <v>1262</v>
      </c>
      <c r="T106" s="141">
        <v>0</v>
      </c>
    </row>
    <row r="107" spans="1:20">
      <c r="A107" s="142" t="s">
        <v>1296</v>
      </c>
      <c r="B107" s="143" t="s">
        <v>869</v>
      </c>
      <c r="C107" s="143" t="s">
        <v>259</v>
      </c>
      <c r="D107" s="143" t="s">
        <v>1297</v>
      </c>
      <c r="E107" s="144"/>
      <c r="F107" s="145" t="str">
        <f>VLOOKUP(C107,'[3]entities zones'!$C:$D,2,FALSE)</f>
        <v>EURZONNOR</v>
      </c>
      <c r="G107" s="143" t="s">
        <v>1298</v>
      </c>
      <c r="H107" s="146" t="s">
        <v>872</v>
      </c>
      <c r="I107" s="146" t="s">
        <v>873</v>
      </c>
      <c r="J107" s="146" t="s">
        <v>874</v>
      </c>
      <c r="K107" s="143" t="s">
        <v>512</v>
      </c>
      <c r="L107" s="147">
        <v>1</v>
      </c>
      <c r="M107" s="147">
        <v>260</v>
      </c>
      <c r="N107" s="147">
        <v>3</v>
      </c>
      <c r="O107" s="146">
        <v>3</v>
      </c>
      <c r="P107" s="146" t="b">
        <v>1</v>
      </c>
      <c r="Q107" s="146" t="b">
        <v>1</v>
      </c>
      <c r="R107" s="143" t="s">
        <v>882</v>
      </c>
      <c r="S107" s="143" t="s">
        <v>1299</v>
      </c>
      <c r="T107" s="148">
        <v>5</v>
      </c>
    </row>
    <row r="108" spans="1:20">
      <c r="A108" s="136" t="s">
        <v>1300</v>
      </c>
      <c r="B108" s="136" t="s">
        <v>869</v>
      </c>
      <c r="C108" s="136" t="s">
        <v>1301</v>
      </c>
      <c r="D108" s="136" t="s">
        <v>1302</v>
      </c>
      <c r="E108" s="137"/>
      <c r="F108" s="145" t="str">
        <f>VLOOKUP(C108,'[3]entities zones'!$C:$D,2,FALSE)</f>
        <v>EURZONNOR</v>
      </c>
      <c r="G108" s="136" t="s">
        <v>1302</v>
      </c>
      <c r="H108" s="139" t="s">
        <v>872</v>
      </c>
      <c r="I108" s="139" t="s">
        <v>873</v>
      </c>
      <c r="J108" s="139" t="s">
        <v>874</v>
      </c>
      <c r="K108" s="136" t="s">
        <v>259</v>
      </c>
      <c r="L108" s="140">
        <v>1</v>
      </c>
      <c r="M108" s="140">
        <v>10</v>
      </c>
      <c r="N108" s="140">
        <v>4</v>
      </c>
      <c r="O108" s="139">
        <v>0</v>
      </c>
      <c r="P108" s="139" t="b">
        <v>0</v>
      </c>
      <c r="Q108" s="139" t="b">
        <v>1</v>
      </c>
      <c r="R108" s="136" t="s">
        <v>882</v>
      </c>
      <c r="S108" s="136" t="s">
        <v>1303</v>
      </c>
      <c r="T108" s="141">
        <v>0</v>
      </c>
    </row>
    <row r="109" spans="1:20">
      <c r="A109" s="136" t="s">
        <v>1304</v>
      </c>
      <c r="B109" s="136" t="s">
        <v>869</v>
      </c>
      <c r="C109" s="136" t="s">
        <v>437</v>
      </c>
      <c r="D109" s="136" t="s">
        <v>1305</v>
      </c>
      <c r="E109" s="137" t="s">
        <v>895</v>
      </c>
      <c r="F109" s="145" t="str">
        <f>VLOOKUP(C109,'[3]entities zones'!$C:$D,2,FALSE)</f>
        <v>EURZONNOR</v>
      </c>
      <c r="G109" s="136" t="s">
        <v>1305</v>
      </c>
      <c r="H109" s="139" t="s">
        <v>872</v>
      </c>
      <c r="I109" s="139" t="s">
        <v>873</v>
      </c>
      <c r="J109" s="139" t="s">
        <v>874</v>
      </c>
      <c r="K109" s="136" t="s">
        <v>259</v>
      </c>
      <c r="L109" s="140">
        <v>1</v>
      </c>
      <c r="M109" s="140">
        <v>20</v>
      </c>
      <c r="N109" s="140">
        <v>4</v>
      </c>
      <c r="O109" s="139">
        <v>0</v>
      </c>
      <c r="P109" s="139" t="b">
        <v>0</v>
      </c>
      <c r="Q109" s="139" t="b">
        <v>1</v>
      </c>
      <c r="R109" s="136" t="s">
        <v>882</v>
      </c>
      <c r="S109" s="136" t="s">
        <v>1306</v>
      </c>
      <c r="T109" s="141">
        <v>0</v>
      </c>
    </row>
    <row r="110" spans="1:20">
      <c r="A110" s="142" t="s">
        <v>1307</v>
      </c>
      <c r="B110" s="143" t="s">
        <v>869</v>
      </c>
      <c r="C110" s="143" t="s">
        <v>1308</v>
      </c>
      <c r="D110" s="143" t="s">
        <v>1309</v>
      </c>
      <c r="E110" s="144"/>
      <c r="F110" s="145" t="str">
        <f>VLOOKUP(C110,'[3]entities zones'!$C:$D,2,FALSE)</f>
        <v>EURZONNOR</v>
      </c>
      <c r="G110" s="143" t="s">
        <v>1310</v>
      </c>
      <c r="H110" s="146" t="s">
        <v>872</v>
      </c>
      <c r="I110" s="146" t="s">
        <v>873</v>
      </c>
      <c r="J110" s="146" t="s">
        <v>874</v>
      </c>
      <c r="K110" s="143" t="s">
        <v>259</v>
      </c>
      <c r="L110" s="147">
        <v>1</v>
      </c>
      <c r="M110" s="147">
        <v>888</v>
      </c>
      <c r="N110" s="147">
        <v>4</v>
      </c>
      <c r="O110" s="146">
        <v>2</v>
      </c>
      <c r="P110" s="146" t="b">
        <v>1</v>
      </c>
      <c r="Q110" s="146" t="b">
        <v>1</v>
      </c>
      <c r="R110" s="143" t="s">
        <v>1311</v>
      </c>
      <c r="S110" s="143" t="s">
        <v>1270</v>
      </c>
      <c r="T110" s="148">
        <v>2</v>
      </c>
    </row>
    <row r="111" spans="1:20">
      <c r="A111" s="136" t="s">
        <v>1312</v>
      </c>
      <c r="B111" s="136" t="s">
        <v>869</v>
      </c>
      <c r="C111" s="136" t="s">
        <v>1313</v>
      </c>
      <c r="D111" s="136" t="s">
        <v>1314</v>
      </c>
      <c r="E111" s="137"/>
      <c r="F111" s="145" t="str">
        <f>VLOOKUP(C111,'[3]entities zones'!$C:$D,2,FALSE)</f>
        <v>EURZONNOR</v>
      </c>
      <c r="G111" s="136" t="s">
        <v>1315</v>
      </c>
      <c r="H111" s="139" t="s">
        <v>872</v>
      </c>
      <c r="I111" s="139" t="s">
        <v>873</v>
      </c>
      <c r="J111" s="139" t="s">
        <v>874</v>
      </c>
      <c r="K111" s="136" t="s">
        <v>1308</v>
      </c>
      <c r="L111" s="140">
        <v>1</v>
      </c>
      <c r="M111" s="140">
        <v>888</v>
      </c>
      <c r="N111" s="140">
        <v>5</v>
      </c>
      <c r="O111" s="139">
        <v>0</v>
      </c>
      <c r="P111" s="139" t="b">
        <v>0</v>
      </c>
      <c r="Q111" s="139" t="b">
        <v>1</v>
      </c>
      <c r="R111" s="136" t="s">
        <v>882</v>
      </c>
      <c r="S111" s="136" t="s">
        <v>1290</v>
      </c>
      <c r="T111" s="141">
        <v>0</v>
      </c>
    </row>
    <row r="112" spans="1:20">
      <c r="A112" s="136" t="s">
        <v>1316</v>
      </c>
      <c r="B112" s="136" t="s">
        <v>869</v>
      </c>
      <c r="C112" s="136" t="s">
        <v>1317</v>
      </c>
      <c r="D112" s="136" t="s">
        <v>1318</v>
      </c>
      <c r="E112" s="137"/>
      <c r="F112" s="145" t="str">
        <f>VLOOKUP(C112,'[3]entities zones'!$C:$D,2,FALSE)</f>
        <v>EURZONNOR</v>
      </c>
      <c r="G112" s="136" t="s">
        <v>1319</v>
      </c>
      <c r="H112" s="139" t="s">
        <v>872</v>
      </c>
      <c r="I112" s="139" t="s">
        <v>873</v>
      </c>
      <c r="J112" s="139" t="s">
        <v>874</v>
      </c>
      <c r="K112" s="136" t="s">
        <v>1308</v>
      </c>
      <c r="L112" s="140">
        <v>1</v>
      </c>
      <c r="M112" s="140">
        <v>999</v>
      </c>
      <c r="N112" s="140">
        <v>5</v>
      </c>
      <c r="O112" s="139">
        <v>0</v>
      </c>
      <c r="P112" s="139" t="b">
        <v>0</v>
      </c>
      <c r="Q112" s="139" t="b">
        <v>1</v>
      </c>
      <c r="R112" s="136" t="s">
        <v>1320</v>
      </c>
      <c r="S112" s="136" t="s">
        <v>1262</v>
      </c>
      <c r="T112" s="141">
        <v>0</v>
      </c>
    </row>
    <row r="113" spans="1:20">
      <c r="A113" s="136" t="s">
        <v>1321</v>
      </c>
      <c r="B113" s="136" t="s">
        <v>869</v>
      </c>
      <c r="C113" s="136" t="s">
        <v>263</v>
      </c>
      <c r="D113" s="136" t="s">
        <v>1322</v>
      </c>
      <c r="E113" s="137" t="s">
        <v>895</v>
      </c>
      <c r="F113" s="145" t="str">
        <f>VLOOKUP(C113,'[3]entities zones'!$C:$D,2,FALSE)</f>
        <v>EURZONSUD</v>
      </c>
      <c r="G113" s="136" t="s">
        <v>1322</v>
      </c>
      <c r="H113" s="139" t="s">
        <v>872</v>
      </c>
      <c r="I113" s="139" t="s">
        <v>873</v>
      </c>
      <c r="J113" s="139" t="s">
        <v>874</v>
      </c>
      <c r="K113" s="136" t="s">
        <v>512</v>
      </c>
      <c r="L113" s="140">
        <v>1</v>
      </c>
      <c r="M113" s="140">
        <v>270</v>
      </c>
      <c r="N113" s="140">
        <v>3</v>
      </c>
      <c r="O113" s="139">
        <v>0</v>
      </c>
      <c r="P113" s="139" t="b">
        <v>0</v>
      </c>
      <c r="Q113" s="139" t="b">
        <v>1</v>
      </c>
      <c r="R113" s="136" t="s">
        <v>1204</v>
      </c>
      <c r="S113" s="136" t="s">
        <v>1323</v>
      </c>
      <c r="T113" s="141">
        <v>0</v>
      </c>
    </row>
    <row r="114" spans="1:20">
      <c r="A114" s="142" t="s">
        <v>1324</v>
      </c>
      <c r="B114" s="143" t="s">
        <v>869</v>
      </c>
      <c r="C114" s="143" t="s">
        <v>1325</v>
      </c>
      <c r="D114" s="143" t="s">
        <v>1326</v>
      </c>
      <c r="E114" s="144"/>
      <c r="F114" s="145" t="e">
        <f>VLOOKUP(C114,'[3]entities zones'!$C:$D,2,FALSE)</f>
        <v>#N/A</v>
      </c>
      <c r="G114" s="143" t="s">
        <v>1327</v>
      </c>
      <c r="H114" s="146" t="s">
        <v>872</v>
      </c>
      <c r="I114" s="146" t="s">
        <v>873</v>
      </c>
      <c r="J114" s="146" t="s">
        <v>874</v>
      </c>
      <c r="K114" s="143" t="s">
        <v>512</v>
      </c>
      <c r="L114" s="147">
        <v>1</v>
      </c>
      <c r="M114" s="147">
        <v>280</v>
      </c>
      <c r="N114" s="147">
        <v>3</v>
      </c>
      <c r="O114" s="146">
        <v>5</v>
      </c>
      <c r="P114" s="146" t="b">
        <v>1</v>
      </c>
      <c r="Q114" s="146" t="b">
        <v>1</v>
      </c>
      <c r="R114" s="143" t="s">
        <v>1150</v>
      </c>
      <c r="S114" s="143" t="s">
        <v>1270</v>
      </c>
      <c r="T114" s="148">
        <v>38</v>
      </c>
    </row>
    <row r="115" spans="1:20">
      <c r="A115" s="142" t="s">
        <v>1328</v>
      </c>
      <c r="B115" s="143" t="s">
        <v>869</v>
      </c>
      <c r="C115" s="143" t="s">
        <v>1329</v>
      </c>
      <c r="D115" s="143" t="s">
        <v>1330</v>
      </c>
      <c r="E115" s="144"/>
      <c r="F115" s="145" t="e">
        <f>VLOOKUP(C115,'[3]entities zones'!$C:$D,2,FALSE)</f>
        <v>#N/A</v>
      </c>
      <c r="G115" s="143" t="s">
        <v>1330</v>
      </c>
      <c r="H115" s="146" t="s">
        <v>872</v>
      </c>
      <c r="I115" s="146" t="s">
        <v>873</v>
      </c>
      <c r="J115" s="146" t="s">
        <v>874</v>
      </c>
      <c r="K115" s="143" t="s">
        <v>1325</v>
      </c>
      <c r="L115" s="147">
        <v>1</v>
      </c>
      <c r="M115" s="147">
        <v>10</v>
      </c>
      <c r="N115" s="147">
        <v>4</v>
      </c>
      <c r="O115" s="146">
        <v>3</v>
      </c>
      <c r="P115" s="146" t="b">
        <v>1</v>
      </c>
      <c r="Q115" s="146" t="b">
        <v>1</v>
      </c>
      <c r="R115" s="143" t="s">
        <v>891</v>
      </c>
      <c r="S115" s="143" t="s">
        <v>1331</v>
      </c>
      <c r="T115" s="148">
        <v>3</v>
      </c>
    </row>
    <row r="116" spans="1:20">
      <c r="A116" s="136" t="s">
        <v>1332</v>
      </c>
      <c r="B116" s="136" t="s">
        <v>869</v>
      </c>
      <c r="C116" s="136" t="s">
        <v>1333</v>
      </c>
      <c r="D116" s="136" t="s">
        <v>1334</v>
      </c>
      <c r="E116" s="137"/>
      <c r="F116" s="145" t="e">
        <f>VLOOKUP(C116,'[3]entities zones'!$C:$D,2,FALSE)</f>
        <v>#N/A</v>
      </c>
      <c r="G116" s="136" t="s">
        <v>1334</v>
      </c>
      <c r="H116" s="139" t="s">
        <v>872</v>
      </c>
      <c r="I116" s="139" t="s">
        <v>873</v>
      </c>
      <c r="J116" s="139" t="s">
        <v>874</v>
      </c>
      <c r="K116" s="136" t="s">
        <v>1329</v>
      </c>
      <c r="L116" s="140">
        <v>1</v>
      </c>
      <c r="M116" s="140">
        <v>2</v>
      </c>
      <c r="N116" s="140">
        <v>5</v>
      </c>
      <c r="O116" s="139">
        <v>0</v>
      </c>
      <c r="P116" s="139" t="b">
        <v>0</v>
      </c>
      <c r="Q116" s="139" t="b">
        <v>1</v>
      </c>
      <c r="R116" s="136" t="s">
        <v>1335</v>
      </c>
      <c r="S116" s="136" t="s">
        <v>1336</v>
      </c>
      <c r="T116" s="141">
        <v>0</v>
      </c>
    </row>
    <row r="117" spans="1:20">
      <c r="A117" s="136" t="s">
        <v>1337</v>
      </c>
      <c r="B117" s="136" t="s">
        <v>869</v>
      </c>
      <c r="C117" s="136" t="s">
        <v>1338</v>
      </c>
      <c r="D117" s="136" t="s">
        <v>1339</v>
      </c>
      <c r="E117" s="137"/>
      <c r="F117" s="145" t="e">
        <f>VLOOKUP(C117,'[3]entities zones'!$C:$D,2,FALSE)</f>
        <v>#N/A</v>
      </c>
      <c r="G117" s="136" t="s">
        <v>1339</v>
      </c>
      <c r="H117" s="139" t="s">
        <v>872</v>
      </c>
      <c r="I117" s="139" t="s">
        <v>873</v>
      </c>
      <c r="J117" s="139" t="s">
        <v>874</v>
      </c>
      <c r="K117" s="136" t="s">
        <v>1329</v>
      </c>
      <c r="L117" s="140">
        <v>1</v>
      </c>
      <c r="M117" s="140">
        <v>3</v>
      </c>
      <c r="N117" s="140">
        <v>5</v>
      </c>
      <c r="O117" s="139">
        <v>0</v>
      </c>
      <c r="P117" s="139" t="b">
        <v>0</v>
      </c>
      <c r="Q117" s="139" t="b">
        <v>1</v>
      </c>
      <c r="R117" s="136" t="s">
        <v>1335</v>
      </c>
      <c r="S117" s="136" t="s">
        <v>1340</v>
      </c>
      <c r="T117" s="141">
        <v>0</v>
      </c>
    </row>
    <row r="118" spans="1:20">
      <c r="A118" s="136" t="s">
        <v>1341</v>
      </c>
      <c r="B118" s="136" t="s">
        <v>869</v>
      </c>
      <c r="C118" s="136" t="s">
        <v>1342</v>
      </c>
      <c r="D118" s="136" t="s">
        <v>1343</v>
      </c>
      <c r="E118" s="137"/>
      <c r="F118" s="145" t="e">
        <f>VLOOKUP(C118,'[3]entities zones'!$C:$D,2,FALSE)</f>
        <v>#N/A</v>
      </c>
      <c r="G118" s="136" t="s">
        <v>1343</v>
      </c>
      <c r="H118" s="139" t="s">
        <v>872</v>
      </c>
      <c r="I118" s="139" t="s">
        <v>873</v>
      </c>
      <c r="J118" s="139" t="s">
        <v>874</v>
      </c>
      <c r="K118" s="136" t="s">
        <v>1329</v>
      </c>
      <c r="L118" s="140">
        <v>1</v>
      </c>
      <c r="M118" s="140">
        <v>4</v>
      </c>
      <c r="N118" s="140">
        <v>5</v>
      </c>
      <c r="O118" s="139">
        <v>0</v>
      </c>
      <c r="P118" s="139" t="b">
        <v>0</v>
      </c>
      <c r="Q118" s="139" t="b">
        <v>1</v>
      </c>
      <c r="R118" s="136" t="s">
        <v>1335</v>
      </c>
      <c r="S118" s="136" t="s">
        <v>1344</v>
      </c>
      <c r="T118" s="141">
        <v>0</v>
      </c>
    </row>
    <row r="119" spans="1:20">
      <c r="A119" s="142" t="s">
        <v>1345</v>
      </c>
      <c r="B119" s="143" t="s">
        <v>869</v>
      </c>
      <c r="C119" s="143" t="s">
        <v>1346</v>
      </c>
      <c r="D119" s="143" t="s">
        <v>1347</v>
      </c>
      <c r="E119" s="144"/>
      <c r="F119" s="145" t="e">
        <f>VLOOKUP(C119,'[3]entities zones'!$C:$D,2,FALSE)</f>
        <v>#N/A</v>
      </c>
      <c r="G119" s="143" t="s">
        <v>1347</v>
      </c>
      <c r="H119" s="146" t="s">
        <v>872</v>
      </c>
      <c r="I119" s="146" t="s">
        <v>873</v>
      </c>
      <c r="J119" s="146" t="s">
        <v>874</v>
      </c>
      <c r="K119" s="143" t="s">
        <v>1325</v>
      </c>
      <c r="L119" s="147">
        <v>1</v>
      </c>
      <c r="M119" s="147">
        <v>20</v>
      </c>
      <c r="N119" s="147">
        <v>4</v>
      </c>
      <c r="O119" s="146">
        <v>13</v>
      </c>
      <c r="P119" s="146" t="b">
        <v>1</v>
      </c>
      <c r="Q119" s="146" t="b">
        <v>1</v>
      </c>
      <c r="R119" s="143" t="s">
        <v>1348</v>
      </c>
      <c r="S119" s="143" t="s">
        <v>1270</v>
      </c>
      <c r="T119" s="148">
        <v>15</v>
      </c>
    </row>
    <row r="120" spans="1:20">
      <c r="A120" s="136" t="s">
        <v>1349</v>
      </c>
      <c r="B120" s="136" t="s">
        <v>869</v>
      </c>
      <c r="C120" s="136" t="s">
        <v>440</v>
      </c>
      <c r="D120" s="136" t="s">
        <v>1350</v>
      </c>
      <c r="E120" s="137" t="s">
        <v>895</v>
      </c>
      <c r="F120" s="145" t="str">
        <f>VLOOKUP(C120,'[3]entities zones'!$C:$D,2,FALSE)</f>
        <v>EURZONNOR</v>
      </c>
      <c r="G120" s="136" t="s">
        <v>1350</v>
      </c>
      <c r="H120" s="139" t="s">
        <v>872</v>
      </c>
      <c r="I120" s="139" t="s">
        <v>873</v>
      </c>
      <c r="J120" s="139" t="s">
        <v>874</v>
      </c>
      <c r="K120" s="136" t="s">
        <v>1346</v>
      </c>
      <c r="L120" s="140">
        <v>1</v>
      </c>
      <c r="M120" s="140">
        <v>1</v>
      </c>
      <c r="N120" s="140">
        <v>5</v>
      </c>
      <c r="O120" s="139">
        <v>0</v>
      </c>
      <c r="P120" s="139" t="b">
        <v>0</v>
      </c>
      <c r="Q120" s="139" t="b">
        <v>1</v>
      </c>
      <c r="R120" s="136" t="s">
        <v>1348</v>
      </c>
      <c r="S120" s="136" t="s">
        <v>1351</v>
      </c>
      <c r="T120" s="141">
        <v>0</v>
      </c>
    </row>
    <row r="121" spans="1:20">
      <c r="A121" s="136" t="s">
        <v>1352</v>
      </c>
      <c r="B121" s="136" t="s">
        <v>869</v>
      </c>
      <c r="C121" s="136" t="s">
        <v>442</v>
      </c>
      <c r="D121" s="136" t="s">
        <v>1353</v>
      </c>
      <c r="E121" s="137" t="s">
        <v>895</v>
      </c>
      <c r="F121" s="145" t="str">
        <f>VLOOKUP(C121,'[3]entities zones'!$C:$D,2,FALSE)</f>
        <v>EURZONNOR</v>
      </c>
      <c r="G121" s="136" t="s">
        <v>1353</v>
      </c>
      <c r="H121" s="139" t="s">
        <v>872</v>
      </c>
      <c r="I121" s="139" t="s">
        <v>873</v>
      </c>
      <c r="J121" s="139" t="s">
        <v>874</v>
      </c>
      <c r="K121" s="136" t="s">
        <v>1346</v>
      </c>
      <c r="L121" s="140">
        <v>1</v>
      </c>
      <c r="M121" s="140">
        <v>2</v>
      </c>
      <c r="N121" s="140">
        <v>5</v>
      </c>
      <c r="O121" s="139">
        <v>0</v>
      </c>
      <c r="P121" s="139" t="b">
        <v>0</v>
      </c>
      <c r="Q121" s="139" t="b">
        <v>1</v>
      </c>
      <c r="R121" s="136" t="s">
        <v>1348</v>
      </c>
      <c r="S121" s="136" t="s">
        <v>1354</v>
      </c>
      <c r="T121" s="141">
        <v>0</v>
      </c>
    </row>
    <row r="122" spans="1:20">
      <c r="A122" s="136" t="s">
        <v>1355</v>
      </c>
      <c r="B122" s="136" t="s">
        <v>869</v>
      </c>
      <c r="C122" s="136" t="s">
        <v>444</v>
      </c>
      <c r="D122" s="136" t="s">
        <v>1356</v>
      </c>
      <c r="E122" s="137" t="s">
        <v>895</v>
      </c>
      <c r="F122" s="145" t="str">
        <f>VLOOKUP(C122,'[3]entities zones'!$C:$D,2,FALSE)</f>
        <v>EURZONCEN</v>
      </c>
      <c r="G122" s="136" t="s">
        <v>1356</v>
      </c>
      <c r="H122" s="139" t="s">
        <v>872</v>
      </c>
      <c r="I122" s="139" t="s">
        <v>873</v>
      </c>
      <c r="J122" s="139" t="s">
        <v>874</v>
      </c>
      <c r="K122" s="136" t="s">
        <v>1346</v>
      </c>
      <c r="L122" s="140">
        <v>1</v>
      </c>
      <c r="M122" s="140">
        <v>3</v>
      </c>
      <c r="N122" s="140">
        <v>5</v>
      </c>
      <c r="O122" s="139">
        <v>0</v>
      </c>
      <c r="P122" s="139" t="b">
        <v>0</v>
      </c>
      <c r="Q122" s="139" t="b">
        <v>1</v>
      </c>
      <c r="R122" s="136" t="s">
        <v>1348</v>
      </c>
      <c r="S122" s="136" t="s">
        <v>1357</v>
      </c>
      <c r="T122" s="141">
        <v>0</v>
      </c>
    </row>
    <row r="123" spans="1:20">
      <c r="A123" s="136" t="s">
        <v>1358</v>
      </c>
      <c r="B123" s="136" t="s">
        <v>869</v>
      </c>
      <c r="C123" s="136" t="s">
        <v>446</v>
      </c>
      <c r="D123" s="136" t="s">
        <v>1359</v>
      </c>
      <c r="E123" s="137" t="s">
        <v>895</v>
      </c>
      <c r="F123" s="145" t="str">
        <f>VLOOKUP(C123,'[3]entities zones'!$C:$D,2,FALSE)</f>
        <v>EURZONSUD</v>
      </c>
      <c r="G123" s="136" t="s">
        <v>1359</v>
      </c>
      <c r="H123" s="139" t="s">
        <v>872</v>
      </c>
      <c r="I123" s="139" t="s">
        <v>873</v>
      </c>
      <c r="J123" s="139" t="s">
        <v>874</v>
      </c>
      <c r="K123" s="136" t="s">
        <v>1346</v>
      </c>
      <c r="L123" s="140">
        <v>1</v>
      </c>
      <c r="M123" s="140">
        <v>4</v>
      </c>
      <c r="N123" s="140">
        <v>5</v>
      </c>
      <c r="O123" s="139">
        <v>0</v>
      </c>
      <c r="P123" s="139" t="b">
        <v>0</v>
      </c>
      <c r="Q123" s="139" t="b">
        <v>1</v>
      </c>
      <c r="R123" s="136" t="s">
        <v>1348</v>
      </c>
      <c r="S123" s="136" t="s">
        <v>1360</v>
      </c>
      <c r="T123" s="141">
        <v>0</v>
      </c>
    </row>
    <row r="124" spans="1:20">
      <c r="A124" s="136" t="s">
        <v>1361</v>
      </c>
      <c r="B124" s="136" t="s">
        <v>869</v>
      </c>
      <c r="C124" s="136" t="s">
        <v>448</v>
      </c>
      <c r="D124" s="136" t="s">
        <v>1362</v>
      </c>
      <c r="E124" s="137" t="s">
        <v>895</v>
      </c>
      <c r="F124" s="145" t="str">
        <f>VLOOKUP(C124,'[3]entities zones'!$C:$D,2,FALSE)</f>
        <v>EURZONCEN</v>
      </c>
      <c r="G124" s="136" t="s">
        <v>1362</v>
      </c>
      <c r="H124" s="139" t="s">
        <v>872</v>
      </c>
      <c r="I124" s="139" t="s">
        <v>873</v>
      </c>
      <c r="J124" s="139" t="s">
        <v>874</v>
      </c>
      <c r="K124" s="136" t="s">
        <v>1346</v>
      </c>
      <c r="L124" s="140">
        <v>1</v>
      </c>
      <c r="M124" s="140">
        <v>5</v>
      </c>
      <c r="N124" s="140">
        <v>5</v>
      </c>
      <c r="O124" s="139">
        <v>0</v>
      </c>
      <c r="P124" s="139" t="b">
        <v>0</v>
      </c>
      <c r="Q124" s="139" t="b">
        <v>1</v>
      </c>
      <c r="R124" s="136" t="s">
        <v>1348</v>
      </c>
      <c r="S124" s="136" t="s">
        <v>1363</v>
      </c>
      <c r="T124" s="141">
        <v>0</v>
      </c>
    </row>
    <row r="125" spans="1:20">
      <c r="A125" s="136" t="s">
        <v>1364</v>
      </c>
      <c r="B125" s="136" t="s">
        <v>869</v>
      </c>
      <c r="C125" s="136" t="s">
        <v>450</v>
      </c>
      <c r="D125" s="136" t="s">
        <v>1365</v>
      </c>
      <c r="E125" s="137" t="s">
        <v>895</v>
      </c>
      <c r="F125" s="145" t="str">
        <f>VLOOKUP(C125,'[3]entities zones'!$C:$D,2,FALSE)</f>
        <v>EURZONCEN</v>
      </c>
      <c r="G125" s="136" t="s">
        <v>1365</v>
      </c>
      <c r="H125" s="139" t="s">
        <v>872</v>
      </c>
      <c r="I125" s="139" t="s">
        <v>873</v>
      </c>
      <c r="J125" s="139" t="s">
        <v>874</v>
      </c>
      <c r="K125" s="136" t="s">
        <v>1346</v>
      </c>
      <c r="L125" s="140">
        <v>1</v>
      </c>
      <c r="M125" s="140">
        <v>6</v>
      </c>
      <c r="N125" s="140">
        <v>5</v>
      </c>
      <c r="O125" s="139">
        <v>0</v>
      </c>
      <c r="P125" s="139" t="b">
        <v>0</v>
      </c>
      <c r="Q125" s="139" t="b">
        <v>1</v>
      </c>
      <c r="R125" s="136" t="s">
        <v>1348</v>
      </c>
      <c r="S125" s="136" t="s">
        <v>1366</v>
      </c>
      <c r="T125" s="141">
        <v>0</v>
      </c>
    </row>
    <row r="126" spans="1:20">
      <c r="A126" s="136" t="s">
        <v>1367</v>
      </c>
      <c r="B126" s="136" t="s">
        <v>869</v>
      </c>
      <c r="C126" s="136" t="s">
        <v>452</v>
      </c>
      <c r="D126" s="136" t="s">
        <v>1368</v>
      </c>
      <c r="E126" s="137" t="s">
        <v>895</v>
      </c>
      <c r="F126" s="145" t="str">
        <f>VLOOKUP(C126,'[3]entities zones'!$C:$D,2,FALSE)</f>
        <v>EURZONCEN</v>
      </c>
      <c r="G126" s="136" t="s">
        <v>1368</v>
      </c>
      <c r="H126" s="139" t="s">
        <v>872</v>
      </c>
      <c r="I126" s="139" t="s">
        <v>873</v>
      </c>
      <c r="J126" s="139" t="s">
        <v>874</v>
      </c>
      <c r="K126" s="136" t="s">
        <v>1346</v>
      </c>
      <c r="L126" s="140">
        <v>1</v>
      </c>
      <c r="M126" s="140">
        <v>7</v>
      </c>
      <c r="N126" s="140">
        <v>5</v>
      </c>
      <c r="O126" s="139">
        <v>0</v>
      </c>
      <c r="P126" s="139" t="b">
        <v>0</v>
      </c>
      <c r="Q126" s="139" t="b">
        <v>1</v>
      </c>
      <c r="R126" s="136" t="s">
        <v>1348</v>
      </c>
      <c r="S126" s="136" t="s">
        <v>1369</v>
      </c>
      <c r="T126" s="141">
        <v>0</v>
      </c>
    </row>
    <row r="127" spans="1:20">
      <c r="A127" s="136" t="s">
        <v>1370</v>
      </c>
      <c r="B127" s="136" t="s">
        <v>869</v>
      </c>
      <c r="C127" s="136" t="s">
        <v>454</v>
      </c>
      <c r="D127" s="136" t="s">
        <v>1371</v>
      </c>
      <c r="E127" s="137" t="s">
        <v>895</v>
      </c>
      <c r="F127" s="145" t="str">
        <f>VLOOKUP(C127,'[3]entities zones'!$C:$D,2,FALSE)</f>
        <v>EURZONCEN</v>
      </c>
      <c r="G127" s="136" t="s">
        <v>1371</v>
      </c>
      <c r="H127" s="139" t="s">
        <v>872</v>
      </c>
      <c r="I127" s="139" t="s">
        <v>873</v>
      </c>
      <c r="J127" s="139" t="s">
        <v>874</v>
      </c>
      <c r="K127" s="136" t="s">
        <v>1346</v>
      </c>
      <c r="L127" s="140">
        <v>1</v>
      </c>
      <c r="M127" s="140">
        <v>8</v>
      </c>
      <c r="N127" s="140">
        <v>5</v>
      </c>
      <c r="O127" s="139">
        <v>0</v>
      </c>
      <c r="P127" s="139" t="b">
        <v>0</v>
      </c>
      <c r="Q127" s="139" t="b">
        <v>1</v>
      </c>
      <c r="R127" s="136" t="s">
        <v>1348</v>
      </c>
      <c r="S127" s="136" t="s">
        <v>1372</v>
      </c>
      <c r="T127" s="141">
        <v>0</v>
      </c>
    </row>
    <row r="128" spans="1:20">
      <c r="A128" s="136" t="s">
        <v>1373</v>
      </c>
      <c r="B128" s="136" t="s">
        <v>869</v>
      </c>
      <c r="C128" s="136" t="s">
        <v>456</v>
      </c>
      <c r="D128" s="136" t="s">
        <v>1374</v>
      </c>
      <c r="E128" s="137" t="s">
        <v>895</v>
      </c>
      <c r="F128" s="145" t="str">
        <f>VLOOKUP(C128,'[3]entities zones'!$C:$D,2,FALSE)</f>
        <v>EURZONCEN</v>
      </c>
      <c r="G128" s="136" t="s">
        <v>1374</v>
      </c>
      <c r="H128" s="139" t="s">
        <v>872</v>
      </c>
      <c r="I128" s="139" t="s">
        <v>873</v>
      </c>
      <c r="J128" s="139" t="s">
        <v>874</v>
      </c>
      <c r="K128" s="136" t="s">
        <v>1346</v>
      </c>
      <c r="L128" s="140">
        <v>1</v>
      </c>
      <c r="M128" s="140">
        <v>9</v>
      </c>
      <c r="N128" s="140">
        <v>5</v>
      </c>
      <c r="O128" s="139">
        <v>0</v>
      </c>
      <c r="P128" s="139" t="b">
        <v>0</v>
      </c>
      <c r="Q128" s="139" t="b">
        <v>1</v>
      </c>
      <c r="R128" s="136" t="s">
        <v>1348</v>
      </c>
      <c r="S128" s="136" t="s">
        <v>1375</v>
      </c>
      <c r="T128" s="141">
        <v>0</v>
      </c>
    </row>
    <row r="129" spans="1:20">
      <c r="A129" s="136" t="s">
        <v>1376</v>
      </c>
      <c r="B129" s="136" t="s">
        <v>869</v>
      </c>
      <c r="C129" s="136" t="s">
        <v>458</v>
      </c>
      <c r="D129" s="136" t="s">
        <v>1377</v>
      </c>
      <c r="E129" s="137" t="s">
        <v>895</v>
      </c>
      <c r="F129" s="145" t="str">
        <f>VLOOKUP(C129,'[3]entities zones'!$C:$D,2,FALSE)</f>
        <v>EURZONSUD</v>
      </c>
      <c r="G129" s="136" t="s">
        <v>1377</v>
      </c>
      <c r="H129" s="139" t="s">
        <v>872</v>
      </c>
      <c r="I129" s="139" t="s">
        <v>873</v>
      </c>
      <c r="J129" s="139" t="s">
        <v>874</v>
      </c>
      <c r="K129" s="136" t="s">
        <v>1346</v>
      </c>
      <c r="L129" s="140">
        <v>1</v>
      </c>
      <c r="M129" s="140">
        <v>10</v>
      </c>
      <c r="N129" s="140">
        <v>5</v>
      </c>
      <c r="O129" s="139">
        <v>0</v>
      </c>
      <c r="P129" s="139" t="b">
        <v>0</v>
      </c>
      <c r="Q129" s="139" t="b">
        <v>1</v>
      </c>
      <c r="R129" s="136" t="s">
        <v>1348</v>
      </c>
      <c r="S129" s="136" t="s">
        <v>1378</v>
      </c>
      <c r="T129" s="141">
        <v>0</v>
      </c>
    </row>
    <row r="130" spans="1:20">
      <c r="A130" s="136" t="s">
        <v>1379</v>
      </c>
      <c r="B130" s="136" t="s">
        <v>869</v>
      </c>
      <c r="C130" s="136" t="s">
        <v>460</v>
      </c>
      <c r="D130" s="136" t="s">
        <v>1380</v>
      </c>
      <c r="E130" s="137" t="s">
        <v>895</v>
      </c>
      <c r="F130" s="145" t="str">
        <f>VLOOKUP(C130,'[3]entities zones'!$C:$D,2,FALSE)</f>
        <v>EURZONCEN</v>
      </c>
      <c r="G130" s="136" t="s">
        <v>1380</v>
      </c>
      <c r="H130" s="139" t="s">
        <v>872</v>
      </c>
      <c r="I130" s="139" t="s">
        <v>873</v>
      </c>
      <c r="J130" s="139" t="s">
        <v>874</v>
      </c>
      <c r="K130" s="136" t="s">
        <v>1346</v>
      </c>
      <c r="L130" s="140">
        <v>1</v>
      </c>
      <c r="M130" s="140">
        <v>11</v>
      </c>
      <c r="N130" s="140">
        <v>5</v>
      </c>
      <c r="O130" s="139">
        <v>0</v>
      </c>
      <c r="P130" s="139" t="b">
        <v>0</v>
      </c>
      <c r="Q130" s="139" t="b">
        <v>1</v>
      </c>
      <c r="R130" s="136" t="s">
        <v>891</v>
      </c>
      <c r="S130" s="136" t="s">
        <v>1381</v>
      </c>
      <c r="T130" s="141">
        <v>0</v>
      </c>
    </row>
    <row r="131" spans="1:20">
      <c r="A131" s="136" t="s">
        <v>1382</v>
      </c>
      <c r="B131" s="136" t="s">
        <v>869</v>
      </c>
      <c r="C131" s="136" t="s">
        <v>462</v>
      </c>
      <c r="D131" s="136" t="s">
        <v>1383</v>
      </c>
      <c r="E131" s="137" t="s">
        <v>895</v>
      </c>
      <c r="F131" s="145" t="str">
        <f>VLOOKUP(C131,'[3]entities zones'!$C:$D,2,FALSE)</f>
        <v>EURZONCEN</v>
      </c>
      <c r="G131" s="136" t="s">
        <v>1383</v>
      </c>
      <c r="H131" s="139" t="s">
        <v>872</v>
      </c>
      <c r="I131" s="139" t="s">
        <v>873</v>
      </c>
      <c r="J131" s="139" t="s">
        <v>874</v>
      </c>
      <c r="K131" s="136" t="s">
        <v>1346</v>
      </c>
      <c r="L131" s="140">
        <v>1</v>
      </c>
      <c r="M131" s="140">
        <v>12</v>
      </c>
      <c r="N131" s="140">
        <v>5</v>
      </c>
      <c r="O131" s="139">
        <v>0</v>
      </c>
      <c r="P131" s="139" t="b">
        <v>0</v>
      </c>
      <c r="Q131" s="139" t="b">
        <v>1</v>
      </c>
      <c r="R131" s="136" t="s">
        <v>891</v>
      </c>
      <c r="S131" s="136" t="s">
        <v>1384</v>
      </c>
      <c r="T131" s="141">
        <v>0</v>
      </c>
    </row>
    <row r="132" spans="1:20">
      <c r="A132" s="143" t="s">
        <v>1385</v>
      </c>
      <c r="B132" s="143" t="s">
        <v>869</v>
      </c>
      <c r="C132" s="143" t="s">
        <v>1386</v>
      </c>
      <c r="D132" s="143" t="s">
        <v>1387</v>
      </c>
      <c r="E132" s="144"/>
      <c r="F132" s="145" t="e">
        <f>VLOOKUP(C132,'[3]entities zones'!$C:$D,2,FALSE)</f>
        <v>#N/A</v>
      </c>
      <c r="G132" s="143" t="s">
        <v>1388</v>
      </c>
      <c r="H132" s="146" t="s">
        <v>872</v>
      </c>
      <c r="I132" s="146" t="s">
        <v>873</v>
      </c>
      <c r="J132" s="146" t="s">
        <v>874</v>
      </c>
      <c r="K132" s="143" t="s">
        <v>1346</v>
      </c>
      <c r="L132" s="147">
        <v>1</v>
      </c>
      <c r="M132" s="147">
        <v>888</v>
      </c>
      <c r="N132" s="147">
        <v>5</v>
      </c>
      <c r="O132" s="146">
        <v>2</v>
      </c>
      <c r="P132" s="146" t="b">
        <v>0</v>
      </c>
      <c r="Q132" s="146" t="b">
        <v>1</v>
      </c>
      <c r="R132" s="143" t="s">
        <v>1389</v>
      </c>
      <c r="S132" s="143" t="s">
        <v>1390</v>
      </c>
      <c r="T132" s="148">
        <v>2</v>
      </c>
    </row>
    <row r="133" spans="1:20">
      <c r="A133" s="136" t="s">
        <v>1391</v>
      </c>
      <c r="B133" s="136" t="s">
        <v>869</v>
      </c>
      <c r="C133" s="136" t="s">
        <v>1392</v>
      </c>
      <c r="D133" s="136" t="s">
        <v>1393</v>
      </c>
      <c r="E133" s="137"/>
      <c r="F133" s="145" t="e">
        <f>VLOOKUP(C133,'[3]entities zones'!$C:$D,2,FALSE)</f>
        <v>#N/A</v>
      </c>
      <c r="G133" s="136" t="s">
        <v>1394</v>
      </c>
      <c r="H133" s="139" t="s">
        <v>872</v>
      </c>
      <c r="I133" s="139" t="s">
        <v>873</v>
      </c>
      <c r="J133" s="139" t="s">
        <v>874</v>
      </c>
      <c r="K133" s="136" t="s">
        <v>1386</v>
      </c>
      <c r="L133" s="140">
        <v>1</v>
      </c>
      <c r="M133" s="140">
        <v>888</v>
      </c>
      <c r="N133" s="140">
        <v>6</v>
      </c>
      <c r="O133" s="139">
        <v>0</v>
      </c>
      <c r="P133" s="139" t="b">
        <v>0</v>
      </c>
      <c r="Q133" s="139" t="b">
        <v>1</v>
      </c>
      <c r="R133" s="136" t="s">
        <v>1395</v>
      </c>
      <c r="S133" s="136" t="s">
        <v>1396</v>
      </c>
      <c r="T133" s="141">
        <v>0</v>
      </c>
    </row>
    <row r="134" spans="1:20">
      <c r="A134" s="136" t="s">
        <v>1397</v>
      </c>
      <c r="B134" s="136" t="s">
        <v>869</v>
      </c>
      <c r="C134" s="136" t="s">
        <v>1398</v>
      </c>
      <c r="D134" s="136" t="s">
        <v>1399</v>
      </c>
      <c r="E134" s="137"/>
      <c r="F134" s="145" t="e">
        <f>VLOOKUP(C134,'[3]entities zones'!$C:$D,2,FALSE)</f>
        <v>#N/A</v>
      </c>
      <c r="G134" s="136" t="s">
        <v>1400</v>
      </c>
      <c r="H134" s="139" t="s">
        <v>872</v>
      </c>
      <c r="I134" s="139" t="s">
        <v>873</v>
      </c>
      <c r="J134" s="139" t="s">
        <v>874</v>
      </c>
      <c r="K134" s="136" t="s">
        <v>1386</v>
      </c>
      <c r="L134" s="140">
        <v>1</v>
      </c>
      <c r="M134" s="140">
        <v>999</v>
      </c>
      <c r="N134" s="140">
        <v>6</v>
      </c>
      <c r="O134" s="139">
        <v>0</v>
      </c>
      <c r="P134" s="139" t="b">
        <v>0</v>
      </c>
      <c r="Q134" s="139" t="b">
        <v>1</v>
      </c>
      <c r="R134" s="136" t="s">
        <v>1401</v>
      </c>
      <c r="S134" s="136" t="s">
        <v>1402</v>
      </c>
      <c r="T134" s="141">
        <v>0</v>
      </c>
    </row>
    <row r="135" spans="1:20">
      <c r="A135" s="142" t="s">
        <v>1403</v>
      </c>
      <c r="B135" s="143" t="s">
        <v>869</v>
      </c>
      <c r="C135" s="143" t="s">
        <v>1404</v>
      </c>
      <c r="D135" s="143" t="s">
        <v>1405</v>
      </c>
      <c r="E135" s="144"/>
      <c r="F135" s="145" t="e">
        <f>VLOOKUP(C135,'[3]entities zones'!$C:$D,2,FALSE)</f>
        <v>#N/A</v>
      </c>
      <c r="G135" s="143" t="s">
        <v>1405</v>
      </c>
      <c r="H135" s="146" t="s">
        <v>872</v>
      </c>
      <c r="I135" s="146" t="s">
        <v>873</v>
      </c>
      <c r="J135" s="146" t="s">
        <v>874</v>
      </c>
      <c r="K135" s="143" t="s">
        <v>1325</v>
      </c>
      <c r="L135" s="147">
        <v>1</v>
      </c>
      <c r="M135" s="147">
        <v>30</v>
      </c>
      <c r="N135" s="147">
        <v>4</v>
      </c>
      <c r="O135" s="146">
        <v>1</v>
      </c>
      <c r="P135" s="146" t="b">
        <v>1</v>
      </c>
      <c r="Q135" s="146" t="b">
        <v>1</v>
      </c>
      <c r="R135" s="143" t="s">
        <v>1348</v>
      </c>
      <c r="S135" s="143" t="s">
        <v>1406</v>
      </c>
      <c r="T135" s="148">
        <v>1</v>
      </c>
    </row>
    <row r="136" spans="1:20">
      <c r="A136" s="136" t="s">
        <v>1407</v>
      </c>
      <c r="B136" s="136" t="s">
        <v>869</v>
      </c>
      <c r="C136" s="136" t="s">
        <v>277</v>
      </c>
      <c r="D136" s="136" t="s">
        <v>1408</v>
      </c>
      <c r="E136" s="137" t="s">
        <v>895</v>
      </c>
      <c r="F136" s="145" t="str">
        <f>VLOOKUP(C136,'[3]entities zones'!$C:$D,2,FALSE)</f>
        <v>EURZONSUD</v>
      </c>
      <c r="G136" s="136" t="s">
        <v>1408</v>
      </c>
      <c r="H136" s="139" t="s">
        <v>872</v>
      </c>
      <c r="I136" s="139" t="s">
        <v>873</v>
      </c>
      <c r="J136" s="139" t="s">
        <v>874</v>
      </c>
      <c r="K136" s="136" t="s">
        <v>1404</v>
      </c>
      <c r="L136" s="140">
        <v>1</v>
      </c>
      <c r="M136" s="140">
        <v>5</v>
      </c>
      <c r="N136" s="140">
        <v>5</v>
      </c>
      <c r="O136" s="139">
        <v>0</v>
      </c>
      <c r="P136" s="139" t="b">
        <v>0</v>
      </c>
      <c r="Q136" s="139" t="b">
        <v>1</v>
      </c>
      <c r="R136" s="136" t="s">
        <v>1348</v>
      </c>
      <c r="S136" s="136" t="s">
        <v>1409</v>
      </c>
      <c r="T136" s="141">
        <v>0</v>
      </c>
    </row>
    <row r="137" spans="1:20">
      <c r="A137" s="142" t="s">
        <v>1410</v>
      </c>
      <c r="B137" s="143" t="s">
        <v>869</v>
      </c>
      <c r="C137" s="143" t="s">
        <v>1411</v>
      </c>
      <c r="D137" s="143" t="s">
        <v>1412</v>
      </c>
      <c r="E137" s="144"/>
      <c r="F137" s="145" t="e">
        <f>VLOOKUP(C137,'[3]entities zones'!$C:$D,2,FALSE)</f>
        <v>#N/A</v>
      </c>
      <c r="G137" s="143" t="s">
        <v>1412</v>
      </c>
      <c r="H137" s="146" t="s">
        <v>872</v>
      </c>
      <c r="I137" s="146" t="s">
        <v>873</v>
      </c>
      <c r="J137" s="146" t="s">
        <v>874</v>
      </c>
      <c r="K137" s="143" t="s">
        <v>1325</v>
      </c>
      <c r="L137" s="147">
        <v>1</v>
      </c>
      <c r="M137" s="147">
        <v>40</v>
      </c>
      <c r="N137" s="147">
        <v>4</v>
      </c>
      <c r="O137" s="146">
        <v>12</v>
      </c>
      <c r="P137" s="146" t="b">
        <v>1</v>
      </c>
      <c r="Q137" s="146" t="b">
        <v>1</v>
      </c>
      <c r="R137" s="143" t="s">
        <v>891</v>
      </c>
      <c r="S137" s="143" t="s">
        <v>1413</v>
      </c>
      <c r="T137" s="148">
        <v>12</v>
      </c>
    </row>
    <row r="138" spans="1:20">
      <c r="A138" s="136" t="s">
        <v>1414</v>
      </c>
      <c r="B138" s="136" t="s">
        <v>869</v>
      </c>
      <c r="C138" s="136" t="s">
        <v>1415</v>
      </c>
      <c r="D138" s="136" t="s">
        <v>1416</v>
      </c>
      <c r="E138" s="137" t="s">
        <v>895</v>
      </c>
      <c r="F138" s="145" t="str">
        <f>VLOOKUP(C138,'[3]entities zones'!$C:$D,2,FALSE)</f>
        <v>EURZONNOR</v>
      </c>
      <c r="G138" s="136" t="s">
        <v>1416</v>
      </c>
      <c r="H138" s="139" t="s">
        <v>872</v>
      </c>
      <c r="I138" s="139" t="s">
        <v>873</v>
      </c>
      <c r="J138" s="139" t="s">
        <v>874</v>
      </c>
      <c r="K138" s="136" t="s">
        <v>1411</v>
      </c>
      <c r="L138" s="140">
        <v>1</v>
      </c>
      <c r="M138" s="140">
        <v>0</v>
      </c>
      <c r="N138" s="140">
        <v>5</v>
      </c>
      <c r="O138" s="139">
        <v>0</v>
      </c>
      <c r="P138" s="139" t="b">
        <v>0</v>
      </c>
      <c r="Q138" s="139" t="b">
        <v>1</v>
      </c>
      <c r="R138" s="136" t="s">
        <v>891</v>
      </c>
      <c r="S138" s="136" t="s">
        <v>1417</v>
      </c>
      <c r="T138" s="141">
        <v>0</v>
      </c>
    </row>
    <row r="139" spans="1:20">
      <c r="A139" s="136" t="s">
        <v>1418</v>
      </c>
      <c r="B139" s="136" t="s">
        <v>869</v>
      </c>
      <c r="C139" s="136" t="s">
        <v>1419</v>
      </c>
      <c r="D139" s="136" t="s">
        <v>1420</v>
      </c>
      <c r="E139" s="137" t="s">
        <v>895</v>
      </c>
      <c r="F139" s="145" t="str">
        <f>VLOOKUP(C139,'[3]entities zones'!$C:$D,2,FALSE)</f>
        <v>EURZONNOR</v>
      </c>
      <c r="G139" s="136" t="s">
        <v>1420</v>
      </c>
      <c r="H139" s="139" t="s">
        <v>872</v>
      </c>
      <c r="I139" s="139" t="s">
        <v>873</v>
      </c>
      <c r="J139" s="139" t="s">
        <v>874</v>
      </c>
      <c r="K139" s="136" t="s">
        <v>1411</v>
      </c>
      <c r="L139" s="140">
        <v>1</v>
      </c>
      <c r="M139" s="140">
        <v>0</v>
      </c>
      <c r="N139" s="140">
        <v>5</v>
      </c>
      <c r="O139" s="139">
        <v>0</v>
      </c>
      <c r="P139" s="139" t="b">
        <v>0</v>
      </c>
      <c r="Q139" s="139" t="b">
        <v>1</v>
      </c>
      <c r="R139" s="136" t="s">
        <v>891</v>
      </c>
      <c r="S139" s="136" t="s">
        <v>1421</v>
      </c>
      <c r="T139" s="141">
        <v>0</v>
      </c>
    </row>
    <row r="140" spans="1:20">
      <c r="A140" s="136" t="s">
        <v>1422</v>
      </c>
      <c r="B140" s="136" t="s">
        <v>869</v>
      </c>
      <c r="C140" s="136" t="s">
        <v>1423</v>
      </c>
      <c r="D140" s="136" t="s">
        <v>1424</v>
      </c>
      <c r="E140" s="137" t="s">
        <v>895</v>
      </c>
      <c r="F140" s="145" t="str">
        <f>VLOOKUP(C140,'[3]entities zones'!$C:$D,2,FALSE)</f>
        <v>EURZONCEN</v>
      </c>
      <c r="G140" s="136" t="s">
        <v>1424</v>
      </c>
      <c r="H140" s="139" t="s">
        <v>872</v>
      </c>
      <c r="I140" s="139" t="s">
        <v>873</v>
      </c>
      <c r="J140" s="139" t="s">
        <v>874</v>
      </c>
      <c r="K140" s="136" t="s">
        <v>1411</v>
      </c>
      <c r="L140" s="140">
        <v>1</v>
      </c>
      <c r="M140" s="140">
        <v>0</v>
      </c>
      <c r="N140" s="140">
        <v>5</v>
      </c>
      <c r="O140" s="139">
        <v>0</v>
      </c>
      <c r="P140" s="139" t="b">
        <v>0</v>
      </c>
      <c r="Q140" s="139" t="b">
        <v>1</v>
      </c>
      <c r="R140" s="136" t="s">
        <v>891</v>
      </c>
      <c r="S140" s="136" t="s">
        <v>1425</v>
      </c>
      <c r="T140" s="141">
        <v>0</v>
      </c>
    </row>
    <row r="141" spans="1:20">
      <c r="A141" s="136" t="s">
        <v>1426</v>
      </c>
      <c r="B141" s="136" t="s">
        <v>869</v>
      </c>
      <c r="C141" s="136" t="s">
        <v>1427</v>
      </c>
      <c r="D141" s="136" t="s">
        <v>1428</v>
      </c>
      <c r="E141" s="137" t="s">
        <v>895</v>
      </c>
      <c r="F141" s="145" t="str">
        <f>VLOOKUP(C141,'[3]entities zones'!$C:$D,2,FALSE)</f>
        <v>EURZONSUD</v>
      </c>
      <c r="G141" s="136" t="s">
        <v>1428</v>
      </c>
      <c r="H141" s="139" t="s">
        <v>872</v>
      </c>
      <c r="I141" s="139" t="s">
        <v>873</v>
      </c>
      <c r="J141" s="139" t="s">
        <v>874</v>
      </c>
      <c r="K141" s="136" t="s">
        <v>1411</v>
      </c>
      <c r="L141" s="140">
        <v>1</v>
      </c>
      <c r="M141" s="140">
        <v>0</v>
      </c>
      <c r="N141" s="140">
        <v>5</v>
      </c>
      <c r="O141" s="139">
        <v>0</v>
      </c>
      <c r="P141" s="139" t="b">
        <v>0</v>
      </c>
      <c r="Q141" s="139" t="b">
        <v>1</v>
      </c>
      <c r="R141" s="136" t="s">
        <v>891</v>
      </c>
      <c r="S141" s="136" t="s">
        <v>1429</v>
      </c>
      <c r="T141" s="141">
        <v>0</v>
      </c>
    </row>
    <row r="142" spans="1:20">
      <c r="A142" s="136" t="s">
        <v>1430</v>
      </c>
      <c r="B142" s="136" t="s">
        <v>869</v>
      </c>
      <c r="C142" s="136" t="s">
        <v>1431</v>
      </c>
      <c r="D142" s="136" t="s">
        <v>1432</v>
      </c>
      <c r="E142" s="137" t="s">
        <v>895</v>
      </c>
      <c r="F142" s="145" t="str">
        <f>VLOOKUP(C142,'[3]entities zones'!$C:$D,2,FALSE)</f>
        <v>EURZONCEN</v>
      </c>
      <c r="G142" s="136" t="s">
        <v>1432</v>
      </c>
      <c r="H142" s="139" t="s">
        <v>872</v>
      </c>
      <c r="I142" s="139" t="s">
        <v>873</v>
      </c>
      <c r="J142" s="139" t="s">
        <v>874</v>
      </c>
      <c r="K142" s="136" t="s">
        <v>1411</v>
      </c>
      <c r="L142" s="140">
        <v>1</v>
      </c>
      <c r="M142" s="140">
        <v>0</v>
      </c>
      <c r="N142" s="140">
        <v>5</v>
      </c>
      <c r="O142" s="139">
        <v>0</v>
      </c>
      <c r="P142" s="139" t="b">
        <v>0</v>
      </c>
      <c r="Q142" s="139" t="b">
        <v>1</v>
      </c>
      <c r="R142" s="136" t="s">
        <v>891</v>
      </c>
      <c r="S142" s="136" t="s">
        <v>1433</v>
      </c>
      <c r="T142" s="141">
        <v>0</v>
      </c>
    </row>
    <row r="143" spans="1:20">
      <c r="A143" s="136" t="s">
        <v>1434</v>
      </c>
      <c r="B143" s="136" t="s">
        <v>869</v>
      </c>
      <c r="C143" s="136" t="s">
        <v>1435</v>
      </c>
      <c r="D143" s="136" t="s">
        <v>1436</v>
      </c>
      <c r="E143" s="137" t="s">
        <v>895</v>
      </c>
      <c r="F143" s="145" t="str">
        <f>VLOOKUP(C143,'[3]entities zones'!$C:$D,2,FALSE)</f>
        <v>EURZONCEN</v>
      </c>
      <c r="G143" s="136" t="s">
        <v>1436</v>
      </c>
      <c r="H143" s="139" t="s">
        <v>872</v>
      </c>
      <c r="I143" s="139" t="s">
        <v>873</v>
      </c>
      <c r="J143" s="139" t="s">
        <v>874</v>
      </c>
      <c r="K143" s="136" t="s">
        <v>1411</v>
      </c>
      <c r="L143" s="140">
        <v>1</v>
      </c>
      <c r="M143" s="140">
        <v>0</v>
      </c>
      <c r="N143" s="140">
        <v>5</v>
      </c>
      <c r="O143" s="139">
        <v>0</v>
      </c>
      <c r="P143" s="139" t="b">
        <v>0</v>
      </c>
      <c r="Q143" s="139" t="b">
        <v>1</v>
      </c>
      <c r="R143" s="136" t="s">
        <v>891</v>
      </c>
      <c r="S143" s="136" t="s">
        <v>1437</v>
      </c>
      <c r="T143" s="141">
        <v>0</v>
      </c>
    </row>
    <row r="144" spans="1:20">
      <c r="A144" s="136" t="s">
        <v>1438</v>
      </c>
      <c r="B144" s="136" t="s">
        <v>869</v>
      </c>
      <c r="C144" s="136" t="s">
        <v>1439</v>
      </c>
      <c r="D144" s="136" t="s">
        <v>1440</v>
      </c>
      <c r="E144" s="137" t="s">
        <v>895</v>
      </c>
      <c r="F144" s="145" t="str">
        <f>VLOOKUP(C144,'[3]entities zones'!$C:$D,2,FALSE)</f>
        <v>EURZONCEN</v>
      </c>
      <c r="G144" s="136" t="s">
        <v>1440</v>
      </c>
      <c r="H144" s="139" t="s">
        <v>872</v>
      </c>
      <c r="I144" s="139" t="s">
        <v>873</v>
      </c>
      <c r="J144" s="139" t="s">
        <v>874</v>
      </c>
      <c r="K144" s="136" t="s">
        <v>1411</v>
      </c>
      <c r="L144" s="140">
        <v>1</v>
      </c>
      <c r="M144" s="140">
        <v>0</v>
      </c>
      <c r="N144" s="140">
        <v>5</v>
      </c>
      <c r="O144" s="139">
        <v>0</v>
      </c>
      <c r="P144" s="139" t="b">
        <v>0</v>
      </c>
      <c r="Q144" s="139" t="b">
        <v>1</v>
      </c>
      <c r="R144" s="136" t="s">
        <v>891</v>
      </c>
      <c r="S144" s="136" t="s">
        <v>1441</v>
      </c>
      <c r="T144" s="141">
        <v>0</v>
      </c>
    </row>
    <row r="145" spans="1:20">
      <c r="A145" s="136" t="s">
        <v>1442</v>
      </c>
      <c r="B145" s="136" t="s">
        <v>869</v>
      </c>
      <c r="C145" s="136" t="s">
        <v>1443</v>
      </c>
      <c r="D145" s="136" t="s">
        <v>1444</v>
      </c>
      <c r="E145" s="137" t="s">
        <v>895</v>
      </c>
      <c r="F145" s="145" t="str">
        <f>VLOOKUP(C145,'[3]entities zones'!$C:$D,2,FALSE)</f>
        <v>EURZONCEN</v>
      </c>
      <c r="G145" s="136" t="s">
        <v>1444</v>
      </c>
      <c r="H145" s="139" t="s">
        <v>872</v>
      </c>
      <c r="I145" s="139" t="s">
        <v>873</v>
      </c>
      <c r="J145" s="139" t="s">
        <v>874</v>
      </c>
      <c r="K145" s="136" t="s">
        <v>1411</v>
      </c>
      <c r="L145" s="140">
        <v>1</v>
      </c>
      <c r="M145" s="140">
        <v>0</v>
      </c>
      <c r="N145" s="140">
        <v>5</v>
      </c>
      <c r="O145" s="139">
        <v>0</v>
      </c>
      <c r="P145" s="139" t="b">
        <v>0</v>
      </c>
      <c r="Q145" s="139" t="b">
        <v>1</v>
      </c>
      <c r="R145" s="136" t="s">
        <v>891</v>
      </c>
      <c r="S145" s="136" t="s">
        <v>1445</v>
      </c>
      <c r="T145" s="141">
        <v>0</v>
      </c>
    </row>
    <row r="146" spans="1:20">
      <c r="A146" s="136" t="s">
        <v>1446</v>
      </c>
      <c r="B146" s="136" t="s">
        <v>869</v>
      </c>
      <c r="C146" s="136" t="s">
        <v>1447</v>
      </c>
      <c r="D146" s="136" t="s">
        <v>1448</v>
      </c>
      <c r="E146" s="137" t="s">
        <v>895</v>
      </c>
      <c r="F146" s="145" t="str">
        <f>VLOOKUP(C146,'[3]entities zones'!$C:$D,2,FALSE)</f>
        <v>EURZONCEN</v>
      </c>
      <c r="G146" s="136" t="s">
        <v>1448</v>
      </c>
      <c r="H146" s="139" t="s">
        <v>872</v>
      </c>
      <c r="I146" s="139" t="s">
        <v>873</v>
      </c>
      <c r="J146" s="139" t="s">
        <v>874</v>
      </c>
      <c r="K146" s="136" t="s">
        <v>1411</v>
      </c>
      <c r="L146" s="140">
        <v>1</v>
      </c>
      <c r="M146" s="140">
        <v>0</v>
      </c>
      <c r="N146" s="140">
        <v>5</v>
      </c>
      <c r="O146" s="139">
        <v>0</v>
      </c>
      <c r="P146" s="139" t="b">
        <v>0</v>
      </c>
      <c r="Q146" s="139" t="b">
        <v>1</v>
      </c>
      <c r="R146" s="136" t="s">
        <v>891</v>
      </c>
      <c r="S146" s="136" t="s">
        <v>1449</v>
      </c>
      <c r="T146" s="141">
        <v>0</v>
      </c>
    </row>
    <row r="147" spans="1:20">
      <c r="A147" s="136" t="s">
        <v>1450</v>
      </c>
      <c r="B147" s="136" t="s">
        <v>869</v>
      </c>
      <c r="C147" s="136" t="s">
        <v>1451</v>
      </c>
      <c r="D147" s="136" t="s">
        <v>1452</v>
      </c>
      <c r="E147" s="137" t="s">
        <v>895</v>
      </c>
      <c r="F147" s="145" t="str">
        <f>VLOOKUP(C147,'[3]entities zones'!$C:$D,2,FALSE)</f>
        <v>EURZONSUD</v>
      </c>
      <c r="G147" s="136" t="s">
        <v>1452</v>
      </c>
      <c r="H147" s="139" t="s">
        <v>872</v>
      </c>
      <c r="I147" s="139" t="s">
        <v>873</v>
      </c>
      <c r="J147" s="139" t="s">
        <v>874</v>
      </c>
      <c r="K147" s="136" t="s">
        <v>1411</v>
      </c>
      <c r="L147" s="140">
        <v>1</v>
      </c>
      <c r="M147" s="140">
        <v>0</v>
      </c>
      <c r="N147" s="140">
        <v>5</v>
      </c>
      <c r="O147" s="139">
        <v>0</v>
      </c>
      <c r="P147" s="139" t="b">
        <v>0</v>
      </c>
      <c r="Q147" s="139" t="b">
        <v>1</v>
      </c>
      <c r="R147" s="136" t="s">
        <v>891</v>
      </c>
      <c r="S147" s="136" t="s">
        <v>1453</v>
      </c>
      <c r="T147" s="141">
        <v>0</v>
      </c>
    </row>
    <row r="148" spans="1:20">
      <c r="A148" s="136" t="s">
        <v>1454</v>
      </c>
      <c r="B148" s="136" t="s">
        <v>869</v>
      </c>
      <c r="C148" s="136" t="s">
        <v>1455</v>
      </c>
      <c r="D148" s="136" t="s">
        <v>1456</v>
      </c>
      <c r="E148" s="137" t="s">
        <v>895</v>
      </c>
      <c r="F148" s="145" t="str">
        <f>VLOOKUP(C148,'[3]entities zones'!$C:$D,2,FALSE)</f>
        <v>EURZONCEN</v>
      </c>
      <c r="G148" s="136" t="s">
        <v>1456</v>
      </c>
      <c r="H148" s="139" t="s">
        <v>872</v>
      </c>
      <c r="I148" s="139" t="s">
        <v>873</v>
      </c>
      <c r="J148" s="139" t="s">
        <v>874</v>
      </c>
      <c r="K148" s="136" t="s">
        <v>1411</v>
      </c>
      <c r="L148" s="140">
        <v>1</v>
      </c>
      <c r="M148" s="140">
        <v>0</v>
      </c>
      <c r="N148" s="140">
        <v>5</v>
      </c>
      <c r="O148" s="139">
        <v>0</v>
      </c>
      <c r="P148" s="139" t="b">
        <v>0</v>
      </c>
      <c r="Q148" s="139" t="b">
        <v>1</v>
      </c>
      <c r="R148" s="136" t="s">
        <v>891</v>
      </c>
      <c r="S148" s="136" t="s">
        <v>1457</v>
      </c>
      <c r="T148" s="141">
        <v>0</v>
      </c>
    </row>
    <row r="149" spans="1:20">
      <c r="A149" s="136" t="s">
        <v>1458</v>
      </c>
      <c r="B149" s="136" t="s">
        <v>869</v>
      </c>
      <c r="C149" s="136" t="s">
        <v>1459</v>
      </c>
      <c r="D149" s="136" t="s">
        <v>1460</v>
      </c>
      <c r="E149" s="137" t="s">
        <v>895</v>
      </c>
      <c r="F149" s="145" t="str">
        <f>VLOOKUP(C149,'[3]entities zones'!$C:$D,2,FALSE)</f>
        <v>EURZONCEN</v>
      </c>
      <c r="G149" s="136" t="s">
        <v>1460</v>
      </c>
      <c r="H149" s="139" t="s">
        <v>872</v>
      </c>
      <c r="I149" s="139" t="s">
        <v>873</v>
      </c>
      <c r="J149" s="139" t="s">
        <v>874</v>
      </c>
      <c r="K149" s="136" t="s">
        <v>1411</v>
      </c>
      <c r="L149" s="140">
        <v>1</v>
      </c>
      <c r="M149" s="140">
        <v>0</v>
      </c>
      <c r="N149" s="140">
        <v>5</v>
      </c>
      <c r="O149" s="139">
        <v>0</v>
      </c>
      <c r="P149" s="139" t="b">
        <v>0</v>
      </c>
      <c r="Q149" s="139" t="b">
        <v>1</v>
      </c>
      <c r="R149" s="136" t="s">
        <v>891</v>
      </c>
      <c r="S149" s="136" t="s">
        <v>1461</v>
      </c>
      <c r="T149" s="141">
        <v>0</v>
      </c>
    </row>
    <row r="150" spans="1:20">
      <c r="A150" s="142" t="s">
        <v>1462</v>
      </c>
      <c r="B150" s="143" t="s">
        <v>869</v>
      </c>
      <c r="C150" s="143" t="s">
        <v>1463</v>
      </c>
      <c r="D150" s="143" t="s">
        <v>1464</v>
      </c>
      <c r="E150" s="144"/>
      <c r="F150" s="145" t="e">
        <f>VLOOKUP(C150,'[3]entities zones'!$C:$D,2,FALSE)</f>
        <v>#N/A</v>
      </c>
      <c r="G150" s="143" t="s">
        <v>1465</v>
      </c>
      <c r="H150" s="146" t="s">
        <v>872</v>
      </c>
      <c r="I150" s="146" t="s">
        <v>873</v>
      </c>
      <c r="J150" s="146" t="s">
        <v>874</v>
      </c>
      <c r="K150" s="143" t="s">
        <v>1325</v>
      </c>
      <c r="L150" s="147">
        <v>1</v>
      </c>
      <c r="M150" s="147">
        <v>888</v>
      </c>
      <c r="N150" s="147">
        <v>4</v>
      </c>
      <c r="O150" s="146">
        <v>2</v>
      </c>
      <c r="P150" s="146" t="b">
        <v>1</v>
      </c>
      <c r="Q150" s="146" t="b">
        <v>1</v>
      </c>
      <c r="R150" s="143" t="s">
        <v>1150</v>
      </c>
      <c r="S150" s="143" t="s">
        <v>1466</v>
      </c>
      <c r="T150" s="148">
        <v>2</v>
      </c>
    </row>
    <row r="151" spans="1:20">
      <c r="A151" s="136" t="s">
        <v>1467</v>
      </c>
      <c r="B151" s="136" t="s">
        <v>869</v>
      </c>
      <c r="C151" s="136" t="s">
        <v>1468</v>
      </c>
      <c r="D151" s="136" t="s">
        <v>1469</v>
      </c>
      <c r="E151" s="137"/>
      <c r="F151" s="145" t="e">
        <f>VLOOKUP(C151,'[3]entities zones'!$C:$D,2,FALSE)</f>
        <v>#N/A</v>
      </c>
      <c r="G151" s="136" t="s">
        <v>1470</v>
      </c>
      <c r="H151" s="139" t="s">
        <v>872</v>
      </c>
      <c r="I151" s="139" t="s">
        <v>873</v>
      </c>
      <c r="J151" s="139" t="s">
        <v>874</v>
      </c>
      <c r="K151" s="136" t="s">
        <v>1463</v>
      </c>
      <c r="L151" s="140">
        <v>1</v>
      </c>
      <c r="M151" s="140">
        <v>888</v>
      </c>
      <c r="N151" s="140">
        <v>5</v>
      </c>
      <c r="O151" s="139">
        <v>0</v>
      </c>
      <c r="P151" s="139" t="b">
        <v>0</v>
      </c>
      <c r="Q151" s="139" t="b">
        <v>1</v>
      </c>
      <c r="R151" s="136" t="s">
        <v>1150</v>
      </c>
      <c r="S151" s="136" t="s">
        <v>1466</v>
      </c>
      <c r="T151" s="141">
        <v>0</v>
      </c>
    </row>
    <row r="152" spans="1:20">
      <c r="A152" s="136" t="s">
        <v>1471</v>
      </c>
      <c r="B152" s="136" t="s">
        <v>869</v>
      </c>
      <c r="C152" s="136" t="s">
        <v>1472</v>
      </c>
      <c r="D152" s="136" t="s">
        <v>1473</v>
      </c>
      <c r="E152" s="137"/>
      <c r="F152" s="145" t="e">
        <f>VLOOKUP(C152,'[3]entities zones'!$C:$D,2,FALSE)</f>
        <v>#N/A</v>
      </c>
      <c r="G152" s="136" t="s">
        <v>1474</v>
      </c>
      <c r="H152" s="139" t="s">
        <v>872</v>
      </c>
      <c r="I152" s="139" t="s">
        <v>873</v>
      </c>
      <c r="J152" s="139" t="s">
        <v>874</v>
      </c>
      <c r="K152" s="136" t="s">
        <v>1463</v>
      </c>
      <c r="L152" s="140">
        <v>1</v>
      </c>
      <c r="M152" s="140">
        <v>999</v>
      </c>
      <c r="N152" s="140">
        <v>5</v>
      </c>
      <c r="O152" s="139">
        <v>0</v>
      </c>
      <c r="P152" s="139" t="b">
        <v>0</v>
      </c>
      <c r="Q152" s="139" t="b">
        <v>1</v>
      </c>
      <c r="R152" s="136" t="s">
        <v>1150</v>
      </c>
      <c r="S152" s="136" t="s">
        <v>1466</v>
      </c>
      <c r="T152" s="141">
        <v>0</v>
      </c>
    </row>
    <row r="153" spans="1:20">
      <c r="A153" s="143" t="s">
        <v>1475</v>
      </c>
      <c r="B153" s="143" t="s">
        <v>869</v>
      </c>
      <c r="C153" s="143" t="s">
        <v>1476</v>
      </c>
      <c r="D153" s="143" t="s">
        <v>1477</v>
      </c>
      <c r="E153" s="144"/>
      <c r="F153" s="145" t="e">
        <f>VLOOKUP(C153,'[3]entities zones'!$C:$D,2,FALSE)</f>
        <v>#N/A</v>
      </c>
      <c r="G153" s="143" t="s">
        <v>1477</v>
      </c>
      <c r="H153" s="146" t="s">
        <v>872</v>
      </c>
      <c r="I153" s="146" t="s">
        <v>873</v>
      </c>
      <c r="J153" s="146" t="s">
        <v>874</v>
      </c>
      <c r="K153" s="143" t="s">
        <v>512</v>
      </c>
      <c r="L153" s="147">
        <v>1</v>
      </c>
      <c r="M153" s="147">
        <v>285</v>
      </c>
      <c r="N153" s="147">
        <v>3</v>
      </c>
      <c r="O153" s="146">
        <v>14</v>
      </c>
      <c r="P153" s="146" t="b">
        <v>0</v>
      </c>
      <c r="Q153" s="146" t="b">
        <v>1</v>
      </c>
      <c r="R153" s="143" t="s">
        <v>1478</v>
      </c>
      <c r="S153" s="143" t="s">
        <v>1479</v>
      </c>
      <c r="T153" s="148">
        <v>16</v>
      </c>
    </row>
    <row r="154" spans="1:20">
      <c r="A154" s="136" t="s">
        <v>1480</v>
      </c>
      <c r="B154" s="136" t="s">
        <v>869</v>
      </c>
      <c r="C154" s="136" t="s">
        <v>1481</v>
      </c>
      <c r="D154" s="136" t="s">
        <v>1482</v>
      </c>
      <c r="E154" s="137" t="s">
        <v>895</v>
      </c>
      <c r="F154" s="145" t="str">
        <f>VLOOKUP(C154,'[3]entities zones'!$C:$D,2,FALSE)</f>
        <v>EURZONNOR</v>
      </c>
      <c r="G154" s="136" t="s">
        <v>1482</v>
      </c>
      <c r="H154" s="139" t="s">
        <v>872</v>
      </c>
      <c r="I154" s="139" t="s">
        <v>873</v>
      </c>
      <c r="J154" s="139" t="s">
        <v>874</v>
      </c>
      <c r="K154" s="136" t="s">
        <v>1476</v>
      </c>
      <c r="L154" s="140">
        <v>1</v>
      </c>
      <c r="M154" s="140">
        <v>1</v>
      </c>
      <c r="N154" s="140">
        <v>4</v>
      </c>
      <c r="O154" s="139">
        <v>0</v>
      </c>
      <c r="P154" s="139" t="b">
        <v>0</v>
      </c>
      <c r="Q154" s="139" t="b">
        <v>1</v>
      </c>
      <c r="R154" s="136" t="s">
        <v>1483</v>
      </c>
      <c r="S154" s="136" t="s">
        <v>1484</v>
      </c>
      <c r="T154" s="141">
        <v>0</v>
      </c>
    </row>
    <row r="155" spans="1:20">
      <c r="A155" s="136" t="s">
        <v>1485</v>
      </c>
      <c r="B155" s="136" t="s">
        <v>869</v>
      </c>
      <c r="C155" s="136" t="s">
        <v>1486</v>
      </c>
      <c r="D155" s="136" t="s">
        <v>1487</v>
      </c>
      <c r="E155" s="137"/>
      <c r="F155" s="145" t="e">
        <f>VLOOKUP(C155,'[3]entities zones'!$C:$D,2,FALSE)</f>
        <v>#N/A</v>
      </c>
      <c r="G155" s="136" t="s">
        <v>1487</v>
      </c>
      <c r="H155" s="139" t="s">
        <v>872</v>
      </c>
      <c r="I155" s="139" t="s">
        <v>873</v>
      </c>
      <c r="J155" s="139" t="s">
        <v>874</v>
      </c>
      <c r="K155" s="136" t="s">
        <v>1476</v>
      </c>
      <c r="L155" s="140">
        <v>1</v>
      </c>
      <c r="M155" s="140">
        <v>1</v>
      </c>
      <c r="N155" s="140">
        <v>4</v>
      </c>
      <c r="O155" s="139">
        <v>0</v>
      </c>
      <c r="P155" s="139" t="b">
        <v>0</v>
      </c>
      <c r="Q155" s="139" t="b">
        <v>1</v>
      </c>
      <c r="R155" s="136" t="s">
        <v>1488</v>
      </c>
      <c r="S155" s="136" t="s">
        <v>1489</v>
      </c>
      <c r="T155" s="141">
        <v>0</v>
      </c>
    </row>
    <row r="156" spans="1:20">
      <c r="A156" s="136" t="s">
        <v>1490</v>
      </c>
      <c r="B156" s="136" t="s">
        <v>869</v>
      </c>
      <c r="C156" s="136" t="s">
        <v>1491</v>
      </c>
      <c r="D156" s="136" t="s">
        <v>1492</v>
      </c>
      <c r="E156" s="137" t="s">
        <v>895</v>
      </c>
      <c r="F156" s="145" t="str">
        <f>VLOOKUP(C156,'[3]entities zones'!$C:$D,2,FALSE)</f>
        <v>EURZONNOR</v>
      </c>
      <c r="G156" s="136" t="s">
        <v>1492</v>
      </c>
      <c r="H156" s="139" t="s">
        <v>872</v>
      </c>
      <c r="I156" s="139" t="s">
        <v>873</v>
      </c>
      <c r="J156" s="139" t="s">
        <v>874</v>
      </c>
      <c r="K156" s="136" t="s">
        <v>1476</v>
      </c>
      <c r="L156" s="140">
        <v>1</v>
      </c>
      <c r="M156" s="140">
        <v>2</v>
      </c>
      <c r="N156" s="140">
        <v>4</v>
      </c>
      <c r="O156" s="139">
        <v>0</v>
      </c>
      <c r="P156" s="139" t="b">
        <v>0</v>
      </c>
      <c r="Q156" s="139" t="b">
        <v>1</v>
      </c>
      <c r="R156" s="136" t="s">
        <v>1493</v>
      </c>
      <c r="S156" s="136" t="s">
        <v>1494</v>
      </c>
      <c r="T156" s="141">
        <v>0</v>
      </c>
    </row>
    <row r="157" spans="1:20">
      <c r="A157" s="136" t="s">
        <v>1495</v>
      </c>
      <c r="B157" s="136" t="s">
        <v>869</v>
      </c>
      <c r="C157" s="136" t="s">
        <v>1496</v>
      </c>
      <c r="D157" s="136" t="s">
        <v>1497</v>
      </c>
      <c r="E157" s="137" t="s">
        <v>895</v>
      </c>
      <c r="F157" s="145" t="str">
        <f>VLOOKUP(C157,'[3]entities zones'!$C:$D,2,FALSE)</f>
        <v>EURZONCEN</v>
      </c>
      <c r="G157" s="136" t="s">
        <v>1497</v>
      </c>
      <c r="H157" s="139" t="s">
        <v>872</v>
      </c>
      <c r="I157" s="139" t="s">
        <v>873</v>
      </c>
      <c r="J157" s="139" t="s">
        <v>874</v>
      </c>
      <c r="K157" s="136" t="s">
        <v>1476</v>
      </c>
      <c r="L157" s="140">
        <v>1</v>
      </c>
      <c r="M157" s="140">
        <v>3</v>
      </c>
      <c r="N157" s="140">
        <v>4</v>
      </c>
      <c r="O157" s="139">
        <v>0</v>
      </c>
      <c r="P157" s="139" t="b">
        <v>0</v>
      </c>
      <c r="Q157" s="139" t="b">
        <v>1</v>
      </c>
      <c r="R157" s="136" t="s">
        <v>1498</v>
      </c>
      <c r="S157" s="136" t="s">
        <v>1499</v>
      </c>
      <c r="T157" s="141">
        <v>0</v>
      </c>
    </row>
    <row r="158" spans="1:20">
      <c r="A158" s="136" t="s">
        <v>1500</v>
      </c>
      <c r="B158" s="136" t="s">
        <v>869</v>
      </c>
      <c r="C158" s="136" t="s">
        <v>1501</v>
      </c>
      <c r="D158" s="136" t="s">
        <v>1502</v>
      </c>
      <c r="E158" s="137" t="s">
        <v>895</v>
      </c>
      <c r="F158" s="145" t="str">
        <f>VLOOKUP(C158,'[3]entities zones'!$C:$D,2,FALSE)</f>
        <v>EURZONSUD</v>
      </c>
      <c r="G158" s="136" t="s">
        <v>1502</v>
      </c>
      <c r="H158" s="139" t="s">
        <v>872</v>
      </c>
      <c r="I158" s="139" t="s">
        <v>873</v>
      </c>
      <c r="J158" s="139" t="s">
        <v>874</v>
      </c>
      <c r="K158" s="136" t="s">
        <v>1476</v>
      </c>
      <c r="L158" s="140">
        <v>1</v>
      </c>
      <c r="M158" s="140">
        <v>4</v>
      </c>
      <c r="N158" s="140">
        <v>4</v>
      </c>
      <c r="O158" s="139">
        <v>0</v>
      </c>
      <c r="P158" s="139" t="b">
        <v>0</v>
      </c>
      <c r="Q158" s="139" t="b">
        <v>1</v>
      </c>
      <c r="R158" s="136" t="s">
        <v>1503</v>
      </c>
      <c r="S158" s="136" t="s">
        <v>1504</v>
      </c>
      <c r="T158" s="141">
        <v>0</v>
      </c>
    </row>
    <row r="159" spans="1:20">
      <c r="A159" s="136" t="s">
        <v>1505</v>
      </c>
      <c r="B159" s="136" t="s">
        <v>869</v>
      </c>
      <c r="C159" s="136" t="s">
        <v>1506</v>
      </c>
      <c r="D159" s="136" t="s">
        <v>1507</v>
      </c>
      <c r="E159" s="137" t="s">
        <v>895</v>
      </c>
      <c r="F159" s="145" t="str">
        <f>VLOOKUP(C159,'[3]entities zones'!$C:$D,2,FALSE)</f>
        <v>EURZONCEN</v>
      </c>
      <c r="G159" s="136" t="s">
        <v>1507</v>
      </c>
      <c r="H159" s="139" t="s">
        <v>872</v>
      </c>
      <c r="I159" s="139" t="s">
        <v>873</v>
      </c>
      <c r="J159" s="139" t="s">
        <v>874</v>
      </c>
      <c r="K159" s="136" t="s">
        <v>1476</v>
      </c>
      <c r="L159" s="140">
        <v>1</v>
      </c>
      <c r="M159" s="140">
        <v>5</v>
      </c>
      <c r="N159" s="140">
        <v>4</v>
      </c>
      <c r="O159" s="139">
        <v>0</v>
      </c>
      <c r="P159" s="139" t="b">
        <v>0</v>
      </c>
      <c r="Q159" s="139" t="b">
        <v>1</v>
      </c>
      <c r="R159" s="136" t="s">
        <v>1508</v>
      </c>
      <c r="S159" s="136" t="s">
        <v>1509</v>
      </c>
      <c r="T159" s="141">
        <v>0</v>
      </c>
    </row>
    <row r="160" spans="1:20">
      <c r="A160" s="136" t="s">
        <v>1510</v>
      </c>
      <c r="B160" s="136" t="s">
        <v>869</v>
      </c>
      <c r="C160" s="136" t="s">
        <v>1511</v>
      </c>
      <c r="D160" s="136" t="s">
        <v>1512</v>
      </c>
      <c r="E160" s="137" t="s">
        <v>895</v>
      </c>
      <c r="F160" s="145" t="str">
        <f>VLOOKUP(C160,'[3]entities zones'!$C:$D,2,FALSE)</f>
        <v>EURZONCEN</v>
      </c>
      <c r="G160" s="136" t="s">
        <v>1512</v>
      </c>
      <c r="H160" s="139" t="s">
        <v>872</v>
      </c>
      <c r="I160" s="139" t="s">
        <v>873</v>
      </c>
      <c r="J160" s="139" t="s">
        <v>874</v>
      </c>
      <c r="K160" s="136" t="s">
        <v>1476</v>
      </c>
      <c r="L160" s="140">
        <v>1</v>
      </c>
      <c r="M160" s="140">
        <v>6</v>
      </c>
      <c r="N160" s="140">
        <v>4</v>
      </c>
      <c r="O160" s="139">
        <v>0</v>
      </c>
      <c r="P160" s="139" t="b">
        <v>0</v>
      </c>
      <c r="Q160" s="139" t="b">
        <v>1</v>
      </c>
      <c r="R160" s="136" t="s">
        <v>1513</v>
      </c>
      <c r="S160" s="136" t="s">
        <v>1514</v>
      </c>
      <c r="T160" s="141">
        <v>0</v>
      </c>
    </row>
    <row r="161" spans="1:20">
      <c r="A161" s="136" t="s">
        <v>1515</v>
      </c>
      <c r="B161" s="136" t="s">
        <v>869</v>
      </c>
      <c r="C161" s="136" t="s">
        <v>1516</v>
      </c>
      <c r="D161" s="136" t="s">
        <v>1517</v>
      </c>
      <c r="E161" s="137" t="s">
        <v>895</v>
      </c>
      <c r="F161" s="145" t="str">
        <f>VLOOKUP(C161,'[3]entities zones'!$C:$D,2,FALSE)</f>
        <v>EURZONCEN</v>
      </c>
      <c r="G161" s="136" t="s">
        <v>1517</v>
      </c>
      <c r="H161" s="139" t="s">
        <v>872</v>
      </c>
      <c r="I161" s="139" t="s">
        <v>873</v>
      </c>
      <c r="J161" s="139" t="s">
        <v>874</v>
      </c>
      <c r="K161" s="136" t="s">
        <v>1476</v>
      </c>
      <c r="L161" s="140">
        <v>1</v>
      </c>
      <c r="M161" s="140">
        <v>7</v>
      </c>
      <c r="N161" s="140">
        <v>4</v>
      </c>
      <c r="O161" s="139">
        <v>0</v>
      </c>
      <c r="P161" s="139" t="b">
        <v>0</v>
      </c>
      <c r="Q161" s="139" t="b">
        <v>1</v>
      </c>
      <c r="R161" s="136" t="s">
        <v>1518</v>
      </c>
      <c r="S161" s="136" t="s">
        <v>1519</v>
      </c>
      <c r="T161" s="141">
        <v>0</v>
      </c>
    </row>
    <row r="162" spans="1:20">
      <c r="A162" s="136" t="s">
        <v>1520</v>
      </c>
      <c r="B162" s="136" t="s">
        <v>869</v>
      </c>
      <c r="C162" s="136" t="s">
        <v>1521</v>
      </c>
      <c r="D162" s="136" t="s">
        <v>1522</v>
      </c>
      <c r="E162" s="137" t="s">
        <v>895</v>
      </c>
      <c r="F162" s="145" t="str">
        <f>VLOOKUP(C162,'[3]entities zones'!$C:$D,2,FALSE)</f>
        <v>EURZONCEN</v>
      </c>
      <c r="G162" s="136" t="s">
        <v>1522</v>
      </c>
      <c r="H162" s="139" t="s">
        <v>872</v>
      </c>
      <c r="I162" s="139" t="s">
        <v>873</v>
      </c>
      <c r="J162" s="139" t="s">
        <v>874</v>
      </c>
      <c r="K162" s="136" t="s">
        <v>1476</v>
      </c>
      <c r="L162" s="140">
        <v>1</v>
      </c>
      <c r="M162" s="140">
        <v>8</v>
      </c>
      <c r="N162" s="140">
        <v>4</v>
      </c>
      <c r="O162" s="139">
        <v>0</v>
      </c>
      <c r="P162" s="139" t="b">
        <v>0</v>
      </c>
      <c r="Q162" s="139" t="b">
        <v>1</v>
      </c>
      <c r="R162" s="136" t="s">
        <v>1523</v>
      </c>
      <c r="S162" s="136" t="s">
        <v>1524</v>
      </c>
      <c r="T162" s="141">
        <v>0</v>
      </c>
    </row>
    <row r="163" spans="1:20">
      <c r="A163" s="136" t="s">
        <v>1525</v>
      </c>
      <c r="B163" s="136" t="s">
        <v>869</v>
      </c>
      <c r="C163" s="136" t="s">
        <v>1526</v>
      </c>
      <c r="D163" s="136" t="s">
        <v>1527</v>
      </c>
      <c r="E163" s="137" t="s">
        <v>895</v>
      </c>
      <c r="F163" s="145" t="str">
        <f>VLOOKUP(C163,'[3]entities zones'!$C:$D,2,FALSE)</f>
        <v>EURZONCEN</v>
      </c>
      <c r="G163" s="136" t="s">
        <v>1527</v>
      </c>
      <c r="H163" s="139" t="s">
        <v>872</v>
      </c>
      <c r="I163" s="139" t="s">
        <v>873</v>
      </c>
      <c r="J163" s="139" t="s">
        <v>874</v>
      </c>
      <c r="K163" s="136" t="s">
        <v>1476</v>
      </c>
      <c r="L163" s="140">
        <v>1</v>
      </c>
      <c r="M163" s="140">
        <v>9</v>
      </c>
      <c r="N163" s="140">
        <v>4</v>
      </c>
      <c r="O163" s="139">
        <v>0</v>
      </c>
      <c r="P163" s="139" t="b">
        <v>0</v>
      </c>
      <c r="Q163" s="139" t="b">
        <v>1</v>
      </c>
      <c r="R163" s="136" t="s">
        <v>1528</v>
      </c>
      <c r="S163" s="136" t="s">
        <v>1529</v>
      </c>
      <c r="T163" s="141">
        <v>0</v>
      </c>
    </row>
    <row r="164" spans="1:20">
      <c r="A164" s="136" t="s">
        <v>1530</v>
      </c>
      <c r="B164" s="136" t="s">
        <v>869</v>
      </c>
      <c r="C164" s="136" t="s">
        <v>1531</v>
      </c>
      <c r="D164" s="136" t="s">
        <v>1532</v>
      </c>
      <c r="E164" s="137" t="s">
        <v>895</v>
      </c>
      <c r="F164" s="145" t="str">
        <f>VLOOKUP(C164,'[3]entities zones'!$C:$D,2,FALSE)</f>
        <v>EURZONSUD</v>
      </c>
      <c r="G164" s="136" t="s">
        <v>1532</v>
      </c>
      <c r="H164" s="139" t="s">
        <v>872</v>
      </c>
      <c r="I164" s="139" t="s">
        <v>873</v>
      </c>
      <c r="J164" s="139" t="s">
        <v>874</v>
      </c>
      <c r="K164" s="136" t="s">
        <v>1476</v>
      </c>
      <c r="L164" s="140">
        <v>1</v>
      </c>
      <c r="M164" s="140">
        <v>10</v>
      </c>
      <c r="N164" s="140">
        <v>4</v>
      </c>
      <c r="O164" s="139">
        <v>0</v>
      </c>
      <c r="P164" s="139" t="b">
        <v>0</v>
      </c>
      <c r="Q164" s="139" t="b">
        <v>1</v>
      </c>
      <c r="R164" s="136" t="s">
        <v>1533</v>
      </c>
      <c r="S164" s="136" t="s">
        <v>1534</v>
      </c>
      <c r="T164" s="141">
        <v>0</v>
      </c>
    </row>
    <row r="165" spans="1:20">
      <c r="A165" s="136" t="s">
        <v>1535</v>
      </c>
      <c r="B165" s="136" t="s">
        <v>869</v>
      </c>
      <c r="C165" s="136" t="s">
        <v>1536</v>
      </c>
      <c r="D165" s="136" t="s">
        <v>1537</v>
      </c>
      <c r="E165" s="137" t="s">
        <v>895</v>
      </c>
      <c r="F165" s="145" t="str">
        <f>VLOOKUP(C165,'[3]entities zones'!$C:$D,2,FALSE)</f>
        <v>EURZONCEN</v>
      </c>
      <c r="G165" s="136" t="s">
        <v>1537</v>
      </c>
      <c r="H165" s="139" t="s">
        <v>872</v>
      </c>
      <c r="I165" s="139" t="s">
        <v>873</v>
      </c>
      <c r="J165" s="139" t="s">
        <v>874</v>
      </c>
      <c r="K165" s="136" t="s">
        <v>1476</v>
      </c>
      <c r="L165" s="140">
        <v>1</v>
      </c>
      <c r="M165" s="140">
        <v>11</v>
      </c>
      <c r="N165" s="140">
        <v>4</v>
      </c>
      <c r="O165" s="139">
        <v>0</v>
      </c>
      <c r="P165" s="139" t="b">
        <v>0</v>
      </c>
      <c r="Q165" s="139" t="b">
        <v>1</v>
      </c>
      <c r="R165" s="136" t="s">
        <v>1538</v>
      </c>
      <c r="S165" s="136" t="s">
        <v>1539</v>
      </c>
      <c r="T165" s="141">
        <v>0</v>
      </c>
    </row>
    <row r="166" spans="1:20">
      <c r="A166" s="136" t="s">
        <v>1540</v>
      </c>
      <c r="B166" s="136" t="s">
        <v>869</v>
      </c>
      <c r="C166" s="136" t="s">
        <v>1541</v>
      </c>
      <c r="D166" s="136" t="s">
        <v>1542</v>
      </c>
      <c r="E166" s="137" t="s">
        <v>895</v>
      </c>
      <c r="F166" s="145" t="str">
        <f>VLOOKUP(C166,'[3]entities zones'!$C:$D,2,FALSE)</f>
        <v>EURZONCEN</v>
      </c>
      <c r="G166" s="136" t="s">
        <v>1542</v>
      </c>
      <c r="H166" s="139" t="s">
        <v>872</v>
      </c>
      <c r="I166" s="139" t="s">
        <v>873</v>
      </c>
      <c r="J166" s="139" t="s">
        <v>874</v>
      </c>
      <c r="K166" s="136" t="s">
        <v>1476</v>
      </c>
      <c r="L166" s="140">
        <v>1</v>
      </c>
      <c r="M166" s="140">
        <v>12</v>
      </c>
      <c r="N166" s="140">
        <v>4</v>
      </c>
      <c r="O166" s="139">
        <v>0</v>
      </c>
      <c r="P166" s="139" t="b">
        <v>0</v>
      </c>
      <c r="Q166" s="139" t="b">
        <v>1</v>
      </c>
      <c r="R166" s="136" t="s">
        <v>1543</v>
      </c>
      <c r="S166" s="136" t="s">
        <v>1544</v>
      </c>
      <c r="T166" s="141">
        <v>0</v>
      </c>
    </row>
    <row r="167" spans="1:20">
      <c r="A167" s="143" t="s">
        <v>1545</v>
      </c>
      <c r="B167" s="143" t="s">
        <v>869</v>
      </c>
      <c r="C167" s="143" t="s">
        <v>1546</v>
      </c>
      <c r="D167" s="143" t="s">
        <v>1547</v>
      </c>
      <c r="E167" s="144"/>
      <c r="F167" s="145" t="e">
        <f>VLOOKUP(C167,'[3]entities zones'!$C:$D,2,FALSE)</f>
        <v>#N/A</v>
      </c>
      <c r="G167" s="143" t="s">
        <v>1548</v>
      </c>
      <c r="H167" s="146" t="s">
        <v>872</v>
      </c>
      <c r="I167" s="146" t="s">
        <v>873</v>
      </c>
      <c r="J167" s="146" t="s">
        <v>874</v>
      </c>
      <c r="K167" s="143" t="s">
        <v>1476</v>
      </c>
      <c r="L167" s="147">
        <v>1</v>
      </c>
      <c r="M167" s="147">
        <v>13</v>
      </c>
      <c r="N167" s="147">
        <v>4</v>
      </c>
      <c r="O167" s="146">
        <v>2</v>
      </c>
      <c r="P167" s="146" t="b">
        <v>0</v>
      </c>
      <c r="Q167" s="146" t="b">
        <v>1</v>
      </c>
      <c r="R167" s="143" t="s">
        <v>1549</v>
      </c>
      <c r="S167" s="143" t="s">
        <v>1550</v>
      </c>
      <c r="T167" s="148">
        <v>2</v>
      </c>
    </row>
    <row r="168" spans="1:20">
      <c r="A168" s="136" t="s">
        <v>1551</v>
      </c>
      <c r="B168" s="136" t="s">
        <v>869</v>
      </c>
      <c r="C168" s="136" t="s">
        <v>1552</v>
      </c>
      <c r="D168" s="136" t="s">
        <v>1553</v>
      </c>
      <c r="E168" s="137"/>
      <c r="F168" s="145" t="e">
        <f>VLOOKUP(C168,'[3]entities zones'!$C:$D,2,FALSE)</f>
        <v>#N/A</v>
      </c>
      <c r="G168" s="136" t="s">
        <v>1554</v>
      </c>
      <c r="H168" s="139" t="s">
        <v>872</v>
      </c>
      <c r="I168" s="139" t="s">
        <v>873</v>
      </c>
      <c r="J168" s="139" t="s">
        <v>874</v>
      </c>
      <c r="K168" s="136" t="s">
        <v>1546</v>
      </c>
      <c r="L168" s="140">
        <v>1</v>
      </c>
      <c r="M168" s="140">
        <v>888</v>
      </c>
      <c r="N168" s="140">
        <v>5</v>
      </c>
      <c r="O168" s="139">
        <v>0</v>
      </c>
      <c r="P168" s="139" t="b">
        <v>0</v>
      </c>
      <c r="Q168" s="139" t="b">
        <v>1</v>
      </c>
      <c r="R168" s="136" t="s">
        <v>1555</v>
      </c>
      <c r="S168" s="136" t="s">
        <v>1556</v>
      </c>
      <c r="T168" s="141">
        <v>0</v>
      </c>
    </row>
    <row r="169" spans="1:20">
      <c r="A169" s="136" t="s">
        <v>1557</v>
      </c>
      <c r="B169" s="136" t="s">
        <v>869</v>
      </c>
      <c r="C169" s="136" t="s">
        <v>1558</v>
      </c>
      <c r="D169" s="136" t="s">
        <v>1559</v>
      </c>
      <c r="E169" s="137"/>
      <c r="F169" s="145" t="e">
        <f>VLOOKUP(C169,'[3]entities zones'!$C:$D,2,FALSE)</f>
        <v>#N/A</v>
      </c>
      <c r="G169" s="136" t="s">
        <v>1560</v>
      </c>
      <c r="H169" s="139" t="s">
        <v>872</v>
      </c>
      <c r="I169" s="139" t="s">
        <v>873</v>
      </c>
      <c r="J169" s="139" t="s">
        <v>874</v>
      </c>
      <c r="K169" s="136" t="s">
        <v>1546</v>
      </c>
      <c r="L169" s="140">
        <v>1</v>
      </c>
      <c r="M169" s="140">
        <v>999</v>
      </c>
      <c r="N169" s="140">
        <v>5</v>
      </c>
      <c r="O169" s="139">
        <v>0</v>
      </c>
      <c r="P169" s="139" t="b">
        <v>0</v>
      </c>
      <c r="Q169" s="139" t="b">
        <v>1</v>
      </c>
      <c r="R169" s="136" t="s">
        <v>1561</v>
      </c>
      <c r="S169" s="136" t="s">
        <v>1562</v>
      </c>
      <c r="T169" s="141">
        <v>0</v>
      </c>
    </row>
    <row r="170" spans="1:20">
      <c r="A170" s="136" t="s">
        <v>1563</v>
      </c>
      <c r="B170" s="136" t="s">
        <v>869</v>
      </c>
      <c r="C170" s="136" t="s">
        <v>264</v>
      </c>
      <c r="D170" s="136" t="s">
        <v>1564</v>
      </c>
      <c r="E170" s="137"/>
      <c r="F170" s="145" t="str">
        <f>VLOOKUP(C170,'[3]entities zones'!$C:$D,2,FALSE)</f>
        <v>EURZONNOR</v>
      </c>
      <c r="G170" s="136" t="s">
        <v>1564</v>
      </c>
      <c r="H170" s="139" t="s">
        <v>872</v>
      </c>
      <c r="I170" s="139" t="s">
        <v>873</v>
      </c>
      <c r="J170" s="139" t="s">
        <v>874</v>
      </c>
      <c r="K170" s="136" t="s">
        <v>512</v>
      </c>
      <c r="L170" s="140">
        <v>1</v>
      </c>
      <c r="M170" s="140">
        <v>290</v>
      </c>
      <c r="N170" s="140">
        <v>3</v>
      </c>
      <c r="O170" s="139">
        <v>0</v>
      </c>
      <c r="P170" s="139" t="b">
        <v>0</v>
      </c>
      <c r="Q170" s="139" t="b">
        <v>1</v>
      </c>
      <c r="R170" s="136" t="s">
        <v>1204</v>
      </c>
      <c r="S170" s="136" t="s">
        <v>1565</v>
      </c>
      <c r="T170" s="141">
        <v>0</v>
      </c>
    </row>
    <row r="171" spans="1:20">
      <c r="A171" s="142" t="s">
        <v>1566</v>
      </c>
      <c r="B171" s="143" t="s">
        <v>869</v>
      </c>
      <c r="C171" s="143" t="s">
        <v>1567</v>
      </c>
      <c r="D171" s="143" t="s">
        <v>1568</v>
      </c>
      <c r="E171" s="144"/>
      <c r="F171" s="145" t="e">
        <f>VLOOKUP(C171,'[3]entities zones'!$C:$D,2,FALSE)</f>
        <v>#N/A</v>
      </c>
      <c r="G171" s="143" t="s">
        <v>1569</v>
      </c>
      <c r="H171" s="146" t="s">
        <v>872</v>
      </c>
      <c r="I171" s="146" t="s">
        <v>873</v>
      </c>
      <c r="J171" s="146" t="s">
        <v>874</v>
      </c>
      <c r="K171" s="143" t="s">
        <v>512</v>
      </c>
      <c r="L171" s="147">
        <v>1</v>
      </c>
      <c r="M171" s="147">
        <v>300</v>
      </c>
      <c r="N171" s="147">
        <v>3</v>
      </c>
      <c r="O171" s="146">
        <v>3</v>
      </c>
      <c r="P171" s="146" t="b">
        <v>1</v>
      </c>
      <c r="Q171" s="146" t="b">
        <v>1</v>
      </c>
      <c r="R171" s="143" t="s">
        <v>1570</v>
      </c>
      <c r="S171" s="143" t="s">
        <v>1466</v>
      </c>
      <c r="T171" s="148">
        <v>5</v>
      </c>
    </row>
    <row r="172" spans="1:20">
      <c r="A172" s="136" t="s">
        <v>1571</v>
      </c>
      <c r="B172" s="136" t="s">
        <v>869</v>
      </c>
      <c r="C172" s="136" t="s">
        <v>1572</v>
      </c>
      <c r="D172" s="136" t="s">
        <v>1573</v>
      </c>
      <c r="E172" s="137"/>
      <c r="F172" s="145" t="e">
        <f>VLOOKUP(C172,'[3]entities zones'!$C:$D,2,FALSE)</f>
        <v>#N/A</v>
      </c>
      <c r="G172" s="136" t="s">
        <v>1573</v>
      </c>
      <c r="H172" s="139" t="s">
        <v>872</v>
      </c>
      <c r="I172" s="139" t="s">
        <v>873</v>
      </c>
      <c r="J172" s="139" t="s">
        <v>874</v>
      </c>
      <c r="K172" s="136" t="s">
        <v>1567</v>
      </c>
      <c r="L172" s="140">
        <v>1</v>
      </c>
      <c r="M172" s="140">
        <v>10</v>
      </c>
      <c r="N172" s="140">
        <v>4</v>
      </c>
      <c r="O172" s="139">
        <v>0</v>
      </c>
      <c r="P172" s="139" t="b">
        <v>0</v>
      </c>
      <c r="Q172" s="139" t="b">
        <v>1</v>
      </c>
      <c r="R172" s="136" t="s">
        <v>891</v>
      </c>
      <c r="S172" s="136" t="s">
        <v>1574</v>
      </c>
      <c r="T172" s="141">
        <v>0</v>
      </c>
    </row>
    <row r="173" spans="1:20">
      <c r="A173" s="136" t="s">
        <v>1575</v>
      </c>
      <c r="B173" s="136" t="s">
        <v>869</v>
      </c>
      <c r="C173" s="136" t="s">
        <v>824</v>
      </c>
      <c r="D173" s="136" t="s">
        <v>1576</v>
      </c>
      <c r="E173" s="137" t="s">
        <v>895</v>
      </c>
      <c r="F173" s="145" t="str">
        <f>VLOOKUP(C173,'[3]entities zones'!$C:$D,2,FALSE)</f>
        <v>EURZONNOR</v>
      </c>
      <c r="G173" s="136" t="s">
        <v>1576</v>
      </c>
      <c r="H173" s="139" t="s">
        <v>872</v>
      </c>
      <c r="I173" s="139" t="s">
        <v>873</v>
      </c>
      <c r="J173" s="139" t="s">
        <v>874</v>
      </c>
      <c r="K173" s="136" t="s">
        <v>1567</v>
      </c>
      <c r="L173" s="140">
        <v>1</v>
      </c>
      <c r="M173" s="140">
        <v>50</v>
      </c>
      <c r="N173" s="140">
        <v>4</v>
      </c>
      <c r="O173" s="139">
        <v>0</v>
      </c>
      <c r="P173" s="139" t="b">
        <v>0</v>
      </c>
      <c r="Q173" s="139" t="b">
        <v>1</v>
      </c>
      <c r="R173" s="136" t="s">
        <v>1335</v>
      </c>
      <c r="S173" s="136" t="s">
        <v>1577</v>
      </c>
      <c r="T173" s="141">
        <v>0</v>
      </c>
    </row>
    <row r="174" spans="1:20">
      <c r="A174" s="142" t="s">
        <v>1578</v>
      </c>
      <c r="B174" s="143" t="s">
        <v>869</v>
      </c>
      <c r="C174" s="143" t="s">
        <v>1579</v>
      </c>
      <c r="D174" s="143" t="s">
        <v>1580</v>
      </c>
      <c r="E174" s="144"/>
      <c r="F174" s="145" t="e">
        <f>VLOOKUP(C174,'[3]entities zones'!$C:$D,2,FALSE)</f>
        <v>#N/A</v>
      </c>
      <c r="G174" s="143" t="s">
        <v>1581</v>
      </c>
      <c r="H174" s="146" t="s">
        <v>872</v>
      </c>
      <c r="I174" s="146" t="s">
        <v>873</v>
      </c>
      <c r="J174" s="146" t="s">
        <v>874</v>
      </c>
      <c r="K174" s="143" t="s">
        <v>1567</v>
      </c>
      <c r="L174" s="147">
        <v>1</v>
      </c>
      <c r="M174" s="147">
        <v>888</v>
      </c>
      <c r="N174" s="147">
        <v>4</v>
      </c>
      <c r="O174" s="146">
        <v>2</v>
      </c>
      <c r="P174" s="146" t="b">
        <v>1</v>
      </c>
      <c r="Q174" s="146" t="b">
        <v>1</v>
      </c>
      <c r="R174" s="143" t="s">
        <v>998</v>
      </c>
      <c r="S174" s="143" t="s">
        <v>1466</v>
      </c>
      <c r="T174" s="148">
        <v>2</v>
      </c>
    </row>
    <row r="175" spans="1:20">
      <c r="A175" s="136" t="s">
        <v>1582</v>
      </c>
      <c r="B175" s="136" t="s">
        <v>869</v>
      </c>
      <c r="C175" s="136" t="s">
        <v>1583</v>
      </c>
      <c r="D175" s="136" t="s">
        <v>1584</v>
      </c>
      <c r="E175" s="137"/>
      <c r="F175" s="145" t="e">
        <f>VLOOKUP(C175,'[3]entities zones'!$C:$D,2,FALSE)</f>
        <v>#N/A</v>
      </c>
      <c r="G175" s="136" t="s">
        <v>1585</v>
      </c>
      <c r="H175" s="139" t="s">
        <v>872</v>
      </c>
      <c r="I175" s="139" t="s">
        <v>873</v>
      </c>
      <c r="J175" s="139" t="s">
        <v>874</v>
      </c>
      <c r="K175" s="136" t="s">
        <v>1579</v>
      </c>
      <c r="L175" s="140">
        <v>1</v>
      </c>
      <c r="M175" s="140">
        <v>888</v>
      </c>
      <c r="N175" s="140">
        <v>5</v>
      </c>
      <c r="O175" s="139">
        <v>0</v>
      </c>
      <c r="P175" s="139" t="b">
        <v>0</v>
      </c>
      <c r="Q175" s="139" t="b">
        <v>1</v>
      </c>
      <c r="R175" s="136" t="s">
        <v>1586</v>
      </c>
      <c r="S175" s="136" t="s">
        <v>1290</v>
      </c>
      <c r="T175" s="141">
        <v>0</v>
      </c>
    </row>
    <row r="176" spans="1:20">
      <c r="A176" s="136" t="s">
        <v>1587</v>
      </c>
      <c r="B176" s="136" t="s">
        <v>869</v>
      </c>
      <c r="C176" s="136" t="s">
        <v>1588</v>
      </c>
      <c r="D176" s="136" t="s">
        <v>1589</v>
      </c>
      <c r="E176" s="137"/>
      <c r="F176" s="145" t="e">
        <f>VLOOKUP(C176,'[3]entities zones'!$C:$D,2,FALSE)</f>
        <v>#N/A</v>
      </c>
      <c r="G176" s="136" t="s">
        <v>1590</v>
      </c>
      <c r="H176" s="139" t="s">
        <v>872</v>
      </c>
      <c r="I176" s="139" t="s">
        <v>873</v>
      </c>
      <c r="J176" s="139" t="s">
        <v>874</v>
      </c>
      <c r="K176" s="136" t="s">
        <v>1579</v>
      </c>
      <c r="L176" s="140">
        <v>1</v>
      </c>
      <c r="M176" s="140">
        <v>999</v>
      </c>
      <c r="N176" s="140">
        <v>5</v>
      </c>
      <c r="O176" s="139">
        <v>0</v>
      </c>
      <c r="P176" s="139" t="b">
        <v>0</v>
      </c>
      <c r="Q176" s="139" t="b">
        <v>1</v>
      </c>
      <c r="R176" s="136" t="s">
        <v>998</v>
      </c>
      <c r="S176" s="136" t="s">
        <v>1262</v>
      </c>
      <c r="T176" s="141">
        <v>0</v>
      </c>
    </row>
    <row r="177" spans="1:20">
      <c r="A177" s="136" t="s">
        <v>1591</v>
      </c>
      <c r="B177" s="136" t="s">
        <v>869</v>
      </c>
      <c r="C177" s="136" t="s">
        <v>820</v>
      </c>
      <c r="D177" s="136" t="s">
        <v>1592</v>
      </c>
      <c r="E177" s="137" t="s">
        <v>895</v>
      </c>
      <c r="F177" s="145" t="str">
        <f>VLOOKUP(C177,'[3]entities zones'!$C:$D,2,FALSE)</f>
        <v>EURZONNOR</v>
      </c>
      <c r="G177" s="136" t="s">
        <v>1592</v>
      </c>
      <c r="H177" s="139" t="s">
        <v>872</v>
      </c>
      <c r="I177" s="139" t="s">
        <v>873</v>
      </c>
      <c r="J177" s="139" t="s">
        <v>874</v>
      </c>
      <c r="K177" s="136" t="s">
        <v>512</v>
      </c>
      <c r="L177" s="140">
        <v>1</v>
      </c>
      <c r="M177" s="140">
        <v>310</v>
      </c>
      <c r="N177" s="140">
        <v>3</v>
      </c>
      <c r="O177" s="139">
        <v>0</v>
      </c>
      <c r="P177" s="139" t="b">
        <v>0</v>
      </c>
      <c r="Q177" s="139" t="b">
        <v>1</v>
      </c>
      <c r="R177" s="136" t="s">
        <v>891</v>
      </c>
      <c r="S177" s="136" t="s">
        <v>1593</v>
      </c>
      <c r="T177" s="141">
        <v>0</v>
      </c>
    </row>
    <row r="178" spans="1:20">
      <c r="A178" s="136" t="s">
        <v>1594</v>
      </c>
      <c r="B178" s="136" t="s">
        <v>869</v>
      </c>
      <c r="C178" s="136" t="s">
        <v>1595</v>
      </c>
      <c r="D178" s="136" t="s">
        <v>1596</v>
      </c>
      <c r="E178" s="137"/>
      <c r="F178" s="145" t="e">
        <f>VLOOKUP(C178,'[3]entities zones'!$C:$D,2,FALSE)</f>
        <v>#N/A</v>
      </c>
      <c r="G178" s="136" t="s">
        <v>1596</v>
      </c>
      <c r="H178" s="139" t="s">
        <v>872</v>
      </c>
      <c r="I178" s="139" t="s">
        <v>873</v>
      </c>
      <c r="J178" s="139" t="s">
        <v>874</v>
      </c>
      <c r="K178" s="136" t="s">
        <v>512</v>
      </c>
      <c r="L178" s="140">
        <v>1</v>
      </c>
      <c r="M178" s="140">
        <v>330</v>
      </c>
      <c r="N178" s="140">
        <v>3</v>
      </c>
      <c r="O178" s="139">
        <v>0</v>
      </c>
      <c r="P178" s="139" t="b">
        <v>0</v>
      </c>
      <c r="Q178" s="139" t="b">
        <v>1</v>
      </c>
      <c r="R178" s="136" t="s">
        <v>1570</v>
      </c>
      <c r="S178" s="136" t="s">
        <v>1597</v>
      </c>
      <c r="T178" s="141">
        <v>0</v>
      </c>
    </row>
    <row r="179" spans="1:20">
      <c r="A179" s="136" t="s">
        <v>1598</v>
      </c>
      <c r="B179" s="136" t="s">
        <v>869</v>
      </c>
      <c r="C179" s="136" t="s">
        <v>822</v>
      </c>
      <c r="D179" s="136" t="s">
        <v>1599</v>
      </c>
      <c r="E179" s="137" t="s">
        <v>895</v>
      </c>
      <c r="F179" s="145" t="str">
        <f>VLOOKUP(C179,'[3]entities zones'!$C:$D,2,FALSE)</f>
        <v>EURZONNOR</v>
      </c>
      <c r="G179" s="136" t="s">
        <v>1599</v>
      </c>
      <c r="H179" s="139" t="s">
        <v>872</v>
      </c>
      <c r="I179" s="139" t="s">
        <v>873</v>
      </c>
      <c r="J179" s="139" t="s">
        <v>874</v>
      </c>
      <c r="K179" s="136" t="s">
        <v>512</v>
      </c>
      <c r="L179" s="140">
        <v>1</v>
      </c>
      <c r="M179" s="140">
        <v>370</v>
      </c>
      <c r="N179" s="140">
        <v>3</v>
      </c>
      <c r="O179" s="139">
        <v>0</v>
      </c>
      <c r="P179" s="139" t="b">
        <v>0</v>
      </c>
      <c r="Q179" s="139" t="b">
        <v>1</v>
      </c>
      <c r="R179" s="136" t="s">
        <v>1600</v>
      </c>
      <c r="S179" s="136" t="s">
        <v>1601</v>
      </c>
      <c r="T179" s="141">
        <v>0</v>
      </c>
    </row>
    <row r="180" spans="1:20">
      <c r="A180" s="136" t="s">
        <v>1602</v>
      </c>
      <c r="B180" s="136" t="s">
        <v>869</v>
      </c>
      <c r="C180" s="136" t="s">
        <v>817</v>
      </c>
      <c r="D180" s="136" t="s">
        <v>1603</v>
      </c>
      <c r="E180" s="137" t="s">
        <v>895</v>
      </c>
      <c r="F180" s="145" t="str">
        <f>VLOOKUP(C180,'[3]entities zones'!$C:$D,2,FALSE)</f>
        <v>EURZONNOR</v>
      </c>
      <c r="G180" s="136" t="s">
        <v>1603</v>
      </c>
      <c r="H180" s="139" t="s">
        <v>872</v>
      </c>
      <c r="I180" s="139" t="s">
        <v>873</v>
      </c>
      <c r="J180" s="139" t="s">
        <v>874</v>
      </c>
      <c r="K180" s="136" t="s">
        <v>512</v>
      </c>
      <c r="L180" s="140">
        <v>1</v>
      </c>
      <c r="M180" s="140">
        <v>380</v>
      </c>
      <c r="N180" s="140">
        <v>3</v>
      </c>
      <c r="O180" s="139">
        <v>0</v>
      </c>
      <c r="P180" s="139" t="b">
        <v>0</v>
      </c>
      <c r="Q180" s="139" t="b">
        <v>1</v>
      </c>
      <c r="R180" s="136" t="s">
        <v>1600</v>
      </c>
      <c r="S180" s="136" t="s">
        <v>1604</v>
      </c>
      <c r="T180" s="141">
        <v>0</v>
      </c>
    </row>
    <row r="181" spans="1:20">
      <c r="A181" s="136" t="s">
        <v>1605</v>
      </c>
      <c r="B181" s="136" t="s">
        <v>869</v>
      </c>
      <c r="C181" s="136" t="s">
        <v>1606</v>
      </c>
      <c r="D181" s="136" t="s">
        <v>1607</v>
      </c>
      <c r="E181" s="137"/>
      <c r="F181" s="145" t="e">
        <f>VLOOKUP(C181,'[3]entities zones'!$C:$D,2,FALSE)</f>
        <v>#N/A</v>
      </c>
      <c r="G181" s="136" t="s">
        <v>1607</v>
      </c>
      <c r="H181" s="139" t="s">
        <v>872</v>
      </c>
      <c r="I181" s="139" t="s">
        <v>873</v>
      </c>
      <c r="J181" s="139" t="s">
        <v>874</v>
      </c>
      <c r="K181" s="136" t="s">
        <v>512</v>
      </c>
      <c r="L181" s="140">
        <v>1</v>
      </c>
      <c r="M181" s="140">
        <v>390</v>
      </c>
      <c r="N181" s="140">
        <v>3</v>
      </c>
      <c r="O181" s="139">
        <v>0</v>
      </c>
      <c r="P181" s="139" t="b">
        <v>0</v>
      </c>
      <c r="Q181" s="139" t="b">
        <v>1</v>
      </c>
      <c r="R181" s="136" t="s">
        <v>1608</v>
      </c>
      <c r="S181" s="136" t="s">
        <v>1609</v>
      </c>
      <c r="T181" s="141">
        <v>0</v>
      </c>
    </row>
    <row r="182" spans="1:20">
      <c r="A182" s="136" t="s">
        <v>1610</v>
      </c>
      <c r="B182" s="136" t="s">
        <v>869</v>
      </c>
      <c r="C182" s="136" t="s">
        <v>1611</v>
      </c>
      <c r="D182" s="136" t="s">
        <v>1612</v>
      </c>
      <c r="E182" s="137"/>
      <c r="F182" s="145" t="e">
        <f>VLOOKUP(C182,'[3]entities zones'!$C:$D,2,FALSE)</f>
        <v>#N/A</v>
      </c>
      <c r="G182" s="136" t="s">
        <v>1612</v>
      </c>
      <c r="H182" s="139" t="s">
        <v>872</v>
      </c>
      <c r="I182" s="139" t="s">
        <v>873</v>
      </c>
      <c r="J182" s="139" t="s">
        <v>874</v>
      </c>
      <c r="K182" s="136" t="s">
        <v>512</v>
      </c>
      <c r="L182" s="140">
        <v>1</v>
      </c>
      <c r="M182" s="140">
        <v>400</v>
      </c>
      <c r="N182" s="140">
        <v>3</v>
      </c>
      <c r="O182" s="139">
        <v>0</v>
      </c>
      <c r="P182" s="139" t="b">
        <v>0</v>
      </c>
      <c r="Q182" s="139" t="b">
        <v>1</v>
      </c>
      <c r="R182" s="136" t="s">
        <v>1608</v>
      </c>
      <c r="S182" s="136" t="s">
        <v>1613</v>
      </c>
      <c r="T182" s="141">
        <v>0</v>
      </c>
    </row>
    <row r="183" spans="1:20">
      <c r="A183" s="136" t="s">
        <v>1614</v>
      </c>
      <c r="B183" s="136" t="s">
        <v>869</v>
      </c>
      <c r="C183" s="136" t="s">
        <v>1615</v>
      </c>
      <c r="D183" s="136" t="s">
        <v>1616</v>
      </c>
      <c r="E183" s="137"/>
      <c r="F183" s="145" t="str">
        <f>VLOOKUP(C183,'[3]entities zones'!$C:$D,2,FALSE)</f>
        <v>EURZONSUD</v>
      </c>
      <c r="G183" s="136" t="s">
        <v>1616</v>
      </c>
      <c r="H183" s="139" t="s">
        <v>872</v>
      </c>
      <c r="I183" s="139" t="s">
        <v>873</v>
      </c>
      <c r="J183" s="139" t="s">
        <v>874</v>
      </c>
      <c r="K183" s="136" t="s">
        <v>512</v>
      </c>
      <c r="L183" s="140">
        <v>1</v>
      </c>
      <c r="M183" s="140">
        <v>410</v>
      </c>
      <c r="N183" s="140">
        <v>3</v>
      </c>
      <c r="O183" s="139">
        <v>0</v>
      </c>
      <c r="P183" s="139" t="b">
        <v>0</v>
      </c>
      <c r="Q183" s="139" t="b">
        <v>1</v>
      </c>
      <c r="R183" s="136" t="s">
        <v>1617</v>
      </c>
      <c r="S183" s="136" t="s">
        <v>1618</v>
      </c>
      <c r="T183" s="141">
        <v>0</v>
      </c>
    </row>
    <row r="184" spans="1:20">
      <c r="A184" s="142" t="s">
        <v>1619</v>
      </c>
      <c r="B184" s="143" t="s">
        <v>869</v>
      </c>
      <c r="C184" s="143" t="s">
        <v>1620</v>
      </c>
      <c r="D184" s="143" t="s">
        <v>1621</v>
      </c>
      <c r="E184" s="144"/>
      <c r="F184" s="145" t="e">
        <f>VLOOKUP(C184,'[3]entities zones'!$C:$D,2,FALSE)</f>
        <v>#N/A</v>
      </c>
      <c r="G184" s="143" t="s">
        <v>1622</v>
      </c>
      <c r="H184" s="146" t="s">
        <v>872</v>
      </c>
      <c r="I184" s="146" t="s">
        <v>873</v>
      </c>
      <c r="J184" s="146" t="s">
        <v>874</v>
      </c>
      <c r="K184" s="143" t="s">
        <v>512</v>
      </c>
      <c r="L184" s="147">
        <v>1</v>
      </c>
      <c r="M184" s="147">
        <v>425</v>
      </c>
      <c r="N184" s="147">
        <v>3</v>
      </c>
      <c r="O184" s="146">
        <v>6</v>
      </c>
      <c r="P184" s="146" t="b">
        <v>1</v>
      </c>
      <c r="Q184" s="146" t="b">
        <v>1</v>
      </c>
      <c r="R184" s="143" t="s">
        <v>1623</v>
      </c>
      <c r="S184" s="143" t="s">
        <v>1624</v>
      </c>
      <c r="T184" s="148">
        <v>13</v>
      </c>
    </row>
    <row r="185" spans="1:20">
      <c r="A185" s="142" t="s">
        <v>1625</v>
      </c>
      <c r="B185" s="143" t="s">
        <v>869</v>
      </c>
      <c r="C185" s="143" t="s">
        <v>1626</v>
      </c>
      <c r="D185" s="143" t="s">
        <v>1627</v>
      </c>
      <c r="E185" s="144"/>
      <c r="F185" s="145" t="e">
        <f>VLOOKUP(C185,'[3]entities zones'!$C:$D,2,FALSE)</f>
        <v>#N/A</v>
      </c>
      <c r="G185" s="143" t="s">
        <v>1627</v>
      </c>
      <c r="H185" s="146" t="s">
        <v>872</v>
      </c>
      <c r="I185" s="146" t="s">
        <v>873</v>
      </c>
      <c r="J185" s="146" t="s">
        <v>874</v>
      </c>
      <c r="K185" s="143" t="s">
        <v>1620</v>
      </c>
      <c r="L185" s="147">
        <v>1</v>
      </c>
      <c r="M185" s="147">
        <v>10</v>
      </c>
      <c r="N185" s="147">
        <v>4</v>
      </c>
      <c r="O185" s="146">
        <v>5</v>
      </c>
      <c r="P185" s="146" t="b">
        <v>1</v>
      </c>
      <c r="Q185" s="146" t="b">
        <v>1</v>
      </c>
      <c r="R185" s="143" t="s">
        <v>1628</v>
      </c>
      <c r="S185" s="143" t="s">
        <v>1629</v>
      </c>
      <c r="T185" s="148">
        <v>5</v>
      </c>
    </row>
    <row r="186" spans="1:20">
      <c r="A186" s="136" t="s">
        <v>1630</v>
      </c>
      <c r="B186" s="136" t="s">
        <v>869</v>
      </c>
      <c r="C186" s="136" t="s">
        <v>1631</v>
      </c>
      <c r="D186" s="136" t="s">
        <v>1632</v>
      </c>
      <c r="E186" s="137"/>
      <c r="F186" s="145" t="e">
        <f>VLOOKUP(C186,'[3]entities zones'!$C:$D,2,FALSE)</f>
        <v>#N/A</v>
      </c>
      <c r="G186" s="136" t="s">
        <v>1632</v>
      </c>
      <c r="H186" s="139" t="s">
        <v>872</v>
      </c>
      <c r="I186" s="139" t="s">
        <v>873</v>
      </c>
      <c r="J186" s="139" t="s">
        <v>874</v>
      </c>
      <c r="K186" s="136" t="s">
        <v>1626</v>
      </c>
      <c r="L186" s="140">
        <v>1</v>
      </c>
      <c r="M186" s="140">
        <v>10</v>
      </c>
      <c r="N186" s="140">
        <v>5</v>
      </c>
      <c r="O186" s="139">
        <v>0</v>
      </c>
      <c r="P186" s="139" t="b">
        <v>0</v>
      </c>
      <c r="Q186" s="139" t="b">
        <v>1</v>
      </c>
      <c r="R186" s="136" t="s">
        <v>1633</v>
      </c>
      <c r="S186" s="136" t="s">
        <v>1634</v>
      </c>
      <c r="T186" s="141">
        <v>0</v>
      </c>
    </row>
    <row r="187" spans="1:20">
      <c r="A187" s="136" t="s">
        <v>1635</v>
      </c>
      <c r="B187" s="136" t="s">
        <v>869</v>
      </c>
      <c r="C187" s="136" t="s">
        <v>1636</v>
      </c>
      <c r="D187" s="136" t="s">
        <v>1637</v>
      </c>
      <c r="E187" s="137"/>
      <c r="F187" s="145" t="str">
        <f>VLOOKUP(C187,'[3]entities zones'!$C:$D,2,FALSE)</f>
        <v>EURZONNOR</v>
      </c>
      <c r="G187" s="136" t="s">
        <v>1637</v>
      </c>
      <c r="H187" s="139" t="s">
        <v>872</v>
      </c>
      <c r="I187" s="139" t="s">
        <v>873</v>
      </c>
      <c r="J187" s="139" t="s">
        <v>874</v>
      </c>
      <c r="K187" s="136" t="s">
        <v>1626</v>
      </c>
      <c r="L187" s="140">
        <v>1</v>
      </c>
      <c r="M187" s="140">
        <v>20</v>
      </c>
      <c r="N187" s="140">
        <v>5</v>
      </c>
      <c r="O187" s="139">
        <v>0</v>
      </c>
      <c r="P187" s="139" t="b">
        <v>0</v>
      </c>
      <c r="Q187" s="139" t="b">
        <v>1</v>
      </c>
      <c r="R187" s="136" t="s">
        <v>1638</v>
      </c>
      <c r="S187" s="136" t="s">
        <v>1639</v>
      </c>
      <c r="T187" s="141">
        <v>0</v>
      </c>
    </row>
    <row r="188" spans="1:20">
      <c r="A188" s="136" t="s">
        <v>1640</v>
      </c>
      <c r="B188" s="136" t="s">
        <v>869</v>
      </c>
      <c r="C188" s="136" t="s">
        <v>1641</v>
      </c>
      <c r="D188" s="136" t="s">
        <v>1642</v>
      </c>
      <c r="E188" s="137"/>
      <c r="F188" s="145" t="str">
        <f>VLOOKUP(C188,'[3]entities zones'!$C:$D,2,FALSE)</f>
        <v>EURZONNOR</v>
      </c>
      <c r="G188" s="136" t="s">
        <v>1642</v>
      </c>
      <c r="H188" s="139" t="s">
        <v>872</v>
      </c>
      <c r="I188" s="139" t="s">
        <v>873</v>
      </c>
      <c r="J188" s="139" t="s">
        <v>874</v>
      </c>
      <c r="K188" s="136" t="s">
        <v>1626</v>
      </c>
      <c r="L188" s="140">
        <v>1</v>
      </c>
      <c r="M188" s="140">
        <v>30</v>
      </c>
      <c r="N188" s="140">
        <v>5</v>
      </c>
      <c r="O188" s="139">
        <v>0</v>
      </c>
      <c r="P188" s="139" t="b">
        <v>0</v>
      </c>
      <c r="Q188" s="139" t="b">
        <v>1</v>
      </c>
      <c r="R188" s="136" t="s">
        <v>1643</v>
      </c>
      <c r="S188" s="136" t="s">
        <v>1644</v>
      </c>
      <c r="T188" s="141">
        <v>0</v>
      </c>
    </row>
    <row r="189" spans="1:20">
      <c r="A189" s="136" t="s">
        <v>1645</v>
      </c>
      <c r="B189" s="136" t="s">
        <v>869</v>
      </c>
      <c r="C189" s="136" t="s">
        <v>1646</v>
      </c>
      <c r="D189" s="136" t="s">
        <v>1647</v>
      </c>
      <c r="E189" s="137"/>
      <c r="F189" s="145" t="str">
        <f>VLOOKUP(C189,'[3]entities zones'!$C:$D,2,FALSE)</f>
        <v>EURZONNOR</v>
      </c>
      <c r="G189" s="136" t="s">
        <v>1647</v>
      </c>
      <c r="H189" s="139" t="s">
        <v>872</v>
      </c>
      <c r="I189" s="139" t="s">
        <v>873</v>
      </c>
      <c r="J189" s="139" t="s">
        <v>874</v>
      </c>
      <c r="K189" s="136" t="s">
        <v>1626</v>
      </c>
      <c r="L189" s="140">
        <v>1</v>
      </c>
      <c r="M189" s="140">
        <v>40</v>
      </c>
      <c r="N189" s="140">
        <v>5</v>
      </c>
      <c r="O189" s="139">
        <v>0</v>
      </c>
      <c r="P189" s="139" t="b">
        <v>0</v>
      </c>
      <c r="Q189" s="139" t="b">
        <v>1</v>
      </c>
      <c r="R189" s="136" t="s">
        <v>1648</v>
      </c>
      <c r="S189" s="136" t="s">
        <v>1649</v>
      </c>
      <c r="T189" s="141">
        <v>0</v>
      </c>
    </row>
    <row r="190" spans="1:20">
      <c r="A190" s="136" t="s">
        <v>1650</v>
      </c>
      <c r="B190" s="136" t="s">
        <v>869</v>
      </c>
      <c r="C190" s="136" t="s">
        <v>1651</v>
      </c>
      <c r="D190" s="136" t="s">
        <v>1652</v>
      </c>
      <c r="E190" s="137"/>
      <c r="F190" s="145" t="str">
        <f>VLOOKUP(C190,'[3]entities zones'!$C:$D,2,FALSE)</f>
        <v>EURZONNOR</v>
      </c>
      <c r="G190" s="136" t="s">
        <v>1652</v>
      </c>
      <c r="H190" s="139" t="s">
        <v>872</v>
      </c>
      <c r="I190" s="139" t="s">
        <v>873</v>
      </c>
      <c r="J190" s="139" t="s">
        <v>874</v>
      </c>
      <c r="K190" s="136" t="s">
        <v>1626</v>
      </c>
      <c r="L190" s="140">
        <v>1</v>
      </c>
      <c r="M190" s="140">
        <v>50</v>
      </c>
      <c r="N190" s="140">
        <v>5</v>
      </c>
      <c r="O190" s="139">
        <v>0</v>
      </c>
      <c r="P190" s="139" t="b">
        <v>0</v>
      </c>
      <c r="Q190" s="139" t="b">
        <v>1</v>
      </c>
      <c r="R190" s="136" t="s">
        <v>1653</v>
      </c>
      <c r="S190" s="136" t="s">
        <v>1654</v>
      </c>
      <c r="T190" s="141">
        <v>0</v>
      </c>
    </row>
    <row r="191" spans="1:20">
      <c r="A191" s="136" t="s">
        <v>1655</v>
      </c>
      <c r="B191" s="136" t="s">
        <v>869</v>
      </c>
      <c r="C191" s="136" t="s">
        <v>467</v>
      </c>
      <c r="D191" s="136" t="s">
        <v>1656</v>
      </c>
      <c r="E191" s="137" t="s">
        <v>895</v>
      </c>
      <c r="F191" s="145" t="str">
        <f>VLOOKUP(C191,'[3]entities zones'!$C:$D,2,FALSE)</f>
        <v>EURZONNOR</v>
      </c>
      <c r="G191" s="136" t="s">
        <v>1656</v>
      </c>
      <c r="H191" s="139" t="s">
        <v>872</v>
      </c>
      <c r="I191" s="139" t="s">
        <v>873</v>
      </c>
      <c r="J191" s="139" t="s">
        <v>874</v>
      </c>
      <c r="K191" s="136" t="s">
        <v>1620</v>
      </c>
      <c r="L191" s="140">
        <v>1</v>
      </c>
      <c r="M191" s="140">
        <v>20</v>
      </c>
      <c r="N191" s="140">
        <v>4</v>
      </c>
      <c r="O191" s="139">
        <v>0</v>
      </c>
      <c r="P191" s="139" t="b">
        <v>0</v>
      </c>
      <c r="Q191" s="139" t="b">
        <v>1</v>
      </c>
      <c r="R191" s="136" t="s">
        <v>1600</v>
      </c>
      <c r="S191" s="136" t="s">
        <v>1657</v>
      </c>
      <c r="T191" s="141">
        <v>0</v>
      </c>
    </row>
    <row r="192" spans="1:20">
      <c r="A192" s="136" t="s">
        <v>1658</v>
      </c>
      <c r="B192" s="136" t="s">
        <v>869</v>
      </c>
      <c r="C192" s="136" t="s">
        <v>473</v>
      </c>
      <c r="D192" s="136" t="s">
        <v>1659</v>
      </c>
      <c r="E192" s="137" t="s">
        <v>895</v>
      </c>
      <c r="F192" s="145" t="str">
        <f>VLOOKUP(C192,'[3]entities zones'!$C:$D,2,FALSE)</f>
        <v>EURZONNOR</v>
      </c>
      <c r="G192" s="136" t="s">
        <v>1659</v>
      </c>
      <c r="H192" s="139" t="s">
        <v>872</v>
      </c>
      <c r="I192" s="139" t="s">
        <v>873</v>
      </c>
      <c r="J192" s="139" t="s">
        <v>874</v>
      </c>
      <c r="K192" s="136" t="s">
        <v>1620</v>
      </c>
      <c r="L192" s="140">
        <v>1</v>
      </c>
      <c r="M192" s="140">
        <v>30</v>
      </c>
      <c r="N192" s="140">
        <v>4</v>
      </c>
      <c r="O192" s="139">
        <v>0</v>
      </c>
      <c r="P192" s="139" t="b">
        <v>0</v>
      </c>
      <c r="Q192" s="139" t="b">
        <v>1</v>
      </c>
      <c r="R192" s="136" t="s">
        <v>1608</v>
      </c>
      <c r="S192" s="136" t="s">
        <v>1660</v>
      </c>
      <c r="T192" s="141">
        <v>0</v>
      </c>
    </row>
    <row r="193" spans="1:20">
      <c r="A193" s="136" t="s">
        <v>1661</v>
      </c>
      <c r="B193" s="136" t="s">
        <v>869</v>
      </c>
      <c r="C193" s="136" t="s">
        <v>470</v>
      </c>
      <c r="D193" s="136" t="s">
        <v>1662</v>
      </c>
      <c r="E193" s="137" t="s">
        <v>895</v>
      </c>
      <c r="F193" s="145" t="str">
        <f>VLOOKUP(C193,'[3]entities zones'!$C:$D,2,FALSE)</f>
        <v>EURZONNOR</v>
      </c>
      <c r="G193" s="136" t="s">
        <v>1662</v>
      </c>
      <c r="H193" s="139" t="s">
        <v>872</v>
      </c>
      <c r="I193" s="139" t="s">
        <v>873</v>
      </c>
      <c r="J193" s="139" t="s">
        <v>874</v>
      </c>
      <c r="K193" s="136" t="s">
        <v>1620</v>
      </c>
      <c r="L193" s="140">
        <v>1</v>
      </c>
      <c r="M193" s="140">
        <v>30</v>
      </c>
      <c r="N193" s="140">
        <v>4</v>
      </c>
      <c r="O193" s="139">
        <v>0</v>
      </c>
      <c r="P193" s="139" t="b">
        <v>0</v>
      </c>
      <c r="Q193" s="139" t="b">
        <v>1</v>
      </c>
      <c r="R193" s="136" t="s">
        <v>1600</v>
      </c>
      <c r="S193" s="136" t="s">
        <v>1663</v>
      </c>
      <c r="T193" s="141">
        <v>0</v>
      </c>
    </row>
    <row r="194" spans="1:20">
      <c r="A194" s="136" t="s">
        <v>1664</v>
      </c>
      <c r="B194" s="136" t="s">
        <v>869</v>
      </c>
      <c r="C194" s="136" t="s">
        <v>465</v>
      </c>
      <c r="D194" s="136" t="s">
        <v>1665</v>
      </c>
      <c r="E194" s="137" t="s">
        <v>895</v>
      </c>
      <c r="F194" s="145" t="str">
        <f>VLOOKUP(C194,'[3]entities zones'!$C:$D,2,FALSE)</f>
        <v>EURZONNOR</v>
      </c>
      <c r="G194" s="136" t="s">
        <v>1665</v>
      </c>
      <c r="H194" s="139" t="s">
        <v>872</v>
      </c>
      <c r="I194" s="139" t="s">
        <v>873</v>
      </c>
      <c r="J194" s="139" t="s">
        <v>874</v>
      </c>
      <c r="K194" s="136" t="s">
        <v>1620</v>
      </c>
      <c r="L194" s="140">
        <v>1</v>
      </c>
      <c r="M194" s="140">
        <v>40</v>
      </c>
      <c r="N194" s="140">
        <v>4</v>
      </c>
      <c r="O194" s="139">
        <v>0</v>
      </c>
      <c r="P194" s="139" t="b">
        <v>0</v>
      </c>
      <c r="Q194" s="139" t="b">
        <v>1</v>
      </c>
      <c r="R194" s="136" t="s">
        <v>1600</v>
      </c>
      <c r="S194" s="136" t="s">
        <v>1666</v>
      </c>
      <c r="T194" s="141">
        <v>0</v>
      </c>
    </row>
    <row r="195" spans="1:20">
      <c r="A195" s="142" t="s">
        <v>1667</v>
      </c>
      <c r="B195" s="143" t="s">
        <v>869</v>
      </c>
      <c r="C195" s="143" t="s">
        <v>1668</v>
      </c>
      <c r="D195" s="143" t="s">
        <v>1669</v>
      </c>
      <c r="E195" s="144"/>
      <c r="F195" s="145" t="e">
        <f>VLOOKUP(C195,'[3]entities zones'!$C:$D,2,FALSE)</f>
        <v>#N/A</v>
      </c>
      <c r="G195" s="143" t="s">
        <v>1670</v>
      </c>
      <c r="H195" s="146" t="s">
        <v>872</v>
      </c>
      <c r="I195" s="146" t="s">
        <v>873</v>
      </c>
      <c r="J195" s="146" t="s">
        <v>874</v>
      </c>
      <c r="K195" s="143" t="s">
        <v>1620</v>
      </c>
      <c r="L195" s="147">
        <v>1</v>
      </c>
      <c r="M195" s="147">
        <v>100</v>
      </c>
      <c r="N195" s="147">
        <v>4</v>
      </c>
      <c r="O195" s="146">
        <v>2</v>
      </c>
      <c r="P195" s="146" t="b">
        <v>1</v>
      </c>
      <c r="Q195" s="146" t="b">
        <v>1</v>
      </c>
      <c r="R195" s="143" t="s">
        <v>1295</v>
      </c>
      <c r="S195" s="143" t="s">
        <v>1671</v>
      </c>
      <c r="T195" s="148">
        <v>2</v>
      </c>
    </row>
    <row r="196" spans="1:20">
      <c r="A196" s="136" t="s">
        <v>1672</v>
      </c>
      <c r="B196" s="136" t="s">
        <v>869</v>
      </c>
      <c r="C196" s="136" t="s">
        <v>1673</v>
      </c>
      <c r="D196" s="136" t="s">
        <v>1674</v>
      </c>
      <c r="E196" s="137"/>
      <c r="F196" s="145" t="e">
        <f>VLOOKUP(C196,'[3]entities zones'!$C:$D,2,FALSE)</f>
        <v>#N/A</v>
      </c>
      <c r="G196" s="136" t="s">
        <v>1675</v>
      </c>
      <c r="H196" s="139" t="s">
        <v>872</v>
      </c>
      <c r="I196" s="139" t="s">
        <v>873</v>
      </c>
      <c r="J196" s="139" t="s">
        <v>874</v>
      </c>
      <c r="K196" s="136" t="s">
        <v>1668</v>
      </c>
      <c r="L196" s="140">
        <v>1</v>
      </c>
      <c r="M196" s="140">
        <v>1</v>
      </c>
      <c r="N196" s="140">
        <v>5</v>
      </c>
      <c r="O196" s="139">
        <v>0</v>
      </c>
      <c r="P196" s="139" t="b">
        <v>0</v>
      </c>
      <c r="Q196" s="139" t="b">
        <v>1</v>
      </c>
      <c r="R196" s="136" t="s">
        <v>1676</v>
      </c>
      <c r="S196" s="136" t="s">
        <v>1677</v>
      </c>
      <c r="T196" s="141">
        <v>0</v>
      </c>
    </row>
    <row r="197" spans="1:20">
      <c r="A197" s="136" t="s">
        <v>1678</v>
      </c>
      <c r="B197" s="136" t="s">
        <v>869</v>
      </c>
      <c r="C197" s="136" t="s">
        <v>1679</v>
      </c>
      <c r="D197" s="136" t="s">
        <v>1680</v>
      </c>
      <c r="E197" s="137"/>
      <c r="F197" s="145" t="e">
        <f>VLOOKUP(C197,'[3]entities zones'!$C:$D,2,FALSE)</f>
        <v>#N/A</v>
      </c>
      <c r="G197" s="136" t="s">
        <v>1681</v>
      </c>
      <c r="H197" s="139" t="s">
        <v>872</v>
      </c>
      <c r="I197" s="139" t="s">
        <v>873</v>
      </c>
      <c r="J197" s="139" t="s">
        <v>874</v>
      </c>
      <c r="K197" s="136" t="s">
        <v>1668</v>
      </c>
      <c r="L197" s="140">
        <v>1</v>
      </c>
      <c r="M197" s="140">
        <v>1</v>
      </c>
      <c r="N197" s="140">
        <v>5</v>
      </c>
      <c r="O197" s="139">
        <v>0</v>
      </c>
      <c r="P197" s="139" t="b">
        <v>0</v>
      </c>
      <c r="Q197" s="139" t="b">
        <v>1</v>
      </c>
      <c r="R197" s="136" t="s">
        <v>1295</v>
      </c>
      <c r="S197" s="136" t="s">
        <v>1682</v>
      </c>
      <c r="T197" s="141">
        <v>0</v>
      </c>
    </row>
    <row r="198" spans="1:20">
      <c r="A198" s="142" t="s">
        <v>1683</v>
      </c>
      <c r="B198" s="143" t="s">
        <v>869</v>
      </c>
      <c r="C198" s="143" t="s">
        <v>1684</v>
      </c>
      <c r="D198" s="143" t="s">
        <v>1685</v>
      </c>
      <c r="E198" s="144"/>
      <c r="F198" s="145" t="e">
        <f>VLOOKUP(C198,'[3]entities zones'!$C:$D,2,FALSE)</f>
        <v>#N/A</v>
      </c>
      <c r="G198" s="143" t="s">
        <v>1685</v>
      </c>
      <c r="H198" s="146" t="s">
        <v>872</v>
      </c>
      <c r="I198" s="146" t="s">
        <v>873</v>
      </c>
      <c r="J198" s="146" t="s">
        <v>874</v>
      </c>
      <c r="K198" s="143" t="s">
        <v>512</v>
      </c>
      <c r="L198" s="147">
        <v>1</v>
      </c>
      <c r="M198" s="147">
        <v>440</v>
      </c>
      <c r="N198" s="147">
        <v>3</v>
      </c>
      <c r="O198" s="146">
        <v>3</v>
      </c>
      <c r="P198" s="146" t="b">
        <v>1</v>
      </c>
      <c r="Q198" s="146" t="b">
        <v>1</v>
      </c>
      <c r="R198" s="143" t="s">
        <v>1686</v>
      </c>
      <c r="S198" s="143" t="s">
        <v>1687</v>
      </c>
      <c r="T198" s="148">
        <v>5</v>
      </c>
    </row>
    <row r="199" spans="1:20">
      <c r="A199" s="136" t="s">
        <v>1688</v>
      </c>
      <c r="B199" s="136" t="s">
        <v>869</v>
      </c>
      <c r="C199" s="136" t="s">
        <v>1689</v>
      </c>
      <c r="D199" s="136" t="s">
        <v>1690</v>
      </c>
      <c r="E199" s="137"/>
      <c r="F199" s="145" t="e">
        <f>VLOOKUP(C199,'[3]entities zones'!$C:$D,2,FALSE)</f>
        <v>#N/A</v>
      </c>
      <c r="G199" s="136" t="s">
        <v>1690</v>
      </c>
      <c r="H199" s="139" t="s">
        <v>872</v>
      </c>
      <c r="I199" s="139" t="s">
        <v>873</v>
      </c>
      <c r="J199" s="139" t="s">
        <v>874</v>
      </c>
      <c r="K199" s="136" t="s">
        <v>1684</v>
      </c>
      <c r="L199" s="140">
        <v>1</v>
      </c>
      <c r="M199" s="140">
        <v>10</v>
      </c>
      <c r="N199" s="140">
        <v>4</v>
      </c>
      <c r="O199" s="139">
        <v>0</v>
      </c>
      <c r="P199" s="139" t="b">
        <v>0</v>
      </c>
      <c r="Q199" s="139" t="b">
        <v>1</v>
      </c>
      <c r="R199" s="136" t="s">
        <v>1691</v>
      </c>
      <c r="S199" s="136" t="s">
        <v>1692</v>
      </c>
      <c r="T199" s="141">
        <v>0</v>
      </c>
    </row>
    <row r="200" spans="1:20">
      <c r="A200" s="136" t="s">
        <v>1693</v>
      </c>
      <c r="B200" s="136" t="s">
        <v>869</v>
      </c>
      <c r="C200" s="136" t="s">
        <v>1694</v>
      </c>
      <c r="D200" s="136" t="s">
        <v>1695</v>
      </c>
      <c r="E200" s="137"/>
      <c r="F200" s="145" t="str">
        <f>VLOOKUP(C200,'[3]entities zones'!$C:$D,2,FALSE)</f>
        <v>EURZONCEN</v>
      </c>
      <c r="G200" s="136" t="s">
        <v>1695</v>
      </c>
      <c r="H200" s="139" t="s">
        <v>872</v>
      </c>
      <c r="I200" s="139" t="s">
        <v>873</v>
      </c>
      <c r="J200" s="139" t="s">
        <v>874</v>
      </c>
      <c r="K200" s="136" t="s">
        <v>1684</v>
      </c>
      <c r="L200" s="140">
        <v>1</v>
      </c>
      <c r="M200" s="140">
        <v>20</v>
      </c>
      <c r="N200" s="140">
        <v>4</v>
      </c>
      <c r="O200" s="139">
        <v>0</v>
      </c>
      <c r="P200" s="139" t="b">
        <v>0</v>
      </c>
      <c r="Q200" s="139" t="b">
        <v>1</v>
      </c>
      <c r="R200" s="136" t="s">
        <v>1696</v>
      </c>
      <c r="S200" s="136" t="s">
        <v>1697</v>
      </c>
      <c r="T200" s="141">
        <v>0</v>
      </c>
    </row>
    <row r="201" spans="1:20">
      <c r="A201" s="142" t="s">
        <v>1698</v>
      </c>
      <c r="B201" s="143" t="s">
        <v>869</v>
      </c>
      <c r="C201" s="143" t="s">
        <v>1699</v>
      </c>
      <c r="D201" s="143" t="s">
        <v>1700</v>
      </c>
      <c r="E201" s="144"/>
      <c r="F201" s="145" t="e">
        <f>VLOOKUP(C201,'[3]entities zones'!$C:$D,2,FALSE)</f>
        <v>#N/A</v>
      </c>
      <c r="G201" s="143" t="s">
        <v>1701</v>
      </c>
      <c r="H201" s="146" t="s">
        <v>872</v>
      </c>
      <c r="I201" s="146" t="s">
        <v>873</v>
      </c>
      <c r="J201" s="146" t="s">
        <v>874</v>
      </c>
      <c r="K201" s="143" t="s">
        <v>1684</v>
      </c>
      <c r="L201" s="147">
        <v>1</v>
      </c>
      <c r="M201" s="147">
        <v>30</v>
      </c>
      <c r="N201" s="147">
        <v>4</v>
      </c>
      <c r="O201" s="146">
        <v>2</v>
      </c>
      <c r="P201" s="146" t="b">
        <v>1</v>
      </c>
      <c r="Q201" s="146" t="b">
        <v>1</v>
      </c>
      <c r="R201" s="143" t="s">
        <v>1702</v>
      </c>
      <c r="S201" s="143" t="s">
        <v>1703</v>
      </c>
      <c r="T201" s="148">
        <v>2</v>
      </c>
    </row>
    <row r="202" spans="1:20">
      <c r="A202" s="136" t="s">
        <v>1704</v>
      </c>
      <c r="B202" s="136" t="s">
        <v>869</v>
      </c>
      <c r="C202" s="136" t="s">
        <v>1705</v>
      </c>
      <c r="D202" s="136" t="s">
        <v>1706</v>
      </c>
      <c r="E202" s="137"/>
      <c r="F202" s="145" t="e">
        <f>VLOOKUP(C202,'[3]entities zones'!$C:$D,2,FALSE)</f>
        <v>#N/A</v>
      </c>
      <c r="G202" s="136" t="s">
        <v>1707</v>
      </c>
      <c r="H202" s="139" t="s">
        <v>872</v>
      </c>
      <c r="I202" s="139" t="s">
        <v>873</v>
      </c>
      <c r="J202" s="139" t="s">
        <v>874</v>
      </c>
      <c r="K202" s="136" t="s">
        <v>1699</v>
      </c>
      <c r="L202" s="140">
        <v>1</v>
      </c>
      <c r="M202" s="140">
        <v>888</v>
      </c>
      <c r="N202" s="140">
        <v>5</v>
      </c>
      <c r="O202" s="139">
        <v>0</v>
      </c>
      <c r="P202" s="139" t="b">
        <v>0</v>
      </c>
      <c r="Q202" s="139" t="b">
        <v>1</v>
      </c>
      <c r="R202" s="136" t="s">
        <v>1702</v>
      </c>
      <c r="S202" s="136" t="s">
        <v>1702</v>
      </c>
      <c r="T202" s="141">
        <v>0</v>
      </c>
    </row>
    <row r="203" spans="1:20">
      <c r="A203" s="136" t="s">
        <v>1708</v>
      </c>
      <c r="B203" s="136" t="s">
        <v>869</v>
      </c>
      <c r="C203" s="136" t="s">
        <v>1709</v>
      </c>
      <c r="D203" s="136" t="s">
        <v>1710</v>
      </c>
      <c r="E203" s="137"/>
      <c r="F203" s="145" t="e">
        <f>VLOOKUP(C203,'[3]entities zones'!$C:$D,2,FALSE)</f>
        <v>#N/A</v>
      </c>
      <c r="G203" s="136" t="s">
        <v>1711</v>
      </c>
      <c r="H203" s="139" t="s">
        <v>872</v>
      </c>
      <c r="I203" s="139" t="s">
        <v>873</v>
      </c>
      <c r="J203" s="139" t="s">
        <v>874</v>
      </c>
      <c r="K203" s="136" t="s">
        <v>1699</v>
      </c>
      <c r="L203" s="140">
        <v>1</v>
      </c>
      <c r="M203" s="140">
        <v>999</v>
      </c>
      <c r="N203" s="140">
        <v>5</v>
      </c>
      <c r="O203" s="139">
        <v>0</v>
      </c>
      <c r="P203" s="139" t="b">
        <v>0</v>
      </c>
      <c r="Q203" s="139" t="b">
        <v>1</v>
      </c>
      <c r="R203" s="136" t="s">
        <v>1702</v>
      </c>
      <c r="S203" s="136" t="s">
        <v>1712</v>
      </c>
      <c r="T203" s="141">
        <v>0</v>
      </c>
    </row>
    <row r="204" spans="1:20">
      <c r="A204" s="136" t="s">
        <v>1713</v>
      </c>
      <c r="B204" s="136" t="s">
        <v>869</v>
      </c>
      <c r="C204" s="136" t="s">
        <v>1714</v>
      </c>
      <c r="D204" s="136" t="s">
        <v>1715</v>
      </c>
      <c r="E204" s="137"/>
      <c r="F204" s="145" t="e">
        <f>VLOOKUP(C204,'[3]entities zones'!$C:$D,2,FALSE)</f>
        <v>#N/A</v>
      </c>
      <c r="G204" s="136" t="s">
        <v>1715</v>
      </c>
      <c r="H204" s="139" t="s">
        <v>872</v>
      </c>
      <c r="I204" s="139" t="s">
        <v>873</v>
      </c>
      <c r="J204" s="139" t="s">
        <v>874</v>
      </c>
      <c r="K204" s="136" t="s">
        <v>512</v>
      </c>
      <c r="L204" s="140">
        <v>1</v>
      </c>
      <c r="M204" s="140">
        <v>450</v>
      </c>
      <c r="N204" s="140">
        <v>3</v>
      </c>
      <c r="O204" s="139">
        <v>0</v>
      </c>
      <c r="P204" s="139" t="b">
        <v>0</v>
      </c>
      <c r="Q204" s="139" t="b">
        <v>1</v>
      </c>
      <c r="R204" s="136" t="s">
        <v>1716</v>
      </c>
      <c r="S204" s="136" t="s">
        <v>1717</v>
      </c>
      <c r="T204" s="141">
        <v>0</v>
      </c>
    </row>
    <row r="205" spans="1:20">
      <c r="A205" s="143" t="s">
        <v>1718</v>
      </c>
      <c r="B205" s="143" t="s">
        <v>869</v>
      </c>
      <c r="C205" s="143" t="s">
        <v>1719</v>
      </c>
      <c r="D205" s="143" t="s">
        <v>1720</v>
      </c>
      <c r="E205" s="144"/>
      <c r="F205" s="145" t="e">
        <f>VLOOKUP(C205,'[3]entities zones'!$C:$D,2,FALSE)</f>
        <v>#N/A</v>
      </c>
      <c r="G205" s="143" t="s">
        <v>1720</v>
      </c>
      <c r="H205" s="146" t="s">
        <v>872</v>
      </c>
      <c r="I205" s="146" t="s">
        <v>873</v>
      </c>
      <c r="J205" s="146" t="s">
        <v>874</v>
      </c>
      <c r="K205" s="143" t="s">
        <v>512</v>
      </c>
      <c r="L205" s="147">
        <v>1</v>
      </c>
      <c r="M205" s="147">
        <v>459</v>
      </c>
      <c r="N205" s="147">
        <v>3</v>
      </c>
      <c r="O205" s="146">
        <v>7</v>
      </c>
      <c r="P205" s="146" t="b">
        <v>0</v>
      </c>
      <c r="Q205" s="146" t="b">
        <v>1</v>
      </c>
      <c r="R205" s="143" t="s">
        <v>1721</v>
      </c>
      <c r="S205" s="143" t="s">
        <v>1722</v>
      </c>
      <c r="T205" s="148">
        <v>15</v>
      </c>
    </row>
    <row r="206" spans="1:20">
      <c r="A206" s="142" t="s">
        <v>1723</v>
      </c>
      <c r="B206" s="143" t="s">
        <v>869</v>
      </c>
      <c r="C206" s="143" t="s">
        <v>1724</v>
      </c>
      <c r="D206" s="143" t="s">
        <v>1725</v>
      </c>
      <c r="E206" s="144"/>
      <c r="F206" s="145" t="e">
        <f>VLOOKUP(C206,'[3]entities zones'!$C:$D,2,FALSE)</f>
        <v>#N/A</v>
      </c>
      <c r="G206" s="143" t="s">
        <v>1726</v>
      </c>
      <c r="H206" s="146" t="s">
        <v>872</v>
      </c>
      <c r="I206" s="146" t="s">
        <v>873</v>
      </c>
      <c r="J206" s="146" t="s">
        <v>874</v>
      </c>
      <c r="K206" s="143" t="s">
        <v>1719</v>
      </c>
      <c r="L206" s="147">
        <v>1</v>
      </c>
      <c r="M206" s="147">
        <v>1</v>
      </c>
      <c r="N206" s="147">
        <v>4</v>
      </c>
      <c r="O206" s="146">
        <v>6</v>
      </c>
      <c r="P206" s="146" t="b">
        <v>1</v>
      </c>
      <c r="Q206" s="146" t="b">
        <v>1</v>
      </c>
      <c r="R206" s="143" t="s">
        <v>1727</v>
      </c>
      <c r="S206" s="143" t="s">
        <v>1728</v>
      </c>
      <c r="T206" s="148">
        <v>6</v>
      </c>
    </row>
    <row r="207" spans="1:20">
      <c r="A207" s="136" t="s">
        <v>1729</v>
      </c>
      <c r="B207" s="136" t="s">
        <v>869</v>
      </c>
      <c r="C207" s="136" t="s">
        <v>1730</v>
      </c>
      <c r="D207" s="136" t="s">
        <v>1731</v>
      </c>
      <c r="E207" s="137"/>
      <c r="F207" s="145" t="e">
        <f>VLOOKUP(C207,'[3]entities zones'!$C:$D,2,FALSE)</f>
        <v>#N/A</v>
      </c>
      <c r="G207" s="136" t="s">
        <v>1731</v>
      </c>
      <c r="H207" s="139" t="s">
        <v>872</v>
      </c>
      <c r="I207" s="139" t="s">
        <v>873</v>
      </c>
      <c r="J207" s="139" t="s">
        <v>874</v>
      </c>
      <c r="K207" s="136" t="s">
        <v>1724</v>
      </c>
      <c r="L207" s="140">
        <v>1</v>
      </c>
      <c r="M207" s="140">
        <v>1</v>
      </c>
      <c r="N207" s="140">
        <v>5</v>
      </c>
      <c r="O207" s="139">
        <v>0</v>
      </c>
      <c r="P207" s="139" t="b">
        <v>0</v>
      </c>
      <c r="Q207" s="139" t="b">
        <v>1</v>
      </c>
      <c r="R207" s="136" t="s">
        <v>1732</v>
      </c>
      <c r="S207" s="136" t="s">
        <v>1733</v>
      </c>
      <c r="T207" s="141">
        <v>0</v>
      </c>
    </row>
    <row r="208" spans="1:20">
      <c r="A208" s="136" t="s">
        <v>1734</v>
      </c>
      <c r="B208" s="136" t="s">
        <v>869</v>
      </c>
      <c r="C208" s="136" t="s">
        <v>1735</v>
      </c>
      <c r="D208" s="136" t="s">
        <v>1736</v>
      </c>
      <c r="E208" s="137"/>
      <c r="F208" s="145" t="str">
        <f>VLOOKUP(C208,'[3]entities zones'!$C:$D,2,FALSE)</f>
        <v>EURZONNOR</v>
      </c>
      <c r="G208" s="136" t="s">
        <v>1736</v>
      </c>
      <c r="H208" s="139" t="s">
        <v>872</v>
      </c>
      <c r="I208" s="139" t="s">
        <v>873</v>
      </c>
      <c r="J208" s="139" t="s">
        <v>874</v>
      </c>
      <c r="K208" s="136" t="s">
        <v>1724</v>
      </c>
      <c r="L208" s="140">
        <v>1</v>
      </c>
      <c r="M208" s="140">
        <v>2</v>
      </c>
      <c r="N208" s="140">
        <v>5</v>
      </c>
      <c r="O208" s="139">
        <v>0</v>
      </c>
      <c r="P208" s="139" t="b">
        <v>0</v>
      </c>
      <c r="Q208" s="139" t="b">
        <v>1</v>
      </c>
      <c r="R208" s="136" t="s">
        <v>1737</v>
      </c>
      <c r="S208" s="136" t="s">
        <v>1738</v>
      </c>
      <c r="T208" s="141">
        <v>0</v>
      </c>
    </row>
    <row r="209" spans="1:20">
      <c r="A209" s="136" t="s">
        <v>1739</v>
      </c>
      <c r="B209" s="136" t="s">
        <v>869</v>
      </c>
      <c r="C209" s="136" t="s">
        <v>1740</v>
      </c>
      <c r="D209" s="136" t="s">
        <v>1741</v>
      </c>
      <c r="E209" s="137"/>
      <c r="F209" s="145" t="str">
        <f>VLOOKUP(C209,'[3]entities zones'!$C:$D,2,FALSE)</f>
        <v>EURZONNOR</v>
      </c>
      <c r="G209" s="136" t="s">
        <v>1741</v>
      </c>
      <c r="H209" s="139" t="s">
        <v>872</v>
      </c>
      <c r="I209" s="139" t="s">
        <v>873</v>
      </c>
      <c r="J209" s="139" t="s">
        <v>874</v>
      </c>
      <c r="K209" s="136" t="s">
        <v>1724</v>
      </c>
      <c r="L209" s="140">
        <v>1</v>
      </c>
      <c r="M209" s="140">
        <v>3</v>
      </c>
      <c r="N209" s="140">
        <v>5</v>
      </c>
      <c r="O209" s="139">
        <v>0</v>
      </c>
      <c r="P209" s="139" t="b">
        <v>0</v>
      </c>
      <c r="Q209" s="139" t="b">
        <v>1</v>
      </c>
      <c r="R209" s="136" t="s">
        <v>1742</v>
      </c>
      <c r="S209" s="136" t="s">
        <v>1743</v>
      </c>
      <c r="T209" s="141">
        <v>0</v>
      </c>
    </row>
    <row r="210" spans="1:20">
      <c r="A210" s="136" t="s">
        <v>1744</v>
      </c>
      <c r="B210" s="136" t="s">
        <v>869</v>
      </c>
      <c r="C210" s="136" t="s">
        <v>1745</v>
      </c>
      <c r="D210" s="136" t="s">
        <v>1746</v>
      </c>
      <c r="E210" s="137"/>
      <c r="F210" s="145" t="str">
        <f>VLOOKUP(C210,'[3]entities zones'!$C:$D,2,FALSE)</f>
        <v>EURZONCEN</v>
      </c>
      <c r="G210" s="136" t="s">
        <v>1746</v>
      </c>
      <c r="H210" s="139" t="s">
        <v>872</v>
      </c>
      <c r="I210" s="139" t="s">
        <v>873</v>
      </c>
      <c r="J210" s="139" t="s">
        <v>874</v>
      </c>
      <c r="K210" s="136" t="s">
        <v>1724</v>
      </c>
      <c r="L210" s="140">
        <v>1</v>
      </c>
      <c r="M210" s="140">
        <v>4</v>
      </c>
      <c r="N210" s="140">
        <v>5</v>
      </c>
      <c r="O210" s="139">
        <v>0</v>
      </c>
      <c r="P210" s="139" t="b">
        <v>0</v>
      </c>
      <c r="Q210" s="139" t="b">
        <v>1</v>
      </c>
      <c r="R210" s="136" t="s">
        <v>1747</v>
      </c>
      <c r="S210" s="136" t="s">
        <v>1748</v>
      </c>
      <c r="T210" s="141">
        <v>0</v>
      </c>
    </row>
    <row r="211" spans="1:20">
      <c r="A211" s="136" t="s">
        <v>1749</v>
      </c>
      <c r="B211" s="136" t="s">
        <v>869</v>
      </c>
      <c r="C211" s="136" t="s">
        <v>1750</v>
      </c>
      <c r="D211" s="136" t="s">
        <v>1751</v>
      </c>
      <c r="E211" s="137"/>
      <c r="F211" s="145" t="str">
        <f>VLOOKUP(C211,'[3]entities zones'!$C:$D,2,FALSE)</f>
        <v>EURZONNOR</v>
      </c>
      <c r="G211" s="136" t="s">
        <v>1751</v>
      </c>
      <c r="H211" s="139" t="s">
        <v>872</v>
      </c>
      <c r="I211" s="139" t="s">
        <v>873</v>
      </c>
      <c r="J211" s="139" t="s">
        <v>874</v>
      </c>
      <c r="K211" s="136" t="s">
        <v>1724</v>
      </c>
      <c r="L211" s="140">
        <v>1</v>
      </c>
      <c r="M211" s="140">
        <v>5</v>
      </c>
      <c r="N211" s="140">
        <v>5</v>
      </c>
      <c r="O211" s="139">
        <v>0</v>
      </c>
      <c r="P211" s="139" t="b">
        <v>0</v>
      </c>
      <c r="Q211" s="139" t="b">
        <v>1</v>
      </c>
      <c r="R211" s="136" t="s">
        <v>1752</v>
      </c>
      <c r="S211" s="136" t="s">
        <v>1753</v>
      </c>
      <c r="T211" s="141">
        <v>0</v>
      </c>
    </row>
    <row r="212" spans="1:20">
      <c r="A212" s="136" t="s">
        <v>1754</v>
      </c>
      <c r="B212" s="136" t="s">
        <v>869</v>
      </c>
      <c r="C212" s="136" t="s">
        <v>1755</v>
      </c>
      <c r="D212" s="136" t="s">
        <v>1756</v>
      </c>
      <c r="E212" s="137"/>
      <c r="F212" s="145" t="str">
        <f>VLOOKUP(C212,'[3]entities zones'!$C:$D,2,FALSE)</f>
        <v>EURZONCEN</v>
      </c>
      <c r="G212" s="136" t="s">
        <v>1756</v>
      </c>
      <c r="H212" s="139" t="s">
        <v>872</v>
      </c>
      <c r="I212" s="139" t="s">
        <v>873</v>
      </c>
      <c r="J212" s="139" t="s">
        <v>874</v>
      </c>
      <c r="K212" s="136" t="s">
        <v>1724</v>
      </c>
      <c r="L212" s="140">
        <v>1</v>
      </c>
      <c r="M212" s="140">
        <v>6</v>
      </c>
      <c r="N212" s="140">
        <v>5</v>
      </c>
      <c r="O212" s="139">
        <v>0</v>
      </c>
      <c r="P212" s="139" t="b">
        <v>0</v>
      </c>
      <c r="Q212" s="139" t="b">
        <v>1</v>
      </c>
      <c r="R212" s="136" t="s">
        <v>1757</v>
      </c>
      <c r="S212" s="136" t="s">
        <v>1758</v>
      </c>
      <c r="T212" s="141">
        <v>0</v>
      </c>
    </row>
    <row r="213" spans="1:20">
      <c r="A213" s="136" t="s">
        <v>1759</v>
      </c>
      <c r="B213" s="136" t="s">
        <v>869</v>
      </c>
      <c r="C213" s="136" t="s">
        <v>471</v>
      </c>
      <c r="D213" s="136" t="s">
        <v>1760</v>
      </c>
      <c r="E213" s="137" t="s">
        <v>895</v>
      </c>
      <c r="F213" s="145" t="str">
        <f>VLOOKUP(C213,'[3]entities zones'!$C:$D,2,FALSE)</f>
        <v>EURZONNOR</v>
      </c>
      <c r="G213" s="136" t="s">
        <v>1760</v>
      </c>
      <c r="H213" s="139" t="s">
        <v>872</v>
      </c>
      <c r="I213" s="139" t="s">
        <v>873</v>
      </c>
      <c r="J213" s="139" t="s">
        <v>874</v>
      </c>
      <c r="K213" s="136" t="s">
        <v>1719</v>
      </c>
      <c r="L213" s="140">
        <v>1</v>
      </c>
      <c r="M213" s="140">
        <v>2</v>
      </c>
      <c r="N213" s="140">
        <v>4</v>
      </c>
      <c r="O213" s="139">
        <v>0</v>
      </c>
      <c r="P213" s="139" t="b">
        <v>0</v>
      </c>
      <c r="Q213" s="139" t="b">
        <v>1</v>
      </c>
      <c r="R213" s="136" t="s">
        <v>891</v>
      </c>
      <c r="S213" s="136" t="s">
        <v>1761</v>
      </c>
      <c r="T213" s="141">
        <v>0</v>
      </c>
    </row>
    <row r="214" spans="1:20">
      <c r="A214" s="136" t="s">
        <v>1762</v>
      </c>
      <c r="B214" s="136" t="s">
        <v>869</v>
      </c>
      <c r="C214" s="136" t="s">
        <v>468</v>
      </c>
      <c r="D214" s="136" t="s">
        <v>1763</v>
      </c>
      <c r="E214" s="137" t="s">
        <v>895</v>
      </c>
      <c r="F214" s="145" t="str">
        <f>VLOOKUP(C214,'[3]entities zones'!$C:$D,2,FALSE)</f>
        <v>EURZONNOR</v>
      </c>
      <c r="G214" s="136" t="s">
        <v>1763</v>
      </c>
      <c r="H214" s="139" t="s">
        <v>872</v>
      </c>
      <c r="I214" s="139" t="s">
        <v>873</v>
      </c>
      <c r="J214" s="139" t="s">
        <v>874</v>
      </c>
      <c r="K214" s="136" t="s">
        <v>1719</v>
      </c>
      <c r="L214" s="140">
        <v>1</v>
      </c>
      <c r="M214" s="140">
        <v>3</v>
      </c>
      <c r="N214" s="140">
        <v>4</v>
      </c>
      <c r="O214" s="139">
        <v>0</v>
      </c>
      <c r="P214" s="139" t="b">
        <v>0</v>
      </c>
      <c r="Q214" s="139" t="b">
        <v>1</v>
      </c>
      <c r="R214" s="136" t="s">
        <v>1608</v>
      </c>
      <c r="S214" s="136" t="s">
        <v>1764</v>
      </c>
      <c r="T214" s="141">
        <v>0</v>
      </c>
    </row>
    <row r="215" spans="1:20">
      <c r="A215" s="136" t="s">
        <v>1765</v>
      </c>
      <c r="B215" s="136" t="s">
        <v>869</v>
      </c>
      <c r="C215" s="136" t="s">
        <v>826</v>
      </c>
      <c r="D215" s="136" t="s">
        <v>1766</v>
      </c>
      <c r="E215" s="137" t="s">
        <v>895</v>
      </c>
      <c r="F215" s="145" t="str">
        <f>VLOOKUP(C215,'[3]entities zones'!$C:$D,2,FALSE)</f>
        <v>EURZONNOR</v>
      </c>
      <c r="G215" s="136" t="s">
        <v>1766</v>
      </c>
      <c r="H215" s="139" t="s">
        <v>872</v>
      </c>
      <c r="I215" s="139" t="s">
        <v>873</v>
      </c>
      <c r="J215" s="139" t="s">
        <v>874</v>
      </c>
      <c r="K215" s="136" t="s">
        <v>1719</v>
      </c>
      <c r="L215" s="140">
        <v>1</v>
      </c>
      <c r="M215" s="140">
        <v>4</v>
      </c>
      <c r="N215" s="140">
        <v>4</v>
      </c>
      <c r="O215" s="139">
        <v>0</v>
      </c>
      <c r="P215" s="139" t="b">
        <v>0</v>
      </c>
      <c r="Q215" s="139" t="b">
        <v>1</v>
      </c>
      <c r="R215" s="136" t="s">
        <v>1608</v>
      </c>
      <c r="S215" s="136" t="s">
        <v>1767</v>
      </c>
      <c r="T215" s="141">
        <v>0</v>
      </c>
    </row>
    <row r="216" spans="1:20">
      <c r="A216" s="136" t="s">
        <v>1768</v>
      </c>
      <c r="B216" s="136" t="s">
        <v>869</v>
      </c>
      <c r="C216" s="136" t="s">
        <v>474</v>
      </c>
      <c r="D216" s="136" t="s">
        <v>1769</v>
      </c>
      <c r="E216" s="137" t="s">
        <v>895</v>
      </c>
      <c r="F216" s="145" t="str">
        <f>VLOOKUP(C216,'[3]entities zones'!$C:$D,2,FALSE)</f>
        <v>EURZONCEN</v>
      </c>
      <c r="G216" s="136" t="s">
        <v>1769</v>
      </c>
      <c r="H216" s="139" t="s">
        <v>872</v>
      </c>
      <c r="I216" s="139" t="s">
        <v>873</v>
      </c>
      <c r="J216" s="139" t="s">
        <v>874</v>
      </c>
      <c r="K216" s="136" t="s">
        <v>1719</v>
      </c>
      <c r="L216" s="140">
        <v>1</v>
      </c>
      <c r="M216" s="140">
        <v>5</v>
      </c>
      <c r="N216" s="140">
        <v>4</v>
      </c>
      <c r="O216" s="139">
        <v>0</v>
      </c>
      <c r="P216" s="139" t="b">
        <v>0</v>
      </c>
      <c r="Q216" s="139" t="b">
        <v>1</v>
      </c>
      <c r="R216" s="136" t="s">
        <v>1770</v>
      </c>
      <c r="S216" s="136" t="s">
        <v>1771</v>
      </c>
      <c r="T216" s="141">
        <v>0</v>
      </c>
    </row>
    <row r="217" spans="1:20">
      <c r="A217" s="136" t="s">
        <v>1772</v>
      </c>
      <c r="B217" s="136" t="s">
        <v>869</v>
      </c>
      <c r="C217" s="136" t="s">
        <v>481</v>
      </c>
      <c r="D217" s="136" t="s">
        <v>1773</v>
      </c>
      <c r="E217" s="137" t="s">
        <v>895</v>
      </c>
      <c r="F217" s="145" t="str">
        <f>VLOOKUP(C217,'[3]entities zones'!$C:$D,2,FALSE)</f>
        <v>EURZONCEN</v>
      </c>
      <c r="G217" s="136" t="s">
        <v>1773</v>
      </c>
      <c r="H217" s="139" t="s">
        <v>872</v>
      </c>
      <c r="I217" s="139" t="s">
        <v>873</v>
      </c>
      <c r="J217" s="139" t="s">
        <v>874</v>
      </c>
      <c r="K217" s="136" t="s">
        <v>1719</v>
      </c>
      <c r="L217" s="140">
        <v>1</v>
      </c>
      <c r="M217" s="140">
        <v>6</v>
      </c>
      <c r="N217" s="140">
        <v>4</v>
      </c>
      <c r="O217" s="139">
        <v>0</v>
      </c>
      <c r="P217" s="139" t="b">
        <v>0</v>
      </c>
      <c r="Q217" s="139" t="b">
        <v>1</v>
      </c>
      <c r="R217" s="136" t="s">
        <v>1774</v>
      </c>
      <c r="S217" s="136" t="s">
        <v>1775</v>
      </c>
      <c r="T217" s="141">
        <v>0</v>
      </c>
    </row>
    <row r="218" spans="1:20">
      <c r="A218" s="142" t="s">
        <v>1776</v>
      </c>
      <c r="B218" s="143" t="s">
        <v>869</v>
      </c>
      <c r="C218" s="143" t="s">
        <v>1777</v>
      </c>
      <c r="D218" s="143" t="s">
        <v>1778</v>
      </c>
      <c r="E218" s="144"/>
      <c r="F218" s="145" t="e">
        <f>VLOOKUP(C218,'[3]entities zones'!$C:$D,2,FALSE)</f>
        <v>#N/A</v>
      </c>
      <c r="G218" s="143" t="s">
        <v>1779</v>
      </c>
      <c r="H218" s="146" t="s">
        <v>872</v>
      </c>
      <c r="I218" s="146" t="s">
        <v>873</v>
      </c>
      <c r="J218" s="146" t="s">
        <v>874</v>
      </c>
      <c r="K218" s="143" t="s">
        <v>1719</v>
      </c>
      <c r="L218" s="147">
        <v>1</v>
      </c>
      <c r="M218" s="147">
        <v>888</v>
      </c>
      <c r="N218" s="147">
        <v>4</v>
      </c>
      <c r="O218" s="146">
        <v>2</v>
      </c>
      <c r="P218" s="146" t="b">
        <v>1</v>
      </c>
      <c r="Q218" s="146" t="b">
        <v>1</v>
      </c>
      <c r="R218" s="143" t="s">
        <v>1780</v>
      </c>
      <c r="S218" s="143" t="s">
        <v>1781</v>
      </c>
      <c r="T218" s="148">
        <v>2</v>
      </c>
    </row>
    <row r="219" spans="1:20">
      <c r="A219" s="136" t="s">
        <v>1782</v>
      </c>
      <c r="B219" s="136" t="s">
        <v>869</v>
      </c>
      <c r="C219" s="136" t="s">
        <v>1783</v>
      </c>
      <c r="D219" s="136" t="s">
        <v>1784</v>
      </c>
      <c r="E219" s="137"/>
      <c r="F219" s="145" t="e">
        <f>VLOOKUP(C219,'[3]entities zones'!$C:$D,2,FALSE)</f>
        <v>#N/A</v>
      </c>
      <c r="G219" s="136" t="s">
        <v>1785</v>
      </c>
      <c r="H219" s="139" t="s">
        <v>872</v>
      </c>
      <c r="I219" s="139" t="s">
        <v>873</v>
      </c>
      <c r="J219" s="139" t="s">
        <v>874</v>
      </c>
      <c r="K219" s="136" t="s">
        <v>1777</v>
      </c>
      <c r="L219" s="140">
        <v>1</v>
      </c>
      <c r="M219" s="140">
        <v>888</v>
      </c>
      <c r="N219" s="140">
        <v>5</v>
      </c>
      <c r="O219" s="139">
        <v>0</v>
      </c>
      <c r="P219" s="139" t="b">
        <v>0</v>
      </c>
      <c r="Q219" s="139" t="b">
        <v>1</v>
      </c>
      <c r="R219" s="136" t="s">
        <v>1786</v>
      </c>
      <c r="S219" s="136" t="s">
        <v>1786</v>
      </c>
      <c r="T219" s="141">
        <v>0</v>
      </c>
    </row>
    <row r="220" spans="1:20">
      <c r="A220" s="136" t="s">
        <v>1787</v>
      </c>
      <c r="B220" s="136" t="s">
        <v>869</v>
      </c>
      <c r="C220" s="136" t="s">
        <v>1788</v>
      </c>
      <c r="D220" s="136" t="s">
        <v>1789</v>
      </c>
      <c r="E220" s="137"/>
      <c r="F220" s="145" t="e">
        <f>VLOOKUP(C220,'[3]entities zones'!$C:$D,2,FALSE)</f>
        <v>#N/A</v>
      </c>
      <c r="G220" s="136" t="s">
        <v>1790</v>
      </c>
      <c r="H220" s="139" t="s">
        <v>872</v>
      </c>
      <c r="I220" s="139" t="s">
        <v>873</v>
      </c>
      <c r="J220" s="139" t="s">
        <v>874</v>
      </c>
      <c r="K220" s="136" t="s">
        <v>1777</v>
      </c>
      <c r="L220" s="140">
        <v>1</v>
      </c>
      <c r="M220" s="140">
        <v>999</v>
      </c>
      <c r="N220" s="140">
        <v>5</v>
      </c>
      <c r="O220" s="139">
        <v>0</v>
      </c>
      <c r="P220" s="139" t="b">
        <v>0</v>
      </c>
      <c r="Q220" s="139" t="b">
        <v>1</v>
      </c>
      <c r="R220" s="136" t="s">
        <v>1791</v>
      </c>
      <c r="S220" s="136" t="s">
        <v>1791</v>
      </c>
      <c r="T220" s="141">
        <v>0</v>
      </c>
    </row>
    <row r="221" spans="1:20">
      <c r="A221" s="136" t="s">
        <v>1792</v>
      </c>
      <c r="B221" s="136" t="s">
        <v>869</v>
      </c>
      <c r="C221" s="136" t="s">
        <v>1793</v>
      </c>
      <c r="D221" s="136" t="s">
        <v>1794</v>
      </c>
      <c r="E221" s="137"/>
      <c r="F221" s="145" t="str">
        <f>VLOOKUP(C221,'[3]entities zones'!$C:$D,2,FALSE)</f>
        <v>EURZONNOR</v>
      </c>
      <c r="G221" s="136" t="s">
        <v>1794</v>
      </c>
      <c r="H221" s="139" t="s">
        <v>872</v>
      </c>
      <c r="I221" s="139" t="s">
        <v>873</v>
      </c>
      <c r="J221" s="139" t="s">
        <v>874</v>
      </c>
      <c r="K221" s="136" t="s">
        <v>512</v>
      </c>
      <c r="L221" s="140">
        <v>1</v>
      </c>
      <c r="M221" s="140">
        <v>460</v>
      </c>
      <c r="N221" s="140">
        <v>3</v>
      </c>
      <c r="O221" s="139">
        <v>0</v>
      </c>
      <c r="P221" s="139" t="b">
        <v>0</v>
      </c>
      <c r="Q221" s="139" t="b">
        <v>1</v>
      </c>
      <c r="R221" s="136" t="s">
        <v>1795</v>
      </c>
      <c r="S221" s="136" t="s">
        <v>1796</v>
      </c>
      <c r="T221" s="141">
        <v>0</v>
      </c>
    </row>
    <row r="222" spans="1:20">
      <c r="A222" s="136" t="s">
        <v>1797</v>
      </c>
      <c r="B222" s="136" t="s">
        <v>869</v>
      </c>
      <c r="C222" s="136" t="s">
        <v>1798</v>
      </c>
      <c r="D222" s="136" t="s">
        <v>1799</v>
      </c>
      <c r="E222" s="137"/>
      <c r="F222" s="145" t="str">
        <f>VLOOKUP(C222,'[3]entities zones'!$C:$D,2,FALSE)</f>
        <v>EURZONNOR</v>
      </c>
      <c r="G222" s="136" t="s">
        <v>1799</v>
      </c>
      <c r="H222" s="139" t="s">
        <v>872</v>
      </c>
      <c r="I222" s="139" t="s">
        <v>873</v>
      </c>
      <c r="J222" s="139" t="s">
        <v>874</v>
      </c>
      <c r="K222" s="136" t="s">
        <v>512</v>
      </c>
      <c r="L222" s="140">
        <v>1</v>
      </c>
      <c r="M222" s="140">
        <v>470</v>
      </c>
      <c r="N222" s="140">
        <v>3</v>
      </c>
      <c r="O222" s="139">
        <v>0</v>
      </c>
      <c r="P222" s="139" t="b">
        <v>0</v>
      </c>
      <c r="Q222" s="139" t="b">
        <v>1</v>
      </c>
      <c r="R222" s="136" t="s">
        <v>1800</v>
      </c>
      <c r="S222" s="136" t="s">
        <v>1801</v>
      </c>
      <c r="T222" s="141">
        <v>0</v>
      </c>
    </row>
    <row r="223" spans="1:20">
      <c r="A223" s="136" t="s">
        <v>1802</v>
      </c>
      <c r="B223" s="136" t="s">
        <v>869</v>
      </c>
      <c r="C223" s="136" t="s">
        <v>1803</v>
      </c>
      <c r="D223" s="136" t="s">
        <v>1804</v>
      </c>
      <c r="E223" s="137"/>
      <c r="F223" s="145" t="str">
        <f>VLOOKUP(C223,'[3]entities zones'!$C:$D,2,FALSE)</f>
        <v>EURZONNOR</v>
      </c>
      <c r="G223" s="136" t="s">
        <v>1804</v>
      </c>
      <c r="H223" s="139" t="s">
        <v>872</v>
      </c>
      <c r="I223" s="139" t="s">
        <v>873</v>
      </c>
      <c r="J223" s="139" t="s">
        <v>874</v>
      </c>
      <c r="K223" s="136" t="s">
        <v>512</v>
      </c>
      <c r="L223" s="140">
        <v>1</v>
      </c>
      <c r="M223" s="140">
        <v>480</v>
      </c>
      <c r="N223" s="140">
        <v>3</v>
      </c>
      <c r="O223" s="139">
        <v>0</v>
      </c>
      <c r="P223" s="139" t="b">
        <v>0</v>
      </c>
      <c r="Q223" s="139" t="b">
        <v>1</v>
      </c>
      <c r="R223" s="136" t="s">
        <v>1805</v>
      </c>
      <c r="S223" s="136" t="s">
        <v>1806</v>
      </c>
      <c r="T223" s="141">
        <v>0</v>
      </c>
    </row>
    <row r="224" spans="1:20">
      <c r="A224" s="136" t="s">
        <v>1807</v>
      </c>
      <c r="B224" s="136" t="s">
        <v>869</v>
      </c>
      <c r="C224" s="136" t="s">
        <v>1808</v>
      </c>
      <c r="D224" s="136" t="s">
        <v>1809</v>
      </c>
      <c r="E224" s="137"/>
      <c r="F224" s="145" t="str">
        <f>VLOOKUP(C224,'[3]entities zones'!$C:$D,2,FALSE)</f>
        <v>EURZONNOR</v>
      </c>
      <c r="G224" s="136" t="s">
        <v>1809</v>
      </c>
      <c r="H224" s="139" t="s">
        <v>872</v>
      </c>
      <c r="I224" s="139" t="s">
        <v>873</v>
      </c>
      <c r="J224" s="139" t="s">
        <v>874</v>
      </c>
      <c r="K224" s="136" t="s">
        <v>512</v>
      </c>
      <c r="L224" s="140">
        <v>1</v>
      </c>
      <c r="M224" s="140">
        <v>490</v>
      </c>
      <c r="N224" s="140">
        <v>3</v>
      </c>
      <c r="O224" s="139">
        <v>0</v>
      </c>
      <c r="P224" s="139" t="b">
        <v>0</v>
      </c>
      <c r="Q224" s="139" t="b">
        <v>1</v>
      </c>
      <c r="R224" s="136" t="s">
        <v>1810</v>
      </c>
      <c r="S224" s="136" t="s">
        <v>1811</v>
      </c>
      <c r="T224" s="141">
        <v>0</v>
      </c>
    </row>
    <row r="225" spans="1:20">
      <c r="A225" s="136" t="s">
        <v>1812</v>
      </c>
      <c r="B225" s="136" t="s">
        <v>869</v>
      </c>
      <c r="C225" s="136" t="s">
        <v>1813</v>
      </c>
      <c r="D225" s="136" t="s">
        <v>1814</v>
      </c>
      <c r="E225" s="137"/>
      <c r="F225" s="145" t="str">
        <f>VLOOKUP(C225,'[3]entities zones'!$C:$D,2,FALSE)</f>
        <v>EURZONNOR</v>
      </c>
      <c r="G225" s="136" t="s">
        <v>1814</v>
      </c>
      <c r="H225" s="139" t="s">
        <v>872</v>
      </c>
      <c r="I225" s="139" t="s">
        <v>873</v>
      </c>
      <c r="J225" s="139" t="s">
        <v>874</v>
      </c>
      <c r="K225" s="136" t="s">
        <v>512</v>
      </c>
      <c r="L225" s="140">
        <v>1</v>
      </c>
      <c r="M225" s="140">
        <v>500</v>
      </c>
      <c r="N225" s="140">
        <v>3</v>
      </c>
      <c r="O225" s="139">
        <v>0</v>
      </c>
      <c r="P225" s="139" t="b">
        <v>0</v>
      </c>
      <c r="Q225" s="139" t="b">
        <v>1</v>
      </c>
      <c r="R225" s="136" t="s">
        <v>1815</v>
      </c>
      <c r="S225" s="136" t="s">
        <v>1816</v>
      </c>
      <c r="T225" s="141">
        <v>0</v>
      </c>
    </row>
    <row r="226" spans="1:20">
      <c r="A226" s="136" t="s">
        <v>1817</v>
      </c>
      <c r="B226" s="136" t="s">
        <v>869</v>
      </c>
      <c r="C226" s="136" t="s">
        <v>1818</v>
      </c>
      <c r="D226" s="136" t="s">
        <v>1819</v>
      </c>
      <c r="E226" s="137"/>
      <c r="F226" s="145" t="str">
        <f>VLOOKUP(C226,'[3]entities zones'!$C:$D,2,FALSE)</f>
        <v>EURZONNOR</v>
      </c>
      <c r="G226" s="136" t="s">
        <v>1819</v>
      </c>
      <c r="H226" s="139" t="s">
        <v>872</v>
      </c>
      <c r="I226" s="139" t="s">
        <v>873</v>
      </c>
      <c r="J226" s="139" t="s">
        <v>874</v>
      </c>
      <c r="K226" s="136" t="s">
        <v>512</v>
      </c>
      <c r="L226" s="140">
        <v>1</v>
      </c>
      <c r="M226" s="140">
        <v>510</v>
      </c>
      <c r="N226" s="140">
        <v>3</v>
      </c>
      <c r="O226" s="139">
        <v>0</v>
      </c>
      <c r="P226" s="139" t="b">
        <v>0</v>
      </c>
      <c r="Q226" s="139" t="b">
        <v>1</v>
      </c>
      <c r="R226" s="136" t="s">
        <v>1820</v>
      </c>
      <c r="S226" s="136" t="s">
        <v>1821</v>
      </c>
      <c r="T226" s="141">
        <v>0</v>
      </c>
    </row>
    <row r="227" spans="1:20">
      <c r="A227" s="136" t="s">
        <v>1822</v>
      </c>
      <c r="B227" s="136" t="s">
        <v>869</v>
      </c>
      <c r="C227" s="136" t="s">
        <v>1823</v>
      </c>
      <c r="D227" s="136" t="s">
        <v>1824</v>
      </c>
      <c r="E227" s="137"/>
      <c r="F227" s="145" t="str">
        <f>VLOOKUP(C227,'[3]entities zones'!$C:$D,2,FALSE)</f>
        <v>EURZONNOR</v>
      </c>
      <c r="G227" s="136" t="s">
        <v>1824</v>
      </c>
      <c r="H227" s="139" t="s">
        <v>872</v>
      </c>
      <c r="I227" s="139" t="s">
        <v>873</v>
      </c>
      <c r="J227" s="139" t="s">
        <v>874</v>
      </c>
      <c r="K227" s="136" t="s">
        <v>512</v>
      </c>
      <c r="L227" s="140">
        <v>1</v>
      </c>
      <c r="M227" s="140">
        <v>520</v>
      </c>
      <c r="N227" s="140">
        <v>3</v>
      </c>
      <c r="O227" s="139">
        <v>0</v>
      </c>
      <c r="P227" s="139" t="b">
        <v>0</v>
      </c>
      <c r="Q227" s="139" t="b">
        <v>1</v>
      </c>
      <c r="R227" s="136" t="s">
        <v>1825</v>
      </c>
      <c r="S227" s="136" t="s">
        <v>1826</v>
      </c>
      <c r="T227" s="141">
        <v>0</v>
      </c>
    </row>
    <row r="228" spans="1:20">
      <c r="A228" s="136" t="s">
        <v>1827</v>
      </c>
      <c r="B228" s="136" t="s">
        <v>869</v>
      </c>
      <c r="C228" s="136" t="s">
        <v>1828</v>
      </c>
      <c r="D228" s="136" t="s">
        <v>1829</v>
      </c>
      <c r="E228" s="137"/>
      <c r="F228" s="145" t="str">
        <f>VLOOKUP(C228,'[3]entities zones'!$C:$D,2,FALSE)</f>
        <v>EURZONNOR</v>
      </c>
      <c r="G228" s="136" t="s">
        <v>1829</v>
      </c>
      <c r="H228" s="139" t="s">
        <v>872</v>
      </c>
      <c r="I228" s="139" t="s">
        <v>873</v>
      </c>
      <c r="J228" s="139" t="s">
        <v>874</v>
      </c>
      <c r="K228" s="136" t="s">
        <v>512</v>
      </c>
      <c r="L228" s="140">
        <v>1</v>
      </c>
      <c r="M228" s="140">
        <v>530</v>
      </c>
      <c r="N228" s="140">
        <v>3</v>
      </c>
      <c r="O228" s="139">
        <v>0</v>
      </c>
      <c r="P228" s="139" t="b">
        <v>0</v>
      </c>
      <c r="Q228" s="139" t="b">
        <v>1</v>
      </c>
      <c r="R228" s="136" t="s">
        <v>1830</v>
      </c>
      <c r="S228" s="136" t="s">
        <v>1831</v>
      </c>
      <c r="T228" s="141">
        <v>0</v>
      </c>
    </row>
    <row r="229" spans="1:20">
      <c r="A229" s="136" t="s">
        <v>1832</v>
      </c>
      <c r="B229" s="136" t="s">
        <v>869</v>
      </c>
      <c r="C229" s="136" t="s">
        <v>1833</v>
      </c>
      <c r="D229" s="136" t="s">
        <v>1834</v>
      </c>
      <c r="E229" s="137"/>
      <c r="F229" s="145" t="str">
        <f>VLOOKUP(C229,'[3]entities zones'!$C:$D,2,FALSE)</f>
        <v>EURZONNOR</v>
      </c>
      <c r="G229" s="136" t="s">
        <v>1834</v>
      </c>
      <c r="H229" s="139" t="s">
        <v>872</v>
      </c>
      <c r="I229" s="139" t="s">
        <v>873</v>
      </c>
      <c r="J229" s="139" t="s">
        <v>874</v>
      </c>
      <c r="K229" s="136" t="s">
        <v>512</v>
      </c>
      <c r="L229" s="140">
        <v>1</v>
      </c>
      <c r="M229" s="140">
        <v>540</v>
      </c>
      <c r="N229" s="140">
        <v>3</v>
      </c>
      <c r="O229" s="139">
        <v>0</v>
      </c>
      <c r="P229" s="139" t="b">
        <v>0</v>
      </c>
      <c r="Q229" s="139" t="b">
        <v>1</v>
      </c>
      <c r="R229" s="136" t="s">
        <v>1835</v>
      </c>
      <c r="S229" s="136" t="s">
        <v>1836</v>
      </c>
      <c r="T229" s="141">
        <v>0</v>
      </c>
    </row>
    <row r="230" spans="1:20">
      <c r="A230" s="136" t="s">
        <v>1837</v>
      </c>
      <c r="B230" s="136" t="s">
        <v>869</v>
      </c>
      <c r="C230" s="136" t="s">
        <v>1838</v>
      </c>
      <c r="D230" s="136" t="s">
        <v>1839</v>
      </c>
      <c r="E230" s="137"/>
      <c r="F230" s="145" t="str">
        <f>VLOOKUP(C230,'[3]entities zones'!$C:$D,2,FALSE)</f>
        <v>EURZONNOR</v>
      </c>
      <c r="G230" s="136" t="s">
        <v>1839</v>
      </c>
      <c r="H230" s="139" t="s">
        <v>872</v>
      </c>
      <c r="I230" s="139" t="s">
        <v>873</v>
      </c>
      <c r="J230" s="139" t="s">
        <v>874</v>
      </c>
      <c r="K230" s="136" t="s">
        <v>512</v>
      </c>
      <c r="L230" s="140">
        <v>1</v>
      </c>
      <c r="M230" s="140">
        <v>550</v>
      </c>
      <c r="N230" s="140">
        <v>3</v>
      </c>
      <c r="O230" s="139">
        <v>0</v>
      </c>
      <c r="P230" s="139" t="b">
        <v>0</v>
      </c>
      <c r="Q230" s="139" t="b">
        <v>1</v>
      </c>
      <c r="R230" s="136" t="s">
        <v>1840</v>
      </c>
      <c r="S230" s="136" t="s">
        <v>1841</v>
      </c>
      <c r="T230" s="141">
        <v>0</v>
      </c>
    </row>
    <row r="231" spans="1:20">
      <c r="A231" s="136" t="s">
        <v>1842</v>
      </c>
      <c r="B231" s="136" t="s">
        <v>869</v>
      </c>
      <c r="C231" s="136" t="s">
        <v>1843</v>
      </c>
      <c r="D231" s="136" t="s">
        <v>1844</v>
      </c>
      <c r="E231" s="137"/>
      <c r="F231" s="145" t="str">
        <f>VLOOKUP(C231,'[3]entities zones'!$C:$D,2,FALSE)</f>
        <v>EURZONNOR</v>
      </c>
      <c r="G231" s="136" t="s">
        <v>1844</v>
      </c>
      <c r="H231" s="139" t="s">
        <v>872</v>
      </c>
      <c r="I231" s="139" t="s">
        <v>873</v>
      </c>
      <c r="J231" s="139" t="s">
        <v>874</v>
      </c>
      <c r="K231" s="136" t="s">
        <v>512</v>
      </c>
      <c r="L231" s="140">
        <v>1</v>
      </c>
      <c r="M231" s="140">
        <v>590</v>
      </c>
      <c r="N231" s="140">
        <v>3</v>
      </c>
      <c r="O231" s="139">
        <v>0</v>
      </c>
      <c r="P231" s="139" t="b">
        <v>0</v>
      </c>
      <c r="Q231" s="139" t="b">
        <v>1</v>
      </c>
      <c r="R231" s="136" t="s">
        <v>1845</v>
      </c>
      <c r="S231" s="136" t="s">
        <v>1846</v>
      </c>
      <c r="T231" s="141">
        <v>0</v>
      </c>
    </row>
    <row r="232" spans="1:20">
      <c r="A232" s="136" t="s">
        <v>1847</v>
      </c>
      <c r="B232" s="136" t="s">
        <v>869</v>
      </c>
      <c r="C232" s="136" t="s">
        <v>1848</v>
      </c>
      <c r="D232" s="136" t="s">
        <v>1849</v>
      </c>
      <c r="E232" s="137"/>
      <c r="F232" s="145" t="str">
        <f>VLOOKUP(C232,'[3]entities zones'!$C:$D,2,FALSE)</f>
        <v>EURZONNOR</v>
      </c>
      <c r="G232" s="136" t="s">
        <v>1849</v>
      </c>
      <c r="H232" s="139" t="s">
        <v>872</v>
      </c>
      <c r="I232" s="139" t="s">
        <v>873</v>
      </c>
      <c r="J232" s="139" t="s">
        <v>874</v>
      </c>
      <c r="K232" s="136" t="s">
        <v>512</v>
      </c>
      <c r="L232" s="140">
        <v>1</v>
      </c>
      <c r="M232" s="140">
        <v>600</v>
      </c>
      <c r="N232" s="140">
        <v>3</v>
      </c>
      <c r="O232" s="139">
        <v>0</v>
      </c>
      <c r="P232" s="139" t="b">
        <v>0</v>
      </c>
      <c r="Q232" s="139" t="b">
        <v>1</v>
      </c>
      <c r="R232" s="136" t="s">
        <v>1850</v>
      </c>
      <c r="S232" s="136" t="s">
        <v>1851</v>
      </c>
      <c r="T232" s="141">
        <v>0</v>
      </c>
    </row>
    <row r="233" spans="1:20">
      <c r="A233" s="136" t="s">
        <v>1852</v>
      </c>
      <c r="B233" s="136" t="s">
        <v>869</v>
      </c>
      <c r="C233" s="136" t="s">
        <v>1853</v>
      </c>
      <c r="D233" s="136" t="s">
        <v>1854</v>
      </c>
      <c r="E233" s="137"/>
      <c r="F233" s="145" t="str">
        <f>VLOOKUP(C233,'[3]entities zones'!$C:$D,2,FALSE)</f>
        <v>EURZONSUD</v>
      </c>
      <c r="G233" s="136" t="s">
        <v>1854</v>
      </c>
      <c r="H233" s="139" t="s">
        <v>872</v>
      </c>
      <c r="I233" s="139" t="s">
        <v>873</v>
      </c>
      <c r="J233" s="139" t="s">
        <v>874</v>
      </c>
      <c r="K233" s="136" t="s">
        <v>512</v>
      </c>
      <c r="L233" s="140">
        <v>1</v>
      </c>
      <c r="M233" s="140">
        <v>610</v>
      </c>
      <c r="N233" s="140">
        <v>3</v>
      </c>
      <c r="O233" s="139">
        <v>0</v>
      </c>
      <c r="P233" s="139" t="b">
        <v>0</v>
      </c>
      <c r="Q233" s="139" t="b">
        <v>1</v>
      </c>
      <c r="R233" s="136" t="s">
        <v>1855</v>
      </c>
      <c r="S233" s="136" t="s">
        <v>1856</v>
      </c>
      <c r="T233" s="141">
        <v>0</v>
      </c>
    </row>
    <row r="234" spans="1:20">
      <c r="A234" s="136" t="s">
        <v>1857</v>
      </c>
      <c r="B234" s="136" t="s">
        <v>869</v>
      </c>
      <c r="C234" s="136" t="s">
        <v>1858</v>
      </c>
      <c r="D234" s="136" t="s">
        <v>1859</v>
      </c>
      <c r="E234" s="137"/>
      <c r="F234" s="145" t="str">
        <f>VLOOKUP(C234,'[3]entities zones'!$C:$D,2,FALSE)</f>
        <v>EURZONSUD</v>
      </c>
      <c r="G234" s="136" t="s">
        <v>1859</v>
      </c>
      <c r="H234" s="139" t="s">
        <v>872</v>
      </c>
      <c r="I234" s="139" t="s">
        <v>873</v>
      </c>
      <c r="J234" s="139" t="s">
        <v>874</v>
      </c>
      <c r="K234" s="136" t="s">
        <v>512</v>
      </c>
      <c r="L234" s="140">
        <v>1</v>
      </c>
      <c r="M234" s="140">
        <v>620</v>
      </c>
      <c r="N234" s="140">
        <v>3</v>
      </c>
      <c r="O234" s="139">
        <v>0</v>
      </c>
      <c r="P234" s="139" t="b">
        <v>0</v>
      </c>
      <c r="Q234" s="139" t="b">
        <v>1</v>
      </c>
      <c r="R234" s="136" t="s">
        <v>1860</v>
      </c>
      <c r="S234" s="136" t="s">
        <v>1861</v>
      </c>
      <c r="T234" s="141">
        <v>0</v>
      </c>
    </row>
    <row r="235" spans="1:20">
      <c r="A235" s="136" t="s">
        <v>1862</v>
      </c>
      <c r="B235" s="136" t="s">
        <v>869</v>
      </c>
      <c r="C235" s="136" t="s">
        <v>1863</v>
      </c>
      <c r="D235" s="136" t="s">
        <v>1864</v>
      </c>
      <c r="E235" s="137"/>
      <c r="F235" s="145" t="e">
        <f>VLOOKUP(C235,'[3]entities zones'!$C:$D,2,FALSE)</f>
        <v>#N/A</v>
      </c>
      <c r="G235" s="136" t="s">
        <v>1864</v>
      </c>
      <c r="H235" s="139" t="s">
        <v>872</v>
      </c>
      <c r="I235" s="139" t="s">
        <v>873</v>
      </c>
      <c r="J235" s="139" t="s">
        <v>874</v>
      </c>
      <c r="K235" s="136" t="s">
        <v>512</v>
      </c>
      <c r="L235" s="140">
        <v>1</v>
      </c>
      <c r="M235" s="140">
        <v>640</v>
      </c>
      <c r="N235" s="140">
        <v>3</v>
      </c>
      <c r="O235" s="139">
        <v>0</v>
      </c>
      <c r="P235" s="139" t="b">
        <v>0</v>
      </c>
      <c r="Q235" s="139" t="b">
        <v>1</v>
      </c>
      <c r="R235" s="136" t="s">
        <v>1865</v>
      </c>
      <c r="S235" s="136" t="s">
        <v>1866</v>
      </c>
      <c r="T235" s="141">
        <v>0</v>
      </c>
    </row>
    <row r="236" spans="1:20">
      <c r="A236" s="136" t="s">
        <v>1867</v>
      </c>
      <c r="B236" s="136" t="s">
        <v>869</v>
      </c>
      <c r="C236" s="136" t="s">
        <v>1868</v>
      </c>
      <c r="D236" s="136" t="s">
        <v>1869</v>
      </c>
      <c r="E236" s="137"/>
      <c r="F236" s="145" t="str">
        <f>VLOOKUP(C236,'[3]entities zones'!$C:$D,2,FALSE)</f>
        <v>EURZONNOR</v>
      </c>
      <c r="G236" s="136" t="s">
        <v>1869</v>
      </c>
      <c r="H236" s="139" t="s">
        <v>872</v>
      </c>
      <c r="I236" s="139" t="s">
        <v>873</v>
      </c>
      <c r="J236" s="139" t="s">
        <v>874</v>
      </c>
      <c r="K236" s="136" t="s">
        <v>512</v>
      </c>
      <c r="L236" s="140">
        <v>1</v>
      </c>
      <c r="M236" s="140">
        <v>650</v>
      </c>
      <c r="N236" s="140">
        <v>3</v>
      </c>
      <c r="O236" s="139">
        <v>0</v>
      </c>
      <c r="P236" s="139" t="b">
        <v>0</v>
      </c>
      <c r="Q236" s="139" t="b">
        <v>1</v>
      </c>
      <c r="R236" s="136" t="s">
        <v>1870</v>
      </c>
      <c r="S236" s="136" t="s">
        <v>1871</v>
      </c>
      <c r="T236" s="141">
        <v>0</v>
      </c>
    </row>
    <row r="237" spans="1:20">
      <c r="A237" s="136" t="s">
        <v>1872</v>
      </c>
      <c r="B237" s="136" t="s">
        <v>869</v>
      </c>
      <c r="C237" s="136" t="s">
        <v>1873</v>
      </c>
      <c r="D237" s="136" t="s">
        <v>1874</v>
      </c>
      <c r="E237" s="137"/>
      <c r="F237" s="145" t="str">
        <f>VLOOKUP(C237,'[3]entities zones'!$C:$D,2,FALSE)</f>
        <v>EURZONNOR</v>
      </c>
      <c r="G237" s="136" t="s">
        <v>1874</v>
      </c>
      <c r="H237" s="139" t="s">
        <v>872</v>
      </c>
      <c r="I237" s="139" t="s">
        <v>873</v>
      </c>
      <c r="J237" s="139" t="s">
        <v>874</v>
      </c>
      <c r="K237" s="136" t="s">
        <v>512</v>
      </c>
      <c r="L237" s="140">
        <v>1</v>
      </c>
      <c r="M237" s="140">
        <v>660</v>
      </c>
      <c r="N237" s="140">
        <v>3</v>
      </c>
      <c r="O237" s="139">
        <v>0</v>
      </c>
      <c r="P237" s="139" t="b">
        <v>0</v>
      </c>
      <c r="Q237" s="139" t="b">
        <v>1</v>
      </c>
      <c r="R237" s="136" t="s">
        <v>1875</v>
      </c>
      <c r="S237" s="136" t="s">
        <v>1876</v>
      </c>
      <c r="T237" s="141">
        <v>0</v>
      </c>
    </row>
    <row r="238" spans="1:20">
      <c r="A238" s="136" t="s">
        <v>1877</v>
      </c>
      <c r="B238" s="136" t="s">
        <v>869</v>
      </c>
      <c r="C238" s="136" t="s">
        <v>1878</v>
      </c>
      <c r="D238" s="136" t="s">
        <v>1879</v>
      </c>
      <c r="E238" s="137"/>
      <c r="F238" s="145" t="str">
        <f>VLOOKUP(C238,'[3]entities zones'!$C:$D,2,FALSE)</f>
        <v>EURZONSUD</v>
      </c>
      <c r="G238" s="136" t="s">
        <v>1879</v>
      </c>
      <c r="H238" s="139" t="s">
        <v>872</v>
      </c>
      <c r="I238" s="139" t="s">
        <v>873</v>
      </c>
      <c r="J238" s="139" t="s">
        <v>874</v>
      </c>
      <c r="K238" s="136" t="s">
        <v>512</v>
      </c>
      <c r="L238" s="140">
        <v>1</v>
      </c>
      <c r="M238" s="140">
        <v>670</v>
      </c>
      <c r="N238" s="140">
        <v>3</v>
      </c>
      <c r="O238" s="139">
        <v>0</v>
      </c>
      <c r="P238" s="139" t="b">
        <v>0</v>
      </c>
      <c r="Q238" s="139" t="b">
        <v>1</v>
      </c>
      <c r="R238" s="136" t="s">
        <v>1880</v>
      </c>
      <c r="S238" s="136" t="s">
        <v>1881</v>
      </c>
      <c r="T238" s="141">
        <v>0</v>
      </c>
    </row>
    <row r="239" spans="1:20">
      <c r="A239" s="143" t="s">
        <v>1882</v>
      </c>
      <c r="B239" s="143" t="s">
        <v>869</v>
      </c>
      <c r="C239" s="143" t="s">
        <v>1883</v>
      </c>
      <c r="D239" s="143" t="s">
        <v>1884</v>
      </c>
      <c r="E239" s="144"/>
      <c r="F239" s="145" t="e">
        <f>VLOOKUP(C239,'[3]entities zones'!$C:$D,2,FALSE)</f>
        <v>#N/A</v>
      </c>
      <c r="G239" s="143" t="s">
        <v>1884</v>
      </c>
      <c r="H239" s="146" t="s">
        <v>872</v>
      </c>
      <c r="I239" s="146" t="s">
        <v>873</v>
      </c>
      <c r="J239" s="146" t="s">
        <v>874</v>
      </c>
      <c r="K239" s="143" t="s">
        <v>512</v>
      </c>
      <c r="L239" s="147">
        <v>1</v>
      </c>
      <c r="M239" s="147">
        <v>700</v>
      </c>
      <c r="N239" s="147">
        <v>3</v>
      </c>
      <c r="O239" s="146">
        <v>14</v>
      </c>
      <c r="P239" s="146" t="b">
        <v>0</v>
      </c>
      <c r="Q239" s="146" t="b">
        <v>1</v>
      </c>
      <c r="R239" s="143" t="s">
        <v>1885</v>
      </c>
      <c r="S239" s="143" t="s">
        <v>1886</v>
      </c>
      <c r="T239" s="148">
        <v>50</v>
      </c>
    </row>
    <row r="240" spans="1:20">
      <c r="A240" s="143" t="s">
        <v>1887</v>
      </c>
      <c r="B240" s="143" t="s">
        <v>869</v>
      </c>
      <c r="C240" s="143" t="s">
        <v>1888</v>
      </c>
      <c r="D240" s="143" t="s">
        <v>1889</v>
      </c>
      <c r="E240" s="144"/>
      <c r="F240" s="145" t="e">
        <f>VLOOKUP(C240,'[3]entities zones'!$C:$D,2,FALSE)</f>
        <v>#N/A</v>
      </c>
      <c r="G240" s="143" t="s">
        <v>1889</v>
      </c>
      <c r="H240" s="146" t="s">
        <v>872</v>
      </c>
      <c r="I240" s="146" t="s">
        <v>873</v>
      </c>
      <c r="J240" s="146" t="s">
        <v>874</v>
      </c>
      <c r="K240" s="143" t="s">
        <v>1883</v>
      </c>
      <c r="L240" s="147">
        <v>1</v>
      </c>
      <c r="M240" s="147">
        <v>6110</v>
      </c>
      <c r="N240" s="147">
        <v>4</v>
      </c>
      <c r="O240" s="146">
        <v>10</v>
      </c>
      <c r="P240" s="146" t="b">
        <v>0</v>
      </c>
      <c r="Q240" s="146" t="b">
        <v>1</v>
      </c>
      <c r="R240" s="143" t="s">
        <v>1890</v>
      </c>
      <c r="S240" s="143" t="s">
        <v>1891</v>
      </c>
      <c r="T240" s="148">
        <v>18</v>
      </c>
    </row>
    <row r="241" spans="1:20">
      <c r="A241" s="136" t="s">
        <v>1892</v>
      </c>
      <c r="B241" s="136" t="s">
        <v>869</v>
      </c>
      <c r="C241" s="136" t="s">
        <v>1893</v>
      </c>
      <c r="D241" s="136" t="s">
        <v>1894</v>
      </c>
      <c r="E241" s="137"/>
      <c r="F241" s="145" t="e">
        <f>VLOOKUP(C241,'[3]entities zones'!$C:$D,2,FALSE)</f>
        <v>#N/A</v>
      </c>
      <c r="G241" s="136" t="s">
        <v>1894</v>
      </c>
      <c r="H241" s="139" t="s">
        <v>872</v>
      </c>
      <c r="I241" s="139" t="s">
        <v>873</v>
      </c>
      <c r="J241" s="139" t="s">
        <v>874</v>
      </c>
      <c r="K241" s="136" t="s">
        <v>1888</v>
      </c>
      <c r="L241" s="140">
        <v>1</v>
      </c>
      <c r="M241" s="140">
        <v>6110</v>
      </c>
      <c r="N241" s="140">
        <v>5</v>
      </c>
      <c r="O241" s="139">
        <v>0</v>
      </c>
      <c r="P241" s="139" t="b">
        <v>0</v>
      </c>
      <c r="Q241" s="139" t="b">
        <v>1</v>
      </c>
      <c r="R241" s="136" t="s">
        <v>1895</v>
      </c>
      <c r="S241" s="136" t="s">
        <v>1896</v>
      </c>
      <c r="T241" s="141">
        <v>0</v>
      </c>
    </row>
    <row r="242" spans="1:20">
      <c r="A242" s="136" t="s">
        <v>1897</v>
      </c>
      <c r="B242" s="136" t="s">
        <v>869</v>
      </c>
      <c r="C242" s="136" t="s">
        <v>378</v>
      </c>
      <c r="D242" s="136" t="s">
        <v>1898</v>
      </c>
      <c r="E242" s="137" t="s">
        <v>895</v>
      </c>
      <c r="F242" s="145" t="str">
        <f>VLOOKUP(C242,'[3]entities zones'!$C:$D,2,FALSE)</f>
        <v>EURZONSUD</v>
      </c>
      <c r="G242" s="136" t="s">
        <v>1898</v>
      </c>
      <c r="H242" s="139" t="s">
        <v>872</v>
      </c>
      <c r="I242" s="139" t="s">
        <v>873</v>
      </c>
      <c r="J242" s="139" t="s">
        <v>874</v>
      </c>
      <c r="K242" s="136" t="s">
        <v>1888</v>
      </c>
      <c r="L242" s="140">
        <v>1</v>
      </c>
      <c r="M242" s="140">
        <v>6120</v>
      </c>
      <c r="N242" s="140">
        <v>5</v>
      </c>
      <c r="O242" s="139">
        <v>0</v>
      </c>
      <c r="P242" s="139" t="b">
        <v>0</v>
      </c>
      <c r="Q242" s="139" t="b">
        <v>1</v>
      </c>
      <c r="R242" s="136" t="s">
        <v>1899</v>
      </c>
      <c r="S242" s="136" t="s">
        <v>1900</v>
      </c>
      <c r="T242" s="141">
        <v>0</v>
      </c>
    </row>
    <row r="243" spans="1:20">
      <c r="A243" s="136" t="s">
        <v>1901</v>
      </c>
      <c r="B243" s="136" t="s">
        <v>869</v>
      </c>
      <c r="C243" s="136" t="s">
        <v>373</v>
      </c>
      <c r="D243" s="136" t="s">
        <v>1902</v>
      </c>
      <c r="E243" s="137" t="s">
        <v>895</v>
      </c>
      <c r="F243" s="145" t="str">
        <f>VLOOKUP(C243,'[3]entities zones'!$C:$D,2,FALSE)</f>
        <v>EURZONCEN</v>
      </c>
      <c r="G243" s="136" t="s">
        <v>1902</v>
      </c>
      <c r="H243" s="139" t="s">
        <v>872</v>
      </c>
      <c r="I243" s="139" t="s">
        <v>873</v>
      </c>
      <c r="J243" s="139" t="s">
        <v>874</v>
      </c>
      <c r="K243" s="136" t="s">
        <v>1888</v>
      </c>
      <c r="L243" s="140">
        <v>1</v>
      </c>
      <c r="M243" s="140">
        <v>6130</v>
      </c>
      <c r="N243" s="140">
        <v>5</v>
      </c>
      <c r="O243" s="139">
        <v>0</v>
      </c>
      <c r="P243" s="139" t="b">
        <v>0</v>
      </c>
      <c r="Q243" s="139" t="b">
        <v>1</v>
      </c>
      <c r="R243" s="136" t="s">
        <v>1903</v>
      </c>
      <c r="S243" s="136" t="s">
        <v>1904</v>
      </c>
      <c r="T243" s="141">
        <v>0</v>
      </c>
    </row>
    <row r="244" spans="1:20">
      <c r="A244" s="136" t="s">
        <v>1905</v>
      </c>
      <c r="B244" s="136" t="s">
        <v>869</v>
      </c>
      <c r="C244" s="136" t="s">
        <v>381</v>
      </c>
      <c r="D244" s="136" t="s">
        <v>1906</v>
      </c>
      <c r="E244" s="137" t="s">
        <v>895</v>
      </c>
      <c r="F244" s="145" t="str">
        <f>VLOOKUP(C244,'[3]entities zones'!$C:$D,2,FALSE)</f>
        <v>EURZONSUD</v>
      </c>
      <c r="G244" s="136" t="s">
        <v>1906</v>
      </c>
      <c r="H244" s="139" t="s">
        <v>872</v>
      </c>
      <c r="I244" s="139" t="s">
        <v>873</v>
      </c>
      <c r="J244" s="139" t="s">
        <v>874</v>
      </c>
      <c r="K244" s="136" t="s">
        <v>1888</v>
      </c>
      <c r="L244" s="140">
        <v>1</v>
      </c>
      <c r="M244" s="140">
        <v>6140</v>
      </c>
      <c r="N244" s="140">
        <v>5</v>
      </c>
      <c r="O244" s="139">
        <v>0</v>
      </c>
      <c r="P244" s="139" t="b">
        <v>0</v>
      </c>
      <c r="Q244" s="139" t="b">
        <v>1</v>
      </c>
      <c r="R244" s="136" t="s">
        <v>1907</v>
      </c>
      <c r="S244" s="136" t="s">
        <v>1908</v>
      </c>
      <c r="T244" s="141">
        <v>0</v>
      </c>
    </row>
    <row r="245" spans="1:20">
      <c r="A245" s="136" t="s">
        <v>1909</v>
      </c>
      <c r="B245" s="136" t="s">
        <v>869</v>
      </c>
      <c r="C245" s="136" t="s">
        <v>376</v>
      </c>
      <c r="D245" s="136" t="s">
        <v>1910</v>
      </c>
      <c r="E245" s="137" t="s">
        <v>895</v>
      </c>
      <c r="F245" s="145" t="str">
        <f>VLOOKUP(C245,'[3]entities zones'!$C:$D,2,FALSE)</f>
        <v>EURZONNOR</v>
      </c>
      <c r="G245" s="136" t="s">
        <v>1910</v>
      </c>
      <c r="H245" s="139" t="s">
        <v>872</v>
      </c>
      <c r="I245" s="139" t="s">
        <v>873</v>
      </c>
      <c r="J245" s="139" t="s">
        <v>874</v>
      </c>
      <c r="K245" s="136" t="s">
        <v>1888</v>
      </c>
      <c r="L245" s="140">
        <v>1</v>
      </c>
      <c r="M245" s="140">
        <v>6150</v>
      </c>
      <c r="N245" s="140">
        <v>5</v>
      </c>
      <c r="O245" s="139">
        <v>0</v>
      </c>
      <c r="P245" s="139" t="b">
        <v>0</v>
      </c>
      <c r="Q245" s="139" t="b">
        <v>1</v>
      </c>
      <c r="R245" s="136" t="s">
        <v>1911</v>
      </c>
      <c r="S245" s="136" t="s">
        <v>1912</v>
      </c>
      <c r="T245" s="141">
        <v>0</v>
      </c>
    </row>
    <row r="246" spans="1:20">
      <c r="A246" s="136" t="s">
        <v>1913</v>
      </c>
      <c r="B246" s="136" t="s">
        <v>869</v>
      </c>
      <c r="C246" s="136" t="s">
        <v>377</v>
      </c>
      <c r="D246" s="136" t="s">
        <v>1914</v>
      </c>
      <c r="E246" s="137" t="s">
        <v>895</v>
      </c>
      <c r="F246" s="145" t="str">
        <f>VLOOKUP(C246,'[3]entities zones'!$C:$D,2,FALSE)</f>
        <v>EURZONCEN</v>
      </c>
      <c r="G246" s="136" t="s">
        <v>1914</v>
      </c>
      <c r="H246" s="139" t="s">
        <v>872</v>
      </c>
      <c r="I246" s="139" t="s">
        <v>873</v>
      </c>
      <c r="J246" s="139" t="s">
        <v>874</v>
      </c>
      <c r="K246" s="136" t="s">
        <v>1888</v>
      </c>
      <c r="L246" s="140">
        <v>1</v>
      </c>
      <c r="M246" s="140">
        <v>6160</v>
      </c>
      <c r="N246" s="140">
        <v>5</v>
      </c>
      <c r="O246" s="139">
        <v>0</v>
      </c>
      <c r="P246" s="139" t="b">
        <v>0</v>
      </c>
      <c r="Q246" s="139" t="b">
        <v>1</v>
      </c>
      <c r="R246" s="136" t="s">
        <v>1915</v>
      </c>
      <c r="S246" s="136" t="s">
        <v>1916</v>
      </c>
      <c r="T246" s="141">
        <v>0</v>
      </c>
    </row>
    <row r="247" spans="1:20">
      <c r="A247" s="136" t="s">
        <v>1917</v>
      </c>
      <c r="B247" s="136" t="s">
        <v>869</v>
      </c>
      <c r="C247" s="136" t="s">
        <v>379</v>
      </c>
      <c r="D247" s="136" t="s">
        <v>1918</v>
      </c>
      <c r="E247" s="137" t="s">
        <v>895</v>
      </c>
      <c r="F247" s="145" t="str">
        <f>VLOOKUP(C247,'[3]entities zones'!$C:$D,2,FALSE)</f>
        <v>EURZONCEN</v>
      </c>
      <c r="G247" s="136" t="s">
        <v>1918</v>
      </c>
      <c r="H247" s="139" t="s">
        <v>872</v>
      </c>
      <c r="I247" s="139" t="s">
        <v>873</v>
      </c>
      <c r="J247" s="139" t="s">
        <v>874</v>
      </c>
      <c r="K247" s="136" t="s">
        <v>1888</v>
      </c>
      <c r="L247" s="140">
        <v>1</v>
      </c>
      <c r="M247" s="140">
        <v>6170</v>
      </c>
      <c r="N247" s="140">
        <v>5</v>
      </c>
      <c r="O247" s="139">
        <v>0</v>
      </c>
      <c r="P247" s="139" t="b">
        <v>0</v>
      </c>
      <c r="Q247" s="139" t="b">
        <v>1</v>
      </c>
      <c r="R247" s="136" t="s">
        <v>1919</v>
      </c>
      <c r="S247" s="136" t="s">
        <v>1920</v>
      </c>
      <c r="T247" s="141">
        <v>0</v>
      </c>
    </row>
    <row r="248" spans="1:20">
      <c r="A248" s="143" t="s">
        <v>1921</v>
      </c>
      <c r="B248" s="143" t="s">
        <v>869</v>
      </c>
      <c r="C248" s="143" t="s">
        <v>1922</v>
      </c>
      <c r="D248" s="143" t="s">
        <v>1923</v>
      </c>
      <c r="E248" s="144"/>
      <c r="F248" s="145" t="e">
        <f>VLOOKUP(C248,'[3]entities zones'!$C:$D,2,FALSE)</f>
        <v>#N/A</v>
      </c>
      <c r="G248" s="143" t="s">
        <v>1924</v>
      </c>
      <c r="H248" s="146" t="s">
        <v>872</v>
      </c>
      <c r="I248" s="146" t="s">
        <v>873</v>
      </c>
      <c r="J248" s="146" t="s">
        <v>874</v>
      </c>
      <c r="K248" s="143" t="s">
        <v>1888</v>
      </c>
      <c r="L248" s="147">
        <v>1</v>
      </c>
      <c r="M248" s="147">
        <v>6180</v>
      </c>
      <c r="N248" s="147">
        <v>5</v>
      </c>
      <c r="O248" s="146">
        <v>4</v>
      </c>
      <c r="P248" s="146" t="b">
        <v>0</v>
      </c>
      <c r="Q248" s="146" t="b">
        <v>1</v>
      </c>
      <c r="R248" s="143" t="s">
        <v>1925</v>
      </c>
      <c r="S248" s="143" t="s">
        <v>1926</v>
      </c>
      <c r="T248" s="148">
        <v>6</v>
      </c>
    </row>
    <row r="249" spans="1:20">
      <c r="A249" s="136" t="s">
        <v>1927</v>
      </c>
      <c r="B249" s="136" t="s">
        <v>869</v>
      </c>
      <c r="C249" s="136" t="s">
        <v>1928</v>
      </c>
      <c r="D249" s="136" t="s">
        <v>1929</v>
      </c>
      <c r="E249" s="137"/>
      <c r="F249" s="145" t="e">
        <f>VLOOKUP(C249,'[3]entities zones'!$C:$D,2,FALSE)</f>
        <v>#N/A</v>
      </c>
      <c r="G249" s="136" t="s">
        <v>1929</v>
      </c>
      <c r="H249" s="139" t="s">
        <v>872</v>
      </c>
      <c r="I249" s="139" t="s">
        <v>873</v>
      </c>
      <c r="J249" s="139" t="s">
        <v>874</v>
      </c>
      <c r="K249" s="136" t="s">
        <v>1922</v>
      </c>
      <c r="L249" s="140">
        <v>1</v>
      </c>
      <c r="M249" s="140">
        <v>6180</v>
      </c>
      <c r="N249" s="140">
        <v>6</v>
      </c>
      <c r="O249" s="139">
        <v>0</v>
      </c>
      <c r="P249" s="139" t="b">
        <v>0</v>
      </c>
      <c r="Q249" s="139" t="b">
        <v>1</v>
      </c>
      <c r="R249" s="136" t="s">
        <v>1930</v>
      </c>
      <c r="S249" s="136" t="s">
        <v>1931</v>
      </c>
      <c r="T249" s="141">
        <v>0</v>
      </c>
    </row>
    <row r="250" spans="1:20">
      <c r="A250" s="136" t="s">
        <v>1932</v>
      </c>
      <c r="B250" s="136" t="s">
        <v>869</v>
      </c>
      <c r="C250" s="136" t="s">
        <v>375</v>
      </c>
      <c r="D250" s="136" t="s">
        <v>1933</v>
      </c>
      <c r="E250" s="137" t="s">
        <v>895</v>
      </c>
      <c r="F250" s="145" t="str">
        <f>VLOOKUP(C250,'[3]entities zones'!$C:$D,2,FALSE)</f>
        <v>EURZONNOR</v>
      </c>
      <c r="G250" s="136" t="s">
        <v>1933</v>
      </c>
      <c r="H250" s="139" t="s">
        <v>872</v>
      </c>
      <c r="I250" s="139" t="s">
        <v>873</v>
      </c>
      <c r="J250" s="139" t="s">
        <v>874</v>
      </c>
      <c r="K250" s="136" t="s">
        <v>1922</v>
      </c>
      <c r="L250" s="140">
        <v>1</v>
      </c>
      <c r="M250" s="140">
        <v>6190</v>
      </c>
      <c r="N250" s="140">
        <v>6</v>
      </c>
      <c r="O250" s="139">
        <v>0</v>
      </c>
      <c r="P250" s="139" t="b">
        <v>0</v>
      </c>
      <c r="Q250" s="139" t="b">
        <v>1</v>
      </c>
      <c r="R250" s="136" t="s">
        <v>1934</v>
      </c>
      <c r="S250" s="136" t="s">
        <v>1935</v>
      </c>
      <c r="T250" s="141">
        <v>0</v>
      </c>
    </row>
    <row r="251" spans="1:20">
      <c r="A251" s="136" t="s">
        <v>1936</v>
      </c>
      <c r="B251" s="136" t="s">
        <v>869</v>
      </c>
      <c r="C251" s="136" t="s">
        <v>380</v>
      </c>
      <c r="D251" s="136" t="s">
        <v>1937</v>
      </c>
      <c r="E251" s="137" t="s">
        <v>895</v>
      </c>
      <c r="F251" s="145" t="str">
        <f>VLOOKUP(C251,'[3]entities zones'!$C:$D,2,FALSE)</f>
        <v>EURZONNOR</v>
      </c>
      <c r="G251" s="136" t="s">
        <v>1937</v>
      </c>
      <c r="H251" s="139" t="s">
        <v>872</v>
      </c>
      <c r="I251" s="139" t="s">
        <v>873</v>
      </c>
      <c r="J251" s="139" t="s">
        <v>874</v>
      </c>
      <c r="K251" s="136" t="s">
        <v>1922</v>
      </c>
      <c r="L251" s="140">
        <v>1</v>
      </c>
      <c r="M251" s="140">
        <v>6200</v>
      </c>
      <c r="N251" s="140">
        <v>6</v>
      </c>
      <c r="O251" s="139">
        <v>0</v>
      </c>
      <c r="P251" s="139" t="b">
        <v>0</v>
      </c>
      <c r="Q251" s="139" t="b">
        <v>1</v>
      </c>
      <c r="R251" s="136" t="s">
        <v>1938</v>
      </c>
      <c r="S251" s="136" t="s">
        <v>1939</v>
      </c>
      <c r="T251" s="141">
        <v>0</v>
      </c>
    </row>
    <row r="252" spans="1:20">
      <c r="A252" s="143" t="s">
        <v>1940</v>
      </c>
      <c r="B252" s="143" t="s">
        <v>869</v>
      </c>
      <c r="C252" s="143" t="s">
        <v>1941</v>
      </c>
      <c r="D252" s="143" t="s">
        <v>1942</v>
      </c>
      <c r="E252" s="144"/>
      <c r="F252" s="145" t="e">
        <f>VLOOKUP(C252,'[3]entities zones'!$C:$D,2,FALSE)</f>
        <v>#N/A</v>
      </c>
      <c r="G252" s="143" t="s">
        <v>1943</v>
      </c>
      <c r="H252" s="146" t="s">
        <v>872</v>
      </c>
      <c r="I252" s="146" t="s">
        <v>873</v>
      </c>
      <c r="J252" s="146" t="s">
        <v>874</v>
      </c>
      <c r="K252" s="143" t="s">
        <v>1922</v>
      </c>
      <c r="L252" s="147">
        <v>1</v>
      </c>
      <c r="M252" s="147">
        <v>9999</v>
      </c>
      <c r="N252" s="147">
        <v>6</v>
      </c>
      <c r="O252" s="146">
        <v>2</v>
      </c>
      <c r="P252" s="146" t="b">
        <v>0</v>
      </c>
      <c r="Q252" s="146" t="b">
        <v>1</v>
      </c>
      <c r="R252" s="143" t="s">
        <v>1944</v>
      </c>
      <c r="S252" s="143" t="s">
        <v>1944</v>
      </c>
      <c r="T252" s="148">
        <v>2</v>
      </c>
    </row>
    <row r="253" spans="1:20">
      <c r="A253" s="136" t="s">
        <v>1945</v>
      </c>
      <c r="B253" s="136" t="s">
        <v>869</v>
      </c>
      <c r="C253" s="136" t="s">
        <v>1946</v>
      </c>
      <c r="D253" s="136" t="s">
        <v>1947</v>
      </c>
      <c r="E253" s="137"/>
      <c r="F253" s="145" t="e">
        <f>VLOOKUP(C253,'[3]entities zones'!$C:$D,2,FALSE)</f>
        <v>#N/A</v>
      </c>
      <c r="G253" s="136" t="s">
        <v>1948</v>
      </c>
      <c r="H253" s="139" t="s">
        <v>872</v>
      </c>
      <c r="I253" s="139" t="s">
        <v>873</v>
      </c>
      <c r="J253" s="139" t="s">
        <v>874</v>
      </c>
      <c r="K253" s="136" t="s">
        <v>1941</v>
      </c>
      <c r="L253" s="140">
        <v>1</v>
      </c>
      <c r="M253" s="140">
        <v>888</v>
      </c>
      <c r="N253" s="140">
        <v>7</v>
      </c>
      <c r="O253" s="139">
        <v>0</v>
      </c>
      <c r="P253" s="139" t="b">
        <v>0</v>
      </c>
      <c r="Q253" s="139" t="b">
        <v>1</v>
      </c>
      <c r="R253" s="136" t="s">
        <v>1949</v>
      </c>
      <c r="S253" s="136" t="s">
        <v>1950</v>
      </c>
      <c r="T253" s="141">
        <v>0</v>
      </c>
    </row>
    <row r="254" spans="1:20">
      <c r="A254" s="136" t="s">
        <v>1951</v>
      </c>
      <c r="B254" s="136" t="s">
        <v>869</v>
      </c>
      <c r="C254" s="136" t="s">
        <v>1952</v>
      </c>
      <c r="D254" s="136" t="s">
        <v>1953</v>
      </c>
      <c r="E254" s="137"/>
      <c r="F254" s="145" t="e">
        <f>VLOOKUP(C254,'[3]entities zones'!$C:$D,2,FALSE)</f>
        <v>#N/A</v>
      </c>
      <c r="G254" s="136" t="s">
        <v>1954</v>
      </c>
      <c r="H254" s="139" t="s">
        <v>872</v>
      </c>
      <c r="I254" s="139" t="s">
        <v>873</v>
      </c>
      <c r="J254" s="139" t="s">
        <v>874</v>
      </c>
      <c r="K254" s="136" t="s">
        <v>1941</v>
      </c>
      <c r="L254" s="140">
        <v>1</v>
      </c>
      <c r="M254" s="140">
        <v>999</v>
      </c>
      <c r="N254" s="140">
        <v>7</v>
      </c>
      <c r="O254" s="139">
        <v>0</v>
      </c>
      <c r="P254" s="139" t="b">
        <v>0</v>
      </c>
      <c r="Q254" s="139" t="b">
        <v>1</v>
      </c>
      <c r="R254" s="136" t="s">
        <v>1955</v>
      </c>
      <c r="S254" s="136" t="s">
        <v>1956</v>
      </c>
      <c r="T254" s="141">
        <v>0</v>
      </c>
    </row>
    <row r="255" spans="1:20">
      <c r="A255" s="136" t="s">
        <v>1957</v>
      </c>
      <c r="B255" s="136" t="s">
        <v>869</v>
      </c>
      <c r="C255" s="136" t="s">
        <v>374</v>
      </c>
      <c r="D255" s="136" t="s">
        <v>1958</v>
      </c>
      <c r="E255" s="137" t="s">
        <v>895</v>
      </c>
      <c r="F255" s="145" t="str">
        <f>VLOOKUP(C255,'[3]entities zones'!$C:$D,2,FALSE)</f>
        <v>EURZONCEN</v>
      </c>
      <c r="G255" s="136" t="s">
        <v>1958</v>
      </c>
      <c r="H255" s="139" t="s">
        <v>872</v>
      </c>
      <c r="I255" s="139" t="s">
        <v>873</v>
      </c>
      <c r="J255" s="139" t="s">
        <v>874</v>
      </c>
      <c r="K255" s="136" t="s">
        <v>1888</v>
      </c>
      <c r="L255" s="140">
        <v>1</v>
      </c>
      <c r="M255" s="140">
        <v>6210</v>
      </c>
      <c r="N255" s="140">
        <v>5</v>
      </c>
      <c r="O255" s="139">
        <v>0</v>
      </c>
      <c r="P255" s="139" t="b">
        <v>0</v>
      </c>
      <c r="Q255" s="139" t="b">
        <v>1</v>
      </c>
      <c r="R255" s="136" t="s">
        <v>1959</v>
      </c>
      <c r="S255" s="136" t="s">
        <v>1960</v>
      </c>
      <c r="T255" s="141">
        <v>0</v>
      </c>
    </row>
    <row r="256" spans="1:20">
      <c r="A256" s="143" t="s">
        <v>1961</v>
      </c>
      <c r="B256" s="143" t="s">
        <v>869</v>
      </c>
      <c r="C256" s="143" t="s">
        <v>1962</v>
      </c>
      <c r="D256" s="143" t="s">
        <v>1963</v>
      </c>
      <c r="E256" s="144"/>
      <c r="F256" s="145" t="e">
        <f>VLOOKUP(C256,'[3]entities zones'!$C:$D,2,FALSE)</f>
        <v>#N/A</v>
      </c>
      <c r="G256" s="143" t="s">
        <v>1964</v>
      </c>
      <c r="H256" s="146" t="s">
        <v>872</v>
      </c>
      <c r="I256" s="146" t="s">
        <v>873</v>
      </c>
      <c r="J256" s="146" t="s">
        <v>874</v>
      </c>
      <c r="K256" s="143" t="s">
        <v>1888</v>
      </c>
      <c r="L256" s="147">
        <v>1</v>
      </c>
      <c r="M256" s="147">
        <v>9999</v>
      </c>
      <c r="N256" s="147">
        <v>5</v>
      </c>
      <c r="O256" s="146">
        <v>2</v>
      </c>
      <c r="P256" s="146" t="b">
        <v>0</v>
      </c>
      <c r="Q256" s="146" t="b">
        <v>1</v>
      </c>
      <c r="R256" s="143" t="s">
        <v>1965</v>
      </c>
      <c r="S256" s="143" t="s">
        <v>1965</v>
      </c>
      <c r="T256" s="148">
        <v>2</v>
      </c>
    </row>
    <row r="257" spans="1:20">
      <c r="A257" s="136" t="s">
        <v>1966</v>
      </c>
      <c r="B257" s="136" t="s">
        <v>869</v>
      </c>
      <c r="C257" s="136" t="s">
        <v>1967</v>
      </c>
      <c r="D257" s="136" t="s">
        <v>1968</v>
      </c>
      <c r="E257" s="137"/>
      <c r="F257" s="145" t="e">
        <f>VLOOKUP(C257,'[3]entities zones'!$C:$D,2,FALSE)</f>
        <v>#N/A</v>
      </c>
      <c r="G257" s="136" t="s">
        <v>1969</v>
      </c>
      <c r="H257" s="139" t="s">
        <v>872</v>
      </c>
      <c r="I257" s="139" t="s">
        <v>873</v>
      </c>
      <c r="J257" s="139" t="s">
        <v>874</v>
      </c>
      <c r="K257" s="136" t="s">
        <v>1962</v>
      </c>
      <c r="L257" s="140">
        <v>1</v>
      </c>
      <c r="M257" s="140">
        <v>888</v>
      </c>
      <c r="N257" s="140">
        <v>6</v>
      </c>
      <c r="O257" s="139">
        <v>0</v>
      </c>
      <c r="P257" s="139" t="b">
        <v>0</v>
      </c>
      <c r="Q257" s="139" t="b">
        <v>1</v>
      </c>
      <c r="R257" s="136" t="s">
        <v>1970</v>
      </c>
      <c r="S257" s="136" t="s">
        <v>1971</v>
      </c>
      <c r="T257" s="141">
        <v>0</v>
      </c>
    </row>
    <row r="258" spans="1:20">
      <c r="A258" s="136" t="s">
        <v>1972</v>
      </c>
      <c r="B258" s="136" t="s">
        <v>869</v>
      </c>
      <c r="C258" s="136" t="s">
        <v>1973</v>
      </c>
      <c r="D258" s="136" t="s">
        <v>1974</v>
      </c>
      <c r="E258" s="137"/>
      <c r="F258" s="145" t="e">
        <f>VLOOKUP(C258,'[3]entities zones'!$C:$D,2,FALSE)</f>
        <v>#N/A</v>
      </c>
      <c r="G258" s="136" t="s">
        <v>1975</v>
      </c>
      <c r="H258" s="139" t="s">
        <v>872</v>
      </c>
      <c r="I258" s="139" t="s">
        <v>873</v>
      </c>
      <c r="J258" s="139" t="s">
        <v>874</v>
      </c>
      <c r="K258" s="136" t="s">
        <v>1962</v>
      </c>
      <c r="L258" s="140">
        <v>1</v>
      </c>
      <c r="M258" s="140">
        <v>999</v>
      </c>
      <c r="N258" s="140">
        <v>6</v>
      </c>
      <c r="O258" s="139">
        <v>0</v>
      </c>
      <c r="P258" s="139" t="b">
        <v>0</v>
      </c>
      <c r="Q258" s="139" t="b">
        <v>1</v>
      </c>
      <c r="R258" s="136" t="s">
        <v>1976</v>
      </c>
      <c r="S258" s="136" t="s">
        <v>1977</v>
      </c>
      <c r="T258" s="141">
        <v>0</v>
      </c>
    </row>
    <row r="259" spans="1:20">
      <c r="A259" s="143" t="s">
        <v>1978</v>
      </c>
      <c r="B259" s="143" t="s">
        <v>869</v>
      </c>
      <c r="C259" s="143" t="s">
        <v>1979</v>
      </c>
      <c r="D259" s="143" t="s">
        <v>1980</v>
      </c>
      <c r="E259" s="144"/>
      <c r="F259" s="145" t="e">
        <f>VLOOKUP(C259,'[3]entities zones'!$C:$D,2,FALSE)</f>
        <v>#N/A</v>
      </c>
      <c r="G259" s="143" t="s">
        <v>1980</v>
      </c>
      <c r="H259" s="146" t="s">
        <v>872</v>
      </c>
      <c r="I259" s="146" t="s">
        <v>873</v>
      </c>
      <c r="J259" s="146" t="s">
        <v>874</v>
      </c>
      <c r="K259" s="143" t="s">
        <v>1883</v>
      </c>
      <c r="L259" s="147">
        <v>1</v>
      </c>
      <c r="M259" s="147">
        <v>6220</v>
      </c>
      <c r="N259" s="147">
        <v>4</v>
      </c>
      <c r="O259" s="146">
        <v>3</v>
      </c>
      <c r="P259" s="146" t="b">
        <v>0</v>
      </c>
      <c r="Q259" s="146" t="b">
        <v>1</v>
      </c>
      <c r="R259" s="143" t="s">
        <v>1981</v>
      </c>
      <c r="S259" s="143" t="s">
        <v>1982</v>
      </c>
      <c r="T259" s="148">
        <v>16</v>
      </c>
    </row>
    <row r="260" spans="1:20">
      <c r="A260" s="136" t="s">
        <v>1983</v>
      </c>
      <c r="B260" s="136" t="s">
        <v>869</v>
      </c>
      <c r="C260" s="136" t="s">
        <v>1984</v>
      </c>
      <c r="D260" s="136" t="s">
        <v>1985</v>
      </c>
      <c r="E260" s="137"/>
      <c r="F260" s="145" t="e">
        <f>VLOOKUP(C260,'[3]entities zones'!$C:$D,2,FALSE)</f>
        <v>#N/A</v>
      </c>
      <c r="G260" s="136" t="s">
        <v>1985</v>
      </c>
      <c r="H260" s="139" t="s">
        <v>872</v>
      </c>
      <c r="I260" s="139" t="s">
        <v>873</v>
      </c>
      <c r="J260" s="139" t="s">
        <v>874</v>
      </c>
      <c r="K260" s="136" t="s">
        <v>1979</v>
      </c>
      <c r="L260" s="140">
        <v>1</v>
      </c>
      <c r="M260" s="140">
        <v>6220</v>
      </c>
      <c r="N260" s="140">
        <v>5</v>
      </c>
      <c r="O260" s="139">
        <v>0</v>
      </c>
      <c r="P260" s="139" t="b">
        <v>0</v>
      </c>
      <c r="Q260" s="139" t="b">
        <v>1</v>
      </c>
      <c r="R260" s="136" t="s">
        <v>1986</v>
      </c>
      <c r="S260" s="136" t="s">
        <v>1987</v>
      </c>
      <c r="T260" s="141">
        <v>0</v>
      </c>
    </row>
    <row r="261" spans="1:20">
      <c r="A261" s="143" t="s">
        <v>1988</v>
      </c>
      <c r="B261" s="143" t="s">
        <v>869</v>
      </c>
      <c r="C261" s="143" t="s">
        <v>1989</v>
      </c>
      <c r="D261" s="143" t="s">
        <v>1990</v>
      </c>
      <c r="E261" s="144"/>
      <c r="F261" s="145" t="e">
        <f>VLOOKUP(C261,'[3]entities zones'!$C:$D,2,FALSE)</f>
        <v>#N/A</v>
      </c>
      <c r="G261" s="143" t="s">
        <v>1990</v>
      </c>
      <c r="H261" s="146" t="s">
        <v>872</v>
      </c>
      <c r="I261" s="146" t="s">
        <v>873</v>
      </c>
      <c r="J261" s="146" t="s">
        <v>874</v>
      </c>
      <c r="K261" s="143" t="s">
        <v>1979</v>
      </c>
      <c r="L261" s="147">
        <v>1</v>
      </c>
      <c r="M261" s="147">
        <v>6230</v>
      </c>
      <c r="N261" s="147">
        <v>5</v>
      </c>
      <c r="O261" s="146">
        <v>4</v>
      </c>
      <c r="P261" s="146" t="b">
        <v>0</v>
      </c>
      <c r="Q261" s="146" t="b">
        <v>1</v>
      </c>
      <c r="R261" s="143" t="s">
        <v>1991</v>
      </c>
      <c r="S261" s="143" t="s">
        <v>1992</v>
      </c>
      <c r="T261" s="148">
        <v>11</v>
      </c>
    </row>
    <row r="262" spans="1:20">
      <c r="A262" s="136" t="s">
        <v>1993</v>
      </c>
      <c r="B262" s="136" t="s">
        <v>869</v>
      </c>
      <c r="C262" s="136" t="s">
        <v>1994</v>
      </c>
      <c r="D262" s="136" t="s">
        <v>1995</v>
      </c>
      <c r="E262" s="137"/>
      <c r="F262" s="145" t="e">
        <f>VLOOKUP(C262,'[3]entities zones'!$C:$D,2,FALSE)</f>
        <v>#N/A</v>
      </c>
      <c r="G262" s="136" t="s">
        <v>1995</v>
      </c>
      <c r="H262" s="139" t="s">
        <v>872</v>
      </c>
      <c r="I262" s="139" t="s">
        <v>873</v>
      </c>
      <c r="J262" s="139" t="s">
        <v>874</v>
      </c>
      <c r="K262" s="136" t="s">
        <v>1989</v>
      </c>
      <c r="L262" s="140">
        <v>1</v>
      </c>
      <c r="M262" s="140">
        <v>6230</v>
      </c>
      <c r="N262" s="140">
        <v>6</v>
      </c>
      <c r="O262" s="139">
        <v>0</v>
      </c>
      <c r="P262" s="139" t="b">
        <v>0</v>
      </c>
      <c r="Q262" s="139" t="b">
        <v>1</v>
      </c>
      <c r="R262" s="136" t="s">
        <v>1996</v>
      </c>
      <c r="S262" s="136" t="s">
        <v>1997</v>
      </c>
      <c r="T262" s="141">
        <v>0</v>
      </c>
    </row>
    <row r="263" spans="1:20">
      <c r="A263" s="136" t="s">
        <v>1998</v>
      </c>
      <c r="B263" s="136" t="s">
        <v>869</v>
      </c>
      <c r="C263" s="136" t="s">
        <v>383</v>
      </c>
      <c r="D263" s="136" t="s">
        <v>1999</v>
      </c>
      <c r="E263" s="137" t="s">
        <v>895</v>
      </c>
      <c r="F263" s="145" t="str">
        <f>VLOOKUP(C263,'[3]entities zones'!$C:$D,2,FALSE)</f>
        <v>EURZONNOR</v>
      </c>
      <c r="G263" s="136" t="s">
        <v>1999</v>
      </c>
      <c r="H263" s="139" t="s">
        <v>872</v>
      </c>
      <c r="I263" s="139" t="s">
        <v>873</v>
      </c>
      <c r="J263" s="139" t="s">
        <v>874</v>
      </c>
      <c r="K263" s="136" t="s">
        <v>1989</v>
      </c>
      <c r="L263" s="140">
        <v>1</v>
      </c>
      <c r="M263" s="140">
        <v>6260</v>
      </c>
      <c r="N263" s="140">
        <v>6</v>
      </c>
      <c r="O263" s="139">
        <v>0</v>
      </c>
      <c r="P263" s="139" t="b">
        <v>0</v>
      </c>
      <c r="Q263" s="139" t="b">
        <v>1</v>
      </c>
      <c r="R263" s="136" t="s">
        <v>2000</v>
      </c>
      <c r="S263" s="136" t="s">
        <v>2001</v>
      </c>
      <c r="T263" s="141">
        <v>0</v>
      </c>
    </row>
    <row r="264" spans="1:20">
      <c r="A264" s="143" t="s">
        <v>2002</v>
      </c>
      <c r="B264" s="143" t="s">
        <v>869</v>
      </c>
      <c r="C264" s="143" t="s">
        <v>2003</v>
      </c>
      <c r="D264" s="143" t="s">
        <v>2004</v>
      </c>
      <c r="E264" s="144"/>
      <c r="F264" s="145" t="e">
        <f>VLOOKUP(C264,'[3]entities zones'!$C:$D,2,FALSE)</f>
        <v>#N/A</v>
      </c>
      <c r="G264" s="143" t="s">
        <v>2005</v>
      </c>
      <c r="H264" s="146" t="s">
        <v>872</v>
      </c>
      <c r="I264" s="146" t="s">
        <v>873</v>
      </c>
      <c r="J264" s="146" t="s">
        <v>874</v>
      </c>
      <c r="K264" s="143" t="s">
        <v>1989</v>
      </c>
      <c r="L264" s="147">
        <v>1</v>
      </c>
      <c r="M264" s="147">
        <v>9999</v>
      </c>
      <c r="N264" s="147">
        <v>6</v>
      </c>
      <c r="O264" s="146">
        <v>2</v>
      </c>
      <c r="P264" s="146" t="b">
        <v>0</v>
      </c>
      <c r="Q264" s="146" t="b">
        <v>1</v>
      </c>
      <c r="R264" s="143" t="s">
        <v>2006</v>
      </c>
      <c r="S264" s="143" t="s">
        <v>2006</v>
      </c>
      <c r="T264" s="148">
        <v>2</v>
      </c>
    </row>
    <row r="265" spans="1:20">
      <c r="A265" s="136" t="s">
        <v>2007</v>
      </c>
      <c r="B265" s="136" t="s">
        <v>869</v>
      </c>
      <c r="C265" s="136" t="s">
        <v>2008</v>
      </c>
      <c r="D265" s="136" t="s">
        <v>2009</v>
      </c>
      <c r="E265" s="137"/>
      <c r="F265" s="145" t="e">
        <f>VLOOKUP(C265,'[3]entities zones'!$C:$D,2,FALSE)</f>
        <v>#N/A</v>
      </c>
      <c r="G265" s="136" t="s">
        <v>2010</v>
      </c>
      <c r="H265" s="139" t="s">
        <v>872</v>
      </c>
      <c r="I265" s="139" t="s">
        <v>873</v>
      </c>
      <c r="J265" s="139" t="s">
        <v>874</v>
      </c>
      <c r="K265" s="136" t="s">
        <v>2003</v>
      </c>
      <c r="L265" s="140">
        <v>1</v>
      </c>
      <c r="M265" s="140">
        <v>888</v>
      </c>
      <c r="N265" s="140">
        <v>7</v>
      </c>
      <c r="O265" s="139">
        <v>0</v>
      </c>
      <c r="P265" s="139" t="b">
        <v>0</v>
      </c>
      <c r="Q265" s="139" t="b">
        <v>1</v>
      </c>
      <c r="R265" s="136" t="s">
        <v>2011</v>
      </c>
      <c r="S265" s="136" t="s">
        <v>2012</v>
      </c>
      <c r="T265" s="141">
        <v>0</v>
      </c>
    </row>
    <row r="266" spans="1:20">
      <c r="A266" s="136" t="s">
        <v>2013</v>
      </c>
      <c r="B266" s="136" t="s">
        <v>869</v>
      </c>
      <c r="C266" s="136" t="s">
        <v>2014</v>
      </c>
      <c r="D266" s="136" t="s">
        <v>2015</v>
      </c>
      <c r="E266" s="137"/>
      <c r="F266" s="145" t="e">
        <f>VLOOKUP(C266,'[3]entities zones'!$C:$D,2,FALSE)</f>
        <v>#N/A</v>
      </c>
      <c r="G266" s="136" t="s">
        <v>2016</v>
      </c>
      <c r="H266" s="139" t="s">
        <v>872</v>
      </c>
      <c r="I266" s="139" t="s">
        <v>873</v>
      </c>
      <c r="J266" s="139" t="s">
        <v>874</v>
      </c>
      <c r="K266" s="136" t="s">
        <v>2003</v>
      </c>
      <c r="L266" s="140">
        <v>1</v>
      </c>
      <c r="M266" s="140">
        <v>999</v>
      </c>
      <c r="N266" s="140">
        <v>7</v>
      </c>
      <c r="O266" s="139">
        <v>0</v>
      </c>
      <c r="P266" s="139" t="b">
        <v>0</v>
      </c>
      <c r="Q266" s="139" t="b">
        <v>1</v>
      </c>
      <c r="R266" s="136" t="s">
        <v>2017</v>
      </c>
      <c r="S266" s="136" t="s">
        <v>2018</v>
      </c>
      <c r="T266" s="141">
        <v>0</v>
      </c>
    </row>
    <row r="267" spans="1:20">
      <c r="A267" s="143" t="s">
        <v>2019</v>
      </c>
      <c r="B267" s="143" t="s">
        <v>869</v>
      </c>
      <c r="C267" s="143" t="s">
        <v>2020</v>
      </c>
      <c r="D267" s="143" t="s">
        <v>2021</v>
      </c>
      <c r="E267" s="144"/>
      <c r="F267" s="145" t="e">
        <f>VLOOKUP(C267,'[3]entities zones'!$C:$D,2,FALSE)</f>
        <v>#N/A</v>
      </c>
      <c r="G267" s="143" t="s">
        <v>2021</v>
      </c>
      <c r="H267" s="146" t="s">
        <v>872</v>
      </c>
      <c r="I267" s="146" t="s">
        <v>873</v>
      </c>
      <c r="J267" s="146" t="s">
        <v>874</v>
      </c>
      <c r="K267" s="143" t="s">
        <v>1989</v>
      </c>
      <c r="L267" s="147">
        <v>1</v>
      </c>
      <c r="M267" s="147">
        <v>10000</v>
      </c>
      <c r="N267" s="147">
        <v>6</v>
      </c>
      <c r="O267" s="146">
        <v>3</v>
      </c>
      <c r="P267" s="146" t="b">
        <v>0</v>
      </c>
      <c r="Q267" s="146" t="b">
        <v>1</v>
      </c>
      <c r="R267" s="143" t="s">
        <v>2022</v>
      </c>
      <c r="S267" s="143" t="s">
        <v>2023</v>
      </c>
      <c r="T267" s="148">
        <v>5</v>
      </c>
    </row>
    <row r="268" spans="1:20">
      <c r="A268" s="136" t="s">
        <v>2024</v>
      </c>
      <c r="B268" s="136" t="s">
        <v>869</v>
      </c>
      <c r="C268" s="136" t="s">
        <v>2025</v>
      </c>
      <c r="D268" s="136" t="s">
        <v>2026</v>
      </c>
      <c r="E268" s="137"/>
      <c r="F268" s="145" t="e">
        <f>VLOOKUP(C268,'[3]entities zones'!$C:$D,2,FALSE)</f>
        <v>#N/A</v>
      </c>
      <c r="G268" s="136" t="s">
        <v>2026</v>
      </c>
      <c r="H268" s="139" t="s">
        <v>872</v>
      </c>
      <c r="I268" s="139" t="s">
        <v>873</v>
      </c>
      <c r="J268" s="139" t="s">
        <v>874</v>
      </c>
      <c r="K268" s="136" t="s">
        <v>2020</v>
      </c>
      <c r="L268" s="140">
        <v>1</v>
      </c>
      <c r="M268" s="140">
        <v>6240</v>
      </c>
      <c r="N268" s="140">
        <v>7</v>
      </c>
      <c r="O268" s="139">
        <v>0</v>
      </c>
      <c r="P268" s="139" t="b">
        <v>0</v>
      </c>
      <c r="Q268" s="139" t="b">
        <v>1</v>
      </c>
      <c r="R268" s="136" t="s">
        <v>2027</v>
      </c>
      <c r="S268" s="136" t="s">
        <v>2028</v>
      </c>
      <c r="T268" s="141">
        <v>0</v>
      </c>
    </row>
    <row r="269" spans="1:20">
      <c r="A269" s="136" t="s">
        <v>2029</v>
      </c>
      <c r="B269" s="136" t="s">
        <v>869</v>
      </c>
      <c r="C269" s="136" t="s">
        <v>382</v>
      </c>
      <c r="D269" s="136" t="s">
        <v>2030</v>
      </c>
      <c r="E269" s="137" t="s">
        <v>895</v>
      </c>
      <c r="F269" s="145" t="str">
        <f>VLOOKUP(C269,'[3]entities zones'!$C:$D,2,FALSE)</f>
        <v>EURZONNOR</v>
      </c>
      <c r="G269" s="136" t="s">
        <v>2030</v>
      </c>
      <c r="H269" s="139" t="s">
        <v>872</v>
      </c>
      <c r="I269" s="139" t="s">
        <v>873</v>
      </c>
      <c r="J269" s="139" t="s">
        <v>874</v>
      </c>
      <c r="K269" s="136" t="s">
        <v>2020</v>
      </c>
      <c r="L269" s="140">
        <v>1</v>
      </c>
      <c r="M269" s="140">
        <v>6250</v>
      </c>
      <c r="N269" s="140">
        <v>7</v>
      </c>
      <c r="O269" s="139">
        <v>0</v>
      </c>
      <c r="P269" s="139" t="b">
        <v>0</v>
      </c>
      <c r="Q269" s="139" t="b">
        <v>1</v>
      </c>
      <c r="R269" s="136" t="s">
        <v>2031</v>
      </c>
      <c r="S269" s="136" t="s">
        <v>2032</v>
      </c>
      <c r="T269" s="141">
        <v>0</v>
      </c>
    </row>
    <row r="270" spans="1:20">
      <c r="A270" s="143" t="s">
        <v>2033</v>
      </c>
      <c r="B270" s="143" t="s">
        <v>869</v>
      </c>
      <c r="C270" s="143" t="s">
        <v>2034</v>
      </c>
      <c r="D270" s="143" t="s">
        <v>2035</v>
      </c>
      <c r="E270" s="144"/>
      <c r="F270" s="145" t="e">
        <f>VLOOKUP(C270,'[3]entities zones'!$C:$D,2,FALSE)</f>
        <v>#N/A</v>
      </c>
      <c r="G270" s="143" t="s">
        <v>2036</v>
      </c>
      <c r="H270" s="146" t="s">
        <v>872</v>
      </c>
      <c r="I270" s="146" t="s">
        <v>873</v>
      </c>
      <c r="J270" s="146" t="s">
        <v>874</v>
      </c>
      <c r="K270" s="143" t="s">
        <v>2020</v>
      </c>
      <c r="L270" s="147">
        <v>1</v>
      </c>
      <c r="M270" s="147">
        <v>9999</v>
      </c>
      <c r="N270" s="147">
        <v>7</v>
      </c>
      <c r="O270" s="146">
        <v>2</v>
      </c>
      <c r="P270" s="146" t="b">
        <v>0</v>
      </c>
      <c r="Q270" s="146" t="b">
        <v>1</v>
      </c>
      <c r="R270" s="143" t="s">
        <v>2037</v>
      </c>
      <c r="S270" s="143" t="s">
        <v>2038</v>
      </c>
      <c r="T270" s="148">
        <v>2</v>
      </c>
    </row>
    <row r="271" spans="1:20">
      <c r="A271" s="136" t="s">
        <v>2039</v>
      </c>
      <c r="B271" s="136" t="s">
        <v>869</v>
      </c>
      <c r="C271" s="136" t="s">
        <v>2040</v>
      </c>
      <c r="D271" s="136" t="s">
        <v>2041</v>
      </c>
      <c r="E271" s="137"/>
      <c r="F271" s="145" t="e">
        <f>VLOOKUP(C271,'[3]entities zones'!$C:$D,2,FALSE)</f>
        <v>#N/A</v>
      </c>
      <c r="G271" s="136" t="s">
        <v>2042</v>
      </c>
      <c r="H271" s="139" t="s">
        <v>872</v>
      </c>
      <c r="I271" s="139" t="s">
        <v>873</v>
      </c>
      <c r="J271" s="139" t="s">
        <v>874</v>
      </c>
      <c r="K271" s="136" t="s">
        <v>2034</v>
      </c>
      <c r="L271" s="140">
        <v>1</v>
      </c>
      <c r="M271" s="140">
        <v>888</v>
      </c>
      <c r="N271" s="140">
        <v>8</v>
      </c>
      <c r="O271" s="139">
        <v>0</v>
      </c>
      <c r="P271" s="139" t="b">
        <v>0</v>
      </c>
      <c r="Q271" s="139" t="b">
        <v>1</v>
      </c>
      <c r="R271" s="136" t="s">
        <v>2043</v>
      </c>
      <c r="S271" s="136" t="s">
        <v>2044</v>
      </c>
      <c r="T271" s="141">
        <v>0</v>
      </c>
    </row>
    <row r="272" spans="1:20">
      <c r="A272" s="136" t="s">
        <v>2045</v>
      </c>
      <c r="B272" s="136" t="s">
        <v>869</v>
      </c>
      <c r="C272" s="136" t="s">
        <v>2046</v>
      </c>
      <c r="D272" s="136" t="s">
        <v>2047</v>
      </c>
      <c r="E272" s="137"/>
      <c r="F272" s="145" t="e">
        <f>VLOOKUP(C272,'[3]entities zones'!$C:$D,2,FALSE)</f>
        <v>#N/A</v>
      </c>
      <c r="G272" s="136" t="s">
        <v>2048</v>
      </c>
      <c r="H272" s="139" t="s">
        <v>872</v>
      </c>
      <c r="I272" s="139" t="s">
        <v>873</v>
      </c>
      <c r="J272" s="139" t="s">
        <v>874</v>
      </c>
      <c r="K272" s="136" t="s">
        <v>2034</v>
      </c>
      <c r="L272" s="140">
        <v>1</v>
      </c>
      <c r="M272" s="140">
        <v>999</v>
      </c>
      <c r="N272" s="140">
        <v>8</v>
      </c>
      <c r="O272" s="139">
        <v>0</v>
      </c>
      <c r="P272" s="139" t="b">
        <v>0</v>
      </c>
      <c r="Q272" s="139" t="b">
        <v>1</v>
      </c>
      <c r="R272" s="136" t="s">
        <v>2049</v>
      </c>
      <c r="S272" s="136" t="s">
        <v>2050</v>
      </c>
      <c r="T272" s="141">
        <v>0</v>
      </c>
    </row>
    <row r="273" spans="1:20">
      <c r="A273" s="143" t="s">
        <v>2051</v>
      </c>
      <c r="B273" s="143" t="s">
        <v>869</v>
      </c>
      <c r="C273" s="143" t="s">
        <v>2052</v>
      </c>
      <c r="D273" s="143" t="s">
        <v>2053</v>
      </c>
      <c r="E273" s="144"/>
      <c r="F273" s="145" t="e">
        <f>VLOOKUP(C273,'[3]entities zones'!$C:$D,2,FALSE)</f>
        <v>#N/A</v>
      </c>
      <c r="G273" s="143" t="s">
        <v>2054</v>
      </c>
      <c r="H273" s="146" t="s">
        <v>872</v>
      </c>
      <c r="I273" s="146" t="s">
        <v>873</v>
      </c>
      <c r="J273" s="146" t="s">
        <v>874</v>
      </c>
      <c r="K273" s="143" t="s">
        <v>1979</v>
      </c>
      <c r="L273" s="147">
        <v>1</v>
      </c>
      <c r="M273" s="147">
        <v>9999</v>
      </c>
      <c r="N273" s="147">
        <v>5</v>
      </c>
      <c r="O273" s="146">
        <v>2</v>
      </c>
      <c r="P273" s="146" t="b">
        <v>0</v>
      </c>
      <c r="Q273" s="146" t="b">
        <v>1</v>
      </c>
      <c r="R273" s="143" t="s">
        <v>2055</v>
      </c>
      <c r="S273" s="143" t="s">
        <v>2055</v>
      </c>
      <c r="T273" s="148">
        <v>2</v>
      </c>
    </row>
    <row r="274" spans="1:20">
      <c r="A274" s="136" t="s">
        <v>2056</v>
      </c>
      <c r="B274" s="136" t="s">
        <v>869</v>
      </c>
      <c r="C274" s="136" t="s">
        <v>2057</v>
      </c>
      <c r="D274" s="136" t="s">
        <v>2058</v>
      </c>
      <c r="E274" s="137"/>
      <c r="F274" s="145" t="e">
        <f>VLOOKUP(C274,'[3]entities zones'!$C:$D,2,FALSE)</f>
        <v>#N/A</v>
      </c>
      <c r="G274" s="136" t="s">
        <v>2059</v>
      </c>
      <c r="H274" s="139" t="s">
        <v>872</v>
      </c>
      <c r="I274" s="139" t="s">
        <v>873</v>
      </c>
      <c r="J274" s="139" t="s">
        <v>874</v>
      </c>
      <c r="K274" s="136" t="s">
        <v>2052</v>
      </c>
      <c r="L274" s="140">
        <v>1</v>
      </c>
      <c r="M274" s="140">
        <v>888</v>
      </c>
      <c r="N274" s="140">
        <v>6</v>
      </c>
      <c r="O274" s="139">
        <v>0</v>
      </c>
      <c r="P274" s="139" t="b">
        <v>0</v>
      </c>
      <c r="Q274" s="139" t="b">
        <v>1</v>
      </c>
      <c r="R274" s="136" t="s">
        <v>2060</v>
      </c>
      <c r="S274" s="136" t="s">
        <v>2061</v>
      </c>
      <c r="T274" s="141">
        <v>0</v>
      </c>
    </row>
    <row r="275" spans="1:20">
      <c r="A275" s="136" t="s">
        <v>2062</v>
      </c>
      <c r="B275" s="136" t="s">
        <v>869</v>
      </c>
      <c r="C275" s="136" t="s">
        <v>2063</v>
      </c>
      <c r="D275" s="136" t="s">
        <v>2064</v>
      </c>
      <c r="E275" s="137"/>
      <c r="F275" s="145" t="e">
        <f>VLOOKUP(C275,'[3]entities zones'!$C:$D,2,FALSE)</f>
        <v>#N/A</v>
      </c>
      <c r="G275" s="136" t="s">
        <v>2065</v>
      </c>
      <c r="H275" s="139" t="s">
        <v>872</v>
      </c>
      <c r="I275" s="139" t="s">
        <v>873</v>
      </c>
      <c r="J275" s="139" t="s">
        <v>874</v>
      </c>
      <c r="K275" s="136" t="s">
        <v>2052</v>
      </c>
      <c r="L275" s="140">
        <v>1</v>
      </c>
      <c r="M275" s="140">
        <v>999</v>
      </c>
      <c r="N275" s="140">
        <v>6</v>
      </c>
      <c r="O275" s="139">
        <v>0</v>
      </c>
      <c r="P275" s="139" t="b">
        <v>0</v>
      </c>
      <c r="Q275" s="139" t="b">
        <v>1</v>
      </c>
      <c r="R275" s="136" t="s">
        <v>2066</v>
      </c>
      <c r="S275" s="136" t="s">
        <v>2067</v>
      </c>
      <c r="T275" s="141">
        <v>0</v>
      </c>
    </row>
    <row r="276" spans="1:20">
      <c r="A276" s="136" t="s">
        <v>2068</v>
      </c>
      <c r="B276" s="136" t="s">
        <v>869</v>
      </c>
      <c r="C276" s="136" t="s">
        <v>2069</v>
      </c>
      <c r="D276" s="136" t="s">
        <v>2070</v>
      </c>
      <c r="E276" s="137"/>
      <c r="F276" s="145" t="e">
        <f>VLOOKUP(C276,'[3]entities zones'!$C:$D,2,FALSE)</f>
        <v>#N/A</v>
      </c>
      <c r="G276" s="136" t="s">
        <v>2070</v>
      </c>
      <c r="H276" s="139" t="s">
        <v>872</v>
      </c>
      <c r="I276" s="139" t="s">
        <v>873</v>
      </c>
      <c r="J276" s="139" t="s">
        <v>874</v>
      </c>
      <c r="K276" s="136" t="s">
        <v>1883</v>
      </c>
      <c r="L276" s="140">
        <v>1</v>
      </c>
      <c r="M276" s="140">
        <v>6270</v>
      </c>
      <c r="N276" s="140">
        <v>4</v>
      </c>
      <c r="O276" s="139">
        <v>0</v>
      </c>
      <c r="P276" s="139" t="b">
        <v>0</v>
      </c>
      <c r="Q276" s="139" t="b">
        <v>1</v>
      </c>
      <c r="R276" s="136" t="s">
        <v>2071</v>
      </c>
      <c r="S276" s="136" t="s">
        <v>2072</v>
      </c>
      <c r="T276" s="141">
        <v>0</v>
      </c>
    </row>
    <row r="277" spans="1:20">
      <c r="A277" s="136" t="s">
        <v>2073</v>
      </c>
      <c r="B277" s="136" t="s">
        <v>869</v>
      </c>
      <c r="C277" s="136" t="s">
        <v>2074</v>
      </c>
      <c r="D277" s="136" t="s">
        <v>2075</v>
      </c>
      <c r="E277" s="137"/>
      <c r="F277" s="145" t="e">
        <f>VLOOKUP(C277,'[3]entities zones'!$C:$D,2,FALSE)</f>
        <v>#N/A</v>
      </c>
      <c r="G277" s="136" t="s">
        <v>2075</v>
      </c>
      <c r="H277" s="139" t="s">
        <v>872</v>
      </c>
      <c r="I277" s="139" t="s">
        <v>873</v>
      </c>
      <c r="J277" s="139" t="s">
        <v>874</v>
      </c>
      <c r="K277" s="136" t="s">
        <v>1883</v>
      </c>
      <c r="L277" s="140">
        <v>1</v>
      </c>
      <c r="M277" s="140">
        <v>6280</v>
      </c>
      <c r="N277" s="140">
        <v>4</v>
      </c>
      <c r="O277" s="139">
        <v>0</v>
      </c>
      <c r="P277" s="139" t="b">
        <v>0</v>
      </c>
      <c r="Q277" s="139" t="b">
        <v>1</v>
      </c>
      <c r="R277" s="136" t="s">
        <v>2076</v>
      </c>
      <c r="S277" s="136" t="s">
        <v>2077</v>
      </c>
      <c r="T277" s="141">
        <v>0</v>
      </c>
    </row>
    <row r="278" spans="1:20">
      <c r="A278" s="136" t="s">
        <v>2078</v>
      </c>
      <c r="B278" s="136" t="s">
        <v>869</v>
      </c>
      <c r="C278" s="136" t="s">
        <v>2079</v>
      </c>
      <c r="D278" s="136" t="s">
        <v>2080</v>
      </c>
      <c r="E278" s="137"/>
      <c r="F278" s="145" t="e">
        <f>VLOOKUP(C278,'[3]entities zones'!$C:$D,2,FALSE)</f>
        <v>#N/A</v>
      </c>
      <c r="G278" s="136" t="s">
        <v>2080</v>
      </c>
      <c r="H278" s="139" t="s">
        <v>872</v>
      </c>
      <c r="I278" s="139" t="s">
        <v>873</v>
      </c>
      <c r="J278" s="139" t="s">
        <v>874</v>
      </c>
      <c r="K278" s="136" t="s">
        <v>1883</v>
      </c>
      <c r="L278" s="140">
        <v>1</v>
      </c>
      <c r="M278" s="140">
        <v>6290</v>
      </c>
      <c r="N278" s="140">
        <v>4</v>
      </c>
      <c r="O278" s="139">
        <v>0</v>
      </c>
      <c r="P278" s="139" t="b">
        <v>0</v>
      </c>
      <c r="Q278" s="139" t="b">
        <v>1</v>
      </c>
      <c r="R278" s="136" t="s">
        <v>2081</v>
      </c>
      <c r="S278" s="136" t="s">
        <v>2082</v>
      </c>
      <c r="T278" s="141">
        <v>0</v>
      </c>
    </row>
    <row r="279" spans="1:20">
      <c r="A279" s="136" t="s">
        <v>2083</v>
      </c>
      <c r="B279" s="136" t="s">
        <v>869</v>
      </c>
      <c r="C279" s="136" t="s">
        <v>2084</v>
      </c>
      <c r="D279" s="136" t="s">
        <v>2085</v>
      </c>
      <c r="E279" s="137"/>
      <c r="F279" s="145" t="e">
        <f>VLOOKUP(C279,'[3]entities zones'!$C:$D,2,FALSE)</f>
        <v>#N/A</v>
      </c>
      <c r="G279" s="136" t="s">
        <v>2085</v>
      </c>
      <c r="H279" s="139" t="s">
        <v>872</v>
      </c>
      <c r="I279" s="139" t="s">
        <v>873</v>
      </c>
      <c r="J279" s="139" t="s">
        <v>874</v>
      </c>
      <c r="K279" s="136" t="s">
        <v>1883</v>
      </c>
      <c r="L279" s="140">
        <v>1</v>
      </c>
      <c r="M279" s="140">
        <v>6300</v>
      </c>
      <c r="N279" s="140">
        <v>4</v>
      </c>
      <c r="O279" s="139">
        <v>0</v>
      </c>
      <c r="P279" s="139" t="b">
        <v>0</v>
      </c>
      <c r="Q279" s="139" t="b">
        <v>1</v>
      </c>
      <c r="R279" s="136" t="s">
        <v>2086</v>
      </c>
      <c r="S279" s="136" t="s">
        <v>2087</v>
      </c>
      <c r="T279" s="141">
        <v>0</v>
      </c>
    </row>
    <row r="280" spans="1:20">
      <c r="A280" s="136" t="s">
        <v>2088</v>
      </c>
      <c r="B280" s="136" t="s">
        <v>869</v>
      </c>
      <c r="C280" s="136" t="s">
        <v>2089</v>
      </c>
      <c r="D280" s="136" t="s">
        <v>2090</v>
      </c>
      <c r="E280" s="137"/>
      <c r="F280" s="145" t="e">
        <f>VLOOKUP(C280,'[3]entities zones'!$C:$D,2,FALSE)</f>
        <v>#N/A</v>
      </c>
      <c r="G280" s="136" t="s">
        <v>2090</v>
      </c>
      <c r="H280" s="139" t="s">
        <v>872</v>
      </c>
      <c r="I280" s="139" t="s">
        <v>873</v>
      </c>
      <c r="J280" s="139" t="s">
        <v>874</v>
      </c>
      <c r="K280" s="136" t="s">
        <v>1883</v>
      </c>
      <c r="L280" s="140">
        <v>1</v>
      </c>
      <c r="M280" s="140">
        <v>6310</v>
      </c>
      <c r="N280" s="140">
        <v>4</v>
      </c>
      <c r="O280" s="139">
        <v>0</v>
      </c>
      <c r="P280" s="139" t="b">
        <v>0</v>
      </c>
      <c r="Q280" s="139" t="b">
        <v>1</v>
      </c>
      <c r="R280" s="136" t="s">
        <v>2091</v>
      </c>
      <c r="S280" s="136" t="s">
        <v>2092</v>
      </c>
      <c r="T280" s="141">
        <v>0</v>
      </c>
    </row>
    <row r="281" spans="1:20">
      <c r="A281" s="136" t="s">
        <v>2093</v>
      </c>
      <c r="B281" s="136" t="s">
        <v>869</v>
      </c>
      <c r="C281" s="136" t="s">
        <v>2094</v>
      </c>
      <c r="D281" s="136" t="s">
        <v>2095</v>
      </c>
      <c r="E281" s="137"/>
      <c r="F281" s="145" t="e">
        <f>VLOOKUP(C281,'[3]entities zones'!$C:$D,2,FALSE)</f>
        <v>#N/A</v>
      </c>
      <c r="G281" s="136" t="s">
        <v>2095</v>
      </c>
      <c r="H281" s="139" t="s">
        <v>872</v>
      </c>
      <c r="I281" s="139" t="s">
        <v>873</v>
      </c>
      <c r="J281" s="139" t="s">
        <v>874</v>
      </c>
      <c r="K281" s="136" t="s">
        <v>1883</v>
      </c>
      <c r="L281" s="140">
        <v>1</v>
      </c>
      <c r="M281" s="140">
        <v>6320</v>
      </c>
      <c r="N281" s="140">
        <v>4</v>
      </c>
      <c r="O281" s="139">
        <v>0</v>
      </c>
      <c r="P281" s="139" t="b">
        <v>0</v>
      </c>
      <c r="Q281" s="139" t="b">
        <v>1</v>
      </c>
      <c r="R281" s="136" t="s">
        <v>2096</v>
      </c>
      <c r="S281" s="136" t="s">
        <v>2097</v>
      </c>
      <c r="T281" s="141">
        <v>0</v>
      </c>
    </row>
    <row r="282" spans="1:20">
      <c r="A282" s="136" t="s">
        <v>2098</v>
      </c>
      <c r="B282" s="136" t="s">
        <v>869</v>
      </c>
      <c r="C282" s="136" t="s">
        <v>384</v>
      </c>
      <c r="D282" s="136" t="s">
        <v>2099</v>
      </c>
      <c r="E282" s="137" t="s">
        <v>895</v>
      </c>
      <c r="F282" s="145" t="str">
        <f>VLOOKUP(C282,'[3]entities zones'!$C:$D,2,FALSE)</f>
        <v>EURZONCEN</v>
      </c>
      <c r="G282" s="136" t="s">
        <v>2099</v>
      </c>
      <c r="H282" s="139" t="s">
        <v>872</v>
      </c>
      <c r="I282" s="139" t="s">
        <v>873</v>
      </c>
      <c r="J282" s="139" t="s">
        <v>874</v>
      </c>
      <c r="K282" s="136" t="s">
        <v>1883</v>
      </c>
      <c r="L282" s="140">
        <v>1</v>
      </c>
      <c r="M282" s="140">
        <v>6330</v>
      </c>
      <c r="N282" s="140">
        <v>4</v>
      </c>
      <c r="O282" s="139">
        <v>0</v>
      </c>
      <c r="P282" s="139" t="b">
        <v>0</v>
      </c>
      <c r="Q282" s="139" t="b">
        <v>1</v>
      </c>
      <c r="R282" s="136" t="s">
        <v>2100</v>
      </c>
      <c r="S282" s="136" t="s">
        <v>2101</v>
      </c>
      <c r="T282" s="141">
        <v>0</v>
      </c>
    </row>
    <row r="283" spans="1:20">
      <c r="A283" s="136" t="s">
        <v>2102</v>
      </c>
      <c r="B283" s="136" t="s">
        <v>869</v>
      </c>
      <c r="C283" s="136" t="s">
        <v>387</v>
      </c>
      <c r="D283" s="136" t="s">
        <v>2103</v>
      </c>
      <c r="E283" s="137" t="s">
        <v>895</v>
      </c>
      <c r="F283" s="145" t="str">
        <f>VLOOKUP(C283,'[3]entities zones'!$C:$D,2,FALSE)</f>
        <v>EURZONNOR</v>
      </c>
      <c r="G283" s="136" t="s">
        <v>2103</v>
      </c>
      <c r="H283" s="139" t="s">
        <v>872</v>
      </c>
      <c r="I283" s="139" t="s">
        <v>873</v>
      </c>
      <c r="J283" s="139" t="s">
        <v>874</v>
      </c>
      <c r="K283" s="136" t="s">
        <v>1883</v>
      </c>
      <c r="L283" s="140">
        <v>1</v>
      </c>
      <c r="M283" s="140">
        <v>6340</v>
      </c>
      <c r="N283" s="140">
        <v>4</v>
      </c>
      <c r="O283" s="139">
        <v>0</v>
      </c>
      <c r="P283" s="139" t="b">
        <v>0</v>
      </c>
      <c r="Q283" s="139" t="b">
        <v>1</v>
      </c>
      <c r="R283" s="136" t="s">
        <v>2104</v>
      </c>
      <c r="S283" s="136" t="s">
        <v>2105</v>
      </c>
      <c r="T283" s="141">
        <v>0</v>
      </c>
    </row>
    <row r="284" spans="1:20">
      <c r="A284" s="136" t="s">
        <v>2106</v>
      </c>
      <c r="B284" s="136" t="s">
        <v>869</v>
      </c>
      <c r="C284" s="136" t="s">
        <v>385</v>
      </c>
      <c r="D284" s="136" t="s">
        <v>2107</v>
      </c>
      <c r="E284" s="137" t="s">
        <v>895</v>
      </c>
      <c r="F284" s="145" t="str">
        <f>VLOOKUP(C284,'[3]entities zones'!$C:$D,2,FALSE)</f>
        <v>EURZONCEN</v>
      </c>
      <c r="G284" s="136" t="s">
        <v>2107</v>
      </c>
      <c r="H284" s="139" t="s">
        <v>872</v>
      </c>
      <c r="I284" s="139" t="s">
        <v>873</v>
      </c>
      <c r="J284" s="139" t="s">
        <v>874</v>
      </c>
      <c r="K284" s="136" t="s">
        <v>1883</v>
      </c>
      <c r="L284" s="140">
        <v>1</v>
      </c>
      <c r="M284" s="140">
        <v>6350</v>
      </c>
      <c r="N284" s="140">
        <v>4</v>
      </c>
      <c r="O284" s="139">
        <v>0</v>
      </c>
      <c r="P284" s="139" t="b">
        <v>0</v>
      </c>
      <c r="Q284" s="139" t="b">
        <v>1</v>
      </c>
      <c r="R284" s="136" t="s">
        <v>2108</v>
      </c>
      <c r="S284" s="136" t="s">
        <v>2109</v>
      </c>
      <c r="T284" s="141">
        <v>0</v>
      </c>
    </row>
    <row r="285" spans="1:20">
      <c r="A285" s="136" t="s">
        <v>2110</v>
      </c>
      <c r="B285" s="136" t="s">
        <v>869</v>
      </c>
      <c r="C285" s="136" t="s">
        <v>816</v>
      </c>
      <c r="D285" s="136" t="s">
        <v>2111</v>
      </c>
      <c r="E285" s="137" t="s">
        <v>895</v>
      </c>
      <c r="F285" s="145" t="str">
        <f>VLOOKUP(C285,'[3]entities zones'!$C:$D,2,FALSE)</f>
        <v>EURZONNOR</v>
      </c>
      <c r="G285" s="136" t="s">
        <v>2111</v>
      </c>
      <c r="H285" s="139" t="s">
        <v>872</v>
      </c>
      <c r="I285" s="139" t="s">
        <v>873</v>
      </c>
      <c r="J285" s="139" t="s">
        <v>874</v>
      </c>
      <c r="K285" s="136" t="s">
        <v>1883</v>
      </c>
      <c r="L285" s="140">
        <v>1</v>
      </c>
      <c r="M285" s="140">
        <v>6360</v>
      </c>
      <c r="N285" s="140">
        <v>4</v>
      </c>
      <c r="O285" s="139">
        <v>0</v>
      </c>
      <c r="P285" s="139" t="b">
        <v>0</v>
      </c>
      <c r="Q285" s="139" t="b">
        <v>1</v>
      </c>
      <c r="R285" s="136" t="s">
        <v>2112</v>
      </c>
      <c r="S285" s="136" t="s">
        <v>2113</v>
      </c>
      <c r="T285" s="141">
        <v>0</v>
      </c>
    </row>
    <row r="286" spans="1:20">
      <c r="A286" s="136" t="s">
        <v>2114</v>
      </c>
      <c r="B286" s="136" t="s">
        <v>869</v>
      </c>
      <c r="C286" s="136" t="s">
        <v>386</v>
      </c>
      <c r="D286" s="136" t="s">
        <v>2115</v>
      </c>
      <c r="E286" s="137" t="s">
        <v>895</v>
      </c>
      <c r="F286" s="145" t="str">
        <f>VLOOKUP(C286,'[3]entities zones'!$C:$D,2,FALSE)</f>
        <v>EURZONNOR</v>
      </c>
      <c r="G286" s="136" t="s">
        <v>2115</v>
      </c>
      <c r="H286" s="139" t="s">
        <v>872</v>
      </c>
      <c r="I286" s="139" t="s">
        <v>873</v>
      </c>
      <c r="J286" s="139" t="s">
        <v>874</v>
      </c>
      <c r="K286" s="136" t="s">
        <v>1883</v>
      </c>
      <c r="L286" s="140">
        <v>1</v>
      </c>
      <c r="M286" s="140">
        <v>6370</v>
      </c>
      <c r="N286" s="140">
        <v>4</v>
      </c>
      <c r="O286" s="139">
        <v>0</v>
      </c>
      <c r="P286" s="139" t="b">
        <v>0</v>
      </c>
      <c r="Q286" s="139" t="b">
        <v>1</v>
      </c>
      <c r="R286" s="136" t="s">
        <v>2116</v>
      </c>
      <c r="S286" s="136" t="s">
        <v>2117</v>
      </c>
      <c r="T286" s="141">
        <v>0</v>
      </c>
    </row>
    <row r="287" spans="1:20">
      <c r="A287" s="143" t="s">
        <v>2118</v>
      </c>
      <c r="B287" s="143" t="s">
        <v>869</v>
      </c>
      <c r="C287" s="143" t="s">
        <v>2119</v>
      </c>
      <c r="D287" s="143" t="s">
        <v>2120</v>
      </c>
      <c r="E287" s="144"/>
      <c r="F287" s="145" t="e">
        <f>VLOOKUP(C287,'[3]entities zones'!$C:$D,2,FALSE)</f>
        <v>#N/A</v>
      </c>
      <c r="G287" s="143" t="s">
        <v>2121</v>
      </c>
      <c r="H287" s="146" t="s">
        <v>872</v>
      </c>
      <c r="I287" s="146" t="s">
        <v>873</v>
      </c>
      <c r="J287" s="146" t="s">
        <v>874</v>
      </c>
      <c r="K287" s="143" t="s">
        <v>1883</v>
      </c>
      <c r="L287" s="147">
        <v>1</v>
      </c>
      <c r="M287" s="147">
        <v>9999</v>
      </c>
      <c r="N287" s="147">
        <v>4</v>
      </c>
      <c r="O287" s="146">
        <v>2</v>
      </c>
      <c r="P287" s="146" t="b">
        <v>0</v>
      </c>
      <c r="Q287" s="146" t="b">
        <v>1</v>
      </c>
      <c r="R287" s="143" t="s">
        <v>2122</v>
      </c>
      <c r="S287" s="143" t="s">
        <v>2123</v>
      </c>
      <c r="T287" s="148">
        <v>2</v>
      </c>
    </row>
    <row r="288" spans="1:20">
      <c r="A288" s="136" t="s">
        <v>2124</v>
      </c>
      <c r="B288" s="136" t="s">
        <v>869</v>
      </c>
      <c r="C288" s="136" t="s">
        <v>2125</v>
      </c>
      <c r="D288" s="136" t="s">
        <v>2126</v>
      </c>
      <c r="E288" s="137"/>
      <c r="F288" s="145" t="e">
        <f>VLOOKUP(C288,'[3]entities zones'!$C:$D,2,FALSE)</f>
        <v>#N/A</v>
      </c>
      <c r="G288" s="136" t="s">
        <v>2127</v>
      </c>
      <c r="H288" s="139" t="s">
        <v>872</v>
      </c>
      <c r="I288" s="139" t="s">
        <v>873</v>
      </c>
      <c r="J288" s="139" t="s">
        <v>874</v>
      </c>
      <c r="K288" s="136" t="s">
        <v>2119</v>
      </c>
      <c r="L288" s="140">
        <v>1</v>
      </c>
      <c r="M288" s="140">
        <v>888</v>
      </c>
      <c r="N288" s="140">
        <v>5</v>
      </c>
      <c r="O288" s="139">
        <v>0</v>
      </c>
      <c r="P288" s="139" t="b">
        <v>0</v>
      </c>
      <c r="Q288" s="139" t="b">
        <v>1</v>
      </c>
      <c r="R288" s="136" t="s">
        <v>2128</v>
      </c>
      <c r="S288" s="136" t="s">
        <v>2129</v>
      </c>
      <c r="T288" s="141">
        <v>0</v>
      </c>
    </row>
    <row r="289" spans="1:20">
      <c r="A289" s="136" t="s">
        <v>2130</v>
      </c>
      <c r="B289" s="136" t="s">
        <v>869</v>
      </c>
      <c r="C289" s="136" t="s">
        <v>2131</v>
      </c>
      <c r="D289" s="136" t="s">
        <v>2132</v>
      </c>
      <c r="E289" s="137"/>
      <c r="F289" s="145" t="e">
        <f>VLOOKUP(C289,'[3]entities zones'!$C:$D,2,FALSE)</f>
        <v>#N/A</v>
      </c>
      <c r="G289" s="136" t="s">
        <v>2133</v>
      </c>
      <c r="H289" s="139" t="s">
        <v>872</v>
      </c>
      <c r="I289" s="139" t="s">
        <v>873</v>
      </c>
      <c r="J289" s="139" t="s">
        <v>874</v>
      </c>
      <c r="K289" s="136" t="s">
        <v>2119</v>
      </c>
      <c r="L289" s="140">
        <v>1</v>
      </c>
      <c r="M289" s="140">
        <v>999</v>
      </c>
      <c r="N289" s="140">
        <v>5</v>
      </c>
      <c r="O289" s="139">
        <v>0</v>
      </c>
      <c r="P289" s="139" t="b">
        <v>0</v>
      </c>
      <c r="Q289" s="139" t="b">
        <v>1</v>
      </c>
      <c r="R289" s="136" t="s">
        <v>2134</v>
      </c>
      <c r="S289" s="136" t="s">
        <v>2135</v>
      </c>
      <c r="T289" s="141">
        <v>0</v>
      </c>
    </row>
    <row r="290" spans="1:20">
      <c r="A290" s="136" t="s">
        <v>2136</v>
      </c>
      <c r="B290" s="136" t="s">
        <v>869</v>
      </c>
      <c r="C290" s="136" t="s">
        <v>2137</v>
      </c>
      <c r="D290" s="136" t="s">
        <v>2138</v>
      </c>
      <c r="E290" s="137"/>
      <c r="F290" s="145" t="str">
        <f>VLOOKUP(C290,'[3]entities zones'!$C:$D,2,FALSE)</f>
        <v>EURZONNOR</v>
      </c>
      <c r="G290" s="136" t="s">
        <v>2138</v>
      </c>
      <c r="H290" s="139" t="s">
        <v>872</v>
      </c>
      <c r="I290" s="139" t="s">
        <v>873</v>
      </c>
      <c r="J290" s="139" t="s">
        <v>874</v>
      </c>
      <c r="K290" s="136" t="s">
        <v>512</v>
      </c>
      <c r="L290" s="140">
        <v>1</v>
      </c>
      <c r="M290" s="140">
        <v>710</v>
      </c>
      <c r="N290" s="140">
        <v>3</v>
      </c>
      <c r="O290" s="139">
        <v>0</v>
      </c>
      <c r="P290" s="139" t="b">
        <v>0</v>
      </c>
      <c r="Q290" s="139" t="b">
        <v>1</v>
      </c>
      <c r="R290" s="136" t="s">
        <v>2139</v>
      </c>
      <c r="S290" s="136" t="s">
        <v>2140</v>
      </c>
      <c r="T290" s="141">
        <v>0</v>
      </c>
    </row>
    <row r="291" spans="1:20">
      <c r="A291" s="142" t="s">
        <v>2141</v>
      </c>
      <c r="B291" s="143" t="s">
        <v>869</v>
      </c>
      <c r="C291" s="143" t="s">
        <v>2142</v>
      </c>
      <c r="D291" s="143" t="s">
        <v>2143</v>
      </c>
      <c r="E291" s="144"/>
      <c r="F291" s="145" t="e">
        <f>VLOOKUP(C291,'[3]entities zones'!$C:$D,2,FALSE)</f>
        <v>#N/A</v>
      </c>
      <c r="G291" s="143" t="s">
        <v>2144</v>
      </c>
      <c r="H291" s="146" t="s">
        <v>872</v>
      </c>
      <c r="I291" s="146" t="s">
        <v>873</v>
      </c>
      <c r="J291" s="146" t="s">
        <v>874</v>
      </c>
      <c r="K291" s="143" t="s">
        <v>512</v>
      </c>
      <c r="L291" s="147">
        <v>1</v>
      </c>
      <c r="M291" s="147">
        <v>888</v>
      </c>
      <c r="N291" s="147">
        <v>3</v>
      </c>
      <c r="O291" s="146">
        <v>6</v>
      </c>
      <c r="P291" s="146" t="b">
        <v>1</v>
      </c>
      <c r="Q291" s="146" t="b">
        <v>1</v>
      </c>
      <c r="R291" s="143" t="s">
        <v>1150</v>
      </c>
      <c r="S291" s="143" t="s">
        <v>2145</v>
      </c>
      <c r="T291" s="148">
        <v>6</v>
      </c>
    </row>
    <row r="292" spans="1:20">
      <c r="A292" s="136" t="s">
        <v>2146</v>
      </c>
      <c r="B292" s="136" t="s">
        <v>869</v>
      </c>
      <c r="C292" s="136" t="s">
        <v>2147</v>
      </c>
      <c r="D292" s="136" t="s">
        <v>2148</v>
      </c>
      <c r="E292" s="137"/>
      <c r="F292" s="145" t="e">
        <f>VLOOKUP(C292,'[3]entities zones'!$C:$D,2,FALSE)</f>
        <v>#N/A</v>
      </c>
      <c r="G292" s="136" t="s">
        <v>2149</v>
      </c>
      <c r="H292" s="139" t="s">
        <v>872</v>
      </c>
      <c r="I292" s="139" t="s">
        <v>873</v>
      </c>
      <c r="J292" s="139" t="s">
        <v>874</v>
      </c>
      <c r="K292" s="136" t="s">
        <v>2142</v>
      </c>
      <c r="L292" s="140">
        <v>1</v>
      </c>
      <c r="M292" s="140">
        <v>210</v>
      </c>
      <c r="N292" s="140">
        <v>4</v>
      </c>
      <c r="O292" s="139">
        <v>0</v>
      </c>
      <c r="P292" s="139" t="b">
        <v>0</v>
      </c>
      <c r="Q292" s="139" t="b">
        <v>1</v>
      </c>
      <c r="R292" s="136" t="s">
        <v>1132</v>
      </c>
      <c r="S292" s="136" t="s">
        <v>2150</v>
      </c>
      <c r="T292" s="141">
        <v>0</v>
      </c>
    </row>
    <row r="293" spans="1:20">
      <c r="A293" s="136" t="s">
        <v>2151</v>
      </c>
      <c r="B293" s="136" t="s">
        <v>869</v>
      </c>
      <c r="C293" s="136" t="s">
        <v>2152</v>
      </c>
      <c r="D293" s="136" t="s">
        <v>2153</v>
      </c>
      <c r="E293" s="137"/>
      <c r="F293" s="145" t="e">
        <f>VLOOKUP(C293,'[3]entities zones'!$C:$D,2,FALSE)</f>
        <v>#N/A</v>
      </c>
      <c r="G293" s="136" t="s">
        <v>2153</v>
      </c>
      <c r="H293" s="139" t="s">
        <v>872</v>
      </c>
      <c r="I293" s="139" t="s">
        <v>873</v>
      </c>
      <c r="J293" s="139" t="s">
        <v>874</v>
      </c>
      <c r="K293" s="136" t="s">
        <v>2142</v>
      </c>
      <c r="L293" s="140">
        <v>1</v>
      </c>
      <c r="M293" s="140">
        <v>210</v>
      </c>
      <c r="N293" s="140">
        <v>4</v>
      </c>
      <c r="O293" s="139">
        <v>0</v>
      </c>
      <c r="P293" s="139" t="b">
        <v>0</v>
      </c>
      <c r="Q293" s="139" t="b">
        <v>1</v>
      </c>
      <c r="R293" s="136" t="s">
        <v>1204</v>
      </c>
      <c r="S293" s="136" t="s">
        <v>2154</v>
      </c>
      <c r="T293" s="141">
        <v>0</v>
      </c>
    </row>
    <row r="294" spans="1:20">
      <c r="A294" s="136" t="s">
        <v>2155</v>
      </c>
      <c r="B294" s="136" t="s">
        <v>869</v>
      </c>
      <c r="C294" s="136" t="s">
        <v>2156</v>
      </c>
      <c r="D294" s="136" t="s">
        <v>2157</v>
      </c>
      <c r="E294" s="137"/>
      <c r="F294" s="145" t="e">
        <f>VLOOKUP(C294,'[3]entities zones'!$C:$D,2,FALSE)</f>
        <v>#N/A</v>
      </c>
      <c r="G294" s="136" t="s">
        <v>2157</v>
      </c>
      <c r="H294" s="139" t="s">
        <v>872</v>
      </c>
      <c r="I294" s="139" t="s">
        <v>873</v>
      </c>
      <c r="J294" s="139" t="s">
        <v>874</v>
      </c>
      <c r="K294" s="136" t="s">
        <v>2142</v>
      </c>
      <c r="L294" s="140">
        <v>1</v>
      </c>
      <c r="M294" s="140">
        <v>210</v>
      </c>
      <c r="N294" s="140">
        <v>4</v>
      </c>
      <c r="O294" s="139">
        <v>0</v>
      </c>
      <c r="P294" s="139" t="b">
        <v>0</v>
      </c>
      <c r="Q294" s="139" t="b">
        <v>1</v>
      </c>
      <c r="R294" s="136" t="s">
        <v>2158</v>
      </c>
      <c r="S294" s="136" t="s">
        <v>2159</v>
      </c>
      <c r="T294" s="141">
        <v>0</v>
      </c>
    </row>
    <row r="295" spans="1:20">
      <c r="A295" s="136" t="s">
        <v>2160</v>
      </c>
      <c r="B295" s="136" t="s">
        <v>869</v>
      </c>
      <c r="C295" s="136" t="s">
        <v>2161</v>
      </c>
      <c r="D295" s="136" t="s">
        <v>2162</v>
      </c>
      <c r="E295" s="137"/>
      <c r="F295" s="145" t="e">
        <f>VLOOKUP(C295,'[3]entities zones'!$C:$D,2,FALSE)</f>
        <v>#N/A</v>
      </c>
      <c r="G295" s="136" t="s">
        <v>2163</v>
      </c>
      <c r="H295" s="139" t="s">
        <v>872</v>
      </c>
      <c r="I295" s="139" t="s">
        <v>873</v>
      </c>
      <c r="J295" s="139" t="s">
        <v>874</v>
      </c>
      <c r="K295" s="136" t="s">
        <v>2142</v>
      </c>
      <c r="L295" s="140">
        <v>1</v>
      </c>
      <c r="M295" s="140">
        <v>888</v>
      </c>
      <c r="N295" s="140">
        <v>4</v>
      </c>
      <c r="O295" s="139">
        <v>0</v>
      </c>
      <c r="P295" s="139" t="b">
        <v>0</v>
      </c>
      <c r="Q295" s="139" t="b">
        <v>1</v>
      </c>
      <c r="R295" s="136" t="s">
        <v>998</v>
      </c>
      <c r="S295" s="136" t="s">
        <v>2164</v>
      </c>
      <c r="T295" s="141">
        <v>0</v>
      </c>
    </row>
    <row r="296" spans="1:20">
      <c r="A296" s="136" t="s">
        <v>2165</v>
      </c>
      <c r="B296" s="136" t="s">
        <v>869</v>
      </c>
      <c r="C296" s="136" t="s">
        <v>2166</v>
      </c>
      <c r="D296" s="136" t="s">
        <v>2167</v>
      </c>
      <c r="E296" s="137"/>
      <c r="F296" s="145" t="e">
        <f>VLOOKUP(C296,'[3]entities zones'!$C:$D,2,FALSE)</f>
        <v>#N/A</v>
      </c>
      <c r="G296" s="136" t="s">
        <v>2168</v>
      </c>
      <c r="H296" s="139" t="s">
        <v>872</v>
      </c>
      <c r="I296" s="139" t="s">
        <v>873</v>
      </c>
      <c r="J296" s="139" t="s">
        <v>874</v>
      </c>
      <c r="K296" s="136" t="s">
        <v>2142</v>
      </c>
      <c r="L296" s="140">
        <v>1</v>
      </c>
      <c r="M296" s="140">
        <v>889</v>
      </c>
      <c r="N296" s="140">
        <v>4</v>
      </c>
      <c r="O296" s="139">
        <v>0</v>
      </c>
      <c r="P296" s="139" t="b">
        <v>0</v>
      </c>
      <c r="Q296" s="139" t="b">
        <v>1</v>
      </c>
      <c r="R296" s="136" t="s">
        <v>2169</v>
      </c>
      <c r="S296" s="136" t="s">
        <v>2170</v>
      </c>
      <c r="T296" s="141">
        <v>0</v>
      </c>
    </row>
    <row r="297" spans="1:20">
      <c r="A297" s="136" t="s">
        <v>2171</v>
      </c>
      <c r="B297" s="136" t="s">
        <v>869</v>
      </c>
      <c r="C297" s="136" t="s">
        <v>2172</v>
      </c>
      <c r="D297" s="136" t="s">
        <v>2173</v>
      </c>
      <c r="E297" s="137"/>
      <c r="F297" s="145" t="e">
        <f>VLOOKUP(C297,'[3]entities zones'!$C:$D,2,FALSE)</f>
        <v>#N/A</v>
      </c>
      <c r="G297" s="136" t="s">
        <v>2174</v>
      </c>
      <c r="H297" s="139" t="s">
        <v>872</v>
      </c>
      <c r="I297" s="139" t="s">
        <v>873</v>
      </c>
      <c r="J297" s="139" t="s">
        <v>874</v>
      </c>
      <c r="K297" s="136" t="s">
        <v>2142</v>
      </c>
      <c r="L297" s="140">
        <v>1</v>
      </c>
      <c r="M297" s="140">
        <v>999</v>
      </c>
      <c r="N297" s="140">
        <v>4</v>
      </c>
      <c r="O297" s="139">
        <v>0</v>
      </c>
      <c r="P297" s="139" t="b">
        <v>0</v>
      </c>
      <c r="Q297" s="139" t="b">
        <v>1</v>
      </c>
      <c r="R297" s="136" t="s">
        <v>2169</v>
      </c>
      <c r="S297" s="136" t="s">
        <v>2145</v>
      </c>
      <c r="T297" s="141">
        <v>0</v>
      </c>
    </row>
    <row r="298" spans="1:20">
      <c r="A298" s="142" t="s">
        <v>2175</v>
      </c>
      <c r="B298" s="143" t="s">
        <v>869</v>
      </c>
      <c r="C298" s="143" t="s">
        <v>2176</v>
      </c>
      <c r="D298" s="143" t="s">
        <v>2177</v>
      </c>
      <c r="E298" s="144"/>
      <c r="F298" s="145" t="str">
        <f>VLOOKUP(C298,'[3]entities zones'!$C:$D,2,FALSE)</f>
        <v>EURZONNOR</v>
      </c>
      <c r="G298" s="143" t="s">
        <v>2178</v>
      </c>
      <c r="H298" s="146" t="s">
        <v>872</v>
      </c>
      <c r="I298" s="146" t="s">
        <v>873</v>
      </c>
      <c r="J298" s="146" t="s">
        <v>874</v>
      </c>
      <c r="K298" s="143" t="s">
        <v>879</v>
      </c>
      <c r="L298" s="147">
        <v>1</v>
      </c>
      <c r="M298" s="147">
        <v>20</v>
      </c>
      <c r="N298" s="147">
        <v>2</v>
      </c>
      <c r="O298" s="146">
        <v>2</v>
      </c>
      <c r="P298" s="146" t="b">
        <v>1</v>
      </c>
      <c r="Q298" s="146" t="b">
        <v>1</v>
      </c>
      <c r="R298" s="143" t="s">
        <v>2169</v>
      </c>
      <c r="S298" s="143" t="s">
        <v>2179</v>
      </c>
      <c r="T298" s="148">
        <v>5</v>
      </c>
    </row>
    <row r="299" spans="1:20">
      <c r="A299" s="136" t="s">
        <v>2180</v>
      </c>
      <c r="B299" s="136" t="s">
        <v>869</v>
      </c>
      <c r="C299" s="136" t="s">
        <v>830</v>
      </c>
      <c r="D299" s="136" t="s">
        <v>2181</v>
      </c>
      <c r="E299" s="137" t="s">
        <v>895</v>
      </c>
      <c r="F299" s="145" t="str">
        <f>VLOOKUP(C299,'[3]entities zones'!$C:$D,2,FALSE)</f>
        <v>EURZONNOR</v>
      </c>
      <c r="G299" s="136" t="s">
        <v>2181</v>
      </c>
      <c r="H299" s="139" t="s">
        <v>872</v>
      </c>
      <c r="I299" s="139" t="s">
        <v>873</v>
      </c>
      <c r="J299" s="139" t="s">
        <v>874</v>
      </c>
      <c r="K299" s="136" t="s">
        <v>2176</v>
      </c>
      <c r="L299" s="140">
        <v>1</v>
      </c>
      <c r="M299" s="140">
        <v>20</v>
      </c>
      <c r="N299" s="140">
        <v>3</v>
      </c>
      <c r="O299" s="139">
        <v>0</v>
      </c>
      <c r="P299" s="139" t="b">
        <v>0</v>
      </c>
      <c r="Q299" s="139" t="b">
        <v>1</v>
      </c>
      <c r="R299" s="136" t="s">
        <v>882</v>
      </c>
      <c r="S299" s="136" t="s">
        <v>2182</v>
      </c>
      <c r="T299" s="141">
        <v>0</v>
      </c>
    </row>
    <row r="300" spans="1:20">
      <c r="A300" s="142" t="s">
        <v>2183</v>
      </c>
      <c r="B300" s="143" t="s">
        <v>869</v>
      </c>
      <c r="C300" s="143" t="s">
        <v>2184</v>
      </c>
      <c r="D300" s="143" t="s">
        <v>2185</v>
      </c>
      <c r="E300" s="144"/>
      <c r="F300" s="145" t="str">
        <f>VLOOKUP(C300,'[3]entities zones'!$C:$D,2,FALSE)</f>
        <v>EURZONNOR</v>
      </c>
      <c r="G300" s="143" t="s">
        <v>2186</v>
      </c>
      <c r="H300" s="146" t="s">
        <v>872</v>
      </c>
      <c r="I300" s="146" t="s">
        <v>873</v>
      </c>
      <c r="J300" s="146" t="s">
        <v>874</v>
      </c>
      <c r="K300" s="143" t="s">
        <v>2176</v>
      </c>
      <c r="L300" s="147">
        <v>1</v>
      </c>
      <c r="M300" s="147">
        <v>888</v>
      </c>
      <c r="N300" s="147">
        <v>3</v>
      </c>
      <c r="O300" s="146">
        <v>3</v>
      </c>
      <c r="P300" s="146" t="b">
        <v>1</v>
      </c>
      <c r="Q300" s="146" t="b">
        <v>1</v>
      </c>
      <c r="R300" s="143" t="s">
        <v>2169</v>
      </c>
      <c r="S300" s="143" t="s">
        <v>2187</v>
      </c>
      <c r="T300" s="148">
        <v>3</v>
      </c>
    </row>
    <row r="301" spans="1:20">
      <c r="A301" s="136" t="s">
        <v>2188</v>
      </c>
      <c r="B301" s="136" t="s">
        <v>869</v>
      </c>
      <c r="C301" s="136" t="s">
        <v>2189</v>
      </c>
      <c r="D301" s="136" t="s">
        <v>2190</v>
      </c>
      <c r="E301" s="137"/>
      <c r="F301" s="145" t="str">
        <f>VLOOKUP(C301,'[3]entities zones'!$C:$D,2,FALSE)</f>
        <v>EURZONNOR</v>
      </c>
      <c r="G301" s="136" t="s">
        <v>2190</v>
      </c>
      <c r="H301" s="139" t="s">
        <v>872</v>
      </c>
      <c r="I301" s="139" t="s">
        <v>873</v>
      </c>
      <c r="J301" s="139" t="s">
        <v>874</v>
      </c>
      <c r="K301" s="136" t="s">
        <v>2184</v>
      </c>
      <c r="L301" s="140">
        <v>1</v>
      </c>
      <c r="M301" s="140">
        <v>30</v>
      </c>
      <c r="N301" s="140">
        <v>4</v>
      </c>
      <c r="O301" s="139">
        <v>0</v>
      </c>
      <c r="P301" s="139" t="b">
        <v>0</v>
      </c>
      <c r="Q301" s="139" t="b">
        <v>1</v>
      </c>
      <c r="R301" s="136" t="s">
        <v>882</v>
      </c>
      <c r="S301" s="136" t="s">
        <v>2191</v>
      </c>
      <c r="T301" s="141">
        <v>0</v>
      </c>
    </row>
    <row r="302" spans="1:20">
      <c r="A302" s="136" t="s">
        <v>2192</v>
      </c>
      <c r="B302" s="136" t="s">
        <v>869</v>
      </c>
      <c r="C302" s="136" t="s">
        <v>2193</v>
      </c>
      <c r="D302" s="136" t="s">
        <v>2194</v>
      </c>
      <c r="E302" s="137"/>
      <c r="F302" s="145" t="str">
        <f>VLOOKUP(C302,'[3]entities zones'!$C:$D,2,FALSE)</f>
        <v>EURZONNOR</v>
      </c>
      <c r="G302" s="136" t="s">
        <v>2195</v>
      </c>
      <c r="H302" s="139" t="s">
        <v>872</v>
      </c>
      <c r="I302" s="139" t="s">
        <v>873</v>
      </c>
      <c r="J302" s="139" t="s">
        <v>874</v>
      </c>
      <c r="K302" s="136" t="s">
        <v>2184</v>
      </c>
      <c r="L302" s="140">
        <v>1</v>
      </c>
      <c r="M302" s="140">
        <v>888</v>
      </c>
      <c r="N302" s="140">
        <v>4</v>
      </c>
      <c r="O302" s="139">
        <v>0</v>
      </c>
      <c r="P302" s="139" t="b">
        <v>0</v>
      </c>
      <c r="Q302" s="139" t="b">
        <v>1</v>
      </c>
      <c r="R302" s="136" t="s">
        <v>2169</v>
      </c>
      <c r="S302" s="136" t="s">
        <v>2187</v>
      </c>
      <c r="T302" s="141">
        <v>0</v>
      </c>
    </row>
    <row r="303" spans="1:20">
      <c r="A303" s="136" t="s">
        <v>2196</v>
      </c>
      <c r="B303" s="136" t="s">
        <v>869</v>
      </c>
      <c r="C303" s="136" t="s">
        <v>2197</v>
      </c>
      <c r="D303" s="136" t="s">
        <v>2198</v>
      </c>
      <c r="E303" s="137"/>
      <c r="F303" s="145" t="str">
        <f>VLOOKUP(C303,'[3]entities zones'!$C:$D,2,FALSE)</f>
        <v>EURZONNOR</v>
      </c>
      <c r="G303" s="136" t="s">
        <v>2199</v>
      </c>
      <c r="H303" s="139" t="s">
        <v>872</v>
      </c>
      <c r="I303" s="139" t="s">
        <v>873</v>
      </c>
      <c r="J303" s="139" t="s">
        <v>874</v>
      </c>
      <c r="K303" s="136" t="s">
        <v>2184</v>
      </c>
      <c r="L303" s="140">
        <v>1</v>
      </c>
      <c r="M303" s="140">
        <v>999</v>
      </c>
      <c r="N303" s="140">
        <v>4</v>
      </c>
      <c r="O303" s="139">
        <v>0</v>
      </c>
      <c r="P303" s="139" t="b">
        <v>0</v>
      </c>
      <c r="Q303" s="139" t="b">
        <v>1</v>
      </c>
      <c r="R303" s="136" t="s">
        <v>2169</v>
      </c>
      <c r="S303" s="136" t="s">
        <v>2187</v>
      </c>
      <c r="T303" s="141">
        <v>0</v>
      </c>
    </row>
    <row r="304" spans="1:20">
      <c r="A304" s="142" t="s">
        <v>2200</v>
      </c>
      <c r="B304" s="143" t="s">
        <v>869</v>
      </c>
      <c r="C304" s="143" t="s">
        <v>2201</v>
      </c>
      <c r="D304" s="143" t="s">
        <v>2202</v>
      </c>
      <c r="E304" s="144"/>
      <c r="F304" s="145" t="str">
        <f>VLOOKUP(C304,'[3]entities zones'!$C:$D,2,FALSE)</f>
        <v>EURZONSUD</v>
      </c>
      <c r="G304" s="143" t="s">
        <v>2203</v>
      </c>
      <c r="H304" s="146" t="s">
        <v>872</v>
      </c>
      <c r="I304" s="146" t="s">
        <v>873</v>
      </c>
      <c r="J304" s="146" t="s">
        <v>874</v>
      </c>
      <c r="K304" s="143" t="s">
        <v>879</v>
      </c>
      <c r="L304" s="147">
        <v>1</v>
      </c>
      <c r="M304" s="147">
        <v>30</v>
      </c>
      <c r="N304" s="147">
        <v>2</v>
      </c>
      <c r="O304" s="146">
        <v>6</v>
      </c>
      <c r="P304" s="146" t="b">
        <v>1</v>
      </c>
      <c r="Q304" s="146" t="b">
        <v>1</v>
      </c>
      <c r="R304" s="143" t="s">
        <v>2169</v>
      </c>
      <c r="S304" s="143" t="s">
        <v>2204</v>
      </c>
      <c r="T304" s="148">
        <v>18</v>
      </c>
    </row>
    <row r="305" spans="1:20">
      <c r="A305" s="143" t="s">
        <v>2205</v>
      </c>
      <c r="B305" s="143" t="s">
        <v>869</v>
      </c>
      <c r="C305" s="143" t="s">
        <v>2206</v>
      </c>
      <c r="D305" s="143" t="s">
        <v>2207</v>
      </c>
      <c r="E305" s="144"/>
      <c r="F305" s="145" t="str">
        <f>VLOOKUP(C305,'[3]entities zones'!$C:$D,2,FALSE)</f>
        <v>EURZONSUD</v>
      </c>
      <c r="G305" s="143" t="s">
        <v>2207</v>
      </c>
      <c r="H305" s="146" t="s">
        <v>872</v>
      </c>
      <c r="I305" s="146" t="s">
        <v>873</v>
      </c>
      <c r="J305" s="146" t="s">
        <v>874</v>
      </c>
      <c r="K305" s="143" t="s">
        <v>2201</v>
      </c>
      <c r="L305" s="147">
        <v>1</v>
      </c>
      <c r="M305" s="147">
        <v>1</v>
      </c>
      <c r="N305" s="147">
        <v>3</v>
      </c>
      <c r="O305" s="146">
        <v>2</v>
      </c>
      <c r="P305" s="146" t="b">
        <v>0</v>
      </c>
      <c r="Q305" s="146" t="b">
        <v>1</v>
      </c>
      <c r="R305" s="143" t="s">
        <v>2208</v>
      </c>
      <c r="S305" s="143" t="s">
        <v>2209</v>
      </c>
      <c r="T305" s="148">
        <v>4</v>
      </c>
    </row>
    <row r="306" spans="1:20">
      <c r="A306" s="136" t="s">
        <v>2210</v>
      </c>
      <c r="B306" s="136" t="s">
        <v>869</v>
      </c>
      <c r="C306" s="136" t="s">
        <v>2211</v>
      </c>
      <c r="D306" s="136" t="s">
        <v>2212</v>
      </c>
      <c r="E306" s="137"/>
      <c r="F306" s="145" t="str">
        <f>VLOOKUP(C306,'[3]entities zones'!$C:$D,2,FALSE)</f>
        <v>EURZONSUD</v>
      </c>
      <c r="G306" s="136" t="s">
        <v>2212</v>
      </c>
      <c r="H306" s="139" t="s">
        <v>872</v>
      </c>
      <c r="I306" s="139" t="s">
        <v>873</v>
      </c>
      <c r="J306" s="139" t="s">
        <v>874</v>
      </c>
      <c r="K306" s="136" t="s">
        <v>2206</v>
      </c>
      <c r="L306" s="140">
        <v>1</v>
      </c>
      <c r="M306" s="140">
        <v>1</v>
      </c>
      <c r="N306" s="140">
        <v>4</v>
      </c>
      <c r="O306" s="139">
        <v>0</v>
      </c>
      <c r="P306" s="139" t="b">
        <v>0</v>
      </c>
      <c r="Q306" s="139" t="b">
        <v>1</v>
      </c>
      <c r="R306" s="136" t="s">
        <v>2213</v>
      </c>
      <c r="S306" s="136" t="s">
        <v>2214</v>
      </c>
      <c r="T306" s="141">
        <v>0</v>
      </c>
    </row>
    <row r="307" spans="1:20">
      <c r="A307" s="143" t="s">
        <v>2215</v>
      </c>
      <c r="B307" s="143" t="s">
        <v>869</v>
      </c>
      <c r="C307" s="143" t="s">
        <v>2216</v>
      </c>
      <c r="D307" s="143" t="s">
        <v>2217</v>
      </c>
      <c r="E307" s="144"/>
      <c r="F307" s="145" t="str">
        <f>VLOOKUP(C307,'[3]entities zones'!$C:$D,2,FALSE)</f>
        <v>EURZONSUD</v>
      </c>
      <c r="G307" s="143" t="s">
        <v>2218</v>
      </c>
      <c r="H307" s="146" t="s">
        <v>872</v>
      </c>
      <c r="I307" s="146" t="s">
        <v>873</v>
      </c>
      <c r="J307" s="146" t="s">
        <v>874</v>
      </c>
      <c r="K307" s="143" t="s">
        <v>2206</v>
      </c>
      <c r="L307" s="147">
        <v>1</v>
      </c>
      <c r="M307" s="147">
        <v>10</v>
      </c>
      <c r="N307" s="147">
        <v>4</v>
      </c>
      <c r="O307" s="146">
        <v>2</v>
      </c>
      <c r="P307" s="146" t="b">
        <v>0</v>
      </c>
      <c r="Q307" s="146" t="b">
        <v>1</v>
      </c>
      <c r="R307" s="143" t="s">
        <v>2219</v>
      </c>
      <c r="S307" s="143" t="s">
        <v>2220</v>
      </c>
      <c r="T307" s="148">
        <v>2</v>
      </c>
    </row>
    <row r="308" spans="1:20">
      <c r="A308" s="136" t="s">
        <v>2221</v>
      </c>
      <c r="B308" s="136" t="s">
        <v>869</v>
      </c>
      <c r="C308" s="136" t="s">
        <v>2222</v>
      </c>
      <c r="D308" s="136" t="s">
        <v>2223</v>
      </c>
      <c r="E308" s="137"/>
      <c r="F308" s="145" t="str">
        <f>VLOOKUP(C308,'[3]entities zones'!$C:$D,2,FALSE)</f>
        <v>EURZONSUD</v>
      </c>
      <c r="G308" s="136" t="s">
        <v>2223</v>
      </c>
      <c r="H308" s="139" t="s">
        <v>872</v>
      </c>
      <c r="I308" s="139" t="s">
        <v>873</v>
      </c>
      <c r="J308" s="139" t="s">
        <v>874</v>
      </c>
      <c r="K308" s="136" t="s">
        <v>2216</v>
      </c>
      <c r="L308" s="140">
        <v>1</v>
      </c>
      <c r="M308" s="140">
        <v>888</v>
      </c>
      <c r="N308" s="140">
        <v>5</v>
      </c>
      <c r="O308" s="139">
        <v>0</v>
      </c>
      <c r="P308" s="139" t="b">
        <v>0</v>
      </c>
      <c r="Q308" s="139" t="b">
        <v>1</v>
      </c>
      <c r="R308" s="136" t="s">
        <v>2224</v>
      </c>
      <c r="S308" s="136" t="s">
        <v>2225</v>
      </c>
      <c r="T308" s="141">
        <v>0</v>
      </c>
    </row>
    <row r="309" spans="1:20">
      <c r="A309" s="136" t="s">
        <v>2226</v>
      </c>
      <c r="B309" s="136" t="s">
        <v>869</v>
      </c>
      <c r="C309" s="136" t="s">
        <v>2227</v>
      </c>
      <c r="D309" s="136" t="s">
        <v>2228</v>
      </c>
      <c r="E309" s="137"/>
      <c r="F309" s="145" t="str">
        <f>VLOOKUP(C309,'[3]entities zones'!$C:$D,2,FALSE)</f>
        <v>EURZONSUD</v>
      </c>
      <c r="G309" s="136" t="s">
        <v>2228</v>
      </c>
      <c r="H309" s="139" t="s">
        <v>872</v>
      </c>
      <c r="I309" s="139" t="s">
        <v>873</v>
      </c>
      <c r="J309" s="139" t="s">
        <v>874</v>
      </c>
      <c r="K309" s="136" t="s">
        <v>2216</v>
      </c>
      <c r="L309" s="140">
        <v>1</v>
      </c>
      <c r="M309" s="140">
        <v>999</v>
      </c>
      <c r="N309" s="140">
        <v>5</v>
      </c>
      <c r="O309" s="139">
        <v>0</v>
      </c>
      <c r="P309" s="139" t="b">
        <v>0</v>
      </c>
      <c r="Q309" s="139" t="b">
        <v>1</v>
      </c>
      <c r="R309" s="136" t="s">
        <v>2229</v>
      </c>
      <c r="S309" s="136" t="s">
        <v>2230</v>
      </c>
      <c r="T309" s="141">
        <v>0</v>
      </c>
    </row>
    <row r="310" spans="1:20">
      <c r="A310" s="136" t="s">
        <v>2231</v>
      </c>
      <c r="B310" s="136" t="s">
        <v>869</v>
      </c>
      <c r="C310" s="136" t="s">
        <v>499</v>
      </c>
      <c r="D310" s="136" t="s">
        <v>2232</v>
      </c>
      <c r="E310" s="137" t="s">
        <v>895</v>
      </c>
      <c r="F310" s="145" t="str">
        <f>VLOOKUP(C310,'[3]entities zones'!$C:$D,2,FALSE)</f>
        <v>EURZONSUD</v>
      </c>
      <c r="G310" s="136" t="s">
        <v>2232</v>
      </c>
      <c r="H310" s="139" t="s">
        <v>872</v>
      </c>
      <c r="I310" s="139" t="s">
        <v>873</v>
      </c>
      <c r="J310" s="139" t="s">
        <v>874</v>
      </c>
      <c r="K310" s="136" t="s">
        <v>2201</v>
      </c>
      <c r="L310" s="140">
        <v>1</v>
      </c>
      <c r="M310" s="140">
        <v>15</v>
      </c>
      <c r="N310" s="140">
        <v>3</v>
      </c>
      <c r="O310" s="139">
        <v>0</v>
      </c>
      <c r="P310" s="139" t="b">
        <v>0</v>
      </c>
      <c r="Q310" s="139" t="b">
        <v>1</v>
      </c>
      <c r="R310" s="136" t="s">
        <v>882</v>
      </c>
      <c r="S310" s="136" t="s">
        <v>2233</v>
      </c>
      <c r="T310" s="141">
        <v>0</v>
      </c>
    </row>
    <row r="311" spans="1:20">
      <c r="A311" s="136" t="s">
        <v>2234</v>
      </c>
      <c r="B311" s="136" t="s">
        <v>869</v>
      </c>
      <c r="C311" s="136" t="s">
        <v>501</v>
      </c>
      <c r="D311" s="136" t="s">
        <v>834</v>
      </c>
      <c r="E311" s="137" t="s">
        <v>895</v>
      </c>
      <c r="F311" s="145" t="str">
        <f>VLOOKUP(C311,'[3]entities zones'!$C:$D,2,FALSE)</f>
        <v>EURZONSUD</v>
      </c>
      <c r="G311" s="136" t="s">
        <v>834</v>
      </c>
      <c r="H311" s="139" t="s">
        <v>872</v>
      </c>
      <c r="I311" s="139" t="s">
        <v>873</v>
      </c>
      <c r="J311" s="139" t="s">
        <v>874</v>
      </c>
      <c r="K311" s="136" t="s">
        <v>2201</v>
      </c>
      <c r="L311" s="140">
        <v>1</v>
      </c>
      <c r="M311" s="140">
        <v>20</v>
      </c>
      <c r="N311" s="140">
        <v>3</v>
      </c>
      <c r="O311" s="139">
        <v>0</v>
      </c>
      <c r="P311" s="139" t="b">
        <v>0</v>
      </c>
      <c r="Q311" s="139" t="b">
        <v>1</v>
      </c>
      <c r="R311" s="136" t="s">
        <v>882</v>
      </c>
      <c r="S311" s="136" t="s">
        <v>2235</v>
      </c>
      <c r="T311" s="141">
        <v>0</v>
      </c>
    </row>
    <row r="312" spans="1:20">
      <c r="A312" s="143" t="s">
        <v>2236</v>
      </c>
      <c r="B312" s="143" t="s">
        <v>869</v>
      </c>
      <c r="C312" s="143" t="s">
        <v>2237</v>
      </c>
      <c r="D312" s="143" t="s">
        <v>2238</v>
      </c>
      <c r="E312" s="144"/>
      <c r="F312" s="145" t="str">
        <f>VLOOKUP(C312,'[3]entities zones'!$C:$D,2,FALSE)</f>
        <v>EURZONSUD</v>
      </c>
      <c r="G312" s="143" t="s">
        <v>2238</v>
      </c>
      <c r="H312" s="146" t="s">
        <v>872</v>
      </c>
      <c r="I312" s="146" t="s">
        <v>873</v>
      </c>
      <c r="J312" s="146" t="s">
        <v>874</v>
      </c>
      <c r="K312" s="143" t="s">
        <v>2201</v>
      </c>
      <c r="L312" s="147">
        <v>1</v>
      </c>
      <c r="M312" s="147">
        <v>20</v>
      </c>
      <c r="N312" s="147">
        <v>3</v>
      </c>
      <c r="O312" s="146">
        <v>3</v>
      </c>
      <c r="P312" s="146" t="b">
        <v>0</v>
      </c>
      <c r="Q312" s="146" t="b">
        <v>1</v>
      </c>
      <c r="R312" s="143" t="s">
        <v>2239</v>
      </c>
      <c r="S312" s="143" t="s">
        <v>2240</v>
      </c>
      <c r="T312" s="148">
        <v>5</v>
      </c>
    </row>
    <row r="313" spans="1:20">
      <c r="A313" s="136" t="s">
        <v>2241</v>
      </c>
      <c r="B313" s="136" t="s">
        <v>869</v>
      </c>
      <c r="C313" s="136" t="s">
        <v>2242</v>
      </c>
      <c r="D313" s="136" t="s">
        <v>2243</v>
      </c>
      <c r="E313" s="137"/>
      <c r="F313" s="145" t="str">
        <f>VLOOKUP(C313,'[3]entities zones'!$C:$D,2,FALSE)</f>
        <v>EURZONSUD</v>
      </c>
      <c r="G313" s="136" t="s">
        <v>2243</v>
      </c>
      <c r="H313" s="139" t="s">
        <v>872</v>
      </c>
      <c r="I313" s="139" t="s">
        <v>873</v>
      </c>
      <c r="J313" s="139" t="s">
        <v>874</v>
      </c>
      <c r="K313" s="136" t="s">
        <v>2237</v>
      </c>
      <c r="L313" s="140">
        <v>1</v>
      </c>
      <c r="M313" s="140">
        <v>1</v>
      </c>
      <c r="N313" s="140">
        <v>4</v>
      </c>
      <c r="O313" s="139">
        <v>0</v>
      </c>
      <c r="P313" s="139" t="b">
        <v>0</v>
      </c>
      <c r="Q313" s="139" t="b">
        <v>1</v>
      </c>
      <c r="R313" s="136" t="s">
        <v>2244</v>
      </c>
      <c r="S313" s="136" t="s">
        <v>2245</v>
      </c>
      <c r="T313" s="141">
        <v>0</v>
      </c>
    </row>
    <row r="314" spans="1:20">
      <c r="A314" s="136" t="s">
        <v>2246</v>
      </c>
      <c r="B314" s="136" t="s">
        <v>869</v>
      </c>
      <c r="C314" s="136" t="s">
        <v>2247</v>
      </c>
      <c r="D314" s="136" t="s">
        <v>2248</v>
      </c>
      <c r="E314" s="137"/>
      <c r="F314" s="145" t="str">
        <f>VLOOKUP(C314,'[3]entities zones'!$C:$D,2,FALSE)</f>
        <v>EURZONSUD</v>
      </c>
      <c r="G314" s="136" t="s">
        <v>2248</v>
      </c>
      <c r="H314" s="139" t="s">
        <v>872</v>
      </c>
      <c r="I314" s="139" t="s">
        <v>873</v>
      </c>
      <c r="J314" s="139" t="s">
        <v>874</v>
      </c>
      <c r="K314" s="136" t="s">
        <v>2237</v>
      </c>
      <c r="L314" s="140">
        <v>1</v>
      </c>
      <c r="M314" s="140">
        <v>2</v>
      </c>
      <c r="N314" s="140">
        <v>4</v>
      </c>
      <c r="O314" s="139">
        <v>0</v>
      </c>
      <c r="P314" s="139" t="b">
        <v>0</v>
      </c>
      <c r="Q314" s="139" t="b">
        <v>1</v>
      </c>
      <c r="R314" s="136" t="s">
        <v>2249</v>
      </c>
      <c r="S314" s="136" t="s">
        <v>2250</v>
      </c>
      <c r="T314" s="141">
        <v>0</v>
      </c>
    </row>
    <row r="315" spans="1:20">
      <c r="A315" s="143" t="s">
        <v>2251</v>
      </c>
      <c r="B315" s="143" t="s">
        <v>869</v>
      </c>
      <c r="C315" s="143" t="s">
        <v>2252</v>
      </c>
      <c r="D315" s="143" t="s">
        <v>2253</v>
      </c>
      <c r="E315" s="144"/>
      <c r="F315" s="145" t="str">
        <f>VLOOKUP(C315,'[3]entities zones'!$C:$D,2,FALSE)</f>
        <v>EURZONSUD</v>
      </c>
      <c r="G315" s="143" t="s">
        <v>2254</v>
      </c>
      <c r="H315" s="146" t="s">
        <v>872</v>
      </c>
      <c r="I315" s="146" t="s">
        <v>873</v>
      </c>
      <c r="J315" s="146" t="s">
        <v>874</v>
      </c>
      <c r="K315" s="143" t="s">
        <v>2237</v>
      </c>
      <c r="L315" s="147">
        <v>1</v>
      </c>
      <c r="M315" s="147">
        <v>10</v>
      </c>
      <c r="N315" s="147">
        <v>4</v>
      </c>
      <c r="O315" s="146">
        <v>2</v>
      </c>
      <c r="P315" s="146" t="b">
        <v>0</v>
      </c>
      <c r="Q315" s="146" t="b">
        <v>1</v>
      </c>
      <c r="R315" s="143" t="s">
        <v>2255</v>
      </c>
      <c r="S315" s="143" t="s">
        <v>2255</v>
      </c>
      <c r="T315" s="148">
        <v>2</v>
      </c>
    </row>
    <row r="316" spans="1:20">
      <c r="A316" s="136" t="s">
        <v>2256</v>
      </c>
      <c r="B316" s="136" t="s">
        <v>869</v>
      </c>
      <c r="C316" s="136" t="s">
        <v>2257</v>
      </c>
      <c r="D316" s="136" t="s">
        <v>2258</v>
      </c>
      <c r="E316" s="137"/>
      <c r="F316" s="145" t="str">
        <f>VLOOKUP(C316,'[3]entities zones'!$C:$D,2,FALSE)</f>
        <v>EURZONSUD</v>
      </c>
      <c r="G316" s="136" t="s">
        <v>2259</v>
      </c>
      <c r="H316" s="139" t="s">
        <v>872</v>
      </c>
      <c r="I316" s="139" t="s">
        <v>873</v>
      </c>
      <c r="J316" s="139" t="s">
        <v>874</v>
      </c>
      <c r="K316" s="136" t="s">
        <v>2252</v>
      </c>
      <c r="L316" s="140">
        <v>1</v>
      </c>
      <c r="M316" s="140">
        <v>888</v>
      </c>
      <c r="N316" s="140">
        <v>5</v>
      </c>
      <c r="O316" s="139">
        <v>0</v>
      </c>
      <c r="P316" s="139" t="b">
        <v>0</v>
      </c>
      <c r="Q316" s="139" t="b">
        <v>1</v>
      </c>
      <c r="R316" s="136" t="s">
        <v>2260</v>
      </c>
      <c r="S316" s="136" t="s">
        <v>2261</v>
      </c>
      <c r="T316" s="141">
        <v>0</v>
      </c>
    </row>
    <row r="317" spans="1:20">
      <c r="A317" s="136" t="s">
        <v>2262</v>
      </c>
      <c r="B317" s="136" t="s">
        <v>869</v>
      </c>
      <c r="C317" s="136" t="s">
        <v>2263</v>
      </c>
      <c r="D317" s="136" t="s">
        <v>2264</v>
      </c>
      <c r="E317" s="137"/>
      <c r="F317" s="145" t="str">
        <f>VLOOKUP(C317,'[3]entities zones'!$C:$D,2,FALSE)</f>
        <v>EURZONSUD</v>
      </c>
      <c r="G317" s="136" t="s">
        <v>2265</v>
      </c>
      <c r="H317" s="139" t="s">
        <v>872</v>
      </c>
      <c r="I317" s="139" t="s">
        <v>873</v>
      </c>
      <c r="J317" s="139" t="s">
        <v>874</v>
      </c>
      <c r="K317" s="136" t="s">
        <v>2252</v>
      </c>
      <c r="L317" s="140">
        <v>1</v>
      </c>
      <c r="M317" s="140">
        <v>999</v>
      </c>
      <c r="N317" s="140">
        <v>5</v>
      </c>
      <c r="O317" s="139">
        <v>0</v>
      </c>
      <c r="P317" s="139" t="b">
        <v>0</v>
      </c>
      <c r="Q317" s="139" t="b">
        <v>1</v>
      </c>
      <c r="R317" s="136" t="s">
        <v>2266</v>
      </c>
      <c r="S317" s="136" t="s">
        <v>2267</v>
      </c>
      <c r="T317" s="141">
        <v>0</v>
      </c>
    </row>
    <row r="318" spans="1:20">
      <c r="A318" s="136" t="s">
        <v>2268</v>
      </c>
      <c r="B318" s="136" t="s">
        <v>869</v>
      </c>
      <c r="C318" s="136" t="s">
        <v>2269</v>
      </c>
      <c r="D318" s="136" t="s">
        <v>2270</v>
      </c>
      <c r="E318" s="137"/>
      <c r="F318" s="145" t="str">
        <f>VLOOKUP(C318,'[3]entities zones'!$C:$D,2,FALSE)</f>
        <v>EURZONSUD</v>
      </c>
      <c r="G318" s="136" t="s">
        <v>2270</v>
      </c>
      <c r="H318" s="139" t="s">
        <v>872</v>
      </c>
      <c r="I318" s="139" t="s">
        <v>873</v>
      </c>
      <c r="J318" s="139" t="s">
        <v>874</v>
      </c>
      <c r="K318" s="136" t="s">
        <v>2201</v>
      </c>
      <c r="L318" s="140">
        <v>1</v>
      </c>
      <c r="M318" s="140">
        <v>40</v>
      </c>
      <c r="N318" s="140">
        <v>3</v>
      </c>
      <c r="O318" s="139">
        <v>0</v>
      </c>
      <c r="P318" s="139" t="b">
        <v>0</v>
      </c>
      <c r="Q318" s="139" t="b">
        <v>1</v>
      </c>
      <c r="R318" s="136" t="s">
        <v>2271</v>
      </c>
      <c r="S318" s="136" t="s">
        <v>2272</v>
      </c>
      <c r="T318" s="141">
        <v>0</v>
      </c>
    </row>
    <row r="319" spans="1:20">
      <c r="A319" s="142" t="s">
        <v>2273</v>
      </c>
      <c r="B319" s="143" t="s">
        <v>869</v>
      </c>
      <c r="C319" s="143" t="s">
        <v>2274</v>
      </c>
      <c r="D319" s="143" t="s">
        <v>2275</v>
      </c>
      <c r="E319" s="144"/>
      <c r="F319" s="145" t="str">
        <f>VLOOKUP(C319,'[3]entities zones'!$C:$D,2,FALSE)</f>
        <v>EURZONSUD</v>
      </c>
      <c r="G319" s="143" t="s">
        <v>2276</v>
      </c>
      <c r="H319" s="146" t="s">
        <v>872</v>
      </c>
      <c r="I319" s="146" t="s">
        <v>873</v>
      </c>
      <c r="J319" s="146" t="s">
        <v>874</v>
      </c>
      <c r="K319" s="143" t="s">
        <v>2201</v>
      </c>
      <c r="L319" s="147">
        <v>1</v>
      </c>
      <c r="M319" s="147">
        <v>888</v>
      </c>
      <c r="N319" s="147">
        <v>3</v>
      </c>
      <c r="O319" s="146">
        <v>3</v>
      </c>
      <c r="P319" s="146" t="b">
        <v>1</v>
      </c>
      <c r="Q319" s="146" t="b">
        <v>1</v>
      </c>
      <c r="R319" s="143" t="s">
        <v>2169</v>
      </c>
      <c r="S319" s="143" t="s">
        <v>2187</v>
      </c>
      <c r="T319" s="148">
        <v>3</v>
      </c>
    </row>
    <row r="320" spans="1:20">
      <c r="A320" s="136" t="s">
        <v>2277</v>
      </c>
      <c r="B320" s="136" t="s">
        <v>869</v>
      </c>
      <c r="C320" s="136" t="s">
        <v>2278</v>
      </c>
      <c r="D320" s="136" t="s">
        <v>2279</v>
      </c>
      <c r="E320" s="137"/>
      <c r="F320" s="145" t="str">
        <f>VLOOKUP(C320,'[3]entities zones'!$C:$D,2,FALSE)</f>
        <v>EURZONSUD</v>
      </c>
      <c r="G320" s="136" t="s">
        <v>2279</v>
      </c>
      <c r="H320" s="139" t="s">
        <v>872</v>
      </c>
      <c r="I320" s="139" t="s">
        <v>873</v>
      </c>
      <c r="J320" s="139" t="s">
        <v>874</v>
      </c>
      <c r="K320" s="136" t="s">
        <v>2274</v>
      </c>
      <c r="L320" s="140">
        <v>1</v>
      </c>
      <c r="M320" s="140">
        <v>30</v>
      </c>
      <c r="N320" s="140">
        <v>4</v>
      </c>
      <c r="O320" s="139">
        <v>0</v>
      </c>
      <c r="P320" s="139" t="b">
        <v>0</v>
      </c>
      <c r="Q320" s="139" t="b">
        <v>1</v>
      </c>
      <c r="R320" s="136" t="s">
        <v>2280</v>
      </c>
      <c r="S320" s="136" t="s">
        <v>2281</v>
      </c>
      <c r="T320" s="141">
        <v>0</v>
      </c>
    </row>
    <row r="321" spans="1:20">
      <c r="A321" s="136" t="s">
        <v>2282</v>
      </c>
      <c r="B321" s="136" t="s">
        <v>869</v>
      </c>
      <c r="C321" s="136" t="s">
        <v>2283</v>
      </c>
      <c r="D321" s="136" t="s">
        <v>2284</v>
      </c>
      <c r="E321" s="137"/>
      <c r="F321" s="145" t="str">
        <f>VLOOKUP(C321,'[3]entities zones'!$C:$D,2,FALSE)</f>
        <v>EURZONSUD</v>
      </c>
      <c r="G321" s="136" t="s">
        <v>2285</v>
      </c>
      <c r="H321" s="139" t="s">
        <v>872</v>
      </c>
      <c r="I321" s="139" t="s">
        <v>873</v>
      </c>
      <c r="J321" s="139" t="s">
        <v>874</v>
      </c>
      <c r="K321" s="136" t="s">
        <v>2274</v>
      </c>
      <c r="L321" s="140">
        <v>1</v>
      </c>
      <c r="M321" s="140">
        <v>888</v>
      </c>
      <c r="N321" s="140">
        <v>4</v>
      </c>
      <c r="O321" s="139">
        <v>0</v>
      </c>
      <c r="P321" s="139" t="b">
        <v>0</v>
      </c>
      <c r="Q321" s="139" t="b">
        <v>1</v>
      </c>
      <c r="R321" s="136" t="s">
        <v>2169</v>
      </c>
      <c r="S321" s="136" t="s">
        <v>2187</v>
      </c>
      <c r="T321" s="141">
        <v>0</v>
      </c>
    </row>
    <row r="322" spans="1:20">
      <c r="A322" s="136" t="s">
        <v>2286</v>
      </c>
      <c r="B322" s="136" t="s">
        <v>869</v>
      </c>
      <c r="C322" s="136" t="s">
        <v>2287</v>
      </c>
      <c r="D322" s="136" t="s">
        <v>2288</v>
      </c>
      <c r="E322" s="137"/>
      <c r="F322" s="145" t="str">
        <f>VLOOKUP(C322,'[3]entities zones'!$C:$D,2,FALSE)</f>
        <v>EURZONSUD</v>
      </c>
      <c r="G322" s="136" t="s">
        <v>2289</v>
      </c>
      <c r="H322" s="139" t="s">
        <v>872</v>
      </c>
      <c r="I322" s="139" t="s">
        <v>873</v>
      </c>
      <c r="J322" s="139" t="s">
        <v>874</v>
      </c>
      <c r="K322" s="136" t="s">
        <v>2274</v>
      </c>
      <c r="L322" s="140">
        <v>1</v>
      </c>
      <c r="M322" s="140">
        <v>999</v>
      </c>
      <c r="N322" s="140">
        <v>4</v>
      </c>
      <c r="O322" s="139">
        <v>0</v>
      </c>
      <c r="P322" s="139" t="b">
        <v>0</v>
      </c>
      <c r="Q322" s="139" t="b">
        <v>1</v>
      </c>
      <c r="R322" s="136" t="s">
        <v>2169</v>
      </c>
      <c r="S322" s="136" t="s">
        <v>2187</v>
      </c>
      <c r="T322" s="141">
        <v>0</v>
      </c>
    </row>
    <row r="323" spans="1:20">
      <c r="A323" s="142" t="s">
        <v>2290</v>
      </c>
      <c r="B323" s="143" t="s">
        <v>869</v>
      </c>
      <c r="C323" s="143" t="s">
        <v>2291</v>
      </c>
      <c r="D323" s="143" t="s">
        <v>2292</v>
      </c>
      <c r="E323" s="144"/>
      <c r="F323" s="145" t="e">
        <f>VLOOKUP(C323,'[3]entities zones'!$C:$D,2,FALSE)</f>
        <v>#N/A</v>
      </c>
      <c r="G323" s="143" t="s">
        <v>2293</v>
      </c>
      <c r="H323" s="146" t="s">
        <v>872</v>
      </c>
      <c r="I323" s="146" t="s">
        <v>873</v>
      </c>
      <c r="J323" s="146" t="s">
        <v>874</v>
      </c>
      <c r="K323" s="143" t="s">
        <v>879</v>
      </c>
      <c r="L323" s="147">
        <v>1</v>
      </c>
      <c r="M323" s="147">
        <v>40</v>
      </c>
      <c r="N323" s="147">
        <v>2</v>
      </c>
      <c r="O323" s="146">
        <v>3</v>
      </c>
      <c r="P323" s="146" t="b">
        <v>1</v>
      </c>
      <c r="Q323" s="146" t="b">
        <v>1</v>
      </c>
      <c r="R323" s="143" t="s">
        <v>2294</v>
      </c>
      <c r="S323" s="143" t="s">
        <v>2187</v>
      </c>
      <c r="T323" s="148">
        <v>30</v>
      </c>
    </row>
    <row r="324" spans="1:20">
      <c r="A324" s="142" t="s">
        <v>2295</v>
      </c>
      <c r="B324" s="143" t="s">
        <v>869</v>
      </c>
      <c r="C324" s="143" t="s">
        <v>2296</v>
      </c>
      <c r="D324" s="143" t="s">
        <v>2297</v>
      </c>
      <c r="E324" s="144"/>
      <c r="F324" s="145" t="e">
        <f>VLOOKUP(C324,'[3]entities zones'!$C:$D,2,FALSE)</f>
        <v>#N/A</v>
      </c>
      <c r="G324" s="143" t="s">
        <v>2297</v>
      </c>
      <c r="H324" s="146" t="s">
        <v>872</v>
      </c>
      <c r="I324" s="146" t="s">
        <v>873</v>
      </c>
      <c r="J324" s="146" t="s">
        <v>874</v>
      </c>
      <c r="K324" s="143" t="s">
        <v>2291</v>
      </c>
      <c r="L324" s="147">
        <v>1</v>
      </c>
      <c r="M324" s="147">
        <v>10</v>
      </c>
      <c r="N324" s="147">
        <v>3</v>
      </c>
      <c r="O324" s="146">
        <v>10</v>
      </c>
      <c r="P324" s="146" t="b">
        <v>1</v>
      </c>
      <c r="Q324" s="146" t="b">
        <v>1</v>
      </c>
      <c r="R324" s="143" t="s">
        <v>2294</v>
      </c>
      <c r="S324" s="143" t="s">
        <v>2187</v>
      </c>
      <c r="T324" s="148">
        <v>10</v>
      </c>
    </row>
    <row r="325" spans="1:20">
      <c r="A325" s="136" t="s">
        <v>2298</v>
      </c>
      <c r="B325" s="136" t="s">
        <v>869</v>
      </c>
      <c r="C325" s="136" t="s">
        <v>2299</v>
      </c>
      <c r="D325" s="136" t="s">
        <v>2300</v>
      </c>
      <c r="E325" s="137"/>
      <c r="F325" s="145" t="e">
        <f>VLOOKUP(C325,'[3]entities zones'!$C:$D,2,FALSE)</f>
        <v>#N/A</v>
      </c>
      <c r="G325" s="136" t="s">
        <v>2300</v>
      </c>
      <c r="H325" s="139" t="s">
        <v>872</v>
      </c>
      <c r="I325" s="139" t="s">
        <v>873</v>
      </c>
      <c r="J325" s="139" t="s">
        <v>874</v>
      </c>
      <c r="K325" s="136" t="s">
        <v>2296</v>
      </c>
      <c r="L325" s="140">
        <v>1</v>
      </c>
      <c r="M325" s="140">
        <v>230</v>
      </c>
      <c r="N325" s="140">
        <v>4</v>
      </c>
      <c r="O325" s="139">
        <v>0</v>
      </c>
      <c r="P325" s="139" t="b">
        <v>0</v>
      </c>
      <c r="Q325" s="139" t="b">
        <v>1</v>
      </c>
      <c r="R325" s="136" t="s">
        <v>882</v>
      </c>
      <c r="S325" s="136" t="s">
        <v>2301</v>
      </c>
      <c r="T325" s="141">
        <v>0</v>
      </c>
    </row>
    <row r="326" spans="1:20">
      <c r="A326" s="136" t="s">
        <v>2302</v>
      </c>
      <c r="B326" s="136" t="s">
        <v>869</v>
      </c>
      <c r="C326" s="136" t="s">
        <v>847</v>
      </c>
      <c r="D326" s="136" t="s">
        <v>2303</v>
      </c>
      <c r="E326" s="137" t="s">
        <v>895</v>
      </c>
      <c r="F326" s="145" t="e">
        <f>VLOOKUP(C326,'[3]entities zones'!$C:$D,2,FALSE)</f>
        <v>#N/A</v>
      </c>
      <c r="G326" s="136" t="s">
        <v>2303</v>
      </c>
      <c r="H326" s="139" t="s">
        <v>872</v>
      </c>
      <c r="I326" s="139" t="s">
        <v>873</v>
      </c>
      <c r="J326" s="139" t="s">
        <v>874</v>
      </c>
      <c r="K326" s="136" t="s">
        <v>2296</v>
      </c>
      <c r="L326" s="140">
        <v>1</v>
      </c>
      <c r="M326" s="140">
        <v>240</v>
      </c>
      <c r="N326" s="140">
        <v>4</v>
      </c>
      <c r="O326" s="139">
        <v>0</v>
      </c>
      <c r="P326" s="139" t="b">
        <v>0</v>
      </c>
      <c r="Q326" s="139" t="b">
        <v>1</v>
      </c>
      <c r="R326" s="136" t="s">
        <v>882</v>
      </c>
      <c r="S326" s="136" t="s">
        <v>2304</v>
      </c>
      <c r="T326" s="141">
        <v>0</v>
      </c>
    </row>
    <row r="327" spans="1:20">
      <c r="A327" s="136" t="s">
        <v>2305</v>
      </c>
      <c r="B327" s="136" t="s">
        <v>869</v>
      </c>
      <c r="C327" s="136" t="s">
        <v>2306</v>
      </c>
      <c r="D327" s="136" t="s">
        <v>2307</v>
      </c>
      <c r="E327" s="137"/>
      <c r="F327" s="145" t="e">
        <f>VLOOKUP(C327,'[3]entities zones'!$C:$D,2,FALSE)</f>
        <v>#N/A</v>
      </c>
      <c r="G327" s="136" t="s">
        <v>2307</v>
      </c>
      <c r="H327" s="139" t="s">
        <v>872</v>
      </c>
      <c r="I327" s="139" t="s">
        <v>873</v>
      </c>
      <c r="J327" s="139" t="s">
        <v>874</v>
      </c>
      <c r="K327" s="136" t="s">
        <v>2296</v>
      </c>
      <c r="L327" s="140">
        <v>1</v>
      </c>
      <c r="M327" s="140">
        <v>250</v>
      </c>
      <c r="N327" s="140">
        <v>4</v>
      </c>
      <c r="O327" s="139">
        <v>0</v>
      </c>
      <c r="P327" s="139" t="b">
        <v>0</v>
      </c>
      <c r="Q327" s="139" t="b">
        <v>1</v>
      </c>
      <c r="R327" s="136" t="s">
        <v>2308</v>
      </c>
      <c r="S327" s="136" t="s">
        <v>2309</v>
      </c>
      <c r="T327" s="141">
        <v>0</v>
      </c>
    </row>
    <row r="328" spans="1:20">
      <c r="A328" s="136" t="s">
        <v>2310</v>
      </c>
      <c r="B328" s="136" t="s">
        <v>869</v>
      </c>
      <c r="C328" s="136" t="s">
        <v>2311</v>
      </c>
      <c r="D328" s="136" t="s">
        <v>2312</v>
      </c>
      <c r="E328" s="137"/>
      <c r="F328" s="145" t="e">
        <f>VLOOKUP(C328,'[3]entities zones'!$C:$D,2,FALSE)</f>
        <v>#N/A</v>
      </c>
      <c r="G328" s="136" t="s">
        <v>2312</v>
      </c>
      <c r="H328" s="139" t="s">
        <v>872</v>
      </c>
      <c r="I328" s="139" t="s">
        <v>873</v>
      </c>
      <c r="J328" s="139" t="s">
        <v>874</v>
      </c>
      <c r="K328" s="136" t="s">
        <v>2296</v>
      </c>
      <c r="L328" s="140">
        <v>1</v>
      </c>
      <c r="M328" s="140">
        <v>260</v>
      </c>
      <c r="N328" s="140">
        <v>4</v>
      </c>
      <c r="O328" s="139">
        <v>0</v>
      </c>
      <c r="P328" s="139" t="b">
        <v>0</v>
      </c>
      <c r="Q328" s="139" t="b">
        <v>1</v>
      </c>
      <c r="R328" s="136" t="s">
        <v>2308</v>
      </c>
      <c r="S328" s="136" t="s">
        <v>2313</v>
      </c>
      <c r="T328" s="141">
        <v>0</v>
      </c>
    </row>
    <row r="329" spans="1:20">
      <c r="A329" s="136" t="s">
        <v>2314</v>
      </c>
      <c r="B329" s="136" t="s">
        <v>869</v>
      </c>
      <c r="C329" s="136" t="s">
        <v>2315</v>
      </c>
      <c r="D329" s="136" t="s">
        <v>2316</v>
      </c>
      <c r="E329" s="137"/>
      <c r="F329" s="145" t="e">
        <f>VLOOKUP(C329,'[3]entities zones'!$C:$D,2,FALSE)</f>
        <v>#N/A</v>
      </c>
      <c r="G329" s="136" t="s">
        <v>2316</v>
      </c>
      <c r="H329" s="139" t="s">
        <v>872</v>
      </c>
      <c r="I329" s="139" t="s">
        <v>873</v>
      </c>
      <c r="J329" s="139" t="s">
        <v>874</v>
      </c>
      <c r="K329" s="136" t="s">
        <v>2296</v>
      </c>
      <c r="L329" s="140">
        <v>1</v>
      </c>
      <c r="M329" s="140">
        <v>270</v>
      </c>
      <c r="N329" s="140">
        <v>4</v>
      </c>
      <c r="O329" s="139">
        <v>0</v>
      </c>
      <c r="P329" s="139" t="b">
        <v>0</v>
      </c>
      <c r="Q329" s="139" t="b">
        <v>1</v>
      </c>
      <c r="R329" s="136" t="s">
        <v>2308</v>
      </c>
      <c r="S329" s="136" t="s">
        <v>2317</v>
      </c>
      <c r="T329" s="141">
        <v>0</v>
      </c>
    </row>
    <row r="330" spans="1:20">
      <c r="A330" s="136" t="s">
        <v>2318</v>
      </c>
      <c r="B330" s="136" t="s">
        <v>869</v>
      </c>
      <c r="C330" s="136" t="s">
        <v>2319</v>
      </c>
      <c r="D330" s="136" t="s">
        <v>2320</v>
      </c>
      <c r="E330" s="137"/>
      <c r="F330" s="145" t="e">
        <f>VLOOKUP(C330,'[3]entities zones'!$C:$D,2,FALSE)</f>
        <v>#N/A</v>
      </c>
      <c r="G330" s="136" t="s">
        <v>2320</v>
      </c>
      <c r="H330" s="139" t="s">
        <v>872</v>
      </c>
      <c r="I330" s="139" t="s">
        <v>873</v>
      </c>
      <c r="J330" s="139" t="s">
        <v>874</v>
      </c>
      <c r="K330" s="136" t="s">
        <v>2296</v>
      </c>
      <c r="L330" s="140">
        <v>1</v>
      </c>
      <c r="M330" s="140">
        <v>280</v>
      </c>
      <c r="N330" s="140">
        <v>4</v>
      </c>
      <c r="O330" s="139">
        <v>0</v>
      </c>
      <c r="P330" s="139" t="b">
        <v>0</v>
      </c>
      <c r="Q330" s="139" t="b">
        <v>1</v>
      </c>
      <c r="R330" s="136" t="s">
        <v>2308</v>
      </c>
      <c r="S330" s="136" t="s">
        <v>2317</v>
      </c>
      <c r="T330" s="141">
        <v>0</v>
      </c>
    </row>
    <row r="331" spans="1:20">
      <c r="A331" s="136" t="s">
        <v>2321</v>
      </c>
      <c r="B331" s="136" t="s">
        <v>869</v>
      </c>
      <c r="C331" s="136" t="s">
        <v>2322</v>
      </c>
      <c r="D331" s="136" t="s">
        <v>2323</v>
      </c>
      <c r="E331" s="137"/>
      <c r="F331" s="145" t="e">
        <f>VLOOKUP(C331,'[3]entities zones'!$C:$D,2,FALSE)</f>
        <v>#N/A</v>
      </c>
      <c r="G331" s="136" t="s">
        <v>2323</v>
      </c>
      <c r="H331" s="139" t="s">
        <v>872</v>
      </c>
      <c r="I331" s="139" t="s">
        <v>873</v>
      </c>
      <c r="J331" s="139" t="s">
        <v>874</v>
      </c>
      <c r="K331" s="136" t="s">
        <v>2296</v>
      </c>
      <c r="L331" s="140">
        <v>1</v>
      </c>
      <c r="M331" s="140">
        <v>290</v>
      </c>
      <c r="N331" s="140">
        <v>4</v>
      </c>
      <c r="O331" s="139">
        <v>0</v>
      </c>
      <c r="P331" s="139" t="b">
        <v>0</v>
      </c>
      <c r="Q331" s="139" t="b">
        <v>1</v>
      </c>
      <c r="R331" s="136" t="s">
        <v>882</v>
      </c>
      <c r="S331" s="136" t="s">
        <v>2324</v>
      </c>
      <c r="T331" s="141">
        <v>0</v>
      </c>
    </row>
    <row r="332" spans="1:20">
      <c r="A332" s="136" t="s">
        <v>2325</v>
      </c>
      <c r="B332" s="136" t="s">
        <v>869</v>
      </c>
      <c r="C332" s="136" t="s">
        <v>2326</v>
      </c>
      <c r="D332" s="136" t="s">
        <v>2327</v>
      </c>
      <c r="E332" s="137"/>
      <c r="F332" s="145" t="e">
        <f>VLOOKUP(C332,'[3]entities zones'!$C:$D,2,FALSE)</f>
        <v>#N/A</v>
      </c>
      <c r="G332" s="136" t="s">
        <v>2327</v>
      </c>
      <c r="H332" s="139" t="s">
        <v>872</v>
      </c>
      <c r="I332" s="139" t="s">
        <v>873</v>
      </c>
      <c r="J332" s="139" t="s">
        <v>874</v>
      </c>
      <c r="K332" s="136" t="s">
        <v>2296</v>
      </c>
      <c r="L332" s="140">
        <v>1</v>
      </c>
      <c r="M332" s="140">
        <v>300</v>
      </c>
      <c r="N332" s="140">
        <v>4</v>
      </c>
      <c r="O332" s="139">
        <v>0</v>
      </c>
      <c r="P332" s="139" t="b">
        <v>0</v>
      </c>
      <c r="Q332" s="139" t="b">
        <v>1</v>
      </c>
      <c r="R332" s="136" t="s">
        <v>882</v>
      </c>
      <c r="S332" s="136" t="s">
        <v>2328</v>
      </c>
      <c r="T332" s="141">
        <v>0</v>
      </c>
    </row>
    <row r="333" spans="1:20">
      <c r="A333" s="136" t="s">
        <v>2329</v>
      </c>
      <c r="B333" s="136" t="s">
        <v>869</v>
      </c>
      <c r="C333" s="136" t="s">
        <v>2330</v>
      </c>
      <c r="D333" s="136" t="s">
        <v>2331</v>
      </c>
      <c r="E333" s="137" t="s">
        <v>895</v>
      </c>
      <c r="F333" s="145" t="e">
        <f>VLOOKUP(C333,'[3]entities zones'!$C:$D,2,FALSE)</f>
        <v>#N/A</v>
      </c>
      <c r="G333" s="136" t="s">
        <v>2331</v>
      </c>
      <c r="H333" s="139" t="s">
        <v>872</v>
      </c>
      <c r="I333" s="139" t="s">
        <v>873</v>
      </c>
      <c r="J333" s="139" t="s">
        <v>874</v>
      </c>
      <c r="K333" s="136" t="s">
        <v>2296</v>
      </c>
      <c r="L333" s="140">
        <v>1</v>
      </c>
      <c r="M333" s="140">
        <v>310</v>
      </c>
      <c r="N333" s="140">
        <v>4</v>
      </c>
      <c r="O333" s="139">
        <v>0</v>
      </c>
      <c r="P333" s="139" t="b">
        <v>0</v>
      </c>
      <c r="Q333" s="139" t="b">
        <v>1</v>
      </c>
      <c r="R333" s="136" t="s">
        <v>882</v>
      </c>
      <c r="S333" s="136" t="s">
        <v>2332</v>
      </c>
      <c r="T333" s="141">
        <v>0</v>
      </c>
    </row>
    <row r="334" spans="1:20">
      <c r="A334" s="136" t="s">
        <v>2333</v>
      </c>
      <c r="B334" s="136" t="s">
        <v>869</v>
      </c>
      <c r="C334" s="136" t="s">
        <v>2334</v>
      </c>
      <c r="D334" s="136" t="s">
        <v>2335</v>
      </c>
      <c r="E334" s="137"/>
      <c r="F334" s="145" t="e">
        <f>VLOOKUP(C334,'[3]entities zones'!$C:$D,2,FALSE)</f>
        <v>#N/A</v>
      </c>
      <c r="G334" s="136" t="s">
        <v>2335</v>
      </c>
      <c r="H334" s="139" t="s">
        <v>872</v>
      </c>
      <c r="I334" s="139" t="s">
        <v>873</v>
      </c>
      <c r="J334" s="139" t="s">
        <v>874</v>
      </c>
      <c r="K334" s="136" t="s">
        <v>2296</v>
      </c>
      <c r="L334" s="140">
        <v>1</v>
      </c>
      <c r="M334" s="140">
        <v>320</v>
      </c>
      <c r="N334" s="140">
        <v>4</v>
      </c>
      <c r="O334" s="139">
        <v>0</v>
      </c>
      <c r="P334" s="139" t="b">
        <v>0</v>
      </c>
      <c r="Q334" s="139" t="b">
        <v>1</v>
      </c>
      <c r="R334" s="136" t="s">
        <v>2336</v>
      </c>
      <c r="S334" s="136" t="s">
        <v>2337</v>
      </c>
      <c r="T334" s="141">
        <v>0</v>
      </c>
    </row>
    <row r="335" spans="1:20">
      <c r="A335" s="142" t="s">
        <v>2338</v>
      </c>
      <c r="B335" s="143" t="s">
        <v>869</v>
      </c>
      <c r="C335" s="143" t="s">
        <v>2339</v>
      </c>
      <c r="D335" s="143" t="s">
        <v>2340</v>
      </c>
      <c r="E335" s="144"/>
      <c r="F335" s="145" t="e">
        <f>VLOOKUP(C335,'[3]entities zones'!$C:$D,2,FALSE)</f>
        <v>#N/A</v>
      </c>
      <c r="G335" s="143" t="s">
        <v>2341</v>
      </c>
      <c r="H335" s="146" t="s">
        <v>872</v>
      </c>
      <c r="I335" s="146" t="s">
        <v>873</v>
      </c>
      <c r="J335" s="146" t="s">
        <v>874</v>
      </c>
      <c r="K335" s="143" t="s">
        <v>2291</v>
      </c>
      <c r="L335" s="147">
        <v>1</v>
      </c>
      <c r="M335" s="147">
        <v>20</v>
      </c>
      <c r="N335" s="147">
        <v>3</v>
      </c>
      <c r="O335" s="146">
        <v>15</v>
      </c>
      <c r="P335" s="146" t="b">
        <v>1</v>
      </c>
      <c r="Q335" s="146" t="b">
        <v>1</v>
      </c>
      <c r="R335" s="143" t="s">
        <v>2294</v>
      </c>
      <c r="S335" s="143" t="s">
        <v>2187</v>
      </c>
      <c r="T335" s="148">
        <v>15</v>
      </c>
    </row>
    <row r="336" spans="1:20">
      <c r="A336" s="136" t="s">
        <v>2342</v>
      </c>
      <c r="B336" s="136" t="s">
        <v>869</v>
      </c>
      <c r="C336" s="136" t="s">
        <v>2343</v>
      </c>
      <c r="D336" s="136" t="s">
        <v>2344</v>
      </c>
      <c r="E336" s="137"/>
      <c r="F336" s="145" t="e">
        <f>VLOOKUP(C336,'[3]entities zones'!$C:$D,2,FALSE)</f>
        <v>#N/A</v>
      </c>
      <c r="G336" s="136" t="s">
        <v>2344</v>
      </c>
      <c r="H336" s="139" t="s">
        <v>872</v>
      </c>
      <c r="I336" s="139" t="s">
        <v>873</v>
      </c>
      <c r="J336" s="139" t="s">
        <v>874</v>
      </c>
      <c r="K336" s="136" t="s">
        <v>2339</v>
      </c>
      <c r="L336" s="140">
        <v>1</v>
      </c>
      <c r="M336" s="140">
        <v>40</v>
      </c>
      <c r="N336" s="140">
        <v>4</v>
      </c>
      <c r="O336" s="139">
        <v>0</v>
      </c>
      <c r="P336" s="139" t="b">
        <v>0</v>
      </c>
      <c r="Q336" s="139" t="b">
        <v>1</v>
      </c>
      <c r="R336" s="136" t="s">
        <v>2308</v>
      </c>
      <c r="S336" s="136" t="s">
        <v>2345</v>
      </c>
      <c r="T336" s="141">
        <v>0</v>
      </c>
    </row>
    <row r="337" spans="1:20">
      <c r="A337" s="136" t="s">
        <v>2346</v>
      </c>
      <c r="B337" s="136" t="s">
        <v>869</v>
      </c>
      <c r="C337" s="136" t="s">
        <v>2347</v>
      </c>
      <c r="D337" s="136" t="s">
        <v>2348</v>
      </c>
      <c r="E337" s="137"/>
      <c r="F337" s="145" t="e">
        <f>VLOOKUP(C337,'[3]entities zones'!$C:$D,2,FALSE)</f>
        <v>#N/A</v>
      </c>
      <c r="G337" s="136" t="s">
        <v>2348</v>
      </c>
      <c r="H337" s="139" t="s">
        <v>872</v>
      </c>
      <c r="I337" s="139" t="s">
        <v>873</v>
      </c>
      <c r="J337" s="139" t="s">
        <v>874</v>
      </c>
      <c r="K337" s="136" t="s">
        <v>2339</v>
      </c>
      <c r="L337" s="140">
        <v>1</v>
      </c>
      <c r="M337" s="140">
        <v>40</v>
      </c>
      <c r="N337" s="140">
        <v>4</v>
      </c>
      <c r="O337" s="139">
        <v>0</v>
      </c>
      <c r="P337" s="139" t="b">
        <v>0</v>
      </c>
      <c r="Q337" s="139" t="b">
        <v>1</v>
      </c>
      <c r="R337" s="136" t="s">
        <v>2349</v>
      </c>
      <c r="S337" s="136" t="s">
        <v>2350</v>
      </c>
      <c r="T337" s="141">
        <v>0</v>
      </c>
    </row>
    <row r="338" spans="1:20">
      <c r="A338" s="136" t="s">
        <v>2351</v>
      </c>
      <c r="B338" s="136" t="s">
        <v>869</v>
      </c>
      <c r="C338" s="136" t="s">
        <v>2352</v>
      </c>
      <c r="D338" s="136" t="s">
        <v>2353</v>
      </c>
      <c r="E338" s="137"/>
      <c r="F338" s="145" t="e">
        <f>VLOOKUP(C338,'[3]entities zones'!$C:$D,2,FALSE)</f>
        <v>#N/A</v>
      </c>
      <c r="G338" s="136" t="s">
        <v>2354</v>
      </c>
      <c r="H338" s="139" t="s">
        <v>872</v>
      </c>
      <c r="I338" s="139" t="s">
        <v>873</v>
      </c>
      <c r="J338" s="139" t="s">
        <v>874</v>
      </c>
      <c r="K338" s="136" t="s">
        <v>2339</v>
      </c>
      <c r="L338" s="140">
        <v>1</v>
      </c>
      <c r="M338" s="140">
        <v>50</v>
      </c>
      <c r="N338" s="140">
        <v>4</v>
      </c>
      <c r="O338" s="139">
        <v>0</v>
      </c>
      <c r="P338" s="139" t="b">
        <v>0</v>
      </c>
      <c r="Q338" s="139" t="b">
        <v>1</v>
      </c>
      <c r="R338" s="136" t="s">
        <v>2308</v>
      </c>
      <c r="S338" s="136" t="s">
        <v>1183</v>
      </c>
      <c r="T338" s="141">
        <v>0</v>
      </c>
    </row>
    <row r="339" spans="1:20">
      <c r="A339" s="136" t="s">
        <v>2355</v>
      </c>
      <c r="B339" s="136" t="s">
        <v>869</v>
      </c>
      <c r="C339" s="136" t="s">
        <v>2356</v>
      </c>
      <c r="D339" s="136" t="s">
        <v>2357</v>
      </c>
      <c r="E339" s="137"/>
      <c r="F339" s="145" t="e">
        <f>VLOOKUP(C339,'[3]entities zones'!$C:$D,2,FALSE)</f>
        <v>#N/A</v>
      </c>
      <c r="G339" s="136" t="s">
        <v>2358</v>
      </c>
      <c r="H339" s="139" t="s">
        <v>872</v>
      </c>
      <c r="I339" s="139" t="s">
        <v>873</v>
      </c>
      <c r="J339" s="139" t="s">
        <v>874</v>
      </c>
      <c r="K339" s="136" t="s">
        <v>2339</v>
      </c>
      <c r="L339" s="140">
        <v>1</v>
      </c>
      <c r="M339" s="140">
        <v>180</v>
      </c>
      <c r="N339" s="140">
        <v>4</v>
      </c>
      <c r="O339" s="139">
        <v>0</v>
      </c>
      <c r="P339" s="139" t="b">
        <v>0</v>
      </c>
      <c r="Q339" s="139" t="b">
        <v>1</v>
      </c>
      <c r="R339" s="136" t="s">
        <v>2308</v>
      </c>
      <c r="S339" s="136" t="s">
        <v>1290</v>
      </c>
      <c r="T339" s="141">
        <v>0</v>
      </c>
    </row>
    <row r="340" spans="1:20">
      <c r="A340" s="136" t="s">
        <v>2359</v>
      </c>
      <c r="B340" s="136" t="s">
        <v>869</v>
      </c>
      <c r="C340" s="136" t="s">
        <v>2360</v>
      </c>
      <c r="D340" s="136" t="s">
        <v>2361</v>
      </c>
      <c r="E340" s="137"/>
      <c r="F340" s="145" t="e">
        <f>VLOOKUP(C340,'[3]entities zones'!$C:$D,2,FALSE)</f>
        <v>#N/A</v>
      </c>
      <c r="G340" s="136" t="s">
        <v>2362</v>
      </c>
      <c r="H340" s="139" t="s">
        <v>872</v>
      </c>
      <c r="I340" s="139" t="s">
        <v>873</v>
      </c>
      <c r="J340" s="139" t="s">
        <v>874</v>
      </c>
      <c r="K340" s="136" t="s">
        <v>2339</v>
      </c>
      <c r="L340" s="140">
        <v>1</v>
      </c>
      <c r="M340" s="140">
        <v>185</v>
      </c>
      <c r="N340" s="140">
        <v>4</v>
      </c>
      <c r="O340" s="139">
        <v>0</v>
      </c>
      <c r="P340" s="139" t="b">
        <v>0</v>
      </c>
      <c r="Q340" s="139" t="b">
        <v>1</v>
      </c>
      <c r="R340" s="136" t="s">
        <v>2363</v>
      </c>
      <c r="S340" s="136" t="s">
        <v>2364</v>
      </c>
      <c r="T340" s="141">
        <v>0</v>
      </c>
    </row>
    <row r="341" spans="1:20">
      <c r="A341" s="136" t="s">
        <v>2365</v>
      </c>
      <c r="B341" s="136" t="s">
        <v>869</v>
      </c>
      <c r="C341" s="136" t="s">
        <v>2366</v>
      </c>
      <c r="D341" s="136" t="s">
        <v>2367</v>
      </c>
      <c r="E341" s="137"/>
      <c r="F341" s="145" t="e">
        <f>VLOOKUP(C341,'[3]entities zones'!$C:$D,2,FALSE)</f>
        <v>#N/A</v>
      </c>
      <c r="G341" s="136" t="s">
        <v>2368</v>
      </c>
      <c r="H341" s="139" t="s">
        <v>872</v>
      </c>
      <c r="I341" s="139" t="s">
        <v>873</v>
      </c>
      <c r="J341" s="139" t="s">
        <v>874</v>
      </c>
      <c r="K341" s="136" t="s">
        <v>2339</v>
      </c>
      <c r="L341" s="140">
        <v>1</v>
      </c>
      <c r="M341" s="140">
        <v>186</v>
      </c>
      <c r="N341" s="140">
        <v>4</v>
      </c>
      <c r="O341" s="139">
        <v>0</v>
      </c>
      <c r="P341" s="139" t="b">
        <v>0</v>
      </c>
      <c r="Q341" s="139" t="b">
        <v>1</v>
      </c>
      <c r="R341" s="136" t="s">
        <v>2369</v>
      </c>
      <c r="S341" s="136" t="s">
        <v>2370</v>
      </c>
      <c r="T341" s="141">
        <v>0</v>
      </c>
    </row>
    <row r="342" spans="1:20">
      <c r="A342" s="136" t="s">
        <v>2371</v>
      </c>
      <c r="B342" s="136" t="s">
        <v>869</v>
      </c>
      <c r="C342" s="136" t="s">
        <v>2372</v>
      </c>
      <c r="D342" s="136" t="s">
        <v>2373</v>
      </c>
      <c r="E342" s="137"/>
      <c r="F342" s="145" t="e">
        <f>VLOOKUP(C342,'[3]entities zones'!$C:$D,2,FALSE)</f>
        <v>#N/A</v>
      </c>
      <c r="G342" s="136" t="s">
        <v>2374</v>
      </c>
      <c r="H342" s="139" t="s">
        <v>872</v>
      </c>
      <c r="I342" s="139" t="s">
        <v>873</v>
      </c>
      <c r="J342" s="139" t="s">
        <v>874</v>
      </c>
      <c r="K342" s="136" t="s">
        <v>2339</v>
      </c>
      <c r="L342" s="140">
        <v>1</v>
      </c>
      <c r="M342" s="140">
        <v>190</v>
      </c>
      <c r="N342" s="140">
        <v>4</v>
      </c>
      <c r="O342" s="139">
        <v>0</v>
      </c>
      <c r="P342" s="139" t="b">
        <v>0</v>
      </c>
      <c r="Q342" s="139" t="b">
        <v>1</v>
      </c>
      <c r="R342" s="136" t="s">
        <v>2308</v>
      </c>
      <c r="S342" s="136" t="s">
        <v>1183</v>
      </c>
      <c r="T342" s="141">
        <v>0</v>
      </c>
    </row>
    <row r="343" spans="1:20">
      <c r="A343" s="136" t="s">
        <v>2375</v>
      </c>
      <c r="B343" s="136" t="s">
        <v>869</v>
      </c>
      <c r="C343" s="136" t="s">
        <v>2376</v>
      </c>
      <c r="D343" s="136" t="s">
        <v>2377</v>
      </c>
      <c r="E343" s="137"/>
      <c r="F343" s="145" t="e">
        <f>VLOOKUP(C343,'[3]entities zones'!$C:$D,2,FALSE)</f>
        <v>#N/A</v>
      </c>
      <c r="G343" s="136" t="s">
        <v>2378</v>
      </c>
      <c r="H343" s="139" t="s">
        <v>872</v>
      </c>
      <c r="I343" s="139" t="s">
        <v>873</v>
      </c>
      <c r="J343" s="139" t="s">
        <v>874</v>
      </c>
      <c r="K343" s="136" t="s">
        <v>2339</v>
      </c>
      <c r="L343" s="140">
        <v>1</v>
      </c>
      <c r="M343" s="140">
        <v>200</v>
      </c>
      <c r="N343" s="140">
        <v>4</v>
      </c>
      <c r="O343" s="139">
        <v>0</v>
      </c>
      <c r="P343" s="139" t="b">
        <v>0</v>
      </c>
      <c r="Q343" s="139" t="b">
        <v>1</v>
      </c>
      <c r="R343" s="136" t="s">
        <v>2308</v>
      </c>
      <c r="S343" s="136" t="s">
        <v>1183</v>
      </c>
      <c r="T343" s="141">
        <v>0</v>
      </c>
    </row>
    <row r="344" spans="1:20">
      <c r="A344" s="136" t="s">
        <v>2379</v>
      </c>
      <c r="B344" s="136" t="s">
        <v>869</v>
      </c>
      <c r="C344" s="136" t="s">
        <v>2380</v>
      </c>
      <c r="D344" s="136" t="s">
        <v>2381</v>
      </c>
      <c r="E344" s="137"/>
      <c r="F344" s="145" t="e">
        <f>VLOOKUP(C344,'[3]entities zones'!$C:$D,2,FALSE)</f>
        <v>#N/A</v>
      </c>
      <c r="G344" s="136" t="s">
        <v>2382</v>
      </c>
      <c r="H344" s="139" t="s">
        <v>872</v>
      </c>
      <c r="I344" s="139" t="s">
        <v>873</v>
      </c>
      <c r="J344" s="139" t="s">
        <v>874</v>
      </c>
      <c r="K344" s="136" t="s">
        <v>2339</v>
      </c>
      <c r="L344" s="140">
        <v>1</v>
      </c>
      <c r="M344" s="140">
        <v>210</v>
      </c>
      <c r="N344" s="140">
        <v>4</v>
      </c>
      <c r="O344" s="139">
        <v>0</v>
      </c>
      <c r="P344" s="139" t="b">
        <v>0</v>
      </c>
      <c r="Q344" s="139" t="b">
        <v>1</v>
      </c>
      <c r="R344" s="136" t="s">
        <v>2308</v>
      </c>
      <c r="S344" s="136" t="s">
        <v>1290</v>
      </c>
      <c r="T344" s="141">
        <v>0</v>
      </c>
    </row>
    <row r="345" spans="1:20">
      <c r="A345" s="136" t="s">
        <v>2383</v>
      </c>
      <c r="B345" s="136" t="s">
        <v>869</v>
      </c>
      <c r="C345" s="136" t="s">
        <v>2384</v>
      </c>
      <c r="D345" s="136" t="s">
        <v>2385</v>
      </c>
      <c r="E345" s="137"/>
      <c r="F345" s="145" t="e">
        <f>VLOOKUP(C345,'[3]entities zones'!$C:$D,2,FALSE)</f>
        <v>#N/A</v>
      </c>
      <c r="G345" s="136" t="s">
        <v>2386</v>
      </c>
      <c r="H345" s="139" t="s">
        <v>872</v>
      </c>
      <c r="I345" s="139" t="s">
        <v>873</v>
      </c>
      <c r="J345" s="139" t="s">
        <v>874</v>
      </c>
      <c r="K345" s="136" t="s">
        <v>2339</v>
      </c>
      <c r="L345" s="140">
        <v>1</v>
      </c>
      <c r="M345" s="140">
        <v>212</v>
      </c>
      <c r="N345" s="140">
        <v>4</v>
      </c>
      <c r="O345" s="139">
        <v>0</v>
      </c>
      <c r="P345" s="139" t="b">
        <v>0</v>
      </c>
      <c r="Q345" s="139" t="b">
        <v>1</v>
      </c>
      <c r="R345" s="136" t="s">
        <v>1295</v>
      </c>
      <c r="S345" s="136" t="s">
        <v>2387</v>
      </c>
      <c r="T345" s="141">
        <v>0</v>
      </c>
    </row>
    <row r="346" spans="1:20">
      <c r="A346" s="136" t="s">
        <v>2388</v>
      </c>
      <c r="B346" s="136" t="s">
        <v>869</v>
      </c>
      <c r="C346" s="136" t="s">
        <v>2389</v>
      </c>
      <c r="D346" s="136" t="s">
        <v>2390</v>
      </c>
      <c r="E346" s="137"/>
      <c r="F346" s="145" t="e">
        <f>VLOOKUP(C346,'[3]entities zones'!$C:$D,2,FALSE)</f>
        <v>#N/A</v>
      </c>
      <c r="G346" s="136" t="s">
        <v>2391</v>
      </c>
      <c r="H346" s="139" t="s">
        <v>872</v>
      </c>
      <c r="I346" s="139" t="s">
        <v>873</v>
      </c>
      <c r="J346" s="139" t="s">
        <v>874</v>
      </c>
      <c r="K346" s="136" t="s">
        <v>2339</v>
      </c>
      <c r="L346" s="140">
        <v>1</v>
      </c>
      <c r="M346" s="140">
        <v>214</v>
      </c>
      <c r="N346" s="140">
        <v>4</v>
      </c>
      <c r="O346" s="139">
        <v>0</v>
      </c>
      <c r="P346" s="139" t="b">
        <v>0</v>
      </c>
      <c r="Q346" s="139" t="b">
        <v>1</v>
      </c>
      <c r="R346" s="136" t="s">
        <v>2392</v>
      </c>
      <c r="S346" s="136" t="s">
        <v>2393</v>
      </c>
      <c r="T346" s="141">
        <v>0</v>
      </c>
    </row>
    <row r="347" spans="1:20">
      <c r="A347" s="136" t="s">
        <v>2394</v>
      </c>
      <c r="B347" s="136" t="s">
        <v>869</v>
      </c>
      <c r="C347" s="136" t="s">
        <v>2395</v>
      </c>
      <c r="D347" s="136" t="s">
        <v>2396</v>
      </c>
      <c r="E347" s="137"/>
      <c r="F347" s="145" t="e">
        <f>VLOOKUP(C347,'[3]entities zones'!$C:$D,2,FALSE)</f>
        <v>#N/A</v>
      </c>
      <c r="G347" s="136" t="s">
        <v>2397</v>
      </c>
      <c r="H347" s="139" t="s">
        <v>872</v>
      </c>
      <c r="I347" s="139" t="s">
        <v>873</v>
      </c>
      <c r="J347" s="139" t="s">
        <v>874</v>
      </c>
      <c r="K347" s="136" t="s">
        <v>2339</v>
      </c>
      <c r="L347" s="140">
        <v>1</v>
      </c>
      <c r="M347" s="140">
        <v>216</v>
      </c>
      <c r="N347" s="140">
        <v>4</v>
      </c>
      <c r="O347" s="139">
        <v>0</v>
      </c>
      <c r="P347" s="139" t="b">
        <v>0</v>
      </c>
      <c r="Q347" s="139" t="b">
        <v>1</v>
      </c>
      <c r="R347" s="136" t="s">
        <v>2392</v>
      </c>
      <c r="S347" s="136" t="s">
        <v>2387</v>
      </c>
      <c r="T347" s="141">
        <v>0</v>
      </c>
    </row>
    <row r="348" spans="1:20">
      <c r="A348" s="136" t="s">
        <v>2398</v>
      </c>
      <c r="B348" s="136" t="s">
        <v>869</v>
      </c>
      <c r="C348" s="136" t="s">
        <v>2399</v>
      </c>
      <c r="D348" s="136" t="s">
        <v>2400</v>
      </c>
      <c r="E348" s="137"/>
      <c r="F348" s="145" t="e">
        <f>VLOOKUP(C348,'[3]entities zones'!$C:$D,2,FALSE)</f>
        <v>#N/A</v>
      </c>
      <c r="G348" s="136" t="s">
        <v>2401</v>
      </c>
      <c r="H348" s="139" t="s">
        <v>872</v>
      </c>
      <c r="I348" s="139" t="s">
        <v>873</v>
      </c>
      <c r="J348" s="139" t="s">
        <v>874</v>
      </c>
      <c r="K348" s="136" t="s">
        <v>2339</v>
      </c>
      <c r="L348" s="140">
        <v>1</v>
      </c>
      <c r="M348" s="140">
        <v>218</v>
      </c>
      <c r="N348" s="140">
        <v>4</v>
      </c>
      <c r="O348" s="139">
        <v>0</v>
      </c>
      <c r="P348" s="139" t="b">
        <v>0</v>
      </c>
      <c r="Q348" s="139" t="b">
        <v>1</v>
      </c>
      <c r="R348" s="136" t="s">
        <v>2392</v>
      </c>
      <c r="S348" s="136" t="s">
        <v>2402</v>
      </c>
      <c r="T348" s="141">
        <v>0</v>
      </c>
    </row>
    <row r="349" spans="1:20">
      <c r="A349" s="136" t="s">
        <v>2403</v>
      </c>
      <c r="B349" s="136" t="s">
        <v>869</v>
      </c>
      <c r="C349" s="136" t="s">
        <v>2404</v>
      </c>
      <c r="D349" s="136" t="s">
        <v>2390</v>
      </c>
      <c r="E349" s="137"/>
      <c r="F349" s="145" t="e">
        <f>VLOOKUP(C349,'[3]entities zones'!$C:$D,2,FALSE)</f>
        <v>#N/A</v>
      </c>
      <c r="G349" s="136" t="s">
        <v>2391</v>
      </c>
      <c r="H349" s="139" t="s">
        <v>872</v>
      </c>
      <c r="I349" s="139" t="s">
        <v>873</v>
      </c>
      <c r="J349" s="139" t="s">
        <v>874</v>
      </c>
      <c r="K349" s="136" t="s">
        <v>2339</v>
      </c>
      <c r="L349" s="140">
        <v>1</v>
      </c>
      <c r="M349" s="140">
        <v>220</v>
      </c>
      <c r="N349" s="140">
        <v>4</v>
      </c>
      <c r="O349" s="139">
        <v>0</v>
      </c>
      <c r="P349" s="139" t="b">
        <v>0</v>
      </c>
      <c r="Q349" s="139" t="b">
        <v>1</v>
      </c>
      <c r="R349" s="136" t="s">
        <v>1348</v>
      </c>
      <c r="S349" s="136" t="s">
        <v>2405</v>
      </c>
      <c r="T349" s="141">
        <v>0</v>
      </c>
    </row>
    <row r="350" spans="1:20">
      <c r="A350" s="136" t="s">
        <v>2406</v>
      </c>
      <c r="B350" s="136" t="s">
        <v>869</v>
      </c>
      <c r="C350" s="136" t="s">
        <v>2407</v>
      </c>
      <c r="D350" s="136" t="s">
        <v>2408</v>
      </c>
      <c r="E350" s="137"/>
      <c r="F350" s="145" t="e">
        <f>VLOOKUP(C350,'[3]entities zones'!$C:$D,2,FALSE)</f>
        <v>#N/A</v>
      </c>
      <c r="G350" s="136" t="s">
        <v>2409</v>
      </c>
      <c r="H350" s="139" t="s">
        <v>872</v>
      </c>
      <c r="I350" s="139" t="s">
        <v>873</v>
      </c>
      <c r="J350" s="139" t="s">
        <v>874</v>
      </c>
      <c r="K350" s="136" t="s">
        <v>2339</v>
      </c>
      <c r="L350" s="140">
        <v>1</v>
      </c>
      <c r="M350" s="140">
        <v>230</v>
      </c>
      <c r="N350" s="140">
        <v>4</v>
      </c>
      <c r="O350" s="139">
        <v>0</v>
      </c>
      <c r="P350" s="139" t="b">
        <v>0</v>
      </c>
      <c r="Q350" s="139" t="b">
        <v>1</v>
      </c>
      <c r="R350" s="136" t="s">
        <v>2308</v>
      </c>
      <c r="S350" s="136" t="s">
        <v>2410</v>
      </c>
      <c r="T350" s="141">
        <v>0</v>
      </c>
    </row>
    <row r="351" spans="1:20">
      <c r="A351" s="142" t="s">
        <v>2411</v>
      </c>
      <c r="B351" s="143" t="s">
        <v>869</v>
      </c>
      <c r="C351" s="143" t="s">
        <v>2412</v>
      </c>
      <c r="D351" s="143" t="s">
        <v>2413</v>
      </c>
      <c r="E351" s="144"/>
      <c r="F351" s="145" t="e">
        <f>VLOOKUP(C351,'[3]entities zones'!$C:$D,2,FALSE)</f>
        <v>#N/A</v>
      </c>
      <c r="G351" s="143" t="s">
        <v>2414</v>
      </c>
      <c r="H351" s="146" t="s">
        <v>872</v>
      </c>
      <c r="I351" s="146" t="s">
        <v>873</v>
      </c>
      <c r="J351" s="146" t="s">
        <v>874</v>
      </c>
      <c r="K351" s="143" t="s">
        <v>2291</v>
      </c>
      <c r="L351" s="147">
        <v>1</v>
      </c>
      <c r="M351" s="147">
        <v>888</v>
      </c>
      <c r="N351" s="147">
        <v>3</v>
      </c>
      <c r="O351" s="146">
        <v>2</v>
      </c>
      <c r="P351" s="146" t="b">
        <v>1</v>
      </c>
      <c r="Q351" s="146" t="b">
        <v>1</v>
      </c>
      <c r="R351" s="143" t="s">
        <v>2294</v>
      </c>
      <c r="S351" s="143" t="s">
        <v>2415</v>
      </c>
      <c r="T351" s="148">
        <v>2</v>
      </c>
    </row>
    <row r="352" spans="1:20">
      <c r="A352" s="136" t="s">
        <v>2416</v>
      </c>
      <c r="B352" s="136" t="s">
        <v>869</v>
      </c>
      <c r="C352" s="136" t="s">
        <v>2417</v>
      </c>
      <c r="D352" s="136" t="s">
        <v>2418</v>
      </c>
      <c r="E352" s="137"/>
      <c r="F352" s="145" t="e">
        <f>VLOOKUP(C352,'[3]entities zones'!$C:$D,2,FALSE)</f>
        <v>#N/A</v>
      </c>
      <c r="G352" s="136" t="s">
        <v>2419</v>
      </c>
      <c r="H352" s="139" t="s">
        <v>872</v>
      </c>
      <c r="I352" s="139" t="s">
        <v>873</v>
      </c>
      <c r="J352" s="139" t="s">
        <v>874</v>
      </c>
      <c r="K352" s="136" t="s">
        <v>2412</v>
      </c>
      <c r="L352" s="140">
        <v>1</v>
      </c>
      <c r="M352" s="140">
        <v>888</v>
      </c>
      <c r="N352" s="140">
        <v>4</v>
      </c>
      <c r="O352" s="139">
        <v>0</v>
      </c>
      <c r="P352" s="139" t="b">
        <v>0</v>
      </c>
      <c r="Q352" s="139" t="b">
        <v>1</v>
      </c>
      <c r="R352" s="136" t="s">
        <v>2294</v>
      </c>
      <c r="S352" s="136" t="s">
        <v>2415</v>
      </c>
      <c r="T352" s="141">
        <v>0</v>
      </c>
    </row>
    <row r="353" spans="1:20">
      <c r="A353" s="136" t="s">
        <v>2420</v>
      </c>
      <c r="B353" s="136" t="s">
        <v>869</v>
      </c>
      <c r="C353" s="136" t="s">
        <v>2421</v>
      </c>
      <c r="D353" s="136" t="s">
        <v>2422</v>
      </c>
      <c r="E353" s="137"/>
      <c r="F353" s="145" t="e">
        <f>VLOOKUP(C353,'[3]entities zones'!$C:$D,2,FALSE)</f>
        <v>#N/A</v>
      </c>
      <c r="G353" s="136" t="s">
        <v>2423</v>
      </c>
      <c r="H353" s="139" t="s">
        <v>872</v>
      </c>
      <c r="I353" s="139" t="s">
        <v>873</v>
      </c>
      <c r="J353" s="139" t="s">
        <v>874</v>
      </c>
      <c r="K353" s="136" t="s">
        <v>2412</v>
      </c>
      <c r="L353" s="140">
        <v>1</v>
      </c>
      <c r="M353" s="140">
        <v>999</v>
      </c>
      <c r="N353" s="140">
        <v>4</v>
      </c>
      <c r="O353" s="139">
        <v>0</v>
      </c>
      <c r="P353" s="139" t="b">
        <v>0</v>
      </c>
      <c r="Q353" s="139" t="b">
        <v>1</v>
      </c>
      <c r="R353" s="136" t="s">
        <v>2294</v>
      </c>
      <c r="S353" s="136" t="s">
        <v>2415</v>
      </c>
      <c r="T353" s="141">
        <v>0</v>
      </c>
    </row>
    <row r="354" spans="1:20">
      <c r="A354" s="142" t="s">
        <v>2424</v>
      </c>
      <c r="B354" s="143" t="s">
        <v>869</v>
      </c>
      <c r="C354" s="143" t="s">
        <v>2425</v>
      </c>
      <c r="D354" s="143" t="s">
        <v>2426</v>
      </c>
      <c r="E354" s="144"/>
      <c r="F354" s="145" t="e">
        <f>VLOOKUP(C354,'[3]entities zones'!$C:$D,2,FALSE)</f>
        <v>#N/A</v>
      </c>
      <c r="G354" s="143" t="s">
        <v>2427</v>
      </c>
      <c r="H354" s="146" t="s">
        <v>872</v>
      </c>
      <c r="I354" s="146" t="s">
        <v>873</v>
      </c>
      <c r="J354" s="146" t="s">
        <v>874</v>
      </c>
      <c r="K354" s="143" t="s">
        <v>879</v>
      </c>
      <c r="L354" s="147">
        <v>1</v>
      </c>
      <c r="M354" s="147">
        <v>888</v>
      </c>
      <c r="N354" s="147">
        <v>2</v>
      </c>
      <c r="O354" s="146">
        <v>2</v>
      </c>
      <c r="P354" s="146" t="b">
        <v>1</v>
      </c>
      <c r="Q354" s="146" t="b">
        <v>1</v>
      </c>
      <c r="R354" s="143" t="s">
        <v>2294</v>
      </c>
      <c r="S354" s="143" t="s">
        <v>2415</v>
      </c>
      <c r="T354" s="148">
        <v>2</v>
      </c>
    </row>
    <row r="355" spans="1:20">
      <c r="A355" s="136" t="s">
        <v>2428</v>
      </c>
      <c r="B355" s="136" t="s">
        <v>869</v>
      </c>
      <c r="C355" s="136" t="s">
        <v>2429</v>
      </c>
      <c r="D355" s="136" t="s">
        <v>2430</v>
      </c>
      <c r="E355" s="137"/>
      <c r="F355" s="145" t="e">
        <f>VLOOKUP(C355,'[3]entities zones'!$C:$D,2,FALSE)</f>
        <v>#N/A</v>
      </c>
      <c r="G355" s="136" t="s">
        <v>2431</v>
      </c>
      <c r="H355" s="139" t="s">
        <v>872</v>
      </c>
      <c r="I355" s="139" t="s">
        <v>873</v>
      </c>
      <c r="J355" s="139" t="s">
        <v>874</v>
      </c>
      <c r="K355" s="136" t="s">
        <v>2425</v>
      </c>
      <c r="L355" s="140">
        <v>1</v>
      </c>
      <c r="M355" s="140">
        <v>888</v>
      </c>
      <c r="N355" s="140">
        <v>3</v>
      </c>
      <c r="O355" s="139">
        <v>0</v>
      </c>
      <c r="P355" s="139" t="b">
        <v>0</v>
      </c>
      <c r="Q355" s="139" t="b">
        <v>1</v>
      </c>
      <c r="R355" s="136" t="s">
        <v>2294</v>
      </c>
      <c r="S355" s="136" t="s">
        <v>2432</v>
      </c>
      <c r="T355" s="141">
        <v>0</v>
      </c>
    </row>
    <row r="356" spans="1:20">
      <c r="A356" s="136" t="s">
        <v>2433</v>
      </c>
      <c r="B356" s="136" t="s">
        <v>869</v>
      </c>
      <c r="C356" s="136" t="s">
        <v>2434</v>
      </c>
      <c r="D356" s="136" t="s">
        <v>2435</v>
      </c>
      <c r="E356" s="137"/>
      <c r="F356" s="145" t="e">
        <f>VLOOKUP(C356,'[3]entities zones'!$C:$D,2,FALSE)</f>
        <v>#N/A</v>
      </c>
      <c r="G356" s="136" t="s">
        <v>2436</v>
      </c>
      <c r="H356" s="139" t="s">
        <v>872</v>
      </c>
      <c r="I356" s="139" t="s">
        <v>873</v>
      </c>
      <c r="J356" s="139" t="s">
        <v>874</v>
      </c>
      <c r="K356" s="136" t="s">
        <v>2425</v>
      </c>
      <c r="L356" s="140">
        <v>1</v>
      </c>
      <c r="M356" s="140">
        <v>999</v>
      </c>
      <c r="N356" s="140">
        <v>3</v>
      </c>
      <c r="O356" s="139">
        <v>0</v>
      </c>
      <c r="P356" s="139" t="b">
        <v>0</v>
      </c>
      <c r="Q356" s="139" t="b">
        <v>1</v>
      </c>
      <c r="R356" s="136" t="s">
        <v>2294</v>
      </c>
      <c r="S356" s="136" t="s">
        <v>2437</v>
      </c>
      <c r="T356" s="141">
        <v>0</v>
      </c>
    </row>
    <row r="357" spans="1:20">
      <c r="A357" s="142" t="s">
        <v>2438</v>
      </c>
      <c r="B357" s="143" t="s">
        <v>869</v>
      </c>
      <c r="C357" s="143" t="s">
        <v>2439</v>
      </c>
      <c r="D357" s="143" t="s">
        <v>2440</v>
      </c>
      <c r="E357" s="144"/>
      <c r="F357" s="145" t="e">
        <f>VLOOKUP(C357,'[3]entities zones'!$C:$D,2,FALSE)</f>
        <v>#N/A</v>
      </c>
      <c r="G357" s="143" t="s">
        <v>2441</v>
      </c>
      <c r="H357" s="146" t="s">
        <v>872</v>
      </c>
      <c r="I357" s="146" t="s">
        <v>873</v>
      </c>
      <c r="J357" s="146" t="s">
        <v>874</v>
      </c>
      <c r="K357" s="143" t="s">
        <v>869</v>
      </c>
      <c r="L357" s="147">
        <v>1</v>
      </c>
      <c r="M357" s="147">
        <v>1</v>
      </c>
      <c r="N357" s="147">
        <v>1</v>
      </c>
      <c r="O357" s="146">
        <v>3</v>
      </c>
      <c r="P357" s="146" t="b">
        <v>1</v>
      </c>
      <c r="Q357" s="146" t="b">
        <v>1</v>
      </c>
      <c r="R357" s="143" t="s">
        <v>2442</v>
      </c>
      <c r="S357" s="143" t="s">
        <v>2443</v>
      </c>
      <c r="T357" s="148">
        <v>19</v>
      </c>
    </row>
    <row r="358" spans="1:20">
      <c r="A358" s="142" t="s">
        <v>2444</v>
      </c>
      <c r="B358" s="143" t="s">
        <v>869</v>
      </c>
      <c r="C358" s="143" t="s">
        <v>2445</v>
      </c>
      <c r="D358" s="143" t="s">
        <v>2446</v>
      </c>
      <c r="E358" s="144"/>
      <c r="F358" s="145" t="e">
        <f>VLOOKUP(C358,'[3]entities zones'!$C:$D,2,FALSE)</f>
        <v>#N/A</v>
      </c>
      <c r="G358" s="143" t="s">
        <v>2447</v>
      </c>
      <c r="H358" s="146" t="s">
        <v>872</v>
      </c>
      <c r="I358" s="146" t="s">
        <v>873</v>
      </c>
      <c r="J358" s="146" t="s">
        <v>874</v>
      </c>
      <c r="K358" s="143" t="s">
        <v>2439</v>
      </c>
      <c r="L358" s="147">
        <v>1</v>
      </c>
      <c r="M358" s="147">
        <v>10</v>
      </c>
      <c r="N358" s="147">
        <v>2</v>
      </c>
      <c r="O358" s="146">
        <v>7</v>
      </c>
      <c r="P358" s="146" t="b">
        <v>1</v>
      </c>
      <c r="Q358" s="146" t="b">
        <v>1</v>
      </c>
      <c r="R358" s="143" t="s">
        <v>2448</v>
      </c>
      <c r="S358" s="143" t="s">
        <v>2449</v>
      </c>
      <c r="T358" s="148">
        <v>10</v>
      </c>
    </row>
    <row r="359" spans="1:20">
      <c r="A359" s="136" t="s">
        <v>2450</v>
      </c>
      <c r="B359" s="136" t="s">
        <v>869</v>
      </c>
      <c r="C359" s="136" t="s">
        <v>2451</v>
      </c>
      <c r="D359" s="136" t="s">
        <v>2452</v>
      </c>
      <c r="E359" s="137"/>
      <c r="F359" s="145" t="e">
        <f>VLOOKUP(C359,'[3]entities zones'!$C:$D,2,FALSE)</f>
        <v>#N/A</v>
      </c>
      <c r="G359" s="136" t="s">
        <v>2452</v>
      </c>
      <c r="H359" s="139" t="s">
        <v>872</v>
      </c>
      <c r="I359" s="139" t="s">
        <v>873</v>
      </c>
      <c r="J359" s="139" t="s">
        <v>874</v>
      </c>
      <c r="K359" s="136" t="s">
        <v>2445</v>
      </c>
      <c r="L359" s="140">
        <v>1</v>
      </c>
      <c r="M359" s="140">
        <v>1</v>
      </c>
      <c r="N359" s="140">
        <v>3</v>
      </c>
      <c r="O359" s="139">
        <v>0</v>
      </c>
      <c r="P359" s="139" t="b">
        <v>0</v>
      </c>
      <c r="Q359" s="139" t="b">
        <v>1</v>
      </c>
      <c r="R359" s="136" t="s">
        <v>2453</v>
      </c>
      <c r="S359" s="136" t="s">
        <v>2454</v>
      </c>
      <c r="T359" s="141">
        <v>0</v>
      </c>
    </row>
    <row r="360" spans="1:20">
      <c r="A360" s="136" t="s">
        <v>2455</v>
      </c>
      <c r="B360" s="136" t="s">
        <v>869</v>
      </c>
      <c r="C360" s="136" t="s">
        <v>2456</v>
      </c>
      <c r="D360" s="136" t="s">
        <v>2457</v>
      </c>
      <c r="E360" s="137"/>
      <c r="F360" s="145" t="e">
        <f>VLOOKUP(C360,'[3]entities zones'!$C:$D,2,FALSE)</f>
        <v>#N/A</v>
      </c>
      <c r="G360" s="136" t="s">
        <v>2457</v>
      </c>
      <c r="H360" s="139" t="s">
        <v>872</v>
      </c>
      <c r="I360" s="139" t="s">
        <v>873</v>
      </c>
      <c r="J360" s="139" t="s">
        <v>874</v>
      </c>
      <c r="K360" s="136" t="s">
        <v>2445</v>
      </c>
      <c r="L360" s="140">
        <v>1</v>
      </c>
      <c r="M360" s="140">
        <v>680</v>
      </c>
      <c r="N360" s="140">
        <v>3</v>
      </c>
      <c r="O360" s="139">
        <v>0</v>
      </c>
      <c r="P360" s="139" t="b">
        <v>0</v>
      </c>
      <c r="Q360" s="139" t="b">
        <v>1</v>
      </c>
      <c r="R360" s="136" t="s">
        <v>2458</v>
      </c>
      <c r="S360" s="136" t="s">
        <v>2459</v>
      </c>
      <c r="T360" s="141">
        <v>0</v>
      </c>
    </row>
    <row r="361" spans="1:20">
      <c r="A361" s="136" t="s">
        <v>2460</v>
      </c>
      <c r="B361" s="136" t="s">
        <v>869</v>
      </c>
      <c r="C361" s="136" t="s">
        <v>2461</v>
      </c>
      <c r="D361" s="136" t="s">
        <v>2462</v>
      </c>
      <c r="E361" s="137"/>
      <c r="F361" s="145" t="e">
        <f>VLOOKUP(C361,'[3]entities zones'!$C:$D,2,FALSE)</f>
        <v>#N/A</v>
      </c>
      <c r="G361" s="136" t="s">
        <v>2462</v>
      </c>
      <c r="H361" s="139" t="s">
        <v>872</v>
      </c>
      <c r="I361" s="139" t="s">
        <v>873</v>
      </c>
      <c r="J361" s="139" t="s">
        <v>874</v>
      </c>
      <c r="K361" s="136" t="s">
        <v>2445</v>
      </c>
      <c r="L361" s="140">
        <v>1</v>
      </c>
      <c r="M361" s="140">
        <v>690</v>
      </c>
      <c r="N361" s="140">
        <v>3</v>
      </c>
      <c r="O361" s="139">
        <v>0</v>
      </c>
      <c r="P361" s="139" t="b">
        <v>0</v>
      </c>
      <c r="Q361" s="139" t="b">
        <v>1</v>
      </c>
      <c r="R361" s="136" t="s">
        <v>2463</v>
      </c>
      <c r="S361" s="136" t="s">
        <v>2464</v>
      </c>
      <c r="T361" s="141">
        <v>0</v>
      </c>
    </row>
    <row r="362" spans="1:20">
      <c r="A362" s="136" t="s">
        <v>2465</v>
      </c>
      <c r="B362" s="136" t="s">
        <v>869</v>
      </c>
      <c r="C362" s="136" t="s">
        <v>2466</v>
      </c>
      <c r="D362" s="136" t="s">
        <v>2467</v>
      </c>
      <c r="E362" s="137"/>
      <c r="F362" s="145" t="e">
        <f>VLOOKUP(C362,'[3]entities zones'!$C:$D,2,FALSE)</f>
        <v>#N/A</v>
      </c>
      <c r="G362" s="136" t="s">
        <v>2468</v>
      </c>
      <c r="H362" s="139" t="s">
        <v>872</v>
      </c>
      <c r="I362" s="139" t="s">
        <v>873</v>
      </c>
      <c r="J362" s="139" t="s">
        <v>874</v>
      </c>
      <c r="K362" s="136" t="s">
        <v>2445</v>
      </c>
      <c r="L362" s="140">
        <v>1</v>
      </c>
      <c r="M362" s="140">
        <v>5950</v>
      </c>
      <c r="N362" s="140">
        <v>3</v>
      </c>
      <c r="O362" s="139">
        <v>0</v>
      </c>
      <c r="P362" s="139" t="b">
        <v>0</v>
      </c>
      <c r="Q362" s="139" t="b">
        <v>1</v>
      </c>
      <c r="R362" s="136" t="s">
        <v>2469</v>
      </c>
      <c r="S362" s="136" t="s">
        <v>2470</v>
      </c>
      <c r="T362" s="141">
        <v>0</v>
      </c>
    </row>
    <row r="363" spans="1:20">
      <c r="A363" s="136" t="s">
        <v>2471</v>
      </c>
      <c r="B363" s="136" t="s">
        <v>869</v>
      </c>
      <c r="C363" s="136" t="s">
        <v>2472</v>
      </c>
      <c r="D363" s="136" t="s">
        <v>2473</v>
      </c>
      <c r="E363" s="137"/>
      <c r="F363" s="145" t="e">
        <f>VLOOKUP(C363,'[3]entities zones'!$C:$D,2,FALSE)</f>
        <v>#N/A</v>
      </c>
      <c r="G363" s="136" t="s">
        <v>2474</v>
      </c>
      <c r="H363" s="139" t="s">
        <v>872</v>
      </c>
      <c r="I363" s="139" t="s">
        <v>873</v>
      </c>
      <c r="J363" s="139" t="s">
        <v>874</v>
      </c>
      <c r="K363" s="136" t="s">
        <v>2445</v>
      </c>
      <c r="L363" s="140">
        <v>1</v>
      </c>
      <c r="M363" s="140">
        <v>5960</v>
      </c>
      <c r="N363" s="140">
        <v>3</v>
      </c>
      <c r="O363" s="139">
        <v>0</v>
      </c>
      <c r="P363" s="139" t="b">
        <v>0</v>
      </c>
      <c r="Q363" s="139" t="b">
        <v>1</v>
      </c>
      <c r="R363" s="136" t="s">
        <v>2475</v>
      </c>
      <c r="S363" s="136" t="s">
        <v>2476</v>
      </c>
      <c r="T363" s="141">
        <v>0</v>
      </c>
    </row>
    <row r="364" spans="1:20">
      <c r="A364" s="136" t="s">
        <v>2477</v>
      </c>
      <c r="B364" s="136" t="s">
        <v>869</v>
      </c>
      <c r="C364" s="136" t="s">
        <v>2478</v>
      </c>
      <c r="D364" s="136" t="s">
        <v>2479</v>
      </c>
      <c r="E364" s="137"/>
      <c r="F364" s="145" t="e">
        <f>VLOOKUP(C364,'[3]entities zones'!$C:$D,2,FALSE)</f>
        <v>#N/A</v>
      </c>
      <c r="G364" s="136" t="s">
        <v>2480</v>
      </c>
      <c r="H364" s="139" t="s">
        <v>872</v>
      </c>
      <c r="I364" s="139" t="s">
        <v>873</v>
      </c>
      <c r="J364" s="139" t="s">
        <v>874</v>
      </c>
      <c r="K364" s="136" t="s">
        <v>2445</v>
      </c>
      <c r="L364" s="140">
        <v>1</v>
      </c>
      <c r="M364" s="140">
        <v>5970</v>
      </c>
      <c r="N364" s="140">
        <v>3</v>
      </c>
      <c r="O364" s="139">
        <v>0</v>
      </c>
      <c r="P364" s="139" t="b">
        <v>0</v>
      </c>
      <c r="Q364" s="139" t="b">
        <v>1</v>
      </c>
      <c r="R364" s="136" t="s">
        <v>2481</v>
      </c>
      <c r="S364" s="136" t="s">
        <v>2482</v>
      </c>
      <c r="T364" s="141">
        <v>0</v>
      </c>
    </row>
    <row r="365" spans="1:20">
      <c r="A365" s="142" t="s">
        <v>2483</v>
      </c>
      <c r="B365" s="143" t="s">
        <v>869</v>
      </c>
      <c r="C365" s="143" t="s">
        <v>2484</v>
      </c>
      <c r="D365" s="143" t="s">
        <v>2485</v>
      </c>
      <c r="E365" s="144"/>
      <c r="F365" s="145" t="e">
        <f>VLOOKUP(C365,'[3]entities zones'!$C:$D,2,FALSE)</f>
        <v>#N/A</v>
      </c>
      <c r="G365" s="143" t="s">
        <v>875</v>
      </c>
      <c r="H365" s="146" t="s">
        <v>872</v>
      </c>
      <c r="I365" s="146" t="s">
        <v>873</v>
      </c>
      <c r="J365" s="146" t="s">
        <v>874</v>
      </c>
      <c r="K365" s="143" t="s">
        <v>2445</v>
      </c>
      <c r="L365" s="147">
        <v>1</v>
      </c>
      <c r="M365" s="147">
        <v>0</v>
      </c>
      <c r="N365" s="147">
        <v>3</v>
      </c>
      <c r="O365" s="146">
        <v>3</v>
      </c>
      <c r="P365" s="146" t="b">
        <v>1</v>
      </c>
      <c r="Q365" s="146" t="b">
        <v>1</v>
      </c>
      <c r="R365" s="143" t="s">
        <v>2486</v>
      </c>
      <c r="S365" s="143" t="s">
        <v>2487</v>
      </c>
      <c r="T365" s="148">
        <v>3</v>
      </c>
    </row>
    <row r="366" spans="1:20">
      <c r="A366" s="136" t="s">
        <v>2488</v>
      </c>
      <c r="B366" s="136" t="s">
        <v>869</v>
      </c>
      <c r="C366" s="136" t="s">
        <v>2489</v>
      </c>
      <c r="D366" s="136" t="s">
        <v>2490</v>
      </c>
      <c r="E366" s="137"/>
      <c r="F366" s="145" t="e">
        <f>VLOOKUP(C366,'[3]entities zones'!$C:$D,2,FALSE)</f>
        <v>#N/A</v>
      </c>
      <c r="G366" s="136" t="s">
        <v>2490</v>
      </c>
      <c r="H366" s="139" t="s">
        <v>872</v>
      </c>
      <c r="I366" s="139" t="s">
        <v>873</v>
      </c>
      <c r="J366" s="139" t="s">
        <v>874</v>
      </c>
      <c r="K366" s="136" t="s">
        <v>2484</v>
      </c>
      <c r="L366" s="140">
        <v>1</v>
      </c>
      <c r="M366" s="140">
        <v>215</v>
      </c>
      <c r="N366" s="140">
        <v>4</v>
      </c>
      <c r="O366" s="139">
        <v>0</v>
      </c>
      <c r="P366" s="139" t="b">
        <v>0</v>
      </c>
      <c r="Q366" s="139" t="b">
        <v>1</v>
      </c>
      <c r="R366" s="136" t="s">
        <v>2491</v>
      </c>
      <c r="S366" s="136" t="s">
        <v>2492</v>
      </c>
      <c r="T366" s="141">
        <v>0</v>
      </c>
    </row>
    <row r="367" spans="1:20">
      <c r="A367" s="136" t="s">
        <v>2493</v>
      </c>
      <c r="B367" s="136" t="s">
        <v>869</v>
      </c>
      <c r="C367" s="136" t="s">
        <v>2494</v>
      </c>
      <c r="D367" s="136" t="s">
        <v>2495</v>
      </c>
      <c r="E367" s="137"/>
      <c r="F367" s="145" t="e">
        <f>VLOOKUP(C367,'[3]entities zones'!$C:$D,2,FALSE)</f>
        <v>#N/A</v>
      </c>
      <c r="G367" s="136" t="s">
        <v>2495</v>
      </c>
      <c r="H367" s="139" t="s">
        <v>872</v>
      </c>
      <c r="I367" s="139" t="s">
        <v>873</v>
      </c>
      <c r="J367" s="139" t="s">
        <v>874</v>
      </c>
      <c r="K367" s="136" t="s">
        <v>2484</v>
      </c>
      <c r="L367" s="140">
        <v>1</v>
      </c>
      <c r="M367" s="140">
        <v>888</v>
      </c>
      <c r="N367" s="140">
        <v>4</v>
      </c>
      <c r="O367" s="139">
        <v>0</v>
      </c>
      <c r="P367" s="139" t="b">
        <v>0</v>
      </c>
      <c r="Q367" s="139" t="b">
        <v>1</v>
      </c>
      <c r="R367" s="136" t="s">
        <v>2496</v>
      </c>
      <c r="S367" s="136" t="s">
        <v>2497</v>
      </c>
      <c r="T367" s="141">
        <v>0</v>
      </c>
    </row>
    <row r="368" spans="1:20">
      <c r="A368" s="136" t="s">
        <v>2498</v>
      </c>
      <c r="B368" s="136" t="s">
        <v>869</v>
      </c>
      <c r="C368" s="136" t="s">
        <v>2499</v>
      </c>
      <c r="D368" s="136" t="s">
        <v>2500</v>
      </c>
      <c r="E368" s="137"/>
      <c r="F368" s="145" t="e">
        <f>VLOOKUP(C368,'[3]entities zones'!$C:$D,2,FALSE)</f>
        <v>#N/A</v>
      </c>
      <c r="G368" s="136" t="s">
        <v>2501</v>
      </c>
      <c r="H368" s="139" t="s">
        <v>872</v>
      </c>
      <c r="I368" s="139" t="s">
        <v>873</v>
      </c>
      <c r="J368" s="139" t="s">
        <v>874</v>
      </c>
      <c r="K368" s="136" t="s">
        <v>2484</v>
      </c>
      <c r="L368" s="140">
        <v>1</v>
      </c>
      <c r="M368" s="140">
        <v>999</v>
      </c>
      <c r="N368" s="140">
        <v>4</v>
      </c>
      <c r="O368" s="139">
        <v>0</v>
      </c>
      <c r="P368" s="139" t="b">
        <v>0</v>
      </c>
      <c r="Q368" s="139" t="b">
        <v>1</v>
      </c>
      <c r="R368" s="136" t="s">
        <v>2502</v>
      </c>
      <c r="S368" s="136" t="s">
        <v>2503</v>
      </c>
      <c r="T368" s="141">
        <v>0</v>
      </c>
    </row>
    <row r="369" spans="1:20">
      <c r="A369" s="142" t="s">
        <v>2504</v>
      </c>
      <c r="B369" s="143" t="s">
        <v>869</v>
      </c>
      <c r="C369" s="143" t="s">
        <v>2505</v>
      </c>
      <c r="D369" s="143" t="s">
        <v>2506</v>
      </c>
      <c r="E369" s="144"/>
      <c r="F369" s="145" t="e">
        <f>VLOOKUP(C369,'[3]entities zones'!$C:$D,2,FALSE)</f>
        <v>#N/A</v>
      </c>
      <c r="G369" s="143" t="s">
        <v>2507</v>
      </c>
      <c r="H369" s="146" t="s">
        <v>872</v>
      </c>
      <c r="I369" s="146" t="s">
        <v>873</v>
      </c>
      <c r="J369" s="146" t="s">
        <v>874</v>
      </c>
      <c r="K369" s="143" t="s">
        <v>2439</v>
      </c>
      <c r="L369" s="147">
        <v>1</v>
      </c>
      <c r="M369" s="147">
        <v>20</v>
      </c>
      <c r="N369" s="147">
        <v>2</v>
      </c>
      <c r="O369" s="146">
        <v>1</v>
      </c>
      <c r="P369" s="146" t="b">
        <v>1</v>
      </c>
      <c r="Q369" s="146" t="b">
        <v>1</v>
      </c>
      <c r="R369" s="143" t="s">
        <v>2508</v>
      </c>
      <c r="S369" s="143" t="s">
        <v>2509</v>
      </c>
      <c r="T369" s="148">
        <v>4</v>
      </c>
    </row>
    <row r="370" spans="1:20">
      <c r="A370" s="142" t="s">
        <v>2510</v>
      </c>
      <c r="B370" s="143" t="s">
        <v>869</v>
      </c>
      <c r="C370" s="143" t="s">
        <v>2511</v>
      </c>
      <c r="D370" s="143" t="s">
        <v>2512</v>
      </c>
      <c r="E370" s="144"/>
      <c r="F370" s="145" t="e">
        <f>VLOOKUP(C370,'[3]entities zones'!$C:$D,2,FALSE)</f>
        <v>#N/A</v>
      </c>
      <c r="G370" s="143" t="s">
        <v>875</v>
      </c>
      <c r="H370" s="146" t="s">
        <v>872</v>
      </c>
      <c r="I370" s="146" t="s">
        <v>873</v>
      </c>
      <c r="J370" s="146" t="s">
        <v>874</v>
      </c>
      <c r="K370" s="143" t="s">
        <v>2505</v>
      </c>
      <c r="L370" s="147">
        <v>1</v>
      </c>
      <c r="M370" s="147">
        <v>888</v>
      </c>
      <c r="N370" s="147">
        <v>3</v>
      </c>
      <c r="O370" s="146">
        <v>3</v>
      </c>
      <c r="P370" s="146" t="b">
        <v>1</v>
      </c>
      <c r="Q370" s="146" t="b">
        <v>1</v>
      </c>
      <c r="R370" s="143" t="s">
        <v>2513</v>
      </c>
      <c r="S370" s="143" t="s">
        <v>2514</v>
      </c>
      <c r="T370" s="148">
        <v>3</v>
      </c>
    </row>
    <row r="371" spans="1:20">
      <c r="A371" s="136" t="s">
        <v>2515</v>
      </c>
      <c r="B371" s="136" t="s">
        <v>869</v>
      </c>
      <c r="C371" s="136" t="s">
        <v>2516</v>
      </c>
      <c r="D371" s="136" t="s">
        <v>2517</v>
      </c>
      <c r="E371" s="137"/>
      <c r="F371" s="145" t="e">
        <f>VLOOKUP(C371,'[3]entities zones'!$C:$D,2,FALSE)</f>
        <v>#N/A</v>
      </c>
      <c r="G371" s="136" t="s">
        <v>2517</v>
      </c>
      <c r="H371" s="139" t="s">
        <v>872</v>
      </c>
      <c r="I371" s="139" t="s">
        <v>873</v>
      </c>
      <c r="J371" s="139" t="s">
        <v>874</v>
      </c>
      <c r="K371" s="136" t="s">
        <v>2511</v>
      </c>
      <c r="L371" s="140">
        <v>1</v>
      </c>
      <c r="M371" s="140">
        <v>60</v>
      </c>
      <c r="N371" s="140">
        <v>4</v>
      </c>
      <c r="O371" s="139">
        <v>0</v>
      </c>
      <c r="P371" s="139" t="b">
        <v>0</v>
      </c>
      <c r="Q371" s="139" t="b">
        <v>1</v>
      </c>
      <c r="R371" s="136" t="s">
        <v>2518</v>
      </c>
      <c r="S371" s="136" t="s">
        <v>2519</v>
      </c>
      <c r="T371" s="141">
        <v>0</v>
      </c>
    </row>
    <row r="372" spans="1:20">
      <c r="A372" s="136" t="s">
        <v>2520</v>
      </c>
      <c r="B372" s="136" t="s">
        <v>869</v>
      </c>
      <c r="C372" s="136" t="s">
        <v>2521</v>
      </c>
      <c r="D372" s="136" t="s">
        <v>2522</v>
      </c>
      <c r="E372" s="137"/>
      <c r="F372" s="145" t="e">
        <f>VLOOKUP(C372,'[3]entities zones'!$C:$D,2,FALSE)</f>
        <v>#N/A</v>
      </c>
      <c r="G372" s="136" t="s">
        <v>2523</v>
      </c>
      <c r="H372" s="139" t="s">
        <v>872</v>
      </c>
      <c r="I372" s="139" t="s">
        <v>873</v>
      </c>
      <c r="J372" s="139" t="s">
        <v>874</v>
      </c>
      <c r="K372" s="136" t="s">
        <v>2511</v>
      </c>
      <c r="L372" s="140">
        <v>1</v>
      </c>
      <c r="M372" s="140">
        <v>888</v>
      </c>
      <c r="N372" s="140">
        <v>4</v>
      </c>
      <c r="O372" s="139">
        <v>0</v>
      </c>
      <c r="P372" s="139" t="b">
        <v>0</v>
      </c>
      <c r="Q372" s="139" t="b">
        <v>1</v>
      </c>
      <c r="R372" s="136" t="s">
        <v>2524</v>
      </c>
      <c r="S372" s="136" t="s">
        <v>2525</v>
      </c>
      <c r="T372" s="141">
        <v>0</v>
      </c>
    </row>
    <row r="373" spans="1:20">
      <c r="A373" s="136" t="s">
        <v>2526</v>
      </c>
      <c r="B373" s="136" t="s">
        <v>869</v>
      </c>
      <c r="C373" s="136" t="s">
        <v>2527</v>
      </c>
      <c r="D373" s="136" t="s">
        <v>2528</v>
      </c>
      <c r="E373" s="137"/>
      <c r="F373" s="145" t="e">
        <f>VLOOKUP(C373,'[3]entities zones'!$C:$D,2,FALSE)</f>
        <v>#N/A</v>
      </c>
      <c r="G373" s="136" t="s">
        <v>2529</v>
      </c>
      <c r="H373" s="139" t="s">
        <v>872</v>
      </c>
      <c r="I373" s="139" t="s">
        <v>873</v>
      </c>
      <c r="J373" s="139" t="s">
        <v>874</v>
      </c>
      <c r="K373" s="136" t="s">
        <v>2511</v>
      </c>
      <c r="L373" s="140">
        <v>1</v>
      </c>
      <c r="M373" s="140">
        <v>999</v>
      </c>
      <c r="N373" s="140">
        <v>4</v>
      </c>
      <c r="O373" s="139">
        <v>0</v>
      </c>
      <c r="P373" s="139" t="b">
        <v>0</v>
      </c>
      <c r="Q373" s="139" t="b">
        <v>1</v>
      </c>
      <c r="R373" s="136" t="s">
        <v>2530</v>
      </c>
      <c r="S373" s="136" t="s">
        <v>2531</v>
      </c>
      <c r="T373" s="141">
        <v>0</v>
      </c>
    </row>
    <row r="374" spans="1:20">
      <c r="A374" s="142" t="s">
        <v>2532</v>
      </c>
      <c r="B374" s="143" t="s">
        <v>869</v>
      </c>
      <c r="C374" s="143" t="s">
        <v>2533</v>
      </c>
      <c r="D374" s="143" t="s">
        <v>2534</v>
      </c>
      <c r="E374" s="144"/>
      <c r="F374" s="145" t="e">
        <f>VLOOKUP(C374,'[3]entities zones'!$C:$D,2,FALSE)</f>
        <v>#N/A</v>
      </c>
      <c r="G374" s="143" t="s">
        <v>2535</v>
      </c>
      <c r="H374" s="146" t="s">
        <v>872</v>
      </c>
      <c r="I374" s="146" t="s">
        <v>873</v>
      </c>
      <c r="J374" s="146" t="s">
        <v>874</v>
      </c>
      <c r="K374" s="143" t="s">
        <v>2439</v>
      </c>
      <c r="L374" s="147">
        <v>1</v>
      </c>
      <c r="M374" s="147">
        <v>888</v>
      </c>
      <c r="N374" s="147">
        <v>2</v>
      </c>
      <c r="O374" s="146">
        <v>2</v>
      </c>
      <c r="P374" s="146" t="b">
        <v>1</v>
      </c>
      <c r="Q374" s="146" t="b">
        <v>1</v>
      </c>
      <c r="R374" s="143" t="s">
        <v>2536</v>
      </c>
      <c r="S374" s="143" t="s">
        <v>2537</v>
      </c>
      <c r="T374" s="148">
        <v>2</v>
      </c>
    </row>
    <row r="375" spans="1:20">
      <c r="A375" s="136" t="s">
        <v>2538</v>
      </c>
      <c r="B375" s="136" t="s">
        <v>869</v>
      </c>
      <c r="C375" s="136" t="s">
        <v>2539</v>
      </c>
      <c r="D375" s="136" t="s">
        <v>2540</v>
      </c>
      <c r="E375" s="137"/>
      <c r="F375" s="145" t="e">
        <f>VLOOKUP(C375,'[3]entities zones'!$C:$D,2,FALSE)</f>
        <v>#N/A</v>
      </c>
      <c r="G375" s="136" t="s">
        <v>2541</v>
      </c>
      <c r="H375" s="139" t="s">
        <v>872</v>
      </c>
      <c r="I375" s="139" t="s">
        <v>873</v>
      </c>
      <c r="J375" s="139" t="s">
        <v>874</v>
      </c>
      <c r="K375" s="136" t="s">
        <v>2533</v>
      </c>
      <c r="L375" s="140">
        <v>1</v>
      </c>
      <c r="M375" s="140">
        <v>888</v>
      </c>
      <c r="N375" s="140">
        <v>3</v>
      </c>
      <c r="O375" s="139">
        <v>0</v>
      </c>
      <c r="P375" s="139" t="b">
        <v>0</v>
      </c>
      <c r="Q375" s="139" t="b">
        <v>1</v>
      </c>
      <c r="R375" s="136" t="s">
        <v>2542</v>
      </c>
      <c r="S375" s="136" t="s">
        <v>2543</v>
      </c>
      <c r="T375" s="141">
        <v>0</v>
      </c>
    </row>
    <row r="376" spans="1:20">
      <c r="A376" s="136" t="s">
        <v>2544</v>
      </c>
      <c r="B376" s="136" t="s">
        <v>869</v>
      </c>
      <c r="C376" s="136" t="s">
        <v>2545</v>
      </c>
      <c r="D376" s="136" t="s">
        <v>2546</v>
      </c>
      <c r="E376" s="137"/>
      <c r="F376" s="145" t="e">
        <f>VLOOKUP(C376,'[3]entities zones'!$C:$D,2,FALSE)</f>
        <v>#N/A</v>
      </c>
      <c r="G376" s="136" t="s">
        <v>2547</v>
      </c>
      <c r="H376" s="139" t="s">
        <v>872</v>
      </c>
      <c r="I376" s="139" t="s">
        <v>873</v>
      </c>
      <c r="J376" s="139" t="s">
        <v>874</v>
      </c>
      <c r="K376" s="136" t="s">
        <v>2533</v>
      </c>
      <c r="L376" s="140">
        <v>1</v>
      </c>
      <c r="M376" s="140">
        <v>999</v>
      </c>
      <c r="N376" s="140">
        <v>3</v>
      </c>
      <c r="O376" s="139">
        <v>0</v>
      </c>
      <c r="P376" s="139" t="b">
        <v>0</v>
      </c>
      <c r="Q376" s="139" t="b">
        <v>1</v>
      </c>
      <c r="R376" s="136" t="s">
        <v>2548</v>
      </c>
      <c r="S376" s="136" t="s">
        <v>2549</v>
      </c>
      <c r="T376" s="141">
        <v>0</v>
      </c>
    </row>
    <row r="377" spans="1:20">
      <c r="A377" s="142" t="s">
        <v>2550</v>
      </c>
      <c r="B377" s="143" t="s">
        <v>869</v>
      </c>
      <c r="C377" s="143" t="s">
        <v>2551</v>
      </c>
      <c r="D377" s="143" t="s">
        <v>2552</v>
      </c>
      <c r="E377" s="144"/>
      <c r="F377" s="145" t="e">
        <f>VLOOKUP(C377,'[3]entities zones'!$C:$D,2,FALSE)</f>
        <v>#N/A</v>
      </c>
      <c r="G377" s="143" t="s">
        <v>2553</v>
      </c>
      <c r="H377" s="146" t="s">
        <v>872</v>
      </c>
      <c r="I377" s="146" t="s">
        <v>873</v>
      </c>
      <c r="J377" s="146" t="s">
        <v>874</v>
      </c>
      <c r="K377" s="143" t="s">
        <v>869</v>
      </c>
      <c r="L377" s="147">
        <v>1</v>
      </c>
      <c r="M377" s="147">
        <v>0</v>
      </c>
      <c r="N377" s="147">
        <v>1</v>
      </c>
      <c r="O377" s="146">
        <v>2</v>
      </c>
      <c r="P377" s="146" t="b">
        <v>1</v>
      </c>
      <c r="Q377" s="146" t="b">
        <v>1</v>
      </c>
      <c r="R377" s="143" t="s">
        <v>2554</v>
      </c>
      <c r="S377" s="143" t="s">
        <v>2555</v>
      </c>
      <c r="T377" s="148">
        <v>2</v>
      </c>
    </row>
    <row r="378" spans="1:20">
      <c r="A378" s="136" t="s">
        <v>2556</v>
      </c>
      <c r="B378" s="136" t="s">
        <v>869</v>
      </c>
      <c r="C378" s="136" t="s">
        <v>2557</v>
      </c>
      <c r="D378" s="136" t="s">
        <v>2558</v>
      </c>
      <c r="E378" s="137"/>
      <c r="F378" s="145" t="e">
        <f>VLOOKUP(C378,'[3]entities zones'!$C:$D,2,FALSE)</f>
        <v>#N/A</v>
      </c>
      <c r="G378" s="136" t="s">
        <v>2559</v>
      </c>
      <c r="H378" s="139" t="s">
        <v>872</v>
      </c>
      <c r="I378" s="139" t="s">
        <v>873</v>
      </c>
      <c r="J378" s="139" t="s">
        <v>874</v>
      </c>
      <c r="K378" s="136" t="s">
        <v>2551</v>
      </c>
      <c r="L378" s="140">
        <v>1</v>
      </c>
      <c r="M378" s="140">
        <v>888</v>
      </c>
      <c r="N378" s="140">
        <v>2</v>
      </c>
      <c r="O378" s="139">
        <v>0</v>
      </c>
      <c r="P378" s="139" t="b">
        <v>0</v>
      </c>
      <c r="Q378" s="139" t="b">
        <v>1</v>
      </c>
      <c r="R378" s="136" t="s">
        <v>2560</v>
      </c>
      <c r="S378" s="136" t="s">
        <v>2561</v>
      </c>
      <c r="T378" s="141">
        <v>0</v>
      </c>
    </row>
    <row r="379" spans="1:20">
      <c r="A379" s="136" t="s">
        <v>2562</v>
      </c>
      <c r="B379" s="136" t="s">
        <v>869</v>
      </c>
      <c r="C379" s="136" t="s">
        <v>2563</v>
      </c>
      <c r="D379" s="136" t="s">
        <v>2564</v>
      </c>
      <c r="E379" s="137"/>
      <c r="F379" s="145" t="e">
        <f>VLOOKUP(C379,'[3]entities zones'!$C:$D,2,FALSE)</f>
        <v>#N/A</v>
      </c>
      <c r="G379" s="136" t="s">
        <v>2565</v>
      </c>
      <c r="H379" s="139" t="s">
        <v>872</v>
      </c>
      <c r="I379" s="139" t="s">
        <v>873</v>
      </c>
      <c r="J379" s="139" t="s">
        <v>874</v>
      </c>
      <c r="K379" s="136" t="s">
        <v>2551</v>
      </c>
      <c r="L379" s="140">
        <v>1</v>
      </c>
      <c r="M379" s="140">
        <v>999</v>
      </c>
      <c r="N379" s="140">
        <v>2</v>
      </c>
      <c r="O379" s="139">
        <v>0</v>
      </c>
      <c r="P379" s="139" t="b">
        <v>0</v>
      </c>
      <c r="Q379" s="139" t="b">
        <v>1</v>
      </c>
      <c r="R379" s="136" t="s">
        <v>2566</v>
      </c>
      <c r="S379" s="136" t="s">
        <v>2567</v>
      </c>
      <c r="T379" s="141">
        <v>0</v>
      </c>
    </row>
  </sheetData>
  <autoFilter ref="A1:T379" xr:uid="{18CCAF31-1F5B-44A7-8D3D-87E4ABC4A10B}"/>
  <pageMargins left="0.7" right="0.7" top="0.75" bottom="0.75" header="0.3" footer="0.3"/>
  <customProperties>
    <customPr name="Longview.RefreshTimestamp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B6E76-349E-4AA7-BD34-54FB66363236}">
  <dimension ref="A1:CA133"/>
  <sheetViews>
    <sheetView zoomScale="80" zoomScaleNormal="80" workbookViewId="0">
      <pane ySplit="11" topLeftCell="A45" activePane="bottomLeft" state="frozen"/>
      <selection activeCell="C9" sqref="C9"/>
      <selection pane="bottomLeft" activeCell="AF50" sqref="AF50"/>
    </sheetView>
  </sheetViews>
  <sheetFormatPr baseColWidth="10" defaultRowHeight="15" outlineLevelRow="1" outlineLevelCol="1"/>
  <cols>
    <col min="1" max="2" width="11.42578125" style="64" hidden="1" customWidth="1" outlineLevel="1"/>
    <col min="3" max="3" width="17.7109375" style="64" hidden="1" customWidth="1" outlineLevel="1"/>
    <col min="4" max="4" width="42.5703125" style="64" bestFit="1" customWidth="1" collapsed="1"/>
    <col min="5" max="5" width="17.42578125" style="64" hidden="1" customWidth="1" outlineLevel="1"/>
    <col min="6" max="16" width="14.140625" style="64" hidden="1" customWidth="1" outlineLevel="1"/>
    <col min="17" max="17" width="23.7109375" style="64" bestFit="1" customWidth="1" collapsed="1"/>
    <col min="18" max="18" width="17.42578125" style="64" hidden="1" customWidth="1" outlineLevel="1"/>
    <col min="19" max="29" width="14.140625" style="64" hidden="1" customWidth="1" outlineLevel="1"/>
    <col min="30" max="30" width="23.7109375" style="64" bestFit="1" customWidth="1" collapsed="1"/>
    <col min="31" max="31" width="15.85546875" style="64" customWidth="1"/>
    <col min="32" max="32" width="13.5703125" style="64" customWidth="1"/>
    <col min="33" max="33" width="44" style="430" customWidth="1"/>
    <col min="34" max="34" width="19.140625" customWidth="1"/>
    <col min="35" max="35" width="11.42578125" style="64" hidden="1" customWidth="1" outlineLevel="1"/>
    <col min="36" max="36" width="14.85546875" style="64" hidden="1" customWidth="1" outlineLevel="1"/>
    <col min="37" max="37" width="17.7109375" style="64" hidden="1" customWidth="1" outlineLevel="1"/>
    <col min="38" max="38" width="35.7109375" style="64" customWidth="1" collapsed="1"/>
    <col min="39" max="39" width="17.42578125" style="64" hidden="1" customWidth="1" outlineLevel="1"/>
    <col min="40" max="50" width="14.140625" style="64" hidden="1" customWidth="1" outlineLevel="1"/>
    <col min="51" max="51" width="16.28515625" style="64" customWidth="1" collapsed="1"/>
    <col min="52" max="52" width="17.42578125" style="64" hidden="1" customWidth="1" outlineLevel="1"/>
    <col min="53" max="63" width="14.140625" style="64" hidden="1" customWidth="1" outlineLevel="1"/>
    <col min="64" max="64" width="15.85546875" style="64" customWidth="1" collapsed="1"/>
    <col min="65" max="65" width="15.85546875" style="64" customWidth="1"/>
    <col min="66" max="66" width="12.5703125" style="64" customWidth="1"/>
    <col min="67" max="67" width="13.7109375" style="64" bestFit="1" customWidth="1"/>
    <col min="68" max="68" width="14.7109375" style="64" customWidth="1"/>
    <col min="69" max="69" width="52.140625" customWidth="1"/>
    <col min="70" max="70" width="12.7109375" bestFit="1" customWidth="1"/>
    <col min="72" max="72" width="11.5703125" bestFit="1" customWidth="1"/>
    <col min="76" max="76" width="15.28515625" bestFit="1" customWidth="1"/>
    <col min="77" max="77" width="14.5703125" customWidth="1"/>
    <col min="78" max="78" width="15.28515625" bestFit="1" customWidth="1"/>
  </cols>
  <sheetData>
    <row r="1" spans="1:79" hidden="1" outlineLevel="1">
      <c r="A1" s="63"/>
      <c r="B1" s="63"/>
      <c r="C1" s="63" t="s">
        <v>511</v>
      </c>
      <c r="D1" s="63" t="s">
        <v>505</v>
      </c>
      <c r="E1" s="63" t="s">
        <v>233</v>
      </c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I1" s="63"/>
      <c r="AJ1" s="63"/>
      <c r="AK1" s="63" t="s">
        <v>3354</v>
      </c>
      <c r="AL1" s="63" t="s">
        <v>505</v>
      </c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</row>
    <row r="2" spans="1:79" hidden="1" outlineLevel="1">
      <c r="A2" s="63"/>
      <c r="B2" s="63"/>
      <c r="C2" s="63" t="s">
        <v>879</v>
      </c>
      <c r="D2" s="63" t="s">
        <v>587</v>
      </c>
      <c r="E2" s="63" t="s">
        <v>513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 t="s">
        <v>3146</v>
      </c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 t="s">
        <v>3379</v>
      </c>
      <c r="AE2" s="63"/>
      <c r="AF2" s="63"/>
      <c r="AI2" s="63"/>
      <c r="AJ2" s="63"/>
      <c r="AK2" s="63" t="s">
        <v>879</v>
      </c>
      <c r="AL2" s="63" t="s">
        <v>2669</v>
      </c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 t="s">
        <v>3146</v>
      </c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 t="s">
        <v>3379</v>
      </c>
      <c r="BM2" s="63"/>
      <c r="BN2" s="63"/>
      <c r="BO2" s="63"/>
      <c r="BP2" s="63"/>
    </row>
    <row r="3" spans="1:79" hidden="1" outlineLevel="1">
      <c r="A3" s="63"/>
      <c r="B3" s="63"/>
      <c r="C3" s="161" t="s">
        <v>2651</v>
      </c>
      <c r="D3" s="63" t="s">
        <v>2652</v>
      </c>
      <c r="E3" s="63" t="s">
        <v>3130</v>
      </c>
      <c r="F3" s="63" t="s">
        <v>3131</v>
      </c>
      <c r="G3" s="63" t="s">
        <v>3132</v>
      </c>
      <c r="H3" s="63" t="s">
        <v>3133</v>
      </c>
      <c r="I3" s="63" t="s">
        <v>3134</v>
      </c>
      <c r="J3" s="63" t="s">
        <v>3135</v>
      </c>
      <c r="K3" s="63" t="s">
        <v>3136</v>
      </c>
      <c r="L3" s="63" t="s">
        <v>3137</v>
      </c>
      <c r="M3" s="63" t="s">
        <v>3138</v>
      </c>
      <c r="N3" s="63" t="s">
        <v>3139</v>
      </c>
      <c r="O3" s="63" t="s">
        <v>3140</v>
      </c>
      <c r="P3" s="63" t="s">
        <v>3141</v>
      </c>
      <c r="Q3" s="63" t="s">
        <v>3141</v>
      </c>
      <c r="R3" s="63" t="s">
        <v>3356</v>
      </c>
      <c r="S3" s="63" t="s">
        <v>3357</v>
      </c>
      <c r="T3" s="63" t="s">
        <v>3358</v>
      </c>
      <c r="U3" s="63" t="s">
        <v>3359</v>
      </c>
      <c r="V3" s="63" t="s">
        <v>3360</v>
      </c>
      <c r="W3" s="63" t="s">
        <v>3361</v>
      </c>
      <c r="X3" s="63" t="s">
        <v>3362</v>
      </c>
      <c r="Y3" s="63" t="s">
        <v>3363</v>
      </c>
      <c r="Z3" s="63" t="s">
        <v>3364</v>
      </c>
      <c r="AA3" s="63" t="s">
        <v>3365</v>
      </c>
      <c r="AB3" s="63" t="s">
        <v>3366</v>
      </c>
      <c r="AC3" s="63" t="s">
        <v>3367</v>
      </c>
      <c r="AD3" s="63" t="s">
        <v>3367</v>
      </c>
      <c r="AE3" s="63"/>
      <c r="AF3" s="63"/>
      <c r="AI3" s="63"/>
      <c r="AJ3" s="63"/>
      <c r="AK3" s="161" t="s">
        <v>2651</v>
      </c>
      <c r="AL3" s="63" t="s">
        <v>2630</v>
      </c>
      <c r="AM3" s="63" t="s">
        <v>3130</v>
      </c>
      <c r="AN3" s="63" t="s">
        <v>3131</v>
      </c>
      <c r="AO3" s="63" t="s">
        <v>3132</v>
      </c>
      <c r="AP3" s="63" t="s">
        <v>3133</v>
      </c>
      <c r="AQ3" s="63" t="s">
        <v>3134</v>
      </c>
      <c r="AR3" s="63" t="s">
        <v>3135</v>
      </c>
      <c r="AS3" s="63" t="s">
        <v>3136</v>
      </c>
      <c r="AT3" s="63" t="s">
        <v>3137</v>
      </c>
      <c r="AU3" s="63" t="s">
        <v>3138</v>
      </c>
      <c r="AV3" s="63" t="s">
        <v>3139</v>
      </c>
      <c r="AW3" s="63" t="s">
        <v>3140</v>
      </c>
      <c r="AX3" s="63" t="s">
        <v>3141</v>
      </c>
      <c r="AY3" s="63" t="s">
        <v>3141</v>
      </c>
      <c r="AZ3" s="63" t="s">
        <v>3356</v>
      </c>
      <c r="BA3" s="63" t="s">
        <v>3357</v>
      </c>
      <c r="BB3" s="63" t="s">
        <v>3358</v>
      </c>
      <c r="BC3" s="63" t="s">
        <v>3359</v>
      </c>
      <c r="BD3" s="63" t="s">
        <v>3360</v>
      </c>
      <c r="BE3" s="63" t="s">
        <v>3361</v>
      </c>
      <c r="BF3" s="63" t="s">
        <v>3362</v>
      </c>
      <c r="BG3" s="63" t="s">
        <v>3363</v>
      </c>
      <c r="BH3" s="63" t="s">
        <v>3364</v>
      </c>
      <c r="BI3" s="63" t="s">
        <v>3365</v>
      </c>
      <c r="BJ3" s="63" t="s">
        <v>3366</v>
      </c>
      <c r="BK3" s="63" t="s">
        <v>3367</v>
      </c>
      <c r="BL3" s="63" t="s">
        <v>3367</v>
      </c>
      <c r="BM3" s="63"/>
      <c r="BN3" s="63"/>
      <c r="BO3" s="63"/>
      <c r="BP3" s="63"/>
    </row>
    <row r="4" spans="1:79" hidden="1" outlineLevel="1">
      <c r="A4" s="63"/>
      <c r="B4" s="63" t="s">
        <v>515</v>
      </c>
      <c r="C4" s="63" t="s">
        <v>588</v>
      </c>
      <c r="D4" s="63" t="s">
        <v>516</v>
      </c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I4" s="63"/>
      <c r="AJ4" s="63" t="s">
        <v>515</v>
      </c>
      <c r="AK4" s="63" t="s">
        <v>516</v>
      </c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1"/>
      <c r="BR4" s="550"/>
    </row>
    <row r="5" spans="1:79" hidden="1" outlineLevel="1">
      <c r="A5" s="63"/>
      <c r="B5" s="63" t="s">
        <v>517</v>
      </c>
      <c r="C5" s="63" t="s">
        <v>506</v>
      </c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I5" s="63"/>
      <c r="AJ5" s="63" t="s">
        <v>517</v>
      </c>
      <c r="AK5" s="63" t="s">
        <v>506</v>
      </c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</row>
    <row r="6" spans="1:79" hidden="1" outlineLevel="1">
      <c r="A6" s="63"/>
      <c r="B6" s="63" t="s">
        <v>518</v>
      </c>
      <c r="C6" s="63" t="s">
        <v>507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I6" s="63"/>
      <c r="AJ6" s="63" t="s">
        <v>518</v>
      </c>
      <c r="AK6" s="63" t="s">
        <v>507</v>
      </c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</row>
    <row r="7" spans="1:79" hidden="1" outlineLevel="1">
      <c r="A7" s="63"/>
      <c r="B7" s="63" t="s">
        <v>519</v>
      </c>
      <c r="C7" s="63" t="s">
        <v>508</v>
      </c>
      <c r="D7" s="63"/>
      <c r="E7" s="24" t="s">
        <v>235</v>
      </c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24" t="s">
        <v>235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I7" s="63"/>
      <c r="AJ7" s="63" t="s">
        <v>519</v>
      </c>
      <c r="AK7" s="63" t="s">
        <v>508</v>
      </c>
      <c r="AL7" s="63"/>
      <c r="AM7" s="24" t="s">
        <v>235</v>
      </c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24" t="s">
        <v>235</v>
      </c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</row>
    <row r="8" spans="1:79" hidden="1" outlineLevel="1">
      <c r="A8" s="63"/>
      <c r="B8" s="63" t="s">
        <v>520</v>
      </c>
      <c r="C8" s="63" t="s">
        <v>509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I8" s="63"/>
      <c r="AJ8" s="63" t="s">
        <v>520</v>
      </c>
      <c r="AK8" s="63" t="s">
        <v>509</v>
      </c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</row>
    <row r="9" spans="1:79" ht="30.75" collapsed="1" thickBot="1">
      <c r="C9" s="80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K9" s="80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X9" s="525" t="s">
        <v>3103</v>
      </c>
      <c r="BY9" s="525" t="s">
        <v>3243</v>
      </c>
    </row>
    <row r="10" spans="1:79" ht="42" customHeight="1" thickBot="1">
      <c r="A10" s="65"/>
      <c r="B10" s="65"/>
      <c r="C10" s="65"/>
      <c r="D10" s="83" t="s">
        <v>2704</v>
      </c>
      <c r="E10" s="85" t="str">
        <f>_xll.LVDESC("Timeperiods",E$3,$R$7)</f>
        <v>Janv. 21 Budg</v>
      </c>
      <c r="F10" s="85" t="str">
        <f>_xll.LVDESC("Timeperiods",F$3,$R$7)</f>
        <v>Févr. 21 Budg</v>
      </c>
      <c r="G10" s="85" t="str">
        <f>_xll.LVDESC("Timeperiods",G$3,$R$7)</f>
        <v>Mars 21 Budg</v>
      </c>
      <c r="H10" s="85" t="str">
        <f>_xll.LVDESC("Timeperiods",H$3,$R$7)</f>
        <v>Avr. 21 Budg</v>
      </c>
      <c r="I10" s="85" t="str">
        <f>_xll.LVDESC("Timeperiods",I$3,$R$7)</f>
        <v>Mai 21 Budg</v>
      </c>
      <c r="J10" s="85" t="str">
        <f>_xll.LVDESC("Timeperiods",J$3,$R$7)</f>
        <v>Juin 21 Budg</v>
      </c>
      <c r="K10" s="85" t="str">
        <f>_xll.LVDESC("Timeperiods",K$3,$R$7)</f>
        <v>Juill. 21 Budg</v>
      </c>
      <c r="L10" s="85" t="str">
        <f>_xll.LVDESC("Timeperiods",L$3,$R$7)</f>
        <v>Août 21 Budg</v>
      </c>
      <c r="M10" s="85" t="str">
        <f>_xll.LVDESC("Timeperiods",M$3,$R$7)</f>
        <v>Sept. 21 Budg</v>
      </c>
      <c r="N10" s="85" t="str">
        <f>_xll.LVDESC("Timeperiods",N$3,$R$7)</f>
        <v>Oct. 21 Budg</v>
      </c>
      <c r="O10" s="85" t="str">
        <f>_xll.LVDESC("Timeperiods",O$3,$R$7)</f>
        <v>Nov. 21 Budg</v>
      </c>
      <c r="P10" s="85" t="str">
        <f>_xll.LVDESC("Timeperiods",P$3,$R$7)</f>
        <v>Déc. 21 Budg</v>
      </c>
      <c r="Q10" s="85" t="str">
        <f>_xll.LVDESC("Timeperiods",Q$2,$R$7)</f>
        <v>Déc. 21 YTD Budg</v>
      </c>
      <c r="R10" s="85" t="str">
        <f>_xll.LVDESC("Timeperiods",R$3,$R$7)</f>
        <v>Janv. 22 Budg</v>
      </c>
      <c r="S10" s="85" t="str">
        <f>_xll.LVDESC("Timeperiods",S$3,$R$7)</f>
        <v>Févr. 22 Budg</v>
      </c>
      <c r="T10" s="85" t="str">
        <f>_xll.LVDESC("Timeperiods",T$3,$R$7)</f>
        <v>Mars 22 Budg</v>
      </c>
      <c r="U10" s="85" t="str">
        <f>_xll.LVDESC("Timeperiods",U$3,$R$7)</f>
        <v>Avr. 22 Budg</v>
      </c>
      <c r="V10" s="85" t="str">
        <f>_xll.LVDESC("Timeperiods",V$3,$R$7)</f>
        <v>Mai 22 Budg</v>
      </c>
      <c r="W10" s="85" t="str">
        <f>_xll.LVDESC("Timeperiods",W$3,$R$7)</f>
        <v>Juin 22 Budg</v>
      </c>
      <c r="X10" s="85" t="str">
        <f>_xll.LVDESC("Timeperiods",X$3,$R$7)</f>
        <v>Juill. 22 Budg</v>
      </c>
      <c r="Y10" s="85" t="str">
        <f>_xll.LVDESC("Timeperiods",Y$3,$R$7)</f>
        <v>Août 22 Budg</v>
      </c>
      <c r="Z10" s="85" t="str">
        <f>_xll.LVDESC("Timeperiods",Z$3,$R$7)</f>
        <v>Sept. 22 Budg</v>
      </c>
      <c r="AA10" s="85" t="str">
        <f>_xll.LVDESC("Timeperiods",AA$3,$R$7)</f>
        <v>Oct. 22 Budg</v>
      </c>
      <c r="AB10" s="85" t="str">
        <f>_xll.LVDESC("Timeperiods",AB$3,$R$7)</f>
        <v>Nov. 22 Budg</v>
      </c>
      <c r="AC10" s="85" t="str">
        <f>_xll.LVDESC("Timeperiods",AC$3,$R$7)</f>
        <v>Déc. 22 Budg</v>
      </c>
      <c r="AD10" s="85" t="str">
        <f>_xll.LVDESC("Timeperiods",AD$2,$R$7)</f>
        <v>Déc. 22 YTD Budg</v>
      </c>
      <c r="AE10" s="774" t="s">
        <v>3545</v>
      </c>
      <c r="AF10" s="774" t="s">
        <v>3546</v>
      </c>
      <c r="AG10" s="772" t="s">
        <v>2667</v>
      </c>
      <c r="AI10" s="65"/>
      <c r="AJ10" s="65"/>
      <c r="AK10" s="65"/>
      <c r="AL10" s="83" t="s">
        <v>2749</v>
      </c>
      <c r="AM10" s="85" t="str">
        <f>_xll.LVDESC("Timeperiods",AM$3,$R$7)</f>
        <v>Janv. 21 Budg</v>
      </c>
      <c r="AN10" s="85" t="str">
        <f>_xll.LVDESC("Timeperiods",AN$3,$R$7)</f>
        <v>Févr. 21 Budg</v>
      </c>
      <c r="AO10" s="85" t="str">
        <f>_xll.LVDESC("Timeperiods",AO$3,$R$7)</f>
        <v>Mars 21 Budg</v>
      </c>
      <c r="AP10" s="85" t="str">
        <f>_xll.LVDESC("Timeperiods",AP$3,$R$7)</f>
        <v>Avr. 21 Budg</v>
      </c>
      <c r="AQ10" s="85" t="str">
        <f>_xll.LVDESC("Timeperiods",AQ$3,$R$7)</f>
        <v>Mai 21 Budg</v>
      </c>
      <c r="AR10" s="85" t="str">
        <f>_xll.LVDESC("Timeperiods",AR$3,$R$7)</f>
        <v>Juin 21 Budg</v>
      </c>
      <c r="AS10" s="85" t="str">
        <f>_xll.LVDESC("Timeperiods",AS$3,$R$7)</f>
        <v>Juill. 21 Budg</v>
      </c>
      <c r="AT10" s="85" t="str">
        <f>_xll.LVDESC("Timeperiods",AT$3,$R$7)</f>
        <v>Août 21 Budg</v>
      </c>
      <c r="AU10" s="85" t="str">
        <f>_xll.LVDESC("Timeperiods",AU$3,$R$7)</f>
        <v>Sept. 21 Budg</v>
      </c>
      <c r="AV10" s="85" t="str">
        <f>_xll.LVDESC("Timeperiods",AV$3,$R$7)</f>
        <v>Oct. 21 Budg</v>
      </c>
      <c r="AW10" s="85" t="str">
        <f>_xll.LVDESC("Timeperiods",AW$3,$R$7)</f>
        <v>Nov. 21 Budg</v>
      </c>
      <c r="AX10" s="85" t="str">
        <f>_xll.LVDESC("Timeperiods",AX$3,$R$7)</f>
        <v>Déc. 21 Budg</v>
      </c>
      <c r="AY10" s="85" t="str">
        <f>_xll.LVDESC("Timeperiods",AY$2,$R$7)</f>
        <v>Déc. 21 YTD Budg</v>
      </c>
      <c r="AZ10" s="85" t="str">
        <f>_xll.LVDESC("Timeperiods",AZ$3,$R$7)</f>
        <v>Janv. 22 Budg</v>
      </c>
      <c r="BA10" s="85" t="str">
        <f>_xll.LVDESC("Timeperiods",BA$3,$R$7)</f>
        <v>Févr. 22 Budg</v>
      </c>
      <c r="BB10" s="85" t="str">
        <f>_xll.LVDESC("Timeperiods",BB$3,$R$7)</f>
        <v>Mars 22 Budg</v>
      </c>
      <c r="BC10" s="85" t="str">
        <f>_xll.LVDESC("Timeperiods",BC$3,$R$7)</f>
        <v>Avr. 22 Budg</v>
      </c>
      <c r="BD10" s="85" t="str">
        <f>_xll.LVDESC("Timeperiods",BD$3,$R$7)</f>
        <v>Mai 22 Budg</v>
      </c>
      <c r="BE10" s="85" t="str">
        <f>_xll.LVDESC("Timeperiods",BE$3,$R$7)</f>
        <v>Juin 22 Budg</v>
      </c>
      <c r="BF10" s="85" t="str">
        <f>_xll.LVDESC("Timeperiods",BF$3,$R$7)</f>
        <v>Juill. 22 Budg</v>
      </c>
      <c r="BG10" s="85" t="str">
        <f>_xll.LVDESC("Timeperiods",BG$3,$R$7)</f>
        <v>Août 22 Budg</v>
      </c>
      <c r="BH10" s="85" t="str">
        <f>_xll.LVDESC("Timeperiods",BH$3,$R$7)</f>
        <v>Sept. 22 Budg</v>
      </c>
      <c r="BI10" s="85" t="str">
        <f>_xll.LVDESC("Timeperiods",BI$3,$R$7)</f>
        <v>Oct. 22 Budg</v>
      </c>
      <c r="BJ10" s="85" t="str">
        <f>_xll.LVDESC("Timeperiods",BJ$3,$R$7)</f>
        <v>Nov. 22 Budg</v>
      </c>
      <c r="BK10" s="85" t="str">
        <f>_xll.LVDESC("Timeperiods",BK$3,$R$7)</f>
        <v>Déc. 22 Budg</v>
      </c>
      <c r="BL10" s="85" t="str">
        <f>_xll.LVDESC("Timeperiods",BL$2,$R$7)</f>
        <v>Déc. 22 YTD Budg</v>
      </c>
      <c r="BM10" s="776" t="s">
        <v>3549</v>
      </c>
      <c r="BN10" s="219" t="s">
        <v>2737</v>
      </c>
      <c r="BO10" s="220" t="s">
        <v>2738</v>
      </c>
      <c r="BP10" s="774" t="s">
        <v>3546</v>
      </c>
      <c r="BQ10" s="772" t="s">
        <v>2667</v>
      </c>
      <c r="BS10" t="s">
        <v>3242</v>
      </c>
      <c r="BT10" t="s">
        <v>3548</v>
      </c>
      <c r="BU10" t="s">
        <v>2708</v>
      </c>
      <c r="BV10" t="s">
        <v>2709</v>
      </c>
      <c r="BX10" s="206" t="s">
        <v>2710</v>
      </c>
      <c r="BY10" s="206" t="s">
        <v>2711</v>
      </c>
      <c r="BZ10" s="206" t="s">
        <v>2712</v>
      </c>
    </row>
    <row r="11" spans="1:79" ht="39" hidden="1" outlineLevel="1" thickBot="1">
      <c r="A11" s="88" t="s">
        <v>523</v>
      </c>
      <c r="B11" s="88" t="s">
        <v>829</v>
      </c>
      <c r="C11" s="89" t="s">
        <v>524</v>
      </c>
      <c r="D11" s="89" t="s">
        <v>278</v>
      </c>
      <c r="E11" s="85" t="str">
        <f>_xll.LVDESC("accounts",$D$1,$R$7)</f>
        <v>Électricité en KWh vendue - Régulière</v>
      </c>
      <c r="F11" s="85" t="str">
        <f>_xll.LVDESC("accounts",$D$1,$R$7)</f>
        <v>Électricité en KWh vendue - Régulière</v>
      </c>
      <c r="G11" s="85" t="str">
        <f>_xll.LVDESC("accounts",$D$1,$R$7)</f>
        <v>Électricité en KWh vendue - Régulière</v>
      </c>
      <c r="H11" s="85" t="str">
        <f>_xll.LVDESC("accounts",$D$1,$R$7)</f>
        <v>Électricité en KWh vendue - Régulière</v>
      </c>
      <c r="I11" s="85" t="str">
        <f>_xll.LVDESC("accounts",$D$1,$R$7)</f>
        <v>Électricité en KWh vendue - Régulière</v>
      </c>
      <c r="J11" s="85" t="str">
        <f>_xll.LVDESC("accounts",$D$1,$R$7)</f>
        <v>Électricité en KWh vendue - Régulière</v>
      </c>
      <c r="K11" s="85" t="str">
        <f>_xll.LVDESC("accounts",$D$1,$R$7)</f>
        <v>Électricité en KWh vendue - Régulière</v>
      </c>
      <c r="L11" s="85" t="str">
        <f>_xll.LVDESC("accounts",$D$1,$R$7)</f>
        <v>Électricité en KWh vendue - Régulière</v>
      </c>
      <c r="M11" s="85" t="str">
        <f>_xll.LVDESC("accounts",$D$1,$R$7)</f>
        <v>Électricité en KWh vendue - Régulière</v>
      </c>
      <c r="N11" s="85" t="str">
        <f>_xll.LVDESC("accounts",$D$1,$R$7)</f>
        <v>Électricité en KWh vendue - Régulière</v>
      </c>
      <c r="O11" s="85" t="str">
        <f>_xll.LVDESC("accounts",$D$1,$R$7)</f>
        <v>Électricité en KWh vendue - Régulière</v>
      </c>
      <c r="P11" s="85" t="str">
        <f>_xll.LVDESC("accounts",$D$1,$R$7)</f>
        <v>Électricité en KWh vendue - Régulière</v>
      </c>
      <c r="Q11" s="85" t="str">
        <f>_xll.LVDESC("accounts",$D$1,$R$7)</f>
        <v>Électricité en KWh vendue - Régulière</v>
      </c>
      <c r="R11" s="85" t="str">
        <f>_xll.LVDESC("accounts",$D$1,$R$7)</f>
        <v>Électricité en KWh vendue - Régulière</v>
      </c>
      <c r="S11" s="85" t="str">
        <f>_xll.LVDESC("accounts",$D$1,$R$7)</f>
        <v>Électricité en KWh vendue - Régulière</v>
      </c>
      <c r="T11" s="85" t="str">
        <f>_xll.LVDESC("accounts",$D$1,$R$7)</f>
        <v>Électricité en KWh vendue - Régulière</v>
      </c>
      <c r="U11" s="85" t="str">
        <f>_xll.LVDESC("accounts",$D$1,$R$7)</f>
        <v>Électricité en KWh vendue - Régulière</v>
      </c>
      <c r="V11" s="85" t="str">
        <f>_xll.LVDESC("accounts",$D$1,$R$7)</f>
        <v>Électricité en KWh vendue - Régulière</v>
      </c>
      <c r="W11" s="85" t="str">
        <f>_xll.LVDESC("accounts",$D$1,$R$7)</f>
        <v>Électricité en KWh vendue - Régulière</v>
      </c>
      <c r="X11" s="85" t="str">
        <f>_xll.LVDESC("accounts",$D$1,$R$7)</f>
        <v>Électricité en KWh vendue - Régulière</v>
      </c>
      <c r="Y11" s="85" t="str">
        <f>_xll.LVDESC("accounts",$D$1,$R$7)</f>
        <v>Électricité en KWh vendue - Régulière</v>
      </c>
      <c r="Z11" s="85" t="str">
        <f>_xll.LVDESC("accounts",$D$1,$R$7)</f>
        <v>Électricité en KWh vendue - Régulière</v>
      </c>
      <c r="AA11" s="85" t="str">
        <f>_xll.LVDESC("accounts",$D$1,$R$7)</f>
        <v>Électricité en KWh vendue - Régulière</v>
      </c>
      <c r="AB11" s="85" t="str">
        <f>_xll.LVDESC("accounts",$D$1,$R$7)</f>
        <v>Électricité en KWh vendue - Régulière</v>
      </c>
      <c r="AC11" s="85" t="str">
        <f>_xll.LVDESC("accounts",$D$1,$R$7)</f>
        <v>Électricité en KWh vendue - Régulière</v>
      </c>
      <c r="AD11" s="85" t="str">
        <f>_xll.LVDESC("accounts",$D$1,$R$7)</f>
        <v>Électricité en KWh vendue - Régulière</v>
      </c>
      <c r="AE11" s="775"/>
      <c r="AF11" s="775"/>
      <c r="AG11" s="773"/>
      <c r="AI11" s="88" t="s">
        <v>523</v>
      </c>
      <c r="AJ11" s="88" t="s">
        <v>829</v>
      </c>
      <c r="AK11" s="89" t="s">
        <v>524</v>
      </c>
      <c r="AL11" s="89" t="s">
        <v>278</v>
      </c>
      <c r="AM11" s="85" t="str">
        <f>_xll.LVDESC("accounts",$AK$1,$R$7)</f>
        <v>Électricité totale</v>
      </c>
      <c r="AN11" s="85" t="str">
        <f>_xll.LVDESC("accounts",$AK$1,$R$7)</f>
        <v>Électricité totale</v>
      </c>
      <c r="AO11" s="85" t="str">
        <f>_xll.LVDESC("accounts",$AK$1,$R$7)</f>
        <v>Électricité totale</v>
      </c>
      <c r="AP11" s="85" t="str">
        <f>_xll.LVDESC("accounts",$AK$1,$R$7)</f>
        <v>Électricité totale</v>
      </c>
      <c r="AQ11" s="85" t="str">
        <f>_xll.LVDESC("accounts",$AK$1,$R$7)</f>
        <v>Électricité totale</v>
      </c>
      <c r="AR11" s="85" t="str">
        <f>_xll.LVDESC("accounts",$AK$1,$R$7)</f>
        <v>Électricité totale</v>
      </c>
      <c r="AS11" s="85" t="str">
        <f>_xll.LVDESC("accounts",$AK$1,$R$7)</f>
        <v>Électricité totale</v>
      </c>
      <c r="AT11" s="85" t="str">
        <f>_xll.LVDESC("accounts",$AK$1,$R$7)</f>
        <v>Électricité totale</v>
      </c>
      <c r="AU11" s="85" t="str">
        <f>_xll.LVDESC("accounts",$AK$1,$R$7)</f>
        <v>Électricité totale</v>
      </c>
      <c r="AV11" s="85" t="str">
        <f>_xll.LVDESC("accounts",$AK$1,$R$7)</f>
        <v>Électricité totale</v>
      </c>
      <c r="AW11" s="85" t="str">
        <f>_xll.LVDESC("accounts",$AK$1,$R$7)</f>
        <v>Électricité totale</v>
      </c>
      <c r="AX11" s="85" t="str">
        <f>_xll.LVDESC("accounts",$AK$1,$R$7)</f>
        <v>Électricité totale</v>
      </c>
      <c r="AY11" s="85" t="str">
        <f>_xll.LVDESC("accounts",$AK$1,$R$7)</f>
        <v>Électricité totale</v>
      </c>
      <c r="AZ11" s="85" t="str">
        <f>_xll.LVDESC("accounts",$AK$1,$R$7)</f>
        <v>Électricité totale</v>
      </c>
      <c r="BA11" s="85" t="str">
        <f>_xll.LVDESC("accounts",$AK$1,$R$7)</f>
        <v>Électricité totale</v>
      </c>
      <c r="BB11" s="85" t="str">
        <f>_xll.LVDESC("accounts",$AK$1,$R$7)</f>
        <v>Électricité totale</v>
      </c>
      <c r="BC11" s="85" t="str">
        <f>_xll.LVDESC("accounts",$AK$1,$R$7)</f>
        <v>Électricité totale</v>
      </c>
      <c r="BD11" s="85" t="str">
        <f>_xll.LVDESC("accounts",$AK$1,$R$7)</f>
        <v>Électricité totale</v>
      </c>
      <c r="BE11" s="85" t="str">
        <f>_xll.LVDESC("accounts",$AK$1,$R$7)</f>
        <v>Électricité totale</v>
      </c>
      <c r="BF11" s="85" t="str">
        <f>_xll.LVDESC("accounts",$AK$1,$R$7)</f>
        <v>Électricité totale</v>
      </c>
      <c r="BG11" s="85" t="str">
        <f>_xll.LVDESC("accounts",$AK$1,$R$7)</f>
        <v>Électricité totale</v>
      </c>
      <c r="BH11" s="85" t="str">
        <f>_xll.LVDESC("accounts",$AK$1,$R$7)</f>
        <v>Électricité totale</v>
      </c>
      <c r="BI11" s="85" t="str">
        <f>_xll.LVDESC("accounts",$AK$1,$R$7)</f>
        <v>Électricité totale</v>
      </c>
      <c r="BJ11" s="85" t="str">
        <f>_xll.LVDESC("accounts",$AK$1,$R$7)</f>
        <v>Électricité totale</v>
      </c>
      <c r="BK11" s="85" t="str">
        <f>_xll.LVDESC("accounts",$AK$1,$R$7)</f>
        <v>Électricité totale</v>
      </c>
      <c r="BL11" s="85" t="str">
        <f>_xll.LVDESC("accounts",$AK$1,$R$7)</f>
        <v>Électricité totale</v>
      </c>
      <c r="BM11" s="777"/>
      <c r="BN11" s="215"/>
      <c r="BO11" s="216"/>
      <c r="BP11" s="775"/>
      <c r="BQ11" s="773"/>
      <c r="BX11" s="336" t="s">
        <v>3103</v>
      </c>
      <c r="BY11" s="336" t="s">
        <v>3243</v>
      </c>
    </row>
    <row r="12" spans="1:79" collapsed="1">
      <c r="B12" s="64" t="str">
        <f>'1-EO_Calcul Reporting'!B12</f>
        <v>E5030</v>
      </c>
      <c r="C12" s="64" t="str">
        <f>'1-EO_Calcul Reporting'!C12</f>
        <v>E5030</v>
      </c>
      <c r="D12" s="284" t="str">
        <f>'1-EO_Calcul Reporting'!D12</f>
        <v>Avignonet</v>
      </c>
      <c r="E12" s="172">
        <f>_xll.LVCELL($D$1,E$3,$C12,$D$2,$C$4,$C$5,$C$6,$C$7,$C$8,$D$3)/1000</f>
        <v>1684.549</v>
      </c>
      <c r="F12" s="172">
        <f>_xll.LVCELL($D$1,F$3,$C12,$D$2,$C$4,$C$5,$C$6,$C$7,$C$8,$D$3)/1000</f>
        <v>1552.68</v>
      </c>
      <c r="G12" s="172">
        <f>_xll.LVCELL($D$1,G$3,$C12,$D$2,$C$4,$C$5,$C$6,$C$7,$C$8,$D$3)/1000</f>
        <v>1740.2829999999999</v>
      </c>
      <c r="H12" s="172">
        <f>_xll.LVCELL($D$1,H$3,$C12,$D$2,$C$4,$C$5,$C$6,$C$7,$C$8,$D$3)/1000</f>
        <v>1562.4860000000001</v>
      </c>
      <c r="I12" s="172">
        <f>_xll.LVCELL($D$1,I$3,$C12,$D$2,$C$4,$C$5,$C$6,$C$7,$C$8,$D$3)/1000</f>
        <v>1507.2929999999999</v>
      </c>
      <c r="J12" s="172">
        <f>_xll.LVCELL($D$1,J$3,$C12,$D$2,$C$4,$C$5,$C$6,$C$7,$C$8,$D$3)/1000</f>
        <v>1094.0989999999999</v>
      </c>
      <c r="K12" s="172">
        <f>_xll.LVCELL($D$1,K$3,$C12,$D$2,$C$4,$C$5,$C$6,$C$7,$C$8,$D$3)/1000</f>
        <v>974.26499999999999</v>
      </c>
      <c r="L12" s="172">
        <f>_xll.LVCELL($D$1,L$3,$C12,$D$2,$C$4,$C$5,$C$6,$C$7,$C$8,$D$3)/1000</f>
        <v>962.11199999999997</v>
      </c>
      <c r="M12" s="172">
        <f>_xll.LVCELL($D$1,M$3,$C12,$D$2,$C$4,$C$5,$C$6,$C$7,$C$8,$D$3)/1000</f>
        <v>1176.422</v>
      </c>
      <c r="N12" s="172">
        <f>_xll.LVCELL($D$1,N$3,$C12,$D$2,$C$4,$C$5,$C$6,$C$7,$C$8,$D$3)/1000</f>
        <v>1601.1590000000001</v>
      </c>
      <c r="O12" s="172">
        <f>_xll.LVCELL($D$1,O$3,$C12,$D$2,$C$4,$C$5,$C$6,$C$7,$C$8,$D$3)/1000</f>
        <v>1528.827</v>
      </c>
      <c r="P12" s="172">
        <f>_xll.LVCELL($D$1,P$3,$C12,$D$2,$C$4,$C$5,$C$6,$C$7,$C$8,$D$3)/1000</f>
        <v>1615.826</v>
      </c>
      <c r="Q12" s="172">
        <f>_xll.LVCELL($D$1,Q$2,$C12,$D$2,$C$4,$C$5,$C$6,$C$7,$C$8,$D$3)/1000</f>
        <v>17000.001</v>
      </c>
      <c r="R12" s="172">
        <f>_xll.LVCELL($D$1,R$3,$C12,$D$2,$C$4,$C$5,$C$6,$C$7,$C$8,$D$3)/1000</f>
        <v>1684.549</v>
      </c>
      <c r="S12" s="172">
        <f>_xll.LVCELL($D$1,S$3,$C12,$D$2,$C$4,$C$5,$C$6,$C$7,$C$8,$D$3)/1000</f>
        <v>1552.68</v>
      </c>
      <c r="T12" s="172">
        <f>_xll.LVCELL($D$1,T$3,$C12,$D$2,$C$4,$C$5,$C$6,$C$7,$C$8,$D$3)/1000</f>
        <v>1740.2829999999999</v>
      </c>
      <c r="U12" s="172">
        <f>_xll.LVCELL($D$1,U$3,$C12,$D$2,$C$4,$C$5,$C$6,$C$7,$C$8,$D$3)/1000</f>
        <v>1562.4860000000001</v>
      </c>
      <c r="V12" s="172">
        <f>_xll.LVCELL($D$1,V$3,$C12,$D$2,$C$4,$C$5,$C$6,$C$7,$C$8,$D$3)/1000</f>
        <v>1507.2929999999999</v>
      </c>
      <c r="W12" s="172">
        <f>_xll.LVCELL($D$1,W$3,$C12,$D$2,$C$4,$C$5,$C$6,$C$7,$C$8,$D$3)/1000</f>
        <v>1094.0989999999999</v>
      </c>
      <c r="X12" s="172">
        <f>_xll.LVCELL($D$1,X$3,$C12,$D$2,$C$4,$C$5,$C$6,$C$7,$C$8,$D$3)/1000</f>
        <v>974.26499999999999</v>
      </c>
      <c r="Y12" s="172">
        <f>_xll.LVCELL($D$1,Y$3,$C12,$D$2,$C$4,$C$5,$C$6,$C$7,$C$8,$D$3)/1000</f>
        <v>962.11199999999997</v>
      </c>
      <c r="Z12" s="172">
        <f>_xll.LVCELL($D$1,Z$3,$C12,$D$2,$C$4,$C$5,$C$6,$C$7,$C$8,$D$3)/1000</f>
        <v>1176.422</v>
      </c>
      <c r="AA12" s="172">
        <f>_xll.LVCELL($D$1,AA$3,$C12,$D$2,$C$4,$C$5,$C$6,$C$7,$C$8,$D$3)/1000</f>
        <v>1601.1590000000001</v>
      </c>
      <c r="AB12" s="172">
        <f>_xll.LVCELL($D$1,AB$3,$C12,$D$2,$C$4,$C$5,$C$6,$C$7,$C$8,$D$3)/1000</f>
        <v>1528.827</v>
      </c>
      <c r="AC12" s="172">
        <f>_xll.LVCELL($D$1,AC$3,$C12,$D$2,$C$4,$C$5,$C$6,$C$7,$C$8,$D$3)/1000</f>
        <v>1615.826</v>
      </c>
      <c r="AD12" s="172">
        <f>_xll.LVCELL($D$1,AD$2,$C12,$D$2,$C$4,$C$5,$C$6,$C$7,$C$8,$D$3)/1000</f>
        <v>17000.001</v>
      </c>
      <c r="AE12" s="172">
        <f>AD12-Q12</f>
        <v>0</v>
      </c>
      <c r="AF12" s="193">
        <f>AD12/Q12-1</f>
        <v>0</v>
      </c>
      <c r="AG12" s="535"/>
      <c r="AJ12" s="64" t="str">
        <f>B12</f>
        <v>E5030</v>
      </c>
      <c r="AK12" s="64" t="str">
        <f t="shared" ref="AK12:AL12" si="0">C12</f>
        <v>E5030</v>
      </c>
      <c r="AL12" s="192" t="str">
        <f t="shared" si="0"/>
        <v>Avignonet</v>
      </c>
      <c r="AM12" s="172">
        <f>_xll.LVCELL($AK$1,AM$3,$AK12,$AL$2,$AK$4,$AK$5,$AK$6,$AK$7,$AK$8,$AL$3)/1000</f>
        <v>80.790970040000005</v>
      </c>
      <c r="AN12" s="172">
        <f>_xll.LVCELL($AK$1,AN$3,$AK12,$AL$2,$AK$4,$AK$5,$AK$6,$AK$7,$AK$8,$AL$3)/1000</f>
        <v>72.680950800000005</v>
      </c>
      <c r="AO12" s="172">
        <f>_xll.LVCELL($AK$1,AO$3,$AK12,$AL$2,$AK$4,$AK$5,$AK$6,$AK$7,$AK$8,$AL$3)/1000</f>
        <v>68.306107749999995</v>
      </c>
      <c r="AP12" s="172">
        <f>_xll.LVCELL($AK$1,AP$3,$AK12,$AL$2,$AK$4,$AK$5,$AK$6,$AK$7,$AK$8,$AL$3)/1000</f>
        <v>49.218308999999998</v>
      </c>
      <c r="AQ12" s="172">
        <f>_xll.LVCELL($AK$1,AQ$3,$AK12,$AL$2,$AK$4,$AK$5,$AK$6,$AK$7,$AK$8,$AL$3)/1000</f>
        <v>43.575840630000002</v>
      </c>
      <c r="AR12" s="172">
        <f>_xll.LVCELL($AK$1,AR$3,$AK12,$AL$2,$AK$4,$AK$5,$AK$6,$AK$7,$AK$8,$AL$3)/1000</f>
        <v>33.56695732</v>
      </c>
      <c r="AS12" s="172">
        <f>_xll.LVCELL($AK$1,AS$3,$AK12,$AL$2,$AK$4,$AK$5,$AK$6,$AK$7,$AK$8,$AL$3)/1000</f>
        <v>31.030340250000002</v>
      </c>
      <c r="AT12" s="172">
        <f>_xll.LVCELL($AK$1,AT$3,$AK12,$AL$2,$AK$4,$AK$5,$AK$6,$AK$7,$AK$8,$AL$3)/1000</f>
        <v>27.247011839999999</v>
      </c>
      <c r="AU12" s="172">
        <f>_xll.LVCELL($AK$1,AU$3,$AK12,$AL$2,$AK$4,$AK$5,$AK$6,$AK$7,$AK$8,$AL$3)/1000</f>
        <v>34.445636159999999</v>
      </c>
      <c r="AV12" s="172">
        <f>_xll.LVCELL($AK$1,AV$3,$AK12,$AL$2,$AK$4,$AK$5,$AK$6,$AK$7,$AK$8,$AL$3)/1000</f>
        <v>51.941597959999996</v>
      </c>
      <c r="AW12" s="172">
        <f>_xll.LVCELL($AK$1,AW$3,$AK12,$AL$2,$AK$4,$AK$5,$AK$6,$AK$7,$AK$8,$AL$3)/1000</f>
        <v>70.402483349999997</v>
      </c>
      <c r="AX12" s="172">
        <f>_xll.LVCELL($AK$1,AX$3,$AK12,$AL$2,$AK$4,$AK$5,$AK$6,$AK$7,$AK$8,$AL$3)/1000</f>
        <v>69.157352799999998</v>
      </c>
      <c r="AY12" s="172">
        <f>_xll.LVCELL($AK$1,AY$2,$AK12,$AL$2,$AK$4,$AK$5,$AK$6,$AK$7,$AK$8,$AL$3)/1000</f>
        <v>632.36355790000005</v>
      </c>
      <c r="AZ12" s="172">
        <f>_xll.LVCELL($AK$1,AZ$3,$AK12,$AL$2,$AK$4,$AK$5,$AK$6,$AK$7,$AK$8,$AL$3)/1000</f>
        <v>129.60920006000001</v>
      </c>
      <c r="BA12" s="172">
        <f>_xll.LVCELL($AK$1,BA$3,$AK12,$AL$2,$AK$4,$AK$5,$AK$6,$AK$7,$AK$8,$AL$3)/1000</f>
        <v>121.34194199999999</v>
      </c>
      <c r="BB12" s="172">
        <f>_xll.LVCELL($AK$1,BB$3,$AK12,$AL$2,$AK$4,$AK$5,$AK$6,$AK$7,$AK$8,$AL$3)/1000</f>
        <v>131.60020046</v>
      </c>
      <c r="BC12" s="172">
        <f>_xll.LVCELL($AK$1,BC$3,$AK12,$AL$2,$AK$4,$AK$5,$AK$6,$AK$7,$AK$8,$AL$3)/1000</f>
        <v>85.967979720000002</v>
      </c>
      <c r="BD12" s="172">
        <f>_xll.LVCELL($AK$1,BD$3,$AK12,$AL$2,$AK$4,$AK$5,$AK$6,$AK$7,$AK$8,$AL$3)/1000</f>
        <v>75.620889809999994</v>
      </c>
      <c r="BE12" s="172">
        <f>_xll.LVCELL($AK$1,BE$3,$AK12,$AL$2,$AK$4,$AK$5,$AK$6,$AK$7,$AK$8,$AL$3)/1000</f>
        <v>57.243259680000001</v>
      </c>
      <c r="BF12" s="172">
        <f>_xll.LVCELL($AK$1,BF$3,$AK12,$AL$2,$AK$4,$AK$5,$AK$6,$AK$7,$AK$8,$AL$3)/1000</f>
        <v>53.643030899999999</v>
      </c>
      <c r="BG12" s="172">
        <f>_xll.LVCELL($AK$1,BG$3,$AK12,$AL$2,$AK$4,$AK$5,$AK$6,$AK$7,$AK$8,$AL$3)/1000</f>
        <v>45.402065280000002</v>
      </c>
      <c r="BH12" s="172">
        <f>_xll.LVCELL($AK$1,BH$3,$AK12,$AL$2,$AK$4,$AK$5,$AK$6,$AK$7,$AK$8,$AL$3)/1000</f>
        <v>47.045115780000003</v>
      </c>
      <c r="BI12" s="172">
        <f>_xll.LVCELL($AK$1,BI$3,$AK12,$AL$2,$AK$4,$AK$5,$AK$6,$AK$7,$AK$8,$AL$3)/1000</f>
        <v>63.181734140000003</v>
      </c>
      <c r="BJ12" s="172">
        <f>_xll.LVCELL($AK$1,BJ$3,$AK12,$AL$2,$AK$4,$AK$5,$AK$6,$AK$7,$AK$8,$AL$3)/1000</f>
        <v>90.552423210000001</v>
      </c>
      <c r="BK12" s="172">
        <f>_xll.LVCELL($AK$1,BK$3,$AK12,$AL$2,$AK$4,$AK$5,$AK$6,$AK$7,$AK$8,$AL$3)/1000</f>
        <v>102.41105188</v>
      </c>
      <c r="BL12" s="172">
        <f>_xll.LVCELL($AK$1,BL$2,$AK12,$AL$2,$AK$4,$AK$5,$AK$6,$AK$7,$AK$8,$AL$3)/1000</f>
        <v>1003.61889292</v>
      </c>
      <c r="BM12" s="214">
        <f>BL12-AY12</f>
        <v>371.25533501999996</v>
      </c>
      <c r="BN12" s="217">
        <f>BX12</f>
        <v>0</v>
      </c>
      <c r="BO12" s="218">
        <f>BY12</f>
        <v>371.25533502000002</v>
      </c>
      <c r="BP12" s="193">
        <f>BL12/AY12-1</f>
        <v>0.58709160321143794</v>
      </c>
      <c r="BQ12" s="172" t="s">
        <v>3550</v>
      </c>
      <c r="BS12" s="198">
        <f>+IFERROR(AY12/Q12*1000,0)</f>
        <v>37.19785415894976</v>
      </c>
      <c r="BT12" s="198">
        <f>+IFERROR(BL12/AD12*1000,0)</f>
        <v>59.036401993152829</v>
      </c>
      <c r="BU12" s="198">
        <f>+BT12-BS12</f>
        <v>21.838547834203069</v>
      </c>
      <c r="BV12" s="199">
        <f>+IFERROR(BU12/BS12,"N/A")</f>
        <v>0.58709160321143794</v>
      </c>
      <c r="BX12" s="200">
        <f>+AE12*BS12/1000</f>
        <v>0</v>
      </c>
      <c r="BY12" s="200">
        <f>+BU12*AD12/1000</f>
        <v>371.25533502000002</v>
      </c>
      <c r="BZ12" s="200">
        <f>+SUM(BX12:BY12)</f>
        <v>371.25533502000002</v>
      </c>
      <c r="CA12" s="526">
        <f>+BM12-BZ12</f>
        <v>0</v>
      </c>
    </row>
    <row r="13" spans="1:79">
      <c r="B13" s="64" t="str">
        <f>'1-EO_Calcul Reporting'!B13</f>
        <v>E5210</v>
      </c>
      <c r="C13" s="64" t="str">
        <f>'1-EO_Calcul Reporting'!C13</f>
        <v>E5210</v>
      </c>
      <c r="D13" s="192" t="str">
        <f>'1-EO_Calcul Reporting'!D13</f>
        <v>Avignonet II</v>
      </c>
      <c r="E13" s="172">
        <f>_xll.LVCELL($D$1,E$3,$C13,$D$2,$C$4,$C$5,$C$6,$C$7,$C$8,$D$3)/1000</f>
        <v>1050.366</v>
      </c>
      <c r="F13" s="172">
        <f>_xll.LVCELL($D$1,F$3,$C13,$D$2,$C$4,$C$5,$C$6,$C$7,$C$8,$D$3)/1000</f>
        <v>968.14200000000005</v>
      </c>
      <c r="G13" s="172">
        <f>_xll.LVCELL($D$1,G$3,$C13,$D$2,$C$4,$C$5,$C$6,$C$7,$C$8,$D$3)/1000</f>
        <v>1085.117</v>
      </c>
      <c r="H13" s="172">
        <f>_xll.LVCELL($D$1,H$3,$C13,$D$2,$C$4,$C$5,$C$6,$C$7,$C$8,$D$3)/1000</f>
        <v>974.25599999999997</v>
      </c>
      <c r="I13" s="172">
        <f>_xll.LVCELL($D$1,I$3,$C13,$D$2,$C$4,$C$5,$C$6,$C$7,$C$8,$D$3)/1000</f>
        <v>939.84100000000001</v>
      </c>
      <c r="J13" s="172">
        <f>_xll.LVCELL($D$1,J$3,$C13,$D$2,$C$4,$C$5,$C$6,$C$7,$C$8,$D$3)/1000</f>
        <v>682.20299999999997</v>
      </c>
      <c r="K13" s="172">
        <f>_xll.LVCELL($D$1,K$3,$C13,$D$2,$C$4,$C$5,$C$6,$C$7,$C$8,$D$3)/1000</f>
        <v>607.48299999999995</v>
      </c>
      <c r="L13" s="172">
        <f>_xll.LVCELL($D$1,L$3,$C13,$D$2,$C$4,$C$5,$C$6,$C$7,$C$8,$D$3)/1000</f>
        <v>599.90499999999997</v>
      </c>
      <c r="M13" s="172">
        <f>_xll.LVCELL($D$1,M$3,$C13,$D$2,$C$4,$C$5,$C$6,$C$7,$C$8,$D$3)/1000</f>
        <v>733.53399999999999</v>
      </c>
      <c r="N13" s="172">
        <f>_xll.LVCELL($D$1,N$3,$C13,$D$2,$C$4,$C$5,$C$6,$C$7,$C$8,$D$3)/1000</f>
        <v>998.37</v>
      </c>
      <c r="O13" s="172">
        <f>_xll.LVCELL($D$1,O$3,$C13,$D$2,$C$4,$C$5,$C$6,$C$7,$C$8,$D$3)/1000</f>
        <v>953.26800000000003</v>
      </c>
      <c r="P13" s="172">
        <f>_xll.LVCELL($D$1,P$3,$C13,$D$2,$C$4,$C$5,$C$6,$C$7,$C$8,$D$3)/1000</f>
        <v>1007.515</v>
      </c>
      <c r="Q13" s="172">
        <f>_xll.LVCELL($D$1,Q$2,$C13,$D$2,$C$4,$C$5,$C$6,$C$7,$C$8,$D$3)/1000</f>
        <v>10600</v>
      </c>
      <c r="R13" s="172">
        <f>_xll.LVCELL($D$1,R$3,$C13,$D$2,$C$4,$C$5,$C$6,$C$7,$C$8,$D$3)/1000</f>
        <v>1050.366</v>
      </c>
      <c r="S13" s="172">
        <f>_xll.LVCELL($D$1,S$3,$C13,$D$2,$C$4,$C$5,$C$6,$C$7,$C$8,$D$3)/1000</f>
        <v>968.14200000000005</v>
      </c>
      <c r="T13" s="172">
        <f>_xll.LVCELL($D$1,T$3,$C13,$D$2,$C$4,$C$5,$C$6,$C$7,$C$8,$D$3)/1000</f>
        <v>1085.117</v>
      </c>
      <c r="U13" s="172">
        <f>_xll.LVCELL($D$1,U$3,$C13,$D$2,$C$4,$C$5,$C$6,$C$7,$C$8,$D$3)/1000</f>
        <v>974.25599999999997</v>
      </c>
      <c r="V13" s="172">
        <f>_xll.LVCELL($D$1,V$3,$C13,$D$2,$C$4,$C$5,$C$6,$C$7,$C$8,$D$3)/1000</f>
        <v>939.84100000000001</v>
      </c>
      <c r="W13" s="172">
        <f>_xll.LVCELL($D$1,W$3,$C13,$D$2,$C$4,$C$5,$C$6,$C$7,$C$8,$D$3)/1000</f>
        <v>682.20299999999997</v>
      </c>
      <c r="X13" s="172">
        <f>_xll.LVCELL($D$1,X$3,$C13,$D$2,$C$4,$C$5,$C$6,$C$7,$C$8,$D$3)/1000</f>
        <v>607.48299999999995</v>
      </c>
      <c r="Y13" s="172">
        <f>_xll.LVCELL($D$1,Y$3,$C13,$D$2,$C$4,$C$5,$C$6,$C$7,$C$8,$D$3)/1000</f>
        <v>599.90499999999997</v>
      </c>
      <c r="Z13" s="172">
        <f>_xll.LVCELL($D$1,Z$3,$C13,$D$2,$C$4,$C$5,$C$6,$C$7,$C$8,$D$3)/1000</f>
        <v>733.53399999999999</v>
      </c>
      <c r="AA13" s="172">
        <f>_xll.LVCELL($D$1,AA$3,$C13,$D$2,$C$4,$C$5,$C$6,$C$7,$C$8,$D$3)/1000</f>
        <v>998.37</v>
      </c>
      <c r="AB13" s="172">
        <f>_xll.LVCELL($D$1,AB$3,$C13,$D$2,$C$4,$C$5,$C$6,$C$7,$C$8,$D$3)/1000</f>
        <v>953.26800000000003</v>
      </c>
      <c r="AC13" s="172">
        <f>_xll.LVCELL($D$1,AC$3,$C13,$D$2,$C$4,$C$5,$C$6,$C$7,$C$8,$D$3)/1000</f>
        <v>1007.515</v>
      </c>
      <c r="AD13" s="172">
        <f>_xll.LVCELL($D$1,AD$2,$C13,$D$2,$C$4,$C$5,$C$6,$C$7,$C$8,$D$3)/1000</f>
        <v>10600</v>
      </c>
      <c r="AE13" s="172">
        <f t="shared" ref="AE13:AE76" si="1">AD13-Q13</f>
        <v>0</v>
      </c>
      <c r="AF13" s="193">
        <f t="shared" ref="AF13:AF76" si="2">AD13/Q13-1</f>
        <v>0</v>
      </c>
      <c r="AG13" s="535"/>
      <c r="AJ13" s="64" t="str">
        <f t="shared" ref="AJ13:AJ73" si="3">B13</f>
        <v>E5210</v>
      </c>
      <c r="AK13" s="64" t="str">
        <f t="shared" ref="AK13:AK74" si="4">C13</f>
        <v>E5210</v>
      </c>
      <c r="AL13" s="192" t="str">
        <f t="shared" ref="AL13:AL74" si="5">D13</f>
        <v>Avignonet II</v>
      </c>
      <c r="AM13" s="172">
        <f>_xll.LVCELL($AK$1,AM$3,$AK13,$AL$2,$AK$4,$AK$5,$AK$6,$AK$7,$AK$8,$AL$3)/1000</f>
        <v>98.095781471999999</v>
      </c>
      <c r="AN13" s="172">
        <f>_xll.LVCELL($AK$1,AN$3,$AK13,$AL$2,$AK$4,$AK$5,$AK$6,$AK$7,$AK$8,$AL$3)/1000</f>
        <v>90.416717663999989</v>
      </c>
      <c r="AO13" s="172">
        <f>_xll.LVCELL($AK$1,AO$3,$AK13,$AL$2,$AK$4,$AK$5,$AK$6,$AK$7,$AK$8,$AL$3)/1000</f>
        <v>101.341246864</v>
      </c>
      <c r="AP13" s="172">
        <f>_xll.LVCELL($AK$1,AP$3,$AK13,$AL$2,$AK$4,$AK$5,$AK$6,$AK$7,$AK$8,$AL$3)/1000</f>
        <v>90.987716352000007</v>
      </c>
      <c r="AQ13" s="172">
        <f>_xll.LVCELL($AK$1,AQ$3,$AK13,$AL$2,$AK$4,$AK$5,$AK$6,$AK$7,$AK$8,$AL$3)/1000</f>
        <v>87.773630671999996</v>
      </c>
      <c r="AR13" s="172">
        <f>_xll.LVCELL($AK$1,AR$3,$AK13,$AL$2,$AK$4,$AK$5,$AK$6,$AK$7,$AK$8,$AL$3)/1000</f>
        <v>63.712302575999999</v>
      </c>
      <c r="AS13" s="172">
        <f>_xll.LVCELL($AK$1,AS$3,$AK13,$AL$2,$AK$4,$AK$5,$AK$6,$AK$7,$AK$8,$AL$3)/1000</f>
        <v>56.734052335999998</v>
      </c>
      <c r="AT13" s="172">
        <f>_xll.LVCELL($AK$1,AT$3,$AK13,$AL$2,$AK$4,$AK$5,$AK$6,$AK$7,$AK$8,$AL$3)/1000</f>
        <v>56.026327760000001</v>
      </c>
      <c r="AU13" s="172">
        <f>_xll.LVCELL($AK$1,AU$3,$AK13,$AL$2,$AK$4,$AK$5,$AK$6,$AK$7,$AK$8,$AL$3)/1000</f>
        <v>68.506207328000002</v>
      </c>
      <c r="AV13" s="172">
        <f>_xll.LVCELL($AK$1,AV$3,$AK13,$AL$2,$AK$4,$AK$5,$AK$6,$AK$7,$AK$8,$AL$3)/1000</f>
        <v>93.239771040000008</v>
      </c>
      <c r="AW13" s="172">
        <f>_xll.LVCELL($AK$1,AW$3,$AK13,$AL$2,$AK$4,$AK$5,$AK$6,$AK$7,$AK$8,$AL$3)/1000</f>
        <v>89.384127288000002</v>
      </c>
      <c r="AX13" s="172">
        <f>_xll.LVCELL($AK$1,AX$3,$AK13,$AL$2,$AK$4,$AK$5,$AK$6,$AK$7,$AK$8,$AL$3)/1000</f>
        <v>94.470651490000009</v>
      </c>
      <c r="AY13" s="172">
        <f>_xll.LVCELL($AK$1,AY$2,$AK13,$AL$2,$AK$4,$AK$5,$AK$6,$AK$7,$AK$8,$AL$3)/1000</f>
        <v>990.68853284199997</v>
      </c>
      <c r="AZ13" s="172">
        <f>_xll.LVCELL($AK$1,AZ$3,$AK13,$AL$2,$AK$4,$AK$5,$AK$6,$AK$7,$AK$8,$AL$3)/1000</f>
        <v>100.081159126782</v>
      </c>
      <c r="BA13" s="172">
        <f>_xll.LVCELL($AK$1,BA$3,$AK13,$AL$2,$AK$4,$AK$5,$AK$6,$AK$7,$AK$8,$AL$3)/1000</f>
        <v>92.246677405134008</v>
      </c>
      <c r="BB13" s="172">
        <f>_xll.LVCELL($AK$1,BB$3,$AK13,$AL$2,$AK$4,$AK$5,$AK$6,$AK$7,$AK$8,$AL$3)/1000</f>
        <v>103.39231005970899</v>
      </c>
      <c r="BC13" s="172">
        <f>_xll.LVCELL($AK$1,BC$3,$AK13,$AL$2,$AK$4,$AK$5,$AK$6,$AK$7,$AK$8,$AL$3)/1000</f>
        <v>92.829232635311996</v>
      </c>
      <c r="BD13" s="172">
        <f>_xll.LVCELL($AK$1,BD$3,$AK13,$AL$2,$AK$4,$AK$5,$AK$6,$AK$7,$AK$8,$AL$3)/1000</f>
        <v>89.550096513857</v>
      </c>
      <c r="BE13" s="172">
        <f>_xll.LVCELL($AK$1,BE$3,$AK13,$AL$2,$AK$4,$AK$5,$AK$6,$AK$7,$AK$8,$AL$3)/1000</f>
        <v>65.001786995930999</v>
      </c>
      <c r="BF13" s="172">
        <f>_xll.LVCELL($AK$1,BF$3,$AK13,$AL$2,$AK$4,$AK$5,$AK$6,$AK$7,$AK$8,$AL$3)/1000</f>
        <v>57.882302730490998</v>
      </c>
      <c r="BG13" s="172">
        <f>_xll.LVCELL($AK$1,BG$3,$AK13,$AL$2,$AK$4,$AK$5,$AK$6,$AK$7,$AK$8,$AL$3)/1000</f>
        <v>57.160254393184999</v>
      </c>
      <c r="BH13" s="172">
        <f>_xll.LVCELL($AK$1,BH$3,$AK13,$AL$2,$AK$4,$AK$5,$AK$6,$AK$7,$AK$8,$AL$3)/1000</f>
        <v>69.892716423517996</v>
      </c>
      <c r="BI13" s="172">
        <f>_xll.LVCELL($AK$1,BI$3,$AK13,$AL$2,$AK$4,$AK$5,$AK$6,$AK$7,$AK$8,$AL$3)/1000</f>
        <v>95.126867051489995</v>
      </c>
      <c r="BJ13" s="172">
        <f>_xll.LVCELL($AK$1,BJ$3,$AK13,$AL$2,$AK$4,$AK$5,$AK$6,$AK$7,$AK$8,$AL$3)/1000</f>
        <v>92.918527593756011</v>
      </c>
      <c r="BK13" s="172">
        <f>_xll.LVCELL($AK$1,BK$3,$AK13,$AL$2,$AK$4,$AK$5,$AK$6,$AK$7,$AK$8,$AL$3)/1000</f>
        <v>98.206181607505002</v>
      </c>
      <c r="BL13" s="172">
        <f>_xll.LVCELL($AK$1,BL$2,$AK13,$AL$2,$AK$4,$AK$5,$AK$6,$AK$7,$AK$8,$AL$3)/1000</f>
        <v>1014.28811253667</v>
      </c>
      <c r="BM13" s="214">
        <f t="shared" ref="BM13:BM72" si="6">BL13-AY13</f>
        <v>23.599579694670069</v>
      </c>
      <c r="BN13" s="217">
        <f t="shared" ref="BN13:BO76" si="7">BX13</f>
        <v>0</v>
      </c>
      <c r="BO13" s="218">
        <f t="shared" si="7"/>
        <v>23.599579694670179</v>
      </c>
      <c r="BP13" s="193">
        <f t="shared" ref="BP13:BP76" si="8">BL13/AY13-1</f>
        <v>2.3821391802093084E-2</v>
      </c>
      <c r="BQ13" s="172"/>
      <c r="BS13" s="198">
        <f t="shared" ref="BS13:BS76" si="9">+IFERROR(AY13/Q13*1000,0)</f>
        <v>93.461182343584895</v>
      </c>
      <c r="BT13" s="198">
        <f t="shared" ref="BT13:BT76" si="10">+IFERROR(BL13/AD13*1000,0)</f>
        <v>95.687557786478308</v>
      </c>
      <c r="BU13" s="198">
        <f t="shared" ref="BU13:BU76" si="11">+BT13-BS13</f>
        <v>2.2263754428934135</v>
      </c>
      <c r="BV13" s="199">
        <f t="shared" ref="BV13:BV76" si="12">+IFERROR(BU13/BS13,"N/A")</f>
        <v>2.3821391802093226E-2</v>
      </c>
      <c r="BX13" s="200">
        <f t="shared" ref="BX13:BX16" si="13">+AE13*BS13/1000</f>
        <v>0</v>
      </c>
      <c r="BY13" s="200">
        <f t="shared" ref="BY13:BY16" si="14">+BU13*AD13/1000</f>
        <v>23.599579694670179</v>
      </c>
      <c r="BZ13" s="200">
        <f t="shared" ref="BZ13:BZ76" si="15">+SUM(BX13:BY13)</f>
        <v>23.599579694670179</v>
      </c>
      <c r="CA13" s="526">
        <f t="shared" ref="CA13:CA76" si="16">+BM13-BZ13</f>
        <v>-1.1013412404281553E-13</v>
      </c>
    </row>
    <row r="14" spans="1:79">
      <c r="B14" s="64" t="str">
        <f>'1-EO_Calcul Reporting'!B14</f>
        <v>E5040</v>
      </c>
      <c r="C14" s="64" t="str">
        <f>'1-EO_Calcul Reporting'!C14</f>
        <v>E5040</v>
      </c>
      <c r="D14" s="192" t="str">
        <f>'1-EO_Calcul Reporting'!D14</f>
        <v>Chépy</v>
      </c>
      <c r="E14" s="172">
        <f>_xll.LVCELL($D$1,E$3,$C14,$D$2,$C$4,$C$5,$C$6,$C$7,$C$8,$D$3)/1000</f>
        <v>814.05200000000002</v>
      </c>
      <c r="F14" s="172">
        <f>_xll.LVCELL($D$1,F$3,$C14,$D$2,$C$4,$C$5,$C$6,$C$7,$C$8,$D$3)/1000</f>
        <v>640.346</v>
      </c>
      <c r="G14" s="172">
        <f>_xll.LVCELL($D$1,G$3,$C14,$D$2,$C$4,$C$5,$C$6,$C$7,$C$8,$D$3)/1000</f>
        <v>583.34100000000001</v>
      </c>
      <c r="H14" s="172">
        <f>_xll.LVCELL($D$1,H$3,$C14,$D$2,$C$4,$C$5,$C$6,$C$7,$C$8,$D$3)/1000</f>
        <v>408.93900000000002</v>
      </c>
      <c r="I14" s="172">
        <f>_xll.LVCELL($D$1,I$3,$C14,$D$2,$C$4,$C$5,$C$6,$C$7,$C$8,$D$3)/1000</f>
        <v>385.21</v>
      </c>
      <c r="J14" s="172">
        <f>_xll.LVCELL($D$1,J$3,$C14,$D$2,$C$4,$C$5,$C$6,$C$7,$C$8,$D$3)/1000</f>
        <v>292.07900000000001</v>
      </c>
      <c r="K14" s="172">
        <f>_xll.LVCELL($D$1,K$3,$C14,$D$2,$C$4,$C$5,$C$6,$C$7,$C$8,$D$3)/1000</f>
        <v>302.87700000000001</v>
      </c>
      <c r="L14" s="172">
        <f>_xll.LVCELL($D$1,L$3,$C14,$D$2,$C$4,$C$5,$C$6,$C$7,$C$8,$D$3)/1000</f>
        <v>305.53300000000002</v>
      </c>
      <c r="M14" s="172">
        <f>_xll.LVCELL($D$1,M$3,$C14,$D$2,$C$4,$C$5,$C$6,$C$7,$C$8,$D$3)/1000</f>
        <v>377.75299999999999</v>
      </c>
      <c r="N14" s="172">
        <f>_xll.LVCELL($D$1,N$3,$C14,$D$2,$C$4,$C$5,$C$6,$C$7,$C$8,$D$3)/1000</f>
        <v>593.25699999999995</v>
      </c>
      <c r="O14" s="172">
        <f>_xll.LVCELL($D$1,O$3,$C14,$D$2,$C$4,$C$5,$C$6,$C$7,$C$8,$D$3)/1000</f>
        <v>628.95100000000002</v>
      </c>
      <c r="P14" s="172">
        <f>_xll.LVCELL($D$1,P$3,$C14,$D$2,$C$4,$C$5,$C$6,$C$7,$C$8,$D$3)/1000</f>
        <v>767.66200000000003</v>
      </c>
      <c r="Q14" s="172">
        <f>_xll.LVCELL($D$1,Q$2,$C14,$D$2,$C$4,$C$5,$C$6,$C$7,$C$8,$D$3)/1000</f>
        <v>6100</v>
      </c>
      <c r="R14" s="172">
        <f>_xll.LVCELL($D$1,R$3,$C14,$D$2,$C$4,$C$5,$C$6,$C$7,$C$8,$D$3)/1000</f>
        <v>794.80899999999997</v>
      </c>
      <c r="S14" s="172">
        <f>_xll.LVCELL($D$1,S$3,$C14,$D$2,$C$4,$C$5,$C$6,$C$7,$C$8,$D$3)/1000</f>
        <v>625.20899999999995</v>
      </c>
      <c r="T14" s="172">
        <f>_xll.LVCELL($D$1,T$3,$C14,$D$2,$C$4,$C$5,$C$6,$C$7,$C$8,$D$3)/1000</f>
        <v>569.55200000000002</v>
      </c>
      <c r="U14" s="172">
        <f>_xll.LVCELL($D$1,U$3,$C14,$D$2,$C$4,$C$5,$C$6,$C$7,$C$8,$D$3)/1000</f>
        <v>399.27199999999999</v>
      </c>
      <c r="V14" s="172">
        <f>_xll.LVCELL($D$1,V$3,$C14,$D$2,$C$4,$C$5,$C$6,$C$7,$C$8,$D$3)/1000</f>
        <v>376.10500000000002</v>
      </c>
      <c r="W14" s="172">
        <f>_xll.LVCELL($D$1,W$3,$C14,$D$2,$C$4,$C$5,$C$6,$C$7,$C$8,$D$3)/1000</f>
        <v>285.17500000000001</v>
      </c>
      <c r="X14" s="172">
        <f>_xll.LVCELL($D$1,X$3,$C14,$D$2,$C$4,$C$5,$C$6,$C$7,$C$8,$D$3)/1000</f>
        <v>295.71800000000002</v>
      </c>
      <c r="Y14" s="172">
        <f>_xll.LVCELL($D$1,Y$3,$C14,$D$2,$C$4,$C$5,$C$6,$C$7,$C$8,$D$3)/1000</f>
        <v>298.31099999999998</v>
      </c>
      <c r="Z14" s="172">
        <f>_xll.LVCELL($D$1,Z$3,$C14,$D$2,$C$4,$C$5,$C$6,$C$7,$C$8,$D$3)/1000</f>
        <v>368.82400000000001</v>
      </c>
      <c r="AA14" s="172">
        <f>_xll.LVCELL($D$1,AA$3,$C14,$D$2,$C$4,$C$5,$C$6,$C$7,$C$8,$D$3)/1000</f>
        <v>579.23299999999995</v>
      </c>
      <c r="AB14" s="172">
        <f>_xll.LVCELL($D$1,AB$3,$C14,$D$2,$C$4,$C$5,$C$6,$C$7,$C$8,$D$3)/1000</f>
        <v>614.08399999999995</v>
      </c>
      <c r="AC14" s="172">
        <f>_xll.LVCELL($D$1,AC$3,$C14,$D$2,$C$4,$C$5,$C$6,$C$7,$C$8,$D$3)/1000</f>
        <v>749.51499999999999</v>
      </c>
      <c r="AD14" s="172">
        <f>_xll.LVCELL($D$1,AD$2,$C14,$D$2,$C$4,$C$5,$C$6,$C$7,$C$8,$D$3)/1000</f>
        <v>5955.8069999999998</v>
      </c>
      <c r="AE14" s="172">
        <f t="shared" si="1"/>
        <v>-144.19300000000021</v>
      </c>
      <c r="AF14" s="193">
        <f t="shared" si="2"/>
        <v>-2.3638196721311511E-2</v>
      </c>
      <c r="AG14" s="535"/>
      <c r="AJ14" s="64" t="str">
        <f t="shared" si="3"/>
        <v>E5040</v>
      </c>
      <c r="AK14" s="64" t="str">
        <f t="shared" si="4"/>
        <v>E5040</v>
      </c>
      <c r="AL14" s="192" t="str">
        <f t="shared" si="5"/>
        <v>Chépy</v>
      </c>
      <c r="AM14" s="172">
        <f>_xll.LVCELL($AK$1,AM$3,$AK14,$AL$2,$AK$4,$AK$5,$AK$6,$AK$7,$AK$8,$AL$3)/1000</f>
        <v>37.364986799999997</v>
      </c>
      <c r="AN14" s="172">
        <f>_xll.LVCELL($AK$1,AN$3,$AK14,$AL$2,$AK$4,$AK$5,$AK$6,$AK$7,$AK$8,$AL$3)/1000</f>
        <v>29.391881399999999</v>
      </c>
      <c r="AO14" s="172">
        <f>_xll.LVCELL($AK$1,AO$3,$AK14,$AL$2,$AK$4,$AK$5,$AK$6,$AK$7,$AK$8,$AL$3)/1000</f>
        <v>26.7753519</v>
      </c>
      <c r="AP14" s="172">
        <f>_xll.LVCELL($AK$1,AP$3,$AK14,$AL$2,$AK$4,$AK$5,$AK$6,$AK$7,$AK$8,$AL$3)/1000</f>
        <v>18.7703001</v>
      </c>
      <c r="AQ14" s="172">
        <f>_xll.LVCELL($AK$1,AQ$3,$AK14,$AL$2,$AK$4,$AK$5,$AK$6,$AK$7,$AK$8,$AL$3)/1000</f>
        <v>17.681138999999998</v>
      </c>
      <c r="AR14" s="172">
        <f>_xll.LVCELL($AK$1,AR$3,$AK14,$AL$2,$AK$4,$AK$5,$AK$6,$AK$7,$AK$8,$AL$3)/1000</f>
        <v>13.406426100000001</v>
      </c>
      <c r="AS14" s="172">
        <f>_xll.LVCELL($AK$1,AS$3,$AK14,$AL$2,$AK$4,$AK$5,$AK$6,$AK$7,$AK$8,$AL$3)/1000</f>
        <v>13.9020543</v>
      </c>
      <c r="AT14" s="172">
        <f>_xll.LVCELL($AK$1,AT$3,$AK14,$AL$2,$AK$4,$AK$5,$AK$6,$AK$7,$AK$8,$AL$3)/1000</f>
        <v>14.023964700000001</v>
      </c>
      <c r="AU14" s="172">
        <f>_xll.LVCELL($AK$1,AU$3,$AK14,$AL$2,$AK$4,$AK$5,$AK$6,$AK$7,$AK$8,$AL$3)/1000</f>
        <v>17.3388627</v>
      </c>
      <c r="AV14" s="172">
        <f>_xll.LVCELL($AK$1,AV$3,$AK14,$AL$2,$AK$4,$AK$5,$AK$6,$AK$7,$AK$8,$AL$3)/1000</f>
        <v>27.230496299999999</v>
      </c>
      <c r="AW14" s="172">
        <f>_xll.LVCELL($AK$1,AW$3,$AK14,$AL$2,$AK$4,$AK$5,$AK$6,$AK$7,$AK$8,$AL$3)/1000</f>
        <v>28.868850900000002</v>
      </c>
      <c r="AX14" s="172">
        <f>_xll.LVCELL($AK$1,AX$3,$AK14,$AL$2,$AK$4,$AK$5,$AK$6,$AK$7,$AK$8,$AL$3)/1000</f>
        <v>35.235685799999999</v>
      </c>
      <c r="AY14" s="172">
        <f>_xll.LVCELL($AK$1,AY$2,$AK14,$AL$2,$AK$4,$AK$5,$AK$6,$AK$7,$AK$8,$AL$3)/1000</f>
        <v>279.99</v>
      </c>
      <c r="AZ14" s="172">
        <f>_xll.LVCELL($AK$1,AZ$3,$AK14,$AL$2,$AK$4,$AK$5,$AK$6,$AK$7,$AK$8,$AL$3)/1000</f>
        <v>36.481752175415998</v>
      </c>
      <c r="BA14" s="172">
        <f>_xll.LVCELL($AK$1,BA$3,$AK14,$AL$2,$AK$4,$AK$5,$AK$6,$AK$7,$AK$8,$AL$3)/1000</f>
        <v>28.697108105016</v>
      </c>
      <c r="BB14" s="172">
        <f>_xll.LVCELL($AK$1,BB$3,$AK14,$AL$2,$AK$4,$AK$5,$AK$6,$AK$7,$AK$8,$AL$3)/1000</f>
        <v>26.142450469248001</v>
      </c>
      <c r="BC14" s="172">
        <f>_xll.LVCELL($AK$1,BC$3,$AK14,$AL$2,$AK$4,$AK$5,$AK$6,$AK$7,$AK$8,$AL$3)/1000</f>
        <v>18.326594382528</v>
      </c>
      <c r="BD14" s="172">
        <f>_xll.LVCELL($AK$1,BD$3,$AK14,$AL$2,$AK$4,$AK$5,$AK$6,$AK$7,$AK$8,$AL$3)/1000</f>
        <v>17.263228526520003</v>
      </c>
      <c r="BE14" s="172">
        <f>_xll.LVCELL($AK$1,BE$3,$AK14,$AL$2,$AK$4,$AK$5,$AK$6,$AK$7,$AK$8,$AL$3)/1000</f>
        <v>13.0895393442</v>
      </c>
      <c r="BF14" s="172">
        <f>_xll.LVCELL($AK$1,BF$3,$AK14,$AL$2,$AK$4,$AK$5,$AK$6,$AK$7,$AK$8,$AL$3)/1000</f>
        <v>13.573463297231999</v>
      </c>
      <c r="BG14" s="172">
        <f>_xll.LVCELL($AK$1,BG$3,$AK14,$AL$2,$AK$4,$AK$5,$AK$6,$AK$7,$AK$8,$AL$3)/1000</f>
        <v>13.692482059464</v>
      </c>
      <c r="BH14" s="172">
        <f>_xll.LVCELL($AK$1,BH$3,$AK14,$AL$2,$AK$4,$AK$5,$AK$6,$AK$7,$AK$8,$AL$3)/1000</f>
        <v>16.929030451776001</v>
      </c>
      <c r="BI14" s="172">
        <f>_xll.LVCELL($AK$1,BI$3,$AK14,$AL$2,$AK$4,$AK$5,$AK$6,$AK$7,$AK$8,$AL$3)/1000</f>
        <v>26.586808601592001</v>
      </c>
      <c r="BJ14" s="172">
        <f>_xll.LVCELL($AK$1,BJ$3,$AK14,$AL$2,$AK$4,$AK$5,$AK$6,$AK$7,$AK$8,$AL$3)/1000</f>
        <v>28.186470338015997</v>
      </c>
      <c r="BK14" s="172">
        <f>_xll.LVCELL($AK$1,BK$3,$AK14,$AL$2,$AK$4,$AK$5,$AK$6,$AK$7,$AK$8,$AL$3)/1000</f>
        <v>34.402756488359998</v>
      </c>
      <c r="BL14" s="172">
        <f>_xll.LVCELL($AK$1,BL$2,$AK14,$AL$2,$AK$4,$AK$5,$AK$6,$AK$7,$AK$8,$AL$3)/1000</f>
        <v>273.37168423936799</v>
      </c>
      <c r="BM14" s="214">
        <f t="shared" si="6"/>
        <v>-6.6183157606320151</v>
      </c>
      <c r="BN14" s="217">
        <f t="shared" si="7"/>
        <v>-6.6184587000000104</v>
      </c>
      <c r="BO14" s="218">
        <f t="shared" si="7"/>
        <v>1.4293936793534264E-4</v>
      </c>
      <c r="BP14" s="193">
        <f t="shared" si="8"/>
        <v>-2.3637686205335906E-2</v>
      </c>
      <c r="BQ14" s="519" t="s">
        <v>3551</v>
      </c>
      <c r="BR14" s="756"/>
      <c r="BS14" s="198">
        <f t="shared" si="9"/>
        <v>45.900000000000006</v>
      </c>
      <c r="BT14" s="198">
        <f t="shared" si="10"/>
        <v>45.900023999999995</v>
      </c>
      <c r="BU14" s="198">
        <f t="shared" si="11"/>
        <v>2.3999999989143816E-5</v>
      </c>
      <c r="BV14" s="199">
        <f t="shared" si="12"/>
        <v>5.2287581675694586E-7</v>
      </c>
      <c r="BX14" s="200">
        <f t="shared" si="13"/>
        <v>-6.6184587000000104</v>
      </c>
      <c r="BY14" s="200">
        <f t="shared" si="14"/>
        <v>1.4293936793534264E-4</v>
      </c>
      <c r="BZ14" s="200">
        <f t="shared" si="15"/>
        <v>-6.6183157606320746</v>
      </c>
      <c r="CA14" s="526">
        <f t="shared" si="16"/>
        <v>5.9507954119908391E-14</v>
      </c>
    </row>
    <row r="15" spans="1:79">
      <c r="B15" s="64" t="str">
        <f>'1-EO_Calcul Reporting'!B15</f>
        <v>E5050</v>
      </c>
      <c r="C15" s="64" t="str">
        <f>'1-EO_Calcul Reporting'!C15</f>
        <v>E5050</v>
      </c>
      <c r="D15" s="192" t="str">
        <f>'1-EO_Calcul Reporting'!D15</f>
        <v>Nibas</v>
      </c>
      <c r="E15" s="172">
        <f>_xll.LVCELL($D$1,E$3,$C15,$D$2,$C$4,$C$5,$C$6,$C$7,$C$8,$D$3)/1000</f>
        <v>2344.3560000000002</v>
      </c>
      <c r="F15" s="172">
        <f>_xll.LVCELL($D$1,F$3,$C15,$D$2,$C$4,$C$5,$C$6,$C$7,$C$8,$D$3)/1000</f>
        <v>1843.231</v>
      </c>
      <c r="G15" s="172">
        <f>_xll.LVCELL($D$1,G$3,$C15,$D$2,$C$4,$C$5,$C$6,$C$7,$C$8,$D$3)/1000</f>
        <v>1683.338</v>
      </c>
      <c r="H15" s="172">
        <f>_xll.LVCELL($D$1,H$3,$C15,$D$2,$C$4,$C$5,$C$6,$C$7,$C$8,$D$3)/1000</f>
        <v>1180.3030000000001</v>
      </c>
      <c r="I15" s="172">
        <f>_xll.LVCELL($D$1,I$3,$C15,$D$2,$C$4,$C$5,$C$6,$C$7,$C$8,$D$3)/1000</f>
        <v>1120.249</v>
      </c>
      <c r="J15" s="172">
        <f>_xll.LVCELL($D$1,J$3,$C15,$D$2,$C$4,$C$5,$C$6,$C$7,$C$8,$D$3)/1000</f>
        <v>861.87800000000004</v>
      </c>
      <c r="K15" s="172">
        <f>_xll.LVCELL($D$1,K$3,$C15,$D$2,$C$4,$C$5,$C$6,$C$7,$C$8,$D$3)/1000</f>
        <v>904.31700000000001</v>
      </c>
      <c r="L15" s="172">
        <f>_xll.LVCELL($D$1,L$3,$C15,$D$2,$C$4,$C$5,$C$6,$C$7,$C$8,$D$3)/1000</f>
        <v>907.74400000000003</v>
      </c>
      <c r="M15" s="172">
        <f>_xll.LVCELL($D$1,M$3,$C15,$D$2,$C$4,$C$5,$C$6,$C$7,$C$8,$D$3)/1000</f>
        <v>1106.383</v>
      </c>
      <c r="N15" s="172">
        <f>_xll.LVCELL($D$1,N$3,$C15,$D$2,$C$4,$C$5,$C$6,$C$7,$C$8,$D$3)/1000</f>
        <v>1713.6959999999999</v>
      </c>
      <c r="O15" s="172">
        <f>_xll.LVCELL($D$1,O$3,$C15,$D$2,$C$4,$C$5,$C$6,$C$7,$C$8,$D$3)/1000</f>
        <v>1822.8409999999999</v>
      </c>
      <c r="P15" s="172">
        <f>_xll.LVCELL($D$1,P$3,$C15,$D$2,$C$4,$C$5,$C$6,$C$7,$C$8,$D$3)/1000</f>
        <v>2211.663</v>
      </c>
      <c r="Q15" s="172">
        <f>_xll.LVCELL($D$1,Q$2,$C15,$D$2,$C$4,$C$5,$C$6,$C$7,$C$8,$D$3)/1000</f>
        <v>17699.999</v>
      </c>
      <c r="R15" s="172">
        <f>_xll.LVCELL($D$1,R$3,$C15,$D$2,$C$4,$C$5,$C$6,$C$7,$C$8,$D$3)/1000</f>
        <v>2344.3560000000002</v>
      </c>
      <c r="S15" s="172">
        <f>_xll.LVCELL($D$1,S$3,$C15,$D$2,$C$4,$C$5,$C$6,$C$7,$C$8,$D$3)/1000</f>
        <v>1843.231</v>
      </c>
      <c r="T15" s="172">
        <f>_xll.LVCELL($D$1,T$3,$C15,$D$2,$C$4,$C$5,$C$6,$C$7,$C$8,$D$3)/1000</f>
        <v>1683.338</v>
      </c>
      <c r="U15" s="172">
        <f>_xll.LVCELL($D$1,U$3,$C15,$D$2,$C$4,$C$5,$C$6,$C$7,$C$8,$D$3)/1000</f>
        <v>1180.3030000000001</v>
      </c>
      <c r="V15" s="172">
        <f>_xll.LVCELL($D$1,V$3,$C15,$D$2,$C$4,$C$5,$C$6,$C$7,$C$8,$D$3)/1000</f>
        <v>1120.249</v>
      </c>
      <c r="W15" s="172">
        <f>_xll.LVCELL($D$1,W$3,$C15,$D$2,$C$4,$C$5,$C$6,$C$7,$C$8,$D$3)/1000</f>
        <v>861.87800000000004</v>
      </c>
      <c r="X15" s="172">
        <f>_xll.LVCELL($D$1,X$3,$C15,$D$2,$C$4,$C$5,$C$6,$C$7,$C$8,$D$3)/1000</f>
        <v>904.31700000000001</v>
      </c>
      <c r="Y15" s="172">
        <f>_xll.LVCELL($D$1,Y$3,$C15,$D$2,$C$4,$C$5,$C$6,$C$7,$C$8,$D$3)/1000</f>
        <v>907.74400000000003</v>
      </c>
      <c r="Z15" s="172">
        <f>_xll.LVCELL($D$1,Z$3,$C15,$D$2,$C$4,$C$5,$C$6,$C$7,$C$8,$D$3)/1000</f>
        <v>1106.383</v>
      </c>
      <c r="AA15" s="172">
        <f>_xll.LVCELL($D$1,AA$3,$C15,$D$2,$C$4,$C$5,$C$6,$C$7,$C$8,$D$3)/1000</f>
        <v>1713.6959999999999</v>
      </c>
      <c r="AB15" s="172">
        <f>_xll.LVCELL($D$1,AB$3,$C15,$D$2,$C$4,$C$5,$C$6,$C$7,$C$8,$D$3)/1000</f>
        <v>1822.8409999999999</v>
      </c>
      <c r="AC15" s="172">
        <f>_xll.LVCELL($D$1,AC$3,$C15,$D$2,$C$4,$C$5,$C$6,$C$7,$C$8,$D$3)/1000</f>
        <v>2211.663</v>
      </c>
      <c r="AD15" s="172">
        <f>_xll.LVCELL($D$1,AD$2,$C15,$D$2,$C$4,$C$5,$C$6,$C$7,$C$8,$D$3)/1000</f>
        <v>17699.999</v>
      </c>
      <c r="AE15" s="172">
        <f t="shared" si="1"/>
        <v>0</v>
      </c>
      <c r="AF15" s="193">
        <f t="shared" si="2"/>
        <v>0</v>
      </c>
      <c r="AG15" s="535"/>
      <c r="AJ15" s="64" t="str">
        <f t="shared" si="3"/>
        <v>E5050</v>
      </c>
      <c r="AK15" s="64" t="str">
        <f t="shared" si="4"/>
        <v>E5050</v>
      </c>
      <c r="AL15" s="192" t="str">
        <f t="shared" si="5"/>
        <v>Nibas</v>
      </c>
      <c r="AM15" s="172">
        <f>_xll.LVCELL($AK$1,AM$3,$AK15,$AL$2,$AK$4,$AK$5,$AK$6,$AK$7,$AK$8,$AL$3)/1000</f>
        <v>107.60594040000001</v>
      </c>
      <c r="AN15" s="172">
        <f>_xll.LVCELL($AK$1,AN$3,$AK15,$AL$2,$AK$4,$AK$5,$AK$6,$AK$7,$AK$8,$AL$3)/1000</f>
        <v>84.604302899999993</v>
      </c>
      <c r="AO15" s="172">
        <f>_xll.LVCELL($AK$1,AO$3,$AK15,$AL$2,$AK$4,$AK$5,$AK$6,$AK$7,$AK$8,$AL$3)/1000</f>
        <v>77.265214200000003</v>
      </c>
      <c r="AP15" s="172">
        <f>_xll.LVCELL($AK$1,AP$3,$AK15,$AL$2,$AK$4,$AK$5,$AK$6,$AK$7,$AK$8,$AL$3)/1000</f>
        <v>54.175907700000003</v>
      </c>
      <c r="AQ15" s="172">
        <f>_xll.LVCELL($AK$1,AQ$3,$AK15,$AL$2,$AK$4,$AK$5,$AK$6,$AK$7,$AK$8,$AL$3)/1000</f>
        <v>51.419429100000002</v>
      </c>
      <c r="AR15" s="172">
        <f>_xll.LVCELL($AK$1,AR$3,$AK15,$AL$2,$AK$4,$AK$5,$AK$6,$AK$7,$AK$8,$AL$3)/1000</f>
        <v>39.560200199999997</v>
      </c>
      <c r="AS15" s="172">
        <f>_xll.LVCELL($AK$1,AS$3,$AK15,$AL$2,$AK$4,$AK$5,$AK$6,$AK$7,$AK$8,$AL$3)/1000</f>
        <v>41.508150300000004</v>
      </c>
      <c r="AT15" s="172">
        <f>_xll.LVCELL($AK$1,AT$3,$AK15,$AL$2,$AK$4,$AK$5,$AK$6,$AK$7,$AK$8,$AL$3)/1000</f>
        <v>41.665449600000002</v>
      </c>
      <c r="AU15" s="172">
        <f>_xll.LVCELL($AK$1,AU$3,$AK15,$AL$2,$AK$4,$AK$5,$AK$6,$AK$7,$AK$8,$AL$3)/1000</f>
        <v>50.782979700000006</v>
      </c>
      <c r="AV15" s="172">
        <f>_xll.LVCELL($AK$1,AV$3,$AK15,$AL$2,$AK$4,$AK$5,$AK$6,$AK$7,$AK$8,$AL$3)/1000</f>
        <v>78.658646399999995</v>
      </c>
      <c r="AW15" s="172">
        <f>_xll.LVCELL($AK$1,AW$3,$AK15,$AL$2,$AK$4,$AK$5,$AK$6,$AK$7,$AK$8,$AL$3)/1000</f>
        <v>83.668401899999992</v>
      </c>
      <c r="AX15" s="172">
        <f>_xll.LVCELL($AK$1,AX$3,$AK15,$AL$2,$AK$4,$AK$5,$AK$6,$AK$7,$AK$8,$AL$3)/1000</f>
        <v>101.51533169999999</v>
      </c>
      <c r="AY15" s="172">
        <f>_xll.LVCELL($AK$1,AY$2,$AK15,$AL$2,$AK$4,$AK$5,$AK$6,$AK$7,$AK$8,$AL$3)/1000</f>
        <v>812.42995409999992</v>
      </c>
      <c r="AZ15" s="172">
        <f>_xll.LVCELL($AK$1,AZ$3,$AK15,$AL$2,$AK$4,$AK$5,$AK$6,$AK$7,$AK$8,$AL$3)/1000</f>
        <v>107.605947433068</v>
      </c>
      <c r="BA15" s="172">
        <f>_xll.LVCELL($AK$1,BA$3,$AK15,$AL$2,$AK$4,$AK$5,$AK$6,$AK$7,$AK$8,$AL$3)/1000</f>
        <v>84.604308429693006</v>
      </c>
      <c r="BB15" s="172">
        <f>_xll.LVCELL($AK$1,BB$3,$AK15,$AL$2,$AK$4,$AK$5,$AK$6,$AK$7,$AK$8,$AL$3)/1000</f>
        <v>77.265219250013999</v>
      </c>
      <c r="BC15" s="172">
        <f>_xll.LVCELL($AK$1,BC$3,$AK15,$AL$2,$AK$4,$AK$5,$AK$6,$AK$7,$AK$8,$AL$3)/1000</f>
        <v>54.175911240909002</v>
      </c>
      <c r="BD15" s="172">
        <f>_xll.LVCELL($AK$1,BD$3,$AK15,$AL$2,$AK$4,$AK$5,$AK$6,$AK$7,$AK$8,$AL$3)/1000</f>
        <v>51.419432460746997</v>
      </c>
      <c r="BE15" s="172">
        <f>_xll.LVCELL($AK$1,BE$3,$AK15,$AL$2,$AK$4,$AK$5,$AK$6,$AK$7,$AK$8,$AL$3)/1000</f>
        <v>39.560202785633997</v>
      </c>
      <c r="BF15" s="172">
        <f>_xll.LVCELL($AK$1,BF$3,$AK15,$AL$2,$AK$4,$AK$5,$AK$6,$AK$7,$AK$8,$AL$3)/1000</f>
        <v>41.508153012950999</v>
      </c>
      <c r="BG15" s="172">
        <f>_xll.LVCELL($AK$1,BG$3,$AK15,$AL$2,$AK$4,$AK$5,$AK$6,$AK$7,$AK$8,$AL$3)/1000</f>
        <v>41.665452323231996</v>
      </c>
      <c r="BH15" s="172">
        <f>_xll.LVCELL($AK$1,BH$3,$AK15,$AL$2,$AK$4,$AK$5,$AK$6,$AK$7,$AK$8,$AL$3)/1000</f>
        <v>50.782983019148993</v>
      </c>
      <c r="BI15" s="172">
        <f>_xll.LVCELL($AK$1,BI$3,$AK15,$AL$2,$AK$4,$AK$5,$AK$6,$AK$7,$AK$8,$AL$3)/1000</f>
        <v>78.658651541087991</v>
      </c>
      <c r="BJ15" s="172">
        <f>_xll.LVCELL($AK$1,BJ$3,$AK15,$AL$2,$AK$4,$AK$5,$AK$6,$AK$7,$AK$8,$AL$3)/1000</f>
        <v>83.668407368522992</v>
      </c>
      <c r="BK15" s="172">
        <f>_xll.LVCELL($AK$1,BK$3,$AK15,$AL$2,$AK$4,$AK$5,$AK$6,$AK$7,$AK$8,$AL$3)/1000</f>
        <v>101.51533833498901</v>
      </c>
      <c r="BL15" s="172">
        <f>_xll.LVCELL($AK$1,BL$2,$AK15,$AL$2,$AK$4,$AK$5,$AK$6,$AK$7,$AK$8,$AL$3)/1000</f>
        <v>812.43000719999702</v>
      </c>
      <c r="BM15" s="214">
        <f t="shared" si="6"/>
        <v>5.3099997103345231E-5</v>
      </c>
      <c r="BN15" s="217">
        <f t="shared" si="7"/>
        <v>0</v>
      </c>
      <c r="BO15" s="218">
        <f t="shared" si="7"/>
        <v>5.3099997117467513E-5</v>
      </c>
      <c r="BP15" s="193">
        <f t="shared" si="8"/>
        <v>6.5359477163795532E-8</v>
      </c>
      <c r="BQ15" s="520"/>
      <c r="BS15" s="198">
        <f t="shared" si="9"/>
        <v>45.9</v>
      </c>
      <c r="BT15" s="198">
        <f t="shared" si="10"/>
        <v>45.900003000000005</v>
      </c>
      <c r="BU15" s="198">
        <f t="shared" si="11"/>
        <v>3.0000000066365828E-6</v>
      </c>
      <c r="BV15" s="199">
        <f t="shared" si="12"/>
        <v>6.5359477268770866E-8</v>
      </c>
      <c r="BX15" s="200">
        <f t="shared" si="13"/>
        <v>0</v>
      </c>
      <c r="BY15" s="200">
        <f t="shared" si="14"/>
        <v>5.3099997117467513E-5</v>
      </c>
      <c r="BZ15" s="200">
        <f t="shared" si="15"/>
        <v>5.3099997117467513E-5</v>
      </c>
      <c r="CA15" s="526">
        <f t="shared" si="16"/>
        <v>-1.4122282173973516E-14</v>
      </c>
    </row>
    <row r="16" spans="1:79">
      <c r="B16" s="64" t="str">
        <f>'1-EO_Calcul Reporting'!B16</f>
        <v>E5070</v>
      </c>
      <c r="C16" s="64" t="str">
        <f>'1-EO_Calcul Reporting'!C16</f>
        <v>E5070</v>
      </c>
      <c r="D16" s="192" t="str">
        <f>'1-EO_Calcul Reporting'!D16</f>
        <v>Ally Bessadous</v>
      </c>
      <c r="E16" s="172">
        <f>_xll.LVCELL($D$1,E$3,$C16,$D$2,$C$4,$C$5,$C$6,$C$7,$C$8,$D$3)/1000</f>
        <v>2210.5509999999999</v>
      </c>
      <c r="F16" s="172">
        <f>_xll.LVCELL($D$1,F$3,$C16,$D$2,$C$4,$C$5,$C$6,$C$7,$C$8,$D$3)/1000</f>
        <v>1916.895</v>
      </c>
      <c r="G16" s="172">
        <f>_xll.LVCELL($D$1,G$3,$C16,$D$2,$C$4,$C$5,$C$6,$C$7,$C$8,$D$3)/1000</f>
        <v>1926.998</v>
      </c>
      <c r="H16" s="172">
        <f>_xll.LVCELL($D$1,H$3,$C16,$D$2,$C$4,$C$5,$C$6,$C$7,$C$8,$D$3)/1000</f>
        <v>1715.874</v>
      </c>
      <c r="I16" s="172">
        <f>_xll.LVCELL($D$1,I$3,$C16,$D$2,$C$4,$C$5,$C$6,$C$7,$C$8,$D$3)/1000</f>
        <v>1388.2470000000001</v>
      </c>
      <c r="J16" s="172">
        <f>_xll.LVCELL($D$1,J$3,$C16,$D$2,$C$4,$C$5,$C$6,$C$7,$C$8,$D$3)/1000</f>
        <v>946.41600000000005</v>
      </c>
      <c r="K16" s="172">
        <f>_xll.LVCELL($D$1,K$3,$C16,$D$2,$C$4,$C$5,$C$6,$C$7,$C$8,$D$3)/1000</f>
        <v>799.15099999999995</v>
      </c>
      <c r="L16" s="172">
        <f>_xll.LVCELL($D$1,L$3,$C16,$D$2,$C$4,$C$5,$C$6,$C$7,$C$8,$D$3)/1000</f>
        <v>728.55200000000002</v>
      </c>
      <c r="M16" s="172">
        <f>_xll.LVCELL($D$1,M$3,$C16,$D$2,$C$4,$C$5,$C$6,$C$7,$C$8,$D$3)/1000</f>
        <v>1134.58</v>
      </c>
      <c r="N16" s="172">
        <f>_xll.LVCELL($D$1,N$3,$C16,$D$2,$C$4,$C$5,$C$6,$C$7,$C$8,$D$3)/1000</f>
        <v>1823.9929999999999</v>
      </c>
      <c r="O16" s="172">
        <f>_xll.LVCELL($D$1,O$3,$C16,$D$2,$C$4,$C$5,$C$6,$C$7,$C$8,$D$3)/1000</f>
        <v>2042.3610000000001</v>
      </c>
      <c r="P16" s="172">
        <f>_xll.LVCELL($D$1,P$3,$C16,$D$2,$C$4,$C$5,$C$6,$C$7,$C$8,$D$3)/1000</f>
        <v>2263.2109999999998</v>
      </c>
      <c r="Q16" s="172">
        <f>_xll.LVCELL($D$1,Q$2,$C16,$D$2,$C$4,$C$5,$C$6,$C$7,$C$8,$D$3)/1000</f>
        <v>18896.829000000002</v>
      </c>
      <c r="R16" s="172">
        <f>_xll.LVCELL($D$1,R$3,$C16,$D$2,$C$4,$C$5,$C$6,$C$7,$C$8,$D$3)/1000</f>
        <v>2210.5509999999999</v>
      </c>
      <c r="S16" s="172">
        <f>_xll.LVCELL($D$1,S$3,$C16,$D$2,$C$4,$C$5,$C$6,$C$7,$C$8,$D$3)/1000</f>
        <v>1916.895</v>
      </c>
      <c r="T16" s="172">
        <f>_xll.LVCELL($D$1,T$3,$C16,$D$2,$C$4,$C$5,$C$6,$C$7,$C$8,$D$3)/1000</f>
        <v>1926.998</v>
      </c>
      <c r="U16" s="172">
        <f>_xll.LVCELL($D$1,U$3,$C16,$D$2,$C$4,$C$5,$C$6,$C$7,$C$8,$D$3)/1000</f>
        <v>1715.874</v>
      </c>
      <c r="V16" s="172">
        <f>_xll.LVCELL($D$1,V$3,$C16,$D$2,$C$4,$C$5,$C$6,$C$7,$C$8,$D$3)/1000</f>
        <v>1388.2470000000001</v>
      </c>
      <c r="W16" s="172">
        <f>_xll.LVCELL($D$1,W$3,$C16,$D$2,$C$4,$C$5,$C$6,$C$7,$C$8,$D$3)/1000</f>
        <v>946.41600000000005</v>
      </c>
      <c r="X16" s="172">
        <f>_xll.LVCELL($D$1,X$3,$C16,$D$2,$C$4,$C$5,$C$6,$C$7,$C$8,$D$3)/1000</f>
        <v>799.15099999999995</v>
      </c>
      <c r="Y16" s="172">
        <f>_xll.LVCELL($D$1,Y$3,$C16,$D$2,$C$4,$C$5,$C$6,$C$7,$C$8,$D$3)/1000</f>
        <v>728.55200000000002</v>
      </c>
      <c r="Z16" s="172">
        <f>_xll.LVCELL($D$1,Z$3,$C16,$D$2,$C$4,$C$5,$C$6,$C$7,$C$8,$D$3)/1000</f>
        <v>1134.58</v>
      </c>
      <c r="AA16" s="172">
        <f>_xll.LVCELL($D$1,AA$3,$C16,$D$2,$C$4,$C$5,$C$6,$C$7,$C$8,$D$3)/1000</f>
        <v>1823.9929999999999</v>
      </c>
      <c r="AB16" s="172">
        <f>_xll.LVCELL($D$1,AB$3,$C16,$D$2,$C$4,$C$5,$C$6,$C$7,$C$8,$D$3)/1000</f>
        <v>2042.3610000000001</v>
      </c>
      <c r="AC16" s="172">
        <f>_xll.LVCELL($D$1,AC$3,$C16,$D$2,$C$4,$C$5,$C$6,$C$7,$C$8,$D$3)/1000</f>
        <v>2263.2109999999998</v>
      </c>
      <c r="AD16" s="172">
        <f>_xll.LVCELL($D$1,AD$2,$C16,$D$2,$C$4,$C$5,$C$6,$C$7,$C$8,$D$3)/1000</f>
        <v>18896.829000000002</v>
      </c>
      <c r="AE16" s="172">
        <f t="shared" si="1"/>
        <v>0</v>
      </c>
      <c r="AF16" s="193">
        <f t="shared" si="2"/>
        <v>0</v>
      </c>
      <c r="AG16" s="535"/>
      <c r="AJ16" s="64" t="str">
        <f t="shared" si="3"/>
        <v>E5070</v>
      </c>
      <c r="AK16" s="64" t="str">
        <f t="shared" si="4"/>
        <v>E5070</v>
      </c>
      <c r="AL16" s="192" t="str">
        <f t="shared" si="5"/>
        <v>Ally Bessadous</v>
      </c>
      <c r="AM16" s="172">
        <f>_xll.LVCELL($AK$1,AM$3,$AK16,$AL$2,$AK$4,$AK$5,$AK$6,$AK$7,$AK$8,$AL$3)/1000</f>
        <v>105.0011725</v>
      </c>
      <c r="AN16" s="172">
        <f>_xll.LVCELL($AK$1,AN$3,$AK16,$AL$2,$AK$4,$AK$5,$AK$6,$AK$7,$AK$8,$AL$3)/1000</f>
        <v>91.052512499999992</v>
      </c>
      <c r="AO16" s="172">
        <f>_xll.LVCELL($AK$1,AO$3,$AK16,$AL$2,$AK$4,$AK$5,$AK$6,$AK$7,$AK$8,$AL$3)/1000</f>
        <v>91.532404999999997</v>
      </c>
      <c r="AP16" s="172">
        <f>_xll.LVCELL($AK$1,AP$3,$AK16,$AL$2,$AK$4,$AK$5,$AK$6,$AK$7,$AK$8,$AL$3)/1000</f>
        <v>81.504014999999995</v>
      </c>
      <c r="AQ16" s="172">
        <f>_xll.LVCELL($AK$1,AQ$3,$AK16,$AL$2,$AK$4,$AK$5,$AK$6,$AK$7,$AK$8,$AL$3)/1000</f>
        <v>65.941732500000001</v>
      </c>
      <c r="AR16" s="172">
        <f>_xll.LVCELL($AK$1,AR$3,$AK16,$AL$2,$AK$4,$AK$5,$AK$6,$AK$7,$AK$8,$AL$3)/1000</f>
        <v>44.95476</v>
      </c>
      <c r="AS16" s="172">
        <f>_xll.LVCELL($AK$1,AS$3,$AK16,$AL$2,$AK$4,$AK$5,$AK$6,$AK$7,$AK$8,$AL$3)/1000</f>
        <v>37.959672500000003</v>
      </c>
      <c r="AT16" s="172">
        <f>_xll.LVCELL($AK$1,AT$3,$AK16,$AL$2,$AK$4,$AK$5,$AK$6,$AK$7,$AK$8,$AL$3)/1000</f>
        <v>34.60622</v>
      </c>
      <c r="AU16" s="172">
        <f>_xll.LVCELL($AK$1,AU$3,$AK16,$AL$2,$AK$4,$AK$5,$AK$6,$AK$7,$AK$8,$AL$3)/1000</f>
        <v>53.89255</v>
      </c>
      <c r="AV16" s="172">
        <f>_xll.LVCELL($AK$1,AV$3,$AK16,$AL$2,$AK$4,$AK$5,$AK$6,$AK$7,$AK$8,$AL$3)/1000</f>
        <v>86.639667500000002</v>
      </c>
      <c r="AW16" s="172">
        <f>_xll.LVCELL($AK$1,AW$3,$AK16,$AL$2,$AK$4,$AK$5,$AK$6,$AK$7,$AK$8,$AL$3)/1000</f>
        <v>97.012147500000012</v>
      </c>
      <c r="AX16" s="172">
        <f>_xll.LVCELL($AK$1,AX$3,$AK16,$AL$2,$AK$4,$AK$5,$AK$6,$AK$7,$AK$8,$AL$3)/1000</f>
        <v>107.50252250000001</v>
      </c>
      <c r="AY16" s="172">
        <f>_xll.LVCELL($AK$1,AY$2,$AK16,$AL$2,$AK$4,$AK$5,$AK$6,$AK$7,$AK$8,$AL$3)/1000</f>
        <v>897.59937749999995</v>
      </c>
      <c r="AZ16" s="172">
        <f>_xll.LVCELL($AK$1,AZ$3,$AK16,$AL$2,$AK$4,$AK$5,$AK$6,$AK$7,$AK$8,$AL$3)/1000</f>
        <v>105.001185763306</v>
      </c>
      <c r="BA16" s="172">
        <f>_xll.LVCELL($AK$1,BA$3,$AK16,$AL$2,$AK$4,$AK$5,$AK$6,$AK$7,$AK$8,$AL$3)/1000</f>
        <v>91.052524001369989</v>
      </c>
      <c r="BB16" s="172">
        <f>_xll.LVCELL($AK$1,BB$3,$AK16,$AL$2,$AK$4,$AK$5,$AK$6,$AK$7,$AK$8,$AL$3)/1000</f>
        <v>91.532416561987986</v>
      </c>
      <c r="BC16" s="172">
        <f>_xll.LVCELL($AK$1,BC$3,$AK16,$AL$2,$AK$4,$AK$5,$AK$6,$AK$7,$AK$8,$AL$3)/1000</f>
        <v>81.504025295244006</v>
      </c>
      <c r="BD16" s="172">
        <f>_xll.LVCELL($AK$1,BD$3,$AK16,$AL$2,$AK$4,$AK$5,$AK$6,$AK$7,$AK$8,$AL$3)/1000</f>
        <v>65.941740829482001</v>
      </c>
      <c r="BE16" s="172">
        <f>_xll.LVCELL($AK$1,BE$3,$AK16,$AL$2,$AK$4,$AK$5,$AK$6,$AK$7,$AK$8,$AL$3)/1000</f>
        <v>44.954765678495995</v>
      </c>
      <c r="BF16" s="172">
        <f>_xll.LVCELL($AK$1,BF$3,$AK16,$AL$2,$AK$4,$AK$5,$AK$6,$AK$7,$AK$8,$AL$3)/1000</f>
        <v>37.959677294906001</v>
      </c>
      <c r="BG16" s="172">
        <f>_xll.LVCELL($AK$1,BG$3,$AK16,$AL$2,$AK$4,$AK$5,$AK$6,$AK$7,$AK$8,$AL$3)/1000</f>
        <v>34.606224371311995</v>
      </c>
      <c r="BH16" s="172">
        <f>_xll.LVCELL($AK$1,BH$3,$AK16,$AL$2,$AK$4,$AK$5,$AK$6,$AK$7,$AK$8,$AL$3)/1000</f>
        <v>53.892556807480005</v>
      </c>
      <c r="BI16" s="172">
        <f>_xll.LVCELL($AK$1,BI$3,$AK16,$AL$2,$AK$4,$AK$5,$AK$6,$AK$7,$AK$8,$AL$3)/1000</f>
        <v>86.63967844395799</v>
      </c>
      <c r="BJ16" s="172">
        <f>_xll.LVCELL($AK$1,BJ$3,$AK16,$AL$2,$AK$4,$AK$5,$AK$6,$AK$7,$AK$8,$AL$3)/1000</f>
        <v>97.012159754166007</v>
      </c>
      <c r="BK16" s="172">
        <f>_xll.LVCELL($AK$1,BK$3,$AK16,$AL$2,$AK$4,$AK$5,$AK$6,$AK$7,$AK$8,$AL$3)/1000</f>
        <v>107.50253607926601</v>
      </c>
      <c r="BL16" s="172">
        <f>_xll.LVCELL($AK$1,BL$2,$AK16,$AL$2,$AK$4,$AK$5,$AK$6,$AK$7,$AK$8,$AL$3)/1000</f>
        <v>897.59949088097403</v>
      </c>
      <c r="BM16" s="214">
        <f t="shared" si="6"/>
        <v>1.1338097408497561E-4</v>
      </c>
      <c r="BN16" s="217">
        <f t="shared" si="7"/>
        <v>0</v>
      </c>
      <c r="BO16" s="218">
        <f t="shared" si="7"/>
        <v>1.133809741165507E-4</v>
      </c>
      <c r="BP16" s="193">
        <f t="shared" si="8"/>
        <v>1.2631578960586864E-7</v>
      </c>
      <c r="BQ16" s="520"/>
      <c r="BS16" s="198">
        <f t="shared" si="9"/>
        <v>47.499999999999993</v>
      </c>
      <c r="BT16" s="198">
        <f t="shared" si="10"/>
        <v>47.500005999999999</v>
      </c>
      <c r="BU16" s="198">
        <f t="shared" si="11"/>
        <v>6.0000000061677383E-6</v>
      </c>
      <c r="BV16" s="199">
        <f t="shared" si="12"/>
        <v>1.2631578960353136E-7</v>
      </c>
      <c r="BX16" s="200">
        <f t="shared" si="13"/>
        <v>0</v>
      </c>
      <c r="BY16" s="200">
        <f t="shared" si="14"/>
        <v>1.133809741165507E-4</v>
      </c>
      <c r="BZ16" s="200">
        <f t="shared" si="15"/>
        <v>1.133809741165507E-4</v>
      </c>
      <c r="CA16" s="526">
        <f t="shared" si="16"/>
        <v>-3.1575097896550941E-14</v>
      </c>
    </row>
    <row r="17" spans="2:79">
      <c r="B17" s="64" t="str">
        <f>'1-EO_Calcul Reporting'!B17</f>
        <v>E5080</v>
      </c>
      <c r="C17" s="64" t="str">
        <f>'1-EO_Calcul Reporting'!C17</f>
        <v>E5080</v>
      </c>
      <c r="D17" s="192" t="str">
        <f>'1-EO_Calcul Reporting'!D17</f>
        <v>Ally Mercoeur</v>
      </c>
      <c r="E17" s="172">
        <f>_xll.LVCELL($D$1,E$3,$C17,$D$2,$C$4,$C$5,$C$6,$C$7,$C$8,$D$3)/1000</f>
        <v>1472.0909999999999</v>
      </c>
      <c r="F17" s="172">
        <f>_xll.LVCELL($D$1,F$3,$C17,$D$2,$C$4,$C$5,$C$6,$C$7,$C$8,$D$3)/1000</f>
        <v>1276.5340000000001</v>
      </c>
      <c r="G17" s="172">
        <f>_xll.LVCELL($D$1,G$3,$C17,$D$2,$C$4,$C$5,$C$6,$C$7,$C$8,$D$3)/1000</f>
        <v>1283.2619999999999</v>
      </c>
      <c r="H17" s="172">
        <f>_xll.LVCELL($D$1,H$3,$C17,$D$2,$C$4,$C$5,$C$6,$C$7,$C$8,$D$3)/1000</f>
        <v>1142.6659999999999</v>
      </c>
      <c r="I17" s="172">
        <f>_xll.LVCELL($D$1,I$3,$C17,$D$2,$C$4,$C$5,$C$6,$C$7,$C$8,$D$3)/1000</f>
        <v>924.48699999999997</v>
      </c>
      <c r="J17" s="172">
        <f>_xll.LVCELL($D$1,J$3,$C17,$D$2,$C$4,$C$5,$C$6,$C$7,$C$8,$D$3)/1000</f>
        <v>630.255</v>
      </c>
      <c r="K17" s="172">
        <f>_xll.LVCELL($D$1,K$3,$C17,$D$2,$C$4,$C$5,$C$6,$C$7,$C$8,$D$3)/1000</f>
        <v>532.18499999999995</v>
      </c>
      <c r="L17" s="172">
        <f>_xll.LVCELL($D$1,L$3,$C17,$D$2,$C$4,$C$5,$C$6,$C$7,$C$8,$D$3)/1000</f>
        <v>485.17099999999999</v>
      </c>
      <c r="M17" s="172">
        <f>_xll.LVCELL($D$1,M$3,$C17,$D$2,$C$4,$C$5,$C$6,$C$7,$C$8,$D$3)/1000</f>
        <v>755.56</v>
      </c>
      <c r="N17" s="172">
        <f>_xll.LVCELL($D$1,N$3,$C17,$D$2,$C$4,$C$5,$C$6,$C$7,$C$8,$D$3)/1000</f>
        <v>1214.6669999999999</v>
      </c>
      <c r="O17" s="172">
        <f>_xll.LVCELL($D$1,O$3,$C17,$D$2,$C$4,$C$5,$C$6,$C$7,$C$8,$D$3)/1000</f>
        <v>1360.086</v>
      </c>
      <c r="P17" s="172">
        <f>_xll.LVCELL($D$1,P$3,$C17,$D$2,$C$4,$C$5,$C$6,$C$7,$C$8,$D$3)/1000</f>
        <v>1507.1590000000001</v>
      </c>
      <c r="Q17" s="172">
        <f>_xll.LVCELL($D$1,Q$2,$C17,$D$2,$C$4,$C$5,$C$6,$C$7,$C$8,$D$3)/1000</f>
        <v>12584.123</v>
      </c>
      <c r="R17" s="172">
        <f>_xll.LVCELL($D$1,R$3,$C17,$D$2,$C$4,$C$5,$C$6,$C$7,$C$8,$D$3)/1000</f>
        <v>1472.0909999999999</v>
      </c>
      <c r="S17" s="172">
        <f>_xll.LVCELL($D$1,S$3,$C17,$D$2,$C$4,$C$5,$C$6,$C$7,$C$8,$D$3)/1000</f>
        <v>1276.5340000000001</v>
      </c>
      <c r="T17" s="172">
        <f>_xll.LVCELL($D$1,T$3,$C17,$D$2,$C$4,$C$5,$C$6,$C$7,$C$8,$D$3)/1000</f>
        <v>1283.2619999999999</v>
      </c>
      <c r="U17" s="172">
        <f>_xll.LVCELL($D$1,U$3,$C17,$D$2,$C$4,$C$5,$C$6,$C$7,$C$8,$D$3)/1000</f>
        <v>1142.6659999999999</v>
      </c>
      <c r="V17" s="172">
        <f>_xll.LVCELL($D$1,V$3,$C17,$D$2,$C$4,$C$5,$C$6,$C$7,$C$8,$D$3)/1000</f>
        <v>924.48699999999997</v>
      </c>
      <c r="W17" s="172">
        <f>_xll.LVCELL($D$1,W$3,$C17,$D$2,$C$4,$C$5,$C$6,$C$7,$C$8,$D$3)/1000</f>
        <v>630.255</v>
      </c>
      <c r="X17" s="172">
        <f>_xll.LVCELL($D$1,X$3,$C17,$D$2,$C$4,$C$5,$C$6,$C$7,$C$8,$D$3)/1000</f>
        <v>532.18499999999995</v>
      </c>
      <c r="Y17" s="172">
        <f>_xll.LVCELL($D$1,Y$3,$C17,$D$2,$C$4,$C$5,$C$6,$C$7,$C$8,$D$3)/1000</f>
        <v>485.17099999999999</v>
      </c>
      <c r="Z17" s="172">
        <f>_xll.LVCELL($D$1,Z$3,$C17,$D$2,$C$4,$C$5,$C$6,$C$7,$C$8,$D$3)/1000</f>
        <v>755.56</v>
      </c>
      <c r="AA17" s="172">
        <f>_xll.LVCELL($D$1,AA$3,$C17,$D$2,$C$4,$C$5,$C$6,$C$7,$C$8,$D$3)/1000</f>
        <v>1214.6669999999999</v>
      </c>
      <c r="AB17" s="172">
        <f>_xll.LVCELL($D$1,AB$3,$C17,$D$2,$C$4,$C$5,$C$6,$C$7,$C$8,$D$3)/1000</f>
        <v>1360.086</v>
      </c>
      <c r="AC17" s="172">
        <f>_xll.LVCELL($D$1,AC$3,$C17,$D$2,$C$4,$C$5,$C$6,$C$7,$C$8,$D$3)/1000</f>
        <v>1507.1590000000001</v>
      </c>
      <c r="AD17" s="172">
        <f>_xll.LVCELL($D$1,AD$2,$C17,$D$2,$C$4,$C$5,$C$6,$C$7,$C$8,$D$3)/1000</f>
        <v>12584.123</v>
      </c>
      <c r="AE17" s="172">
        <f t="shared" si="1"/>
        <v>0</v>
      </c>
      <c r="AF17" s="193">
        <f t="shared" si="2"/>
        <v>0</v>
      </c>
      <c r="AG17" s="535"/>
      <c r="AJ17" s="64" t="str">
        <f t="shared" si="3"/>
        <v>E5080</v>
      </c>
      <c r="AK17" s="64" t="str">
        <f t="shared" si="4"/>
        <v>E5080</v>
      </c>
      <c r="AL17" s="192" t="str">
        <f t="shared" si="5"/>
        <v>Ally Mercoeur</v>
      </c>
      <c r="AM17" s="172">
        <f>_xll.LVCELL($AK$1,AM$3,$AK17,$AL$2,$AK$4,$AK$5,$AK$6,$AK$7,$AK$8,$AL$3)/1000</f>
        <v>69.924322499999988</v>
      </c>
      <c r="AN17" s="172">
        <f>_xll.LVCELL($AK$1,AN$3,$AK17,$AL$2,$AK$4,$AK$5,$AK$6,$AK$7,$AK$8,$AL$3)/1000</f>
        <v>60.635365</v>
      </c>
      <c r="AO17" s="172">
        <f>_xll.LVCELL($AK$1,AO$3,$AK17,$AL$2,$AK$4,$AK$5,$AK$6,$AK$7,$AK$8,$AL$3)/1000</f>
        <v>60.954945000000002</v>
      </c>
      <c r="AP17" s="172">
        <f>_xll.LVCELL($AK$1,AP$3,$AK17,$AL$2,$AK$4,$AK$5,$AK$6,$AK$7,$AK$8,$AL$3)/1000</f>
        <v>54.276634999999999</v>
      </c>
      <c r="AQ17" s="172">
        <f>_xll.LVCELL($AK$1,AQ$3,$AK17,$AL$2,$AK$4,$AK$5,$AK$6,$AK$7,$AK$8,$AL$3)/1000</f>
        <v>43.913132500000003</v>
      </c>
      <c r="AR17" s="172">
        <f>_xll.LVCELL($AK$1,AR$3,$AK17,$AL$2,$AK$4,$AK$5,$AK$6,$AK$7,$AK$8,$AL$3)/1000</f>
        <v>29.937112499999998</v>
      </c>
      <c r="AS17" s="172">
        <f>_xll.LVCELL($AK$1,AS$3,$AK17,$AL$2,$AK$4,$AK$5,$AK$6,$AK$7,$AK$8,$AL$3)/1000</f>
        <v>25.2787875</v>
      </c>
      <c r="AT17" s="172">
        <f>_xll.LVCELL($AK$1,AT$3,$AK17,$AL$2,$AK$4,$AK$5,$AK$6,$AK$7,$AK$8,$AL$3)/1000</f>
        <v>23.0456225</v>
      </c>
      <c r="AU17" s="172">
        <f>_xll.LVCELL($AK$1,AU$3,$AK17,$AL$2,$AK$4,$AK$5,$AK$6,$AK$7,$AK$8,$AL$3)/1000</f>
        <v>35.889099999999999</v>
      </c>
      <c r="AV17" s="172">
        <f>_xll.LVCELL($AK$1,AV$3,$AK17,$AL$2,$AK$4,$AK$5,$AK$6,$AK$7,$AK$8,$AL$3)/1000</f>
        <v>57.696682500000001</v>
      </c>
      <c r="AW17" s="172">
        <f>_xll.LVCELL($AK$1,AW$3,$AK17,$AL$2,$AK$4,$AK$5,$AK$6,$AK$7,$AK$8,$AL$3)/1000</f>
        <v>64.604084999999998</v>
      </c>
      <c r="AX17" s="172">
        <f>_xll.LVCELL($AK$1,AX$3,$AK17,$AL$2,$AK$4,$AK$5,$AK$6,$AK$7,$AK$8,$AL$3)/1000</f>
        <v>71.590052499999999</v>
      </c>
      <c r="AY17" s="172">
        <f>_xll.LVCELL($AK$1,AY$2,$AK17,$AL$2,$AK$4,$AK$5,$AK$6,$AK$7,$AK$8,$AL$3)/1000</f>
        <v>597.74584249999998</v>
      </c>
      <c r="AZ17" s="172">
        <f>_xll.LVCELL($AK$1,AZ$3,$AK17,$AL$2,$AK$4,$AK$5,$AK$6,$AK$7,$AK$8,$AL$3)/1000</f>
        <v>69.924309251181</v>
      </c>
      <c r="BA17" s="172">
        <f>_xll.LVCELL($AK$1,BA$3,$AK17,$AL$2,$AK$4,$AK$5,$AK$6,$AK$7,$AK$8,$AL$3)/1000</f>
        <v>60.635353511193998</v>
      </c>
      <c r="BB17" s="172">
        <f>_xll.LVCELL($AK$1,BB$3,$AK17,$AL$2,$AK$4,$AK$5,$AK$6,$AK$7,$AK$8,$AL$3)/1000</f>
        <v>60.954933450641995</v>
      </c>
      <c r="BC17" s="172">
        <f>_xll.LVCELL($AK$1,BC$3,$AK17,$AL$2,$AK$4,$AK$5,$AK$6,$AK$7,$AK$8,$AL$3)/1000</f>
        <v>54.276624716005998</v>
      </c>
      <c r="BD17" s="172">
        <f>_xll.LVCELL($AK$1,BD$3,$AK17,$AL$2,$AK$4,$AK$5,$AK$6,$AK$7,$AK$8,$AL$3)/1000</f>
        <v>43.913124179617</v>
      </c>
      <c r="BE17" s="172">
        <f>_xll.LVCELL($AK$1,BE$3,$AK17,$AL$2,$AK$4,$AK$5,$AK$6,$AK$7,$AK$8,$AL$3)/1000</f>
        <v>29.937106827705001</v>
      </c>
      <c r="BF17" s="172">
        <f>_xll.LVCELL($AK$1,BF$3,$AK17,$AL$2,$AK$4,$AK$5,$AK$6,$AK$7,$AK$8,$AL$3)/1000</f>
        <v>25.278782710334998</v>
      </c>
      <c r="BG17" s="172">
        <f>_xll.LVCELL($AK$1,BG$3,$AK17,$AL$2,$AK$4,$AK$5,$AK$6,$AK$7,$AK$8,$AL$3)/1000</f>
        <v>23.045618133461002</v>
      </c>
      <c r="BH17" s="172">
        <f>_xll.LVCELL($AK$1,BH$3,$AK17,$AL$2,$AK$4,$AK$5,$AK$6,$AK$7,$AK$8,$AL$3)/1000</f>
        <v>35.889093199960001</v>
      </c>
      <c r="BI17" s="172">
        <f>_xll.LVCELL($AK$1,BI$3,$AK17,$AL$2,$AK$4,$AK$5,$AK$6,$AK$7,$AK$8,$AL$3)/1000</f>
        <v>57.696671567997001</v>
      </c>
      <c r="BJ17" s="172">
        <f>_xll.LVCELL($AK$1,BJ$3,$AK17,$AL$2,$AK$4,$AK$5,$AK$6,$AK$7,$AK$8,$AL$3)/1000</f>
        <v>64.604072759226</v>
      </c>
      <c r="BK17" s="172">
        <f>_xll.LVCELL($AK$1,BK$3,$AK17,$AL$2,$AK$4,$AK$5,$AK$6,$AK$7,$AK$8,$AL$3)/1000</f>
        <v>71.590038935568998</v>
      </c>
      <c r="BL17" s="172">
        <f>_xll.LVCELL($AK$1,BL$2,$AK17,$AL$2,$AK$4,$AK$5,$AK$6,$AK$7,$AK$8,$AL$3)/1000</f>
        <v>597.74572924289305</v>
      </c>
      <c r="BM17" s="214">
        <f t="shared" si="6"/>
        <v>-1.1325710693199653E-4</v>
      </c>
      <c r="BN17" s="217">
        <f t="shared" si="7"/>
        <v>0</v>
      </c>
      <c r="BO17" s="218">
        <f t="shared" si="7"/>
        <v>-1.1325710689288443E-4</v>
      </c>
      <c r="BP17" s="193">
        <f t="shared" si="8"/>
        <v>-1.8947368407573606E-7</v>
      </c>
      <c r="BQ17" s="520"/>
      <c r="BS17" s="198">
        <f t="shared" si="9"/>
        <v>47.5</v>
      </c>
      <c r="BT17" s="198">
        <f t="shared" si="10"/>
        <v>47.499991000000009</v>
      </c>
      <c r="BU17" s="198">
        <f t="shared" si="11"/>
        <v>-8.9999999914880391E-6</v>
      </c>
      <c r="BV17" s="199">
        <f t="shared" si="12"/>
        <v>-1.8947368403132713E-7</v>
      </c>
      <c r="BX17" s="200">
        <f t="shared" ref="BX17:BX72" si="17">+AE17*BS17/1000</f>
        <v>0</v>
      </c>
      <c r="BY17" s="200">
        <f t="shared" ref="BY17:BY72" si="18">+BU17*AD17/1000</f>
        <v>-1.1325710689288443E-4</v>
      </c>
      <c r="BZ17" s="200">
        <f t="shared" si="15"/>
        <v>-1.1325710689288443E-4</v>
      </c>
      <c r="CA17" s="526">
        <f t="shared" si="16"/>
        <v>-3.9112105481436954E-14</v>
      </c>
    </row>
    <row r="18" spans="2:79">
      <c r="B18" s="64" t="str">
        <f>'1-EO_Calcul Reporting'!B18</f>
        <v>E5090</v>
      </c>
      <c r="C18" s="64" t="str">
        <f>'1-EO_Calcul Reporting'!C18</f>
        <v>E5090</v>
      </c>
      <c r="D18" s="192" t="str">
        <f>'1-EO_Calcul Reporting'!D18</f>
        <v>Ally Monteil</v>
      </c>
      <c r="E18" s="172">
        <f>_xll.LVCELL($D$1,E$3,$C18,$D$2,$C$4,$C$5,$C$6,$C$7,$C$8,$D$3)/1000</f>
        <v>1911.9829999999999</v>
      </c>
      <c r="F18" s="172">
        <f>_xll.LVCELL($D$1,F$3,$C18,$D$2,$C$4,$C$5,$C$6,$C$7,$C$8,$D$3)/1000</f>
        <v>1657.99</v>
      </c>
      <c r="G18" s="172">
        <f>_xll.LVCELL($D$1,G$3,$C18,$D$2,$C$4,$C$5,$C$6,$C$7,$C$8,$D$3)/1000</f>
        <v>1666.7280000000001</v>
      </c>
      <c r="H18" s="172">
        <f>_xll.LVCELL($D$1,H$3,$C18,$D$2,$C$4,$C$5,$C$6,$C$7,$C$8,$D$3)/1000</f>
        <v>1484.1189999999999</v>
      </c>
      <c r="I18" s="172">
        <f>_xll.LVCELL($D$1,I$3,$C18,$D$2,$C$4,$C$5,$C$6,$C$7,$C$8,$D$3)/1000</f>
        <v>1200.7439999999999</v>
      </c>
      <c r="J18" s="172">
        <f>_xll.LVCELL($D$1,J$3,$C18,$D$2,$C$4,$C$5,$C$6,$C$7,$C$8,$D$3)/1000</f>
        <v>818.58799999999997</v>
      </c>
      <c r="K18" s="172">
        <f>_xll.LVCELL($D$1,K$3,$C18,$D$2,$C$4,$C$5,$C$6,$C$7,$C$8,$D$3)/1000</f>
        <v>691.21400000000006</v>
      </c>
      <c r="L18" s="172">
        <f>_xll.LVCELL($D$1,L$3,$C18,$D$2,$C$4,$C$5,$C$6,$C$7,$C$8,$D$3)/1000</f>
        <v>630.15</v>
      </c>
      <c r="M18" s="172">
        <f>_xll.LVCELL($D$1,M$3,$C18,$D$2,$C$4,$C$5,$C$6,$C$7,$C$8,$D$3)/1000</f>
        <v>981.33799999999997</v>
      </c>
      <c r="N18" s="172">
        <f>_xll.LVCELL($D$1,N$3,$C18,$D$2,$C$4,$C$5,$C$6,$C$7,$C$8,$D$3)/1000</f>
        <v>1577.635</v>
      </c>
      <c r="O18" s="172">
        <f>_xll.LVCELL($D$1,O$3,$C18,$D$2,$C$4,$C$5,$C$6,$C$7,$C$8,$D$3)/1000</f>
        <v>1766.509</v>
      </c>
      <c r="P18" s="172">
        <f>_xll.LVCELL($D$1,P$3,$C18,$D$2,$C$4,$C$5,$C$6,$C$7,$C$8,$D$3)/1000</f>
        <v>1957.53</v>
      </c>
      <c r="Q18" s="172">
        <f>_xll.LVCELL($D$1,Q$2,$C18,$D$2,$C$4,$C$5,$C$6,$C$7,$C$8,$D$3)/1000</f>
        <v>16344.528</v>
      </c>
      <c r="R18" s="172">
        <f>_xll.LVCELL($D$1,R$3,$C18,$D$2,$C$4,$C$5,$C$6,$C$7,$C$8,$D$3)/1000</f>
        <v>1911.9829999999999</v>
      </c>
      <c r="S18" s="172">
        <f>_xll.LVCELL($D$1,S$3,$C18,$D$2,$C$4,$C$5,$C$6,$C$7,$C$8,$D$3)/1000</f>
        <v>1657.99</v>
      </c>
      <c r="T18" s="172">
        <f>_xll.LVCELL($D$1,T$3,$C18,$D$2,$C$4,$C$5,$C$6,$C$7,$C$8,$D$3)/1000</f>
        <v>1666.7280000000001</v>
      </c>
      <c r="U18" s="172">
        <f>_xll.LVCELL($D$1,U$3,$C18,$D$2,$C$4,$C$5,$C$6,$C$7,$C$8,$D$3)/1000</f>
        <v>1484.1189999999999</v>
      </c>
      <c r="V18" s="172">
        <f>_xll.LVCELL($D$1,V$3,$C18,$D$2,$C$4,$C$5,$C$6,$C$7,$C$8,$D$3)/1000</f>
        <v>1200.7439999999999</v>
      </c>
      <c r="W18" s="172">
        <f>_xll.LVCELL($D$1,W$3,$C18,$D$2,$C$4,$C$5,$C$6,$C$7,$C$8,$D$3)/1000</f>
        <v>818.58799999999997</v>
      </c>
      <c r="X18" s="172">
        <f>_xll.LVCELL($D$1,X$3,$C18,$D$2,$C$4,$C$5,$C$6,$C$7,$C$8,$D$3)/1000</f>
        <v>691.21400000000006</v>
      </c>
      <c r="Y18" s="172">
        <f>_xll.LVCELL($D$1,Y$3,$C18,$D$2,$C$4,$C$5,$C$6,$C$7,$C$8,$D$3)/1000</f>
        <v>630.15</v>
      </c>
      <c r="Z18" s="172">
        <f>_xll.LVCELL($D$1,Z$3,$C18,$D$2,$C$4,$C$5,$C$6,$C$7,$C$8,$D$3)/1000</f>
        <v>981.33799999999997</v>
      </c>
      <c r="AA18" s="172">
        <f>_xll.LVCELL($D$1,AA$3,$C18,$D$2,$C$4,$C$5,$C$6,$C$7,$C$8,$D$3)/1000</f>
        <v>1577.635</v>
      </c>
      <c r="AB18" s="172">
        <f>_xll.LVCELL($D$1,AB$3,$C18,$D$2,$C$4,$C$5,$C$6,$C$7,$C$8,$D$3)/1000</f>
        <v>1766.509</v>
      </c>
      <c r="AC18" s="172">
        <f>_xll.LVCELL($D$1,AC$3,$C18,$D$2,$C$4,$C$5,$C$6,$C$7,$C$8,$D$3)/1000</f>
        <v>1957.53</v>
      </c>
      <c r="AD18" s="172">
        <f>_xll.LVCELL($D$1,AD$2,$C18,$D$2,$C$4,$C$5,$C$6,$C$7,$C$8,$D$3)/1000</f>
        <v>16344.528</v>
      </c>
      <c r="AE18" s="172">
        <f t="shared" si="1"/>
        <v>0</v>
      </c>
      <c r="AF18" s="193">
        <f t="shared" si="2"/>
        <v>0</v>
      </c>
      <c r="AG18" s="535"/>
      <c r="AJ18" s="64" t="str">
        <f t="shared" si="3"/>
        <v>E5090</v>
      </c>
      <c r="AK18" s="64" t="str">
        <f t="shared" si="4"/>
        <v>E5090</v>
      </c>
      <c r="AL18" s="192" t="str">
        <f t="shared" si="5"/>
        <v>Ally Monteil</v>
      </c>
      <c r="AM18" s="172">
        <f>_xll.LVCELL($AK$1,AM$3,$AK18,$AL$2,$AK$4,$AK$5,$AK$6,$AK$7,$AK$8,$AL$3)/1000</f>
        <v>90.8191925</v>
      </c>
      <c r="AN18" s="172">
        <f>_xll.LVCELL($AK$1,AN$3,$AK18,$AL$2,$AK$4,$AK$5,$AK$6,$AK$7,$AK$8,$AL$3)/1000</f>
        <v>78.754525000000001</v>
      </c>
      <c r="AO18" s="172">
        <f>_xll.LVCELL($AK$1,AO$3,$AK18,$AL$2,$AK$4,$AK$5,$AK$6,$AK$7,$AK$8,$AL$3)/1000</f>
        <v>79.169579999999996</v>
      </c>
      <c r="AP18" s="172">
        <f>_xll.LVCELL($AK$1,AP$3,$AK18,$AL$2,$AK$4,$AK$5,$AK$6,$AK$7,$AK$8,$AL$3)/1000</f>
        <v>70.495652499999991</v>
      </c>
      <c r="AQ18" s="172">
        <f>_xll.LVCELL($AK$1,AQ$3,$AK18,$AL$2,$AK$4,$AK$5,$AK$6,$AK$7,$AK$8,$AL$3)/1000</f>
        <v>57.035339999999998</v>
      </c>
      <c r="AR18" s="172">
        <f>_xll.LVCELL($AK$1,AR$3,$AK18,$AL$2,$AK$4,$AK$5,$AK$6,$AK$7,$AK$8,$AL$3)/1000</f>
        <v>38.882930000000002</v>
      </c>
      <c r="AS18" s="172">
        <f>_xll.LVCELL($AK$1,AS$3,$AK18,$AL$2,$AK$4,$AK$5,$AK$6,$AK$7,$AK$8,$AL$3)/1000</f>
        <v>32.832664999999999</v>
      </c>
      <c r="AT18" s="172">
        <f>_xll.LVCELL($AK$1,AT$3,$AK18,$AL$2,$AK$4,$AK$5,$AK$6,$AK$7,$AK$8,$AL$3)/1000</f>
        <v>29.932124999999999</v>
      </c>
      <c r="AU18" s="172">
        <f>_xll.LVCELL($AK$1,AU$3,$AK18,$AL$2,$AK$4,$AK$5,$AK$6,$AK$7,$AK$8,$AL$3)/1000</f>
        <v>46.613554999999998</v>
      </c>
      <c r="AV18" s="172">
        <f>_xll.LVCELL($AK$1,AV$3,$AK18,$AL$2,$AK$4,$AK$5,$AK$6,$AK$7,$AK$8,$AL$3)/1000</f>
        <v>74.937662500000002</v>
      </c>
      <c r="AW18" s="172">
        <f>_xll.LVCELL($AK$1,AW$3,$AK18,$AL$2,$AK$4,$AK$5,$AK$6,$AK$7,$AK$8,$AL$3)/1000</f>
        <v>83.909177499999998</v>
      </c>
      <c r="AX18" s="172">
        <f>_xll.LVCELL($AK$1,AX$3,$AK18,$AL$2,$AK$4,$AK$5,$AK$6,$AK$7,$AK$8,$AL$3)/1000</f>
        <v>92.982675</v>
      </c>
      <c r="AY18" s="172">
        <f>_xll.LVCELL($AK$1,AY$2,$AK18,$AL$2,$AK$4,$AK$5,$AK$6,$AK$7,$AK$8,$AL$3)/1000</f>
        <v>776.36507999999992</v>
      </c>
      <c r="AZ18" s="172">
        <f>_xll.LVCELL($AK$1,AZ$3,$AK18,$AL$2,$AK$4,$AK$5,$AK$6,$AK$7,$AK$8,$AL$3)/1000</f>
        <v>90.81923073966</v>
      </c>
      <c r="BA18" s="172">
        <f>_xll.LVCELL($AK$1,BA$3,$AK18,$AL$2,$AK$4,$AK$5,$AK$6,$AK$7,$AK$8,$AL$3)/1000</f>
        <v>78.754558159799998</v>
      </c>
      <c r="BB18" s="172">
        <f>_xll.LVCELL($AK$1,BB$3,$AK18,$AL$2,$AK$4,$AK$5,$AK$6,$AK$7,$AK$8,$AL$3)/1000</f>
        <v>79.169613334559997</v>
      </c>
      <c r="BC18" s="172">
        <f>_xll.LVCELL($AK$1,BC$3,$AK18,$AL$2,$AK$4,$AK$5,$AK$6,$AK$7,$AK$8,$AL$3)/1000</f>
        <v>70.495682182379994</v>
      </c>
      <c r="BD18" s="172">
        <f>_xll.LVCELL($AK$1,BD$3,$AK18,$AL$2,$AK$4,$AK$5,$AK$6,$AK$7,$AK$8,$AL$3)/1000</f>
        <v>57.035364014879995</v>
      </c>
      <c r="BE18" s="172">
        <f>_xll.LVCELL($AK$1,BE$3,$AK18,$AL$2,$AK$4,$AK$5,$AK$6,$AK$7,$AK$8,$AL$3)/1000</f>
        <v>38.882946371759999</v>
      </c>
      <c r="BF18" s="172">
        <f>_xll.LVCELL($AK$1,BF$3,$AK18,$AL$2,$AK$4,$AK$5,$AK$6,$AK$7,$AK$8,$AL$3)/1000</f>
        <v>32.832678824280002</v>
      </c>
      <c r="BG18" s="172">
        <f>_xll.LVCELL($AK$1,BG$3,$AK18,$AL$2,$AK$4,$AK$5,$AK$6,$AK$7,$AK$8,$AL$3)/1000</f>
        <v>29.932137602999997</v>
      </c>
      <c r="BH18" s="172">
        <f>_xll.LVCELL($AK$1,BH$3,$AK18,$AL$2,$AK$4,$AK$5,$AK$6,$AK$7,$AK$8,$AL$3)/1000</f>
        <v>46.613574626759998</v>
      </c>
      <c r="BI18" s="172">
        <f>_xll.LVCELL($AK$1,BI$3,$AK18,$AL$2,$AK$4,$AK$5,$AK$6,$AK$7,$AK$8,$AL$3)/1000</f>
        <v>74.937694052699996</v>
      </c>
      <c r="BJ18" s="172">
        <f>_xll.LVCELL($AK$1,BJ$3,$AK18,$AL$2,$AK$4,$AK$5,$AK$6,$AK$7,$AK$8,$AL$3)/1000</f>
        <v>83.909212830179996</v>
      </c>
      <c r="BK18" s="172">
        <f>_xll.LVCELL($AK$1,BK$3,$AK18,$AL$2,$AK$4,$AK$5,$AK$6,$AK$7,$AK$8,$AL$3)/1000</f>
        <v>92.982714150600003</v>
      </c>
      <c r="BL18" s="172">
        <f>_xll.LVCELL($AK$1,BL$2,$AK18,$AL$2,$AK$4,$AK$5,$AK$6,$AK$7,$AK$8,$AL$3)/1000</f>
        <v>776.36540689056005</v>
      </c>
      <c r="BM18" s="214">
        <f t="shared" si="6"/>
        <v>3.2689056013168738E-4</v>
      </c>
      <c r="BN18" s="217">
        <f t="shared" si="7"/>
        <v>0</v>
      </c>
      <c r="BO18" s="218">
        <f t="shared" si="7"/>
        <v>3.2689056021989438E-4</v>
      </c>
      <c r="BP18" s="193">
        <f t="shared" si="8"/>
        <v>4.2105263164948781E-7</v>
      </c>
      <c r="BQ18" s="520"/>
      <c r="BS18" s="198">
        <f t="shared" si="9"/>
        <v>47.499999999999993</v>
      </c>
      <c r="BT18" s="198">
        <f t="shared" si="10"/>
        <v>47.500020000000006</v>
      </c>
      <c r="BU18" s="198">
        <f t="shared" si="11"/>
        <v>2.00000000134537E-5</v>
      </c>
      <c r="BV18" s="199">
        <f t="shared" si="12"/>
        <v>4.2105263186218323E-7</v>
      </c>
      <c r="BX18" s="200">
        <f t="shared" si="17"/>
        <v>0</v>
      </c>
      <c r="BY18" s="200">
        <f t="shared" si="18"/>
        <v>3.2689056021989438E-4</v>
      </c>
      <c r="BZ18" s="200">
        <f t="shared" si="15"/>
        <v>3.2689056021989438E-4</v>
      </c>
      <c r="CA18" s="526">
        <f t="shared" si="16"/>
        <v>-8.820700246603419E-14</v>
      </c>
    </row>
    <row r="19" spans="2:79">
      <c r="B19" s="64" t="str">
        <f>'1-EO_Calcul Reporting'!B19</f>
        <v>E5100</v>
      </c>
      <c r="C19" s="64" t="str">
        <f>'1-EO_Calcul Reporting'!C19</f>
        <v>E5100</v>
      </c>
      <c r="D19" s="192" t="str">
        <f>'1-EO_Calcul Reporting'!D19</f>
        <v>Ally Verseilles</v>
      </c>
      <c r="E19" s="172">
        <f>_xll.LVCELL($D$1,E$3,$C19,$D$2,$C$4,$C$5,$C$6,$C$7,$C$8,$D$3)/1000</f>
        <v>2314.5920000000001</v>
      </c>
      <c r="F19" s="172">
        <f>_xll.LVCELL($D$1,F$3,$C19,$D$2,$C$4,$C$5,$C$6,$C$7,$C$8,$D$3)/1000</f>
        <v>2007.115</v>
      </c>
      <c r="G19" s="172">
        <f>_xll.LVCELL($D$1,G$3,$C19,$D$2,$C$4,$C$5,$C$6,$C$7,$C$8,$D$3)/1000</f>
        <v>2017.693</v>
      </c>
      <c r="H19" s="172">
        <f>_xll.LVCELL($D$1,H$3,$C19,$D$2,$C$4,$C$5,$C$6,$C$7,$C$8,$D$3)/1000</f>
        <v>1796.6320000000001</v>
      </c>
      <c r="I19" s="172">
        <f>_xll.LVCELL($D$1,I$3,$C19,$D$2,$C$4,$C$5,$C$6,$C$7,$C$8,$D$3)/1000</f>
        <v>1453.586</v>
      </c>
      <c r="J19" s="172">
        <f>_xll.LVCELL($D$1,J$3,$C19,$D$2,$C$4,$C$5,$C$6,$C$7,$C$8,$D$3)/1000</f>
        <v>990.96</v>
      </c>
      <c r="K19" s="172">
        <f>_xll.LVCELL($D$1,K$3,$C19,$D$2,$C$4,$C$5,$C$6,$C$7,$C$8,$D$3)/1000</f>
        <v>836.76400000000001</v>
      </c>
      <c r="L19" s="172">
        <f>_xll.LVCELL($D$1,L$3,$C19,$D$2,$C$4,$C$5,$C$6,$C$7,$C$8,$D$3)/1000</f>
        <v>762.84199999999998</v>
      </c>
      <c r="M19" s="172">
        <f>_xll.LVCELL($D$1,M$3,$C19,$D$2,$C$4,$C$5,$C$6,$C$7,$C$8,$D$3)/1000</f>
        <v>1187.98</v>
      </c>
      <c r="N19" s="172">
        <f>_xll.LVCELL($D$1,N$3,$C19,$D$2,$C$4,$C$5,$C$6,$C$7,$C$8,$D$3)/1000</f>
        <v>1909.84</v>
      </c>
      <c r="O19" s="172">
        <f>_xll.LVCELL($D$1,O$3,$C19,$D$2,$C$4,$C$5,$C$6,$C$7,$C$8,$D$3)/1000</f>
        <v>2138.4859999999999</v>
      </c>
      <c r="P19" s="172">
        <f>_xll.LVCELL($D$1,P$3,$C19,$D$2,$C$4,$C$5,$C$6,$C$7,$C$8,$D$3)/1000</f>
        <v>2369.73</v>
      </c>
      <c r="Q19" s="172">
        <f>_xll.LVCELL($D$1,Q$2,$C19,$D$2,$C$4,$C$5,$C$6,$C$7,$C$8,$D$3)/1000</f>
        <v>19786.22</v>
      </c>
      <c r="R19" s="172">
        <f>_xll.LVCELL($D$1,R$3,$C19,$D$2,$C$4,$C$5,$C$6,$C$7,$C$8,$D$3)/1000</f>
        <v>2314.5920000000001</v>
      </c>
      <c r="S19" s="172">
        <f>_xll.LVCELL($D$1,S$3,$C19,$D$2,$C$4,$C$5,$C$6,$C$7,$C$8,$D$3)/1000</f>
        <v>2007.115</v>
      </c>
      <c r="T19" s="172">
        <f>_xll.LVCELL($D$1,T$3,$C19,$D$2,$C$4,$C$5,$C$6,$C$7,$C$8,$D$3)/1000</f>
        <v>2017.693</v>
      </c>
      <c r="U19" s="172">
        <f>_xll.LVCELL($D$1,U$3,$C19,$D$2,$C$4,$C$5,$C$6,$C$7,$C$8,$D$3)/1000</f>
        <v>1796.6320000000001</v>
      </c>
      <c r="V19" s="172">
        <f>_xll.LVCELL($D$1,V$3,$C19,$D$2,$C$4,$C$5,$C$6,$C$7,$C$8,$D$3)/1000</f>
        <v>1453.586</v>
      </c>
      <c r="W19" s="172">
        <f>_xll.LVCELL($D$1,W$3,$C19,$D$2,$C$4,$C$5,$C$6,$C$7,$C$8,$D$3)/1000</f>
        <v>990.96</v>
      </c>
      <c r="X19" s="172">
        <f>_xll.LVCELL($D$1,X$3,$C19,$D$2,$C$4,$C$5,$C$6,$C$7,$C$8,$D$3)/1000</f>
        <v>836.76400000000001</v>
      </c>
      <c r="Y19" s="172">
        <f>_xll.LVCELL($D$1,Y$3,$C19,$D$2,$C$4,$C$5,$C$6,$C$7,$C$8,$D$3)/1000</f>
        <v>762.84199999999998</v>
      </c>
      <c r="Z19" s="172">
        <f>_xll.LVCELL($D$1,Z$3,$C19,$D$2,$C$4,$C$5,$C$6,$C$7,$C$8,$D$3)/1000</f>
        <v>1187.98</v>
      </c>
      <c r="AA19" s="172">
        <f>_xll.LVCELL($D$1,AA$3,$C19,$D$2,$C$4,$C$5,$C$6,$C$7,$C$8,$D$3)/1000</f>
        <v>1909.84</v>
      </c>
      <c r="AB19" s="172">
        <f>_xll.LVCELL($D$1,AB$3,$C19,$D$2,$C$4,$C$5,$C$6,$C$7,$C$8,$D$3)/1000</f>
        <v>2138.4859999999999</v>
      </c>
      <c r="AC19" s="172">
        <f>_xll.LVCELL($D$1,AC$3,$C19,$D$2,$C$4,$C$5,$C$6,$C$7,$C$8,$D$3)/1000</f>
        <v>2369.73</v>
      </c>
      <c r="AD19" s="172">
        <f>_xll.LVCELL($D$1,AD$2,$C19,$D$2,$C$4,$C$5,$C$6,$C$7,$C$8,$D$3)/1000</f>
        <v>19786.22</v>
      </c>
      <c r="AE19" s="172">
        <f t="shared" si="1"/>
        <v>0</v>
      </c>
      <c r="AF19" s="193">
        <f t="shared" si="2"/>
        <v>0</v>
      </c>
      <c r="AG19" s="535"/>
      <c r="AJ19" s="64" t="str">
        <f t="shared" si="3"/>
        <v>E5100</v>
      </c>
      <c r="AK19" s="64" t="str">
        <f t="shared" si="4"/>
        <v>E5100</v>
      </c>
      <c r="AL19" s="192" t="str">
        <f t="shared" si="5"/>
        <v>Ally Verseilles</v>
      </c>
      <c r="AM19" s="172">
        <f>_xll.LVCELL($AK$1,AM$3,$AK19,$AL$2,$AK$4,$AK$5,$AK$6,$AK$7,$AK$8,$AL$3)/1000</f>
        <v>109.94311999999999</v>
      </c>
      <c r="AN19" s="172">
        <f>_xll.LVCELL($AK$1,AN$3,$AK19,$AL$2,$AK$4,$AK$5,$AK$6,$AK$7,$AK$8,$AL$3)/1000</f>
        <v>95.337962499999989</v>
      </c>
      <c r="AO19" s="172">
        <f>_xll.LVCELL($AK$1,AO$3,$AK19,$AL$2,$AK$4,$AK$5,$AK$6,$AK$7,$AK$8,$AL$3)/1000</f>
        <v>95.840417500000001</v>
      </c>
      <c r="AP19" s="172">
        <f>_xll.LVCELL($AK$1,AP$3,$AK19,$AL$2,$AK$4,$AK$5,$AK$6,$AK$7,$AK$8,$AL$3)/1000</f>
        <v>85.34002000000001</v>
      </c>
      <c r="AQ19" s="172">
        <f>_xll.LVCELL($AK$1,AQ$3,$AK19,$AL$2,$AK$4,$AK$5,$AK$6,$AK$7,$AK$8,$AL$3)/1000</f>
        <v>69.045335000000009</v>
      </c>
      <c r="AR19" s="172">
        <f>_xll.LVCELL($AK$1,AR$3,$AK19,$AL$2,$AK$4,$AK$5,$AK$6,$AK$7,$AK$8,$AL$3)/1000</f>
        <v>47.070599999999999</v>
      </c>
      <c r="AS19" s="172">
        <f>_xll.LVCELL($AK$1,AS$3,$AK19,$AL$2,$AK$4,$AK$5,$AK$6,$AK$7,$AK$8,$AL$3)/1000</f>
        <v>39.746290000000002</v>
      </c>
      <c r="AT19" s="172">
        <f>_xll.LVCELL($AK$1,AT$3,$AK19,$AL$2,$AK$4,$AK$5,$AK$6,$AK$7,$AK$8,$AL$3)/1000</f>
        <v>36.234995000000005</v>
      </c>
      <c r="AU19" s="172">
        <f>_xll.LVCELL($AK$1,AU$3,$AK19,$AL$2,$AK$4,$AK$5,$AK$6,$AK$7,$AK$8,$AL$3)/1000</f>
        <v>56.429050000000004</v>
      </c>
      <c r="AV19" s="172">
        <f>_xll.LVCELL($AK$1,AV$3,$AK19,$AL$2,$AK$4,$AK$5,$AK$6,$AK$7,$AK$8,$AL$3)/1000</f>
        <v>90.717399999999998</v>
      </c>
      <c r="AW19" s="172">
        <f>_xll.LVCELL($AK$1,AW$3,$AK19,$AL$2,$AK$4,$AK$5,$AK$6,$AK$7,$AK$8,$AL$3)/1000</f>
        <v>101.578085</v>
      </c>
      <c r="AX19" s="172">
        <f>_xll.LVCELL($AK$1,AX$3,$AK19,$AL$2,$AK$4,$AK$5,$AK$6,$AK$7,$AK$8,$AL$3)/1000</f>
        <v>112.562175</v>
      </c>
      <c r="AY19" s="172">
        <f>_xll.LVCELL($AK$1,AY$2,$AK19,$AL$2,$AK$4,$AK$5,$AK$6,$AK$7,$AK$8,$AL$3)/1000</f>
        <v>939.84544999999991</v>
      </c>
      <c r="AZ19" s="172">
        <f>_xll.LVCELL($AK$1,AZ$3,$AK19,$AL$2,$AK$4,$AK$5,$AK$6,$AK$7,$AK$8,$AL$3)/1000</f>
        <v>109.94310842704</v>
      </c>
      <c r="BA19" s="172">
        <f>_xll.LVCELL($AK$1,BA$3,$AK19,$AL$2,$AK$4,$AK$5,$AK$6,$AK$7,$AK$8,$AL$3)/1000</f>
        <v>95.337952464425001</v>
      </c>
      <c r="BB19" s="172">
        <f>_xll.LVCELL($AK$1,BB$3,$AK19,$AL$2,$AK$4,$AK$5,$AK$6,$AK$7,$AK$8,$AL$3)/1000</f>
        <v>95.840407411534997</v>
      </c>
      <c r="BC19" s="172">
        <f>_xll.LVCELL($AK$1,BC$3,$AK19,$AL$2,$AK$4,$AK$5,$AK$6,$AK$7,$AK$8,$AL$3)/1000</f>
        <v>85.340011016839995</v>
      </c>
      <c r="BD19" s="172">
        <f>_xll.LVCELL($AK$1,BD$3,$AK19,$AL$2,$AK$4,$AK$5,$AK$6,$AK$7,$AK$8,$AL$3)/1000</f>
        <v>69.045327732070007</v>
      </c>
      <c r="BE19" s="172">
        <f>_xll.LVCELL($AK$1,BE$3,$AK19,$AL$2,$AK$4,$AK$5,$AK$6,$AK$7,$AK$8,$AL$3)/1000</f>
        <v>47.070595045200001</v>
      </c>
      <c r="BF19" s="172">
        <f>_xll.LVCELL($AK$1,BF$3,$AK19,$AL$2,$AK$4,$AK$5,$AK$6,$AK$7,$AK$8,$AL$3)/1000</f>
        <v>39.746285816180006</v>
      </c>
      <c r="BG19" s="172">
        <f>_xll.LVCELL($AK$1,BG$3,$AK19,$AL$2,$AK$4,$AK$5,$AK$6,$AK$7,$AK$8,$AL$3)/1000</f>
        <v>36.234991185790001</v>
      </c>
      <c r="BH19" s="172">
        <f>_xll.LVCELL($AK$1,BH$3,$AK19,$AL$2,$AK$4,$AK$5,$AK$6,$AK$7,$AK$8,$AL$3)/1000</f>
        <v>56.429044060100004</v>
      </c>
      <c r="BI19" s="172">
        <f>_xll.LVCELL($AK$1,BI$3,$AK19,$AL$2,$AK$4,$AK$5,$AK$6,$AK$7,$AK$8,$AL$3)/1000</f>
        <v>90.717390450799996</v>
      </c>
      <c r="BJ19" s="172">
        <f>_xll.LVCELL($AK$1,BJ$3,$AK19,$AL$2,$AK$4,$AK$5,$AK$6,$AK$7,$AK$8,$AL$3)/1000</f>
        <v>101.57807430757001</v>
      </c>
      <c r="BK19" s="172">
        <f>_xll.LVCELL($AK$1,BK$3,$AK19,$AL$2,$AK$4,$AK$5,$AK$6,$AK$7,$AK$8,$AL$3)/1000</f>
        <v>112.56216315135001</v>
      </c>
      <c r="BL19" s="172">
        <f>_xll.LVCELL($AK$1,BL$2,$AK19,$AL$2,$AK$4,$AK$5,$AK$6,$AK$7,$AK$8,$AL$3)/1000</f>
        <v>939.84535106889996</v>
      </c>
      <c r="BM19" s="214">
        <f t="shared" si="6"/>
        <v>-9.893109995573468E-5</v>
      </c>
      <c r="BN19" s="217">
        <f t="shared" si="7"/>
        <v>0</v>
      </c>
      <c r="BO19" s="218">
        <f t="shared" si="7"/>
        <v>-9.8931099890812546E-5</v>
      </c>
      <c r="BP19" s="193">
        <f t="shared" si="8"/>
        <v>-1.052631578568608E-7</v>
      </c>
      <c r="BQ19" s="520"/>
      <c r="BS19" s="198">
        <f t="shared" si="9"/>
        <v>47.499999999999993</v>
      </c>
      <c r="BT19" s="198">
        <f t="shared" si="10"/>
        <v>47.499994999999998</v>
      </c>
      <c r="BU19" s="198">
        <f t="shared" si="11"/>
        <v>-4.9999999944816409E-6</v>
      </c>
      <c r="BV19" s="199">
        <f t="shared" si="12"/>
        <v>-1.0526315777856088E-7</v>
      </c>
      <c r="BX19" s="200">
        <f t="shared" si="17"/>
        <v>0</v>
      </c>
      <c r="BY19" s="200">
        <f t="shared" si="18"/>
        <v>-9.8931099890812546E-5</v>
      </c>
      <c r="BZ19" s="200">
        <f t="shared" si="15"/>
        <v>-9.8931099890812546E-5</v>
      </c>
      <c r="CA19" s="526">
        <f t="shared" si="16"/>
        <v>-6.4922134508649254E-14</v>
      </c>
    </row>
    <row r="20" spans="2:79">
      <c r="B20" s="64" t="str">
        <f>'1-EO_Calcul Reporting'!B20</f>
        <v>E5110</v>
      </c>
      <c r="C20" s="64" t="str">
        <f>'1-EO_Calcul Reporting'!C20</f>
        <v>E5110</v>
      </c>
      <c r="D20" s="192" t="str">
        <f>'1-EO_Calcul Reporting'!D20</f>
        <v>Cham Longe Bel Air</v>
      </c>
      <c r="E20" s="172">
        <f>_xll.LVCELL($D$1,E$3,$C20,$D$2,$C$4,$C$5,$C$6,$C$7,$C$8,$D$3)/1000</f>
        <v>0</v>
      </c>
      <c r="F20" s="172">
        <f>_xll.LVCELL($D$1,F$3,$C20,$D$2,$C$4,$C$5,$C$6,$C$7,$C$8,$D$3)/1000</f>
        <v>0</v>
      </c>
      <c r="G20" s="172">
        <f>_xll.LVCELL($D$1,G$3,$C20,$D$2,$C$4,$C$5,$C$6,$C$7,$C$8,$D$3)/1000</f>
        <v>0</v>
      </c>
      <c r="H20" s="172">
        <f>_xll.LVCELL($D$1,H$3,$C20,$D$2,$C$4,$C$5,$C$6,$C$7,$C$8,$D$3)/1000</f>
        <v>0</v>
      </c>
      <c r="I20" s="172">
        <f>_xll.LVCELL($D$1,I$3,$C20,$D$2,$C$4,$C$5,$C$6,$C$7,$C$8,$D$3)/1000</f>
        <v>0</v>
      </c>
      <c r="J20" s="172">
        <f>_xll.LVCELL($D$1,J$3,$C20,$D$2,$C$4,$C$5,$C$6,$C$7,$C$8,$D$3)/1000</f>
        <v>0</v>
      </c>
      <c r="K20" s="172">
        <f>_xll.LVCELL($D$1,K$3,$C20,$D$2,$C$4,$C$5,$C$6,$C$7,$C$8,$D$3)/1000</f>
        <v>0</v>
      </c>
      <c r="L20" s="172">
        <f>_xll.LVCELL($D$1,L$3,$C20,$D$2,$C$4,$C$5,$C$6,$C$7,$C$8,$D$3)/1000</f>
        <v>0</v>
      </c>
      <c r="M20" s="172">
        <f>_xll.LVCELL($D$1,M$3,$C20,$D$2,$C$4,$C$5,$C$6,$C$7,$C$8,$D$3)/1000</f>
        <v>0</v>
      </c>
      <c r="N20" s="172">
        <f>_xll.LVCELL($D$1,N$3,$C20,$D$2,$C$4,$C$5,$C$6,$C$7,$C$8,$D$3)/1000</f>
        <v>0</v>
      </c>
      <c r="O20" s="172">
        <f>_xll.LVCELL($D$1,O$3,$C20,$D$2,$C$4,$C$5,$C$6,$C$7,$C$8,$D$3)/1000</f>
        <v>0</v>
      </c>
      <c r="P20" s="172">
        <f>_xll.LVCELL($D$1,P$3,$C20,$D$2,$C$4,$C$5,$C$6,$C$7,$C$8,$D$3)/1000</f>
        <v>0</v>
      </c>
      <c r="Q20" s="172">
        <f>_xll.LVCELL($D$1,Q$2,$C20,$D$2,$C$4,$C$5,$C$6,$C$7,$C$8,$D$3)/1000</f>
        <v>0</v>
      </c>
      <c r="R20" s="172">
        <f>_xll.LVCELL($D$1,R$3,$C20,$D$2,$C$4,$C$5,$C$6,$C$7,$C$8,$D$3)/1000</f>
        <v>0</v>
      </c>
      <c r="S20" s="172">
        <f>_xll.LVCELL($D$1,S$3,$C20,$D$2,$C$4,$C$5,$C$6,$C$7,$C$8,$D$3)/1000</f>
        <v>0</v>
      </c>
      <c r="T20" s="172">
        <f>_xll.LVCELL($D$1,T$3,$C20,$D$2,$C$4,$C$5,$C$6,$C$7,$C$8,$D$3)/1000</f>
        <v>0</v>
      </c>
      <c r="U20" s="172">
        <f>_xll.LVCELL($D$1,U$3,$C20,$D$2,$C$4,$C$5,$C$6,$C$7,$C$8,$D$3)/1000</f>
        <v>0</v>
      </c>
      <c r="V20" s="172">
        <f>_xll.LVCELL($D$1,V$3,$C20,$D$2,$C$4,$C$5,$C$6,$C$7,$C$8,$D$3)/1000</f>
        <v>0</v>
      </c>
      <c r="W20" s="172">
        <f>_xll.LVCELL($D$1,W$3,$C20,$D$2,$C$4,$C$5,$C$6,$C$7,$C$8,$D$3)/1000</f>
        <v>0</v>
      </c>
      <c r="X20" s="172">
        <f>_xll.LVCELL($D$1,X$3,$C20,$D$2,$C$4,$C$5,$C$6,$C$7,$C$8,$D$3)/1000</f>
        <v>0</v>
      </c>
      <c r="Y20" s="172">
        <f>_xll.LVCELL($D$1,Y$3,$C20,$D$2,$C$4,$C$5,$C$6,$C$7,$C$8,$D$3)/1000</f>
        <v>0</v>
      </c>
      <c r="Z20" s="172">
        <f>_xll.LVCELL($D$1,Z$3,$C20,$D$2,$C$4,$C$5,$C$6,$C$7,$C$8,$D$3)/1000</f>
        <v>0</v>
      </c>
      <c r="AA20" s="172">
        <f>_xll.LVCELL($D$1,AA$3,$C20,$D$2,$C$4,$C$5,$C$6,$C$7,$C$8,$D$3)/1000</f>
        <v>0</v>
      </c>
      <c r="AB20" s="172">
        <f>_xll.LVCELL($D$1,AB$3,$C20,$D$2,$C$4,$C$5,$C$6,$C$7,$C$8,$D$3)/1000</f>
        <v>0</v>
      </c>
      <c r="AC20" s="172">
        <f>_xll.LVCELL($D$1,AC$3,$C20,$D$2,$C$4,$C$5,$C$6,$C$7,$C$8,$D$3)/1000</f>
        <v>0</v>
      </c>
      <c r="AD20" s="172">
        <f>_xll.LVCELL($D$1,AD$2,$C20,$D$2,$C$4,$C$5,$C$6,$C$7,$C$8,$D$3)/1000</f>
        <v>0</v>
      </c>
      <c r="AE20" s="172">
        <f t="shared" si="1"/>
        <v>0</v>
      </c>
      <c r="AF20" s="193" t="e">
        <f t="shared" si="2"/>
        <v>#DIV/0!</v>
      </c>
      <c r="AG20" s="535"/>
      <c r="AJ20" s="64" t="str">
        <f t="shared" si="3"/>
        <v>E5110</v>
      </c>
      <c r="AK20" s="64" t="str">
        <f t="shared" si="4"/>
        <v>E5110</v>
      </c>
      <c r="AL20" s="192" t="str">
        <f t="shared" si="5"/>
        <v>Cham Longe Bel Air</v>
      </c>
      <c r="AM20" s="172">
        <f>_xll.LVCELL($AK$1,AM$3,$AK20,$AL$2,$AK$4,$AK$5,$AK$6,$AK$7,$AK$8,$AL$3)/1000</f>
        <v>0</v>
      </c>
      <c r="AN20" s="172">
        <f>_xll.LVCELL($AK$1,AN$3,$AK20,$AL$2,$AK$4,$AK$5,$AK$6,$AK$7,$AK$8,$AL$3)/1000</f>
        <v>0</v>
      </c>
      <c r="AO20" s="172">
        <f>_xll.LVCELL($AK$1,AO$3,$AK20,$AL$2,$AK$4,$AK$5,$AK$6,$AK$7,$AK$8,$AL$3)/1000</f>
        <v>0</v>
      </c>
      <c r="AP20" s="172">
        <f>_xll.LVCELL($AK$1,AP$3,$AK20,$AL$2,$AK$4,$AK$5,$AK$6,$AK$7,$AK$8,$AL$3)/1000</f>
        <v>0</v>
      </c>
      <c r="AQ20" s="172">
        <f>_xll.LVCELL($AK$1,AQ$3,$AK20,$AL$2,$AK$4,$AK$5,$AK$6,$AK$7,$AK$8,$AL$3)/1000</f>
        <v>0</v>
      </c>
      <c r="AR20" s="172">
        <f>_xll.LVCELL($AK$1,AR$3,$AK20,$AL$2,$AK$4,$AK$5,$AK$6,$AK$7,$AK$8,$AL$3)/1000</f>
        <v>0</v>
      </c>
      <c r="AS20" s="172">
        <f>_xll.LVCELL($AK$1,AS$3,$AK20,$AL$2,$AK$4,$AK$5,$AK$6,$AK$7,$AK$8,$AL$3)/1000</f>
        <v>0</v>
      </c>
      <c r="AT20" s="172">
        <f>_xll.LVCELL($AK$1,AT$3,$AK20,$AL$2,$AK$4,$AK$5,$AK$6,$AK$7,$AK$8,$AL$3)/1000</f>
        <v>0</v>
      </c>
      <c r="AU20" s="172">
        <f>_xll.LVCELL($AK$1,AU$3,$AK20,$AL$2,$AK$4,$AK$5,$AK$6,$AK$7,$AK$8,$AL$3)/1000</f>
        <v>0</v>
      </c>
      <c r="AV20" s="172">
        <f>_xll.LVCELL($AK$1,AV$3,$AK20,$AL$2,$AK$4,$AK$5,$AK$6,$AK$7,$AK$8,$AL$3)/1000</f>
        <v>0</v>
      </c>
      <c r="AW20" s="172">
        <f>_xll.LVCELL($AK$1,AW$3,$AK20,$AL$2,$AK$4,$AK$5,$AK$6,$AK$7,$AK$8,$AL$3)/1000</f>
        <v>0</v>
      </c>
      <c r="AX20" s="172">
        <f>_xll.LVCELL($AK$1,AX$3,$AK20,$AL$2,$AK$4,$AK$5,$AK$6,$AK$7,$AK$8,$AL$3)/1000</f>
        <v>0</v>
      </c>
      <c r="AY20" s="172">
        <f>_xll.LVCELL($AK$1,AY$2,$AK20,$AL$2,$AK$4,$AK$5,$AK$6,$AK$7,$AK$8,$AL$3)/1000</f>
        <v>0</v>
      </c>
      <c r="AZ20" s="172">
        <f>_xll.LVCELL($AK$1,AZ$3,$AK20,$AL$2,$AK$4,$AK$5,$AK$6,$AK$7,$AK$8,$AL$3)/1000</f>
        <v>0</v>
      </c>
      <c r="BA20" s="172">
        <f>_xll.LVCELL($AK$1,BA$3,$AK20,$AL$2,$AK$4,$AK$5,$AK$6,$AK$7,$AK$8,$AL$3)/1000</f>
        <v>0</v>
      </c>
      <c r="BB20" s="172">
        <f>_xll.LVCELL($AK$1,BB$3,$AK20,$AL$2,$AK$4,$AK$5,$AK$6,$AK$7,$AK$8,$AL$3)/1000</f>
        <v>0</v>
      </c>
      <c r="BC20" s="172">
        <f>_xll.LVCELL($AK$1,BC$3,$AK20,$AL$2,$AK$4,$AK$5,$AK$6,$AK$7,$AK$8,$AL$3)/1000</f>
        <v>0</v>
      </c>
      <c r="BD20" s="172">
        <f>_xll.LVCELL($AK$1,BD$3,$AK20,$AL$2,$AK$4,$AK$5,$AK$6,$AK$7,$AK$8,$AL$3)/1000</f>
        <v>0</v>
      </c>
      <c r="BE20" s="172">
        <f>_xll.LVCELL($AK$1,BE$3,$AK20,$AL$2,$AK$4,$AK$5,$AK$6,$AK$7,$AK$8,$AL$3)/1000</f>
        <v>0</v>
      </c>
      <c r="BF20" s="172">
        <f>_xll.LVCELL($AK$1,BF$3,$AK20,$AL$2,$AK$4,$AK$5,$AK$6,$AK$7,$AK$8,$AL$3)/1000</f>
        <v>0</v>
      </c>
      <c r="BG20" s="172">
        <f>_xll.LVCELL($AK$1,BG$3,$AK20,$AL$2,$AK$4,$AK$5,$AK$6,$AK$7,$AK$8,$AL$3)/1000</f>
        <v>0</v>
      </c>
      <c r="BH20" s="172">
        <f>_xll.LVCELL($AK$1,BH$3,$AK20,$AL$2,$AK$4,$AK$5,$AK$6,$AK$7,$AK$8,$AL$3)/1000</f>
        <v>0</v>
      </c>
      <c r="BI20" s="172">
        <f>_xll.LVCELL($AK$1,BI$3,$AK20,$AL$2,$AK$4,$AK$5,$AK$6,$AK$7,$AK$8,$AL$3)/1000</f>
        <v>0</v>
      </c>
      <c r="BJ20" s="172">
        <f>_xll.LVCELL($AK$1,BJ$3,$AK20,$AL$2,$AK$4,$AK$5,$AK$6,$AK$7,$AK$8,$AL$3)/1000</f>
        <v>0</v>
      </c>
      <c r="BK20" s="172">
        <f>_xll.LVCELL($AK$1,BK$3,$AK20,$AL$2,$AK$4,$AK$5,$AK$6,$AK$7,$AK$8,$AL$3)/1000</f>
        <v>0</v>
      </c>
      <c r="BL20" s="172">
        <f>_xll.LVCELL($AK$1,BL$2,$AK20,$AL$2,$AK$4,$AK$5,$AK$6,$AK$7,$AK$8,$AL$3)/1000</f>
        <v>0</v>
      </c>
      <c r="BM20" s="214">
        <f t="shared" si="6"/>
        <v>0</v>
      </c>
      <c r="BN20" s="217">
        <f t="shared" si="7"/>
        <v>0</v>
      </c>
      <c r="BO20" s="218">
        <f t="shared" si="7"/>
        <v>0</v>
      </c>
      <c r="BP20" s="193" t="e">
        <f t="shared" si="8"/>
        <v>#DIV/0!</v>
      </c>
      <c r="BQ20" s="520"/>
      <c r="BS20" s="198">
        <f t="shared" si="9"/>
        <v>0</v>
      </c>
      <c r="BT20" s="198">
        <f t="shared" si="10"/>
        <v>0</v>
      </c>
      <c r="BU20" s="198">
        <f t="shared" si="11"/>
        <v>0</v>
      </c>
      <c r="BV20" s="199" t="str">
        <f t="shared" si="12"/>
        <v>N/A</v>
      </c>
      <c r="BX20" s="200">
        <f t="shared" si="17"/>
        <v>0</v>
      </c>
      <c r="BY20" s="200">
        <f t="shared" si="18"/>
        <v>0</v>
      </c>
      <c r="BZ20" s="200">
        <f t="shared" si="15"/>
        <v>0</v>
      </c>
      <c r="CA20" s="526">
        <f t="shared" si="16"/>
        <v>0</v>
      </c>
    </row>
    <row r="21" spans="2:79">
      <c r="B21" s="64" t="str">
        <f>'1-EO_Calcul Reporting'!B21</f>
        <v>E5120</v>
      </c>
      <c r="C21" s="64" t="str">
        <f>'1-EO_Calcul Reporting'!C21</f>
        <v>E5120</v>
      </c>
      <c r="D21" s="192" t="str">
        <f>'1-EO_Calcul Reporting'!D21</f>
        <v>Cham Longe Le Courbil (Eole Cevennes)</v>
      </c>
      <c r="E21" s="172">
        <f>_xll.LVCELL($D$1,E$3,$C21,$D$2,$C$4,$C$5,$C$6,$C$7,$C$8,$D$3)/1000</f>
        <v>0</v>
      </c>
      <c r="F21" s="172">
        <f>_xll.LVCELL($D$1,F$3,$C21,$D$2,$C$4,$C$5,$C$6,$C$7,$C$8,$D$3)/1000</f>
        <v>0</v>
      </c>
      <c r="G21" s="172">
        <f>_xll.LVCELL($D$1,G$3,$C21,$D$2,$C$4,$C$5,$C$6,$C$7,$C$8,$D$3)/1000</f>
        <v>0</v>
      </c>
      <c r="H21" s="172">
        <f>_xll.LVCELL($D$1,H$3,$C21,$D$2,$C$4,$C$5,$C$6,$C$7,$C$8,$D$3)/1000</f>
        <v>0</v>
      </c>
      <c r="I21" s="172">
        <f>_xll.LVCELL($D$1,I$3,$C21,$D$2,$C$4,$C$5,$C$6,$C$7,$C$8,$D$3)/1000</f>
        <v>0</v>
      </c>
      <c r="J21" s="172">
        <f>_xll.LVCELL($D$1,J$3,$C21,$D$2,$C$4,$C$5,$C$6,$C$7,$C$8,$D$3)/1000</f>
        <v>0</v>
      </c>
      <c r="K21" s="172">
        <f>_xll.LVCELL($D$1,K$3,$C21,$D$2,$C$4,$C$5,$C$6,$C$7,$C$8,$D$3)/1000</f>
        <v>0</v>
      </c>
      <c r="L21" s="172">
        <f>_xll.LVCELL($D$1,L$3,$C21,$D$2,$C$4,$C$5,$C$6,$C$7,$C$8,$D$3)/1000</f>
        <v>0</v>
      </c>
      <c r="M21" s="172">
        <f>_xll.LVCELL($D$1,M$3,$C21,$D$2,$C$4,$C$5,$C$6,$C$7,$C$8,$D$3)/1000</f>
        <v>0</v>
      </c>
      <c r="N21" s="172">
        <f>_xll.LVCELL($D$1,N$3,$C21,$D$2,$C$4,$C$5,$C$6,$C$7,$C$8,$D$3)/1000</f>
        <v>0</v>
      </c>
      <c r="O21" s="172">
        <f>_xll.LVCELL($D$1,O$3,$C21,$D$2,$C$4,$C$5,$C$6,$C$7,$C$8,$D$3)/1000</f>
        <v>0</v>
      </c>
      <c r="P21" s="172">
        <f>_xll.LVCELL($D$1,P$3,$C21,$D$2,$C$4,$C$5,$C$6,$C$7,$C$8,$D$3)/1000</f>
        <v>0</v>
      </c>
      <c r="Q21" s="172">
        <f>_xll.LVCELL($D$1,Q$2,$C21,$D$2,$C$4,$C$5,$C$6,$C$7,$C$8,$D$3)/1000</f>
        <v>0</v>
      </c>
      <c r="R21" s="172">
        <f>_xll.LVCELL($D$1,R$3,$C21,$D$2,$C$4,$C$5,$C$6,$C$7,$C$8,$D$3)/1000</f>
        <v>0</v>
      </c>
      <c r="S21" s="172">
        <f>_xll.LVCELL($D$1,S$3,$C21,$D$2,$C$4,$C$5,$C$6,$C$7,$C$8,$D$3)/1000</f>
        <v>0</v>
      </c>
      <c r="T21" s="172">
        <f>_xll.LVCELL($D$1,T$3,$C21,$D$2,$C$4,$C$5,$C$6,$C$7,$C$8,$D$3)/1000</f>
        <v>0</v>
      </c>
      <c r="U21" s="172">
        <f>_xll.LVCELL($D$1,U$3,$C21,$D$2,$C$4,$C$5,$C$6,$C$7,$C$8,$D$3)/1000</f>
        <v>0</v>
      </c>
      <c r="V21" s="172">
        <f>_xll.LVCELL($D$1,V$3,$C21,$D$2,$C$4,$C$5,$C$6,$C$7,$C$8,$D$3)/1000</f>
        <v>0</v>
      </c>
      <c r="W21" s="172">
        <f>_xll.LVCELL($D$1,W$3,$C21,$D$2,$C$4,$C$5,$C$6,$C$7,$C$8,$D$3)/1000</f>
        <v>0</v>
      </c>
      <c r="X21" s="172">
        <f>_xll.LVCELL($D$1,X$3,$C21,$D$2,$C$4,$C$5,$C$6,$C$7,$C$8,$D$3)/1000</f>
        <v>0</v>
      </c>
      <c r="Y21" s="172">
        <f>_xll.LVCELL($D$1,Y$3,$C21,$D$2,$C$4,$C$5,$C$6,$C$7,$C$8,$D$3)/1000</f>
        <v>0</v>
      </c>
      <c r="Z21" s="172">
        <f>_xll.LVCELL($D$1,Z$3,$C21,$D$2,$C$4,$C$5,$C$6,$C$7,$C$8,$D$3)/1000</f>
        <v>0</v>
      </c>
      <c r="AA21" s="172">
        <f>_xll.LVCELL($D$1,AA$3,$C21,$D$2,$C$4,$C$5,$C$6,$C$7,$C$8,$D$3)/1000</f>
        <v>0</v>
      </c>
      <c r="AB21" s="172">
        <f>_xll.LVCELL($D$1,AB$3,$C21,$D$2,$C$4,$C$5,$C$6,$C$7,$C$8,$D$3)/1000</f>
        <v>0</v>
      </c>
      <c r="AC21" s="172">
        <f>_xll.LVCELL($D$1,AC$3,$C21,$D$2,$C$4,$C$5,$C$6,$C$7,$C$8,$D$3)/1000</f>
        <v>0</v>
      </c>
      <c r="AD21" s="172">
        <f>_xll.LVCELL($D$1,AD$2,$C21,$D$2,$C$4,$C$5,$C$6,$C$7,$C$8,$D$3)/1000</f>
        <v>0</v>
      </c>
      <c r="AE21" s="172">
        <f t="shared" si="1"/>
        <v>0</v>
      </c>
      <c r="AF21" s="193" t="e">
        <f t="shared" si="2"/>
        <v>#DIV/0!</v>
      </c>
      <c r="AG21" s="535"/>
      <c r="AJ21" s="64" t="str">
        <f t="shared" si="3"/>
        <v>E5120</v>
      </c>
      <c r="AK21" s="64" t="str">
        <f t="shared" si="4"/>
        <v>E5120</v>
      </c>
      <c r="AL21" s="192" t="str">
        <f t="shared" si="5"/>
        <v>Cham Longe Le Courbil (Eole Cevennes)</v>
      </c>
      <c r="AM21" s="172">
        <f>_xll.LVCELL($AK$1,AM$3,$AK21,$AL$2,$AK$4,$AK$5,$AK$6,$AK$7,$AK$8,$AL$3)/1000</f>
        <v>0</v>
      </c>
      <c r="AN21" s="172">
        <f>_xll.LVCELL($AK$1,AN$3,$AK21,$AL$2,$AK$4,$AK$5,$AK$6,$AK$7,$AK$8,$AL$3)/1000</f>
        <v>0</v>
      </c>
      <c r="AO21" s="172">
        <f>_xll.LVCELL($AK$1,AO$3,$AK21,$AL$2,$AK$4,$AK$5,$AK$6,$AK$7,$AK$8,$AL$3)/1000</f>
        <v>0</v>
      </c>
      <c r="AP21" s="172">
        <f>_xll.LVCELL($AK$1,AP$3,$AK21,$AL$2,$AK$4,$AK$5,$AK$6,$AK$7,$AK$8,$AL$3)/1000</f>
        <v>0</v>
      </c>
      <c r="AQ21" s="172">
        <f>_xll.LVCELL($AK$1,AQ$3,$AK21,$AL$2,$AK$4,$AK$5,$AK$6,$AK$7,$AK$8,$AL$3)/1000</f>
        <v>0</v>
      </c>
      <c r="AR21" s="172">
        <f>_xll.LVCELL($AK$1,AR$3,$AK21,$AL$2,$AK$4,$AK$5,$AK$6,$AK$7,$AK$8,$AL$3)/1000</f>
        <v>0</v>
      </c>
      <c r="AS21" s="172">
        <f>_xll.LVCELL($AK$1,AS$3,$AK21,$AL$2,$AK$4,$AK$5,$AK$6,$AK$7,$AK$8,$AL$3)/1000</f>
        <v>0</v>
      </c>
      <c r="AT21" s="172">
        <f>_xll.LVCELL($AK$1,AT$3,$AK21,$AL$2,$AK$4,$AK$5,$AK$6,$AK$7,$AK$8,$AL$3)/1000</f>
        <v>0</v>
      </c>
      <c r="AU21" s="172">
        <f>_xll.LVCELL($AK$1,AU$3,$AK21,$AL$2,$AK$4,$AK$5,$AK$6,$AK$7,$AK$8,$AL$3)/1000</f>
        <v>0</v>
      </c>
      <c r="AV21" s="172">
        <f>_xll.LVCELL($AK$1,AV$3,$AK21,$AL$2,$AK$4,$AK$5,$AK$6,$AK$7,$AK$8,$AL$3)/1000</f>
        <v>0</v>
      </c>
      <c r="AW21" s="172">
        <f>_xll.LVCELL($AK$1,AW$3,$AK21,$AL$2,$AK$4,$AK$5,$AK$6,$AK$7,$AK$8,$AL$3)/1000</f>
        <v>0</v>
      </c>
      <c r="AX21" s="172">
        <f>_xll.LVCELL($AK$1,AX$3,$AK21,$AL$2,$AK$4,$AK$5,$AK$6,$AK$7,$AK$8,$AL$3)/1000</f>
        <v>0</v>
      </c>
      <c r="AY21" s="172">
        <f>_xll.LVCELL($AK$1,AY$2,$AK21,$AL$2,$AK$4,$AK$5,$AK$6,$AK$7,$AK$8,$AL$3)/1000</f>
        <v>0</v>
      </c>
      <c r="AZ21" s="172">
        <f>_xll.LVCELL($AK$1,AZ$3,$AK21,$AL$2,$AK$4,$AK$5,$AK$6,$AK$7,$AK$8,$AL$3)/1000</f>
        <v>0</v>
      </c>
      <c r="BA21" s="172">
        <f>_xll.LVCELL($AK$1,BA$3,$AK21,$AL$2,$AK$4,$AK$5,$AK$6,$AK$7,$AK$8,$AL$3)/1000</f>
        <v>0</v>
      </c>
      <c r="BB21" s="172">
        <f>_xll.LVCELL($AK$1,BB$3,$AK21,$AL$2,$AK$4,$AK$5,$AK$6,$AK$7,$AK$8,$AL$3)/1000</f>
        <v>0</v>
      </c>
      <c r="BC21" s="172">
        <f>_xll.LVCELL($AK$1,BC$3,$AK21,$AL$2,$AK$4,$AK$5,$AK$6,$AK$7,$AK$8,$AL$3)/1000</f>
        <v>0</v>
      </c>
      <c r="BD21" s="172">
        <f>_xll.LVCELL($AK$1,BD$3,$AK21,$AL$2,$AK$4,$AK$5,$AK$6,$AK$7,$AK$8,$AL$3)/1000</f>
        <v>0</v>
      </c>
      <c r="BE21" s="172">
        <f>_xll.LVCELL($AK$1,BE$3,$AK21,$AL$2,$AK$4,$AK$5,$AK$6,$AK$7,$AK$8,$AL$3)/1000</f>
        <v>0</v>
      </c>
      <c r="BF21" s="172">
        <f>_xll.LVCELL($AK$1,BF$3,$AK21,$AL$2,$AK$4,$AK$5,$AK$6,$AK$7,$AK$8,$AL$3)/1000</f>
        <v>0</v>
      </c>
      <c r="BG21" s="172">
        <f>_xll.LVCELL($AK$1,BG$3,$AK21,$AL$2,$AK$4,$AK$5,$AK$6,$AK$7,$AK$8,$AL$3)/1000</f>
        <v>0</v>
      </c>
      <c r="BH21" s="172">
        <f>_xll.LVCELL($AK$1,BH$3,$AK21,$AL$2,$AK$4,$AK$5,$AK$6,$AK$7,$AK$8,$AL$3)/1000</f>
        <v>0</v>
      </c>
      <c r="BI21" s="172">
        <f>_xll.LVCELL($AK$1,BI$3,$AK21,$AL$2,$AK$4,$AK$5,$AK$6,$AK$7,$AK$8,$AL$3)/1000</f>
        <v>0</v>
      </c>
      <c r="BJ21" s="172">
        <f>_xll.LVCELL($AK$1,BJ$3,$AK21,$AL$2,$AK$4,$AK$5,$AK$6,$AK$7,$AK$8,$AL$3)/1000</f>
        <v>0</v>
      </c>
      <c r="BK21" s="172">
        <f>_xll.LVCELL($AK$1,BK$3,$AK21,$AL$2,$AK$4,$AK$5,$AK$6,$AK$7,$AK$8,$AL$3)/1000</f>
        <v>0</v>
      </c>
      <c r="BL21" s="172">
        <f>_xll.LVCELL($AK$1,BL$2,$AK21,$AL$2,$AK$4,$AK$5,$AK$6,$AK$7,$AK$8,$AL$3)/1000</f>
        <v>0</v>
      </c>
      <c r="BM21" s="214">
        <f t="shared" si="6"/>
        <v>0</v>
      </c>
      <c r="BN21" s="217">
        <f t="shared" si="7"/>
        <v>0</v>
      </c>
      <c r="BO21" s="218">
        <f t="shared" si="7"/>
        <v>0</v>
      </c>
      <c r="BP21" s="193" t="e">
        <f t="shared" si="8"/>
        <v>#DIV/0!</v>
      </c>
      <c r="BQ21" s="520"/>
      <c r="BS21" s="198">
        <f t="shared" si="9"/>
        <v>0</v>
      </c>
      <c r="BT21" s="198">
        <f t="shared" si="10"/>
        <v>0</v>
      </c>
      <c r="BU21" s="198">
        <f t="shared" si="11"/>
        <v>0</v>
      </c>
      <c r="BV21" s="199" t="str">
        <f t="shared" si="12"/>
        <v>N/A</v>
      </c>
      <c r="BX21" s="200">
        <f t="shared" si="17"/>
        <v>0</v>
      </c>
      <c r="BY21" s="200">
        <f t="shared" si="18"/>
        <v>0</v>
      </c>
      <c r="BZ21" s="200">
        <f t="shared" si="15"/>
        <v>0</v>
      </c>
      <c r="CA21" s="526">
        <f t="shared" si="16"/>
        <v>0</v>
      </c>
    </row>
    <row r="22" spans="2:79">
      <c r="B22" s="64" t="str">
        <f>'1-EO_Calcul Reporting'!B22</f>
        <v>E5150</v>
      </c>
      <c r="C22" s="64" t="str">
        <f>'1-EO_Calcul Reporting'!C22</f>
        <v>E5150</v>
      </c>
      <c r="D22" s="192" t="str">
        <f>'1-EO_Calcul Reporting'!D22</f>
        <v>Cham Longe II</v>
      </c>
      <c r="E22" s="172">
        <f>_xll.LVCELL($D$1,E$3,$C22,$D$2,$C$4,$C$5,$C$6,$C$7,$C$8,$D$3)/1000</f>
        <v>1380.6869999999999</v>
      </c>
      <c r="F22" s="172">
        <f>_xll.LVCELL($D$1,F$3,$C22,$D$2,$C$4,$C$5,$C$6,$C$7,$C$8,$D$3)/1000</f>
        <v>1235.2449999999999</v>
      </c>
      <c r="G22" s="172">
        <f>_xll.LVCELL($D$1,G$3,$C22,$D$2,$C$4,$C$5,$C$6,$C$7,$C$8,$D$3)/1000</f>
        <v>1207.9690000000001</v>
      </c>
      <c r="H22" s="172">
        <f>_xll.LVCELL($D$1,H$3,$C22,$D$2,$C$4,$C$5,$C$6,$C$7,$C$8,$D$3)/1000</f>
        <v>1021.585</v>
      </c>
      <c r="I22" s="172">
        <f>_xll.LVCELL($D$1,I$3,$C22,$D$2,$C$4,$C$5,$C$6,$C$7,$C$8,$D$3)/1000</f>
        <v>872.61199999999997</v>
      </c>
      <c r="J22" s="172">
        <f>_xll.LVCELL($D$1,J$3,$C22,$D$2,$C$4,$C$5,$C$6,$C$7,$C$8,$D$3)/1000</f>
        <v>757.78700000000003</v>
      </c>
      <c r="K22" s="172">
        <f>_xll.LVCELL($D$1,K$3,$C22,$D$2,$C$4,$C$5,$C$6,$C$7,$C$8,$D$3)/1000</f>
        <v>760.13900000000001</v>
      </c>
      <c r="L22" s="172">
        <f>_xll.LVCELL($D$1,L$3,$C22,$D$2,$C$4,$C$5,$C$6,$C$7,$C$8,$D$3)/1000</f>
        <v>669.65700000000004</v>
      </c>
      <c r="M22" s="172">
        <f>_xll.LVCELL($D$1,M$3,$C22,$D$2,$C$4,$C$5,$C$6,$C$7,$C$8,$D$3)/1000</f>
        <v>818.74800000000005</v>
      </c>
      <c r="N22" s="172">
        <f>_xll.LVCELL($D$1,N$3,$C22,$D$2,$C$4,$C$5,$C$6,$C$7,$C$8,$D$3)/1000</f>
        <v>984.85599999999999</v>
      </c>
      <c r="O22" s="172">
        <f>_xll.LVCELL($D$1,O$3,$C22,$D$2,$C$4,$C$5,$C$6,$C$7,$C$8,$D$3)/1000</f>
        <v>1264.325</v>
      </c>
      <c r="P22" s="172">
        <f>_xll.LVCELL($D$1,P$3,$C22,$D$2,$C$4,$C$5,$C$6,$C$7,$C$8,$D$3)/1000</f>
        <v>1355.49</v>
      </c>
      <c r="Q22" s="172">
        <f>_xll.LVCELL($D$1,Q$2,$C22,$D$2,$C$4,$C$5,$C$6,$C$7,$C$8,$D$3)/1000</f>
        <v>12329.1</v>
      </c>
      <c r="R22" s="172">
        <f>_xll.LVCELL($D$1,R$3,$C22,$D$2,$C$4,$C$5,$C$6,$C$7,$C$8,$D$3)/1000</f>
        <v>1380.6869999999999</v>
      </c>
      <c r="S22" s="172">
        <f>_xll.LVCELL($D$1,S$3,$C22,$D$2,$C$4,$C$5,$C$6,$C$7,$C$8,$D$3)/1000</f>
        <v>1235.2449999999999</v>
      </c>
      <c r="T22" s="172">
        <f>_xll.LVCELL($D$1,T$3,$C22,$D$2,$C$4,$C$5,$C$6,$C$7,$C$8,$D$3)/1000</f>
        <v>1207.9690000000001</v>
      </c>
      <c r="U22" s="172">
        <f>_xll.LVCELL($D$1,U$3,$C22,$D$2,$C$4,$C$5,$C$6,$C$7,$C$8,$D$3)/1000</f>
        <v>1021.585</v>
      </c>
      <c r="V22" s="172">
        <f>_xll.LVCELL($D$1,V$3,$C22,$D$2,$C$4,$C$5,$C$6,$C$7,$C$8,$D$3)/1000</f>
        <v>872.61199999999997</v>
      </c>
      <c r="W22" s="172">
        <f>_xll.LVCELL($D$1,W$3,$C22,$D$2,$C$4,$C$5,$C$6,$C$7,$C$8,$D$3)/1000</f>
        <v>757.78700000000003</v>
      </c>
      <c r="X22" s="172">
        <f>_xll.LVCELL($D$1,X$3,$C22,$D$2,$C$4,$C$5,$C$6,$C$7,$C$8,$D$3)/1000</f>
        <v>760.13900000000001</v>
      </c>
      <c r="Y22" s="172">
        <f>_xll.LVCELL($D$1,Y$3,$C22,$D$2,$C$4,$C$5,$C$6,$C$7,$C$8,$D$3)/1000</f>
        <v>669.65700000000004</v>
      </c>
      <c r="Z22" s="172">
        <f>_xll.LVCELL($D$1,Z$3,$C22,$D$2,$C$4,$C$5,$C$6,$C$7,$C$8,$D$3)/1000</f>
        <v>818.74800000000005</v>
      </c>
      <c r="AA22" s="172">
        <f>_xll.LVCELL($D$1,AA$3,$C22,$D$2,$C$4,$C$5,$C$6,$C$7,$C$8,$D$3)/1000</f>
        <v>984.85599999999999</v>
      </c>
      <c r="AB22" s="172">
        <f>_xll.LVCELL($D$1,AB$3,$C22,$D$2,$C$4,$C$5,$C$6,$C$7,$C$8,$D$3)/1000</f>
        <v>1264.325</v>
      </c>
      <c r="AC22" s="172">
        <f>_xll.LVCELL($D$1,AC$3,$C22,$D$2,$C$4,$C$5,$C$6,$C$7,$C$8,$D$3)/1000</f>
        <v>1355.49</v>
      </c>
      <c r="AD22" s="172">
        <f>_xll.LVCELL($D$1,AD$2,$C22,$D$2,$C$4,$C$5,$C$6,$C$7,$C$8,$D$3)/1000</f>
        <v>12329.1</v>
      </c>
      <c r="AE22" s="172">
        <f t="shared" si="1"/>
        <v>0</v>
      </c>
      <c r="AF22" s="193">
        <f t="shared" si="2"/>
        <v>0</v>
      </c>
      <c r="AG22" s="535"/>
      <c r="AJ22" s="64" t="str">
        <f t="shared" si="3"/>
        <v>E5150</v>
      </c>
      <c r="AK22" s="64" t="str">
        <f t="shared" si="4"/>
        <v>E5150</v>
      </c>
      <c r="AL22" s="192" t="str">
        <f t="shared" si="5"/>
        <v>Cham Longe II</v>
      </c>
      <c r="AM22" s="172">
        <f>_xll.LVCELL($AK$1,AM$3,$AK22,$AL$2,$AK$4,$AK$5,$AK$6,$AK$7,$AK$8,$AL$3)/1000</f>
        <v>123.13104734700001</v>
      </c>
      <c r="AN22" s="172">
        <f>_xll.LVCELL($AK$1,AN$3,$AK22,$AL$2,$AK$4,$AK$5,$AK$6,$AK$7,$AK$8,$AL$3)/1000</f>
        <v>110.160384345</v>
      </c>
      <c r="AO22" s="172">
        <f>_xll.LVCELL($AK$1,AO$3,$AK22,$AL$2,$AK$4,$AK$5,$AK$6,$AK$7,$AK$8,$AL$3)/1000</f>
        <v>107.727883389</v>
      </c>
      <c r="AP22" s="172">
        <f>_xll.LVCELL($AK$1,AP$3,$AK22,$AL$2,$AK$4,$AK$5,$AK$6,$AK$7,$AK$8,$AL$3)/1000</f>
        <v>91.105971885000002</v>
      </c>
      <c r="AQ22" s="172">
        <f>_xll.LVCELL($AK$1,AQ$3,$AK22,$AL$2,$AK$4,$AK$5,$AK$6,$AK$7,$AK$8,$AL$3)/1000</f>
        <v>77.820410772000002</v>
      </c>
      <c r="AR22" s="172">
        <f>_xll.LVCELL($AK$1,AR$3,$AK22,$AL$2,$AK$4,$AK$5,$AK$6,$AK$7,$AK$8,$AL$3)/1000</f>
        <v>67.580202447000005</v>
      </c>
      <c r="AS22" s="172">
        <f>_xll.LVCELL($AK$1,AS$3,$AK22,$AL$2,$AK$4,$AK$5,$AK$6,$AK$7,$AK$8,$AL$3)/1000</f>
        <v>67.789956158999999</v>
      </c>
      <c r="AT22" s="172">
        <f>_xll.LVCELL($AK$1,AT$3,$AK22,$AL$2,$AK$4,$AK$5,$AK$6,$AK$7,$AK$8,$AL$3)/1000</f>
        <v>59.720680916999996</v>
      </c>
      <c r="AU22" s="172">
        <f>_xll.LVCELL($AK$1,AU$3,$AK22,$AL$2,$AK$4,$AK$5,$AK$6,$AK$7,$AK$8,$AL$3)/1000</f>
        <v>73.016765387999996</v>
      </c>
      <c r="AV22" s="172">
        <f>_xll.LVCELL($AK$1,AV$3,$AK22,$AL$2,$AK$4,$AK$5,$AK$6,$AK$7,$AK$8,$AL$3)/1000</f>
        <v>87.830442936000011</v>
      </c>
      <c r="AW22" s="172">
        <f>_xll.LVCELL($AK$1,AW$3,$AK22,$AL$2,$AK$4,$AK$5,$AK$6,$AK$7,$AK$8,$AL$3)/1000</f>
        <v>113.20513185</v>
      </c>
      <c r="AX22" s="172">
        <f>_xll.LVCELL($AK$1,AX$3,$AK22,$AL$2,$AK$4,$AK$5,$AK$6,$AK$7,$AK$8,$AL$3)/1000</f>
        <v>121.36786362000001</v>
      </c>
      <c r="AY22" s="172">
        <f>_xll.LVCELL($AK$1,AY$2,$AK22,$AL$2,$AK$4,$AK$5,$AK$6,$AK$7,$AK$8,$AL$3)/1000</f>
        <v>1100.4567410550001</v>
      </c>
      <c r="AZ22" s="172">
        <f>_xll.LVCELL($AK$1,AZ$3,$AK22,$AL$2,$AK$4,$AK$5,$AK$6,$AK$7,$AK$8,$AL$3)/1000</f>
        <v>125.56625199218101</v>
      </c>
      <c r="BA22" s="172">
        <f>_xll.LVCELL($AK$1,BA$3,$AK22,$AL$2,$AK$4,$AK$5,$AK$6,$AK$7,$AK$8,$AL$3)/1000</f>
        <v>112.339063771935</v>
      </c>
      <c r="BB22" s="172">
        <f>_xll.LVCELL($AK$1,BB$3,$AK22,$AL$2,$AK$4,$AK$5,$AK$6,$AK$7,$AK$8,$AL$3)/1000</f>
        <v>109.858454416347</v>
      </c>
      <c r="BC22" s="172">
        <f>_xll.LVCELL($AK$1,BC$3,$AK22,$AL$2,$AK$4,$AK$5,$AK$6,$AK$7,$AK$8,$AL$3)/1000</f>
        <v>92.907805709355003</v>
      </c>
      <c r="BD22" s="172">
        <f>_xll.LVCELL($AK$1,BD$3,$AK22,$AL$2,$AK$4,$AK$5,$AK$6,$AK$7,$AK$8,$AL$3)/1000</f>
        <v>79.359491530956006</v>
      </c>
      <c r="BE22" s="172">
        <f>_xll.LVCELL($AK$1,BE$3,$AK22,$AL$2,$AK$4,$AK$5,$AK$6,$AK$7,$AK$8,$AL$3)/1000</f>
        <v>68.916759119481</v>
      </c>
      <c r="BF22" s="172">
        <f>_xll.LVCELL($AK$1,BF$3,$AK22,$AL$2,$AK$4,$AK$5,$AK$6,$AK$7,$AK$8,$AL$3)/1000</f>
        <v>69.130661202056999</v>
      </c>
      <c r="BG22" s="172">
        <f>_xll.LVCELL($AK$1,BG$3,$AK22,$AL$2,$AK$4,$AK$5,$AK$6,$AK$7,$AK$8,$AL$3)/1000</f>
        <v>60.901797156291003</v>
      </c>
      <c r="BH22" s="172">
        <f>_xll.LVCELL($AK$1,BH$3,$AK22,$AL$2,$AK$4,$AK$5,$AK$6,$AK$7,$AK$8,$AL$3)/1000</f>
        <v>74.460842816724011</v>
      </c>
      <c r="BI22" s="172">
        <f>_xll.LVCELL($AK$1,BI$3,$AK22,$AL$2,$AK$4,$AK$5,$AK$6,$AK$7,$AK$8,$AL$3)/1000</f>
        <v>89.567495509127994</v>
      </c>
      <c r="BJ22" s="172">
        <f>_xll.LVCELL($AK$1,BJ$3,$AK22,$AL$2,$AK$4,$AK$5,$AK$6,$AK$7,$AK$8,$AL$3)/1000</f>
        <v>117.62836401222501</v>
      </c>
      <c r="BK22" s="172">
        <f>_xll.LVCELL($AK$1,BK$3,$AK22,$AL$2,$AK$4,$AK$5,$AK$6,$AK$7,$AK$8,$AL$3)/1000</f>
        <v>126.11003589657</v>
      </c>
      <c r="BL22" s="172">
        <f>_xll.LVCELL($AK$1,BL$2,$AK22,$AL$2,$AK$4,$AK$5,$AK$6,$AK$7,$AK$8,$AL$3)/1000</f>
        <v>1126.74702313325</v>
      </c>
      <c r="BM22" s="214">
        <f t="shared" si="6"/>
        <v>26.290282078249902</v>
      </c>
      <c r="BN22" s="217">
        <f t="shared" si="7"/>
        <v>0</v>
      </c>
      <c r="BO22" s="218">
        <f t="shared" si="7"/>
        <v>26.290282078249923</v>
      </c>
      <c r="BP22" s="193">
        <f t="shared" si="8"/>
        <v>2.3890336709688098E-2</v>
      </c>
      <c r="BQ22" s="519"/>
      <c r="BS22" s="198">
        <f t="shared" si="9"/>
        <v>89.256859061488669</v>
      </c>
      <c r="BT22" s="198">
        <f t="shared" si="10"/>
        <v>91.389235478116802</v>
      </c>
      <c r="BU22" s="198">
        <f t="shared" si="11"/>
        <v>2.1323764166281336</v>
      </c>
      <c r="BV22" s="199">
        <f t="shared" si="12"/>
        <v>2.3890336709688032E-2</v>
      </c>
      <c r="BX22" s="200">
        <f t="shared" si="17"/>
        <v>0</v>
      </c>
      <c r="BY22" s="200">
        <f t="shared" si="18"/>
        <v>26.290282078249923</v>
      </c>
      <c r="BZ22" s="200">
        <f t="shared" si="15"/>
        <v>26.290282078249923</v>
      </c>
      <c r="CA22" s="526">
        <f t="shared" si="16"/>
        <v>0</v>
      </c>
    </row>
    <row r="23" spans="2:79">
      <c r="B23" s="64" t="str">
        <f>'1-EO_Calcul Reporting'!B23</f>
        <v>E5130</v>
      </c>
      <c r="C23" s="64" t="str">
        <f>'1-EO_Calcul Reporting'!C23</f>
        <v>E5130</v>
      </c>
      <c r="D23" s="192" t="str">
        <f>'1-EO_Calcul Reporting'!D23</f>
        <v>Plouguin</v>
      </c>
      <c r="E23" s="172">
        <f>_xll.LVCELL($D$1,E$3,$C23,$D$2,$C$4,$C$5,$C$6,$C$7,$C$8,$D$3)/1000</f>
        <v>2257.116</v>
      </c>
      <c r="F23" s="172">
        <f>_xll.LVCELL($D$1,F$3,$C23,$D$2,$C$4,$C$5,$C$6,$C$7,$C$8,$D$3)/1000</f>
        <v>1868.76</v>
      </c>
      <c r="G23" s="172">
        <f>_xll.LVCELL($D$1,G$3,$C23,$D$2,$C$4,$C$5,$C$6,$C$7,$C$8,$D$3)/1000</f>
        <v>1727.5170000000001</v>
      </c>
      <c r="H23" s="172">
        <f>_xll.LVCELL($D$1,H$3,$C23,$D$2,$C$4,$C$5,$C$6,$C$7,$C$8,$D$3)/1000</f>
        <v>1462.075</v>
      </c>
      <c r="I23" s="172">
        <f>_xll.LVCELL($D$1,I$3,$C23,$D$2,$C$4,$C$5,$C$6,$C$7,$C$8,$D$3)/1000</f>
        <v>1282.319</v>
      </c>
      <c r="J23" s="172">
        <f>_xll.LVCELL($D$1,J$3,$C23,$D$2,$C$4,$C$5,$C$6,$C$7,$C$8,$D$3)/1000</f>
        <v>1032.3420000000001</v>
      </c>
      <c r="K23" s="172">
        <f>_xll.LVCELL($D$1,K$3,$C23,$D$2,$C$4,$C$5,$C$6,$C$7,$C$8,$D$3)/1000</f>
        <v>996.42</v>
      </c>
      <c r="L23" s="172">
        <f>_xll.LVCELL($D$1,L$3,$C23,$D$2,$C$4,$C$5,$C$6,$C$7,$C$8,$D$3)/1000</f>
        <v>941.29300000000001</v>
      </c>
      <c r="M23" s="172">
        <f>_xll.LVCELL($D$1,M$3,$C23,$D$2,$C$4,$C$5,$C$6,$C$7,$C$8,$D$3)/1000</f>
        <v>1192.7560000000001</v>
      </c>
      <c r="N23" s="172">
        <f>_xll.LVCELL($D$1,N$3,$C23,$D$2,$C$4,$C$5,$C$6,$C$7,$C$8,$D$3)/1000</f>
        <v>1654.902</v>
      </c>
      <c r="O23" s="172">
        <f>_xll.LVCELL($D$1,O$3,$C23,$D$2,$C$4,$C$5,$C$6,$C$7,$C$8,$D$3)/1000</f>
        <v>1910.204</v>
      </c>
      <c r="P23" s="172">
        <f>_xll.LVCELL($D$1,P$3,$C23,$D$2,$C$4,$C$5,$C$6,$C$7,$C$8,$D$3)/1000</f>
        <v>2215.2959999999998</v>
      </c>
      <c r="Q23" s="172">
        <f>_xll.LVCELL($D$1,Q$2,$C23,$D$2,$C$4,$C$5,$C$6,$C$7,$C$8,$D$3)/1000</f>
        <v>18541</v>
      </c>
      <c r="R23" s="172">
        <f>_xll.LVCELL($D$1,R$3,$C23,$D$2,$C$4,$C$5,$C$6,$C$7,$C$8,$D$3)/1000</f>
        <v>2257.116</v>
      </c>
      <c r="S23" s="172">
        <f>_xll.LVCELL($D$1,S$3,$C23,$D$2,$C$4,$C$5,$C$6,$C$7,$C$8,$D$3)/1000</f>
        <v>1868.76</v>
      </c>
      <c r="T23" s="172">
        <f>_xll.LVCELL($D$1,T$3,$C23,$D$2,$C$4,$C$5,$C$6,$C$7,$C$8,$D$3)/1000</f>
        <v>1727.5170000000001</v>
      </c>
      <c r="U23" s="172">
        <f>_xll.LVCELL($D$1,U$3,$C23,$D$2,$C$4,$C$5,$C$6,$C$7,$C$8,$D$3)/1000</f>
        <v>1462.075</v>
      </c>
      <c r="V23" s="172">
        <f>_xll.LVCELL($D$1,V$3,$C23,$D$2,$C$4,$C$5,$C$6,$C$7,$C$8,$D$3)/1000</f>
        <v>1282.319</v>
      </c>
      <c r="W23" s="172">
        <f>_xll.LVCELL($D$1,W$3,$C23,$D$2,$C$4,$C$5,$C$6,$C$7,$C$8,$D$3)/1000</f>
        <v>1032.3420000000001</v>
      </c>
      <c r="X23" s="172">
        <f>_xll.LVCELL($D$1,X$3,$C23,$D$2,$C$4,$C$5,$C$6,$C$7,$C$8,$D$3)/1000</f>
        <v>996.42</v>
      </c>
      <c r="Y23" s="172">
        <f>_xll.LVCELL($D$1,Y$3,$C23,$D$2,$C$4,$C$5,$C$6,$C$7,$C$8,$D$3)/1000</f>
        <v>941.29300000000001</v>
      </c>
      <c r="Z23" s="172">
        <f>_xll.LVCELL($D$1,Z$3,$C23,$D$2,$C$4,$C$5,$C$6,$C$7,$C$8,$D$3)/1000</f>
        <v>1192.7560000000001</v>
      </c>
      <c r="AA23" s="172">
        <f>_xll.LVCELL($D$1,AA$3,$C23,$D$2,$C$4,$C$5,$C$6,$C$7,$C$8,$D$3)/1000</f>
        <v>1654.902</v>
      </c>
      <c r="AB23" s="172">
        <f>_xll.LVCELL($D$1,AB$3,$C23,$D$2,$C$4,$C$5,$C$6,$C$7,$C$8,$D$3)/1000</f>
        <v>1910.204</v>
      </c>
      <c r="AC23" s="172">
        <f>_xll.LVCELL($D$1,AC$3,$C23,$D$2,$C$4,$C$5,$C$6,$C$7,$C$8,$D$3)/1000</f>
        <v>2215.2959999999998</v>
      </c>
      <c r="AD23" s="172">
        <f>_xll.LVCELL($D$1,AD$2,$C23,$D$2,$C$4,$C$5,$C$6,$C$7,$C$8,$D$3)/1000</f>
        <v>18541</v>
      </c>
      <c r="AE23" s="172">
        <f t="shared" si="1"/>
        <v>0</v>
      </c>
      <c r="AF23" s="193">
        <f t="shared" si="2"/>
        <v>0</v>
      </c>
      <c r="AG23" s="535"/>
      <c r="AJ23" s="64" t="str">
        <f t="shared" si="3"/>
        <v>E5130</v>
      </c>
      <c r="AK23" s="64" t="str">
        <f t="shared" si="4"/>
        <v>E5130</v>
      </c>
      <c r="AL23" s="192" t="str">
        <f t="shared" si="5"/>
        <v>Plouguin</v>
      </c>
      <c r="AM23" s="172">
        <f>_xll.LVCELL($AK$1,AM$3,$AK23,$AL$2,$AK$4,$AK$5,$AK$6,$AK$7,$AK$8,$AL$3)/1000</f>
        <v>196.272036012</v>
      </c>
      <c r="AN23" s="172">
        <f>_xll.LVCELL($AK$1,AN$3,$AK23,$AL$2,$AK$4,$AK$5,$AK$6,$AK$7,$AK$8,$AL$3)/1000</f>
        <v>91.569240000000008</v>
      </c>
      <c r="AO23" s="172">
        <f>_xll.LVCELL($AK$1,AO$3,$AK23,$AL$2,$AK$4,$AK$5,$AK$6,$AK$7,$AK$8,$AL$3)/1000</f>
        <v>84.648332999999994</v>
      </c>
      <c r="AP23" s="172">
        <f>_xll.LVCELL($AK$1,AP$3,$AK23,$AL$2,$AK$4,$AK$5,$AK$6,$AK$7,$AK$8,$AL$3)/1000</f>
        <v>71.641675000000006</v>
      </c>
      <c r="AQ23" s="172">
        <f>_xll.LVCELL($AK$1,AQ$3,$AK23,$AL$2,$AK$4,$AK$5,$AK$6,$AK$7,$AK$8,$AL$3)/1000</f>
        <v>62.833631000000004</v>
      </c>
      <c r="AR23" s="172">
        <f>_xll.LVCELL($AK$1,AR$3,$AK23,$AL$2,$AK$4,$AK$5,$AK$6,$AK$7,$AK$8,$AL$3)/1000</f>
        <v>50.584758000000001</v>
      </c>
      <c r="AS23" s="172">
        <f>_xll.LVCELL($AK$1,AS$3,$AK23,$AL$2,$AK$4,$AK$5,$AK$6,$AK$7,$AK$8,$AL$3)/1000</f>
        <v>48.824580000000005</v>
      </c>
      <c r="AT23" s="172">
        <f>_xll.LVCELL($AK$1,AT$3,$AK23,$AL$2,$AK$4,$AK$5,$AK$6,$AK$7,$AK$8,$AL$3)/1000</f>
        <v>46.123357000000006</v>
      </c>
      <c r="AU23" s="172">
        <f>_xll.LVCELL($AK$1,AU$3,$AK23,$AL$2,$AK$4,$AK$5,$AK$6,$AK$7,$AK$8,$AL$3)/1000</f>
        <v>58.445044000000003</v>
      </c>
      <c r="AV23" s="172">
        <f>_xll.LVCELL($AK$1,AV$3,$AK23,$AL$2,$AK$4,$AK$5,$AK$6,$AK$7,$AK$8,$AL$3)/1000</f>
        <v>81.090198000000001</v>
      </c>
      <c r="AW23" s="172">
        <f>_xll.LVCELL($AK$1,AW$3,$AK23,$AL$2,$AK$4,$AK$5,$AK$6,$AK$7,$AK$8,$AL$3)/1000</f>
        <v>93.599996000000004</v>
      </c>
      <c r="AX23" s="172">
        <f>_xll.LVCELL($AK$1,AX$3,$AK23,$AL$2,$AK$4,$AK$5,$AK$6,$AK$7,$AK$8,$AL$3)/1000</f>
        <v>108.549504</v>
      </c>
      <c r="AY23" s="172">
        <f>_xll.LVCELL($AK$1,AY$2,$AK23,$AL$2,$AK$4,$AK$5,$AK$6,$AK$7,$AK$8,$AL$3)/1000</f>
        <v>994.18235201200002</v>
      </c>
      <c r="AZ23" s="172">
        <f>_xll.LVCELL($AK$1,AZ$3,$AK23,$AL$2,$AK$4,$AK$5,$AK$6,$AK$7,$AK$8,$AL$3)/1000</f>
        <v>110.59869528558001</v>
      </c>
      <c r="BA23" s="172">
        <f>_xll.LVCELL($AK$1,BA$3,$AK23,$AL$2,$AK$4,$AK$5,$AK$6,$AK$7,$AK$8,$AL$3)/1000</f>
        <v>91.569249343799996</v>
      </c>
      <c r="BB23" s="172">
        <f>_xll.LVCELL($AK$1,BB$3,$AK23,$AL$2,$AK$4,$AK$5,$AK$6,$AK$7,$AK$8,$AL$3)/1000</f>
        <v>84.648341637585006</v>
      </c>
      <c r="BC23" s="172">
        <f>_xll.LVCELL($AK$1,BC$3,$AK23,$AL$2,$AK$4,$AK$5,$AK$6,$AK$7,$AK$8,$AL$3)/1000</f>
        <v>71.641682310375003</v>
      </c>
      <c r="BD23" s="172">
        <f>_xll.LVCELL($AK$1,BD$3,$AK23,$AL$2,$AK$4,$AK$5,$AK$6,$AK$7,$AK$8,$AL$3)/1000</f>
        <v>62.833637411594999</v>
      </c>
      <c r="BE23" s="172">
        <f>_xll.LVCELL($AK$1,BE$3,$AK23,$AL$2,$AK$4,$AK$5,$AK$6,$AK$7,$AK$8,$AL$3)/1000</f>
        <v>50.584763161710001</v>
      </c>
      <c r="BF23" s="172">
        <f>_xll.LVCELL($AK$1,BF$3,$AK23,$AL$2,$AK$4,$AK$5,$AK$6,$AK$7,$AK$8,$AL$3)/1000</f>
        <v>48.824584982099999</v>
      </c>
      <c r="BG23" s="172">
        <f>_xll.LVCELL($AK$1,BG$3,$AK23,$AL$2,$AK$4,$AK$5,$AK$6,$AK$7,$AK$8,$AL$3)/1000</f>
        <v>46.123361706465005</v>
      </c>
      <c r="BH23" s="172">
        <f>_xll.LVCELL($AK$1,BH$3,$AK23,$AL$2,$AK$4,$AK$5,$AK$6,$AK$7,$AK$8,$AL$3)/1000</f>
        <v>58.445049963780001</v>
      </c>
      <c r="BI23" s="172">
        <f>_xll.LVCELL($AK$1,BI$3,$AK23,$AL$2,$AK$4,$AK$5,$AK$6,$AK$7,$AK$8,$AL$3)/1000</f>
        <v>81.090206274509995</v>
      </c>
      <c r="BJ23" s="172">
        <f>_xll.LVCELL($AK$1,BJ$3,$AK23,$AL$2,$AK$4,$AK$5,$AK$6,$AK$7,$AK$8,$AL$3)/1000</f>
        <v>93.600005551020004</v>
      </c>
      <c r="BK23" s="172">
        <f>_xll.LVCELL($AK$1,BK$3,$AK23,$AL$2,$AK$4,$AK$5,$AK$6,$AK$7,$AK$8,$AL$3)/1000</f>
        <v>108.54951507648001</v>
      </c>
      <c r="BL23" s="172">
        <f>_xll.LVCELL($AK$1,BL$2,$AK23,$AL$2,$AK$4,$AK$5,$AK$6,$AK$7,$AK$8,$AL$3)/1000</f>
        <v>908.50909270499994</v>
      </c>
      <c r="BM23" s="214">
        <f t="shared" si="6"/>
        <v>-85.67325930700008</v>
      </c>
      <c r="BN23" s="217">
        <f t="shared" si="7"/>
        <v>0</v>
      </c>
      <c r="BO23" s="218">
        <f t="shared" si="7"/>
        <v>-85.673259306999938</v>
      </c>
      <c r="BP23" s="193">
        <f t="shared" si="8"/>
        <v>-8.6174592753147095E-2</v>
      </c>
      <c r="BQ23" s="337" t="s">
        <v>3552</v>
      </c>
      <c r="BS23" s="198">
        <f t="shared" si="9"/>
        <v>53.620751416428455</v>
      </c>
      <c r="BT23" s="198">
        <f t="shared" si="10"/>
        <v>49.000005000000002</v>
      </c>
      <c r="BU23" s="198">
        <f t="shared" si="11"/>
        <v>-4.6207464164284531</v>
      </c>
      <c r="BV23" s="199">
        <f t="shared" si="12"/>
        <v>-8.6174592753147011E-2</v>
      </c>
      <c r="BX23" s="200">
        <f t="shared" si="17"/>
        <v>0</v>
      </c>
      <c r="BY23" s="200">
        <f t="shared" si="18"/>
        <v>-85.673259306999938</v>
      </c>
      <c r="BZ23" s="200">
        <f t="shared" si="15"/>
        <v>-85.673259306999938</v>
      </c>
      <c r="CA23" s="526">
        <f t="shared" si="16"/>
        <v>-1.4210854715202004E-13</v>
      </c>
    </row>
    <row r="24" spans="2:79">
      <c r="B24" s="64" t="str">
        <f>'1-EO_Calcul Reporting'!B24</f>
        <v>E5140</v>
      </c>
      <c r="C24" s="64" t="str">
        <f>'1-EO_Calcul Reporting'!C24</f>
        <v>E5140</v>
      </c>
      <c r="D24" s="192" t="str">
        <f>'1-EO_Calcul Reporting'!D24</f>
        <v>La Citadelle</v>
      </c>
      <c r="E24" s="172">
        <f>_xll.LVCELL($D$1,E$3,$C24,$D$2,$C$4,$C$5,$C$6,$C$7,$C$8,$D$3)/1000</f>
        <v>3023.2109999999998</v>
      </c>
      <c r="F24" s="172">
        <f>_xll.LVCELL($D$1,F$3,$C24,$D$2,$C$4,$C$5,$C$6,$C$7,$C$8,$D$3)/1000</f>
        <v>2749.136</v>
      </c>
      <c r="G24" s="172">
        <f>_xll.LVCELL($D$1,G$3,$C24,$D$2,$C$4,$C$5,$C$6,$C$7,$C$8,$D$3)/1000</f>
        <v>2818.645</v>
      </c>
      <c r="H24" s="172">
        <f>_xll.LVCELL($D$1,H$3,$C24,$D$2,$C$4,$C$5,$C$6,$C$7,$C$8,$D$3)/1000</f>
        <v>2609.636</v>
      </c>
      <c r="I24" s="172">
        <f>_xll.LVCELL($D$1,I$3,$C24,$D$2,$C$4,$C$5,$C$6,$C$7,$C$8,$D$3)/1000</f>
        <v>2296.1060000000002</v>
      </c>
      <c r="J24" s="172">
        <f>_xll.LVCELL($D$1,J$3,$C24,$D$2,$C$4,$C$5,$C$6,$C$7,$C$8,$D$3)/1000</f>
        <v>1949.748</v>
      </c>
      <c r="K24" s="172">
        <f>_xll.LVCELL($D$1,K$3,$C24,$D$2,$C$4,$C$5,$C$6,$C$7,$C$8,$D$3)/1000</f>
        <v>1892</v>
      </c>
      <c r="L24" s="172">
        <f>_xll.LVCELL($D$1,L$3,$C24,$D$2,$C$4,$C$5,$C$6,$C$7,$C$8,$D$3)/1000</f>
        <v>1747.7280000000001</v>
      </c>
      <c r="M24" s="172">
        <f>_xll.LVCELL($D$1,M$3,$C24,$D$2,$C$4,$C$5,$C$6,$C$7,$C$8,$D$3)/1000</f>
        <v>2074.085</v>
      </c>
      <c r="N24" s="172">
        <f>_xll.LVCELL($D$1,N$3,$C24,$D$2,$C$4,$C$5,$C$6,$C$7,$C$8,$D$3)/1000</f>
        <v>2489.9050000000002</v>
      </c>
      <c r="O24" s="172">
        <f>_xll.LVCELL($D$1,O$3,$C24,$D$2,$C$4,$C$5,$C$6,$C$7,$C$8,$D$3)/1000</f>
        <v>2920.1309999999999</v>
      </c>
      <c r="P24" s="172">
        <f>_xll.LVCELL($D$1,P$3,$C24,$D$2,$C$4,$C$5,$C$6,$C$7,$C$8,$D$3)/1000</f>
        <v>3029.67</v>
      </c>
      <c r="Q24" s="172">
        <f>_xll.LVCELL($D$1,Q$2,$C24,$D$2,$C$4,$C$5,$C$6,$C$7,$C$8,$D$3)/1000</f>
        <v>29600.001</v>
      </c>
      <c r="R24" s="172">
        <f>_xll.LVCELL($D$1,R$3,$C24,$D$2,$C$4,$C$5,$C$6,$C$7,$C$8,$D$3)/1000</f>
        <v>3029.489</v>
      </c>
      <c r="S24" s="172">
        <f>_xll.LVCELL($D$1,S$3,$C24,$D$2,$C$4,$C$5,$C$6,$C$7,$C$8,$D$3)/1000</f>
        <v>2754.8449999999998</v>
      </c>
      <c r="T24" s="172">
        <f>_xll.LVCELL($D$1,T$3,$C24,$D$2,$C$4,$C$5,$C$6,$C$7,$C$8,$D$3)/1000</f>
        <v>2824.4989999999998</v>
      </c>
      <c r="U24" s="172">
        <f>_xll.LVCELL($D$1,U$3,$C24,$D$2,$C$4,$C$5,$C$6,$C$7,$C$8,$D$3)/1000</f>
        <v>2615.056</v>
      </c>
      <c r="V24" s="172">
        <f>_xll.LVCELL($D$1,V$3,$C24,$D$2,$C$4,$C$5,$C$6,$C$7,$C$8,$D$3)/1000</f>
        <v>2300.875</v>
      </c>
      <c r="W24" s="172">
        <f>_xll.LVCELL($D$1,W$3,$C24,$D$2,$C$4,$C$5,$C$6,$C$7,$C$8,$D$3)/1000</f>
        <v>1953.797</v>
      </c>
      <c r="X24" s="172">
        <f>_xll.LVCELL($D$1,X$3,$C24,$D$2,$C$4,$C$5,$C$6,$C$7,$C$8,$D$3)/1000</f>
        <v>1895.93</v>
      </c>
      <c r="Y24" s="172">
        <f>_xll.LVCELL($D$1,Y$3,$C24,$D$2,$C$4,$C$5,$C$6,$C$7,$C$8,$D$3)/1000</f>
        <v>1751.357</v>
      </c>
      <c r="Z24" s="172">
        <f>_xll.LVCELL($D$1,Z$3,$C24,$D$2,$C$4,$C$5,$C$6,$C$7,$C$8,$D$3)/1000</f>
        <v>2078.3919999999998</v>
      </c>
      <c r="AA24" s="172">
        <f>_xll.LVCELL($D$1,AA$3,$C24,$D$2,$C$4,$C$5,$C$6,$C$7,$C$8,$D$3)/1000</f>
        <v>2495.076</v>
      </c>
      <c r="AB24" s="172">
        <f>_xll.LVCELL($D$1,AB$3,$C24,$D$2,$C$4,$C$5,$C$6,$C$7,$C$8,$D$3)/1000</f>
        <v>2926.1950000000002</v>
      </c>
      <c r="AC24" s="172">
        <f>_xll.LVCELL($D$1,AC$3,$C24,$D$2,$C$4,$C$5,$C$6,$C$7,$C$8,$D$3)/1000</f>
        <v>3035.9630000000002</v>
      </c>
      <c r="AD24" s="172">
        <f>_xll.LVCELL($D$1,AD$2,$C24,$D$2,$C$4,$C$5,$C$6,$C$7,$C$8,$D$3)/1000</f>
        <v>29661.473999999998</v>
      </c>
      <c r="AE24" s="172">
        <f t="shared" si="1"/>
        <v>61.472999999998137</v>
      </c>
      <c r="AF24" s="193">
        <f t="shared" si="2"/>
        <v>2.0767904703786755E-3</v>
      </c>
      <c r="AG24" s="535"/>
      <c r="AJ24" s="64" t="str">
        <f t="shared" si="3"/>
        <v>E5140</v>
      </c>
      <c r="AK24" s="64" t="str">
        <f t="shared" si="4"/>
        <v>E5140</v>
      </c>
      <c r="AL24" s="192" t="str">
        <f t="shared" si="5"/>
        <v>La Citadelle</v>
      </c>
      <c r="AM24" s="172">
        <f>_xll.LVCELL($AK$1,AM$3,$AK24,$AL$2,$AK$4,$AK$5,$AK$6,$AK$7,$AK$8,$AL$3)/1000</f>
        <v>292.72542828599995</v>
      </c>
      <c r="AN24" s="172">
        <f>_xll.LVCELL($AK$1,AN$3,$AK24,$AL$2,$AK$4,$AK$5,$AK$6,$AK$7,$AK$8,$AL$3)/1000</f>
        <v>266.18784233600002</v>
      </c>
      <c r="AO24" s="172">
        <f>_xll.LVCELL($AK$1,AO$3,$AK24,$AL$2,$AK$4,$AK$5,$AK$6,$AK$7,$AK$8,$AL$3)/1000</f>
        <v>272.91812076999997</v>
      </c>
      <c r="AP24" s="172">
        <f>_xll.LVCELL($AK$1,AP$3,$AK24,$AL$2,$AK$4,$AK$5,$AK$6,$AK$7,$AK$8,$AL$3)/1000</f>
        <v>252.68061533599999</v>
      </c>
      <c r="AQ24" s="172">
        <f>_xll.LVCELL($AK$1,AQ$3,$AK24,$AL$2,$AK$4,$AK$5,$AK$6,$AK$7,$AK$8,$AL$3)/1000</f>
        <v>222.32275955599999</v>
      </c>
      <c r="AR24" s="172">
        <f>_xll.LVCELL($AK$1,AR$3,$AK24,$AL$2,$AK$4,$AK$5,$AK$6,$AK$7,$AK$8,$AL$3)/1000</f>
        <v>188.786299848</v>
      </c>
      <c r="AS24" s="172">
        <f>_xll.LVCELL($AK$1,AS$3,$AK24,$AL$2,$AK$4,$AK$5,$AK$6,$AK$7,$AK$8,$AL$3)/1000</f>
        <v>183.19479199999998</v>
      </c>
      <c r="AT24" s="172">
        <f>_xll.LVCELL($AK$1,AT$3,$AK24,$AL$2,$AK$4,$AK$5,$AK$6,$AK$7,$AK$8,$AL$3)/1000</f>
        <v>169.22551132799998</v>
      </c>
      <c r="AU24" s="172">
        <f>_xll.LVCELL($AK$1,AU$3,$AK24,$AL$2,$AK$4,$AK$5,$AK$6,$AK$7,$AK$8,$AL$3)/1000</f>
        <v>200.82535421</v>
      </c>
      <c r="AV24" s="172">
        <f>_xll.LVCELL($AK$1,AV$3,$AK24,$AL$2,$AK$4,$AK$5,$AK$6,$AK$7,$AK$8,$AL$3)/1000</f>
        <v>241.08754152999998</v>
      </c>
      <c r="AW24" s="172">
        <f>_xll.LVCELL($AK$1,AW$3,$AK24,$AL$2,$AK$4,$AK$5,$AK$6,$AK$7,$AK$8,$AL$3)/1000</f>
        <v>283.87469490300003</v>
      </c>
      <c r="AX24" s="172">
        <f>_xll.LVCELL($AK$1,AX$3,$AK24,$AL$2,$AK$4,$AK$5,$AK$6,$AK$7,$AK$8,$AL$3)/1000</f>
        <v>294.52330970999998</v>
      </c>
      <c r="AY24" s="172">
        <f>_xll.LVCELL($AK$1,AY$2,$AK24,$AL$2,$AK$4,$AK$5,$AK$6,$AK$7,$AK$8,$AL$3)/1000</f>
        <v>2868.3522698130009</v>
      </c>
      <c r="AZ24" s="172">
        <f>_xll.LVCELL($AK$1,AZ$3,$AK24,$AL$2,$AK$4,$AK$5,$AK$6,$AK$7,$AK$8,$AL$3)/1000</f>
        <v>299.19260023503199</v>
      </c>
      <c r="BA24" s="172">
        <f>_xll.LVCELL($AK$1,BA$3,$AK24,$AL$2,$AK$4,$AK$5,$AK$6,$AK$7,$AK$8,$AL$3)/1000</f>
        <v>272.06873462636003</v>
      </c>
      <c r="BB24" s="172">
        <f>_xll.LVCELL($AK$1,BB$3,$AK24,$AL$2,$AK$4,$AK$5,$AK$6,$AK$7,$AK$8,$AL$3)/1000</f>
        <v>278.94776979591205</v>
      </c>
      <c r="BC24" s="172">
        <f>_xll.LVCELL($AK$1,BC$3,$AK24,$AL$2,$AK$4,$AK$5,$AK$6,$AK$7,$AK$8,$AL$3)/1000</f>
        <v>258.26316068492798</v>
      </c>
      <c r="BD24" s="172">
        <f>_xll.LVCELL($AK$1,BD$3,$AK24,$AL$2,$AK$4,$AK$5,$AK$6,$AK$7,$AK$8,$AL$3)/1000</f>
        <v>227.234617477</v>
      </c>
      <c r="BE24" s="172">
        <f>_xll.LVCELL($AK$1,BE$3,$AK24,$AL$2,$AK$4,$AK$5,$AK$6,$AK$7,$AK$8,$AL$3)/1000</f>
        <v>192.957163654136</v>
      </c>
      <c r="BF24" s="172">
        <f>_xll.LVCELL($AK$1,BF$3,$AK24,$AL$2,$AK$4,$AK$5,$AK$6,$AK$7,$AK$8,$AL$3)/1000</f>
        <v>104.12447560000001</v>
      </c>
      <c r="BG24" s="172">
        <f>_xll.LVCELL($AK$1,BG$3,$AK24,$AL$2,$AK$4,$AK$5,$AK$6,$AK$7,$AK$8,$AL$3)/1000</f>
        <v>91.928728929999991</v>
      </c>
      <c r="BH24" s="172">
        <f>_xll.LVCELL($AK$1,BH$3,$AK24,$AL$2,$AK$4,$AK$5,$AK$6,$AK$7,$AK$8,$AL$3)/1000</f>
        <v>104.57429347999999</v>
      </c>
      <c r="BI24" s="172">
        <f>_xll.LVCELL($AK$1,BI$3,$AK24,$AL$2,$AK$4,$AK$5,$AK$6,$AK$7,$AK$8,$AL$3)/1000</f>
        <v>131.15366993999999</v>
      </c>
      <c r="BJ24" s="172">
        <f>_xll.LVCELL($AK$1,BJ$3,$AK24,$AL$2,$AK$4,$AK$5,$AK$6,$AK$7,$AK$8,$AL$3)/1000</f>
        <v>169.10480905</v>
      </c>
      <c r="BK24" s="172">
        <f>_xll.LVCELL($AK$1,BK$3,$AK24,$AL$2,$AK$4,$AK$5,$AK$6,$AK$7,$AK$8,$AL$3)/1000</f>
        <v>189.35301231</v>
      </c>
      <c r="BL24" s="172">
        <f>_xll.LVCELL($AK$1,BL$2,$AK24,$AL$2,$AK$4,$AK$5,$AK$6,$AK$7,$AK$8,$AL$3)/1000</f>
        <v>2318.9030357833681</v>
      </c>
      <c r="BM24" s="214">
        <f t="shared" si="6"/>
        <v>-549.44923402963286</v>
      </c>
      <c r="BN24" s="217">
        <f t="shared" si="7"/>
        <v>5.9569666596365742</v>
      </c>
      <c r="BO24" s="218">
        <f t="shared" si="7"/>
        <v>-555.40620068926933</v>
      </c>
      <c r="BP24" s="193">
        <f t="shared" si="8"/>
        <v>-0.19155570248889042</v>
      </c>
      <c r="BQ24" s="190" t="s">
        <v>3553</v>
      </c>
      <c r="BS24" s="198">
        <f t="shared" si="9"/>
        <v>96.903789625311191</v>
      </c>
      <c r="BT24" s="198">
        <f t="shared" si="10"/>
        <v>78.178954821441721</v>
      </c>
      <c r="BU24" s="198">
        <f t="shared" si="11"/>
        <v>-18.72483480386947</v>
      </c>
      <c r="BV24" s="199">
        <f t="shared" si="12"/>
        <v>-0.19323119226060234</v>
      </c>
      <c r="BX24" s="200">
        <f t="shared" si="17"/>
        <v>5.9569666596365742</v>
      </c>
      <c r="BY24" s="200">
        <f t="shared" si="18"/>
        <v>-555.40620068926933</v>
      </c>
      <c r="BZ24" s="200">
        <f t="shared" si="15"/>
        <v>-549.44923402963275</v>
      </c>
      <c r="CA24" s="526">
        <f t="shared" si="16"/>
        <v>0</v>
      </c>
    </row>
    <row r="25" spans="2:79">
      <c r="B25" s="64" t="str">
        <f>'1-EO_Calcul Reporting'!B25</f>
        <v>E5160</v>
      </c>
      <c r="C25" s="64" t="str">
        <f>'1-EO_Calcul Reporting'!C25</f>
        <v>E5160</v>
      </c>
      <c r="D25" s="192" t="str">
        <f>'1-EO_Calcul Reporting'!D25</f>
        <v>Chasse Marée</v>
      </c>
      <c r="E25" s="172">
        <f>_xll.LVCELL($D$1,E$3,$C25,$D$2,$C$4,$C$5,$C$6,$C$7,$C$8,$D$3)/1000</f>
        <v>2549.7370000000001</v>
      </c>
      <c r="F25" s="172">
        <f>_xll.LVCELL($D$1,F$3,$C25,$D$2,$C$4,$C$5,$C$6,$C$7,$C$8,$D$3)/1000</f>
        <v>2016.895</v>
      </c>
      <c r="G25" s="172">
        <f>_xll.LVCELL($D$1,G$3,$C25,$D$2,$C$4,$C$5,$C$6,$C$7,$C$8,$D$3)/1000</f>
        <v>1850.605</v>
      </c>
      <c r="H25" s="172">
        <f>_xll.LVCELL($D$1,H$3,$C25,$D$2,$C$4,$C$5,$C$6,$C$7,$C$8,$D$3)/1000</f>
        <v>1324.3009999999999</v>
      </c>
      <c r="I25" s="172">
        <f>_xll.LVCELL($D$1,I$3,$C25,$D$2,$C$4,$C$5,$C$6,$C$7,$C$8,$D$3)/1000</f>
        <v>1263.4739999999999</v>
      </c>
      <c r="J25" s="172">
        <f>_xll.LVCELL($D$1,J$3,$C25,$D$2,$C$4,$C$5,$C$6,$C$7,$C$8,$D$3)/1000</f>
        <v>983.09500000000003</v>
      </c>
      <c r="K25" s="172">
        <f>_xll.LVCELL($D$1,K$3,$C25,$D$2,$C$4,$C$5,$C$6,$C$7,$C$8,$D$3)/1000</f>
        <v>1017.874</v>
      </c>
      <c r="L25" s="172">
        <f>_xll.LVCELL($D$1,L$3,$C25,$D$2,$C$4,$C$5,$C$6,$C$7,$C$8,$D$3)/1000</f>
        <v>1027.9190000000001</v>
      </c>
      <c r="M25" s="172">
        <f>_xll.LVCELL($D$1,M$3,$C25,$D$2,$C$4,$C$5,$C$6,$C$7,$C$8,$D$3)/1000</f>
        <v>1246.047</v>
      </c>
      <c r="N25" s="172">
        <f>_xll.LVCELL($D$1,N$3,$C25,$D$2,$C$4,$C$5,$C$6,$C$7,$C$8,$D$3)/1000</f>
        <v>1893.798</v>
      </c>
      <c r="O25" s="172">
        <f>_xll.LVCELL($D$1,O$3,$C25,$D$2,$C$4,$C$5,$C$6,$C$7,$C$8,$D$3)/1000</f>
        <v>2010.116</v>
      </c>
      <c r="P25" s="172">
        <f>_xll.LVCELL($D$1,P$3,$C25,$D$2,$C$4,$C$5,$C$6,$C$7,$C$8,$D$3)/1000</f>
        <v>2416.1390000000001</v>
      </c>
      <c r="Q25" s="172">
        <f>_xll.LVCELL($D$1,Q$2,$C25,$D$2,$C$4,$C$5,$C$6,$C$7,$C$8,$D$3)/1000</f>
        <v>19600</v>
      </c>
      <c r="R25" s="172">
        <f>_xll.LVCELL($D$1,R$3,$C25,$D$2,$C$4,$C$5,$C$6,$C$7,$C$8,$D$3)/1000</f>
        <v>2549.7370000000001</v>
      </c>
      <c r="S25" s="172">
        <f>_xll.LVCELL($D$1,S$3,$C25,$D$2,$C$4,$C$5,$C$6,$C$7,$C$8,$D$3)/1000</f>
        <v>2016.895</v>
      </c>
      <c r="T25" s="172">
        <f>_xll.LVCELL($D$1,T$3,$C25,$D$2,$C$4,$C$5,$C$6,$C$7,$C$8,$D$3)/1000</f>
        <v>1850.605</v>
      </c>
      <c r="U25" s="172">
        <f>_xll.LVCELL($D$1,U$3,$C25,$D$2,$C$4,$C$5,$C$6,$C$7,$C$8,$D$3)/1000</f>
        <v>1324.3009999999999</v>
      </c>
      <c r="V25" s="172">
        <f>_xll.LVCELL($D$1,V$3,$C25,$D$2,$C$4,$C$5,$C$6,$C$7,$C$8,$D$3)/1000</f>
        <v>1263.4739999999999</v>
      </c>
      <c r="W25" s="172">
        <f>_xll.LVCELL($D$1,W$3,$C25,$D$2,$C$4,$C$5,$C$6,$C$7,$C$8,$D$3)/1000</f>
        <v>983.09500000000003</v>
      </c>
      <c r="X25" s="172">
        <f>_xll.LVCELL($D$1,X$3,$C25,$D$2,$C$4,$C$5,$C$6,$C$7,$C$8,$D$3)/1000</f>
        <v>1017.874</v>
      </c>
      <c r="Y25" s="172">
        <f>_xll.LVCELL($D$1,Y$3,$C25,$D$2,$C$4,$C$5,$C$6,$C$7,$C$8,$D$3)/1000</f>
        <v>1027.9190000000001</v>
      </c>
      <c r="Z25" s="172">
        <f>_xll.LVCELL($D$1,Z$3,$C25,$D$2,$C$4,$C$5,$C$6,$C$7,$C$8,$D$3)/1000</f>
        <v>1246.047</v>
      </c>
      <c r="AA25" s="172">
        <f>_xll.LVCELL($D$1,AA$3,$C25,$D$2,$C$4,$C$5,$C$6,$C$7,$C$8,$D$3)/1000</f>
        <v>1893.798</v>
      </c>
      <c r="AB25" s="172">
        <f>_xll.LVCELL($D$1,AB$3,$C25,$D$2,$C$4,$C$5,$C$6,$C$7,$C$8,$D$3)/1000</f>
        <v>2010.116</v>
      </c>
      <c r="AC25" s="172">
        <f>_xll.LVCELL($D$1,AC$3,$C25,$D$2,$C$4,$C$5,$C$6,$C$7,$C$8,$D$3)/1000</f>
        <v>2416.1390000000001</v>
      </c>
      <c r="AD25" s="172">
        <f>_xll.LVCELL($D$1,AD$2,$C25,$D$2,$C$4,$C$5,$C$6,$C$7,$C$8,$D$3)/1000</f>
        <v>19600</v>
      </c>
      <c r="AE25" s="172">
        <f t="shared" si="1"/>
        <v>0</v>
      </c>
      <c r="AF25" s="193">
        <f t="shared" si="2"/>
        <v>0</v>
      </c>
      <c r="AG25" s="535"/>
      <c r="AJ25" s="64" t="str">
        <f t="shared" si="3"/>
        <v>E5160</v>
      </c>
      <c r="AK25" s="64" t="str">
        <f t="shared" si="4"/>
        <v>E5160</v>
      </c>
      <c r="AL25" s="192" t="str">
        <f t="shared" si="5"/>
        <v>Chasse Marée</v>
      </c>
      <c r="AM25" s="172">
        <f>_xll.LVCELL($AK$1,AM$3,$AK25,$AL$2,$AK$4,$AK$5,$AK$6,$AK$7,$AK$8,$AL$3)/1000</f>
        <v>246.64880869500001</v>
      </c>
      <c r="AN25" s="172">
        <f>_xll.LVCELL($AK$1,AN$3,$AK25,$AL$2,$AK$4,$AK$5,$AK$6,$AK$7,$AK$8,$AL$3)/1000</f>
        <v>195.10433782499999</v>
      </c>
      <c r="AO25" s="172">
        <f>_xll.LVCELL($AK$1,AO$3,$AK25,$AL$2,$AK$4,$AK$5,$AK$6,$AK$7,$AK$8,$AL$3)/1000</f>
        <v>179.01827467499999</v>
      </c>
      <c r="AP25" s="172">
        <f>_xll.LVCELL($AK$1,AP$3,$AK25,$AL$2,$AK$4,$AK$5,$AK$6,$AK$7,$AK$8,$AL$3)/1000</f>
        <v>128.10625723499999</v>
      </c>
      <c r="AQ25" s="172">
        <f>_xll.LVCELL($AK$1,AQ$3,$AK25,$AL$2,$AK$4,$AK$5,$AK$6,$AK$7,$AK$8,$AL$3)/1000</f>
        <v>122.22215738999999</v>
      </c>
      <c r="AR25" s="172">
        <f>_xll.LVCELL($AK$1,AR$3,$AK25,$AL$2,$AK$4,$AK$5,$AK$6,$AK$7,$AK$8,$AL$3)/1000</f>
        <v>95.099694825</v>
      </c>
      <c r="AS25" s="172">
        <f>_xll.LVCELL($AK$1,AS$3,$AK25,$AL$2,$AK$4,$AK$5,$AK$6,$AK$7,$AK$8,$AL$3)/1000</f>
        <v>98.464041390000006</v>
      </c>
      <c r="AT25" s="172">
        <f>_xll.LVCELL($AK$1,AT$3,$AK25,$AL$2,$AK$4,$AK$5,$AK$6,$AK$7,$AK$8,$AL$3)/1000</f>
        <v>99.435744464999999</v>
      </c>
      <c r="AU25" s="172">
        <f>_xll.LVCELL($AK$1,AU$3,$AK25,$AL$2,$AK$4,$AK$5,$AK$6,$AK$7,$AK$8,$AL$3)/1000</f>
        <v>120.536356545</v>
      </c>
      <c r="AV25" s="172">
        <f>_xll.LVCELL($AK$1,AV$3,$AK25,$AL$2,$AK$4,$AK$5,$AK$6,$AK$7,$AK$8,$AL$3)/1000</f>
        <v>183.19654953</v>
      </c>
      <c r="AW25" s="172">
        <f>_xll.LVCELL($AK$1,AW$3,$AK25,$AL$2,$AK$4,$AK$5,$AK$6,$AK$7,$AK$8,$AL$3)/1000</f>
        <v>195.22648615200001</v>
      </c>
      <c r="AX25" s="172">
        <f>_xll.LVCELL($AK$1,AX$3,$AK25,$AL$2,$AK$4,$AK$5,$AK$6,$AK$7,$AK$8,$AL$3)/1000</f>
        <v>234.660251958</v>
      </c>
      <c r="AY25" s="172">
        <f>_xll.LVCELL($AK$1,AY$2,$AK25,$AL$2,$AK$4,$AK$5,$AK$6,$AK$7,$AK$8,$AL$3)/1000</f>
        <v>1897.718960685</v>
      </c>
      <c r="AZ25" s="172">
        <f>_xll.LVCELL($AK$1,AZ$3,$AK25,$AL$2,$AK$4,$AK$5,$AK$6,$AK$7,$AK$8,$AL$3)/1000</f>
        <v>251.48821207073701</v>
      </c>
      <c r="BA25" s="172">
        <f>_xll.LVCELL($AK$1,BA$3,$AK25,$AL$2,$AK$4,$AK$5,$AK$6,$AK$7,$AK$8,$AL$3)/1000</f>
        <v>198.93240655189499</v>
      </c>
      <c r="BB25" s="172">
        <f>_xll.LVCELL($AK$1,BB$3,$AK25,$AL$2,$AK$4,$AK$5,$AK$6,$AK$7,$AK$8,$AL$3)/1000</f>
        <v>182.530724815605</v>
      </c>
      <c r="BC25" s="172">
        <f>_xll.LVCELL($AK$1,BC$3,$AK25,$AL$2,$AK$4,$AK$5,$AK$6,$AK$7,$AK$8,$AL$3)/1000</f>
        <v>130.61978185730101</v>
      </c>
      <c r="BD25" s="172">
        <f>_xll.LVCELL($AK$1,BD$3,$AK25,$AL$2,$AK$4,$AK$5,$AK$6,$AK$7,$AK$8,$AL$3)/1000</f>
        <v>124.62023230547399</v>
      </c>
      <c r="BE25" s="172">
        <f>_xll.LVCELL($AK$1,BE$3,$AK25,$AL$2,$AK$4,$AK$5,$AK$6,$AK$7,$AK$8,$AL$3)/1000</f>
        <v>96.965610118095</v>
      </c>
      <c r="BF25" s="172">
        <f>_xll.LVCELL($AK$1,BF$3,$AK25,$AL$2,$AK$4,$AK$5,$AK$6,$AK$7,$AK$8,$AL$3)/1000</f>
        <v>100.395967259874</v>
      </c>
      <c r="BG25" s="172">
        <f>_xll.LVCELL($AK$1,BG$3,$AK25,$AL$2,$AK$4,$AK$5,$AK$6,$AK$7,$AK$8,$AL$3)/1000</f>
        <v>101.386735754919</v>
      </c>
      <c r="BH25" s="172">
        <f>_xll.LVCELL($AK$1,BH$3,$AK25,$AL$2,$AK$4,$AK$5,$AK$6,$AK$7,$AK$8,$AL$3)/1000</f>
        <v>122.90135499704701</v>
      </c>
      <c r="BI25" s="172">
        <f>_xll.LVCELL($AK$1,BI$3,$AK25,$AL$2,$AK$4,$AK$5,$AK$6,$AK$7,$AK$8,$AL$3)/1000</f>
        <v>186.79098002779801</v>
      </c>
      <c r="BJ25" s="172">
        <f>_xll.LVCELL($AK$1,BJ$3,$AK25,$AL$2,$AK$4,$AK$5,$AK$6,$AK$7,$AK$8,$AL$3)/1000</f>
        <v>202.82384018095999</v>
      </c>
      <c r="BK25" s="172">
        <f>_xll.LVCELL($AK$1,BK$3,$AK25,$AL$2,$AK$4,$AK$5,$AK$6,$AK$7,$AK$8,$AL$3)/1000</f>
        <v>243.79219427683998</v>
      </c>
      <c r="BL25" s="172">
        <f>_xll.LVCELL($AK$1,BL$2,$AK25,$AL$2,$AK$4,$AK$5,$AK$6,$AK$7,$AK$8,$AL$3)/1000</f>
        <v>1943.2480402165452</v>
      </c>
      <c r="BM25" s="214">
        <f t="shared" si="6"/>
        <v>45.529079531545221</v>
      </c>
      <c r="BN25" s="217">
        <f t="shared" si="7"/>
        <v>0</v>
      </c>
      <c r="BO25" s="218">
        <f t="shared" si="7"/>
        <v>45.529079531545321</v>
      </c>
      <c r="BP25" s="193">
        <f t="shared" si="8"/>
        <v>2.3991476332781758E-2</v>
      </c>
      <c r="BQ25" s="190"/>
      <c r="BS25" s="198">
        <f t="shared" si="9"/>
        <v>96.822395953316317</v>
      </c>
      <c r="BT25" s="198">
        <f t="shared" si="10"/>
        <v>99.145308174313527</v>
      </c>
      <c r="BU25" s="198">
        <f t="shared" si="11"/>
        <v>2.3229122209972104</v>
      </c>
      <c r="BV25" s="199">
        <f t="shared" si="12"/>
        <v>2.3991476332781734E-2</v>
      </c>
      <c r="BX25" s="200">
        <f t="shared" si="17"/>
        <v>0</v>
      </c>
      <c r="BY25" s="200">
        <f t="shared" si="18"/>
        <v>45.529079531545321</v>
      </c>
      <c r="BZ25" s="200">
        <f t="shared" si="15"/>
        <v>45.529079531545321</v>
      </c>
      <c r="CA25" s="526">
        <f t="shared" si="16"/>
        <v>-9.9475983006414026E-14</v>
      </c>
    </row>
    <row r="26" spans="2:79">
      <c r="B26" s="64" t="s">
        <v>427</v>
      </c>
      <c r="C26" s="64" t="s">
        <v>427</v>
      </c>
      <c r="D26" s="192" t="s">
        <v>2631</v>
      </c>
      <c r="E26" s="172">
        <f>_xll.LVCELL($D$1,E$3,$C26,$D$2,$C$4,$C$5,$C$6,$C$7,$C$8,$D$3)/1000</f>
        <v>7908.3689999999997</v>
      </c>
      <c r="F26" s="172">
        <f>_xll.LVCELL($D$1,F$3,$C26,$D$2,$C$4,$C$5,$C$6,$C$7,$C$8,$D$3)/1000</f>
        <v>6466.4369999999999</v>
      </c>
      <c r="G26" s="172">
        <f>_xll.LVCELL($D$1,G$3,$C26,$D$2,$C$4,$C$5,$C$6,$C$7,$C$8,$D$3)/1000</f>
        <v>6076.7790000000005</v>
      </c>
      <c r="H26" s="172">
        <f>_xll.LVCELL($D$1,H$3,$C26,$D$2,$C$4,$C$5,$C$6,$C$7,$C$8,$D$3)/1000</f>
        <v>4628.9650000000001</v>
      </c>
      <c r="I26" s="172">
        <f>_xll.LVCELL($D$1,I$3,$C26,$D$2,$C$4,$C$5,$C$6,$C$7,$C$8,$D$3)/1000</f>
        <v>4434.05</v>
      </c>
      <c r="J26" s="172">
        <f>_xll.LVCELL($D$1,J$3,$C26,$D$2,$C$4,$C$5,$C$6,$C$7,$C$8,$D$3)/1000</f>
        <v>3335.7939999999999</v>
      </c>
      <c r="K26" s="172">
        <f>_xll.LVCELL($D$1,K$3,$C26,$D$2,$C$4,$C$5,$C$6,$C$7,$C$8,$D$3)/1000</f>
        <v>3261.69</v>
      </c>
      <c r="L26" s="172">
        <f>_xll.LVCELL($D$1,L$3,$C26,$D$2,$C$4,$C$5,$C$6,$C$7,$C$8,$D$3)/1000</f>
        <v>3252.7809999999999</v>
      </c>
      <c r="M26" s="172">
        <f>_xll.LVCELL($D$1,M$3,$C26,$D$2,$C$4,$C$5,$C$6,$C$7,$C$8,$D$3)/1000</f>
        <v>4104.799</v>
      </c>
      <c r="N26" s="172">
        <f>_xll.LVCELL($D$1,N$3,$C26,$D$2,$C$4,$C$5,$C$6,$C$7,$C$8,$D$3)/1000</f>
        <v>6144.4840000000004</v>
      </c>
      <c r="O26" s="172">
        <f>_xll.LVCELL($D$1,O$3,$C26,$D$2,$C$4,$C$5,$C$6,$C$7,$C$8,$D$3)/1000</f>
        <v>6292.8450000000003</v>
      </c>
      <c r="P26" s="172">
        <f>_xll.LVCELL($D$1,P$3,$C26,$D$2,$C$4,$C$5,$C$6,$C$7,$C$8,$D$3)/1000</f>
        <v>7593.0079999999998</v>
      </c>
      <c r="Q26" s="172">
        <f>_xll.LVCELL($D$1,Q$2,$C26,$D$2,$C$4,$C$5,$C$6,$C$7,$C$8,$D$3)/1000</f>
        <v>63500.000999999997</v>
      </c>
      <c r="R26" s="172">
        <f>_xll.LVCELL($D$1,R$3,$C26,$D$2,$C$4,$C$5,$C$6,$C$7,$C$8,$D$3)/1000</f>
        <v>7827.6049999999996</v>
      </c>
      <c r="S26" s="172">
        <f>_xll.LVCELL($D$1,S$3,$C26,$D$2,$C$4,$C$5,$C$6,$C$7,$C$8,$D$3)/1000</f>
        <v>6400.3980000000001</v>
      </c>
      <c r="T26" s="172">
        <f>_xll.LVCELL($D$1,T$3,$C26,$D$2,$C$4,$C$5,$C$6,$C$7,$C$8,$D$3)/1000</f>
        <v>6014.72</v>
      </c>
      <c r="U26" s="172">
        <f>_xll.LVCELL($D$1,U$3,$C26,$D$2,$C$4,$C$5,$C$6,$C$7,$C$8,$D$3)/1000</f>
        <v>4581.6909999999998</v>
      </c>
      <c r="V26" s="172">
        <f>_xll.LVCELL($D$1,V$3,$C26,$D$2,$C$4,$C$5,$C$6,$C$7,$C$8,$D$3)/1000</f>
        <v>4388.7669999999998</v>
      </c>
      <c r="W26" s="172">
        <f>_xll.LVCELL($D$1,W$3,$C26,$D$2,$C$4,$C$5,$C$6,$C$7,$C$8,$D$3)/1000</f>
        <v>3301.7269999999999</v>
      </c>
      <c r="X26" s="172">
        <f>_xll.LVCELL($D$1,X$3,$C26,$D$2,$C$4,$C$5,$C$6,$C$7,$C$8,$D$3)/1000</f>
        <v>3228.38</v>
      </c>
      <c r="Y26" s="172">
        <f>_xll.LVCELL($D$1,Y$3,$C26,$D$2,$C$4,$C$5,$C$6,$C$7,$C$8,$D$3)/1000</f>
        <v>3219.5619999999999</v>
      </c>
      <c r="Z26" s="172">
        <f>_xll.LVCELL($D$1,Z$3,$C26,$D$2,$C$4,$C$5,$C$6,$C$7,$C$8,$D$3)/1000</f>
        <v>4062.8789999999999</v>
      </c>
      <c r="AA26" s="172">
        <f>_xll.LVCELL($D$1,AA$3,$C26,$D$2,$C$4,$C$5,$C$6,$C$7,$C$8,$D$3)/1000</f>
        <v>6081.7330000000002</v>
      </c>
      <c r="AB26" s="172">
        <f>_xll.LVCELL($D$1,AB$3,$C26,$D$2,$C$4,$C$5,$C$6,$C$7,$C$8,$D$3)/1000</f>
        <v>6228.5789999999997</v>
      </c>
      <c r="AC26" s="172">
        <f>_xll.LVCELL($D$1,AC$3,$C26,$D$2,$C$4,$C$5,$C$6,$C$7,$C$8,$D$3)/1000</f>
        <v>7515.4639999999999</v>
      </c>
      <c r="AD26" s="172">
        <f>_xll.LVCELL($D$1,AD$2,$C26,$D$2,$C$4,$C$5,$C$6,$C$7,$C$8,$D$3)/1000</f>
        <v>62851.504999999997</v>
      </c>
      <c r="AE26" s="172">
        <f t="shared" si="1"/>
        <v>-648.49599999999919</v>
      </c>
      <c r="AF26" s="193">
        <f t="shared" si="2"/>
        <v>-1.0212535272243528E-2</v>
      </c>
      <c r="AG26" s="535"/>
      <c r="AJ26" s="64" t="str">
        <f t="shared" si="3"/>
        <v>E5170</v>
      </c>
      <c r="AK26" s="64" t="str">
        <f t="shared" si="4"/>
        <v>E5170</v>
      </c>
      <c r="AL26" s="192" t="str">
        <f t="shared" si="5"/>
        <v>Ronchois 1/2/3</v>
      </c>
      <c r="AM26" s="172">
        <f>_xll.LVCELL($AK$1,AM$3,$AK26,$AL$2,$AK$4,$AK$5,$AK$6,$AK$7,$AK$8,$AL$3)/1000</f>
        <v>765.7673702699999</v>
      </c>
      <c r="AN26" s="172">
        <f>_xll.LVCELL($AK$1,AN$3,$AK26,$AL$2,$AK$4,$AK$5,$AK$6,$AK$7,$AK$8,$AL$3)/1000</f>
        <v>626.14509470999997</v>
      </c>
      <c r="AO26" s="172">
        <f>_xll.LVCELL($AK$1,AO$3,$AK26,$AL$2,$AK$4,$AK$5,$AK$6,$AK$7,$AK$8,$AL$3)/1000</f>
        <v>588.41451057000006</v>
      </c>
      <c r="AP26" s="172">
        <f>_xll.LVCELL($AK$1,AP$3,$AK26,$AL$2,$AK$4,$AK$5,$AK$6,$AK$7,$AK$8,$AL$3)/1000</f>
        <v>448.22268094999998</v>
      </c>
      <c r="AQ26" s="172">
        <f>_xll.LVCELL($AK$1,AQ$3,$AK26,$AL$2,$AK$4,$AK$5,$AK$6,$AK$7,$AK$8,$AL$3)/1000</f>
        <v>429.3490615</v>
      </c>
      <c r="AR26" s="172">
        <f>_xll.LVCELL($AK$1,AR$3,$AK26,$AL$2,$AK$4,$AK$5,$AK$6,$AK$7,$AK$8,$AL$3)/1000</f>
        <v>323.00493302000001</v>
      </c>
      <c r="AS26" s="172">
        <f>_xll.LVCELL($AK$1,AS$3,$AK26,$AL$2,$AK$4,$AK$5,$AK$6,$AK$7,$AK$8,$AL$3)/1000</f>
        <v>315.82944270000002</v>
      </c>
      <c r="AT26" s="172">
        <f>_xll.LVCELL($AK$1,AT$3,$AK26,$AL$2,$AK$4,$AK$5,$AK$6,$AK$7,$AK$8,$AL$3)/1000</f>
        <v>314.96678422999997</v>
      </c>
      <c r="AU26" s="172">
        <f>_xll.LVCELL($AK$1,AU$3,$AK26,$AL$2,$AK$4,$AK$5,$AK$6,$AK$7,$AK$8,$AL$3)/1000</f>
        <v>397.46768716999998</v>
      </c>
      <c r="AV26" s="172">
        <f>_xll.LVCELL($AK$1,AV$3,$AK26,$AL$2,$AK$4,$AK$5,$AK$6,$AK$7,$AK$8,$AL$3)/1000</f>
        <v>594.97038571999997</v>
      </c>
      <c r="AW26" s="172">
        <f>_xll.LVCELL($AK$1,AW$3,$AK26,$AL$2,$AK$4,$AK$5,$AK$6,$AK$7,$AK$8,$AL$3)/1000</f>
        <v>611.77151236499992</v>
      </c>
      <c r="AX26" s="172">
        <f>_xll.LVCELL($AK$1,AX$3,$AK26,$AL$2,$AK$4,$AK$5,$AK$6,$AK$7,$AK$8,$AL$3)/1000</f>
        <v>738.16945873600002</v>
      </c>
      <c r="AY26" s="172">
        <f>_xll.LVCELL($AK$1,AY$2,$AK26,$AL$2,$AK$4,$AK$5,$AK$6,$AK$7,$AK$8,$AL$3)/1000</f>
        <v>6154.0789219409999</v>
      </c>
      <c r="AZ26" s="172">
        <f>_xll.LVCELL($AK$1,AZ$3,$AK26,$AL$2,$AK$4,$AK$5,$AK$6,$AK$7,$AK$8,$AL$3)/1000</f>
        <v>772.95401383515991</v>
      </c>
      <c r="BA26" s="172">
        <f>_xll.LVCELL($AK$1,BA$3,$AK26,$AL$2,$AK$4,$AK$5,$AK$6,$AK$7,$AK$8,$AL$3)/1000</f>
        <v>632.02133018241602</v>
      </c>
      <c r="BB26" s="172">
        <f>_xll.LVCELL($AK$1,BB$3,$AK26,$AL$2,$AK$4,$AK$5,$AK$6,$AK$7,$AK$8,$AL$3)/1000</f>
        <v>593.93671066623995</v>
      </c>
      <c r="BC26" s="172">
        <f>_xll.LVCELL($AK$1,BC$3,$AK26,$AL$2,$AK$4,$AK$5,$AK$6,$AK$7,$AK$8,$AL$3)/1000</f>
        <v>452.429120861672</v>
      </c>
      <c r="BD26" s="172">
        <f>_xll.LVCELL($AK$1,BD$3,$AK26,$AL$2,$AK$4,$AK$5,$AK$6,$AK$7,$AK$8,$AL$3)/1000</f>
        <v>433.37841759226399</v>
      </c>
      <c r="BE26" s="172">
        <f>_xll.LVCELL($AK$1,BE$3,$AK26,$AL$2,$AK$4,$AK$5,$AK$6,$AK$7,$AK$8,$AL$3)/1000</f>
        <v>326.03627000058401</v>
      </c>
      <c r="BF26" s="172">
        <f>_xll.LVCELL($AK$1,BF$3,$AK26,$AL$2,$AK$4,$AK$5,$AK$6,$AK$7,$AK$8,$AL$3)/1000</f>
        <v>318.79345970896003</v>
      </c>
      <c r="BG26" s="172">
        <f>_xll.LVCELL($AK$1,BG$3,$AK26,$AL$2,$AK$4,$AK$5,$AK$6,$AK$7,$AK$8,$AL$3)/1000</f>
        <v>317.92270696990403</v>
      </c>
      <c r="BH26" s="172">
        <f>_xll.LVCELL($AK$1,BH$3,$AK26,$AL$2,$AK$4,$AK$5,$AK$6,$AK$7,$AK$8,$AL$3)/1000</f>
        <v>401.19789268576801</v>
      </c>
      <c r="BI26" s="172">
        <f>_xll.LVCELL($AK$1,BI$3,$AK26,$AL$2,$AK$4,$AK$5,$AK$6,$AK$7,$AK$8,$AL$3)/1000</f>
        <v>600.554056243736</v>
      </c>
      <c r="BJ26" s="172">
        <f>_xll.LVCELL($AK$1,BJ$3,$AK26,$AL$2,$AK$4,$AK$5,$AK$6,$AK$7,$AK$8,$AL$3)/1000</f>
        <v>629.20094782486194</v>
      </c>
      <c r="BK26" s="172">
        <f>_xll.LVCELL($AK$1,BK$3,$AK26,$AL$2,$AK$4,$AK$5,$AK$6,$AK$7,$AK$8,$AL$3)/1000</f>
        <v>759.19998319739193</v>
      </c>
      <c r="BL26" s="172">
        <f>_xll.LVCELL($AK$1,BL$2,$AK26,$AL$2,$AK$4,$AK$5,$AK$6,$AK$7,$AK$8,$AL$3)/1000</f>
        <v>6237.6249097689606</v>
      </c>
      <c r="BM26" s="214">
        <f t="shared" si="6"/>
        <v>83.545987827960744</v>
      </c>
      <c r="BN26" s="217">
        <f t="shared" si="7"/>
        <v>-62.848748058492873</v>
      </c>
      <c r="BO26" s="218">
        <f t="shared" si="7"/>
        <v>146.3947358864545</v>
      </c>
      <c r="BP26" s="193">
        <f t="shared" si="8"/>
        <v>1.3575709523336865E-2</v>
      </c>
      <c r="BQ26" s="190" t="s">
        <v>3551</v>
      </c>
      <c r="BR26" s="756"/>
      <c r="BS26" s="198">
        <f t="shared" si="9"/>
        <v>96.914627165769645</v>
      </c>
      <c r="BT26" s="198">
        <f t="shared" si="10"/>
        <v>99.243843242400658</v>
      </c>
      <c r="BU26" s="198">
        <f t="shared" si="11"/>
        <v>2.3292160766310133</v>
      </c>
      <c r="BV26" s="199">
        <f t="shared" si="12"/>
        <v>2.4033689699357322E-2</v>
      </c>
      <c r="BX26" s="200">
        <f t="shared" si="17"/>
        <v>-62.848748058492873</v>
      </c>
      <c r="BY26" s="200">
        <f t="shared" si="18"/>
        <v>146.3947358864545</v>
      </c>
      <c r="BZ26" s="200">
        <f t="shared" si="15"/>
        <v>83.545987827961625</v>
      </c>
      <c r="CA26" s="526">
        <f t="shared" si="16"/>
        <v>-8.8107299234252423E-13</v>
      </c>
    </row>
    <row r="27" spans="2:79">
      <c r="B27" s="64" t="str">
        <f>'1-EO_Calcul Reporting'!B29</f>
        <v>E5180</v>
      </c>
      <c r="C27" s="64" t="str">
        <f>'1-EO_Calcul Reporting'!C29</f>
        <v>E5180</v>
      </c>
      <c r="D27" s="192" t="str">
        <f>'1-EO_Calcul Reporting'!D29</f>
        <v>Le Grand Camp</v>
      </c>
      <c r="E27" s="172">
        <f>_xll.LVCELL($D$1,E$3,$C27,$D$2,$C$4,$C$5,$C$6,$C$7,$C$8,$D$3)/1000</f>
        <v>2861.8040000000001</v>
      </c>
      <c r="F27" s="172">
        <f>_xll.LVCELL($D$1,F$3,$C27,$D$2,$C$4,$C$5,$C$6,$C$7,$C$8,$D$3)/1000</f>
        <v>2434.63</v>
      </c>
      <c r="G27" s="172">
        <f>_xll.LVCELL($D$1,G$3,$C27,$D$2,$C$4,$C$5,$C$6,$C$7,$C$8,$D$3)/1000</f>
        <v>2334.1060000000002</v>
      </c>
      <c r="H27" s="172">
        <f>_xll.LVCELL($D$1,H$3,$C27,$D$2,$C$4,$C$5,$C$6,$C$7,$C$8,$D$3)/1000</f>
        <v>1939.201</v>
      </c>
      <c r="I27" s="172">
        <f>_xll.LVCELL($D$1,I$3,$C27,$D$2,$C$4,$C$5,$C$6,$C$7,$C$8,$D$3)/1000</f>
        <v>1782.4549999999999</v>
      </c>
      <c r="J27" s="172">
        <f>_xll.LVCELL($D$1,J$3,$C27,$D$2,$C$4,$C$5,$C$6,$C$7,$C$8,$D$3)/1000</f>
        <v>1377.95</v>
      </c>
      <c r="K27" s="172">
        <f>_xll.LVCELL($D$1,K$3,$C27,$D$2,$C$4,$C$5,$C$6,$C$7,$C$8,$D$3)/1000</f>
        <v>1368.7170000000001</v>
      </c>
      <c r="L27" s="172">
        <f>_xll.LVCELL($D$1,L$3,$C27,$D$2,$C$4,$C$5,$C$6,$C$7,$C$8,$D$3)/1000</f>
        <v>1258.3869999999999</v>
      </c>
      <c r="M27" s="172">
        <f>_xll.LVCELL($D$1,M$3,$C27,$D$2,$C$4,$C$5,$C$6,$C$7,$C$8,$D$3)/1000</f>
        <v>1616.078</v>
      </c>
      <c r="N27" s="172">
        <f>_xll.LVCELL($D$1,N$3,$C27,$D$2,$C$4,$C$5,$C$6,$C$7,$C$8,$D$3)/1000</f>
        <v>2211.4360000000001</v>
      </c>
      <c r="O27" s="172">
        <f>_xll.LVCELL($D$1,O$3,$C27,$D$2,$C$4,$C$5,$C$6,$C$7,$C$8,$D$3)/1000</f>
        <v>2316.413</v>
      </c>
      <c r="P27" s="172">
        <f>_xll.LVCELL($D$1,P$3,$C27,$D$2,$C$4,$C$5,$C$6,$C$7,$C$8,$D$3)/1000</f>
        <v>2898.8220000000001</v>
      </c>
      <c r="Q27" s="172">
        <f>_xll.LVCELL($D$1,Q$2,$C27,$D$2,$C$4,$C$5,$C$6,$C$7,$C$8,$D$3)/1000</f>
        <v>24399.999</v>
      </c>
      <c r="R27" s="172">
        <f>_xll.LVCELL($D$1,R$3,$C27,$D$2,$C$4,$C$5,$C$6,$C$7,$C$8,$D$3)/1000</f>
        <v>2857.7289999999998</v>
      </c>
      <c r="S27" s="172">
        <f>_xll.LVCELL($D$1,S$3,$C27,$D$2,$C$4,$C$5,$C$6,$C$7,$C$8,$D$3)/1000</f>
        <v>2431.163</v>
      </c>
      <c r="T27" s="172">
        <f>_xll.LVCELL($D$1,T$3,$C27,$D$2,$C$4,$C$5,$C$6,$C$7,$C$8,$D$3)/1000</f>
        <v>2330.7829999999999</v>
      </c>
      <c r="U27" s="172">
        <f>_xll.LVCELL($D$1,U$3,$C27,$D$2,$C$4,$C$5,$C$6,$C$7,$C$8,$D$3)/1000</f>
        <v>1936.44</v>
      </c>
      <c r="V27" s="172">
        <f>_xll.LVCELL($D$1,V$3,$C27,$D$2,$C$4,$C$5,$C$6,$C$7,$C$8,$D$3)/1000</f>
        <v>1779.9169999999999</v>
      </c>
      <c r="W27" s="172">
        <f>_xll.LVCELL($D$1,W$3,$C27,$D$2,$C$4,$C$5,$C$6,$C$7,$C$8,$D$3)/1000</f>
        <v>1375.9880000000001</v>
      </c>
      <c r="X27" s="172">
        <f>_xll.LVCELL($D$1,X$3,$C27,$D$2,$C$4,$C$5,$C$6,$C$7,$C$8,$D$3)/1000</f>
        <v>1366.768</v>
      </c>
      <c r="Y27" s="172">
        <f>_xll.LVCELL($D$1,Y$3,$C27,$D$2,$C$4,$C$5,$C$6,$C$7,$C$8,$D$3)/1000</f>
        <v>1256.595</v>
      </c>
      <c r="Z27" s="172">
        <f>_xll.LVCELL($D$1,Z$3,$C27,$D$2,$C$4,$C$5,$C$6,$C$7,$C$8,$D$3)/1000</f>
        <v>1613.777</v>
      </c>
      <c r="AA27" s="172">
        <f>_xll.LVCELL($D$1,AA$3,$C27,$D$2,$C$4,$C$5,$C$6,$C$7,$C$8,$D$3)/1000</f>
        <v>2208.288</v>
      </c>
      <c r="AB27" s="172">
        <f>_xll.LVCELL($D$1,AB$3,$C27,$D$2,$C$4,$C$5,$C$6,$C$7,$C$8,$D$3)/1000</f>
        <v>2313.114</v>
      </c>
      <c r="AC27" s="172">
        <f>_xll.LVCELL($D$1,AC$3,$C27,$D$2,$C$4,$C$5,$C$6,$C$7,$C$8,$D$3)/1000</f>
        <v>2894.6950000000002</v>
      </c>
      <c r="AD27" s="172">
        <f>_xll.LVCELL($D$1,AD$2,$C27,$D$2,$C$4,$C$5,$C$6,$C$7,$C$8,$D$3)/1000</f>
        <v>24365.257000000001</v>
      </c>
      <c r="AE27" s="172">
        <f t="shared" si="1"/>
        <v>-34.74199999999837</v>
      </c>
      <c r="AF27" s="193">
        <f t="shared" si="2"/>
        <v>-1.4238525173709826E-3</v>
      </c>
      <c r="AG27" s="535"/>
      <c r="AJ27" s="64" t="str">
        <f t="shared" si="3"/>
        <v>E5180</v>
      </c>
      <c r="AK27" s="64" t="str">
        <f t="shared" si="4"/>
        <v>E5180</v>
      </c>
      <c r="AL27" s="192" t="str">
        <f t="shared" si="5"/>
        <v>Le Grand Camp</v>
      </c>
      <c r="AM27" s="172">
        <f>_xll.LVCELL($AK$1,AM$3,$AK27,$AL$2,$AK$4,$AK$5,$AK$6,$AK$7,$AK$8,$AL$3)/1000</f>
        <v>276.85091896</v>
      </c>
      <c r="AN27" s="172">
        <f>_xll.LVCELL($AK$1,AN$3,$AK27,$AL$2,$AK$4,$AK$5,$AK$6,$AK$7,$AK$8,$AL$3)/1000</f>
        <v>235.52610620000002</v>
      </c>
      <c r="AO27" s="172">
        <f>_xll.LVCELL($AK$1,AO$3,$AK27,$AL$2,$AK$4,$AK$5,$AK$6,$AK$7,$AK$8,$AL$3)/1000</f>
        <v>225.78974391</v>
      </c>
      <c r="AP27" s="172">
        <f>_xll.LVCELL($AK$1,AP$3,$AK27,$AL$2,$AK$4,$AK$5,$AK$6,$AK$7,$AK$8,$AL$3)/1000</f>
        <v>187.58860873499998</v>
      </c>
      <c r="AQ27" s="172">
        <f>_xll.LVCELL($AK$1,AQ$3,$AK27,$AL$2,$AK$4,$AK$5,$AK$6,$AK$7,$AK$8,$AL$3)/1000</f>
        <v>172.42578442499999</v>
      </c>
      <c r="AR27" s="172">
        <f>_xll.LVCELL($AK$1,AR$3,$AK27,$AL$2,$AK$4,$AK$5,$AK$6,$AK$7,$AK$8,$AL$3)/1000</f>
        <v>133.29599325000001</v>
      </c>
      <c r="AS27" s="172">
        <f>_xll.LVCELL($AK$1,AS$3,$AK27,$AL$2,$AK$4,$AK$5,$AK$6,$AK$7,$AK$8,$AL$3)/1000</f>
        <v>132.402838995</v>
      </c>
      <c r="AT27" s="172">
        <f>_xll.LVCELL($AK$1,AT$3,$AK27,$AL$2,$AK$4,$AK$5,$AK$6,$AK$7,$AK$8,$AL$3)/1000</f>
        <v>121.73006644500001</v>
      </c>
      <c r="AU27" s="172">
        <f>_xll.LVCELL($AK$1,AU$3,$AK27,$AL$2,$AK$4,$AK$5,$AK$6,$AK$7,$AK$8,$AL$3)/1000</f>
        <v>156.33130532999999</v>
      </c>
      <c r="AV27" s="172">
        <f>_xll.LVCELL($AK$1,AV$3,$AK27,$AL$2,$AK$4,$AK$5,$AK$6,$AK$7,$AK$8,$AL$3)/1000</f>
        <v>213.92326146000002</v>
      </c>
      <c r="AW27" s="172">
        <f>_xll.LVCELL($AK$1,AW$3,$AK27,$AL$2,$AK$4,$AK$5,$AK$6,$AK$7,$AK$8,$AL$3)/1000</f>
        <v>224.974663386</v>
      </c>
      <c r="AX27" s="172">
        <f>_xll.LVCELL($AK$1,AX$3,$AK27,$AL$2,$AK$4,$AK$5,$AK$6,$AK$7,$AK$8,$AL$3)/1000</f>
        <v>281.53939028400004</v>
      </c>
      <c r="AY27" s="172">
        <f>_xll.LVCELL($AK$1,AY$2,$AK27,$AL$2,$AK$4,$AK$5,$AK$6,$AK$7,$AK$8,$AL$3)/1000</f>
        <v>2362.3786813799998</v>
      </c>
      <c r="AZ27" s="172">
        <f>_xll.LVCELL($AK$1,AZ$3,$AK27,$AL$2,$AK$4,$AK$5,$AK$6,$AK$7,$AK$8,$AL$3)/1000</f>
        <v>281.912885423288</v>
      </c>
      <c r="BA27" s="172">
        <f>_xll.LVCELL($AK$1,BA$3,$AK27,$AL$2,$AK$4,$AK$5,$AK$6,$AK$7,$AK$8,$AL$3)/1000</f>
        <v>239.83246006333601</v>
      </c>
      <c r="BB27" s="172">
        <f>_xll.LVCELL($AK$1,BB$3,$AK27,$AL$2,$AK$4,$AK$5,$AK$6,$AK$7,$AK$8,$AL$3)/1000</f>
        <v>229.93004613997601</v>
      </c>
      <c r="BC27" s="172">
        <f>_xll.LVCELL($AK$1,BC$3,$AK27,$AL$2,$AK$4,$AK$5,$AK$6,$AK$7,$AK$8,$AL$3)/1000</f>
        <v>191.02839627167998</v>
      </c>
      <c r="BD27" s="172">
        <f>_xll.LVCELL($AK$1,BD$3,$AK27,$AL$2,$AK$4,$AK$5,$AK$6,$AK$7,$AK$8,$AL$3)/1000</f>
        <v>175.587516270424</v>
      </c>
      <c r="BE27" s="172">
        <f>_xll.LVCELL($AK$1,BE$3,$AK27,$AL$2,$AK$4,$AK$5,$AK$6,$AK$7,$AK$8,$AL$3)/1000</f>
        <v>135.740214480736</v>
      </c>
      <c r="BF27" s="172">
        <f>_xll.LVCELL($AK$1,BF$3,$AK27,$AL$2,$AK$4,$AK$5,$AK$6,$AK$7,$AK$8,$AL$3)/1000</f>
        <v>134.83066819289601</v>
      </c>
      <c r="BG27" s="172">
        <f>_xll.LVCELL($AK$1,BG$3,$AK27,$AL$2,$AK$4,$AK$5,$AK$6,$AK$7,$AK$8,$AL$3)/1000</f>
        <v>123.96218194884001</v>
      </c>
      <c r="BH27" s="172">
        <f>_xll.LVCELL($AK$1,BH$3,$AK27,$AL$2,$AK$4,$AK$5,$AK$6,$AK$7,$AK$8,$AL$3)/1000</f>
        <v>159.19792622034399</v>
      </c>
      <c r="BI27" s="172">
        <f>_xll.LVCELL($AK$1,BI$3,$AK27,$AL$2,$AK$4,$AK$5,$AK$6,$AK$7,$AK$8,$AL$3)/1000</f>
        <v>217.84600356633601</v>
      </c>
      <c r="BJ27" s="172">
        <f>_xll.LVCELL($AK$1,BJ$3,$AK27,$AL$2,$AK$4,$AK$5,$AK$6,$AK$7,$AK$8,$AL$3)/1000</f>
        <v>233.435315153484</v>
      </c>
      <c r="BK27" s="172">
        <f>_xll.LVCELL($AK$1,BK$3,$AK27,$AL$2,$AK$4,$AK$5,$AK$6,$AK$7,$AK$8,$AL$3)/1000</f>
        <v>292.12742631716998</v>
      </c>
      <c r="BL27" s="172">
        <f>_xll.LVCELL($AK$1,BL$2,$AK27,$AL$2,$AK$4,$AK$5,$AK$6,$AK$7,$AK$8,$AL$3)/1000</f>
        <v>2415.4310400485097</v>
      </c>
      <c r="BM27" s="214">
        <f t="shared" si="6"/>
        <v>53.052358668509896</v>
      </c>
      <c r="BN27" s="217">
        <f t="shared" si="7"/>
        <v>-3.3636788324663502</v>
      </c>
      <c r="BO27" s="218">
        <f t="shared" si="7"/>
        <v>56.416037500976195</v>
      </c>
      <c r="BP27" s="193">
        <f t="shared" si="8"/>
        <v>2.2457178049676285E-2</v>
      </c>
      <c r="BQ27" s="190"/>
      <c r="BS27" s="198">
        <f t="shared" si="9"/>
        <v>96.818802385196818</v>
      </c>
      <c r="BT27" s="198">
        <f t="shared" si="10"/>
        <v>99.134231994700883</v>
      </c>
      <c r="BU27" s="198">
        <f t="shared" si="11"/>
        <v>2.315429609504065</v>
      </c>
      <c r="BV27" s="199">
        <f t="shared" si="12"/>
        <v>2.3915082116922406E-2</v>
      </c>
      <c r="BX27" s="200">
        <f t="shared" si="17"/>
        <v>-3.3636788324663502</v>
      </c>
      <c r="BY27" s="200">
        <f t="shared" si="18"/>
        <v>56.416037500976195</v>
      </c>
      <c r="BZ27" s="200">
        <f t="shared" si="15"/>
        <v>53.052358668509846</v>
      </c>
      <c r="CA27" s="526">
        <f t="shared" si="16"/>
        <v>0</v>
      </c>
    </row>
    <row r="28" spans="2:79">
      <c r="B28" s="64" t="str">
        <f>'1-EO_Calcul Reporting'!B30</f>
        <v>E5290</v>
      </c>
      <c r="C28" s="64" t="str">
        <f>'1-EO_Calcul Reporting'!C30</f>
        <v>E5290</v>
      </c>
      <c r="D28" s="192" t="s">
        <v>2632</v>
      </c>
      <c r="E28" s="172">
        <f>_xll.LVCELL($D$1,E$3,$C28,$D$2,$C$4,$C$5,$C$6,$C$7,$C$8,$D$3)/1000</f>
        <v>11433.239</v>
      </c>
      <c r="F28" s="172">
        <f>_xll.LVCELL($D$1,F$3,$C28,$D$2,$C$4,$C$5,$C$6,$C$7,$C$8,$D$3)/1000</f>
        <v>9327.2950000000001</v>
      </c>
      <c r="G28" s="172">
        <f>_xll.LVCELL($D$1,G$3,$C28,$D$2,$C$4,$C$5,$C$6,$C$7,$C$8,$D$3)/1000</f>
        <v>8836.1939999999995</v>
      </c>
      <c r="H28" s="172">
        <f>_xll.LVCELL($D$1,H$3,$C28,$D$2,$C$4,$C$5,$C$6,$C$7,$C$8,$D$3)/1000</f>
        <v>6834.9290000000001</v>
      </c>
      <c r="I28" s="172">
        <f>_xll.LVCELL($D$1,I$3,$C28,$D$2,$C$4,$C$5,$C$6,$C$7,$C$8,$D$3)/1000</f>
        <v>6602.8220000000001</v>
      </c>
      <c r="J28" s="172">
        <f>_xll.LVCELL($D$1,J$3,$C28,$D$2,$C$4,$C$5,$C$6,$C$7,$C$8,$D$3)/1000</f>
        <v>5594.8559999999998</v>
      </c>
      <c r="K28" s="172">
        <f>_xll.LVCELL($D$1,K$3,$C28,$D$2,$C$4,$C$5,$C$6,$C$7,$C$8,$D$3)/1000</f>
        <v>5712.8950000000004</v>
      </c>
      <c r="L28" s="172">
        <f>_xll.LVCELL($D$1,L$3,$C28,$D$2,$C$4,$C$5,$C$6,$C$7,$C$8,$D$3)/1000</f>
        <v>5672.25</v>
      </c>
      <c r="M28" s="172">
        <f>_xll.LVCELL($D$1,M$3,$C28,$D$2,$C$4,$C$5,$C$6,$C$7,$C$8,$D$3)/1000</f>
        <v>6447.7939999999999</v>
      </c>
      <c r="N28" s="172">
        <f>_xll.LVCELL($D$1,N$3,$C28,$D$2,$C$4,$C$5,$C$6,$C$7,$C$8,$D$3)/1000</f>
        <v>8964.5490000000009</v>
      </c>
      <c r="O28" s="172">
        <f>_xll.LVCELL($D$1,O$3,$C28,$D$2,$C$4,$C$5,$C$6,$C$7,$C$8,$D$3)/1000</f>
        <v>9288.1610000000001</v>
      </c>
      <c r="P28" s="172">
        <f>_xll.LVCELL($D$1,P$3,$C28,$D$2,$C$4,$C$5,$C$6,$C$7,$C$8,$D$3)/1000</f>
        <v>11001.111000000001</v>
      </c>
      <c r="Q28" s="172">
        <f>_xll.LVCELL($D$1,Q$2,$C28,$D$2,$C$4,$C$5,$C$6,$C$7,$C$8,$D$3)/1000</f>
        <v>95716.095000000001</v>
      </c>
      <c r="R28" s="172">
        <f>_xll.LVCELL($D$1,R$3,$C28,$D$2,$C$4,$C$5,$C$6,$C$7,$C$8,$D$3)/1000</f>
        <v>11416.415999999999</v>
      </c>
      <c r="S28" s="172">
        <f>_xll.LVCELL($D$1,S$3,$C28,$D$2,$C$4,$C$5,$C$6,$C$7,$C$8,$D$3)/1000</f>
        <v>9313.57</v>
      </c>
      <c r="T28" s="172">
        <f>_xll.LVCELL($D$1,T$3,$C28,$D$2,$C$4,$C$5,$C$6,$C$7,$C$8,$D$3)/1000</f>
        <v>8823.1929999999993</v>
      </c>
      <c r="U28" s="172">
        <f>_xll.LVCELL($D$1,U$3,$C28,$D$2,$C$4,$C$5,$C$6,$C$7,$C$8,$D$3)/1000</f>
        <v>6824.8710000000001</v>
      </c>
      <c r="V28" s="172">
        <f>_xll.LVCELL($D$1,V$3,$C28,$D$2,$C$4,$C$5,$C$6,$C$7,$C$8,$D$3)/1000</f>
        <v>6593.1059999999998</v>
      </c>
      <c r="W28" s="172">
        <f>_xll.LVCELL($D$1,W$3,$C28,$D$2,$C$4,$C$5,$C$6,$C$7,$C$8,$D$3)/1000</f>
        <v>5586.6239999999998</v>
      </c>
      <c r="X28" s="172">
        <f>_xll.LVCELL($D$1,X$3,$C28,$D$2,$C$4,$C$5,$C$6,$C$7,$C$8,$D$3)/1000</f>
        <v>5704.4889999999996</v>
      </c>
      <c r="Y28" s="172">
        <f>_xll.LVCELL($D$1,Y$3,$C28,$D$2,$C$4,$C$5,$C$6,$C$7,$C$8,$D$3)/1000</f>
        <v>5663.9030000000002</v>
      </c>
      <c r="Z28" s="172">
        <f>_xll.LVCELL($D$1,Z$3,$C28,$D$2,$C$4,$C$5,$C$6,$C$7,$C$8,$D$3)/1000</f>
        <v>6438.3069999999998</v>
      </c>
      <c r="AA28" s="172">
        <f>_xll.LVCELL($D$1,AA$3,$C28,$D$2,$C$4,$C$5,$C$6,$C$7,$C$8,$D$3)/1000</f>
        <v>8951.3590000000004</v>
      </c>
      <c r="AB28" s="172">
        <f>_xll.LVCELL($D$1,AB$3,$C28,$D$2,$C$4,$C$5,$C$6,$C$7,$C$8,$D$3)/1000</f>
        <v>9274.4940000000006</v>
      </c>
      <c r="AC28" s="172">
        <f>_xll.LVCELL($D$1,AC$3,$C28,$D$2,$C$4,$C$5,$C$6,$C$7,$C$8,$D$3)/1000</f>
        <v>10984.924000000001</v>
      </c>
      <c r="AD28" s="172">
        <f>_xll.LVCELL($D$1,AD$2,$C28,$D$2,$C$4,$C$5,$C$6,$C$7,$C$8,$D$3)/1000</f>
        <v>95575.255999999994</v>
      </c>
      <c r="AE28" s="172">
        <f t="shared" si="1"/>
        <v>-140.83900000000722</v>
      </c>
      <c r="AF28" s="193">
        <f t="shared" si="2"/>
        <v>-1.4714244244921071E-3</v>
      </c>
      <c r="AG28" s="535"/>
      <c r="AJ28" s="64" t="str">
        <f t="shared" si="3"/>
        <v>E5290</v>
      </c>
      <c r="AK28" s="64" t="str">
        <f t="shared" si="4"/>
        <v>E5290</v>
      </c>
      <c r="AL28" s="192" t="str">
        <f t="shared" si="5"/>
        <v>St Patrick Pernois 1/2/3/Hermin</v>
      </c>
      <c r="AM28" s="172">
        <f>_xll.LVCELL($AK$1,AM$3,$AK28,$AL$2,$AK$4,$AK$5,$AK$6,$AK$7,$AK$8,$AL$3)/1000</f>
        <v>1036.3087829599999</v>
      </c>
      <c r="AN28" s="172">
        <f>_xll.LVCELL($AK$1,AN$3,$AK28,$AL$2,$AK$4,$AK$5,$AK$6,$AK$7,$AK$8,$AL$3)/1000</f>
        <v>845.42601879999995</v>
      </c>
      <c r="AO28" s="172">
        <f>_xll.LVCELL($AK$1,AO$3,$AK28,$AL$2,$AK$4,$AK$5,$AK$6,$AK$7,$AK$8,$AL$3)/1000</f>
        <v>800.91262415999995</v>
      </c>
      <c r="AP28" s="172">
        <f>_xll.LVCELL($AK$1,AP$3,$AK28,$AL$2,$AK$4,$AK$5,$AK$6,$AK$7,$AK$8,$AL$3)/1000</f>
        <v>619.51796456</v>
      </c>
      <c r="AQ28" s="172">
        <f>_xll.LVCELL($AK$1,AQ$3,$AK28,$AL$2,$AK$4,$AK$5,$AK$6,$AK$7,$AK$8,$AL$3)/1000</f>
        <v>598.47978607999994</v>
      </c>
      <c r="AR28" s="172">
        <f>_xll.LVCELL($AK$1,AR$3,$AK28,$AL$2,$AK$4,$AK$5,$AK$6,$AK$7,$AK$8,$AL$3)/1000</f>
        <v>507.11774784000005</v>
      </c>
      <c r="AS28" s="172">
        <f>_xll.LVCELL($AK$1,AS$3,$AK28,$AL$2,$AK$4,$AK$5,$AK$6,$AK$7,$AK$8,$AL$3)/1000</f>
        <v>517.8168028</v>
      </c>
      <c r="AT28" s="172">
        <f>_xll.LVCELL($AK$1,AT$3,$AK28,$AL$2,$AK$4,$AK$5,$AK$6,$AK$7,$AK$8,$AL$3)/1000</f>
        <v>514.13274000000001</v>
      </c>
      <c r="AU28" s="172">
        <f>_xll.LVCELL($AK$1,AU$3,$AK28,$AL$2,$AK$4,$AK$5,$AK$6,$AK$7,$AK$8,$AL$3)/1000</f>
        <v>584.42804816</v>
      </c>
      <c r="AV28" s="172">
        <f>_xll.LVCELL($AK$1,AV$3,$AK28,$AL$2,$AK$4,$AK$5,$AK$6,$AK$7,$AK$8,$AL$3)/1000</f>
        <v>812.54672135999999</v>
      </c>
      <c r="AW28" s="172">
        <f>_xll.LVCELL($AK$1,AW$3,$AK28,$AL$2,$AK$4,$AK$5,$AK$6,$AK$7,$AK$8,$AL$3)/1000</f>
        <v>845.22265099999993</v>
      </c>
      <c r="AX28" s="172">
        <f>_xll.LVCELL($AK$1,AX$3,$AK28,$AL$2,$AK$4,$AK$5,$AK$6,$AK$7,$AK$8,$AL$3)/1000</f>
        <v>1001.101101</v>
      </c>
      <c r="AY28" s="172">
        <f>_xll.LVCELL($AK$1,AY$2,$AK28,$AL$2,$AK$4,$AK$5,$AK$6,$AK$7,$AK$8,$AL$3)/1000</f>
        <v>8683.0109887199997</v>
      </c>
      <c r="AZ28" s="172">
        <f>_xll.LVCELL($AK$1,AZ$3,$AK28,$AL$2,$AK$4,$AK$5,$AK$6,$AK$7,$AK$8,$AL$3)/1000</f>
        <v>1055.1051667200002</v>
      </c>
      <c r="BA28" s="172">
        <f>_xll.LVCELL($AK$1,BA$3,$AK28,$AL$2,$AK$4,$AK$5,$AK$6,$AK$7,$AK$8,$AL$3)/1000</f>
        <v>860.76013939999996</v>
      </c>
      <c r="BB28" s="172">
        <f>_xll.LVCELL($AK$1,BB$3,$AK28,$AL$2,$AK$4,$AK$5,$AK$6,$AK$7,$AK$8,$AL$3)/1000</f>
        <v>815.43949706000001</v>
      </c>
      <c r="BC28" s="172">
        <f>_xll.LVCELL($AK$1,BC$3,$AK28,$AL$2,$AK$4,$AK$5,$AK$6,$AK$7,$AK$8,$AL$3)/1000</f>
        <v>630.75457782000001</v>
      </c>
      <c r="BD28" s="172">
        <f>_xll.LVCELL($AK$1,BD$3,$AK28,$AL$2,$AK$4,$AK$5,$AK$6,$AK$7,$AK$8,$AL$3)/1000</f>
        <v>609.33485652000002</v>
      </c>
      <c r="BE28" s="172">
        <f>_xll.LVCELL($AK$1,BE$3,$AK28,$AL$2,$AK$4,$AK$5,$AK$6,$AK$7,$AK$8,$AL$3)/1000</f>
        <v>516.31579008000006</v>
      </c>
      <c r="BF28" s="172">
        <f>_xll.LVCELL($AK$1,BF$3,$AK28,$AL$2,$AK$4,$AK$5,$AK$6,$AK$7,$AK$8,$AL$3)/1000</f>
        <v>527.20887338</v>
      </c>
      <c r="BG28" s="172">
        <f>_xll.LVCELL($AK$1,BG$3,$AK28,$AL$2,$AK$4,$AK$5,$AK$6,$AK$7,$AK$8,$AL$3)/1000</f>
        <v>523.45791525999994</v>
      </c>
      <c r="BH28" s="172">
        <f>_xll.LVCELL($AK$1,BH$3,$AK28,$AL$2,$AK$4,$AK$5,$AK$6,$AK$7,$AK$8,$AL$3)/1000</f>
        <v>595.02833294000004</v>
      </c>
      <c r="BI28" s="172">
        <f>_xll.LVCELL($AK$1,BI$3,$AK28,$AL$2,$AK$4,$AK$5,$AK$6,$AK$7,$AK$8,$AL$3)/1000</f>
        <v>827.28459878000001</v>
      </c>
      <c r="BJ28" s="172">
        <f>_xll.LVCELL($AK$1,BJ$3,$AK28,$AL$2,$AK$4,$AK$5,$AK$6,$AK$7,$AK$8,$AL$3)/1000</f>
        <v>876.9034077</v>
      </c>
      <c r="BK28" s="172">
        <f>_xll.LVCELL($AK$1,BK$3,$AK28,$AL$2,$AK$4,$AK$5,$AK$6,$AK$7,$AK$8,$AL$3)/1000</f>
        <v>1038.6245642000001</v>
      </c>
      <c r="BL28" s="172">
        <f>_xll.LVCELL($AK$1,BL$2,$AK28,$AL$2,$AK$4,$AK$5,$AK$6,$AK$7,$AK$8,$AL$3)/1000</f>
        <v>8876.2177198600002</v>
      </c>
      <c r="BM28" s="214">
        <f t="shared" si="6"/>
        <v>193.20673114000056</v>
      </c>
      <c r="BN28" s="217">
        <f t="shared" si="7"/>
        <v>-12.776394446936003</v>
      </c>
      <c r="BO28" s="218">
        <f t="shared" si="7"/>
        <v>205.98312558693527</v>
      </c>
      <c r="BP28" s="193">
        <f t="shared" si="8"/>
        <v>2.2251121343850988E-2</v>
      </c>
      <c r="BQ28" s="757"/>
      <c r="BS28" s="198">
        <f t="shared" si="9"/>
        <v>90.7163104462212</v>
      </c>
      <c r="BT28" s="198">
        <f t="shared" si="10"/>
        <v>92.871503476380965</v>
      </c>
      <c r="BU28" s="198">
        <f t="shared" si="11"/>
        <v>2.155193030159765</v>
      </c>
      <c r="BV28" s="199">
        <f t="shared" si="12"/>
        <v>2.3757503138726248E-2</v>
      </c>
      <c r="BX28" s="200">
        <f t="shared" si="17"/>
        <v>-12.776394446936003</v>
      </c>
      <c r="BY28" s="200">
        <f t="shared" si="18"/>
        <v>205.98312558693527</v>
      </c>
      <c r="BZ28" s="200">
        <f t="shared" si="15"/>
        <v>193.20673113999928</v>
      </c>
      <c r="CA28" s="526">
        <f t="shared" si="16"/>
        <v>1.2789769243681803E-12</v>
      </c>
    </row>
    <row r="29" spans="2:79">
      <c r="B29" s="64" t="str">
        <f>'1-EO_Calcul Reporting'!B34</f>
        <v>E5300</v>
      </c>
      <c r="C29" s="64" t="str">
        <f>'1-EO_Calcul Reporting'!C34</f>
        <v>E5300</v>
      </c>
      <c r="D29" s="192" t="str">
        <f>'1-EO_Calcul Reporting'!D34</f>
        <v>Vron</v>
      </c>
      <c r="E29" s="172">
        <f>_xll.LVCELL($D$1,E$3,$C29,$D$2,$C$4,$C$5,$C$6,$C$7,$C$8,$D$3)/1000</f>
        <v>2444.4470000000001</v>
      </c>
      <c r="F29" s="172">
        <f>_xll.LVCELL($D$1,F$3,$C29,$D$2,$C$4,$C$5,$C$6,$C$7,$C$8,$D$3)/1000</f>
        <v>1957.404</v>
      </c>
      <c r="G29" s="172">
        <f>_xll.LVCELL($D$1,G$3,$C29,$D$2,$C$4,$C$5,$C$6,$C$7,$C$8,$D$3)/1000</f>
        <v>1857.85</v>
      </c>
      <c r="H29" s="172">
        <f>_xll.LVCELL($D$1,H$3,$C29,$D$2,$C$4,$C$5,$C$6,$C$7,$C$8,$D$3)/1000</f>
        <v>1368.47</v>
      </c>
      <c r="I29" s="172">
        <f>_xll.LVCELL($D$1,I$3,$C29,$D$2,$C$4,$C$5,$C$6,$C$7,$C$8,$D$3)/1000</f>
        <v>1337.7439999999999</v>
      </c>
      <c r="J29" s="172">
        <f>_xll.LVCELL($D$1,J$3,$C29,$D$2,$C$4,$C$5,$C$6,$C$7,$C$8,$D$3)/1000</f>
        <v>1064.375</v>
      </c>
      <c r="K29" s="172">
        <f>_xll.LVCELL($D$1,K$3,$C29,$D$2,$C$4,$C$5,$C$6,$C$7,$C$8,$D$3)/1000</f>
        <v>1111.675</v>
      </c>
      <c r="L29" s="172">
        <f>_xll.LVCELL($D$1,L$3,$C29,$D$2,$C$4,$C$5,$C$6,$C$7,$C$8,$D$3)/1000</f>
        <v>1097.3920000000001</v>
      </c>
      <c r="M29" s="172">
        <f>_xll.LVCELL($D$1,M$3,$C29,$D$2,$C$4,$C$5,$C$6,$C$7,$C$8,$D$3)/1000</f>
        <v>1299.8340000000001</v>
      </c>
      <c r="N29" s="172">
        <f>_xll.LVCELL($D$1,N$3,$C29,$D$2,$C$4,$C$5,$C$6,$C$7,$C$8,$D$3)/1000</f>
        <v>1856.865</v>
      </c>
      <c r="O29" s="172">
        <f>_xll.LVCELL($D$1,O$3,$C29,$D$2,$C$4,$C$5,$C$6,$C$7,$C$8,$D$3)/1000</f>
        <v>1921.3679999999999</v>
      </c>
      <c r="P29" s="172">
        <f>_xll.LVCELL($D$1,P$3,$C29,$D$2,$C$4,$C$5,$C$6,$C$7,$C$8,$D$3)/1000</f>
        <v>2317.3760000000002</v>
      </c>
      <c r="Q29" s="172">
        <f>_xll.LVCELL($D$1,Q$2,$C29,$D$2,$C$4,$C$5,$C$6,$C$7,$C$8,$D$3)/1000</f>
        <v>19634.8</v>
      </c>
      <c r="R29" s="172">
        <f>_xll.LVCELL($D$1,R$3,$C29,$D$2,$C$4,$C$5,$C$6,$C$7,$C$8,$D$3)/1000</f>
        <v>2444.4470000000001</v>
      </c>
      <c r="S29" s="172">
        <f>_xll.LVCELL($D$1,S$3,$C29,$D$2,$C$4,$C$5,$C$6,$C$7,$C$8,$D$3)/1000</f>
        <v>1957.404</v>
      </c>
      <c r="T29" s="172">
        <f>_xll.LVCELL($D$1,T$3,$C29,$D$2,$C$4,$C$5,$C$6,$C$7,$C$8,$D$3)/1000</f>
        <v>1857.85</v>
      </c>
      <c r="U29" s="172">
        <f>_xll.LVCELL($D$1,U$3,$C29,$D$2,$C$4,$C$5,$C$6,$C$7,$C$8,$D$3)/1000</f>
        <v>1368.47</v>
      </c>
      <c r="V29" s="172">
        <f>_xll.LVCELL($D$1,V$3,$C29,$D$2,$C$4,$C$5,$C$6,$C$7,$C$8,$D$3)/1000</f>
        <v>1337.7439999999999</v>
      </c>
      <c r="W29" s="172">
        <f>_xll.LVCELL($D$1,W$3,$C29,$D$2,$C$4,$C$5,$C$6,$C$7,$C$8,$D$3)/1000</f>
        <v>1064.375</v>
      </c>
      <c r="X29" s="172">
        <f>_xll.LVCELL($D$1,X$3,$C29,$D$2,$C$4,$C$5,$C$6,$C$7,$C$8,$D$3)/1000</f>
        <v>1111.675</v>
      </c>
      <c r="Y29" s="172">
        <f>_xll.LVCELL($D$1,Y$3,$C29,$D$2,$C$4,$C$5,$C$6,$C$7,$C$8,$D$3)/1000</f>
        <v>1097.3920000000001</v>
      </c>
      <c r="Z29" s="172">
        <f>_xll.LVCELL($D$1,Z$3,$C29,$D$2,$C$4,$C$5,$C$6,$C$7,$C$8,$D$3)/1000</f>
        <v>1299.8340000000001</v>
      </c>
      <c r="AA29" s="172">
        <f>_xll.LVCELL($D$1,AA$3,$C29,$D$2,$C$4,$C$5,$C$6,$C$7,$C$8,$D$3)/1000</f>
        <v>1856.865</v>
      </c>
      <c r="AB29" s="172">
        <f>_xll.LVCELL($D$1,AB$3,$C29,$D$2,$C$4,$C$5,$C$6,$C$7,$C$8,$D$3)/1000</f>
        <v>1921.3679999999999</v>
      </c>
      <c r="AC29" s="172">
        <f>_xll.LVCELL($D$1,AC$3,$C29,$D$2,$C$4,$C$5,$C$6,$C$7,$C$8,$D$3)/1000</f>
        <v>2317.3760000000002</v>
      </c>
      <c r="AD29" s="172">
        <f>_xll.LVCELL($D$1,AD$2,$C29,$D$2,$C$4,$C$5,$C$6,$C$7,$C$8,$D$3)/1000</f>
        <v>19634.8</v>
      </c>
      <c r="AE29" s="172">
        <f t="shared" si="1"/>
        <v>0</v>
      </c>
      <c r="AF29" s="193">
        <f t="shared" si="2"/>
        <v>0</v>
      </c>
      <c r="AG29" s="535"/>
      <c r="AJ29" s="64" t="str">
        <f t="shared" si="3"/>
        <v>E5300</v>
      </c>
      <c r="AK29" s="64" t="str">
        <f t="shared" si="4"/>
        <v>E5300</v>
      </c>
      <c r="AL29" s="192" t="str">
        <f t="shared" si="5"/>
        <v>Vron</v>
      </c>
      <c r="AM29" s="172">
        <f>_xll.LVCELL($AK$1,AM$3,$AK29,$AL$2,$AK$4,$AK$5,$AK$6,$AK$7,$AK$8,$AL$3)/1000</f>
        <v>219.848674286</v>
      </c>
      <c r="AN29" s="172">
        <f>_xll.LVCELL($AK$1,AN$3,$AK29,$AL$2,$AK$4,$AK$5,$AK$6,$AK$7,$AK$8,$AL$3)/1000</f>
        <v>176.04500095200001</v>
      </c>
      <c r="AO29" s="172">
        <f>_xll.LVCELL($AK$1,AO$3,$AK29,$AL$2,$AK$4,$AK$5,$AK$6,$AK$7,$AK$8,$AL$3)/1000</f>
        <v>167.0913133</v>
      </c>
      <c r="AP29" s="172">
        <f>_xll.LVCELL($AK$1,AP$3,$AK29,$AL$2,$AK$4,$AK$5,$AK$6,$AK$7,$AK$8,$AL$3)/1000</f>
        <v>123.07745486</v>
      </c>
      <c r="AQ29" s="172">
        <f>_xll.LVCELL($AK$1,AQ$3,$AK29,$AL$2,$AK$4,$AK$5,$AK$6,$AK$7,$AK$8,$AL$3)/1000</f>
        <v>120.314019872</v>
      </c>
      <c r="AR29" s="172">
        <f>_xll.LVCELL($AK$1,AR$3,$AK29,$AL$2,$AK$4,$AK$5,$AK$6,$AK$7,$AK$8,$AL$3)/1000</f>
        <v>95.727758749999992</v>
      </c>
      <c r="AS29" s="172">
        <f>_xll.LVCELL($AK$1,AS$3,$AK29,$AL$2,$AK$4,$AK$5,$AK$6,$AK$7,$AK$8,$AL$3)/1000</f>
        <v>99.981826149999989</v>
      </c>
      <c r="AT29" s="172">
        <f>_xll.LVCELL($AK$1,AT$3,$AK29,$AL$2,$AK$4,$AK$5,$AK$6,$AK$7,$AK$8,$AL$3)/1000</f>
        <v>98.697241695999992</v>
      </c>
      <c r="AU29" s="172">
        <f>_xll.LVCELL($AK$1,AU$3,$AK29,$AL$2,$AK$4,$AK$5,$AK$6,$AK$7,$AK$8,$AL$3)/1000</f>
        <v>116.904470292</v>
      </c>
      <c r="AV29" s="172">
        <f>_xll.LVCELL($AK$1,AV$3,$AK29,$AL$2,$AK$4,$AK$5,$AK$6,$AK$7,$AK$8,$AL$3)/1000</f>
        <v>167.00272437000001</v>
      </c>
      <c r="AW29" s="172">
        <f>_xll.LVCELL($AK$1,AW$3,$AK29,$AL$2,$AK$4,$AK$5,$AK$6,$AK$7,$AK$8,$AL$3)/1000</f>
        <v>173.495687664</v>
      </c>
      <c r="AX29" s="172">
        <f>_xll.LVCELL($AK$1,AX$3,$AK29,$AL$2,$AK$4,$AK$5,$AK$6,$AK$7,$AK$8,$AL$3)/1000</f>
        <v>209.25441804799999</v>
      </c>
      <c r="AY29" s="172">
        <f>_xll.LVCELL($AK$1,AY$2,$AK29,$AL$2,$AK$4,$AK$5,$AK$6,$AK$7,$AK$8,$AL$3)/1000</f>
        <v>1767.4405902400001</v>
      </c>
      <c r="AZ29" s="172">
        <f>_xll.LVCELL($AK$1,AZ$3,$AK29,$AL$2,$AK$4,$AK$5,$AK$6,$AK$7,$AK$8,$AL$3)/1000</f>
        <v>224.21019595687901</v>
      </c>
      <c r="BA29" s="172">
        <f>_xll.LVCELL($AK$1,BA$3,$AK29,$AL$2,$AK$4,$AK$5,$AK$6,$AK$7,$AK$8,$AL$3)/1000</f>
        <v>179.53751274082802</v>
      </c>
      <c r="BB29" s="172">
        <f>_xll.LVCELL($AK$1,BB$3,$AK29,$AL$2,$AK$4,$AK$5,$AK$6,$AK$7,$AK$8,$AL$3)/1000</f>
        <v>170.40619516744999</v>
      </c>
      <c r="BC29" s="172">
        <f>_xll.LVCELL($AK$1,BC$3,$AK29,$AL$2,$AK$4,$AK$5,$AK$6,$AK$7,$AK$8,$AL$3)/1000</f>
        <v>125.51915703679001</v>
      </c>
      <c r="BD29" s="172">
        <f>_xll.LVCELL($AK$1,BD$3,$AK29,$AL$2,$AK$4,$AK$5,$AK$6,$AK$7,$AK$8,$AL$3)/1000</f>
        <v>122.70089896820799</v>
      </c>
      <c r="BE29" s="172">
        <f>_xll.LVCELL($AK$1,BE$3,$AK29,$AL$2,$AK$4,$AK$5,$AK$6,$AK$7,$AK$8,$AL$3)/1000</f>
        <v>97.626877294374992</v>
      </c>
      <c r="BF29" s="172">
        <f>_xll.LVCELL($AK$1,BF$3,$AK29,$AL$2,$AK$4,$AK$5,$AK$6,$AK$7,$AK$8,$AL$3)/1000</f>
        <v>101.96534005047501</v>
      </c>
      <c r="BG29" s="172">
        <f>_xll.LVCELL($AK$1,BG$3,$AK29,$AL$2,$AK$4,$AK$5,$AK$6,$AK$7,$AK$8,$AL$3)/1000</f>
        <v>100.655271053744</v>
      </c>
      <c r="BH29" s="172">
        <f>_xll.LVCELL($AK$1,BH$3,$AK29,$AL$2,$AK$4,$AK$5,$AK$6,$AK$7,$AK$8,$AL$3)/1000</f>
        <v>119.223708205338</v>
      </c>
      <c r="BI29" s="172">
        <f>_xll.LVCELL($AK$1,BI$3,$AK29,$AL$2,$AK$4,$AK$5,$AK$6,$AK$7,$AK$8,$AL$3)/1000</f>
        <v>170.31584874430499</v>
      </c>
      <c r="BJ29" s="172">
        <f>_xll.LVCELL($AK$1,BJ$3,$AK29,$AL$2,$AK$4,$AK$5,$AK$6,$AK$7,$AK$8,$AL$3)/1000</f>
        <v>180.285550476792</v>
      </c>
      <c r="BK29" s="172">
        <f>_xll.LVCELL($AK$1,BK$3,$AK29,$AL$2,$AK$4,$AK$5,$AK$6,$AK$7,$AK$8,$AL$3)/1000</f>
        <v>217.44372125574398</v>
      </c>
      <c r="BL29" s="172">
        <f>_xll.LVCELL($AK$1,BL$2,$AK29,$AL$2,$AK$4,$AK$5,$AK$6,$AK$7,$AK$8,$AL$3)/1000</f>
        <v>1809.8902769509291</v>
      </c>
      <c r="BM29" s="214">
        <f t="shared" si="6"/>
        <v>42.449686710928972</v>
      </c>
      <c r="BN29" s="217">
        <f t="shared" si="7"/>
        <v>0</v>
      </c>
      <c r="BO29" s="218">
        <f t="shared" si="7"/>
        <v>42.449686710929143</v>
      </c>
      <c r="BP29" s="193">
        <f t="shared" si="8"/>
        <v>2.4017603163207113E-2</v>
      </c>
      <c r="BQ29" s="190"/>
      <c r="BS29" s="198">
        <f t="shared" si="9"/>
        <v>90.015716495202398</v>
      </c>
      <c r="BT29" s="198">
        <f t="shared" si="10"/>
        <v>92.177678252435939</v>
      </c>
      <c r="BU29" s="198">
        <f t="shared" si="11"/>
        <v>2.1619617572335414</v>
      </c>
      <c r="BV29" s="199">
        <f t="shared" si="12"/>
        <v>2.4017603163207266E-2</v>
      </c>
      <c r="BX29" s="200">
        <f t="shared" si="17"/>
        <v>0</v>
      </c>
      <c r="BY29" s="200">
        <f t="shared" si="18"/>
        <v>42.449686710929143</v>
      </c>
      <c r="BZ29" s="200">
        <f t="shared" si="15"/>
        <v>42.449686710929143</v>
      </c>
      <c r="CA29" s="526">
        <f t="shared" si="16"/>
        <v>-1.7053025658242404E-13</v>
      </c>
    </row>
    <row r="30" spans="2:79">
      <c r="B30" s="64" t="str">
        <f>'1-EO_Calcul Reporting'!B35</f>
        <v>E5270</v>
      </c>
      <c r="C30" s="64" t="str">
        <f>'1-EO_Calcul Reporting'!C35</f>
        <v>E5270</v>
      </c>
      <c r="D30" s="192" t="s">
        <v>2653</v>
      </c>
      <c r="E30" s="172">
        <f>_xll.LVCELL($D$1,E$3,$C30,$D$2,$C$4,$C$5,$C$6,$C$7,$C$8,$D$3)/1000</f>
        <v>6523.9669999999996</v>
      </c>
      <c r="F30" s="172">
        <f>_xll.LVCELL($D$1,F$3,$C30,$D$2,$C$4,$C$5,$C$6,$C$7,$C$8,$D$3)/1000</f>
        <v>5566.6620000000003</v>
      </c>
      <c r="G30" s="172">
        <f>_xll.LVCELL($D$1,G$3,$C30,$D$2,$C$4,$C$5,$C$6,$C$7,$C$8,$D$3)/1000</f>
        <v>5436.8440000000001</v>
      </c>
      <c r="H30" s="172">
        <f>_xll.LVCELL($D$1,H$3,$C30,$D$2,$C$4,$C$5,$C$6,$C$7,$C$8,$D$3)/1000</f>
        <v>4718.4139999999998</v>
      </c>
      <c r="I30" s="172">
        <f>_xll.LVCELL($D$1,I$3,$C30,$D$2,$C$4,$C$5,$C$6,$C$7,$C$8,$D$3)/1000</f>
        <v>3952.7280000000001</v>
      </c>
      <c r="J30" s="172">
        <f>_xll.LVCELL($D$1,J$3,$C30,$D$2,$C$4,$C$5,$C$6,$C$7,$C$8,$D$3)/1000</f>
        <v>3150.8679999999999</v>
      </c>
      <c r="K30" s="172">
        <f>_xll.LVCELL($D$1,K$3,$C30,$D$2,$C$4,$C$5,$C$6,$C$7,$C$8,$D$3)/1000</f>
        <v>3111.8409999999999</v>
      </c>
      <c r="L30" s="172">
        <f>_xll.LVCELL($D$1,L$3,$C30,$D$2,$C$4,$C$5,$C$6,$C$7,$C$8,$D$3)/1000</f>
        <v>2823.7280000000001</v>
      </c>
      <c r="M30" s="172">
        <f>_xll.LVCELL($D$1,M$3,$C30,$D$2,$C$4,$C$5,$C$6,$C$7,$C$8,$D$3)/1000</f>
        <v>3612.8649999999998</v>
      </c>
      <c r="N30" s="172">
        <f>_xll.LVCELL($D$1,N$3,$C30,$D$2,$C$4,$C$5,$C$6,$C$7,$C$8,$D$3)/1000</f>
        <v>4858.9430000000002</v>
      </c>
      <c r="O30" s="172">
        <f>_xll.LVCELL($D$1,O$3,$C30,$D$2,$C$4,$C$5,$C$6,$C$7,$C$8,$D$3)/1000</f>
        <v>5353.8609999999999</v>
      </c>
      <c r="P30" s="172">
        <f>_xll.LVCELL($D$1,P$3,$C30,$D$2,$C$4,$C$5,$C$6,$C$7,$C$8,$D$3)/1000</f>
        <v>6651.2730000000001</v>
      </c>
      <c r="Q30" s="172">
        <f>_xll.LVCELL($D$1,Q$2,$C30,$D$2,$C$4,$C$5,$C$6,$C$7,$C$8,$D$3)/1000</f>
        <v>55761.993999999999</v>
      </c>
      <c r="R30" s="172">
        <f>_xll.LVCELL($D$1,R$3,$C30,$D$2,$C$4,$C$5,$C$6,$C$7,$C$8,$D$3)/1000</f>
        <v>6571.41</v>
      </c>
      <c r="S30" s="172">
        <f>_xll.LVCELL($D$1,S$3,$C30,$D$2,$C$4,$C$5,$C$6,$C$7,$C$8,$D$3)/1000</f>
        <v>5607.1419999999998</v>
      </c>
      <c r="T30" s="172">
        <f>_xll.LVCELL($D$1,T$3,$C30,$D$2,$C$4,$C$5,$C$6,$C$7,$C$8,$D$3)/1000</f>
        <v>5476.3810000000003</v>
      </c>
      <c r="U30" s="172">
        <f>_xll.LVCELL($D$1,U$3,$C30,$D$2,$C$4,$C$5,$C$6,$C$7,$C$8,$D$3)/1000</f>
        <v>4752.7259999999997</v>
      </c>
      <c r="V30" s="172">
        <f>_xll.LVCELL($D$1,V$3,$C30,$D$2,$C$4,$C$5,$C$6,$C$7,$C$8,$D$3)/1000</f>
        <v>3981.4720000000002</v>
      </c>
      <c r="W30" s="172">
        <f>_xll.LVCELL($D$1,W$3,$C30,$D$2,$C$4,$C$5,$C$6,$C$7,$C$8,$D$3)/1000</f>
        <v>3173.7809999999999</v>
      </c>
      <c r="X30" s="172">
        <f>_xll.LVCELL($D$1,X$3,$C30,$D$2,$C$4,$C$5,$C$6,$C$7,$C$8,$D$3)/1000</f>
        <v>3134.47</v>
      </c>
      <c r="Y30" s="172">
        <f>_xll.LVCELL($D$1,Y$3,$C30,$D$2,$C$4,$C$5,$C$6,$C$7,$C$8,$D$3)/1000</f>
        <v>2844.2620000000002</v>
      </c>
      <c r="Z30" s="172">
        <f>_xll.LVCELL($D$1,Z$3,$C30,$D$2,$C$4,$C$5,$C$6,$C$7,$C$8,$D$3)/1000</f>
        <v>3639.1370000000002</v>
      </c>
      <c r="AA30" s="172">
        <f>_xll.LVCELL($D$1,AA$3,$C30,$D$2,$C$4,$C$5,$C$6,$C$7,$C$8,$D$3)/1000</f>
        <v>4894.2780000000002</v>
      </c>
      <c r="AB30" s="172">
        <f>_xll.LVCELL($D$1,AB$3,$C30,$D$2,$C$4,$C$5,$C$6,$C$7,$C$8,$D$3)/1000</f>
        <v>5392.7950000000001</v>
      </c>
      <c r="AC30" s="172">
        <f>_xll.LVCELL($D$1,AC$3,$C30,$D$2,$C$4,$C$5,$C$6,$C$7,$C$8,$D$3)/1000</f>
        <v>6699.6409999999996</v>
      </c>
      <c r="AD30" s="172">
        <f>_xll.LVCELL($D$1,AD$2,$C30,$D$2,$C$4,$C$5,$C$6,$C$7,$C$8,$D$3)/1000</f>
        <v>56167.495000000003</v>
      </c>
      <c r="AE30" s="172">
        <f t="shared" si="1"/>
        <v>405.50100000000384</v>
      </c>
      <c r="AF30" s="193">
        <f t="shared" si="2"/>
        <v>7.2719960480609469E-3</v>
      </c>
      <c r="AG30" s="535"/>
      <c r="AJ30" s="64" t="str">
        <f t="shared" si="3"/>
        <v>E5270</v>
      </c>
      <c r="AK30" s="64" t="str">
        <f t="shared" si="4"/>
        <v>E5270</v>
      </c>
      <c r="AL30" s="192" t="str">
        <f t="shared" si="5"/>
        <v>Ménétréols Renardiére (La vallée 2/3/4)</v>
      </c>
      <c r="AM30" s="172">
        <f>_xll.LVCELL($AK$1,AM$3,$AK30,$AL$2,$AK$4,$AK$5,$AK$6,$AK$7,$AK$8,$AL$3)/1000</f>
        <v>586.29586635599992</v>
      </c>
      <c r="AN30" s="172">
        <f>_xll.LVCELL($AK$1,AN$3,$AK30,$AL$2,$AK$4,$AK$5,$AK$6,$AK$7,$AK$8,$AL$3)/1000</f>
        <v>500.264780616</v>
      </c>
      <c r="AO30" s="172">
        <f>_xll.LVCELL($AK$1,AO$3,$AK30,$AL$2,$AK$4,$AK$5,$AK$6,$AK$7,$AK$8,$AL$3)/1000</f>
        <v>488.598296592</v>
      </c>
      <c r="AP30" s="172">
        <f>_xll.LVCELL($AK$1,AP$3,$AK30,$AL$2,$AK$4,$AK$5,$AK$6,$AK$7,$AK$8,$AL$3)/1000</f>
        <v>424.03442935200002</v>
      </c>
      <c r="AQ30" s="172">
        <f>_xll.LVCELL($AK$1,AQ$3,$AK30,$AL$2,$AK$4,$AK$5,$AK$6,$AK$7,$AK$8,$AL$3)/1000</f>
        <v>355.22375990399996</v>
      </c>
      <c r="AR30" s="172">
        <f>_xll.LVCELL($AK$1,AR$3,$AK30,$AL$2,$AK$4,$AK$5,$AK$6,$AK$7,$AK$8,$AL$3)/1000</f>
        <v>283.16220542399998</v>
      </c>
      <c r="AS30" s="172">
        <f>_xll.LVCELL($AK$1,AS$3,$AK30,$AL$2,$AK$4,$AK$5,$AK$6,$AK$7,$AK$8,$AL$3)/1000</f>
        <v>279.654926988</v>
      </c>
      <c r="AT30" s="172">
        <f>_xll.LVCELL($AK$1,AT$3,$AK30,$AL$2,$AK$4,$AK$5,$AK$6,$AK$7,$AK$8,$AL$3)/1000</f>
        <v>253.76278790399999</v>
      </c>
      <c r="AU30" s="172">
        <f>_xll.LVCELL($AK$1,AU$3,$AK30,$AL$2,$AK$4,$AK$5,$AK$6,$AK$7,$AK$8,$AL$3)/1000</f>
        <v>324.68095182000002</v>
      </c>
      <c r="AV30" s="172">
        <f>_xll.LVCELL($AK$1,AV$3,$AK30,$AL$2,$AK$4,$AK$5,$AK$6,$AK$7,$AK$8,$AL$3)/1000</f>
        <v>436.663489524</v>
      </c>
      <c r="AW30" s="172">
        <f>_xll.LVCELL($AK$1,AW$3,$AK30,$AL$2,$AK$4,$AK$5,$AK$6,$AK$7,$AK$8,$AL$3)/1000</f>
        <v>483.06817030799999</v>
      </c>
      <c r="AX30" s="172">
        <f>_xll.LVCELL($AK$1,AX$3,$AK30,$AL$2,$AK$4,$AK$5,$AK$6,$AK$7,$AK$8,$AL$3)/1000</f>
        <v>600.13106024400008</v>
      </c>
      <c r="AY30" s="172">
        <f>_xll.LVCELL($AK$1,AY$2,$AK30,$AL$2,$AK$4,$AK$5,$AK$6,$AK$7,$AK$8,$AL$3)/1000</f>
        <v>5015.5407250319995</v>
      </c>
      <c r="AZ30" s="172">
        <f>_xll.LVCELL($AK$1,AZ$3,$AK30,$AL$2,$AK$4,$AK$5,$AK$6,$AK$7,$AK$8,$AL$3)/1000</f>
        <v>602.20401240000001</v>
      </c>
      <c r="BA30" s="172">
        <f>_xll.LVCELL($AK$1,BA$3,$AK30,$AL$2,$AK$4,$AK$5,$AK$6,$AK$7,$AK$8,$AL$3)/1000</f>
        <v>513.83849287999999</v>
      </c>
      <c r="BB30" s="172">
        <f>_xll.LVCELL($AK$1,BB$3,$AK30,$AL$2,$AK$4,$AK$5,$AK$6,$AK$7,$AK$8,$AL$3)/1000</f>
        <v>501.85555484000002</v>
      </c>
      <c r="BC30" s="172">
        <f>_xll.LVCELL($AK$1,BC$3,$AK30,$AL$2,$AK$4,$AK$5,$AK$6,$AK$7,$AK$8,$AL$3)/1000</f>
        <v>435.53981063999998</v>
      </c>
      <c r="BD30" s="172">
        <f>_xll.LVCELL($AK$1,BD$3,$AK30,$AL$2,$AK$4,$AK$5,$AK$6,$AK$7,$AK$8,$AL$3)/1000</f>
        <v>364.86209408000002</v>
      </c>
      <c r="BE30" s="172">
        <f>_xll.LVCELL($AK$1,BE$3,$AK30,$AL$2,$AK$4,$AK$5,$AK$6,$AK$7,$AK$8,$AL$3)/1000</f>
        <v>290.84529083999996</v>
      </c>
      <c r="BF30" s="172">
        <f>_xll.LVCELL($AK$1,BF$3,$AK30,$AL$2,$AK$4,$AK$5,$AK$6,$AK$7,$AK$8,$AL$3)/1000</f>
        <v>287.24283079999998</v>
      </c>
      <c r="BG30" s="172">
        <f>_xll.LVCELL($AK$1,BG$3,$AK30,$AL$2,$AK$4,$AK$5,$AK$6,$AK$7,$AK$8,$AL$3)/1000</f>
        <v>260.64816967999997</v>
      </c>
      <c r="BH30" s="172">
        <f>_xll.LVCELL($AK$1,BH$3,$AK30,$AL$2,$AK$4,$AK$5,$AK$6,$AK$7,$AK$8,$AL$3)/1000</f>
        <v>333.49051468000005</v>
      </c>
      <c r="BI30" s="172">
        <f>_xll.LVCELL($AK$1,BI$3,$AK30,$AL$2,$AK$4,$AK$5,$AK$6,$AK$7,$AK$8,$AL$3)/1000</f>
        <v>448.51163591999995</v>
      </c>
      <c r="BJ30" s="172">
        <f>_xll.LVCELL($AK$1,BJ$3,$AK30,$AL$2,$AK$4,$AK$5,$AK$6,$AK$7,$AK$8,$AL$3)/1000</f>
        <v>505.57453125000001</v>
      </c>
      <c r="BK30" s="172">
        <f>_xll.LVCELL($AK$1,BK$3,$AK30,$AL$2,$AK$4,$AK$5,$AK$6,$AK$7,$AK$8,$AL$3)/1000</f>
        <v>628.09134374999996</v>
      </c>
      <c r="BL30" s="172">
        <f>_xll.LVCELL($AK$1,BL$2,$AK30,$AL$2,$AK$4,$AK$5,$AK$6,$AK$7,$AK$8,$AL$3)/1000</f>
        <v>5172.7042817599995</v>
      </c>
      <c r="BM30" s="214">
        <f t="shared" si="6"/>
        <v>157.163556728</v>
      </c>
      <c r="BN30" s="217">
        <f t="shared" si="7"/>
        <v>36.47299233132194</v>
      </c>
      <c r="BO30" s="218">
        <f t="shared" si="7"/>
        <v>120.69056439667845</v>
      </c>
      <c r="BP30" s="193">
        <f t="shared" si="8"/>
        <v>3.1335316637668642E-2</v>
      </c>
      <c r="BQ30" s="190" t="s">
        <v>3551</v>
      </c>
      <c r="BS30" s="198">
        <f t="shared" si="9"/>
        <v>89.945505267117952</v>
      </c>
      <c r="BT30" s="198">
        <f t="shared" si="10"/>
        <v>92.094267009059237</v>
      </c>
      <c r="BU30" s="198">
        <f t="shared" si="11"/>
        <v>2.1487617419412857</v>
      </c>
      <c r="BV30" s="199">
        <f t="shared" si="12"/>
        <v>2.3889595545213135E-2</v>
      </c>
      <c r="BX30" s="200">
        <f t="shared" si="17"/>
        <v>36.47299233132194</v>
      </c>
      <c r="BY30" s="200">
        <f t="shared" si="18"/>
        <v>120.69056439667845</v>
      </c>
      <c r="BZ30" s="200">
        <f t="shared" si="15"/>
        <v>157.1635567280004</v>
      </c>
      <c r="CA30" s="526">
        <f t="shared" si="16"/>
        <v>-3.979039320256561E-13</v>
      </c>
    </row>
    <row r="31" spans="2:79">
      <c r="B31" s="64" t="str">
        <f>'1-EO_Calcul Reporting'!B38</f>
        <v>E5280</v>
      </c>
      <c r="C31" s="64" t="str">
        <f>'1-EO_Calcul Reporting'!C38</f>
        <v>E5280</v>
      </c>
      <c r="D31" s="192" t="str">
        <f>'1-EO_Calcul Reporting'!D38</f>
        <v>St Georges (La Vallée 1)</v>
      </c>
      <c r="E31" s="172">
        <f>_xll.LVCELL($D$1,E$3,$C31,$D$2,$C$4,$C$5,$C$6,$C$7,$C$8,$D$3)/1000</f>
        <v>1076.2149999999999</v>
      </c>
      <c r="F31" s="172">
        <f>_xll.LVCELL($D$1,F$3,$C31,$D$2,$C$4,$C$5,$C$6,$C$7,$C$8,$D$3)/1000</f>
        <v>918.29399999999998</v>
      </c>
      <c r="G31" s="172">
        <f>_xll.LVCELL($D$1,G$3,$C31,$D$2,$C$4,$C$5,$C$6,$C$7,$C$8,$D$3)/1000</f>
        <v>896.87900000000002</v>
      </c>
      <c r="H31" s="172">
        <f>_xll.LVCELL($D$1,H$3,$C31,$D$2,$C$4,$C$5,$C$6,$C$7,$C$8,$D$3)/1000</f>
        <v>778.36500000000001</v>
      </c>
      <c r="I31" s="172">
        <f>_xll.LVCELL($D$1,I$3,$C31,$D$2,$C$4,$C$5,$C$6,$C$7,$C$8,$D$3)/1000</f>
        <v>652.05499999999995</v>
      </c>
      <c r="J31" s="172">
        <f>_xll.LVCELL($D$1,J$3,$C31,$D$2,$C$4,$C$5,$C$6,$C$7,$C$8,$D$3)/1000</f>
        <v>519.77700000000004</v>
      </c>
      <c r="K31" s="172">
        <f>_xll.LVCELL($D$1,K$3,$C31,$D$2,$C$4,$C$5,$C$6,$C$7,$C$8,$D$3)/1000</f>
        <v>513.33900000000006</v>
      </c>
      <c r="L31" s="172">
        <f>_xll.LVCELL($D$1,L$3,$C31,$D$2,$C$4,$C$5,$C$6,$C$7,$C$8,$D$3)/1000</f>
        <v>465.81099999999998</v>
      </c>
      <c r="M31" s="172">
        <f>_xll.LVCELL($D$1,M$3,$C31,$D$2,$C$4,$C$5,$C$6,$C$7,$C$8,$D$3)/1000</f>
        <v>595.99</v>
      </c>
      <c r="N31" s="172">
        <f>_xll.LVCELL($D$1,N$3,$C31,$D$2,$C$4,$C$5,$C$6,$C$7,$C$8,$D$3)/1000</f>
        <v>801.54700000000003</v>
      </c>
      <c r="O31" s="172">
        <f>_xll.LVCELL($D$1,O$3,$C31,$D$2,$C$4,$C$5,$C$6,$C$7,$C$8,$D$3)/1000</f>
        <v>883.19</v>
      </c>
      <c r="P31" s="172">
        <f>_xll.LVCELL($D$1,P$3,$C31,$D$2,$C$4,$C$5,$C$6,$C$7,$C$8,$D$3)/1000</f>
        <v>1097.2149999999999</v>
      </c>
      <c r="Q31" s="172">
        <f>_xll.LVCELL($D$1,Q$2,$C31,$D$2,$C$4,$C$5,$C$6,$C$7,$C$8,$D$3)/1000</f>
        <v>9198.6769999999997</v>
      </c>
      <c r="R31" s="172">
        <f>_xll.LVCELL($D$1,R$3,$C31,$D$2,$C$4,$C$5,$C$6,$C$7,$C$8,$D$3)/1000</f>
        <v>1084.0409999999999</v>
      </c>
      <c r="S31" s="172">
        <f>_xll.LVCELL($D$1,S$3,$C31,$D$2,$C$4,$C$5,$C$6,$C$7,$C$8,$D$3)/1000</f>
        <v>924.97199999999998</v>
      </c>
      <c r="T31" s="172">
        <f>_xll.LVCELL($D$1,T$3,$C31,$D$2,$C$4,$C$5,$C$6,$C$7,$C$8,$D$3)/1000</f>
        <v>903.40099999999995</v>
      </c>
      <c r="U31" s="172">
        <f>_xll.LVCELL($D$1,U$3,$C31,$D$2,$C$4,$C$5,$C$6,$C$7,$C$8,$D$3)/1000</f>
        <v>784.02499999999998</v>
      </c>
      <c r="V31" s="172">
        <f>_xll.LVCELL($D$1,V$3,$C31,$D$2,$C$4,$C$5,$C$6,$C$7,$C$8,$D$3)/1000</f>
        <v>656.79700000000003</v>
      </c>
      <c r="W31" s="172">
        <f>_xll.LVCELL($D$1,W$3,$C31,$D$2,$C$4,$C$5,$C$6,$C$7,$C$8,$D$3)/1000</f>
        <v>523.55700000000002</v>
      </c>
      <c r="X31" s="172">
        <f>_xll.LVCELL($D$1,X$3,$C31,$D$2,$C$4,$C$5,$C$6,$C$7,$C$8,$D$3)/1000</f>
        <v>517.072</v>
      </c>
      <c r="Y31" s="172">
        <f>_xll.LVCELL($D$1,Y$3,$C31,$D$2,$C$4,$C$5,$C$6,$C$7,$C$8,$D$3)/1000</f>
        <v>469.19900000000001</v>
      </c>
      <c r="Z31" s="172">
        <f>_xll.LVCELL($D$1,Z$3,$C31,$D$2,$C$4,$C$5,$C$6,$C$7,$C$8,$D$3)/1000</f>
        <v>600.32399999999996</v>
      </c>
      <c r="AA31" s="172">
        <f>_xll.LVCELL($D$1,AA$3,$C31,$D$2,$C$4,$C$5,$C$6,$C$7,$C$8,$D$3)/1000</f>
        <v>807.37599999999998</v>
      </c>
      <c r="AB31" s="172">
        <f>_xll.LVCELL($D$1,AB$3,$C31,$D$2,$C$4,$C$5,$C$6,$C$7,$C$8,$D$3)/1000</f>
        <v>889.61300000000006</v>
      </c>
      <c r="AC31" s="172">
        <f>_xll.LVCELL($D$1,AC$3,$C31,$D$2,$C$4,$C$5,$C$6,$C$7,$C$8,$D$3)/1000</f>
        <v>1105.194</v>
      </c>
      <c r="AD31" s="172">
        <f>_xll.LVCELL($D$1,AD$2,$C31,$D$2,$C$4,$C$5,$C$6,$C$7,$C$8,$D$3)/1000</f>
        <v>9265.5709999999999</v>
      </c>
      <c r="AE31" s="172">
        <f t="shared" si="1"/>
        <v>66.894000000000233</v>
      </c>
      <c r="AF31" s="193">
        <f t="shared" si="2"/>
        <v>7.272132720824942E-3</v>
      </c>
      <c r="AG31" s="535"/>
      <c r="AJ31" s="64" t="str">
        <f t="shared" si="3"/>
        <v>E5280</v>
      </c>
      <c r="AK31" s="64" t="str">
        <f t="shared" si="4"/>
        <v>E5280</v>
      </c>
      <c r="AL31" s="192" t="str">
        <f t="shared" si="5"/>
        <v>St Georges (La Vallée 1)</v>
      </c>
      <c r="AM31" s="172">
        <f>_xll.LVCELL($AK$1,AM$3,$AK31,$AL$2,$AK$4,$AK$5,$AK$6,$AK$7,$AK$8,$AL$3)/1000</f>
        <v>96.717289620000003</v>
      </c>
      <c r="AN31" s="172">
        <f>_xll.LVCELL($AK$1,AN$3,$AK31,$AL$2,$AK$4,$AK$5,$AK$6,$AK$7,$AK$8,$AL$3)/1000</f>
        <v>82.525245192</v>
      </c>
      <c r="AO31" s="172">
        <f>_xll.LVCELL($AK$1,AO$3,$AK31,$AL$2,$AK$4,$AK$5,$AK$6,$AK$7,$AK$8,$AL$3)/1000</f>
        <v>80.600721972000002</v>
      </c>
      <c r="AP31" s="172">
        <f>_xll.LVCELL($AK$1,AP$3,$AK31,$AL$2,$AK$4,$AK$5,$AK$6,$AK$7,$AK$8,$AL$3)/1000</f>
        <v>69.95010581999999</v>
      </c>
      <c r="AQ31" s="172">
        <f>_xll.LVCELL($AK$1,AQ$3,$AK31,$AL$2,$AK$4,$AK$5,$AK$6,$AK$7,$AK$8,$AL$3)/1000</f>
        <v>58.598878740000004</v>
      </c>
      <c r="AR31" s="172">
        <f>_xll.LVCELL($AK$1,AR$3,$AK31,$AL$2,$AK$4,$AK$5,$AK$6,$AK$7,$AK$8,$AL$3)/1000</f>
        <v>46.711319435999997</v>
      </c>
      <c r="AS31" s="172">
        <f>_xll.LVCELL($AK$1,AS$3,$AK31,$AL$2,$AK$4,$AK$5,$AK$6,$AK$7,$AK$8,$AL$3)/1000</f>
        <v>46.132749252000004</v>
      </c>
      <c r="AT31" s="172">
        <f>_xll.LVCELL($AK$1,AT$3,$AK31,$AL$2,$AK$4,$AK$5,$AK$6,$AK$7,$AK$8,$AL$3)/1000</f>
        <v>41.861502948000002</v>
      </c>
      <c r="AU31" s="172">
        <f>_xll.LVCELL($AK$1,AU$3,$AK31,$AL$2,$AK$4,$AK$5,$AK$6,$AK$7,$AK$8,$AL$3)/1000</f>
        <v>53.560429320000004</v>
      </c>
      <c r="AV31" s="172">
        <f>_xll.LVCELL($AK$1,AV$3,$AK31,$AL$2,$AK$4,$AK$5,$AK$6,$AK$7,$AK$8,$AL$3)/1000</f>
        <v>72.033425795999989</v>
      </c>
      <c r="AW31" s="172">
        <f>_xll.LVCELL($AK$1,AW$3,$AK31,$AL$2,$AK$4,$AK$5,$AK$6,$AK$7,$AK$8,$AL$3)/1000</f>
        <v>79.687584130000005</v>
      </c>
      <c r="AX31" s="172">
        <f>_xll.LVCELL($AK$1,AX$3,$AK31,$AL$2,$AK$4,$AK$5,$AK$6,$AK$7,$AK$8,$AL$3)/1000</f>
        <v>98.998417805000003</v>
      </c>
      <c r="AY31" s="172">
        <f>_xll.LVCELL($AK$1,AY$2,$AK31,$AL$2,$AK$4,$AK$5,$AK$6,$AK$7,$AK$8,$AL$3)/1000</f>
        <v>827.37767003100009</v>
      </c>
      <c r="AZ31" s="172">
        <f>_xll.LVCELL($AK$1,AZ$3,$AK31,$AL$2,$AK$4,$AK$5,$AK$6,$AK$7,$AK$8,$AL$3)/1000</f>
        <v>99.338878684206009</v>
      </c>
      <c r="BA31" s="172">
        <f>_xll.LVCELL($AK$1,BA$3,$AK31,$AL$2,$AK$4,$AK$5,$AK$6,$AK$7,$AK$8,$AL$3)/1000</f>
        <v>84.762182698152003</v>
      </c>
      <c r="BB31" s="172">
        <f>_xll.LVCELL($AK$1,BB$3,$AK31,$AL$2,$AK$4,$AK$5,$AK$6,$AK$7,$AK$8,$AL$3)/1000</f>
        <v>82.785468761966001</v>
      </c>
      <c r="BC31" s="172">
        <f>_xll.LVCELL($AK$1,BC$3,$AK31,$AL$2,$AK$4,$AK$5,$AK$6,$AK$7,$AK$8,$AL$3)/1000</f>
        <v>71.846142683150006</v>
      </c>
      <c r="BD31" s="172">
        <f>_xll.LVCELL($AK$1,BD$3,$AK31,$AL$2,$AK$4,$AK$5,$AK$6,$AK$7,$AK$8,$AL$3)/1000</f>
        <v>60.187278436102005</v>
      </c>
      <c r="BE31" s="172">
        <f>_xll.LVCELL($AK$1,BE$3,$AK31,$AL$2,$AK$4,$AK$5,$AK$6,$AK$7,$AK$8,$AL$3)/1000</f>
        <v>47.977489142262002</v>
      </c>
      <c r="BF31" s="172">
        <f>_xll.LVCELL($AK$1,BF$3,$AK31,$AL$2,$AK$4,$AK$5,$AK$6,$AK$7,$AK$8,$AL$3)/1000</f>
        <v>47.383219526752001</v>
      </c>
      <c r="BG31" s="172">
        <f>_xll.LVCELL($AK$1,BG$3,$AK31,$AL$2,$AK$4,$AK$5,$AK$6,$AK$7,$AK$8,$AL$3)/1000</f>
        <v>42.996254329633999</v>
      </c>
      <c r="BH31" s="172">
        <f>_xll.LVCELL($AK$1,BH$3,$AK31,$AL$2,$AK$4,$AK$5,$AK$6,$AK$7,$AK$8,$AL$3)/1000</f>
        <v>55.012230171383997</v>
      </c>
      <c r="BI31" s="172">
        <f>_xll.LVCELL($AK$1,BI$3,$AK31,$AL$2,$AK$4,$AK$5,$AK$6,$AK$7,$AK$8,$AL$3)/1000</f>
        <v>73.985971486815998</v>
      </c>
      <c r="BJ31" s="172">
        <f>_xll.LVCELL($AK$1,BJ$3,$AK31,$AL$2,$AK$4,$AK$5,$AK$6,$AK$7,$AK$8,$AL$3)/1000</f>
        <v>83.396975295990003</v>
      </c>
      <c r="BK31" s="172">
        <f>_xll.LVCELL($AK$1,BK$3,$AK31,$AL$2,$AK$4,$AK$5,$AK$6,$AK$7,$AK$8,$AL$3)/1000</f>
        <v>103.60666572462</v>
      </c>
      <c r="BL31" s="172">
        <f>_xll.LVCELL($AK$1,BL$2,$AK31,$AL$2,$AK$4,$AK$5,$AK$6,$AK$7,$AK$8,$AL$3)/1000</f>
        <v>853.27875694103398</v>
      </c>
      <c r="BM31" s="214">
        <f t="shared" si="6"/>
        <v>25.901086910033882</v>
      </c>
      <c r="BN31" s="217">
        <f t="shared" si="7"/>
        <v>6.016800226712375</v>
      </c>
      <c r="BO31" s="218">
        <f t="shared" si="7"/>
        <v>19.884286683321616</v>
      </c>
      <c r="BP31" s="193">
        <f t="shared" si="8"/>
        <v>3.1305034989720593E-2</v>
      </c>
      <c r="BQ31" s="190" t="s">
        <v>3551</v>
      </c>
      <c r="BS31" s="198">
        <f t="shared" si="9"/>
        <v>89.945289961915179</v>
      </c>
      <c r="BT31" s="198">
        <f t="shared" si="10"/>
        <v>92.091330036868101</v>
      </c>
      <c r="BU31" s="198">
        <f t="shared" si="11"/>
        <v>2.1460400749529214</v>
      </c>
      <c r="BV31" s="199">
        <f t="shared" si="12"/>
        <v>2.3859393592055817E-2</v>
      </c>
      <c r="BX31" s="200">
        <f t="shared" si="17"/>
        <v>6.016800226712375</v>
      </c>
      <c r="BY31" s="200">
        <f t="shared" si="18"/>
        <v>19.884286683321616</v>
      </c>
      <c r="BZ31" s="200">
        <f t="shared" si="15"/>
        <v>25.901086910033989</v>
      </c>
      <c r="CA31" s="526">
        <f t="shared" si="16"/>
        <v>-1.0658141036401503E-13</v>
      </c>
    </row>
    <row r="32" spans="2:79">
      <c r="B32" s="64" t="str">
        <f>'1-EO_Calcul Reporting'!B39</f>
        <v>E5310</v>
      </c>
      <c r="C32" s="64" t="str">
        <f>'1-EO_Calcul Reporting'!C39</f>
        <v>E5310</v>
      </c>
      <c r="D32" s="192" t="s">
        <v>2633</v>
      </c>
      <c r="E32" s="172">
        <f>_xll.LVCELL($D$1,E$3,$C32,$D$2,$C$4,$C$5,$C$6,$C$7,$C$8,$D$3)/1000</f>
        <v>6717.09</v>
      </c>
      <c r="F32" s="172">
        <f>_xll.LVCELL($D$1,F$3,$C32,$D$2,$C$4,$C$5,$C$6,$C$7,$C$8,$D$3)/1000</f>
        <v>5408.2219999999998</v>
      </c>
      <c r="G32" s="172">
        <f>_xll.LVCELL($D$1,G$3,$C32,$D$2,$C$4,$C$5,$C$6,$C$7,$C$8,$D$3)/1000</f>
        <v>5146.5290000000005</v>
      </c>
      <c r="H32" s="172">
        <f>_xll.LVCELL($D$1,H$3,$C32,$D$2,$C$4,$C$5,$C$6,$C$7,$C$8,$D$3)/1000</f>
        <v>3924.0990000000002</v>
      </c>
      <c r="I32" s="172">
        <f>_xll.LVCELL($D$1,I$3,$C32,$D$2,$C$4,$C$5,$C$6,$C$7,$C$8,$D$3)/1000</f>
        <v>3777.3220000000001</v>
      </c>
      <c r="J32" s="172">
        <f>_xll.LVCELL($D$1,J$3,$C32,$D$2,$C$4,$C$5,$C$6,$C$7,$C$8,$D$3)/1000</f>
        <v>3004.0880000000002</v>
      </c>
      <c r="K32" s="172">
        <f>_xll.LVCELL($D$1,K$3,$C32,$D$2,$C$4,$C$5,$C$6,$C$7,$C$8,$D$3)/1000</f>
        <v>3023.6819999999998</v>
      </c>
      <c r="L32" s="172">
        <f>_xll.LVCELL($D$1,L$3,$C32,$D$2,$C$4,$C$5,$C$6,$C$7,$C$8,$D$3)/1000</f>
        <v>2997.7939999999999</v>
      </c>
      <c r="M32" s="172">
        <f>_xll.LVCELL($D$1,M$3,$C32,$D$2,$C$4,$C$5,$C$6,$C$7,$C$8,$D$3)/1000</f>
        <v>3592.8389999999999</v>
      </c>
      <c r="N32" s="172">
        <f>_xll.LVCELL($D$1,N$3,$C32,$D$2,$C$4,$C$5,$C$6,$C$7,$C$8,$D$3)/1000</f>
        <v>5189.6760000000004</v>
      </c>
      <c r="O32" s="172">
        <f>_xll.LVCELL($D$1,O$3,$C32,$D$2,$C$4,$C$5,$C$6,$C$7,$C$8,$D$3)/1000</f>
        <v>5289.5020000000004</v>
      </c>
      <c r="P32" s="172">
        <f>_xll.LVCELL($D$1,P$3,$C32,$D$2,$C$4,$C$5,$C$6,$C$7,$C$8,$D$3)/1000</f>
        <v>6407.8670000000002</v>
      </c>
      <c r="Q32" s="172">
        <f>_xll.LVCELL($D$1,Q$2,$C32,$D$2,$C$4,$C$5,$C$6,$C$7,$C$8,$D$3)/1000</f>
        <v>54478.71</v>
      </c>
      <c r="R32" s="172">
        <f>_xll.LVCELL($D$1,R$3,$C32,$D$2,$C$4,$C$5,$C$6,$C$7,$C$8,$D$3)/1000</f>
        <v>6717.09</v>
      </c>
      <c r="S32" s="172">
        <f>_xll.LVCELL($D$1,S$3,$C32,$D$2,$C$4,$C$5,$C$6,$C$7,$C$8,$D$3)/1000</f>
        <v>5408.2219999999998</v>
      </c>
      <c r="T32" s="172">
        <f>_xll.LVCELL($D$1,T$3,$C32,$D$2,$C$4,$C$5,$C$6,$C$7,$C$8,$D$3)/1000</f>
        <v>5146.5290000000005</v>
      </c>
      <c r="U32" s="172">
        <f>_xll.LVCELL($D$1,U$3,$C32,$D$2,$C$4,$C$5,$C$6,$C$7,$C$8,$D$3)/1000</f>
        <v>3924.0990000000002</v>
      </c>
      <c r="V32" s="172">
        <f>_xll.LVCELL($D$1,V$3,$C32,$D$2,$C$4,$C$5,$C$6,$C$7,$C$8,$D$3)/1000</f>
        <v>3777.3220000000001</v>
      </c>
      <c r="W32" s="172">
        <f>_xll.LVCELL($D$1,W$3,$C32,$D$2,$C$4,$C$5,$C$6,$C$7,$C$8,$D$3)/1000</f>
        <v>3004.0880000000002</v>
      </c>
      <c r="X32" s="172">
        <f>_xll.LVCELL($D$1,X$3,$C32,$D$2,$C$4,$C$5,$C$6,$C$7,$C$8,$D$3)/1000</f>
        <v>3023.6819999999998</v>
      </c>
      <c r="Y32" s="172">
        <f>_xll.LVCELL($D$1,Y$3,$C32,$D$2,$C$4,$C$5,$C$6,$C$7,$C$8,$D$3)/1000</f>
        <v>2997.7939999999999</v>
      </c>
      <c r="Z32" s="172">
        <f>_xll.LVCELL($D$1,Z$3,$C32,$D$2,$C$4,$C$5,$C$6,$C$7,$C$8,$D$3)/1000</f>
        <v>3592.8389999999999</v>
      </c>
      <c r="AA32" s="172">
        <f>_xll.LVCELL($D$1,AA$3,$C32,$D$2,$C$4,$C$5,$C$6,$C$7,$C$8,$D$3)/1000</f>
        <v>5189.6760000000004</v>
      </c>
      <c r="AB32" s="172">
        <f>_xll.LVCELL($D$1,AB$3,$C32,$D$2,$C$4,$C$5,$C$6,$C$7,$C$8,$D$3)/1000</f>
        <v>5289.5020000000004</v>
      </c>
      <c r="AC32" s="172">
        <f>_xll.LVCELL($D$1,AC$3,$C32,$D$2,$C$4,$C$5,$C$6,$C$7,$C$8,$D$3)/1000</f>
        <v>6407.8670000000002</v>
      </c>
      <c r="AD32" s="172">
        <f>_xll.LVCELL($D$1,AD$2,$C32,$D$2,$C$4,$C$5,$C$6,$C$7,$C$8,$D$3)/1000</f>
        <v>54478.71</v>
      </c>
      <c r="AE32" s="172">
        <f t="shared" si="1"/>
        <v>0</v>
      </c>
      <c r="AF32" s="193">
        <f t="shared" si="2"/>
        <v>0</v>
      </c>
      <c r="AG32" s="535"/>
      <c r="AJ32" s="64" t="str">
        <f t="shared" si="3"/>
        <v>E5310</v>
      </c>
      <c r="AK32" s="64" t="str">
        <f t="shared" si="4"/>
        <v>E5310</v>
      </c>
      <c r="AL32" s="192" t="str">
        <f t="shared" si="5"/>
        <v>Fortel 1/2</v>
      </c>
      <c r="AM32" s="172">
        <f>_xll.LVCELL($AK$1,AM$3,$AK32,$AL$2,$AK$4,$AK$5,$AK$6,$AK$7,$AK$8,$AL$3)/1000</f>
        <v>600.93773976</v>
      </c>
      <c r="AN32" s="172">
        <f>_xll.LVCELL($AK$1,AN$3,$AK32,$AL$2,$AK$4,$AK$5,$AK$6,$AK$7,$AK$8,$AL$3)/1000</f>
        <v>483.841173008</v>
      </c>
      <c r="AO32" s="172">
        <f>_xll.LVCELL($AK$1,AO$3,$AK32,$AL$2,$AK$4,$AK$5,$AK$6,$AK$7,$AK$8,$AL$3)/1000</f>
        <v>460.42907045599998</v>
      </c>
      <c r="AP32" s="172">
        <f>_xll.LVCELL($AK$1,AP$3,$AK32,$AL$2,$AK$4,$AK$5,$AK$6,$AK$7,$AK$8,$AL$3)/1000</f>
        <v>351.06559293599997</v>
      </c>
      <c r="AQ32" s="172">
        <f>_xll.LVCELL($AK$1,AQ$3,$AK32,$AL$2,$AK$4,$AK$5,$AK$6,$AK$7,$AK$8,$AL$3)/1000</f>
        <v>337.93433540799998</v>
      </c>
      <c r="AR32" s="172">
        <f>_xll.LVCELL($AK$1,AR$3,$AK32,$AL$2,$AK$4,$AK$5,$AK$6,$AK$7,$AK$8,$AL$3)/1000</f>
        <v>268.757728832</v>
      </c>
      <c r="AS32" s="172">
        <f>_xll.LVCELL($AK$1,AS$3,$AK32,$AL$2,$AK$4,$AK$5,$AK$6,$AK$7,$AK$8,$AL$3)/1000</f>
        <v>270.510686448</v>
      </c>
      <c r="AT32" s="172">
        <f>_xll.LVCELL($AK$1,AT$3,$AK32,$AL$2,$AK$4,$AK$5,$AK$6,$AK$7,$AK$8,$AL$3)/1000</f>
        <v>268.19464241600002</v>
      </c>
      <c r="AU32" s="172">
        <f>_xll.LVCELL($AK$1,AU$3,$AK32,$AL$2,$AK$4,$AK$5,$AK$6,$AK$7,$AK$8,$AL$3)/1000</f>
        <v>321.42974829600001</v>
      </c>
      <c r="AV32" s="172">
        <f>_xll.LVCELL($AK$1,AV$3,$AK32,$AL$2,$AK$4,$AK$5,$AK$6,$AK$7,$AK$8,$AL$3)/1000</f>
        <v>464.28917366399997</v>
      </c>
      <c r="AW32" s="172">
        <f>_xll.LVCELL($AK$1,AW$3,$AK32,$AL$2,$AK$4,$AK$5,$AK$6,$AK$7,$AK$8,$AL$3)/1000</f>
        <v>475.11364864400002</v>
      </c>
      <c r="AX32" s="172">
        <f>_xll.LVCELL($AK$1,AX$3,$AK32,$AL$2,$AK$4,$AK$5,$AK$6,$AK$7,$AK$8,$AL$3)/1000</f>
        <v>575.56742967399998</v>
      </c>
      <c r="AY32" s="172">
        <f>_xll.LVCELL($AK$1,AY$2,$AK32,$AL$2,$AK$4,$AK$5,$AK$6,$AK$7,$AK$8,$AL$3)/1000</f>
        <v>4878.0709695420001</v>
      </c>
      <c r="AZ32" s="172">
        <f>_xll.LVCELL($AK$1,AZ$3,$AK32,$AL$2,$AK$4,$AK$5,$AK$6,$AK$7,$AK$8,$AL$3)/1000</f>
        <v>612.67664043452999</v>
      </c>
      <c r="BA32" s="172">
        <f>_xll.LVCELL($AK$1,BA$3,$AK32,$AL$2,$AK$4,$AK$5,$AK$6,$AK$7,$AK$8,$AL$3)/1000</f>
        <v>493.292673714974</v>
      </c>
      <c r="BB32" s="172">
        <f>_xll.LVCELL($AK$1,BB$3,$AK32,$AL$2,$AK$4,$AK$5,$AK$6,$AK$7,$AK$8,$AL$3)/1000</f>
        <v>469.423232027393</v>
      </c>
      <c r="BC32" s="172">
        <f>_xll.LVCELL($AK$1,BC$3,$AK32,$AL$2,$AK$4,$AK$5,$AK$6,$AK$7,$AK$8,$AL$3)/1000</f>
        <v>357.92341505808304</v>
      </c>
      <c r="BD32" s="172">
        <f>_xll.LVCELL($AK$1,BD$3,$AK32,$AL$2,$AK$4,$AK$5,$AK$6,$AK$7,$AK$8,$AL$3)/1000</f>
        <v>344.53564754967397</v>
      </c>
      <c r="BE32" s="172">
        <f>_xll.LVCELL($AK$1,BE$3,$AK32,$AL$2,$AK$4,$AK$5,$AK$6,$AK$7,$AK$8,$AL$3)/1000</f>
        <v>274.00772409029599</v>
      </c>
      <c r="BF32" s="172">
        <f>_xll.LVCELL($AK$1,BF$3,$AK32,$AL$2,$AK$4,$AK$5,$AK$6,$AK$7,$AK$8,$AL$3)/1000</f>
        <v>275.794924513794</v>
      </c>
      <c r="BG32" s="172">
        <f>_xll.LVCELL($AK$1,BG$3,$AK32,$AL$2,$AK$4,$AK$5,$AK$6,$AK$7,$AK$8,$AL$3)/1000</f>
        <v>273.43363817289799</v>
      </c>
      <c r="BH32" s="172">
        <f>_xll.LVCELL($AK$1,BH$3,$AK32,$AL$2,$AK$4,$AK$5,$AK$6,$AK$7,$AK$8,$AL$3)/1000</f>
        <v>327.70865481066301</v>
      </c>
      <c r="BI32" s="172">
        <f>_xll.LVCELL($AK$1,BI$3,$AK32,$AL$2,$AK$4,$AK$5,$AK$6,$AK$7,$AK$8,$AL$3)/1000</f>
        <v>473.35873966609199</v>
      </c>
      <c r="BJ32" s="172">
        <f>_xll.LVCELL($AK$1,BJ$3,$AK32,$AL$2,$AK$4,$AK$5,$AK$6,$AK$7,$AK$8,$AL$3)/1000</f>
        <v>493.56070223696798</v>
      </c>
      <c r="BK32" s="172">
        <f>_xll.LVCELL($AK$1,BK$3,$AK32,$AL$2,$AK$4,$AK$5,$AK$6,$AK$7,$AK$8,$AL$3)/1000</f>
        <v>597.91476331062802</v>
      </c>
      <c r="BL32" s="172">
        <f>_xll.LVCELL($AK$1,BL$2,$AK32,$AL$2,$AK$4,$AK$5,$AK$6,$AK$7,$AK$8,$AL$3)/1000</f>
        <v>4993.6307555859939</v>
      </c>
      <c r="BM32" s="214">
        <f t="shared" si="6"/>
        <v>115.55978604399388</v>
      </c>
      <c r="BN32" s="217">
        <f t="shared" si="7"/>
        <v>0</v>
      </c>
      <c r="BO32" s="218">
        <f t="shared" si="7"/>
        <v>115.55978604399444</v>
      </c>
      <c r="BP32" s="193">
        <f t="shared" si="8"/>
        <v>2.3689648380585959E-2</v>
      </c>
      <c r="BQ32" s="190"/>
      <c r="BS32" s="198">
        <f t="shared" si="9"/>
        <v>89.540867791142631</v>
      </c>
      <c r="BT32" s="198">
        <f t="shared" si="10"/>
        <v>91.662059464807342</v>
      </c>
      <c r="BU32" s="198">
        <f t="shared" si="11"/>
        <v>2.1211916736647112</v>
      </c>
      <c r="BV32" s="199">
        <f t="shared" si="12"/>
        <v>2.3689648380586046E-2</v>
      </c>
      <c r="BX32" s="200">
        <f t="shared" si="17"/>
        <v>0</v>
      </c>
      <c r="BY32" s="200">
        <f t="shared" si="18"/>
        <v>115.55978604399444</v>
      </c>
      <c r="BZ32" s="200">
        <f t="shared" si="15"/>
        <v>115.55978604399444</v>
      </c>
      <c r="CA32" s="526">
        <f t="shared" si="16"/>
        <v>-5.5422333389287814E-13</v>
      </c>
    </row>
    <row r="33" spans="2:79">
      <c r="B33" s="64" t="str">
        <f>'1-EO_Calcul Reporting'!B41</f>
        <v>E5320</v>
      </c>
      <c r="C33" s="64" t="str">
        <f>'1-EO_Calcul Reporting'!C41</f>
        <v>E5320</v>
      </c>
      <c r="D33" s="192" t="s">
        <v>2634</v>
      </c>
      <c r="E33" s="172">
        <f>_xll.LVCELL($D$1,E$3,$C33,$D$2,$C$4,$C$5,$C$6,$C$7,$C$8,$D$3)/1000</f>
        <v>6301.0129999999999</v>
      </c>
      <c r="F33" s="172">
        <f>_xll.LVCELL($D$1,F$3,$C33,$D$2,$C$4,$C$5,$C$6,$C$7,$C$8,$D$3)/1000</f>
        <v>5189.1530000000002</v>
      </c>
      <c r="G33" s="172">
        <f>_xll.LVCELL($D$1,G$3,$C33,$D$2,$C$4,$C$5,$C$6,$C$7,$C$8,$D$3)/1000</f>
        <v>4959.3680000000004</v>
      </c>
      <c r="H33" s="172">
        <f>_xll.LVCELL($D$1,H$3,$C33,$D$2,$C$4,$C$5,$C$6,$C$7,$C$8,$D$3)/1000</f>
        <v>3884.761</v>
      </c>
      <c r="I33" s="172">
        <f>_xll.LVCELL($D$1,I$3,$C33,$D$2,$C$4,$C$5,$C$6,$C$7,$C$8,$D$3)/1000</f>
        <v>3683.3139999999999</v>
      </c>
      <c r="J33" s="172">
        <f>_xll.LVCELL($D$1,J$3,$C33,$D$2,$C$4,$C$5,$C$6,$C$7,$C$8,$D$3)/1000</f>
        <v>2885.018</v>
      </c>
      <c r="K33" s="172">
        <f>_xll.LVCELL($D$1,K$3,$C33,$D$2,$C$4,$C$5,$C$6,$C$7,$C$8,$D$3)/1000</f>
        <v>2830.623</v>
      </c>
      <c r="L33" s="172">
        <f>_xll.LVCELL($D$1,L$3,$C33,$D$2,$C$4,$C$5,$C$6,$C$7,$C$8,$D$3)/1000</f>
        <v>2784.4110000000001</v>
      </c>
      <c r="M33" s="172">
        <f>_xll.LVCELL($D$1,M$3,$C33,$D$2,$C$4,$C$5,$C$6,$C$7,$C$8,$D$3)/1000</f>
        <v>3496.6930000000002</v>
      </c>
      <c r="N33" s="172">
        <f>_xll.LVCELL($D$1,N$3,$C33,$D$2,$C$4,$C$5,$C$6,$C$7,$C$8,$D$3)/1000</f>
        <v>4983.2190000000001</v>
      </c>
      <c r="O33" s="172">
        <f>_xll.LVCELL($D$1,O$3,$C33,$D$2,$C$4,$C$5,$C$6,$C$7,$C$8,$D$3)/1000</f>
        <v>5093.6840000000002</v>
      </c>
      <c r="P33" s="172">
        <f>_xll.LVCELL($D$1,P$3,$C33,$D$2,$C$4,$C$5,$C$6,$C$7,$C$8,$D$3)/1000</f>
        <v>6125.1090000000004</v>
      </c>
      <c r="Q33" s="172">
        <f>_xll.LVCELL($D$1,Q$2,$C33,$D$2,$C$4,$C$5,$C$6,$C$7,$C$8,$D$3)/1000</f>
        <v>52216.366000000002</v>
      </c>
      <c r="R33" s="172">
        <f>_xll.LVCELL($D$1,R$3,$C33,$D$2,$C$4,$C$5,$C$6,$C$7,$C$8,$D$3)/1000</f>
        <v>6301.0129999999999</v>
      </c>
      <c r="S33" s="172">
        <f>_xll.LVCELL($D$1,S$3,$C33,$D$2,$C$4,$C$5,$C$6,$C$7,$C$8,$D$3)/1000</f>
        <v>5189.1530000000002</v>
      </c>
      <c r="T33" s="172">
        <f>_xll.LVCELL($D$1,T$3,$C33,$D$2,$C$4,$C$5,$C$6,$C$7,$C$8,$D$3)/1000</f>
        <v>4959.3680000000004</v>
      </c>
      <c r="U33" s="172">
        <f>_xll.LVCELL($D$1,U$3,$C33,$D$2,$C$4,$C$5,$C$6,$C$7,$C$8,$D$3)/1000</f>
        <v>3884.761</v>
      </c>
      <c r="V33" s="172">
        <f>_xll.LVCELL($D$1,V$3,$C33,$D$2,$C$4,$C$5,$C$6,$C$7,$C$8,$D$3)/1000</f>
        <v>3683.3139999999999</v>
      </c>
      <c r="W33" s="172">
        <f>_xll.LVCELL($D$1,W$3,$C33,$D$2,$C$4,$C$5,$C$6,$C$7,$C$8,$D$3)/1000</f>
        <v>2885.018</v>
      </c>
      <c r="X33" s="172">
        <f>_xll.LVCELL($D$1,X$3,$C33,$D$2,$C$4,$C$5,$C$6,$C$7,$C$8,$D$3)/1000</f>
        <v>2830.623</v>
      </c>
      <c r="Y33" s="172">
        <f>_xll.LVCELL($D$1,Y$3,$C33,$D$2,$C$4,$C$5,$C$6,$C$7,$C$8,$D$3)/1000</f>
        <v>2784.4110000000001</v>
      </c>
      <c r="Z33" s="172">
        <f>_xll.LVCELL($D$1,Z$3,$C33,$D$2,$C$4,$C$5,$C$6,$C$7,$C$8,$D$3)/1000</f>
        <v>3496.6930000000002</v>
      </c>
      <c r="AA33" s="172">
        <f>_xll.LVCELL($D$1,AA$3,$C33,$D$2,$C$4,$C$5,$C$6,$C$7,$C$8,$D$3)/1000</f>
        <v>4983.2190000000001</v>
      </c>
      <c r="AB33" s="172">
        <f>_xll.LVCELL($D$1,AB$3,$C33,$D$2,$C$4,$C$5,$C$6,$C$7,$C$8,$D$3)/1000</f>
        <v>5093.6840000000002</v>
      </c>
      <c r="AC33" s="172">
        <f>_xll.LVCELL($D$1,AC$3,$C33,$D$2,$C$4,$C$5,$C$6,$C$7,$C$8,$D$3)/1000</f>
        <v>6125.1090000000004</v>
      </c>
      <c r="AD33" s="172">
        <f>_xll.LVCELL($D$1,AD$2,$C33,$D$2,$C$4,$C$5,$C$6,$C$7,$C$8,$D$3)/1000</f>
        <v>52216.366000000002</v>
      </c>
      <c r="AE33" s="172">
        <f t="shared" si="1"/>
        <v>0</v>
      </c>
      <c r="AF33" s="193">
        <f t="shared" si="2"/>
        <v>0</v>
      </c>
      <c r="AG33" s="535"/>
      <c r="AJ33" s="64" t="str">
        <f t="shared" si="3"/>
        <v>E5320</v>
      </c>
      <c r="AK33" s="64" t="str">
        <f t="shared" si="4"/>
        <v>E5320</v>
      </c>
      <c r="AL33" s="192" t="str">
        <f t="shared" si="5"/>
        <v>St François Roye 2/3</v>
      </c>
      <c r="AM33" s="172">
        <f>_xll.LVCELL($AK$1,AM$3,$AK33,$AL$2,$AK$4,$AK$5,$AK$6,$AK$7,$AK$8,$AL$3)/1000</f>
        <v>562.62375178299999</v>
      </c>
      <c r="AN33" s="172">
        <f>_xll.LVCELL($AK$1,AN$3,$AK33,$AL$2,$AK$4,$AK$5,$AK$6,$AK$7,$AK$8,$AL$3)/1000</f>
        <v>463.34466052300002</v>
      </c>
      <c r="AO33" s="172">
        <f>_xll.LVCELL($AK$1,AO$3,$AK33,$AL$2,$AK$4,$AK$5,$AK$6,$AK$7,$AK$8,$AL$3)/1000</f>
        <v>442.82692808799999</v>
      </c>
      <c r="AP33" s="172">
        <f>_xll.LVCELL($AK$1,AP$3,$AK33,$AL$2,$AK$4,$AK$5,$AK$6,$AK$7,$AK$8,$AL$3)/1000</f>
        <v>346.87419445099999</v>
      </c>
      <c r="AQ33" s="172">
        <f>_xll.LVCELL($AK$1,AQ$3,$AK33,$AL$2,$AK$4,$AK$5,$AK$6,$AK$7,$AK$8,$AL$3)/1000</f>
        <v>328.88679037399999</v>
      </c>
      <c r="AR33" s="172">
        <f>_xll.LVCELL($AK$1,AR$3,$AK33,$AL$2,$AK$4,$AK$5,$AK$6,$AK$7,$AK$8,$AL$3)/1000</f>
        <v>257.60614223800002</v>
      </c>
      <c r="AS33" s="172">
        <f>_xll.LVCELL($AK$1,AS$3,$AK33,$AL$2,$AK$4,$AK$5,$AK$6,$AK$7,$AK$8,$AL$3)/1000</f>
        <v>252.74915829299999</v>
      </c>
      <c r="AT33" s="172">
        <f>_xll.LVCELL($AK$1,AT$3,$AK33,$AL$2,$AK$4,$AK$5,$AK$6,$AK$7,$AK$8,$AL$3)/1000</f>
        <v>248.622842601</v>
      </c>
      <c r="AU33" s="172">
        <f>_xll.LVCELL($AK$1,AU$3,$AK33,$AL$2,$AK$4,$AK$5,$AK$6,$AK$7,$AK$8,$AL$3)/1000</f>
        <v>312.22321466300002</v>
      </c>
      <c r="AV33" s="172">
        <f>_xll.LVCELL($AK$1,AV$3,$AK33,$AL$2,$AK$4,$AK$5,$AK$6,$AK$7,$AK$8,$AL$3)/1000</f>
        <v>444.95660772899998</v>
      </c>
      <c r="AW33" s="172">
        <f>_xll.LVCELL($AK$1,AW$3,$AK33,$AL$2,$AK$4,$AK$5,$AK$6,$AK$7,$AK$8,$AL$3)/1000</f>
        <v>456.63858323200003</v>
      </c>
      <c r="AX33" s="172">
        <f>_xll.LVCELL($AK$1,AX$3,$AK33,$AL$2,$AK$4,$AK$5,$AK$6,$AK$7,$AK$8,$AL$3)/1000</f>
        <v>549.10377163199996</v>
      </c>
      <c r="AY33" s="172">
        <f>_xll.LVCELL($AK$1,AY$2,$AK33,$AL$2,$AK$4,$AK$5,$AK$6,$AK$7,$AK$8,$AL$3)/1000</f>
        <v>4666.4566456070006</v>
      </c>
      <c r="AZ33" s="172">
        <f>_xll.LVCELL($AK$1,AZ$3,$AK33,$AL$2,$AK$4,$AK$5,$AK$6,$AK$7,$AK$8,$AL$3)/1000</f>
        <v>573.65210608726295</v>
      </c>
      <c r="BA33" s="172">
        <f>_xll.LVCELL($AK$1,BA$3,$AK33,$AL$2,$AK$4,$AK$5,$AK$6,$AK$7,$AK$8,$AL$3)/1000</f>
        <v>472.426980750403</v>
      </c>
      <c r="BB33" s="172">
        <f>_xll.LVCELL($AK$1,BB$3,$AK33,$AL$2,$AK$4,$AK$5,$AK$6,$AK$7,$AK$8,$AL$3)/1000</f>
        <v>451.50706688936799</v>
      </c>
      <c r="BC33" s="172">
        <f>_xll.LVCELL($AK$1,BC$3,$AK33,$AL$2,$AK$4,$AK$5,$AK$6,$AK$7,$AK$8,$AL$3)/1000</f>
        <v>353.673501276011</v>
      </c>
      <c r="BD33" s="172">
        <f>_xll.LVCELL($AK$1,BD$3,$AK33,$AL$2,$AK$4,$AK$5,$AK$6,$AK$7,$AK$8,$AL$3)/1000</f>
        <v>335.333514385814</v>
      </c>
      <c r="BE33" s="172">
        <f>_xll.LVCELL($AK$1,BE$3,$AK33,$AL$2,$AK$4,$AK$5,$AK$6,$AK$7,$AK$8,$AL$3)/1000</f>
        <v>262.65564787751799</v>
      </c>
      <c r="BF33" s="172">
        <f>_xll.LVCELL($AK$1,BF$3,$AK33,$AL$2,$AK$4,$AK$5,$AK$6,$AK$7,$AK$8,$AL$3)/1000</f>
        <v>257.70345902937299</v>
      </c>
      <c r="BG33" s="172">
        <f>_xll.LVCELL($AK$1,BG$3,$AK33,$AL$2,$AK$4,$AK$5,$AK$6,$AK$7,$AK$8,$AL$3)/1000</f>
        <v>253.49626073816103</v>
      </c>
      <c r="BH33" s="172">
        <f>_xll.LVCELL($AK$1,BH$3,$AK33,$AL$2,$AK$4,$AK$5,$AK$6,$AK$7,$AK$8,$AL$3)/1000</f>
        <v>318.343305082943</v>
      </c>
      <c r="BI33" s="172">
        <f>_xll.LVCELL($AK$1,BI$3,$AK33,$AL$2,$AK$4,$AK$5,$AK$6,$AK$7,$AK$8,$AL$3)/1000</f>
        <v>453.67849176696899</v>
      </c>
      <c r="BJ33" s="172">
        <f>_xll.LVCELL($AK$1,BJ$3,$AK33,$AL$2,$AK$4,$AK$5,$AK$6,$AK$7,$AK$8,$AL$3)/1000</f>
        <v>474.40127298311597</v>
      </c>
      <c r="BK33" s="172">
        <f>_xll.LVCELL($AK$1,BK$3,$AK33,$AL$2,$AK$4,$AK$5,$AK$6,$AK$7,$AK$8,$AL$3)/1000</f>
        <v>570.46324561169104</v>
      </c>
      <c r="BL33" s="172">
        <f>_xll.LVCELL($AK$1,BL$2,$AK33,$AL$2,$AK$4,$AK$5,$AK$6,$AK$7,$AK$8,$AL$3)/1000</f>
        <v>4777.3348524786297</v>
      </c>
      <c r="BM33" s="214">
        <f t="shared" si="6"/>
        <v>110.87820687162912</v>
      </c>
      <c r="BN33" s="217">
        <f t="shared" si="7"/>
        <v>0</v>
      </c>
      <c r="BO33" s="218">
        <f t="shared" si="7"/>
        <v>110.8782068716291</v>
      </c>
      <c r="BP33" s="193">
        <f t="shared" si="8"/>
        <v>2.3760685096262391E-2</v>
      </c>
      <c r="BQ33" s="190"/>
      <c r="BS33" s="198">
        <f t="shared" si="9"/>
        <v>89.367702179944899</v>
      </c>
      <c r="BT33" s="198">
        <f t="shared" si="10"/>
        <v>91.491140009219137</v>
      </c>
      <c r="BU33" s="198">
        <f t="shared" si="11"/>
        <v>2.1234378292742377</v>
      </c>
      <c r="BV33" s="199">
        <f t="shared" si="12"/>
        <v>2.3760685096262446E-2</v>
      </c>
      <c r="BX33" s="200">
        <f t="shared" si="17"/>
        <v>0</v>
      </c>
      <c r="BY33" s="200">
        <f t="shared" si="18"/>
        <v>110.8782068716291</v>
      </c>
      <c r="BZ33" s="200">
        <f t="shared" si="15"/>
        <v>110.8782068716291</v>
      </c>
      <c r="CA33" s="526">
        <f t="shared" si="16"/>
        <v>0</v>
      </c>
    </row>
    <row r="34" spans="2:79">
      <c r="B34" s="64" t="str">
        <f>'1-EO_Calcul Reporting'!B43</f>
        <v>E5360</v>
      </c>
      <c r="C34" s="64" t="str">
        <f>'1-EO_Calcul Reporting'!C43</f>
        <v>E5360</v>
      </c>
      <c r="D34" s="192" t="str">
        <f>'1-EO_Calcul Reporting'!D43</f>
        <v>Calmont (Laur Eole Energie )</v>
      </c>
      <c r="E34" s="172">
        <f>_xll.LVCELL($D$1,E$3,$C34,$D$2,$C$4,$C$5,$C$6,$C$7,$C$8,$D$3)/1000</f>
        <v>3383.1849999999999</v>
      </c>
      <c r="F34" s="172">
        <f>_xll.LVCELL($D$1,F$3,$C34,$D$2,$C$4,$C$5,$C$6,$C$7,$C$8,$D$3)/1000</f>
        <v>3132.0880000000002</v>
      </c>
      <c r="G34" s="172">
        <f>_xll.LVCELL($D$1,G$3,$C34,$D$2,$C$4,$C$5,$C$6,$C$7,$C$8,$D$3)/1000</f>
        <v>3497.951</v>
      </c>
      <c r="H34" s="172">
        <f>_xll.LVCELL($D$1,H$3,$C34,$D$2,$C$4,$C$5,$C$6,$C$7,$C$8,$D$3)/1000</f>
        <v>3098.779</v>
      </c>
      <c r="I34" s="172">
        <f>_xll.LVCELL($D$1,I$3,$C34,$D$2,$C$4,$C$5,$C$6,$C$7,$C$8,$D$3)/1000</f>
        <v>2916.951</v>
      </c>
      <c r="J34" s="172">
        <f>_xll.LVCELL($D$1,J$3,$C34,$D$2,$C$4,$C$5,$C$6,$C$7,$C$8,$D$3)/1000</f>
        <v>2087.9299999999998</v>
      </c>
      <c r="K34" s="172">
        <f>_xll.LVCELL($D$1,K$3,$C34,$D$2,$C$4,$C$5,$C$6,$C$7,$C$8,$D$3)/1000</f>
        <v>1820.404</v>
      </c>
      <c r="L34" s="172">
        <f>_xll.LVCELL($D$1,L$3,$C34,$D$2,$C$4,$C$5,$C$6,$C$7,$C$8,$D$3)/1000</f>
        <v>1789.0229999999999</v>
      </c>
      <c r="M34" s="172">
        <f>_xll.LVCELL($D$1,M$3,$C34,$D$2,$C$4,$C$5,$C$6,$C$7,$C$8,$D$3)/1000</f>
        <v>2259.7310000000002</v>
      </c>
      <c r="N34" s="172">
        <f>_xll.LVCELL($D$1,N$3,$C34,$D$2,$C$4,$C$5,$C$6,$C$7,$C$8,$D$3)/1000</f>
        <v>3023.6469999999999</v>
      </c>
      <c r="O34" s="172">
        <f>_xll.LVCELL($D$1,O$3,$C34,$D$2,$C$4,$C$5,$C$6,$C$7,$C$8,$D$3)/1000</f>
        <v>3032.835</v>
      </c>
      <c r="P34" s="172">
        <f>_xll.LVCELL($D$1,P$3,$C34,$D$2,$C$4,$C$5,$C$6,$C$7,$C$8,$D$3)/1000</f>
        <v>3221.797</v>
      </c>
      <c r="Q34" s="172">
        <f>_xll.LVCELL($D$1,Q$2,$C34,$D$2,$C$4,$C$5,$C$6,$C$7,$C$8,$D$3)/1000</f>
        <v>33264.321000000004</v>
      </c>
      <c r="R34" s="172">
        <f>_xll.LVCELL($D$1,R$3,$C34,$D$2,$C$4,$C$5,$C$6,$C$7,$C$8,$D$3)/1000</f>
        <v>3383.1849999999999</v>
      </c>
      <c r="S34" s="172">
        <f>_xll.LVCELL($D$1,S$3,$C34,$D$2,$C$4,$C$5,$C$6,$C$7,$C$8,$D$3)/1000</f>
        <v>3132.0880000000002</v>
      </c>
      <c r="T34" s="172">
        <f>_xll.LVCELL($D$1,T$3,$C34,$D$2,$C$4,$C$5,$C$6,$C$7,$C$8,$D$3)/1000</f>
        <v>3497.951</v>
      </c>
      <c r="U34" s="172">
        <f>_xll.LVCELL($D$1,U$3,$C34,$D$2,$C$4,$C$5,$C$6,$C$7,$C$8,$D$3)/1000</f>
        <v>3098.779</v>
      </c>
      <c r="V34" s="172">
        <f>_xll.LVCELL($D$1,V$3,$C34,$D$2,$C$4,$C$5,$C$6,$C$7,$C$8,$D$3)/1000</f>
        <v>2916.951</v>
      </c>
      <c r="W34" s="172">
        <f>_xll.LVCELL($D$1,W$3,$C34,$D$2,$C$4,$C$5,$C$6,$C$7,$C$8,$D$3)/1000</f>
        <v>2087.9299999999998</v>
      </c>
      <c r="X34" s="172">
        <f>_xll.LVCELL($D$1,X$3,$C34,$D$2,$C$4,$C$5,$C$6,$C$7,$C$8,$D$3)/1000</f>
        <v>1820.404</v>
      </c>
      <c r="Y34" s="172">
        <f>_xll.LVCELL($D$1,Y$3,$C34,$D$2,$C$4,$C$5,$C$6,$C$7,$C$8,$D$3)/1000</f>
        <v>1789.0229999999999</v>
      </c>
      <c r="Z34" s="172">
        <f>_xll.LVCELL($D$1,Z$3,$C34,$D$2,$C$4,$C$5,$C$6,$C$7,$C$8,$D$3)/1000</f>
        <v>2259.7310000000002</v>
      </c>
      <c r="AA34" s="172">
        <f>_xll.LVCELL($D$1,AA$3,$C34,$D$2,$C$4,$C$5,$C$6,$C$7,$C$8,$D$3)/1000</f>
        <v>3023.6469999999999</v>
      </c>
      <c r="AB34" s="172">
        <f>_xll.LVCELL($D$1,AB$3,$C34,$D$2,$C$4,$C$5,$C$6,$C$7,$C$8,$D$3)/1000</f>
        <v>3032.835</v>
      </c>
      <c r="AC34" s="172">
        <f>_xll.LVCELL($D$1,AC$3,$C34,$D$2,$C$4,$C$5,$C$6,$C$7,$C$8,$D$3)/1000</f>
        <v>3221.797</v>
      </c>
      <c r="AD34" s="172">
        <f>_xll.LVCELL($D$1,AD$2,$C34,$D$2,$C$4,$C$5,$C$6,$C$7,$C$8,$D$3)/1000</f>
        <v>33264.321000000004</v>
      </c>
      <c r="AE34" s="172">
        <f t="shared" si="1"/>
        <v>0</v>
      </c>
      <c r="AF34" s="193">
        <f t="shared" si="2"/>
        <v>0</v>
      </c>
      <c r="AG34" s="535"/>
      <c r="AJ34" s="64" t="str">
        <f t="shared" si="3"/>
        <v>E5360</v>
      </c>
      <c r="AK34" s="64" t="str">
        <f t="shared" si="4"/>
        <v>E5360</v>
      </c>
      <c r="AL34" s="192" t="str">
        <f t="shared" si="5"/>
        <v>Calmont (Laur Eole Energie )</v>
      </c>
      <c r="AM34" s="172">
        <f>_xll.LVCELL($AK$1,AM$3,$AK34,$AL$2,$AK$4,$AK$5,$AK$6,$AK$7,$AK$8,$AL$3)/1000</f>
        <v>301.12038092500001</v>
      </c>
      <c r="AN34" s="172">
        <f>_xll.LVCELL($AK$1,AN$3,$AK34,$AL$2,$AK$4,$AK$5,$AK$6,$AK$7,$AK$8,$AL$3)/1000</f>
        <v>278.77149243999997</v>
      </c>
      <c r="AO34" s="172">
        <f>_xll.LVCELL($AK$1,AO$3,$AK34,$AL$2,$AK$4,$AK$5,$AK$6,$AK$7,$AK$8,$AL$3)/1000</f>
        <v>311.33512875500003</v>
      </c>
      <c r="AP34" s="172">
        <f>_xll.LVCELL($AK$1,AP$3,$AK34,$AL$2,$AK$4,$AK$5,$AK$6,$AK$7,$AK$8,$AL$3)/1000</f>
        <v>275.80682489500003</v>
      </c>
      <c r="AQ34" s="172">
        <f>_xll.LVCELL($AK$1,AQ$3,$AK34,$AL$2,$AK$4,$AK$5,$AK$6,$AK$7,$AK$8,$AL$3)/1000</f>
        <v>259.62322375500003</v>
      </c>
      <c r="AR34" s="172">
        <f>_xll.LVCELL($AK$1,AR$3,$AK34,$AL$2,$AK$4,$AK$5,$AK$6,$AK$7,$AK$8,$AL$3)/1000</f>
        <v>185.83620965</v>
      </c>
      <c r="AS34" s="172">
        <f>_xll.LVCELL($AK$1,AS$3,$AK34,$AL$2,$AK$4,$AK$5,$AK$6,$AK$7,$AK$8,$AL$3)/1000</f>
        <v>162.02505801999999</v>
      </c>
      <c r="AT34" s="172">
        <f>_xll.LVCELL($AK$1,AT$3,$AK34,$AL$2,$AK$4,$AK$5,$AK$6,$AK$7,$AK$8,$AL$3)/1000</f>
        <v>159.231992115</v>
      </c>
      <c r="AU34" s="172">
        <f>_xll.LVCELL($AK$1,AU$3,$AK34,$AL$2,$AK$4,$AK$5,$AK$6,$AK$7,$AK$8,$AL$3)/1000</f>
        <v>201.127357655</v>
      </c>
      <c r="AV34" s="172">
        <f>_xll.LVCELL($AK$1,AV$3,$AK34,$AL$2,$AK$4,$AK$5,$AK$6,$AK$7,$AK$8,$AL$3)/1000</f>
        <v>269.11970123499998</v>
      </c>
      <c r="AW34" s="172">
        <f>_xll.LVCELL($AK$1,AW$3,$AK34,$AL$2,$AK$4,$AK$5,$AK$6,$AK$7,$AK$8,$AL$3)/1000</f>
        <v>271.01716843499997</v>
      </c>
      <c r="AX34" s="172">
        <f>_xll.LVCELL($AK$1,AX$3,$AK34,$AL$2,$AK$4,$AK$5,$AK$6,$AK$7,$AK$8,$AL$3)/1000</f>
        <v>287.903001717</v>
      </c>
      <c r="AY34" s="172">
        <f>_xll.LVCELL($AK$1,AY$2,$AK34,$AL$2,$AK$4,$AK$5,$AK$6,$AK$7,$AK$8,$AL$3)/1000</f>
        <v>2962.9175395970001</v>
      </c>
      <c r="AZ34" s="172">
        <f>_xll.LVCELL($AK$1,AZ$3,$AK34,$AL$2,$AK$4,$AK$5,$AK$6,$AK$7,$AK$8,$AL$3)/1000</f>
        <v>306.95303584640504</v>
      </c>
      <c r="BA34" s="172">
        <f>_xll.LVCELL($AK$1,BA$3,$AK34,$AL$2,$AK$4,$AK$5,$AK$6,$AK$7,$AK$8,$AL$3)/1000</f>
        <v>284.17125286914404</v>
      </c>
      <c r="BB34" s="172">
        <f>_xll.LVCELL($AK$1,BB$3,$AK34,$AL$2,$AK$4,$AK$5,$AK$6,$AK$7,$AK$8,$AL$3)/1000</f>
        <v>317.36564175236299</v>
      </c>
      <c r="BC34" s="172">
        <f>_xll.LVCELL($AK$1,BC$3,$AK34,$AL$2,$AK$4,$AK$5,$AK$6,$AK$7,$AK$8,$AL$3)/1000</f>
        <v>281.14916017512695</v>
      </c>
      <c r="BD34" s="172">
        <f>_xll.LVCELL($AK$1,BD$3,$AK34,$AL$2,$AK$4,$AK$5,$AK$6,$AK$7,$AK$8,$AL$3)/1000</f>
        <v>264.652085199363</v>
      </c>
      <c r="BE34" s="172">
        <f>_xll.LVCELL($AK$1,BE$3,$AK34,$AL$2,$AK$4,$AK$5,$AK$6,$AK$7,$AK$8,$AL$3)/1000</f>
        <v>189.43582811309003</v>
      </c>
      <c r="BF34" s="172">
        <f>_xll.LVCELL($AK$1,BF$3,$AK34,$AL$2,$AK$4,$AK$5,$AK$6,$AK$7,$AK$8,$AL$3)/1000</f>
        <v>165.163458181252</v>
      </c>
      <c r="BG34" s="172">
        <f>_xll.LVCELL($AK$1,BG$3,$AK34,$AL$2,$AK$4,$AK$5,$AK$6,$AK$7,$AK$8,$AL$3)/1000</f>
        <v>162.31629102429898</v>
      </c>
      <c r="BH34" s="172">
        <f>_xll.LVCELL($AK$1,BH$3,$AK34,$AL$2,$AK$4,$AK$5,$AK$6,$AK$7,$AK$8,$AL$3)/1000</f>
        <v>205.02316327550301</v>
      </c>
      <c r="BI34" s="172">
        <f>_xll.LVCELL($AK$1,BI$3,$AK34,$AL$2,$AK$4,$AK$5,$AK$6,$AK$7,$AK$8,$AL$3)/1000</f>
        <v>274.33250797041097</v>
      </c>
      <c r="BJ34" s="172">
        <f>_xll.LVCELL($AK$1,BJ$3,$AK34,$AL$2,$AK$4,$AK$5,$AK$6,$AK$7,$AK$8,$AL$3)/1000</f>
        <v>281.494949169135</v>
      </c>
      <c r="BK34" s="172">
        <f>_xll.LVCELL($AK$1,BK$3,$AK34,$AL$2,$AK$4,$AK$5,$AK$6,$AK$7,$AK$8,$AL$3)/1000</f>
        <v>299.033604778457</v>
      </c>
      <c r="BL34" s="172">
        <f>_xll.LVCELL($AK$1,BL$2,$AK34,$AL$2,$AK$4,$AK$5,$AK$6,$AK$7,$AK$8,$AL$3)/1000</f>
        <v>3031.090978354549</v>
      </c>
      <c r="BM34" s="214">
        <f t="shared" si="6"/>
        <v>68.173438757548865</v>
      </c>
      <c r="BN34" s="217">
        <f t="shared" si="7"/>
        <v>0</v>
      </c>
      <c r="BO34" s="218">
        <f t="shared" si="7"/>
        <v>68.173438757549008</v>
      </c>
      <c r="BP34" s="193">
        <f t="shared" si="8"/>
        <v>2.3008888315812381E-2</v>
      </c>
      <c r="BQ34" s="190"/>
      <c r="BS34" s="198">
        <f t="shared" si="9"/>
        <v>89.071938056303622</v>
      </c>
      <c r="BT34" s="198">
        <f t="shared" si="10"/>
        <v>91.121384331114072</v>
      </c>
      <c r="BU34" s="198">
        <f t="shared" si="11"/>
        <v>2.0494462748104496</v>
      </c>
      <c r="BV34" s="199">
        <f t="shared" si="12"/>
        <v>2.3008888315812392E-2</v>
      </c>
      <c r="BX34" s="200">
        <f t="shared" si="17"/>
        <v>0</v>
      </c>
      <c r="BY34" s="200">
        <f t="shared" si="18"/>
        <v>68.173438757549008</v>
      </c>
      <c r="BZ34" s="200">
        <f t="shared" si="15"/>
        <v>68.173438757549008</v>
      </c>
      <c r="CA34" s="526">
        <f t="shared" si="16"/>
        <v>-1.4210854715202004E-13</v>
      </c>
    </row>
    <row r="35" spans="2:79">
      <c r="B35" s="64" t="str">
        <f>'1-EO_Calcul Reporting'!B44</f>
        <v>E5391</v>
      </c>
      <c r="C35" s="64" t="str">
        <f>'1-EO_Calcul Reporting'!C44</f>
        <v>BEV2</v>
      </c>
      <c r="D35" s="192" t="str">
        <f>'1-EO_Calcul Reporting'!D44</f>
        <v>Coat Conval</v>
      </c>
      <c r="E35" s="172">
        <f>_xll.LVCELL($D$1,E$3,$C35,$D$2,$C$4,$C$5,$C$6,$C$7,$C$8,$D$3)/1000</f>
        <v>1245.239</v>
      </c>
      <c r="F35" s="172">
        <f>_xll.LVCELL($D$1,F$3,$C35,$D$2,$C$4,$C$5,$C$6,$C$7,$C$8,$D$3)/1000</f>
        <v>1005.171</v>
      </c>
      <c r="G35" s="172">
        <f>_xll.LVCELL($D$1,G$3,$C35,$D$2,$C$4,$C$5,$C$6,$C$7,$C$8,$D$3)/1000</f>
        <v>903.49099999999999</v>
      </c>
      <c r="H35" s="172">
        <f>_xll.LVCELL($D$1,H$3,$C35,$D$2,$C$4,$C$5,$C$6,$C$7,$C$8,$D$3)/1000</f>
        <v>708.73</v>
      </c>
      <c r="I35" s="172">
        <f>_xll.LVCELL($D$1,I$3,$C35,$D$2,$C$4,$C$5,$C$6,$C$7,$C$8,$D$3)/1000</f>
        <v>592.76300000000003</v>
      </c>
      <c r="J35" s="172">
        <f>_xll.LVCELL($D$1,J$3,$C35,$D$2,$C$4,$C$5,$C$6,$C$7,$C$8,$D$3)/1000</f>
        <v>425.32499999999999</v>
      </c>
      <c r="K35" s="172">
        <f>_xll.LVCELL($D$1,K$3,$C35,$D$2,$C$4,$C$5,$C$6,$C$7,$C$8,$D$3)/1000</f>
        <v>392.709</v>
      </c>
      <c r="L35" s="172">
        <f>_xll.LVCELL($D$1,L$3,$C35,$D$2,$C$4,$C$5,$C$6,$C$7,$C$8,$D$3)/1000</f>
        <v>363.00299999999999</v>
      </c>
      <c r="M35" s="172">
        <f>_xll.LVCELL($D$1,M$3,$C35,$D$2,$C$4,$C$5,$C$6,$C$7,$C$8,$D$3)/1000</f>
        <v>560.92200000000003</v>
      </c>
      <c r="N35" s="172">
        <f>_xll.LVCELL($D$1,N$3,$C35,$D$2,$C$4,$C$5,$C$6,$C$7,$C$8,$D$3)/1000</f>
        <v>872.20799999999997</v>
      </c>
      <c r="O35" s="172">
        <f>_xll.LVCELL($D$1,O$3,$C35,$D$2,$C$4,$C$5,$C$6,$C$7,$C$8,$D$3)/1000</f>
        <v>1018.847</v>
      </c>
      <c r="P35" s="172">
        <f>_xll.LVCELL($D$1,P$3,$C35,$D$2,$C$4,$C$5,$C$6,$C$7,$C$8,$D$3)/1000</f>
        <v>1211.5899999999999</v>
      </c>
      <c r="Q35" s="172">
        <f>_xll.LVCELL($D$1,Q$2,$C35,$D$2,$C$4,$C$5,$C$6,$C$7,$C$8,$D$3)/1000</f>
        <v>9299.9979999999996</v>
      </c>
      <c r="R35" s="172">
        <f>_xll.LVCELL($D$1,R$3,$C35,$D$2,$C$4,$C$5,$C$6,$C$7,$C$8,$D$3)/1000</f>
        <v>1245.239</v>
      </c>
      <c r="S35" s="172">
        <f>_xll.LVCELL($D$1,S$3,$C35,$D$2,$C$4,$C$5,$C$6,$C$7,$C$8,$D$3)/1000</f>
        <v>1005.171</v>
      </c>
      <c r="T35" s="172">
        <f>_xll.LVCELL($D$1,T$3,$C35,$D$2,$C$4,$C$5,$C$6,$C$7,$C$8,$D$3)/1000</f>
        <v>903.49099999999999</v>
      </c>
      <c r="U35" s="172">
        <f>_xll.LVCELL($D$1,U$3,$C35,$D$2,$C$4,$C$5,$C$6,$C$7,$C$8,$D$3)/1000</f>
        <v>708.73</v>
      </c>
      <c r="V35" s="172">
        <f>_xll.LVCELL($D$1,V$3,$C35,$D$2,$C$4,$C$5,$C$6,$C$7,$C$8,$D$3)/1000</f>
        <v>592.76300000000003</v>
      </c>
      <c r="W35" s="172">
        <f>_xll.LVCELL($D$1,W$3,$C35,$D$2,$C$4,$C$5,$C$6,$C$7,$C$8,$D$3)/1000</f>
        <v>425.32499999999999</v>
      </c>
      <c r="X35" s="172">
        <f>_xll.LVCELL($D$1,X$3,$C35,$D$2,$C$4,$C$5,$C$6,$C$7,$C$8,$D$3)/1000</f>
        <v>392.709</v>
      </c>
      <c r="Y35" s="172">
        <f>_xll.LVCELL($D$1,Y$3,$C35,$D$2,$C$4,$C$5,$C$6,$C$7,$C$8,$D$3)/1000</f>
        <v>363.00299999999999</v>
      </c>
      <c r="Z35" s="172">
        <f>_xll.LVCELL($D$1,Z$3,$C35,$D$2,$C$4,$C$5,$C$6,$C$7,$C$8,$D$3)/1000</f>
        <v>560.92200000000003</v>
      </c>
      <c r="AA35" s="172">
        <f>_xll.LVCELL($D$1,AA$3,$C35,$D$2,$C$4,$C$5,$C$6,$C$7,$C$8,$D$3)/1000</f>
        <v>872.20799999999997</v>
      </c>
      <c r="AB35" s="172">
        <f>_xll.LVCELL($D$1,AB$3,$C35,$D$2,$C$4,$C$5,$C$6,$C$7,$C$8,$D$3)/1000</f>
        <v>1018.847</v>
      </c>
      <c r="AC35" s="172">
        <f>_xll.LVCELL($D$1,AC$3,$C35,$D$2,$C$4,$C$5,$C$6,$C$7,$C$8,$D$3)/1000</f>
        <v>1211.5899999999999</v>
      </c>
      <c r="AD35" s="172">
        <f>_xll.LVCELL($D$1,AD$2,$C35,$D$2,$C$4,$C$5,$C$6,$C$7,$C$8,$D$3)/1000</f>
        <v>9299.9979999999996</v>
      </c>
      <c r="AE35" s="172">
        <f t="shared" si="1"/>
        <v>0</v>
      </c>
      <c r="AF35" s="193">
        <f t="shared" si="2"/>
        <v>0</v>
      </c>
      <c r="AG35" s="535"/>
      <c r="AJ35" s="64" t="str">
        <f t="shared" si="3"/>
        <v>E5391</v>
      </c>
      <c r="AK35" s="64" t="str">
        <f t="shared" si="4"/>
        <v>BEV2</v>
      </c>
      <c r="AL35" s="192" t="str">
        <f t="shared" si="5"/>
        <v>Coat Conval</v>
      </c>
      <c r="AM35" s="172">
        <f>_xll.LVCELL($AK$1,AM$3,$AK35,$AL$2,$AK$4,$AK$5,$AK$6,$AK$7,$AK$8,$AL$3)/1000</f>
        <v>119.133260369</v>
      </c>
      <c r="AN35" s="172">
        <f>_xll.LVCELL($AK$1,AN$3,$AK35,$AL$2,$AK$4,$AK$5,$AK$6,$AK$7,$AK$8,$AL$3)/1000</f>
        <v>96.165714741000002</v>
      </c>
      <c r="AO35" s="172">
        <f>_xll.LVCELL($AK$1,AO$3,$AK35,$AL$2,$AK$4,$AK$5,$AK$6,$AK$7,$AK$8,$AL$3)/1000</f>
        <v>86.437887461000003</v>
      </c>
      <c r="AP35" s="172">
        <f>_xll.LVCELL($AK$1,AP$3,$AK35,$AL$2,$AK$4,$AK$5,$AK$6,$AK$7,$AK$8,$AL$3)/1000</f>
        <v>67.804907829999991</v>
      </c>
      <c r="AQ35" s="172">
        <f>_xll.LVCELL($AK$1,AQ$3,$AK35,$AL$2,$AK$4,$AK$5,$AK$6,$AK$7,$AK$8,$AL$3)/1000</f>
        <v>56.710228973</v>
      </c>
      <c r="AR35" s="172">
        <f>_xll.LVCELL($AK$1,AR$3,$AK35,$AL$2,$AK$4,$AK$5,$AK$6,$AK$7,$AK$8,$AL$3)/1000</f>
        <v>40.691268074999996</v>
      </c>
      <c r="AS35" s="172">
        <f>_xll.LVCELL($AK$1,AS$3,$AK35,$AL$2,$AK$4,$AK$5,$AK$6,$AK$7,$AK$8,$AL$3)/1000</f>
        <v>37.570862738999999</v>
      </c>
      <c r="AT35" s="172">
        <f>_xll.LVCELL($AK$1,AT$3,$AK35,$AL$2,$AK$4,$AK$5,$AK$6,$AK$7,$AK$8,$AL$3)/1000</f>
        <v>34.728860012999995</v>
      </c>
      <c r="AU35" s="172">
        <f>_xll.LVCELL($AK$1,AU$3,$AK35,$AL$2,$AK$4,$AK$5,$AK$6,$AK$7,$AK$8,$AL$3)/1000</f>
        <v>53.663968662000002</v>
      </c>
      <c r="AV35" s="172">
        <f>_xll.LVCELL($AK$1,AV$3,$AK35,$AL$2,$AK$4,$AK$5,$AK$6,$AK$7,$AK$8,$AL$3)/1000</f>
        <v>83.445011567999998</v>
      </c>
      <c r="AW35" s="172">
        <f>_xll.LVCELL($AK$1,AW$3,$AK35,$AL$2,$AK$4,$AK$5,$AK$6,$AK$7,$AK$8,$AL$3)/1000</f>
        <v>97.864329737999995</v>
      </c>
      <c r="AX35" s="172">
        <f>_xll.LVCELL($AK$1,AX$3,$AK35,$AL$2,$AK$4,$AK$5,$AK$6,$AK$7,$AK$8,$AL$3)/1000</f>
        <v>116.37806586000001</v>
      </c>
      <c r="AY35" s="172">
        <f>_xll.LVCELL($AK$1,AY$2,$AK35,$AL$2,$AK$4,$AK$5,$AK$6,$AK$7,$AK$8,$AL$3)/1000</f>
        <v>890.59436602900007</v>
      </c>
      <c r="AZ35" s="172">
        <f>_xll.LVCELL($AK$1,AZ$3,$AK35,$AL$2,$AK$4,$AK$5,$AK$6,$AK$7,$AK$8,$AL$3)/1000</f>
        <v>121.52551640715799</v>
      </c>
      <c r="BA35" s="172">
        <f>_xll.LVCELL($AK$1,BA$3,$AK35,$AL$2,$AK$4,$AK$5,$AK$6,$AK$7,$AK$8,$AL$3)/1000</f>
        <v>98.096770862862002</v>
      </c>
      <c r="BB35" s="172">
        <f>_xll.LVCELL($AK$1,BB$3,$AK35,$AL$2,$AK$4,$AK$5,$AK$6,$AK$7,$AK$8,$AL$3)/1000</f>
        <v>88.173603897901998</v>
      </c>
      <c r="BC35" s="172">
        <f>_xll.LVCELL($AK$1,BC$3,$AK35,$AL$2,$AK$4,$AK$5,$AK$6,$AK$7,$AK$8,$AL$3)/1000</f>
        <v>69.166464625060001</v>
      </c>
      <c r="BD35" s="172">
        <f>_xll.LVCELL($AK$1,BD$3,$AK35,$AL$2,$AK$4,$AK$5,$AK$6,$AK$7,$AK$8,$AL$3)/1000</f>
        <v>57.848999013086001</v>
      </c>
      <c r="BE35" s="172">
        <f>_xll.LVCELL($AK$1,BE$3,$AK35,$AL$2,$AK$4,$AK$5,$AK$6,$AK$7,$AK$8,$AL$3)/1000</f>
        <v>41.508369289649998</v>
      </c>
      <c r="BF35" s="172">
        <f>_xll.LVCELL($AK$1,BF$3,$AK35,$AL$2,$AK$4,$AK$5,$AK$6,$AK$7,$AK$8,$AL$3)/1000</f>
        <v>38.325304638497997</v>
      </c>
      <c r="BG35" s="172">
        <f>_xll.LVCELL($AK$1,BG$3,$AK35,$AL$2,$AK$4,$AK$5,$AK$6,$AK$7,$AK$8,$AL$3)/1000</f>
        <v>35.426233062366002</v>
      </c>
      <c r="BH35" s="172">
        <f>_xll.LVCELL($AK$1,BH$3,$AK35,$AL$2,$AK$4,$AK$5,$AK$6,$AK$7,$AK$8,$AL$3)/1000</f>
        <v>54.741568256484001</v>
      </c>
      <c r="BI35" s="172">
        <f>_xll.LVCELL($AK$1,BI$3,$AK35,$AL$2,$AK$4,$AK$5,$AK$6,$AK$7,$AK$8,$AL$3)/1000</f>
        <v>85.120629545375991</v>
      </c>
      <c r="BJ35" s="172">
        <f>_xll.LVCELL($AK$1,BJ$3,$AK35,$AL$2,$AK$4,$AK$5,$AK$6,$AK$7,$AK$8,$AL$3)/1000</f>
        <v>101.71836303878</v>
      </c>
      <c r="BK35" s="172">
        <f>_xll.LVCELL($AK$1,BK$3,$AK35,$AL$2,$AK$4,$AK$5,$AK$6,$AK$7,$AK$8,$AL$3)/1000</f>
        <v>120.9611958166</v>
      </c>
      <c r="BL35" s="172">
        <f>_xll.LVCELL($AK$1,BL$2,$AK35,$AL$2,$AK$4,$AK$5,$AK$6,$AK$7,$AK$8,$AL$3)/1000</f>
        <v>912.61301845382195</v>
      </c>
      <c r="BM35" s="214">
        <f t="shared" si="6"/>
        <v>22.01865242482188</v>
      </c>
      <c r="BN35" s="217">
        <f t="shared" si="7"/>
        <v>0</v>
      </c>
      <c r="BO35" s="218">
        <f t="shared" si="7"/>
        <v>22.018652424821852</v>
      </c>
      <c r="BP35" s="193">
        <f t="shared" si="8"/>
        <v>2.472354785153108E-2</v>
      </c>
      <c r="BQ35" s="190"/>
      <c r="BS35" s="198">
        <f t="shared" si="9"/>
        <v>95.762855651044234</v>
      </c>
      <c r="BT35" s="198">
        <f t="shared" si="10"/>
        <v>98.130453195132077</v>
      </c>
      <c r="BU35" s="198">
        <f t="shared" si="11"/>
        <v>2.3675975440878432</v>
      </c>
      <c r="BV35" s="199">
        <f t="shared" si="12"/>
        <v>2.4723547851530952E-2</v>
      </c>
      <c r="BX35" s="200">
        <f t="shared" si="17"/>
        <v>0</v>
      </c>
      <c r="BY35" s="200">
        <f t="shared" si="18"/>
        <v>22.018652424821852</v>
      </c>
      <c r="BZ35" s="200">
        <f t="shared" si="15"/>
        <v>22.018652424821852</v>
      </c>
      <c r="CA35" s="526">
        <f t="shared" si="16"/>
        <v>2.8421709430404007E-14</v>
      </c>
    </row>
    <row r="36" spans="2:79">
      <c r="B36" s="64" t="str">
        <f>'1-EO_Calcul Reporting'!B45</f>
        <v>E5392</v>
      </c>
      <c r="C36" s="64" t="str">
        <f>'1-EO_Calcul Reporting'!C45</f>
        <v>BEV3</v>
      </c>
      <c r="D36" s="192" t="str">
        <f>'1-EO_Calcul Reporting'!D45</f>
        <v>Leign ar Gasprenn</v>
      </c>
      <c r="E36" s="172">
        <f>_xll.LVCELL($D$1,E$3,$C36,$D$2,$C$4,$C$5,$C$6,$C$7,$C$8,$D$3)/1000</f>
        <v>1801.9849999999999</v>
      </c>
      <c r="F36" s="172">
        <f>_xll.LVCELL($D$1,F$3,$C36,$D$2,$C$4,$C$5,$C$6,$C$7,$C$8,$D$3)/1000</f>
        <v>1484.7560000000001</v>
      </c>
      <c r="G36" s="172">
        <f>_xll.LVCELL($D$1,G$3,$C36,$D$2,$C$4,$C$5,$C$6,$C$7,$C$8,$D$3)/1000</f>
        <v>1378.55</v>
      </c>
      <c r="H36" s="172">
        <f>_xll.LVCELL($D$1,H$3,$C36,$D$2,$C$4,$C$5,$C$6,$C$7,$C$8,$D$3)/1000</f>
        <v>1142.8520000000001</v>
      </c>
      <c r="I36" s="172">
        <f>_xll.LVCELL($D$1,I$3,$C36,$D$2,$C$4,$C$5,$C$6,$C$7,$C$8,$D$3)/1000</f>
        <v>991.64700000000005</v>
      </c>
      <c r="J36" s="172">
        <f>_xll.LVCELL($D$1,J$3,$C36,$D$2,$C$4,$C$5,$C$6,$C$7,$C$8,$D$3)/1000</f>
        <v>743.92399999999998</v>
      </c>
      <c r="K36" s="172">
        <f>_xll.LVCELL($D$1,K$3,$C36,$D$2,$C$4,$C$5,$C$6,$C$7,$C$8,$D$3)/1000</f>
        <v>669.505</v>
      </c>
      <c r="L36" s="172">
        <f>_xll.LVCELL($D$1,L$3,$C36,$D$2,$C$4,$C$5,$C$6,$C$7,$C$8,$D$3)/1000</f>
        <v>613.46199999999999</v>
      </c>
      <c r="M36" s="172">
        <f>_xll.LVCELL($D$1,M$3,$C36,$D$2,$C$4,$C$5,$C$6,$C$7,$C$8,$D$3)/1000</f>
        <v>884.93499999999995</v>
      </c>
      <c r="N36" s="172">
        <f>_xll.LVCELL($D$1,N$3,$C36,$D$2,$C$4,$C$5,$C$6,$C$7,$C$8,$D$3)/1000</f>
        <v>1261.068</v>
      </c>
      <c r="O36" s="172">
        <f>_xll.LVCELL($D$1,O$3,$C36,$D$2,$C$4,$C$5,$C$6,$C$7,$C$8,$D$3)/1000</f>
        <v>1473.4849999999999</v>
      </c>
      <c r="P36" s="172">
        <f>_xll.LVCELL($D$1,P$3,$C36,$D$2,$C$4,$C$5,$C$6,$C$7,$C$8,$D$3)/1000</f>
        <v>1753.829</v>
      </c>
      <c r="Q36" s="172">
        <f>_xll.LVCELL($D$1,Q$2,$C36,$D$2,$C$4,$C$5,$C$6,$C$7,$C$8,$D$3)/1000</f>
        <v>14199.998</v>
      </c>
      <c r="R36" s="172">
        <f>_xll.LVCELL($D$1,R$3,$C36,$D$2,$C$4,$C$5,$C$6,$C$7,$C$8,$D$3)/1000</f>
        <v>1801.9849999999999</v>
      </c>
      <c r="S36" s="172">
        <f>_xll.LVCELL($D$1,S$3,$C36,$D$2,$C$4,$C$5,$C$6,$C$7,$C$8,$D$3)/1000</f>
        <v>1484.7560000000001</v>
      </c>
      <c r="T36" s="172">
        <f>_xll.LVCELL($D$1,T$3,$C36,$D$2,$C$4,$C$5,$C$6,$C$7,$C$8,$D$3)/1000</f>
        <v>1378.55</v>
      </c>
      <c r="U36" s="172">
        <f>_xll.LVCELL($D$1,U$3,$C36,$D$2,$C$4,$C$5,$C$6,$C$7,$C$8,$D$3)/1000</f>
        <v>1142.8520000000001</v>
      </c>
      <c r="V36" s="172">
        <f>_xll.LVCELL($D$1,V$3,$C36,$D$2,$C$4,$C$5,$C$6,$C$7,$C$8,$D$3)/1000</f>
        <v>991.64700000000005</v>
      </c>
      <c r="W36" s="172">
        <f>_xll.LVCELL($D$1,W$3,$C36,$D$2,$C$4,$C$5,$C$6,$C$7,$C$8,$D$3)/1000</f>
        <v>743.92399999999998</v>
      </c>
      <c r="X36" s="172">
        <f>_xll.LVCELL($D$1,X$3,$C36,$D$2,$C$4,$C$5,$C$6,$C$7,$C$8,$D$3)/1000</f>
        <v>669.505</v>
      </c>
      <c r="Y36" s="172">
        <f>_xll.LVCELL($D$1,Y$3,$C36,$D$2,$C$4,$C$5,$C$6,$C$7,$C$8,$D$3)/1000</f>
        <v>613.46199999999999</v>
      </c>
      <c r="Z36" s="172">
        <f>_xll.LVCELL($D$1,Z$3,$C36,$D$2,$C$4,$C$5,$C$6,$C$7,$C$8,$D$3)/1000</f>
        <v>884.93499999999995</v>
      </c>
      <c r="AA36" s="172">
        <f>_xll.LVCELL($D$1,AA$3,$C36,$D$2,$C$4,$C$5,$C$6,$C$7,$C$8,$D$3)/1000</f>
        <v>1261.068</v>
      </c>
      <c r="AB36" s="172">
        <f>_xll.LVCELL($D$1,AB$3,$C36,$D$2,$C$4,$C$5,$C$6,$C$7,$C$8,$D$3)/1000</f>
        <v>1473.4849999999999</v>
      </c>
      <c r="AC36" s="172">
        <f>_xll.LVCELL($D$1,AC$3,$C36,$D$2,$C$4,$C$5,$C$6,$C$7,$C$8,$D$3)/1000</f>
        <v>1753.829</v>
      </c>
      <c r="AD36" s="172">
        <f>_xll.LVCELL($D$1,AD$2,$C36,$D$2,$C$4,$C$5,$C$6,$C$7,$C$8,$D$3)/1000</f>
        <v>14199.998</v>
      </c>
      <c r="AE36" s="172">
        <f t="shared" si="1"/>
        <v>0</v>
      </c>
      <c r="AF36" s="193">
        <f t="shared" si="2"/>
        <v>0</v>
      </c>
      <c r="AG36" s="535"/>
      <c r="AJ36" s="64" t="str">
        <f t="shared" si="3"/>
        <v>E5392</v>
      </c>
      <c r="AK36" s="64" t="str">
        <f t="shared" si="4"/>
        <v>BEV3</v>
      </c>
      <c r="AL36" s="192" t="str">
        <f t="shared" si="5"/>
        <v>Leign ar Gasprenn</v>
      </c>
      <c r="AM36" s="172">
        <f>_xll.LVCELL($AK$1,AM$3,$AK36,$AL$2,$AK$4,$AK$5,$AK$6,$AK$7,$AK$8,$AL$3)/1000</f>
        <v>168.29098311999999</v>
      </c>
      <c r="AN36" s="172">
        <f>_xll.LVCELL($AK$1,AN$3,$AK36,$AL$2,$AK$4,$AK$5,$AK$6,$AK$7,$AK$8,$AL$3)/1000</f>
        <v>138.664332352</v>
      </c>
      <c r="AO36" s="172">
        <f>_xll.LVCELL($AK$1,AO$3,$AK36,$AL$2,$AK$4,$AK$5,$AK$6,$AK$7,$AK$8,$AL$3)/1000</f>
        <v>128.7455416</v>
      </c>
      <c r="AP36" s="172">
        <f>_xll.LVCELL($AK$1,AP$3,$AK36,$AL$2,$AK$4,$AK$5,$AK$6,$AK$7,$AK$8,$AL$3)/1000</f>
        <v>106.73323398400001</v>
      </c>
      <c r="AQ36" s="172">
        <f>_xll.LVCELL($AK$1,AQ$3,$AK36,$AL$2,$AK$4,$AK$5,$AK$6,$AK$7,$AK$8,$AL$3)/1000</f>
        <v>92.611896623999996</v>
      </c>
      <c r="AR36" s="172">
        <f>_xll.LVCELL($AK$1,AR$3,$AK36,$AL$2,$AK$4,$AK$5,$AK$6,$AK$7,$AK$8,$AL$3)/1000</f>
        <v>69.476550208000006</v>
      </c>
      <c r="AS36" s="172">
        <f>_xll.LVCELL($AK$1,AS$3,$AK36,$AL$2,$AK$4,$AK$5,$AK$6,$AK$7,$AK$8,$AL$3)/1000</f>
        <v>62.52641096</v>
      </c>
      <c r="AT36" s="172">
        <f>_xll.LVCELL($AK$1,AT$3,$AK36,$AL$2,$AK$4,$AK$5,$AK$6,$AK$7,$AK$8,$AL$3)/1000</f>
        <v>57.292443104</v>
      </c>
      <c r="AU36" s="172">
        <f>_xll.LVCELL($AK$1,AU$3,$AK36,$AL$2,$AK$4,$AK$5,$AK$6,$AK$7,$AK$8,$AL$3)/1000</f>
        <v>82.645849519999999</v>
      </c>
      <c r="AV36" s="172">
        <f>_xll.LVCELL($AK$1,AV$3,$AK36,$AL$2,$AK$4,$AK$5,$AK$6,$AK$7,$AK$8,$AL$3)/1000</f>
        <v>117.773662656</v>
      </c>
      <c r="AW36" s="172">
        <f>_xll.LVCELL($AK$1,AW$3,$AK36,$AL$2,$AK$4,$AK$5,$AK$6,$AK$7,$AK$8,$AL$3)/1000</f>
        <v>138.16279451</v>
      </c>
      <c r="AX36" s="172">
        <f>_xll.LVCELL($AK$1,AX$3,$AK36,$AL$2,$AK$4,$AK$5,$AK$6,$AK$7,$AK$8,$AL$3)/1000</f>
        <v>164.44953001399998</v>
      </c>
      <c r="AY36" s="172">
        <f>_xll.LVCELL($AK$1,AY$2,$AK36,$AL$2,$AK$4,$AK$5,$AK$6,$AK$7,$AK$8,$AL$3)/1000</f>
        <v>1327.3732286519999</v>
      </c>
      <c r="AZ36" s="172">
        <f>_xll.LVCELL($AK$1,AZ$3,$AK36,$AL$2,$AK$4,$AK$5,$AK$6,$AK$7,$AK$8,$AL$3)/1000</f>
        <v>171.69363175183</v>
      </c>
      <c r="BA36" s="172">
        <f>_xll.LVCELL($AK$1,BA$3,$AK36,$AL$2,$AK$4,$AK$5,$AK$6,$AK$7,$AK$8,$AL$3)/1000</f>
        <v>141.46796444216801</v>
      </c>
      <c r="BB36" s="172">
        <f>_xll.LVCELL($AK$1,BB$3,$AK36,$AL$2,$AK$4,$AK$5,$AK$6,$AK$7,$AK$8,$AL$3)/1000</f>
        <v>131.3486272369</v>
      </c>
      <c r="BC36" s="172">
        <f>_xll.LVCELL($AK$1,BC$3,$AK36,$AL$2,$AK$4,$AK$5,$AK$6,$AK$7,$AK$8,$AL$3)/1000</f>
        <v>108.891256272856</v>
      </c>
      <c r="BD36" s="172">
        <f>_xll.LVCELL($AK$1,BD$3,$AK36,$AL$2,$AK$4,$AK$5,$AK$6,$AK$7,$AK$8,$AL$3)/1000</f>
        <v>94.484401837866002</v>
      </c>
      <c r="BE36" s="172">
        <f>_xll.LVCELL($AK$1,BE$3,$AK36,$AL$2,$AK$4,$AK$5,$AK$6,$AK$7,$AK$8,$AL$3)/1000</f>
        <v>70.881285530872006</v>
      </c>
      <c r="BF36" s="172">
        <f>_xll.LVCELL($AK$1,BF$3,$AK36,$AL$2,$AK$4,$AK$5,$AK$6,$AK$7,$AK$8,$AL$3)/1000</f>
        <v>63.790622522389995</v>
      </c>
      <c r="BG36" s="172">
        <f>_xll.LVCELL($AK$1,BG$3,$AK36,$AL$2,$AK$4,$AK$5,$AK$6,$AK$7,$AK$8,$AL$3)/1000</f>
        <v>58.450829902436006</v>
      </c>
      <c r="BH36" s="172">
        <f>_xll.LVCELL($AK$1,BH$3,$AK36,$AL$2,$AK$4,$AK$5,$AK$6,$AK$7,$AK$8,$AL$3)/1000</f>
        <v>84.316852811930005</v>
      </c>
      <c r="BI36" s="172">
        <f>_xll.LVCELL($AK$1,BI$3,$AK36,$AL$2,$AK$4,$AK$5,$AK$6,$AK$7,$AK$8,$AL$3)/1000</f>
        <v>120.15490961690399</v>
      </c>
      <c r="BJ36" s="172">
        <f>_xll.LVCELL($AK$1,BJ$3,$AK36,$AL$2,$AK$4,$AK$5,$AK$6,$AK$7,$AK$8,$AL$3)/1000</f>
        <v>143.623124711625</v>
      </c>
      <c r="BK36" s="172">
        <f>_xll.LVCELL($AK$1,BK$3,$AK36,$AL$2,$AK$4,$AK$5,$AK$6,$AK$7,$AK$8,$AL$3)/1000</f>
        <v>170.94873798502502</v>
      </c>
      <c r="BL36" s="172">
        <f>_xll.LVCELL($AK$1,BL$2,$AK36,$AL$2,$AK$4,$AK$5,$AK$6,$AK$7,$AK$8,$AL$3)/1000</f>
        <v>1360.0522446228019</v>
      </c>
      <c r="BM36" s="214">
        <f t="shared" si="6"/>
        <v>32.679015970802084</v>
      </c>
      <c r="BN36" s="217">
        <f t="shared" si="7"/>
        <v>0</v>
      </c>
      <c r="BO36" s="218">
        <f t="shared" si="7"/>
        <v>32.679015970802155</v>
      </c>
      <c r="BP36" s="193">
        <f t="shared" si="8"/>
        <v>2.4619312236686453E-2</v>
      </c>
      <c r="BQ36" s="190"/>
      <c r="BS36" s="198">
        <f t="shared" si="9"/>
        <v>93.477001099014231</v>
      </c>
      <c r="BT36" s="198">
        <f t="shared" si="10"/>
        <v>95.778340576019943</v>
      </c>
      <c r="BU36" s="198">
        <f t="shared" si="11"/>
        <v>2.3013394770057118</v>
      </c>
      <c r="BV36" s="199">
        <f t="shared" si="12"/>
        <v>2.4619312236686428E-2</v>
      </c>
      <c r="BX36" s="200">
        <f t="shared" si="17"/>
        <v>0</v>
      </c>
      <c r="BY36" s="200">
        <f t="shared" si="18"/>
        <v>32.679015970802155</v>
      </c>
      <c r="BZ36" s="200">
        <f t="shared" si="15"/>
        <v>32.679015970802155</v>
      </c>
      <c r="CA36" s="526">
        <f t="shared" si="16"/>
        <v>-7.1054273576010019E-14</v>
      </c>
    </row>
    <row r="37" spans="2:79">
      <c r="B37" s="64" t="str">
        <f>'1-EO_Calcul Reporting'!B46</f>
        <v>E5396</v>
      </c>
      <c r="C37" s="64" t="str">
        <f>'1-EO_Calcul Reporting'!C46</f>
        <v>BEV7</v>
      </c>
      <c r="D37" s="192" t="str">
        <f>'1-EO_Calcul Reporting'!D46</f>
        <v>Les Eparmonts</v>
      </c>
      <c r="E37" s="172">
        <f>_xll.LVCELL($D$1,E$3,$C37,$D$2,$C$4,$C$5,$C$6,$C$7,$C$8,$D$3)/1000</f>
        <v>2434.6120000000001</v>
      </c>
      <c r="F37" s="172">
        <f>_xll.LVCELL($D$1,F$3,$C37,$D$2,$C$4,$C$5,$C$6,$C$7,$C$8,$D$3)/1000</f>
        <v>1991.153</v>
      </c>
      <c r="G37" s="172">
        <f>_xll.LVCELL($D$1,G$3,$C37,$D$2,$C$4,$C$5,$C$6,$C$7,$C$8,$D$3)/1000</f>
        <v>1988.0050000000001</v>
      </c>
      <c r="H37" s="172">
        <f>_xll.LVCELL($D$1,H$3,$C37,$D$2,$C$4,$C$5,$C$6,$C$7,$C$8,$D$3)/1000</f>
        <v>1577.396</v>
      </c>
      <c r="I37" s="172">
        <f>_xll.LVCELL($D$1,I$3,$C37,$D$2,$C$4,$C$5,$C$6,$C$7,$C$8,$D$3)/1000</f>
        <v>1328.3150000000001</v>
      </c>
      <c r="J37" s="172">
        <f>_xll.LVCELL($D$1,J$3,$C37,$D$2,$C$4,$C$5,$C$6,$C$7,$C$8,$D$3)/1000</f>
        <v>997.13300000000004</v>
      </c>
      <c r="K37" s="172">
        <f>_xll.LVCELL($D$1,K$3,$C37,$D$2,$C$4,$C$5,$C$6,$C$7,$C$8,$D$3)/1000</f>
        <v>979.577</v>
      </c>
      <c r="L37" s="172">
        <f>_xll.LVCELL($D$1,L$3,$C37,$D$2,$C$4,$C$5,$C$6,$C$7,$C$8,$D$3)/1000</f>
        <v>904.00699999999995</v>
      </c>
      <c r="M37" s="172">
        <f>_xll.LVCELL($D$1,M$3,$C37,$D$2,$C$4,$C$5,$C$6,$C$7,$C$8,$D$3)/1000</f>
        <v>1335.819</v>
      </c>
      <c r="N37" s="172">
        <f>_xll.LVCELL($D$1,N$3,$C37,$D$2,$C$4,$C$5,$C$6,$C$7,$C$8,$D$3)/1000</f>
        <v>1969.422</v>
      </c>
      <c r="O37" s="172">
        <f>_xll.LVCELL($D$1,O$3,$C37,$D$2,$C$4,$C$5,$C$6,$C$7,$C$8,$D$3)/1000</f>
        <v>1985.6179999999999</v>
      </c>
      <c r="P37" s="172">
        <f>_xll.LVCELL($D$1,P$3,$C37,$D$2,$C$4,$C$5,$C$6,$C$7,$C$8,$D$3)/1000</f>
        <v>2508.9430000000002</v>
      </c>
      <c r="Q37" s="172">
        <f>_xll.LVCELL($D$1,Q$2,$C37,$D$2,$C$4,$C$5,$C$6,$C$7,$C$8,$D$3)/1000</f>
        <v>20000</v>
      </c>
      <c r="R37" s="172">
        <f>_xll.LVCELL($D$1,R$3,$C37,$D$2,$C$4,$C$5,$C$6,$C$7,$C$8,$D$3)/1000</f>
        <v>2427.105</v>
      </c>
      <c r="S37" s="172">
        <f>_xll.LVCELL($D$1,S$3,$C37,$D$2,$C$4,$C$5,$C$6,$C$7,$C$8,$D$3)/1000</f>
        <v>1985.0139999999999</v>
      </c>
      <c r="T37" s="172">
        <f>_xll.LVCELL($D$1,T$3,$C37,$D$2,$C$4,$C$5,$C$6,$C$7,$C$8,$D$3)/1000</f>
        <v>1981.875</v>
      </c>
      <c r="U37" s="172">
        <f>_xll.LVCELL($D$1,U$3,$C37,$D$2,$C$4,$C$5,$C$6,$C$7,$C$8,$D$3)/1000</f>
        <v>1572.5319999999999</v>
      </c>
      <c r="V37" s="172">
        <f>_xll.LVCELL($D$1,V$3,$C37,$D$2,$C$4,$C$5,$C$6,$C$7,$C$8,$D$3)/1000</f>
        <v>1324.2190000000001</v>
      </c>
      <c r="W37" s="172">
        <f>_xll.LVCELL($D$1,W$3,$C37,$D$2,$C$4,$C$5,$C$6,$C$7,$C$8,$D$3)/1000</f>
        <v>994.05799999999999</v>
      </c>
      <c r="X37" s="172">
        <f>_xll.LVCELL($D$1,X$3,$C37,$D$2,$C$4,$C$5,$C$6,$C$7,$C$8,$D$3)/1000</f>
        <v>976.55700000000002</v>
      </c>
      <c r="Y37" s="172">
        <f>_xll.LVCELL($D$1,Y$3,$C37,$D$2,$C$4,$C$5,$C$6,$C$7,$C$8,$D$3)/1000</f>
        <v>901.22</v>
      </c>
      <c r="Z37" s="172">
        <f>_xll.LVCELL($D$1,Z$3,$C37,$D$2,$C$4,$C$5,$C$6,$C$7,$C$8,$D$3)/1000</f>
        <v>1331.701</v>
      </c>
      <c r="AA37" s="172">
        <f>_xll.LVCELL($D$1,AA$3,$C37,$D$2,$C$4,$C$5,$C$6,$C$7,$C$8,$D$3)/1000</f>
        <v>1963.35</v>
      </c>
      <c r="AB37" s="172">
        <f>_xll.LVCELL($D$1,AB$3,$C37,$D$2,$C$4,$C$5,$C$6,$C$7,$C$8,$D$3)/1000</f>
        <v>1979.4960000000001</v>
      </c>
      <c r="AC37" s="172">
        <f>_xll.LVCELL($D$1,AC$3,$C37,$D$2,$C$4,$C$5,$C$6,$C$7,$C$8,$D$3)/1000</f>
        <v>2501.2069999999999</v>
      </c>
      <c r="AD37" s="172">
        <f>_xll.LVCELL($D$1,AD$2,$C37,$D$2,$C$4,$C$5,$C$6,$C$7,$C$8,$D$3)/1000</f>
        <v>19938.333999999999</v>
      </c>
      <c r="AE37" s="172">
        <f t="shared" si="1"/>
        <v>-61.666000000001077</v>
      </c>
      <c r="AF37" s="193">
        <f t="shared" si="2"/>
        <v>-3.083300000000011E-3</v>
      </c>
      <c r="AG37" s="535"/>
      <c r="AJ37" s="64" t="str">
        <f t="shared" si="3"/>
        <v>E5396</v>
      </c>
      <c r="AK37" s="64" t="str">
        <f t="shared" si="4"/>
        <v>BEV7</v>
      </c>
      <c r="AL37" s="192" t="str">
        <f t="shared" si="5"/>
        <v>Les Eparmonts</v>
      </c>
      <c r="AM37" s="172">
        <f>_xll.LVCELL($AK$1,AM$3,$AK37,$AL$2,$AK$4,$AK$5,$AK$6,$AK$7,$AK$8,$AL$3)/1000</f>
        <v>227.373283904</v>
      </c>
      <c r="AN37" s="172">
        <f>_xll.LVCELL($AK$1,AN$3,$AK37,$AL$2,$AK$4,$AK$5,$AK$6,$AK$7,$AK$8,$AL$3)/1000</f>
        <v>185.957760976</v>
      </c>
      <c r="AO37" s="172">
        <f>_xll.LVCELL($AK$1,AO$3,$AK37,$AL$2,$AK$4,$AK$5,$AK$6,$AK$7,$AK$8,$AL$3)/1000</f>
        <v>185.66376295999999</v>
      </c>
      <c r="AP37" s="172">
        <f>_xll.LVCELL($AK$1,AP$3,$AK37,$AL$2,$AK$4,$AK$5,$AK$6,$AK$7,$AK$8,$AL$3)/1000</f>
        <v>147.316167232</v>
      </c>
      <c r="AQ37" s="172">
        <f>_xll.LVCELL($AK$1,AQ$3,$AK37,$AL$2,$AK$4,$AK$5,$AK$6,$AK$7,$AK$8,$AL$3)/1000</f>
        <v>124.05399448</v>
      </c>
      <c r="AR37" s="172">
        <f>_xll.LVCELL($AK$1,AR$3,$AK37,$AL$2,$AK$4,$AK$5,$AK$6,$AK$7,$AK$8,$AL$3)/1000</f>
        <v>93.124245135999999</v>
      </c>
      <c r="AS37" s="172">
        <f>_xll.LVCELL($AK$1,AS$3,$AK37,$AL$2,$AK$4,$AK$5,$AK$6,$AK$7,$AK$8,$AL$3)/1000</f>
        <v>91.484655184000005</v>
      </c>
      <c r="AT37" s="172">
        <f>_xll.LVCELL($AK$1,AT$3,$AK37,$AL$2,$AK$4,$AK$5,$AK$6,$AK$7,$AK$8,$AL$3)/1000</f>
        <v>84.427021744000001</v>
      </c>
      <c r="AU37" s="172">
        <f>_xll.LVCELL($AK$1,AU$3,$AK37,$AL$2,$AK$4,$AK$5,$AK$6,$AK$7,$AK$8,$AL$3)/1000</f>
        <v>124.754808048</v>
      </c>
      <c r="AV37" s="172">
        <f>_xll.LVCELL($AK$1,AV$3,$AK37,$AL$2,$AK$4,$AK$5,$AK$6,$AK$7,$AK$8,$AL$3)/1000</f>
        <v>183.92825942399998</v>
      </c>
      <c r="AW37" s="172">
        <f>_xll.LVCELL($AK$1,AW$3,$AK37,$AL$2,$AK$4,$AK$5,$AK$6,$AK$7,$AK$8,$AL$3)/1000</f>
        <v>186.18345738800002</v>
      </c>
      <c r="AX37" s="172">
        <f>_xll.LVCELL($AK$1,AX$3,$AK37,$AL$2,$AK$4,$AK$5,$AK$6,$AK$7,$AK$8,$AL$3)/1000</f>
        <v>235.253549338</v>
      </c>
      <c r="AY37" s="172">
        <f>_xll.LVCELL($AK$1,AY$2,$AK37,$AL$2,$AK$4,$AK$5,$AK$6,$AK$7,$AK$8,$AL$3)/1000</f>
        <v>1869.5209658140009</v>
      </c>
      <c r="AZ37" s="172">
        <f>_xll.LVCELL($AK$1,AZ$3,$AK37,$AL$2,$AK$4,$AK$5,$AK$6,$AK$7,$AK$8,$AL$3)/1000</f>
        <v>231.256464823215</v>
      </c>
      <c r="BA37" s="172">
        <f>_xll.LVCELL($AK$1,BA$3,$AK37,$AL$2,$AK$4,$AK$5,$AK$6,$AK$7,$AK$8,$AL$3)/1000</f>
        <v>189.133688185962</v>
      </c>
      <c r="BB37" s="172">
        <f>_xll.LVCELL($AK$1,BB$3,$AK37,$AL$2,$AK$4,$AK$5,$AK$6,$AK$7,$AK$8,$AL$3)/1000</f>
        <v>188.834601808125</v>
      </c>
      <c r="BC37" s="172">
        <f>_xll.LVCELL($AK$1,BC$3,$AK37,$AL$2,$AK$4,$AK$5,$AK$6,$AK$7,$AK$8,$AL$3)/1000</f>
        <v>149.83208025255601</v>
      </c>
      <c r="BD37" s="172">
        <f>_xll.LVCELL($AK$1,BD$3,$AK37,$AL$2,$AK$4,$AK$5,$AK$6,$AK$7,$AK$8,$AL$3)/1000</f>
        <v>126.172623183477</v>
      </c>
      <c r="BE37" s="172">
        <f>_xll.LVCELL($AK$1,BE$3,$AK37,$AL$2,$AK$4,$AK$5,$AK$6,$AK$7,$AK$8,$AL$3)/1000</f>
        <v>94.714624587413994</v>
      </c>
      <c r="BF37" s="172">
        <f>_xll.LVCELL($AK$1,BF$3,$AK37,$AL$2,$AK$4,$AK$5,$AK$6,$AK$7,$AK$8,$AL$3)/1000</f>
        <v>93.047115604131008</v>
      </c>
      <c r="BG37" s="172">
        <f>_xll.LVCELL($AK$1,BG$3,$AK37,$AL$2,$AK$4,$AK$5,$AK$6,$AK$7,$AK$8,$AL$3)/1000</f>
        <v>85.868947255260011</v>
      </c>
      <c r="BH37" s="172">
        <f>_xll.LVCELL($AK$1,BH$3,$AK37,$AL$2,$AK$4,$AK$5,$AK$6,$AK$7,$AK$8,$AL$3)/1000</f>
        <v>126.885514001883</v>
      </c>
      <c r="BI37" s="172">
        <f>_xll.LVCELL($AK$1,BI$3,$AK37,$AL$2,$AK$4,$AK$5,$AK$6,$AK$7,$AK$8,$AL$3)/1000</f>
        <v>187.06952530305</v>
      </c>
      <c r="BJ37" s="172">
        <f>_xll.LVCELL($AK$1,BJ$3,$AK37,$AL$2,$AK$4,$AK$5,$AK$6,$AK$7,$AK$8,$AL$3)/1000</f>
        <v>192.94591117053602</v>
      </c>
      <c r="BK37" s="172">
        <f>_xll.LVCELL($AK$1,BK$3,$AK37,$AL$2,$AK$4,$AK$5,$AK$6,$AK$7,$AK$8,$AL$3)/1000</f>
        <v>243.79825149488698</v>
      </c>
      <c r="BL37" s="172">
        <f>_xll.LVCELL($AK$1,BL$2,$AK37,$AL$2,$AK$4,$AK$5,$AK$6,$AK$7,$AK$8,$AL$3)/1000</f>
        <v>1909.559347670496</v>
      </c>
      <c r="BM37" s="214">
        <f t="shared" si="6"/>
        <v>40.038381856495107</v>
      </c>
      <c r="BN37" s="217">
        <f t="shared" si="7"/>
        <v>-5.7642939938944089</v>
      </c>
      <c r="BO37" s="218">
        <f t="shared" si="7"/>
        <v>45.802675850389882</v>
      </c>
      <c r="BP37" s="193">
        <f t="shared" si="8"/>
        <v>2.1416385581459529E-2</v>
      </c>
      <c r="BQ37" s="190"/>
      <c r="BS37" s="198">
        <f t="shared" si="9"/>
        <v>93.476048290700035</v>
      </c>
      <c r="BT37" s="198">
        <f t="shared" si="10"/>
        <v>95.773265091782307</v>
      </c>
      <c r="BU37" s="198">
        <f t="shared" si="11"/>
        <v>2.2972168010822713</v>
      </c>
      <c r="BV37" s="199">
        <f t="shared" si="12"/>
        <v>2.4575459094485729E-2</v>
      </c>
      <c r="BX37" s="200">
        <f t="shared" si="17"/>
        <v>-5.7642939938944089</v>
      </c>
      <c r="BY37" s="200">
        <f t="shared" si="18"/>
        <v>45.802675850389882</v>
      </c>
      <c r="BZ37" s="200">
        <f t="shared" si="15"/>
        <v>40.038381856495477</v>
      </c>
      <c r="CA37" s="526">
        <f t="shared" si="16"/>
        <v>-3.694822225952521E-13</v>
      </c>
    </row>
    <row r="38" spans="2:79">
      <c r="B38" s="64" t="str">
        <f>'1-EO_Calcul Reporting'!B47</f>
        <v>E5398</v>
      </c>
      <c r="C38" s="64" t="str">
        <f>'1-EO_Calcul Reporting'!C47</f>
        <v>BEV9</v>
      </c>
      <c r="D38" s="192" t="s">
        <v>2642</v>
      </c>
      <c r="E38" s="172">
        <f>_xll.LVCELL($D$1,E$3,$C38,$D$2,$C$4,$C$5,$C$6,$C$7,$C$8,$D$3)/1000</f>
        <v>4790.8379999999997</v>
      </c>
      <c r="F38" s="172">
        <f>_xll.LVCELL($D$1,F$3,$C38,$D$2,$C$4,$C$5,$C$6,$C$7,$C$8,$D$3)/1000</f>
        <v>4059.799</v>
      </c>
      <c r="G38" s="172">
        <f>_xll.LVCELL($D$1,G$3,$C38,$D$2,$C$4,$C$5,$C$6,$C$7,$C$8,$D$3)/1000</f>
        <v>3890.4029999999998</v>
      </c>
      <c r="H38" s="172">
        <f>_xll.LVCELL($D$1,H$3,$C38,$D$2,$C$4,$C$5,$C$6,$C$7,$C$8,$D$3)/1000</f>
        <v>3264.4459999999999</v>
      </c>
      <c r="I38" s="172">
        <f>_xll.LVCELL($D$1,I$3,$C38,$D$2,$C$4,$C$5,$C$6,$C$7,$C$8,$D$3)/1000</f>
        <v>2895.056</v>
      </c>
      <c r="J38" s="172">
        <f>_xll.LVCELL($D$1,J$3,$C38,$D$2,$C$4,$C$5,$C$6,$C$7,$C$8,$D$3)/1000</f>
        <v>2249.395</v>
      </c>
      <c r="K38" s="172">
        <f>_xll.LVCELL($D$1,K$3,$C38,$D$2,$C$4,$C$5,$C$6,$C$7,$C$8,$D$3)/1000</f>
        <v>2132.1190000000001</v>
      </c>
      <c r="L38" s="172">
        <f>_xll.LVCELL($D$1,L$3,$C38,$D$2,$C$4,$C$5,$C$6,$C$7,$C$8,$D$3)/1000</f>
        <v>1922.829</v>
      </c>
      <c r="M38" s="172">
        <f>_xll.LVCELL($D$1,M$3,$C38,$D$2,$C$4,$C$5,$C$6,$C$7,$C$8,$D$3)/1000</f>
        <v>2568.5120000000002</v>
      </c>
      <c r="N38" s="172">
        <f>_xll.LVCELL($D$1,N$3,$C38,$D$2,$C$4,$C$5,$C$6,$C$7,$C$8,$D$3)/1000</f>
        <v>3496.1579999999999</v>
      </c>
      <c r="O38" s="172">
        <f>_xll.LVCELL($D$1,O$3,$C38,$D$2,$C$4,$C$5,$C$6,$C$7,$C$8,$D$3)/1000</f>
        <v>3945.0709999999999</v>
      </c>
      <c r="P38" s="172">
        <f>_xll.LVCELL($D$1,P$3,$C38,$D$2,$C$4,$C$5,$C$6,$C$7,$C$8,$D$3)/1000</f>
        <v>4804.223</v>
      </c>
      <c r="Q38" s="172">
        <f>_xll.LVCELL($D$1,Q$2,$C38,$D$2,$C$4,$C$5,$C$6,$C$7,$C$8,$D$3)/1000</f>
        <v>40018.849000000002</v>
      </c>
      <c r="R38" s="172">
        <f>_xll.LVCELL($D$1,R$3,$C38,$D$2,$C$4,$C$5,$C$6,$C$7,$C$8,$D$3)/1000</f>
        <v>4711.5450000000001</v>
      </c>
      <c r="S38" s="172">
        <f>_xll.LVCELL($D$1,S$3,$C38,$D$2,$C$4,$C$5,$C$6,$C$7,$C$8,$D$3)/1000</f>
        <v>3992.605</v>
      </c>
      <c r="T38" s="172">
        <f>_xll.LVCELL($D$1,T$3,$C38,$D$2,$C$4,$C$5,$C$6,$C$7,$C$8,$D$3)/1000</f>
        <v>3826.0120000000002</v>
      </c>
      <c r="U38" s="172">
        <f>_xll.LVCELL($D$1,U$3,$C38,$D$2,$C$4,$C$5,$C$6,$C$7,$C$8,$D$3)/1000</f>
        <v>3210.4160000000002</v>
      </c>
      <c r="V38" s="172">
        <f>_xll.LVCELL($D$1,V$3,$C38,$D$2,$C$4,$C$5,$C$6,$C$7,$C$8,$D$3)/1000</f>
        <v>2847.14</v>
      </c>
      <c r="W38" s="172">
        <f>_xll.LVCELL($D$1,W$3,$C38,$D$2,$C$4,$C$5,$C$6,$C$7,$C$8,$D$3)/1000</f>
        <v>2212.165</v>
      </c>
      <c r="X38" s="172">
        <f>_xll.LVCELL($D$1,X$3,$C38,$D$2,$C$4,$C$5,$C$6,$C$7,$C$8,$D$3)/1000</f>
        <v>2096.83</v>
      </c>
      <c r="Y38" s="172">
        <f>_xll.LVCELL($D$1,Y$3,$C38,$D$2,$C$4,$C$5,$C$6,$C$7,$C$8,$D$3)/1000</f>
        <v>1891.0039999999999</v>
      </c>
      <c r="Z38" s="172">
        <f>_xll.LVCELL($D$1,Z$3,$C38,$D$2,$C$4,$C$5,$C$6,$C$7,$C$8,$D$3)/1000</f>
        <v>2526</v>
      </c>
      <c r="AA38" s="172">
        <f>_xll.LVCELL($D$1,AA$3,$C38,$D$2,$C$4,$C$5,$C$6,$C$7,$C$8,$D$3)/1000</f>
        <v>3438.2930000000001</v>
      </c>
      <c r="AB38" s="172">
        <f>_xll.LVCELL($D$1,AB$3,$C38,$D$2,$C$4,$C$5,$C$6,$C$7,$C$8,$D$3)/1000</f>
        <v>3879.7759999999998</v>
      </c>
      <c r="AC38" s="172">
        <f>_xll.LVCELL($D$1,AC$3,$C38,$D$2,$C$4,$C$5,$C$6,$C$7,$C$8,$D$3)/1000</f>
        <v>4724.7079999999996</v>
      </c>
      <c r="AD38" s="172">
        <f>_xll.LVCELL($D$1,AD$2,$C38,$D$2,$C$4,$C$5,$C$6,$C$7,$C$8,$D$3)/1000</f>
        <v>39356.493999999999</v>
      </c>
      <c r="AE38" s="172">
        <f t="shared" si="1"/>
        <v>-662.3550000000032</v>
      </c>
      <c r="AF38" s="193">
        <f t="shared" si="2"/>
        <v>-1.6551075719344222E-2</v>
      </c>
      <c r="AG38" s="535"/>
      <c r="AJ38" s="64" t="str">
        <f t="shared" si="3"/>
        <v>E5398</v>
      </c>
      <c r="AK38" s="64" t="str">
        <f t="shared" si="4"/>
        <v>BEV9</v>
      </c>
      <c r="AL38" s="192" t="str">
        <f t="shared" si="5"/>
        <v>Pannecé (BS/La Vallière)</v>
      </c>
      <c r="AM38" s="172">
        <f>_xll.LVCELL($AK$1,AM$3,$AK38,$AL$2,$AK$4,$AK$5,$AK$6,$AK$7,$AK$8,$AL$3)/1000</f>
        <v>468.66851818800001</v>
      </c>
      <c r="AN38" s="172">
        <f>_xll.LVCELL($AK$1,AN$3,$AK38,$AL$2,$AK$4,$AK$5,$AK$6,$AK$7,$AK$8,$AL$3)/1000</f>
        <v>397.15389697399996</v>
      </c>
      <c r="AO38" s="172">
        <f>_xll.LVCELL($AK$1,AO$3,$AK38,$AL$2,$AK$4,$AK$5,$AK$6,$AK$7,$AK$8,$AL$3)/1000</f>
        <v>380.58256387800003</v>
      </c>
      <c r="AP38" s="172">
        <f>_xll.LVCELL($AK$1,AP$3,$AK38,$AL$2,$AK$4,$AK$5,$AK$6,$AK$7,$AK$8,$AL$3)/1000</f>
        <v>319.34769439600001</v>
      </c>
      <c r="AQ38" s="172">
        <f>_xll.LVCELL($AK$1,AQ$3,$AK38,$AL$2,$AK$4,$AK$5,$AK$6,$AK$7,$AK$8,$AL$3)/1000</f>
        <v>283.21174825599996</v>
      </c>
      <c r="AR38" s="172">
        <f>_xll.LVCELL($AK$1,AR$3,$AK38,$AL$2,$AK$4,$AK$5,$AK$6,$AK$7,$AK$8,$AL$3)/1000</f>
        <v>220.04931526999999</v>
      </c>
      <c r="AS38" s="172">
        <f>_xll.LVCELL($AK$1,AS$3,$AK38,$AL$2,$AK$4,$AK$5,$AK$6,$AK$7,$AK$8,$AL$3)/1000</f>
        <v>208.57667329400002</v>
      </c>
      <c r="AT38" s="172">
        <f>_xll.LVCELL($AK$1,AT$3,$AK38,$AL$2,$AK$4,$AK$5,$AK$6,$AK$7,$AK$8,$AL$3)/1000</f>
        <v>188.102669754</v>
      </c>
      <c r="AU38" s="172">
        <f>_xll.LVCELL($AK$1,AU$3,$AK38,$AL$2,$AK$4,$AK$5,$AK$6,$AK$7,$AK$8,$AL$3)/1000</f>
        <v>251.267254912</v>
      </c>
      <c r="AV38" s="172">
        <f>_xll.LVCELL($AK$1,AV$3,$AK38,$AL$2,$AK$4,$AK$5,$AK$6,$AK$7,$AK$8,$AL$3)/1000</f>
        <v>342.01515250800003</v>
      </c>
      <c r="AW38" s="172">
        <f>_xll.LVCELL($AK$1,AW$3,$AK38,$AL$2,$AK$4,$AK$5,$AK$6,$AK$7,$AK$8,$AL$3)/1000</f>
        <v>387.47698347799997</v>
      </c>
      <c r="AX38" s="172">
        <f>_xll.LVCELL($AK$1,AX$3,$AK38,$AL$2,$AK$4,$AK$5,$AK$6,$AK$7,$AK$8,$AL$3)/1000</f>
        <v>471.86117461399999</v>
      </c>
      <c r="AY38" s="172">
        <f>_xll.LVCELL($AK$1,AY$2,$AK38,$AL$2,$AK$4,$AK$5,$AK$6,$AK$7,$AK$8,$AL$3)/1000</f>
        <v>3918.3136455219997</v>
      </c>
      <c r="AZ38" s="172">
        <f>_xll.LVCELL($AK$1,AZ$3,$AK38,$AL$2,$AK$4,$AK$5,$AK$6,$AK$7,$AK$8,$AL$3)/1000</f>
        <v>470.06545464251997</v>
      </c>
      <c r="BA38" s="172">
        <f>_xll.LVCELL($AK$1,BA$3,$AK38,$AL$2,$AK$4,$AK$5,$AK$6,$AK$7,$AK$8,$AL$3)/1000</f>
        <v>398.33763330988</v>
      </c>
      <c r="BB38" s="172">
        <f>_xll.LVCELL($AK$1,BB$3,$AK38,$AL$2,$AK$4,$AK$5,$AK$6,$AK$7,$AK$8,$AL$3)/1000</f>
        <v>381.71684028227202</v>
      </c>
      <c r="BC38" s="172">
        <f>_xll.LVCELL($AK$1,BC$3,$AK38,$AL$2,$AK$4,$AK$5,$AK$6,$AK$7,$AK$8,$AL$3)/1000</f>
        <v>320.29953160409599</v>
      </c>
      <c r="BD38" s="172">
        <f>_xll.LVCELL($AK$1,BD$3,$AK38,$AL$2,$AK$4,$AK$5,$AK$6,$AK$7,$AK$8,$AL$3)/1000</f>
        <v>284.05590067183999</v>
      </c>
      <c r="BE38" s="172">
        <f>_xll.LVCELL($AK$1,BE$3,$AK38,$AL$2,$AK$4,$AK$5,$AK$6,$AK$7,$AK$8,$AL$3)/1000</f>
        <v>220.70517133324</v>
      </c>
      <c r="BF38" s="172">
        <f>_xll.LVCELL($AK$1,BF$3,$AK38,$AL$2,$AK$4,$AK$5,$AK$6,$AK$7,$AK$8,$AL$3)/1000</f>
        <v>209.19833032648</v>
      </c>
      <c r="BG38" s="172">
        <f>_xll.LVCELL($AK$1,BG$3,$AK38,$AL$2,$AK$4,$AK$5,$AK$6,$AK$7,$AK$8,$AL$3)/1000</f>
        <v>188.66330577142401</v>
      </c>
      <c r="BH38" s="172">
        <f>_xll.LVCELL($AK$1,BH$3,$AK38,$AL$2,$AK$4,$AK$5,$AK$6,$AK$7,$AK$8,$AL$3)/1000</f>
        <v>252.016130256</v>
      </c>
      <c r="BI38" s="172">
        <f>_xll.LVCELL($AK$1,BI$3,$AK38,$AL$2,$AK$4,$AK$5,$AK$6,$AK$7,$AK$8,$AL$3)/1000</f>
        <v>343.034559202808</v>
      </c>
      <c r="BJ38" s="172">
        <f>_xll.LVCELL($AK$1,BJ$3,$AK38,$AL$2,$AK$4,$AK$5,$AK$6,$AK$7,$AK$8,$AL$3)/1000</f>
        <v>395.98366908726399</v>
      </c>
      <c r="BK38" s="172">
        <f>_xll.LVCELL($AK$1,BK$3,$AK38,$AL$2,$AK$4,$AK$5,$AK$6,$AK$7,$AK$8,$AL$3)/1000</f>
        <v>482.22041922161196</v>
      </c>
      <c r="BL38" s="172">
        <f>_xll.LVCELL($AK$1,BL$2,$AK38,$AL$2,$AK$4,$AK$5,$AK$6,$AK$7,$AK$8,$AL$3)/1000</f>
        <v>3946.2969457094364</v>
      </c>
      <c r="BM38" s="214">
        <f t="shared" si="6"/>
        <v>27.983300187436726</v>
      </c>
      <c r="BN38" s="217">
        <f t="shared" si="7"/>
        <v>-64.852305839174349</v>
      </c>
      <c r="BO38" s="218">
        <f t="shared" si="7"/>
        <v>92.835606026610776</v>
      </c>
      <c r="BP38" s="193">
        <f t="shared" si="8"/>
        <v>7.1416692789301184E-3</v>
      </c>
      <c r="BQ38" s="190" t="s">
        <v>3551</v>
      </c>
      <c r="BS38" s="198">
        <f t="shared" si="9"/>
        <v>97.911702695947099</v>
      </c>
      <c r="BT38" s="198">
        <f t="shared" si="10"/>
        <v>100.27054101184513</v>
      </c>
      <c r="BU38" s="198">
        <f t="shared" si="11"/>
        <v>2.3588383158980264</v>
      </c>
      <c r="BV38" s="199">
        <f t="shared" si="12"/>
        <v>2.4091484990544105E-2</v>
      </c>
      <c r="BX38" s="200">
        <f t="shared" si="17"/>
        <v>-64.852305839174349</v>
      </c>
      <c r="BY38" s="200">
        <f t="shared" si="18"/>
        <v>92.835606026610776</v>
      </c>
      <c r="BZ38" s="200">
        <f t="shared" si="15"/>
        <v>27.983300187436427</v>
      </c>
      <c r="CA38" s="526">
        <f t="shared" si="16"/>
        <v>2.9842794901924208E-13</v>
      </c>
    </row>
    <row r="39" spans="2:79">
      <c r="B39" s="64" t="str">
        <f>'1-EO_Calcul Reporting'!B49</f>
        <v>E5393</v>
      </c>
      <c r="C39" s="64" t="str">
        <f>'1-EO_Calcul Reporting'!C49</f>
        <v>BEV4</v>
      </c>
      <c r="D39" s="192" t="s">
        <v>2643</v>
      </c>
      <c r="E39" s="172">
        <f>_xll.LVCELL($D$1,E$3,$C39,$D$2,$C$4,$C$5,$C$6,$C$7,$C$8,$D$3)/1000</f>
        <v>8675.7240000000002</v>
      </c>
      <c r="F39" s="172">
        <f>_xll.LVCELL($D$1,F$3,$C39,$D$2,$C$4,$C$5,$C$6,$C$7,$C$8,$D$3)/1000</f>
        <v>7141.3810000000003</v>
      </c>
      <c r="G39" s="172">
        <f>_xll.LVCELL($D$1,G$3,$C39,$D$2,$C$4,$C$5,$C$6,$C$7,$C$8,$D$3)/1000</f>
        <v>7057.6329999999998</v>
      </c>
      <c r="H39" s="172">
        <f>_xll.LVCELL($D$1,H$3,$C39,$D$2,$C$4,$C$5,$C$6,$C$7,$C$8,$D$3)/1000</f>
        <v>5859.0730000000003</v>
      </c>
      <c r="I39" s="172">
        <f>_xll.LVCELL($D$1,I$3,$C39,$D$2,$C$4,$C$5,$C$6,$C$7,$C$8,$D$3)/1000</f>
        <v>4980.4949999999999</v>
      </c>
      <c r="J39" s="172">
        <f>_xll.LVCELL($D$1,J$3,$C39,$D$2,$C$4,$C$5,$C$6,$C$7,$C$8,$D$3)/1000</f>
        <v>3869.04</v>
      </c>
      <c r="K39" s="172">
        <f>_xll.LVCELL($D$1,K$3,$C39,$D$2,$C$4,$C$5,$C$6,$C$7,$C$8,$D$3)/1000</f>
        <v>3757.06</v>
      </c>
      <c r="L39" s="172">
        <f>_xll.LVCELL($D$1,L$3,$C39,$D$2,$C$4,$C$5,$C$6,$C$7,$C$8,$D$3)/1000</f>
        <v>3553.5</v>
      </c>
      <c r="M39" s="172">
        <f>_xll.LVCELL($D$1,M$3,$C39,$D$2,$C$4,$C$5,$C$6,$C$7,$C$8,$D$3)/1000</f>
        <v>4912.3</v>
      </c>
      <c r="N39" s="172">
        <f>_xll.LVCELL($D$1,N$3,$C39,$D$2,$C$4,$C$5,$C$6,$C$7,$C$8,$D$3)/1000</f>
        <v>7001.55</v>
      </c>
      <c r="O39" s="172">
        <f>_xll.LVCELL($D$1,O$3,$C39,$D$2,$C$4,$C$5,$C$6,$C$7,$C$8,$D$3)/1000</f>
        <v>7246.0649999999996</v>
      </c>
      <c r="P39" s="172">
        <f>_xll.LVCELL($D$1,P$3,$C39,$D$2,$C$4,$C$5,$C$6,$C$7,$C$8,$D$3)/1000</f>
        <v>8858.5120000000006</v>
      </c>
      <c r="Q39" s="172">
        <f>_xll.LVCELL($D$1,Q$2,$C39,$D$2,$C$4,$C$5,$C$6,$C$7,$C$8,$D$3)/1000</f>
        <v>72912.332999999999</v>
      </c>
      <c r="R39" s="172">
        <f>_xll.LVCELL($D$1,R$3,$C39,$D$2,$C$4,$C$5,$C$6,$C$7,$C$8,$D$3)/1000</f>
        <v>8675.7240000000002</v>
      </c>
      <c r="S39" s="172">
        <f>_xll.LVCELL($D$1,S$3,$C39,$D$2,$C$4,$C$5,$C$6,$C$7,$C$8,$D$3)/1000</f>
        <v>7141.3810000000003</v>
      </c>
      <c r="T39" s="172">
        <f>_xll.LVCELL($D$1,T$3,$C39,$D$2,$C$4,$C$5,$C$6,$C$7,$C$8,$D$3)/1000</f>
        <v>7057.6329999999998</v>
      </c>
      <c r="U39" s="172">
        <f>_xll.LVCELL($D$1,U$3,$C39,$D$2,$C$4,$C$5,$C$6,$C$7,$C$8,$D$3)/1000</f>
        <v>5859.0730000000003</v>
      </c>
      <c r="V39" s="172">
        <f>_xll.LVCELL($D$1,V$3,$C39,$D$2,$C$4,$C$5,$C$6,$C$7,$C$8,$D$3)/1000</f>
        <v>4980.4949999999999</v>
      </c>
      <c r="W39" s="172">
        <f>_xll.LVCELL($D$1,W$3,$C39,$D$2,$C$4,$C$5,$C$6,$C$7,$C$8,$D$3)/1000</f>
        <v>3869.04</v>
      </c>
      <c r="X39" s="172">
        <f>_xll.LVCELL($D$1,X$3,$C39,$D$2,$C$4,$C$5,$C$6,$C$7,$C$8,$D$3)/1000</f>
        <v>3757.06</v>
      </c>
      <c r="Y39" s="172">
        <f>_xll.LVCELL($D$1,Y$3,$C39,$D$2,$C$4,$C$5,$C$6,$C$7,$C$8,$D$3)/1000</f>
        <v>3553.5</v>
      </c>
      <c r="Z39" s="172">
        <f>_xll.LVCELL($D$1,Z$3,$C39,$D$2,$C$4,$C$5,$C$6,$C$7,$C$8,$D$3)/1000</f>
        <v>4912.3</v>
      </c>
      <c r="AA39" s="172">
        <f>_xll.LVCELL($D$1,AA$3,$C39,$D$2,$C$4,$C$5,$C$6,$C$7,$C$8,$D$3)/1000</f>
        <v>7001.55</v>
      </c>
      <c r="AB39" s="172">
        <f>_xll.LVCELL($D$1,AB$3,$C39,$D$2,$C$4,$C$5,$C$6,$C$7,$C$8,$D$3)/1000</f>
        <v>7246.0649999999996</v>
      </c>
      <c r="AC39" s="172">
        <f>_xll.LVCELL($D$1,AC$3,$C39,$D$2,$C$4,$C$5,$C$6,$C$7,$C$8,$D$3)/1000</f>
        <v>8858.5120000000006</v>
      </c>
      <c r="AD39" s="172">
        <f>_xll.LVCELL($D$1,AD$2,$C39,$D$2,$C$4,$C$5,$C$6,$C$7,$C$8,$D$3)/1000</f>
        <v>72912.332999999999</v>
      </c>
      <c r="AE39" s="172">
        <f t="shared" si="1"/>
        <v>0</v>
      </c>
      <c r="AF39" s="193">
        <f t="shared" si="2"/>
        <v>0</v>
      </c>
      <c r="AG39" s="535"/>
      <c r="AJ39" s="64" t="str">
        <f t="shared" si="3"/>
        <v>E5393</v>
      </c>
      <c r="AK39" s="64" t="str">
        <f t="shared" si="4"/>
        <v>BEV4</v>
      </c>
      <c r="AL39" s="192" t="str">
        <f t="shared" si="5"/>
        <v>Vallée d'Arce 1 (DR/NY/NU)</v>
      </c>
      <c r="AM39" s="172">
        <f>_xll.LVCELL($AK$1,AM$3,$AK39,$AL$2,$AK$4,$AK$5,$AK$6,$AK$7,$AK$8,$AL$3)/1000</f>
        <v>850.95838853999999</v>
      </c>
      <c r="AN39" s="172">
        <f>_xll.LVCELL($AK$1,AN$3,$AK39,$AL$2,$AK$4,$AK$5,$AK$6,$AK$7,$AK$8,$AL$3)/1000</f>
        <v>700.46235538500002</v>
      </c>
      <c r="AO39" s="172">
        <f>_xll.LVCELL($AK$1,AO$3,$AK39,$AL$2,$AK$4,$AK$5,$AK$6,$AK$7,$AK$8,$AL$3)/1000</f>
        <v>692.247932805</v>
      </c>
      <c r="AP39" s="172">
        <f>_xll.LVCELL($AK$1,AP$3,$AK39,$AL$2,$AK$4,$AK$5,$AK$6,$AK$7,$AK$8,$AL$3)/1000</f>
        <v>574.68717520500002</v>
      </c>
      <c r="AQ39" s="172">
        <f>_xll.LVCELL($AK$1,AQ$3,$AK39,$AL$2,$AK$4,$AK$5,$AK$6,$AK$7,$AK$8,$AL$3)/1000</f>
        <v>488.51185207499998</v>
      </c>
      <c r="AR39" s="172">
        <f>_xll.LVCELL($AK$1,AR$3,$AK39,$AL$2,$AK$4,$AK$5,$AK$6,$AK$7,$AK$8,$AL$3)/1000</f>
        <v>379.4947884</v>
      </c>
      <c r="AS39" s="172">
        <f>_xll.LVCELL($AK$1,AS$3,$AK39,$AL$2,$AK$4,$AK$5,$AK$6,$AK$7,$AK$8,$AL$3)/1000</f>
        <v>368.51123009999998</v>
      </c>
      <c r="AT39" s="172">
        <f>_xll.LVCELL($AK$1,AT$3,$AK39,$AL$2,$AK$4,$AK$5,$AK$6,$AK$7,$AK$8,$AL$3)/1000</f>
        <v>348.54504750000001</v>
      </c>
      <c r="AU39" s="172">
        <f>_xll.LVCELL($AK$1,AU$3,$AK39,$AL$2,$AK$4,$AK$5,$AK$6,$AK$7,$AK$8,$AL$3)/1000</f>
        <v>481.82294549999995</v>
      </c>
      <c r="AV39" s="172">
        <f>_xll.LVCELL($AK$1,AV$3,$AK39,$AL$2,$AK$4,$AK$5,$AK$6,$AK$7,$AK$8,$AL$3)/1000</f>
        <v>686.74703175000002</v>
      </c>
      <c r="AW39" s="172">
        <f>_xll.LVCELL($AK$1,AW$3,$AK39,$AL$2,$AK$4,$AK$5,$AK$6,$AK$7,$AK$8,$AL$3)/1000</f>
        <v>713.57074300500005</v>
      </c>
      <c r="AX39" s="172">
        <f>_xll.LVCELL($AK$1,AX$3,$AK39,$AL$2,$AK$4,$AK$5,$AK$6,$AK$7,$AK$8,$AL$3)/1000</f>
        <v>872.35968622399992</v>
      </c>
      <c r="AY39" s="172">
        <f>_xll.LVCELL($AK$1,AY$2,$AK39,$AL$2,$AK$4,$AK$5,$AK$6,$AK$7,$AK$8,$AL$3)/1000</f>
        <v>7157.9191764890002</v>
      </c>
      <c r="AZ39" s="172">
        <f>_xll.LVCELL($AK$1,AZ$3,$AK39,$AL$2,$AK$4,$AK$5,$AK$6,$AK$7,$AK$8,$AL$3)/1000</f>
        <v>867.69373867586398</v>
      </c>
      <c r="BA39" s="172">
        <f>_xll.LVCELL($AK$1,BA$3,$AK39,$AL$2,$AK$4,$AK$5,$AK$6,$AK$7,$AK$8,$AL$3)/1000</f>
        <v>714.23797935466598</v>
      </c>
      <c r="BB39" s="172">
        <f>_xll.LVCELL($AK$1,BB$3,$AK39,$AL$2,$AK$4,$AK$5,$AK$6,$AK$7,$AK$8,$AL$3)/1000</f>
        <v>705.86200805513806</v>
      </c>
      <c r="BC39" s="172">
        <f>_xll.LVCELL($AK$1,BC$3,$AK39,$AL$2,$AK$4,$AK$5,$AK$6,$AK$7,$AK$8,$AL$3)/1000</f>
        <v>585.98924499497798</v>
      </c>
      <c r="BD39" s="172">
        <f>_xll.LVCELL($AK$1,BD$3,$AK39,$AL$2,$AK$4,$AK$5,$AK$6,$AK$7,$AK$8,$AL$3)/1000</f>
        <v>498.11915720307002</v>
      </c>
      <c r="BE39" s="172">
        <f>_xll.LVCELL($AK$1,BE$3,$AK39,$AL$2,$AK$4,$AK$5,$AK$6,$AK$7,$AK$8,$AL$3)/1000</f>
        <v>386.95811239343999</v>
      </c>
      <c r="BF39" s="172">
        <f>_xll.LVCELL($AK$1,BF$3,$AK39,$AL$2,$AK$4,$AK$5,$AK$6,$AK$7,$AK$8,$AL$3)/1000</f>
        <v>375.75854624115999</v>
      </c>
      <c r="BG39" s="172">
        <f>_xll.LVCELL($AK$1,BG$3,$AK39,$AL$2,$AK$4,$AK$5,$AK$6,$AK$7,$AK$8,$AL$3)/1000</f>
        <v>355.39969925100002</v>
      </c>
      <c r="BH39" s="172">
        <f>_xll.LVCELL($AK$1,BH$3,$AK39,$AL$2,$AK$4,$AK$5,$AK$6,$AK$7,$AK$8,$AL$3)/1000</f>
        <v>491.29870342779998</v>
      </c>
      <c r="BI39" s="172">
        <f>_xll.LVCELL($AK$1,BI$3,$AK39,$AL$2,$AK$4,$AK$5,$AK$6,$AK$7,$AK$8,$AL$3)/1000</f>
        <v>700.25292367830002</v>
      </c>
      <c r="BJ39" s="172">
        <f>_xll.LVCELL($AK$1,BJ$3,$AK39,$AL$2,$AK$4,$AK$5,$AK$6,$AK$7,$AK$8,$AL$3)/1000</f>
        <v>741.37611895195505</v>
      </c>
      <c r="BK39" s="172">
        <f>_xll.LVCELL($AK$1,BK$3,$AK39,$AL$2,$AK$4,$AK$5,$AK$6,$AK$7,$AK$8,$AL$3)/1000</f>
        <v>906.35251633118401</v>
      </c>
      <c r="BL39" s="172">
        <f>_xll.LVCELL($AK$1,BL$2,$AK39,$AL$2,$AK$4,$AK$5,$AK$6,$AK$7,$AK$8,$AL$3)/1000</f>
        <v>7329.2987485585554</v>
      </c>
      <c r="BM39" s="214">
        <f t="shared" si="6"/>
        <v>171.37957206955525</v>
      </c>
      <c r="BN39" s="217">
        <f t="shared" si="7"/>
        <v>0</v>
      </c>
      <c r="BO39" s="218">
        <f t="shared" si="7"/>
        <v>171.37957206955588</v>
      </c>
      <c r="BP39" s="193">
        <f t="shared" si="8"/>
        <v>2.394265258435313E-2</v>
      </c>
      <c r="BQ39" s="190"/>
      <c r="BS39" s="198">
        <f t="shared" si="9"/>
        <v>98.171583351872712</v>
      </c>
      <c r="BT39" s="198">
        <f t="shared" si="10"/>
        <v>100.52207146572248</v>
      </c>
      <c r="BU39" s="198">
        <f t="shared" si="11"/>
        <v>2.3504881138497637</v>
      </c>
      <c r="BV39" s="199">
        <f t="shared" si="12"/>
        <v>2.3942652584353231E-2</v>
      </c>
      <c r="BX39" s="200">
        <f t="shared" si="17"/>
        <v>0</v>
      </c>
      <c r="BY39" s="200">
        <f t="shared" si="18"/>
        <v>171.37957206955588</v>
      </c>
      <c r="BZ39" s="200">
        <f t="shared" si="15"/>
        <v>171.37957206955588</v>
      </c>
      <c r="CA39" s="526">
        <f t="shared" si="16"/>
        <v>-6.2527760746888816E-13</v>
      </c>
    </row>
    <row r="40" spans="2:79" ht="63.75">
      <c r="B40" s="64" t="str">
        <f>'1-EO_Calcul Reporting'!B52</f>
        <v>E5394</v>
      </c>
      <c r="C40" s="64" t="str">
        <f>'1-EO_Calcul Reporting'!C52</f>
        <v>BEV5</v>
      </c>
      <c r="D40" s="192" t="str">
        <f>'1-EO_Calcul Reporting'!D52</f>
        <v>La Bouleste</v>
      </c>
      <c r="E40" s="172">
        <f>_xll.LVCELL($D$1,E$3,$C40,$D$2,$C$4,$C$5,$C$6,$C$7,$C$8,$D$3)/1000</f>
        <v>1612.4079999999999</v>
      </c>
      <c r="F40" s="172">
        <f>_xll.LVCELL($D$1,F$3,$C40,$D$2,$C$4,$C$5,$C$6,$C$7,$C$8,$D$3)/1000</f>
        <v>1435.9849999999999</v>
      </c>
      <c r="G40" s="172">
        <f>_xll.LVCELL($D$1,G$3,$C40,$D$2,$C$4,$C$5,$C$6,$C$7,$C$8,$D$3)/1000</f>
        <v>1606.6990000000001</v>
      </c>
      <c r="H40" s="172">
        <f>_xll.LVCELL($D$1,H$3,$C40,$D$2,$C$4,$C$5,$C$6,$C$7,$C$8,$D$3)/1000</f>
        <v>1523.098</v>
      </c>
      <c r="I40" s="172">
        <f>_xll.LVCELL($D$1,I$3,$C40,$D$2,$C$4,$C$5,$C$6,$C$7,$C$8,$D$3)/1000</f>
        <v>1363.5630000000001</v>
      </c>
      <c r="J40" s="172">
        <f>_xll.LVCELL($D$1,J$3,$C40,$D$2,$C$4,$C$5,$C$6,$C$7,$C$8,$D$3)/1000</f>
        <v>818.14099999999996</v>
      </c>
      <c r="K40" s="172">
        <f>_xll.LVCELL($D$1,K$3,$C40,$D$2,$C$4,$C$5,$C$6,$C$7,$C$8,$D$3)/1000</f>
        <v>752.154</v>
      </c>
      <c r="L40" s="172">
        <f>_xll.LVCELL($D$1,L$3,$C40,$D$2,$C$4,$C$5,$C$6,$C$7,$C$8,$D$3)/1000</f>
        <v>650.33199999999999</v>
      </c>
      <c r="M40" s="172">
        <f>_xll.LVCELL($D$1,M$3,$C40,$D$2,$C$4,$C$5,$C$6,$C$7,$C$8,$D$3)/1000</f>
        <v>968.24900000000002</v>
      </c>
      <c r="N40" s="172">
        <f>_xll.LVCELL($D$1,N$3,$C40,$D$2,$C$4,$C$5,$C$6,$C$7,$C$8,$D$3)/1000</f>
        <v>1591.473</v>
      </c>
      <c r="O40" s="172">
        <f>_xll.LVCELL($D$1,O$3,$C40,$D$2,$C$4,$C$5,$C$6,$C$7,$C$8,$D$3)/1000</f>
        <v>1599.0740000000001</v>
      </c>
      <c r="P40" s="172">
        <f>_xll.LVCELL($D$1,P$3,$C40,$D$2,$C$4,$C$5,$C$6,$C$7,$C$8,$D$3)/1000</f>
        <v>1576.2470000000001</v>
      </c>
      <c r="Q40" s="172">
        <f>_xll.LVCELL($D$1,Q$2,$C40,$D$2,$C$4,$C$5,$C$6,$C$7,$C$8,$D$3)/1000</f>
        <v>15497.423000000001</v>
      </c>
      <c r="R40" s="172">
        <f>_xll.LVCELL($D$1,R$3,$C40,$D$2,$C$4,$C$5,$C$6,$C$7,$C$8,$D$3)/1000</f>
        <v>1705.078</v>
      </c>
      <c r="S40" s="172">
        <f>_xll.LVCELL($D$1,S$3,$C40,$D$2,$C$4,$C$5,$C$6,$C$7,$C$8,$D$3)/1000</f>
        <v>1518.5160000000001</v>
      </c>
      <c r="T40" s="172">
        <f>_xll.LVCELL($D$1,T$3,$C40,$D$2,$C$4,$C$5,$C$6,$C$7,$C$8,$D$3)/1000</f>
        <v>1699.0409999999999</v>
      </c>
      <c r="U40" s="172">
        <f>_xll.LVCELL($D$1,U$3,$C40,$D$2,$C$4,$C$5,$C$6,$C$7,$C$8,$D$3)/1000</f>
        <v>1610.635</v>
      </c>
      <c r="V40" s="172">
        <f>_xll.LVCELL($D$1,V$3,$C40,$D$2,$C$4,$C$5,$C$6,$C$7,$C$8,$D$3)/1000</f>
        <v>1441.931</v>
      </c>
      <c r="W40" s="172">
        <f>_xll.LVCELL($D$1,W$3,$C40,$D$2,$C$4,$C$5,$C$6,$C$7,$C$8,$D$3)/1000</f>
        <v>865.16200000000003</v>
      </c>
      <c r="X40" s="172">
        <f>_xll.LVCELL($D$1,X$3,$C40,$D$2,$C$4,$C$5,$C$6,$C$7,$C$8,$D$3)/1000</f>
        <v>795.38300000000004</v>
      </c>
      <c r="Y40" s="172">
        <f>_xll.LVCELL($D$1,Y$3,$C40,$D$2,$C$4,$C$5,$C$6,$C$7,$C$8,$D$3)/1000</f>
        <v>687.70899999999995</v>
      </c>
      <c r="Z40" s="172">
        <f>_xll.LVCELL($D$1,Z$3,$C40,$D$2,$C$4,$C$5,$C$6,$C$7,$C$8,$D$3)/1000</f>
        <v>1023.897</v>
      </c>
      <c r="AA40" s="172">
        <f>_xll.LVCELL($D$1,AA$3,$C40,$D$2,$C$4,$C$5,$C$6,$C$7,$C$8,$D$3)/1000</f>
        <v>1682.94</v>
      </c>
      <c r="AB40" s="172">
        <f>_xll.LVCELL($D$1,AB$3,$C40,$D$2,$C$4,$C$5,$C$6,$C$7,$C$8,$D$3)/1000</f>
        <v>1690.9770000000001</v>
      </c>
      <c r="AC40" s="172">
        <f>_xll.LVCELL($D$1,AC$3,$C40,$D$2,$C$4,$C$5,$C$6,$C$7,$C$8,$D$3)/1000</f>
        <v>1666.8389999999999</v>
      </c>
      <c r="AD40" s="172">
        <f>_xll.LVCELL($D$1,AD$2,$C40,$D$2,$C$4,$C$5,$C$6,$C$7,$C$8,$D$3)/1000</f>
        <v>16388.108</v>
      </c>
      <c r="AE40" s="516">
        <f t="shared" si="1"/>
        <v>890.68499999999949</v>
      </c>
      <c r="AF40" s="193">
        <f t="shared" si="2"/>
        <v>5.7473103754088539E-2</v>
      </c>
      <c r="AG40" s="535" t="s">
        <v>3185</v>
      </c>
      <c r="AJ40" s="64" t="str">
        <f t="shared" si="3"/>
        <v>E5394</v>
      </c>
      <c r="AK40" s="64" t="str">
        <f t="shared" si="4"/>
        <v>BEV5</v>
      </c>
      <c r="AL40" s="192" t="str">
        <f t="shared" si="5"/>
        <v>La Bouleste</v>
      </c>
      <c r="AM40" s="172">
        <f>_xll.LVCELL($AK$1,AM$3,$AK40,$AL$2,$AK$4,$AK$5,$AK$6,$AK$7,$AK$8,$AL$3)/1000</f>
        <v>157.72575055999999</v>
      </c>
      <c r="AN40" s="172">
        <f>_xll.LVCELL($AK$1,AN$3,$AK40,$AL$2,$AK$4,$AK$5,$AK$6,$AK$7,$AK$8,$AL$3)/1000</f>
        <v>140.46805269999999</v>
      </c>
      <c r="AO40" s="172">
        <f>_xll.LVCELL($AK$1,AO$3,$AK40,$AL$2,$AK$4,$AK$5,$AK$6,$AK$7,$AK$8,$AL$3)/1000</f>
        <v>157.16729617999999</v>
      </c>
      <c r="AP40" s="172">
        <f>_xll.LVCELL($AK$1,AP$3,$AK40,$AL$2,$AK$4,$AK$5,$AK$6,$AK$7,$AK$8,$AL$3)/1000</f>
        <v>148.98944635999999</v>
      </c>
      <c r="AQ40" s="172">
        <f>_xll.LVCELL($AK$1,AQ$3,$AK40,$AL$2,$AK$4,$AK$5,$AK$6,$AK$7,$AK$8,$AL$3)/1000</f>
        <v>133.38373266000002</v>
      </c>
      <c r="AR40" s="172">
        <f>_xll.LVCELL($AK$1,AR$3,$AK40,$AL$2,$AK$4,$AK$5,$AK$6,$AK$7,$AK$8,$AL$3)/1000</f>
        <v>80.030552620000009</v>
      </c>
      <c r="AS40" s="172">
        <f>_xll.LVCELL($AK$1,AS$3,$AK40,$AL$2,$AK$4,$AK$5,$AK$6,$AK$7,$AK$8,$AL$3)/1000</f>
        <v>73.575704280000011</v>
      </c>
      <c r="AT40" s="172">
        <f>_xll.LVCELL($AK$1,AT$3,$AK40,$AL$2,$AK$4,$AK$5,$AK$6,$AK$7,$AK$8,$AL$3)/1000</f>
        <v>63.615476240000007</v>
      </c>
      <c r="AU40" s="172">
        <f>_xll.LVCELL($AK$1,AU$3,$AK40,$AL$2,$AK$4,$AK$5,$AK$6,$AK$7,$AK$8,$AL$3)/1000</f>
        <v>94.714117180000002</v>
      </c>
      <c r="AV40" s="172">
        <f>_xll.LVCELL($AK$1,AV$3,$AK40,$AL$2,$AK$4,$AK$5,$AK$6,$AK$7,$AK$8,$AL$3)/1000</f>
        <v>155.67788886</v>
      </c>
      <c r="AW40" s="172">
        <f>_xll.LVCELL($AK$1,AW$3,$AK40,$AL$2,$AK$4,$AK$5,$AK$6,$AK$7,$AK$8,$AL$3)/1000</f>
        <v>157.046656614</v>
      </c>
      <c r="AX40" s="172">
        <f>_xll.LVCELL($AK$1,AX$3,$AK40,$AL$2,$AK$4,$AK$5,$AK$6,$AK$7,$AK$8,$AL$3)/1000</f>
        <v>154.804794117</v>
      </c>
      <c r="AY40" s="172">
        <f>_xll.LVCELL($AK$1,AY$2,$AK40,$AL$2,$AK$4,$AK$5,$AK$6,$AK$7,$AK$8,$AL$3)/1000</f>
        <v>1517.199468371</v>
      </c>
      <c r="AZ40" s="172">
        <f>_xll.LVCELL($AK$1,AZ$3,$AK40,$AL$2,$AK$4,$AK$5,$AK$6,$AK$7,$AK$8,$AL$3)/1000</f>
        <v>170.10479969946601</v>
      </c>
      <c r="BA40" s="172">
        <f>_xll.LVCELL($AK$1,BA$3,$AK40,$AL$2,$AK$4,$AK$5,$AK$6,$AK$7,$AK$8,$AL$3)/1000</f>
        <v>151.49269418785201</v>
      </c>
      <c r="BB40" s="172">
        <f>_xll.LVCELL($AK$1,BB$3,$AK40,$AL$2,$AK$4,$AK$5,$AK$6,$AK$7,$AK$8,$AL$3)/1000</f>
        <v>169.50252656252701</v>
      </c>
      <c r="BC40" s="172">
        <f>_xll.LVCELL($AK$1,BC$3,$AK40,$AL$2,$AK$4,$AK$5,$AK$6,$AK$7,$AK$8,$AL$3)/1000</f>
        <v>160.68282158584501</v>
      </c>
      <c r="BD40" s="172">
        <f>_xll.LVCELL($AK$1,BD$3,$AK40,$AL$2,$AK$4,$AK$5,$AK$6,$AK$7,$AK$8,$AL$3)/1000</f>
        <v>143.85229528235701</v>
      </c>
      <c r="BE40" s="172">
        <f>_xll.LVCELL($AK$1,BE$3,$AK40,$AL$2,$AK$4,$AK$5,$AK$6,$AK$7,$AK$8,$AL$3)/1000</f>
        <v>86.311716365814007</v>
      </c>
      <c r="BF40" s="172">
        <f>_xll.LVCELL($AK$1,BF$3,$AK40,$AL$2,$AK$4,$AK$5,$AK$6,$AK$7,$AK$8,$AL$3)/1000</f>
        <v>79.350308841800995</v>
      </c>
      <c r="BG40" s="172">
        <f>_xll.LVCELL($AK$1,BG$3,$AK40,$AL$2,$AK$4,$AK$5,$AK$6,$AK$7,$AK$8,$AL$3)/1000</f>
        <v>68.608357914723001</v>
      </c>
      <c r="BH40" s="172">
        <f>_xll.LVCELL($AK$1,BH$3,$AK40,$AL$2,$AK$4,$AK$5,$AK$6,$AK$7,$AK$8,$AL$3)/1000</f>
        <v>102.147698872359</v>
      </c>
      <c r="BI40" s="172">
        <f>_xll.LVCELL($AK$1,BI$3,$AK40,$AL$2,$AK$4,$AK$5,$AK$6,$AK$7,$AK$8,$AL$3)/1000</f>
        <v>167.89623208218001</v>
      </c>
      <c r="BJ40" s="172">
        <f>_xll.LVCELL($AK$1,BJ$3,$AK40,$AL$2,$AK$4,$AK$5,$AK$6,$AK$7,$AK$8,$AL$3)/1000</f>
        <v>172.57808746214701</v>
      </c>
      <c r="BK40" s="172">
        <f>_xll.LVCELL($AK$1,BK$3,$AK40,$AL$2,$AK$4,$AK$5,$AK$6,$AK$7,$AK$8,$AL$3)/1000</f>
        <v>170.114606365029</v>
      </c>
      <c r="BL40" s="172">
        <f>_xll.LVCELL($AK$1,BL$2,$AK40,$AL$2,$AK$4,$AK$5,$AK$6,$AK$7,$AK$8,$AL$3)/1000</f>
        <v>1642.6421452221</v>
      </c>
      <c r="BM40" s="214">
        <f t="shared" si="6"/>
        <v>125.44267685110003</v>
      </c>
      <c r="BN40" s="217">
        <f t="shared" si="7"/>
        <v>87.19816246133459</v>
      </c>
      <c r="BO40" s="218">
        <f t="shared" si="7"/>
        <v>38.2445143897652</v>
      </c>
      <c r="BP40" s="193">
        <f t="shared" si="8"/>
        <v>8.2680411815452493E-2</v>
      </c>
      <c r="BQ40" s="190" t="s">
        <v>3559</v>
      </c>
      <c r="BS40" s="198">
        <f t="shared" si="9"/>
        <v>97.900113352458661</v>
      </c>
      <c r="BT40" s="198">
        <f t="shared" si="10"/>
        <v>100.233788136013</v>
      </c>
      <c r="BU40" s="198">
        <f t="shared" si="11"/>
        <v>2.3336747835543434</v>
      </c>
      <c r="BV40" s="199">
        <f t="shared" si="12"/>
        <v>2.3837304203649684E-2</v>
      </c>
      <c r="BX40" s="200">
        <f t="shared" si="17"/>
        <v>87.19816246133459</v>
      </c>
      <c r="BY40" s="200">
        <f t="shared" si="18"/>
        <v>38.2445143897652</v>
      </c>
      <c r="BZ40" s="200">
        <f t="shared" si="15"/>
        <v>125.44267685109979</v>
      </c>
      <c r="CA40" s="526">
        <f t="shared" si="16"/>
        <v>2.4158453015843406E-13</v>
      </c>
    </row>
    <row r="41" spans="2:79">
      <c r="B41" s="64" t="str">
        <f>'1-EO_Calcul Reporting'!B53</f>
        <v>E5395</v>
      </c>
      <c r="C41" s="64" t="str">
        <f>'1-EO_Calcul Reporting'!C53</f>
        <v>BEV6</v>
      </c>
      <c r="D41" s="192" t="s">
        <v>2635</v>
      </c>
      <c r="E41" s="172">
        <f>_xll.LVCELL($D$1,E$3,$C41,$D$2,$C$4,$C$5,$C$6,$C$7,$C$8,$D$3)/1000</f>
        <v>5797.2960000000003</v>
      </c>
      <c r="F41" s="172">
        <f>_xll.LVCELL($D$1,F$3,$C41,$D$2,$C$4,$C$5,$C$6,$C$7,$C$8,$D$3)/1000</f>
        <v>4886.6019999999999</v>
      </c>
      <c r="G41" s="172">
        <f>_xll.LVCELL($D$1,G$3,$C41,$D$2,$C$4,$C$5,$C$6,$C$7,$C$8,$D$3)/1000</f>
        <v>4978.1869999999999</v>
      </c>
      <c r="H41" s="172">
        <f>_xll.LVCELL($D$1,H$3,$C41,$D$2,$C$4,$C$5,$C$6,$C$7,$C$8,$D$3)/1000</f>
        <v>4098.0619999999999</v>
      </c>
      <c r="I41" s="172">
        <f>_xll.LVCELL($D$1,I$3,$C41,$D$2,$C$4,$C$5,$C$6,$C$7,$C$8,$D$3)/1000</f>
        <v>3370.8209999999999</v>
      </c>
      <c r="J41" s="172">
        <f>_xll.LVCELL($D$1,J$3,$C41,$D$2,$C$4,$C$5,$C$6,$C$7,$C$8,$D$3)/1000</f>
        <v>2603.752</v>
      </c>
      <c r="K41" s="172">
        <f>_xll.LVCELL($D$1,K$3,$C41,$D$2,$C$4,$C$5,$C$6,$C$7,$C$8,$D$3)/1000</f>
        <v>2503.8919999999998</v>
      </c>
      <c r="L41" s="172">
        <f>_xll.LVCELL($D$1,L$3,$C41,$D$2,$C$4,$C$5,$C$6,$C$7,$C$8,$D$3)/1000</f>
        <v>2272.5050000000001</v>
      </c>
      <c r="M41" s="172">
        <f>_xll.LVCELL($D$1,M$3,$C41,$D$2,$C$4,$C$5,$C$6,$C$7,$C$8,$D$3)/1000</f>
        <v>3335.232</v>
      </c>
      <c r="N41" s="172">
        <f>_xll.LVCELL($D$1,N$3,$C41,$D$2,$C$4,$C$5,$C$6,$C$7,$C$8,$D$3)/1000</f>
        <v>4752.9709999999995</v>
      </c>
      <c r="O41" s="172">
        <f>_xll.LVCELL($D$1,O$3,$C41,$D$2,$C$4,$C$5,$C$6,$C$7,$C$8,$D$3)/1000</f>
        <v>4805.6580000000004</v>
      </c>
      <c r="P41" s="172">
        <f>_xll.LVCELL($D$1,P$3,$C41,$D$2,$C$4,$C$5,$C$6,$C$7,$C$8,$D$3)/1000</f>
        <v>6041.0230000000001</v>
      </c>
      <c r="Q41" s="172">
        <f>_xll.LVCELL($D$1,Q$2,$C41,$D$2,$C$4,$C$5,$C$6,$C$7,$C$8,$D$3)/1000</f>
        <v>49446.000999999997</v>
      </c>
      <c r="R41" s="172">
        <f>_xll.LVCELL($D$1,R$3,$C41,$D$2,$C$4,$C$5,$C$6,$C$7,$C$8,$D$3)/1000</f>
        <v>5565.4040000000005</v>
      </c>
      <c r="S41" s="172">
        <f>_xll.LVCELL($D$1,S$3,$C41,$D$2,$C$4,$C$5,$C$6,$C$7,$C$8,$D$3)/1000</f>
        <v>4691.1379999999999</v>
      </c>
      <c r="T41" s="172">
        <f>_xll.LVCELL($D$1,T$3,$C41,$D$2,$C$4,$C$5,$C$6,$C$7,$C$8,$D$3)/1000</f>
        <v>4779.0590000000002</v>
      </c>
      <c r="U41" s="172">
        <f>_xll.LVCELL($D$1,U$3,$C41,$D$2,$C$4,$C$5,$C$6,$C$7,$C$8,$D$3)/1000</f>
        <v>3934.14</v>
      </c>
      <c r="V41" s="172">
        <f>_xll.LVCELL($D$1,V$3,$C41,$D$2,$C$4,$C$5,$C$6,$C$7,$C$8,$D$3)/1000</f>
        <v>3235.9879999999998</v>
      </c>
      <c r="W41" s="172">
        <f>_xll.LVCELL($D$1,W$3,$C41,$D$2,$C$4,$C$5,$C$6,$C$7,$C$8,$D$3)/1000</f>
        <v>2499.6019999999999</v>
      </c>
      <c r="X41" s="172">
        <f>_xll.LVCELL($D$1,X$3,$C41,$D$2,$C$4,$C$5,$C$6,$C$7,$C$8,$D$3)/1000</f>
        <v>2403.7359999999999</v>
      </c>
      <c r="Y41" s="172">
        <f>_xll.LVCELL($D$1,Y$3,$C41,$D$2,$C$4,$C$5,$C$6,$C$7,$C$8,$D$3)/1000</f>
        <v>2181.605</v>
      </c>
      <c r="Z41" s="172">
        <f>_xll.LVCELL($D$1,Z$3,$C41,$D$2,$C$4,$C$5,$C$6,$C$7,$C$8,$D$3)/1000</f>
        <v>3201.8229999999999</v>
      </c>
      <c r="AA41" s="172">
        <f>_xll.LVCELL($D$1,AA$3,$C41,$D$2,$C$4,$C$5,$C$6,$C$7,$C$8,$D$3)/1000</f>
        <v>4562.8519999999999</v>
      </c>
      <c r="AB41" s="172">
        <f>_xll.LVCELL($D$1,AB$3,$C41,$D$2,$C$4,$C$5,$C$6,$C$7,$C$8,$D$3)/1000</f>
        <v>4613.4309999999996</v>
      </c>
      <c r="AC41" s="172">
        <f>_xll.LVCELL($D$1,AC$3,$C41,$D$2,$C$4,$C$5,$C$6,$C$7,$C$8,$D$3)/1000</f>
        <v>5799.3819999999996</v>
      </c>
      <c r="AD41" s="172">
        <f>_xll.LVCELL($D$1,AD$2,$C41,$D$2,$C$4,$C$5,$C$6,$C$7,$C$8,$D$3)/1000</f>
        <v>47468.160000000003</v>
      </c>
      <c r="AE41" s="172">
        <f t="shared" si="1"/>
        <v>-1977.8409999999931</v>
      </c>
      <c r="AF41" s="193">
        <f t="shared" si="2"/>
        <v>-4.0000019415118993E-2</v>
      </c>
      <c r="AG41" s="535"/>
      <c r="AJ41" s="64" t="str">
        <f t="shared" si="3"/>
        <v>E5395</v>
      </c>
      <c r="AK41" s="64" t="str">
        <f t="shared" si="4"/>
        <v>BEV6</v>
      </c>
      <c r="AL41" s="192" t="str">
        <f t="shared" si="5"/>
        <v>Haut de Conge 1/2/3</v>
      </c>
      <c r="AM41" s="172">
        <f>_xll.LVCELL($AK$1,AM$3,$AK41,$AL$2,$AK$4,$AK$5,$AK$6,$AK$7,$AK$8,$AL$3)/1000</f>
        <v>557.00999697600002</v>
      </c>
      <c r="AN41" s="172">
        <f>_xll.LVCELL($AK$1,AN$3,$AK41,$AL$2,$AK$4,$AK$5,$AK$6,$AK$7,$AK$8,$AL$3)/1000</f>
        <v>469.50960676200003</v>
      </c>
      <c r="AO41" s="172">
        <f>_xll.LVCELL($AK$1,AO$3,$AK41,$AL$2,$AK$4,$AK$5,$AK$6,$AK$7,$AK$8,$AL$3)/1000</f>
        <v>478.30918514699999</v>
      </c>
      <c r="AP41" s="172">
        <f>_xll.LVCELL($AK$1,AP$3,$AK41,$AL$2,$AK$4,$AK$5,$AK$6,$AK$7,$AK$8,$AL$3)/1000</f>
        <v>393.74589502200001</v>
      </c>
      <c r="AQ41" s="172">
        <f>_xll.LVCELL($AK$1,AQ$3,$AK41,$AL$2,$AK$4,$AK$5,$AK$6,$AK$7,$AK$8,$AL$3)/1000</f>
        <v>323.87185250099998</v>
      </c>
      <c r="AR41" s="172">
        <f>_xll.LVCELL($AK$1,AR$3,$AK41,$AL$2,$AK$4,$AK$5,$AK$6,$AK$7,$AK$8,$AL$3)/1000</f>
        <v>250.171095912</v>
      </c>
      <c r="AS41" s="172">
        <f>_xll.LVCELL($AK$1,AS$3,$AK41,$AL$2,$AK$4,$AK$5,$AK$6,$AK$7,$AK$8,$AL$3)/1000</f>
        <v>240.57644725200001</v>
      </c>
      <c r="AT41" s="172">
        <f>_xll.LVCELL($AK$1,AT$3,$AK41,$AL$2,$AK$4,$AK$5,$AK$6,$AK$7,$AK$8,$AL$3)/1000</f>
        <v>218.344552905</v>
      </c>
      <c r="AU41" s="172">
        <f>_xll.LVCELL($AK$1,AU$3,$AK41,$AL$2,$AK$4,$AK$5,$AK$6,$AK$7,$AK$8,$AL$3)/1000</f>
        <v>320.45242579200004</v>
      </c>
      <c r="AV41" s="172">
        <f>_xll.LVCELL($AK$1,AV$3,$AK41,$AL$2,$AK$4,$AK$5,$AK$6,$AK$7,$AK$8,$AL$3)/1000</f>
        <v>456.670206651</v>
      </c>
      <c r="AW41" s="172">
        <f>_xll.LVCELL($AK$1,AW$3,$AK41,$AL$2,$AK$4,$AK$5,$AK$6,$AK$7,$AK$8,$AL$3)/1000</f>
        <v>463.58260462800001</v>
      </c>
      <c r="AX41" s="172">
        <f>_xll.LVCELL($AK$1,AX$3,$AK41,$AL$2,$AK$4,$AK$5,$AK$6,$AK$7,$AK$8,$AL$3)/1000</f>
        <v>582.75332471800004</v>
      </c>
      <c r="AY41" s="172">
        <f>_xll.LVCELL($AK$1,AY$2,$AK41,$AL$2,$AK$4,$AK$5,$AK$6,$AK$7,$AK$8,$AL$3)/1000</f>
        <v>4754.9971942660013</v>
      </c>
      <c r="AZ41" s="172">
        <f>_xll.LVCELL($AK$1,AZ$3,$AK41,$AL$2,$AK$4,$AK$5,$AK$6,$AK$7,$AK$8,$AL$3)/1000</f>
        <v>544.84849353412403</v>
      </c>
      <c r="BA41" s="172">
        <f>_xll.LVCELL($AK$1,BA$3,$AK41,$AL$2,$AK$4,$AK$5,$AK$6,$AK$7,$AK$8,$AL$3)/1000</f>
        <v>459.258568157978</v>
      </c>
      <c r="BB41" s="172">
        <f>_xll.LVCELL($AK$1,BB$3,$AK41,$AL$2,$AK$4,$AK$5,$AK$6,$AK$7,$AK$8,$AL$3)/1000</f>
        <v>467.865962050679</v>
      </c>
      <c r="BC41" s="172">
        <f>_xll.LVCELL($AK$1,BC$3,$AK41,$AL$2,$AK$4,$AK$5,$AK$6,$AK$7,$AK$8,$AL$3)/1000</f>
        <v>385.14908393934002</v>
      </c>
      <c r="BD41" s="172">
        <f>_xll.LVCELL($AK$1,BD$3,$AK41,$AL$2,$AK$4,$AK$5,$AK$6,$AK$7,$AK$8,$AL$3)/1000</f>
        <v>316.80057492582802</v>
      </c>
      <c r="BE41" s="172">
        <f>_xll.LVCELL($AK$1,BE$3,$AK41,$AL$2,$AK$4,$AK$5,$AK$6,$AK$7,$AK$8,$AL$3)/1000</f>
        <v>244.70898862596201</v>
      </c>
      <c r="BF41" s="172">
        <f>_xll.LVCELL($AK$1,BF$3,$AK41,$AL$2,$AK$4,$AK$5,$AK$6,$AK$7,$AK$8,$AL$3)/1000</f>
        <v>235.32378574021601</v>
      </c>
      <c r="BG41" s="172">
        <f>_xll.LVCELL($AK$1,BG$3,$AK41,$AL$2,$AK$4,$AK$5,$AK$6,$AK$7,$AK$8,$AL$3)/1000</f>
        <v>213.57734276550499</v>
      </c>
      <c r="BH41" s="172">
        <f>_xll.LVCELL($AK$1,BH$3,$AK41,$AL$2,$AK$4,$AK$5,$AK$6,$AK$7,$AK$8,$AL$3)/1000</f>
        <v>313.45584940696295</v>
      </c>
      <c r="BI41" s="172">
        <f>_xll.LVCELL($AK$1,BI$3,$AK41,$AL$2,$AK$4,$AK$5,$AK$6,$AK$7,$AK$8,$AL$3)/1000</f>
        <v>446.69947382421196</v>
      </c>
      <c r="BJ41" s="172">
        <f>_xll.LVCELL($AK$1,BJ$3,$AK41,$AL$2,$AK$4,$AK$5,$AK$6,$AK$7,$AK$8,$AL$3)/1000</f>
        <v>462.03909142752201</v>
      </c>
      <c r="BK41" s="172">
        <f>_xll.LVCELL($AK$1,BK$3,$AK41,$AL$2,$AK$4,$AK$5,$AK$6,$AK$7,$AK$8,$AL$3)/1000</f>
        <v>580.81310636728392</v>
      </c>
      <c r="BL41" s="172">
        <f>_xll.LVCELL($AK$1,BL$2,$AK41,$AL$2,$AK$4,$AK$5,$AK$6,$AK$7,$AK$8,$AL$3)/1000</f>
        <v>4670.5403207656118</v>
      </c>
      <c r="BM41" s="214">
        <f t="shared" si="6"/>
        <v>-84.45687350038952</v>
      </c>
      <c r="BN41" s="217">
        <f t="shared" si="7"/>
        <v>-190.19998008947641</v>
      </c>
      <c r="BO41" s="218">
        <f t="shared" si="7"/>
        <v>105.7431065890861</v>
      </c>
      <c r="BP41" s="193">
        <f t="shared" si="8"/>
        <v>-1.776170837750124E-2</v>
      </c>
      <c r="BQ41" s="190" t="s">
        <v>3551</v>
      </c>
      <c r="BS41" s="198">
        <f t="shared" si="9"/>
        <v>96.16545520568998</v>
      </c>
      <c r="BT41" s="198">
        <f t="shared" si="10"/>
        <v>98.393119109011408</v>
      </c>
      <c r="BU41" s="198">
        <f t="shared" si="11"/>
        <v>2.2276639033214281</v>
      </c>
      <c r="BV41" s="199">
        <f t="shared" si="12"/>
        <v>2.3164907799340613E-2</v>
      </c>
      <c r="BX41" s="200">
        <f t="shared" si="17"/>
        <v>-190.19998008947641</v>
      </c>
      <c r="BY41" s="200">
        <f t="shared" si="18"/>
        <v>105.7431065890861</v>
      </c>
      <c r="BZ41" s="200">
        <f t="shared" si="15"/>
        <v>-84.456873500390316</v>
      </c>
      <c r="CA41" s="526">
        <f t="shared" si="16"/>
        <v>7.9580786405131221E-13</v>
      </c>
    </row>
    <row r="42" spans="2:79">
      <c r="B42" s="64" t="str">
        <f>'1-EO_Calcul Reporting'!B56</f>
        <v>E5397</v>
      </c>
      <c r="C42" s="64" t="str">
        <f>'1-EO_Calcul Reporting'!C56</f>
        <v>BEV8</v>
      </c>
      <c r="D42" s="192" t="str">
        <f>'1-EO_Calcul Reporting'!D56</f>
        <v>Charmoy</v>
      </c>
      <c r="E42" s="172">
        <f>_xll.LVCELL($D$1,E$3,$C42,$D$2,$C$4,$C$5,$C$6,$C$7,$C$8,$D$3)/1000</f>
        <v>2796.395</v>
      </c>
      <c r="F42" s="172">
        <f>_xll.LVCELL($D$1,F$3,$C42,$D$2,$C$4,$C$5,$C$6,$C$7,$C$8,$D$3)/1000</f>
        <v>2324.5509999999999</v>
      </c>
      <c r="G42" s="172">
        <f>_xll.LVCELL($D$1,G$3,$C42,$D$2,$C$4,$C$5,$C$6,$C$7,$C$8,$D$3)/1000</f>
        <v>2259.7510000000002</v>
      </c>
      <c r="H42" s="172">
        <f>_xll.LVCELL($D$1,H$3,$C42,$D$2,$C$4,$C$5,$C$6,$C$7,$C$8,$D$3)/1000</f>
        <v>1838.4079999999999</v>
      </c>
      <c r="I42" s="172">
        <f>_xll.LVCELL($D$1,I$3,$C42,$D$2,$C$4,$C$5,$C$6,$C$7,$C$8,$D$3)/1000</f>
        <v>1629.9870000000001</v>
      </c>
      <c r="J42" s="172">
        <f>_xll.LVCELL($D$1,J$3,$C42,$D$2,$C$4,$C$5,$C$6,$C$7,$C$8,$D$3)/1000</f>
        <v>1263.671</v>
      </c>
      <c r="K42" s="172">
        <f>_xll.LVCELL($D$1,K$3,$C42,$D$2,$C$4,$C$5,$C$6,$C$7,$C$8,$D$3)/1000</f>
        <v>1278.202</v>
      </c>
      <c r="L42" s="172">
        <f>_xll.LVCELL($D$1,L$3,$C42,$D$2,$C$4,$C$5,$C$6,$C$7,$C$8,$D$3)/1000</f>
        <v>1187.152</v>
      </c>
      <c r="M42" s="172">
        <f>_xll.LVCELL($D$1,M$3,$C42,$D$2,$C$4,$C$5,$C$6,$C$7,$C$8,$D$3)/1000</f>
        <v>1560.0509999999999</v>
      </c>
      <c r="N42" s="172">
        <f>_xll.LVCELL($D$1,N$3,$C42,$D$2,$C$4,$C$5,$C$6,$C$7,$C$8,$D$3)/1000</f>
        <v>2181.116</v>
      </c>
      <c r="O42" s="172">
        <f>_xll.LVCELL($D$1,O$3,$C42,$D$2,$C$4,$C$5,$C$6,$C$7,$C$8,$D$3)/1000</f>
        <v>2269.6280000000002</v>
      </c>
      <c r="P42" s="172">
        <f>_xll.LVCELL($D$1,P$3,$C42,$D$2,$C$4,$C$5,$C$6,$C$7,$C$8,$D$3)/1000</f>
        <v>2850.8870000000002</v>
      </c>
      <c r="Q42" s="172">
        <f>_xll.LVCELL($D$1,Q$2,$C42,$D$2,$C$4,$C$5,$C$6,$C$7,$C$8,$D$3)/1000</f>
        <v>23439.798999999999</v>
      </c>
      <c r="R42" s="172">
        <f>_xll.LVCELL($D$1,R$3,$C42,$D$2,$C$4,$C$5,$C$6,$C$7,$C$8,$D$3)/1000</f>
        <v>2750.8789999999999</v>
      </c>
      <c r="S42" s="172">
        <f>_xll.LVCELL($D$1,S$3,$C42,$D$2,$C$4,$C$5,$C$6,$C$7,$C$8,$D$3)/1000</f>
        <v>2286.7150000000001</v>
      </c>
      <c r="T42" s="172">
        <f>_xll.LVCELL($D$1,T$3,$C42,$D$2,$C$4,$C$5,$C$6,$C$7,$C$8,$D$3)/1000</f>
        <v>2222.9690000000001</v>
      </c>
      <c r="U42" s="172">
        <f>_xll.LVCELL($D$1,U$3,$C42,$D$2,$C$4,$C$5,$C$6,$C$7,$C$8,$D$3)/1000</f>
        <v>1808.4849999999999</v>
      </c>
      <c r="V42" s="172">
        <f>_xll.LVCELL($D$1,V$3,$C42,$D$2,$C$4,$C$5,$C$6,$C$7,$C$8,$D$3)/1000</f>
        <v>1603.4559999999999</v>
      </c>
      <c r="W42" s="172">
        <f>_xll.LVCELL($D$1,W$3,$C42,$D$2,$C$4,$C$5,$C$6,$C$7,$C$8,$D$3)/1000</f>
        <v>1243.1020000000001</v>
      </c>
      <c r="X42" s="172">
        <f>_xll.LVCELL($D$1,X$3,$C42,$D$2,$C$4,$C$5,$C$6,$C$7,$C$8,$D$3)/1000</f>
        <v>1257.3969999999999</v>
      </c>
      <c r="Y42" s="172">
        <f>_xll.LVCELL($D$1,Y$3,$C42,$D$2,$C$4,$C$5,$C$6,$C$7,$C$8,$D$3)/1000</f>
        <v>1167.829</v>
      </c>
      <c r="Z42" s="172">
        <f>_xll.LVCELL($D$1,Z$3,$C42,$D$2,$C$4,$C$5,$C$6,$C$7,$C$8,$D$3)/1000</f>
        <v>1534.6590000000001</v>
      </c>
      <c r="AA42" s="172">
        <f>_xll.LVCELL($D$1,AA$3,$C42,$D$2,$C$4,$C$5,$C$6,$C$7,$C$8,$D$3)/1000</f>
        <v>2145.6149999999998</v>
      </c>
      <c r="AB42" s="172">
        <f>_xll.LVCELL($D$1,AB$3,$C42,$D$2,$C$4,$C$5,$C$6,$C$7,$C$8,$D$3)/1000</f>
        <v>2232.6860000000001</v>
      </c>
      <c r="AC42" s="172">
        <f>_xll.LVCELL($D$1,AC$3,$C42,$D$2,$C$4,$C$5,$C$6,$C$7,$C$8,$D$3)/1000</f>
        <v>2804.4839999999999</v>
      </c>
      <c r="AD42" s="172">
        <f>_xll.LVCELL($D$1,AD$2,$C42,$D$2,$C$4,$C$5,$C$6,$C$7,$C$8,$D$3)/1000</f>
        <v>23058.276000000002</v>
      </c>
      <c r="AE42" s="172">
        <f t="shared" si="1"/>
        <v>-381.52299999999741</v>
      </c>
      <c r="AF42" s="193">
        <f t="shared" si="2"/>
        <v>-1.627671807253972E-2</v>
      </c>
      <c r="AG42" s="535"/>
      <c r="AJ42" s="64" t="str">
        <f t="shared" si="3"/>
        <v>E5397</v>
      </c>
      <c r="AK42" s="64" t="str">
        <f t="shared" si="4"/>
        <v>BEV8</v>
      </c>
      <c r="AL42" s="192" t="str">
        <f t="shared" si="5"/>
        <v>Charmoy</v>
      </c>
      <c r="AM42" s="172">
        <f>_xll.LVCELL($AK$1,AM$3,$AK42,$AL$2,$AK$4,$AK$5,$AK$6,$AK$7,$AK$8,$AL$3)/1000</f>
        <v>249.22870437500001</v>
      </c>
      <c r="AN42" s="172">
        <f>_xll.LVCELL($AK$1,AN$3,$AK42,$AL$2,$AK$4,$AK$5,$AK$6,$AK$7,$AK$8,$AL$3)/1000</f>
        <v>207.175607875</v>
      </c>
      <c r="AO42" s="172">
        <f>_xll.LVCELL($AK$1,AO$3,$AK42,$AL$2,$AK$4,$AK$5,$AK$6,$AK$7,$AK$8,$AL$3)/1000</f>
        <v>201.40030787500001</v>
      </c>
      <c r="AP42" s="172">
        <f>_xll.LVCELL($AK$1,AP$3,$AK42,$AL$2,$AK$4,$AK$5,$AK$6,$AK$7,$AK$8,$AL$3)/1000</f>
        <v>163.84811300000001</v>
      </c>
      <c r="AQ42" s="172">
        <f>_xll.LVCELL($AK$1,AQ$3,$AK42,$AL$2,$AK$4,$AK$5,$AK$6,$AK$7,$AK$8,$AL$3)/1000</f>
        <v>145.27259137499999</v>
      </c>
      <c r="AR42" s="172">
        <f>_xll.LVCELL($AK$1,AR$3,$AK42,$AL$2,$AK$4,$AK$5,$AK$6,$AK$7,$AK$8,$AL$3)/1000</f>
        <v>112.62467787499999</v>
      </c>
      <c r="AS42" s="172">
        <f>_xll.LVCELL($AK$1,AS$3,$AK42,$AL$2,$AK$4,$AK$5,$AK$6,$AK$7,$AK$8,$AL$3)/1000</f>
        <v>113.91975325</v>
      </c>
      <c r="AT42" s="172">
        <f>_xll.LVCELL($AK$1,AT$3,$AK42,$AL$2,$AK$4,$AK$5,$AK$6,$AK$7,$AK$8,$AL$3)/1000</f>
        <v>105.804922</v>
      </c>
      <c r="AU42" s="172">
        <f>_xll.LVCELL($AK$1,AU$3,$AK42,$AL$2,$AK$4,$AK$5,$AK$6,$AK$7,$AK$8,$AL$3)/1000</f>
        <v>139.03954537499999</v>
      </c>
      <c r="AV42" s="172">
        <f>_xll.LVCELL($AK$1,AV$3,$AK42,$AL$2,$AK$4,$AK$5,$AK$6,$AK$7,$AK$8,$AL$3)/1000</f>
        <v>194.3919635</v>
      </c>
      <c r="AW42" s="172">
        <f>_xll.LVCELL($AK$1,AW$3,$AK42,$AL$2,$AK$4,$AK$5,$AK$6,$AK$7,$AK$8,$AL$3)/1000</f>
        <v>203.09085269599998</v>
      </c>
      <c r="AX42" s="172">
        <f>_xll.LVCELL($AK$1,AX$3,$AK42,$AL$2,$AK$4,$AK$5,$AK$6,$AK$7,$AK$8,$AL$3)/1000</f>
        <v>255.10307053400001</v>
      </c>
      <c r="AY42" s="172">
        <f>_xll.LVCELL($AK$1,AY$2,$AK42,$AL$2,$AK$4,$AK$5,$AK$6,$AK$7,$AK$8,$AL$3)/1000</f>
        <v>2090.9001097299997</v>
      </c>
      <c r="AZ42" s="172">
        <f>_xll.LVCELL($AK$1,AZ$3,$AK42,$AL$2,$AK$4,$AK$5,$AK$6,$AK$7,$AK$8,$AL$3)/1000</f>
        <v>250.00908796113401</v>
      </c>
      <c r="BA42" s="172">
        <f>_xll.LVCELL($AK$1,BA$3,$AK42,$AL$2,$AK$4,$AK$5,$AK$6,$AK$7,$AK$8,$AL$3)/1000</f>
        <v>207.82431054839</v>
      </c>
      <c r="BB42" s="172">
        <f>_xll.LVCELL($AK$1,BB$3,$AK42,$AL$2,$AK$4,$AK$5,$AK$6,$AK$7,$AK$8,$AL$3)/1000</f>
        <v>202.030860774274</v>
      </c>
      <c r="BC42" s="172">
        <f>_xll.LVCELL($AK$1,BC$3,$AK42,$AL$2,$AK$4,$AK$5,$AK$6,$AK$7,$AK$8,$AL$3)/1000</f>
        <v>164.36116799081</v>
      </c>
      <c r="BD42" s="172">
        <f>_xll.LVCELL($AK$1,BD$3,$AK42,$AL$2,$AK$4,$AK$5,$AK$6,$AK$7,$AK$8,$AL$3)/1000</f>
        <v>145.72744644377599</v>
      </c>
      <c r="BE42" s="172">
        <f>_xll.LVCELL($AK$1,BE$3,$AK42,$AL$2,$AK$4,$AK$5,$AK$6,$AK$7,$AK$8,$AL$3)/1000</f>
        <v>112.97726917929199</v>
      </c>
      <c r="BF42" s="172">
        <f>_xll.LVCELL($AK$1,BF$3,$AK42,$AL$2,$AK$4,$AK$5,$AK$6,$AK$7,$AK$8,$AL$3)/1000</f>
        <v>114.276446610362</v>
      </c>
      <c r="BG42" s="172">
        <f>_xll.LVCELL($AK$1,BG$3,$AK42,$AL$2,$AK$4,$AK$5,$AK$6,$AK$7,$AK$8,$AL$3)/1000</f>
        <v>106.13620707583399</v>
      </c>
      <c r="BH42" s="172">
        <f>_xll.LVCELL($AK$1,BH$3,$AK42,$AL$2,$AK$4,$AK$5,$AK$6,$AK$7,$AK$8,$AL$3)/1000</f>
        <v>139.47494488901401</v>
      </c>
      <c r="BI42" s="172">
        <f>_xll.LVCELL($AK$1,BI$3,$AK42,$AL$2,$AK$4,$AK$5,$AK$6,$AK$7,$AK$8,$AL$3)/1000</f>
        <v>195.00067042779</v>
      </c>
      <c r="BJ42" s="172">
        <f>_xll.LVCELL($AK$1,BJ$3,$AK42,$AL$2,$AK$4,$AK$5,$AK$6,$AK$7,$AK$8,$AL$3)/1000</f>
        <v>207.580995748818</v>
      </c>
      <c r="BK42" s="172">
        <f>_xll.LVCELL($AK$1,BK$3,$AK42,$AL$2,$AK$4,$AK$5,$AK$6,$AK$7,$AK$8,$AL$3)/1000</f>
        <v>260.74315030489203</v>
      </c>
      <c r="BL42" s="172">
        <f>_xll.LVCELL($AK$1,BL$2,$AK42,$AL$2,$AK$4,$AK$5,$AK$6,$AK$7,$AK$8,$AL$3)/1000</f>
        <v>2106.1425579543857</v>
      </c>
      <c r="BM42" s="214">
        <f t="shared" si="6"/>
        <v>15.242448224385953</v>
      </c>
      <c r="BN42" s="217">
        <f t="shared" si="7"/>
        <v>-34.032991603917473</v>
      </c>
      <c r="BO42" s="218">
        <f t="shared" si="7"/>
        <v>49.275439828303568</v>
      </c>
      <c r="BP42" s="193">
        <f t="shared" si="8"/>
        <v>7.2898978547351057E-3</v>
      </c>
      <c r="BQ42" s="190"/>
      <c r="BS42" s="198">
        <f t="shared" si="9"/>
        <v>89.202988034581679</v>
      </c>
      <c r="BT42" s="198">
        <f t="shared" si="10"/>
        <v>91.339983871924574</v>
      </c>
      <c r="BU42" s="198">
        <f t="shared" si="11"/>
        <v>2.1369958373428943</v>
      </c>
      <c r="BV42" s="199">
        <f t="shared" si="12"/>
        <v>2.3956549936583253E-2</v>
      </c>
      <c r="BX42" s="200">
        <f t="shared" si="17"/>
        <v>-34.032991603917473</v>
      </c>
      <c r="BY42" s="200">
        <f t="shared" si="18"/>
        <v>49.275439828303568</v>
      </c>
      <c r="BZ42" s="200">
        <f t="shared" si="15"/>
        <v>15.242448224386095</v>
      </c>
      <c r="CA42" s="526">
        <f t="shared" si="16"/>
        <v>-1.4210854715202004E-13</v>
      </c>
    </row>
    <row r="43" spans="2:79" ht="63.75">
      <c r="B43" s="64" t="str">
        <f>'1-EO_Calcul Reporting'!B57</f>
        <v>E5399</v>
      </c>
      <c r="C43" s="64" t="str">
        <f>'1-EO_Calcul Reporting'!C57</f>
        <v>BEV10</v>
      </c>
      <c r="D43" s="192" t="s">
        <v>2636</v>
      </c>
      <c r="E43" s="172">
        <f>_xll.LVCELL($D$1,E$3,$C43,$D$2,$C$4,$C$5,$C$6,$C$7,$C$8,$D$3)/1000</f>
        <v>9436.6090000000004</v>
      </c>
      <c r="F43" s="172">
        <f>_xll.LVCELL($D$1,F$3,$C43,$D$2,$C$4,$C$5,$C$6,$C$7,$C$8,$D$3)/1000</f>
        <v>8123.48</v>
      </c>
      <c r="G43" s="172">
        <f>_xll.LVCELL($D$1,G$3,$C43,$D$2,$C$4,$C$5,$C$6,$C$7,$C$8,$D$3)/1000</f>
        <v>7553.2809999999999</v>
      </c>
      <c r="H43" s="172">
        <f>_xll.LVCELL($D$1,H$3,$C43,$D$2,$C$4,$C$5,$C$6,$C$7,$C$8,$D$3)/1000</f>
        <v>6314.8630000000003</v>
      </c>
      <c r="I43" s="172">
        <f>_xll.LVCELL($D$1,I$3,$C43,$D$2,$C$4,$C$5,$C$6,$C$7,$C$8,$D$3)/1000</f>
        <v>5279.3909999999996</v>
      </c>
      <c r="J43" s="172">
        <f>_xll.LVCELL($D$1,J$3,$C43,$D$2,$C$4,$C$5,$C$6,$C$7,$C$8,$D$3)/1000</f>
        <v>4028.529</v>
      </c>
      <c r="K43" s="172">
        <f>_xll.LVCELL($D$1,K$3,$C43,$D$2,$C$4,$C$5,$C$6,$C$7,$C$8,$D$3)/1000</f>
        <v>3748.2890000000002</v>
      </c>
      <c r="L43" s="172">
        <f>_xll.LVCELL($D$1,L$3,$C43,$D$2,$C$4,$C$5,$C$6,$C$7,$C$8,$D$3)/1000</f>
        <v>3420.0250000000001</v>
      </c>
      <c r="M43" s="172">
        <f>_xll.LVCELL($D$1,M$3,$C43,$D$2,$C$4,$C$5,$C$6,$C$7,$C$8,$D$3)/1000</f>
        <v>4758.95</v>
      </c>
      <c r="N43" s="172">
        <f>_xll.LVCELL($D$1,N$3,$C43,$D$2,$C$4,$C$5,$C$6,$C$7,$C$8,$D$3)/1000</f>
        <v>6901.5450000000001</v>
      </c>
      <c r="O43" s="172">
        <f>_xll.LVCELL($D$1,O$3,$C43,$D$2,$C$4,$C$5,$C$6,$C$7,$C$8,$D$3)/1000</f>
        <v>7852.2259999999997</v>
      </c>
      <c r="P43" s="172">
        <f>_xll.LVCELL($D$1,P$3,$C43,$D$2,$C$4,$C$5,$C$6,$C$7,$C$8,$D$3)/1000</f>
        <v>9582.77</v>
      </c>
      <c r="Q43" s="172">
        <f>_xll.LVCELL($D$1,Q$2,$C43,$D$2,$C$4,$C$5,$C$6,$C$7,$C$8,$D$3)/1000</f>
        <v>76999.957999999999</v>
      </c>
      <c r="R43" s="172">
        <f>_xll.LVCELL($D$1,R$3,$C43,$D$2,$C$4,$C$5,$C$6,$C$7,$C$8,$D$3)/1000</f>
        <v>9465.8850000000002</v>
      </c>
      <c r="S43" s="172">
        <f>_xll.LVCELL($D$1,S$3,$C43,$D$2,$C$4,$C$5,$C$6,$C$7,$C$8,$D$3)/1000</f>
        <v>8148.6819999999998</v>
      </c>
      <c r="T43" s="172">
        <f>_xll.LVCELL($D$1,T$3,$C43,$D$2,$C$4,$C$5,$C$6,$C$7,$C$8,$D$3)/1000</f>
        <v>7576.7139999999999</v>
      </c>
      <c r="U43" s="172">
        <f>_xll.LVCELL($D$1,U$3,$C43,$D$2,$C$4,$C$5,$C$6,$C$7,$C$8,$D$3)/1000</f>
        <v>6334.4539999999997</v>
      </c>
      <c r="V43" s="172">
        <f>_xll.LVCELL($D$1,V$3,$C43,$D$2,$C$4,$C$5,$C$6,$C$7,$C$8,$D$3)/1000</f>
        <v>5295.77</v>
      </c>
      <c r="W43" s="172">
        <f>_xll.LVCELL($D$1,W$3,$C43,$D$2,$C$4,$C$5,$C$6,$C$7,$C$8,$D$3)/1000</f>
        <v>4041.027</v>
      </c>
      <c r="X43" s="172">
        <f>_xll.LVCELL($D$1,X$3,$C43,$D$2,$C$4,$C$5,$C$6,$C$7,$C$8,$D$3)/1000</f>
        <v>3759.9180000000001</v>
      </c>
      <c r="Y43" s="172">
        <f>_xll.LVCELL($D$1,Y$3,$C43,$D$2,$C$4,$C$5,$C$6,$C$7,$C$8,$D$3)/1000</f>
        <v>3430.6350000000002</v>
      </c>
      <c r="Z43" s="172">
        <f>_xll.LVCELL($D$1,Z$3,$C43,$D$2,$C$4,$C$5,$C$6,$C$7,$C$8,$D$3)/1000</f>
        <v>4773.7139999999999</v>
      </c>
      <c r="AA43" s="172">
        <f>_xll.LVCELL($D$1,AA$3,$C43,$D$2,$C$4,$C$5,$C$6,$C$7,$C$8,$D$3)/1000</f>
        <v>6922.9560000000001</v>
      </c>
      <c r="AB43" s="172">
        <f>_xll.LVCELL($D$1,AB$3,$C43,$D$2,$C$4,$C$5,$C$6,$C$7,$C$8,$D$3)/1000</f>
        <v>7876.5860000000002</v>
      </c>
      <c r="AC43" s="172">
        <f>_xll.LVCELL($D$1,AC$3,$C43,$D$2,$C$4,$C$5,$C$6,$C$7,$C$8,$D$3)/1000</f>
        <v>9612.5</v>
      </c>
      <c r="AD43" s="172">
        <f>_xll.LVCELL($D$1,AD$2,$C43,$D$2,$C$4,$C$5,$C$6,$C$7,$C$8,$D$3)/1000</f>
        <v>77238.841</v>
      </c>
      <c r="AE43" s="516">
        <f t="shared" si="1"/>
        <v>238.88300000000163</v>
      </c>
      <c r="AF43" s="193">
        <f t="shared" si="2"/>
        <v>3.1023783155830209E-3</v>
      </c>
      <c r="AG43" s="535" t="s">
        <v>3278</v>
      </c>
      <c r="AJ43" s="64" t="str">
        <f t="shared" si="3"/>
        <v>E5399</v>
      </c>
      <c r="AK43" s="64" t="str">
        <f t="shared" si="4"/>
        <v>BEV10</v>
      </c>
      <c r="AL43" s="192" t="str">
        <f t="shared" si="5"/>
        <v>Coulonges (CL/NT/CP)</v>
      </c>
      <c r="AM43" s="172">
        <f>_xll.LVCELL($AK$1,AM$3,$AK43,$AL$2,$AK$4,$AK$5,$AK$6,$AK$7,$AK$8,$AL$3)/1000</f>
        <v>888.881384755</v>
      </c>
      <c r="AN43" s="172">
        <f>_xll.LVCELL($AK$1,AN$3,$AK43,$AL$2,$AK$4,$AK$5,$AK$6,$AK$7,$AK$8,$AL$3)/1000</f>
        <v>765.19119860000001</v>
      </c>
      <c r="AO43" s="172">
        <f>_xll.LVCELL($AK$1,AO$3,$AK43,$AL$2,$AK$4,$AK$5,$AK$6,$AK$7,$AK$8,$AL$3)/1000</f>
        <v>711.48130379499992</v>
      </c>
      <c r="AP43" s="172">
        <f>_xll.LVCELL($AK$1,AP$3,$AK43,$AL$2,$AK$4,$AK$5,$AK$6,$AK$7,$AK$8,$AL$3)/1000</f>
        <v>594.82852028499997</v>
      </c>
      <c r="AQ43" s="172">
        <f>_xll.LVCELL($AK$1,AQ$3,$AK43,$AL$2,$AK$4,$AK$5,$AK$6,$AK$7,$AK$8,$AL$3)/1000</f>
        <v>497.29223524499997</v>
      </c>
      <c r="AR43" s="172">
        <f>_xll.LVCELL($AK$1,AR$3,$AK43,$AL$2,$AK$4,$AK$5,$AK$6,$AK$7,$AK$8,$AL$3)/1000</f>
        <v>379.467289155</v>
      </c>
      <c r="AS43" s="172">
        <f>_xll.LVCELL($AK$1,AS$3,$AK43,$AL$2,$AK$4,$AK$5,$AK$6,$AK$7,$AK$8,$AL$3)/1000</f>
        <v>353.07008235500001</v>
      </c>
      <c r="AT43" s="172">
        <f>_xll.LVCELL($AK$1,AT$3,$AK43,$AL$2,$AK$4,$AK$5,$AK$6,$AK$7,$AK$8,$AL$3)/1000</f>
        <v>322.149254875</v>
      </c>
      <c r="AU43" s="172">
        <f>_xll.LVCELL($AK$1,AU$3,$AK43,$AL$2,$AK$4,$AK$5,$AK$6,$AK$7,$AK$8,$AL$3)/1000</f>
        <v>448.26929525000003</v>
      </c>
      <c r="AV43" s="172">
        <f>_xll.LVCELL($AK$1,AV$3,$AK43,$AL$2,$AK$4,$AK$5,$AK$6,$AK$7,$AK$8,$AL$3)/1000</f>
        <v>650.09103127499998</v>
      </c>
      <c r="AW43" s="172">
        <f>_xll.LVCELL($AK$1,AW$3,$AK43,$AL$2,$AK$4,$AK$5,$AK$6,$AK$7,$AK$8,$AL$3)/1000</f>
        <v>742.600717272</v>
      </c>
      <c r="AX43" s="172">
        <f>_xll.LVCELL($AK$1,AX$3,$AK43,$AL$2,$AK$4,$AK$5,$AK$6,$AK$7,$AK$8,$AL$3)/1000</f>
        <v>906.26172443999997</v>
      </c>
      <c r="AY43" s="172">
        <f>_xll.LVCELL($AK$1,AY$2,$AK43,$AL$2,$AK$4,$AK$5,$AK$6,$AK$7,$AK$8,$AL$3)/1000</f>
        <v>7259.5840373020019</v>
      </c>
      <c r="AZ43" s="172">
        <f>_xll.LVCELL($AK$1,AZ$3,$AK43,$AL$2,$AK$4,$AK$5,$AK$6,$AK$7,$AK$8,$AL$3)/1000</f>
        <v>909.30080764808997</v>
      </c>
      <c r="BA43" s="172">
        <f>_xll.LVCELL($AK$1,BA$3,$AK43,$AL$2,$AK$4,$AK$5,$AK$6,$AK$7,$AK$8,$AL$3)/1000</f>
        <v>782.769188920788</v>
      </c>
      <c r="BB43" s="172">
        <f>_xll.LVCELL($AK$1,BB$3,$AK43,$AL$2,$AK$4,$AK$5,$AK$6,$AK$7,$AK$8,$AL$3)/1000</f>
        <v>727.82546581947611</v>
      </c>
      <c r="BC43" s="172">
        <f>_xll.LVCELL($AK$1,BC$3,$AK43,$AL$2,$AK$4,$AK$5,$AK$6,$AK$7,$AK$8,$AL$3)/1000</f>
        <v>608.49293417463605</v>
      </c>
      <c r="BD43" s="172">
        <f>_xll.LVCELL($AK$1,BD$3,$AK43,$AL$2,$AK$4,$AK$5,$AK$6,$AK$7,$AK$8,$AL$3)/1000</f>
        <v>508.71608287217998</v>
      </c>
      <c r="BE43" s="172">
        <f>_xll.LVCELL($AK$1,BE$3,$AK43,$AL$2,$AK$4,$AK$5,$AK$6,$AK$7,$AK$8,$AL$3)/1000</f>
        <v>388.18442383651802</v>
      </c>
      <c r="BF43" s="172">
        <f>_xll.LVCELL($AK$1,BF$3,$AK43,$AL$2,$AK$4,$AK$5,$AK$6,$AK$7,$AK$8,$AL$3)/1000</f>
        <v>361.18085885161202</v>
      </c>
      <c r="BG43" s="172">
        <f>_xll.LVCELL($AK$1,BG$3,$AK43,$AL$2,$AK$4,$AK$5,$AK$6,$AK$7,$AK$8,$AL$3)/1000</f>
        <v>329.54965924959004</v>
      </c>
      <c r="BH43" s="172">
        <f>_xll.LVCELL($AK$1,BH$3,$AK43,$AL$2,$AK$4,$AK$5,$AK$6,$AK$7,$AK$8,$AL$3)/1000</f>
        <v>458.56694811747599</v>
      </c>
      <c r="BI43" s="172">
        <f>_xll.LVCELL($AK$1,BI$3,$AK43,$AL$2,$AK$4,$AK$5,$AK$6,$AK$7,$AK$8,$AL$3)/1000</f>
        <v>665.02492710530396</v>
      </c>
      <c r="BJ43" s="172">
        <f>_xll.LVCELL($AK$1,BJ$3,$AK43,$AL$2,$AK$4,$AK$5,$AK$6,$AK$7,$AK$8,$AL$3)/1000</f>
        <v>774.03394146453797</v>
      </c>
      <c r="BK43" s="172">
        <f>_xll.LVCELL($AK$1,BK$3,$AK43,$AL$2,$AK$4,$AK$5,$AK$6,$AK$7,$AK$8,$AL$3)/1000</f>
        <v>944.62261471249997</v>
      </c>
      <c r="BL43" s="172">
        <f>_xll.LVCELL($AK$1,BL$2,$AK43,$AL$2,$AK$4,$AK$5,$AK$6,$AK$7,$AK$8,$AL$3)/1000</f>
        <v>7458.2678527727085</v>
      </c>
      <c r="BM43" s="214">
        <f t="shared" si="6"/>
        <v>198.68381547070658</v>
      </c>
      <c r="BN43" s="217">
        <f t="shared" si="7"/>
        <v>22.521976097478213</v>
      </c>
      <c r="BO43" s="218">
        <f t="shared" si="7"/>
        <v>176.1618393732281</v>
      </c>
      <c r="BP43" s="193">
        <f t="shared" si="8"/>
        <v>2.7368484812601901E-2</v>
      </c>
      <c r="BQ43" s="190"/>
      <c r="BS43" s="198">
        <f t="shared" si="9"/>
        <v>94.280363598406154</v>
      </c>
      <c r="BT43" s="198">
        <f t="shared" si="10"/>
        <v>96.561105218716435</v>
      </c>
      <c r="BU43" s="198">
        <f t="shared" si="11"/>
        <v>2.2807416203102804</v>
      </c>
      <c r="BV43" s="199">
        <f t="shared" si="12"/>
        <v>2.4191056687321019E-2</v>
      </c>
      <c r="BX43" s="200">
        <f t="shared" si="17"/>
        <v>22.521976097478213</v>
      </c>
      <c r="BY43" s="200">
        <f t="shared" si="18"/>
        <v>176.1618393732281</v>
      </c>
      <c r="BZ43" s="200">
        <f t="shared" si="15"/>
        <v>198.68381547070632</v>
      </c>
      <c r="CA43" s="526">
        <f t="shared" si="16"/>
        <v>2.5579538487363607E-13</v>
      </c>
    </row>
    <row r="44" spans="2:79">
      <c r="B44" s="64" t="str">
        <f>'1-EO_Calcul Reporting'!B60</f>
        <v>E5400</v>
      </c>
      <c r="C44" s="64" t="str">
        <f>'1-EO_Calcul Reporting'!C60</f>
        <v>BEV11</v>
      </c>
      <c r="D44" s="192" t="s">
        <v>2644</v>
      </c>
      <c r="E44" s="172">
        <f>_xll.LVCELL($D$1,E$3,$C44,$D$2,$C$4,$C$5,$C$6,$C$7,$C$8,$D$3)/1000</f>
        <v>4685.5420000000004</v>
      </c>
      <c r="F44" s="172">
        <f>_xll.LVCELL($D$1,F$3,$C44,$D$2,$C$4,$C$5,$C$6,$C$7,$C$8,$D$3)/1000</f>
        <v>4170.6859999999997</v>
      </c>
      <c r="G44" s="172">
        <f>_xll.LVCELL($D$1,G$3,$C44,$D$2,$C$4,$C$5,$C$6,$C$7,$C$8,$D$3)/1000</f>
        <v>4183.7650000000003</v>
      </c>
      <c r="H44" s="172">
        <f>_xll.LVCELL($D$1,H$3,$C44,$D$2,$C$4,$C$5,$C$6,$C$7,$C$8,$D$3)/1000</f>
        <v>3619.18</v>
      </c>
      <c r="I44" s="172">
        <f>_xll.LVCELL($D$1,I$3,$C44,$D$2,$C$4,$C$5,$C$6,$C$7,$C$8,$D$3)/1000</f>
        <v>3111.3220000000001</v>
      </c>
      <c r="J44" s="172">
        <f>_xll.LVCELL($D$1,J$3,$C44,$D$2,$C$4,$C$5,$C$6,$C$7,$C$8,$D$3)/1000</f>
        <v>2536.8879999999999</v>
      </c>
      <c r="K44" s="172">
        <f>_xll.LVCELL($D$1,K$3,$C44,$D$2,$C$4,$C$5,$C$6,$C$7,$C$8,$D$3)/1000</f>
        <v>2492.1799999999998</v>
      </c>
      <c r="L44" s="172">
        <f>_xll.LVCELL($D$1,L$3,$C44,$D$2,$C$4,$C$5,$C$6,$C$7,$C$8,$D$3)/1000</f>
        <v>2213.2260000000001</v>
      </c>
      <c r="M44" s="172">
        <f>_xll.LVCELL($D$1,M$3,$C44,$D$2,$C$4,$C$5,$C$6,$C$7,$C$8,$D$3)/1000</f>
        <v>2799.4369999999999</v>
      </c>
      <c r="N44" s="172">
        <f>_xll.LVCELL($D$1,N$3,$C44,$D$2,$C$4,$C$5,$C$6,$C$7,$C$8,$D$3)/1000</f>
        <v>3586.7350000000001</v>
      </c>
      <c r="O44" s="172">
        <f>_xll.LVCELL($D$1,O$3,$C44,$D$2,$C$4,$C$5,$C$6,$C$7,$C$8,$D$3)/1000</f>
        <v>4403.5330000000004</v>
      </c>
      <c r="P44" s="172">
        <f>_xll.LVCELL($D$1,P$3,$C44,$D$2,$C$4,$C$5,$C$6,$C$7,$C$8,$D$3)/1000</f>
        <v>4637.0649999999996</v>
      </c>
      <c r="Q44" s="172">
        <f>_xll.LVCELL($D$1,Q$2,$C44,$D$2,$C$4,$C$5,$C$6,$C$7,$C$8,$D$3)/1000</f>
        <v>42439.559000000001</v>
      </c>
      <c r="R44" s="172">
        <f>_xll.LVCELL($D$1,R$3,$C44,$D$2,$C$4,$C$5,$C$6,$C$7,$C$8,$D$3)/1000</f>
        <v>4779.3119999999999</v>
      </c>
      <c r="S44" s="172">
        <f>_xll.LVCELL($D$1,S$3,$C44,$D$2,$C$4,$C$5,$C$6,$C$7,$C$8,$D$3)/1000</f>
        <v>4254.152</v>
      </c>
      <c r="T44" s="172">
        <f>_xll.LVCELL($D$1,T$3,$C44,$D$2,$C$4,$C$5,$C$6,$C$7,$C$8,$D$3)/1000</f>
        <v>4267.4930000000004</v>
      </c>
      <c r="U44" s="172">
        <f>_xll.LVCELL($D$1,U$3,$C44,$D$2,$C$4,$C$5,$C$6,$C$7,$C$8,$D$3)/1000</f>
        <v>3691.6089999999999</v>
      </c>
      <c r="V44" s="172">
        <f>_xll.LVCELL($D$1,V$3,$C44,$D$2,$C$4,$C$5,$C$6,$C$7,$C$8,$D$3)/1000</f>
        <v>3173.5880000000002</v>
      </c>
      <c r="W44" s="172">
        <f>_xll.LVCELL($D$1,W$3,$C44,$D$2,$C$4,$C$5,$C$6,$C$7,$C$8,$D$3)/1000</f>
        <v>2587.6579999999999</v>
      </c>
      <c r="X44" s="172">
        <f>_xll.LVCELL($D$1,X$3,$C44,$D$2,$C$4,$C$5,$C$6,$C$7,$C$8,$D$3)/1000</f>
        <v>2542.0549999999998</v>
      </c>
      <c r="Y44" s="172">
        <f>_xll.LVCELL($D$1,Y$3,$C44,$D$2,$C$4,$C$5,$C$6,$C$7,$C$8,$D$3)/1000</f>
        <v>2257.518</v>
      </c>
      <c r="Z44" s="172">
        <f>_xll.LVCELL($D$1,Z$3,$C44,$D$2,$C$4,$C$5,$C$6,$C$7,$C$8,$D$3)/1000</f>
        <v>2855.4609999999998</v>
      </c>
      <c r="AA44" s="172">
        <f>_xll.LVCELL($D$1,AA$3,$C44,$D$2,$C$4,$C$5,$C$6,$C$7,$C$8,$D$3)/1000</f>
        <v>3658.5149999999999</v>
      </c>
      <c r="AB44" s="172">
        <f>_xll.LVCELL($D$1,AB$3,$C44,$D$2,$C$4,$C$5,$C$6,$C$7,$C$8,$D$3)/1000</f>
        <v>4491.6589999999997</v>
      </c>
      <c r="AC44" s="172">
        <f>_xll.LVCELL($D$1,AC$3,$C44,$D$2,$C$4,$C$5,$C$6,$C$7,$C$8,$D$3)/1000</f>
        <v>4729.8649999999998</v>
      </c>
      <c r="AD44" s="172">
        <f>_xll.LVCELL($D$1,AD$2,$C44,$D$2,$C$4,$C$5,$C$6,$C$7,$C$8,$D$3)/1000</f>
        <v>43288.885000000002</v>
      </c>
      <c r="AE44" s="516">
        <f t="shared" si="1"/>
        <v>849.32600000000093</v>
      </c>
      <c r="AF44" s="193">
        <f t="shared" si="2"/>
        <v>2.0012601921711726E-2</v>
      </c>
      <c r="AG44" s="535"/>
      <c r="AJ44" s="64" t="str">
        <f t="shared" si="3"/>
        <v>E5400</v>
      </c>
      <c r="AK44" s="64" t="str">
        <f t="shared" si="4"/>
        <v>BEV11</v>
      </c>
      <c r="AL44" s="192" t="str">
        <f t="shared" si="5"/>
        <v>SdlL1/2</v>
      </c>
      <c r="AM44" s="172">
        <f>_xll.LVCELL($AK$1,AM$3,$AK44,$AL$2,$AK$4,$AK$5,$AK$6,$AK$7,$AK$8,$AL$3)/1000</f>
        <v>437.87327098399999</v>
      </c>
      <c r="AN44" s="172">
        <f>_xll.LVCELL($AK$1,AN$3,$AK44,$AL$2,$AK$4,$AK$5,$AK$6,$AK$7,$AK$8,$AL$3)/1000</f>
        <v>389.75894807200001</v>
      </c>
      <c r="AO44" s="172">
        <f>_xll.LVCELL($AK$1,AO$3,$AK44,$AL$2,$AK$4,$AK$5,$AK$6,$AK$7,$AK$8,$AL$3)/1000</f>
        <v>390.98120677999998</v>
      </c>
      <c r="AP44" s="172">
        <f>_xll.LVCELL($AK$1,AP$3,$AK44,$AL$2,$AK$4,$AK$5,$AK$6,$AK$7,$AK$8,$AL$3)/1000</f>
        <v>338.21960935999999</v>
      </c>
      <c r="AQ44" s="172">
        <f>_xll.LVCELL($AK$1,AQ$3,$AK44,$AL$2,$AK$4,$AK$5,$AK$6,$AK$7,$AK$8,$AL$3)/1000</f>
        <v>290.75926354399996</v>
      </c>
      <c r="AR44" s="172">
        <f>_xll.LVCELL($AK$1,AR$3,$AK44,$AL$2,$AK$4,$AK$5,$AK$6,$AK$7,$AK$8,$AL$3)/1000</f>
        <v>237.07725737600001</v>
      </c>
      <c r="AS44" s="172">
        <f>_xll.LVCELL($AK$1,AS$3,$AK44,$AL$2,$AK$4,$AK$5,$AK$6,$AK$7,$AK$8,$AL$3)/1000</f>
        <v>232.89920536</v>
      </c>
      <c r="AT44" s="172">
        <f>_xll.LVCELL($AK$1,AT$3,$AK44,$AL$2,$AK$4,$AK$5,$AK$6,$AK$7,$AK$8,$AL$3)/1000</f>
        <v>206.83039615199999</v>
      </c>
      <c r="AU44" s="172">
        <f>_xll.LVCELL($AK$1,AU$3,$AK44,$AL$2,$AK$4,$AK$5,$AK$6,$AK$7,$AK$8,$AL$3)/1000</f>
        <v>261.61298652400001</v>
      </c>
      <c r="AV44" s="172">
        <f>_xll.LVCELL($AK$1,AV$3,$AK44,$AL$2,$AK$4,$AK$5,$AK$6,$AK$7,$AK$8,$AL$3)/1000</f>
        <v>335.18755921999997</v>
      </c>
      <c r="AW44" s="172">
        <f>_xll.LVCELL($AK$1,AW$3,$AK44,$AL$2,$AK$4,$AK$5,$AK$6,$AK$7,$AK$8,$AL$3)/1000</f>
        <v>413.165887258</v>
      </c>
      <c r="AX44" s="172">
        <f>_xll.LVCELL($AK$1,AX$3,$AK44,$AL$2,$AK$4,$AK$5,$AK$6,$AK$7,$AK$8,$AL$3)/1000</f>
        <v>435.07726069</v>
      </c>
      <c r="AY44" s="172">
        <f>_xll.LVCELL($AK$1,AY$2,$AK44,$AL$2,$AK$4,$AK$5,$AK$6,$AK$7,$AK$8,$AL$3)/1000</f>
        <v>3969.442851320001</v>
      </c>
      <c r="AZ44" s="172">
        <f>_xll.LVCELL($AK$1,AZ$3,$AK44,$AL$2,$AK$4,$AK$5,$AK$6,$AK$7,$AK$8,$AL$3)/1000</f>
        <v>455.52969482121597</v>
      </c>
      <c r="BA44" s="172">
        <f>_xll.LVCELL($AK$1,BA$3,$AK44,$AL$2,$AK$4,$AK$5,$AK$6,$AK$7,$AK$8,$AL$3)/1000</f>
        <v>405.47521532033602</v>
      </c>
      <c r="BB44" s="172">
        <f>_xll.LVCELL($AK$1,BB$3,$AK44,$AL$2,$AK$4,$AK$5,$AK$6,$AK$7,$AK$8,$AL$3)/1000</f>
        <v>406.74678362527402</v>
      </c>
      <c r="BC44" s="172">
        <f>_xll.LVCELL($AK$1,BC$3,$AK44,$AL$2,$AK$4,$AK$5,$AK$6,$AK$7,$AK$8,$AL$3)/1000</f>
        <v>351.857656744162</v>
      </c>
      <c r="BD44" s="172">
        <f>_xll.LVCELL($AK$1,BD$3,$AK44,$AL$2,$AK$4,$AK$5,$AK$6,$AK$7,$AK$8,$AL$3)/1000</f>
        <v>302.48361545098396</v>
      </c>
      <c r="BE44" s="172">
        <f>_xll.LVCELL($AK$1,BE$3,$AK44,$AL$2,$AK$4,$AK$5,$AK$6,$AK$7,$AK$8,$AL$3)/1000</f>
        <v>246.636976000244</v>
      </c>
      <c r="BF44" s="172">
        <f>_xll.LVCELL($AK$1,BF$3,$AK44,$AL$2,$AK$4,$AK$5,$AK$6,$AK$7,$AK$8,$AL$3)/1000</f>
        <v>242.29042556099</v>
      </c>
      <c r="BG44" s="172">
        <f>_xll.LVCELL($AK$1,BG$3,$AK44,$AL$2,$AK$4,$AK$5,$AK$6,$AK$7,$AK$8,$AL$3)/1000</f>
        <v>215.17040226572399</v>
      </c>
      <c r="BH44" s="172">
        <f>_xll.LVCELL($AK$1,BH$3,$AK44,$AL$2,$AK$4,$AK$5,$AK$6,$AK$7,$AK$8,$AL$3)/1000</f>
        <v>272.16203459909804</v>
      </c>
      <c r="BI44" s="172">
        <f>_xll.LVCELL($AK$1,BI$3,$AK44,$AL$2,$AK$4,$AK$5,$AK$6,$AK$7,$AK$8,$AL$3)/1000</f>
        <v>348.70337434526999</v>
      </c>
      <c r="BJ44" s="172">
        <f>_xll.LVCELL($AK$1,BJ$3,$AK44,$AL$2,$AK$4,$AK$5,$AK$6,$AK$7,$AK$8,$AL$3)/1000</f>
        <v>437.95926918656698</v>
      </c>
      <c r="BK44" s="172">
        <f>_xll.LVCELL($AK$1,BK$3,$AK44,$AL$2,$AK$4,$AK$5,$AK$6,$AK$7,$AK$8,$AL$3)/1000</f>
        <v>461.18554831324502</v>
      </c>
      <c r="BL44" s="172">
        <f>_xll.LVCELL($AK$1,BL$2,$AK44,$AL$2,$AK$4,$AK$5,$AK$6,$AK$7,$AK$8,$AL$3)/1000</f>
        <v>4146.2009962331094</v>
      </c>
      <c r="BM44" s="214">
        <f t="shared" si="6"/>
        <v>176.75814491310848</v>
      </c>
      <c r="BN44" s="217">
        <f t="shared" si="7"/>
        <v>79.43887963445178</v>
      </c>
      <c r="BO44" s="218">
        <f t="shared" si="7"/>
        <v>97.319265278656061</v>
      </c>
      <c r="BP44" s="193">
        <f t="shared" si="8"/>
        <v>4.452971148188456E-2</v>
      </c>
      <c r="BQ44" s="190" t="s">
        <v>3551</v>
      </c>
      <c r="BS44" s="198">
        <f t="shared" si="9"/>
        <v>93.531670565191334</v>
      </c>
      <c r="BT44" s="198">
        <f t="shared" si="10"/>
        <v>95.779805745357237</v>
      </c>
      <c r="BU44" s="198">
        <f t="shared" si="11"/>
        <v>2.2481351801659031</v>
      </c>
      <c r="BV44" s="199">
        <f t="shared" si="12"/>
        <v>2.4036084960109408E-2</v>
      </c>
      <c r="BX44" s="200">
        <f t="shared" si="17"/>
        <v>79.43887963445178</v>
      </c>
      <c r="BY44" s="200">
        <f t="shared" si="18"/>
        <v>97.319265278656061</v>
      </c>
      <c r="BZ44" s="200">
        <f t="shared" si="15"/>
        <v>176.75814491310786</v>
      </c>
      <c r="CA44" s="526">
        <f t="shared" si="16"/>
        <v>6.2527760746888816E-13</v>
      </c>
    </row>
    <row r="45" spans="2:79">
      <c r="B45" s="64" t="str">
        <f>'1-EO_Calcul Reporting'!B62</f>
        <v>E5401</v>
      </c>
      <c r="C45" s="64" t="str">
        <f>'1-EO_Calcul Reporting'!C62</f>
        <v>BEV12</v>
      </c>
      <c r="D45" s="192" t="str">
        <f>'1-EO_Calcul Reporting'!D62</f>
        <v>Pays d'Othe 1</v>
      </c>
      <c r="E45" s="172">
        <f>_xll.LVCELL($D$1,E$3,$C45,$D$2,$C$4,$C$5,$C$6,$C$7,$C$8,$D$3)/1000</f>
        <v>2190.8969999999999</v>
      </c>
      <c r="F45" s="172">
        <f>_xll.LVCELL($D$1,F$3,$C45,$D$2,$C$4,$C$5,$C$6,$C$7,$C$8,$D$3)/1000</f>
        <v>1815.7550000000001</v>
      </c>
      <c r="G45" s="172">
        <f>_xll.LVCELL($D$1,G$3,$C45,$D$2,$C$4,$C$5,$C$6,$C$7,$C$8,$D$3)/1000</f>
        <v>1770.816</v>
      </c>
      <c r="H45" s="172">
        <f>_xll.LVCELL($D$1,H$3,$C45,$D$2,$C$4,$C$5,$C$6,$C$7,$C$8,$D$3)/1000</f>
        <v>1461.383</v>
      </c>
      <c r="I45" s="172">
        <f>_xll.LVCELL($D$1,I$3,$C45,$D$2,$C$4,$C$5,$C$6,$C$7,$C$8,$D$3)/1000</f>
        <v>1273.2239999999999</v>
      </c>
      <c r="J45" s="172">
        <f>_xll.LVCELL($D$1,J$3,$C45,$D$2,$C$4,$C$5,$C$6,$C$7,$C$8,$D$3)/1000</f>
        <v>974.072</v>
      </c>
      <c r="K45" s="172">
        <f>_xll.LVCELL($D$1,K$3,$C45,$D$2,$C$4,$C$5,$C$6,$C$7,$C$8,$D$3)/1000</f>
        <v>966.43</v>
      </c>
      <c r="L45" s="172">
        <f>_xll.LVCELL($D$1,L$3,$C45,$D$2,$C$4,$C$5,$C$6,$C$7,$C$8,$D$3)/1000</f>
        <v>895.96500000000003</v>
      </c>
      <c r="M45" s="172">
        <f>_xll.LVCELL($D$1,M$3,$C45,$D$2,$C$4,$C$5,$C$6,$C$7,$C$8,$D$3)/1000</f>
        <v>1214.318</v>
      </c>
      <c r="N45" s="172">
        <f>_xll.LVCELL($D$1,N$3,$C45,$D$2,$C$4,$C$5,$C$6,$C$7,$C$8,$D$3)/1000</f>
        <v>1711.7339999999999</v>
      </c>
      <c r="O45" s="172">
        <f>_xll.LVCELL($D$1,O$3,$C45,$D$2,$C$4,$C$5,$C$6,$C$7,$C$8,$D$3)/1000</f>
        <v>1799.72</v>
      </c>
      <c r="P45" s="172">
        <f>_xll.LVCELL($D$1,P$3,$C45,$D$2,$C$4,$C$5,$C$6,$C$7,$C$8,$D$3)/1000</f>
        <v>2233.7179999999998</v>
      </c>
      <c r="Q45" s="172">
        <f>_xll.LVCELL($D$1,Q$2,$C45,$D$2,$C$4,$C$5,$C$6,$C$7,$C$8,$D$3)/1000</f>
        <v>18308.031999999999</v>
      </c>
      <c r="R45" s="172">
        <f>_xll.LVCELL($D$1,R$3,$C45,$D$2,$C$4,$C$5,$C$6,$C$7,$C$8,$D$3)/1000</f>
        <v>2207.1509999999998</v>
      </c>
      <c r="S45" s="172">
        <f>_xll.LVCELL($D$1,S$3,$C45,$D$2,$C$4,$C$5,$C$6,$C$7,$C$8,$D$3)/1000</f>
        <v>1829.2260000000001</v>
      </c>
      <c r="T45" s="172">
        <f>_xll.LVCELL($D$1,T$3,$C45,$D$2,$C$4,$C$5,$C$6,$C$7,$C$8,$D$3)/1000</f>
        <v>1783.954</v>
      </c>
      <c r="U45" s="172">
        <f>_xll.LVCELL($D$1,U$3,$C45,$D$2,$C$4,$C$5,$C$6,$C$7,$C$8,$D$3)/1000</f>
        <v>1472.2249999999999</v>
      </c>
      <c r="V45" s="172">
        <f>_xll.LVCELL($D$1,V$3,$C45,$D$2,$C$4,$C$5,$C$6,$C$7,$C$8,$D$3)/1000</f>
        <v>1282.67</v>
      </c>
      <c r="W45" s="172">
        <f>_xll.LVCELL($D$1,W$3,$C45,$D$2,$C$4,$C$5,$C$6,$C$7,$C$8,$D$3)/1000</f>
        <v>981.29899999999998</v>
      </c>
      <c r="X45" s="172">
        <f>_xll.LVCELL($D$1,X$3,$C45,$D$2,$C$4,$C$5,$C$6,$C$7,$C$8,$D$3)/1000</f>
        <v>973.6</v>
      </c>
      <c r="Y45" s="172">
        <f>_xll.LVCELL($D$1,Y$3,$C45,$D$2,$C$4,$C$5,$C$6,$C$7,$C$8,$D$3)/1000</f>
        <v>902.61199999999997</v>
      </c>
      <c r="Z45" s="172">
        <f>_xll.LVCELL($D$1,Z$3,$C45,$D$2,$C$4,$C$5,$C$6,$C$7,$C$8,$D$3)/1000</f>
        <v>1223.327</v>
      </c>
      <c r="AA45" s="172">
        <f>_xll.LVCELL($D$1,AA$3,$C45,$D$2,$C$4,$C$5,$C$6,$C$7,$C$8,$D$3)/1000</f>
        <v>1724.433</v>
      </c>
      <c r="AB45" s="172">
        <f>_xll.LVCELL($D$1,AB$3,$C45,$D$2,$C$4,$C$5,$C$6,$C$7,$C$8,$D$3)/1000</f>
        <v>1813.0719999999999</v>
      </c>
      <c r="AC45" s="172">
        <f>_xll.LVCELL($D$1,AC$3,$C45,$D$2,$C$4,$C$5,$C$6,$C$7,$C$8,$D$3)/1000</f>
        <v>2250.29</v>
      </c>
      <c r="AD45" s="172">
        <f>_xll.LVCELL($D$1,AD$2,$C45,$D$2,$C$4,$C$5,$C$6,$C$7,$C$8,$D$3)/1000</f>
        <v>18443.859</v>
      </c>
      <c r="AE45" s="172">
        <f t="shared" si="1"/>
        <v>135.82700000000114</v>
      </c>
      <c r="AF45" s="193">
        <f t="shared" si="2"/>
        <v>7.4189841922933653E-3</v>
      </c>
      <c r="AG45" s="535"/>
      <c r="AJ45" s="64" t="str">
        <f t="shared" si="3"/>
        <v>E5401</v>
      </c>
      <c r="AK45" s="64" t="str">
        <f t="shared" si="4"/>
        <v>BEV12</v>
      </c>
      <c r="AL45" s="192" t="str">
        <f t="shared" si="5"/>
        <v>Pays d'Othe 1</v>
      </c>
      <c r="AM45" s="172">
        <f>_xll.LVCELL($AK$1,AM$3,$AK45,$AL$2,$AK$4,$AK$5,$AK$6,$AK$7,$AK$8,$AL$3)/1000</f>
        <v>195.901246152</v>
      </c>
      <c r="AN45" s="172">
        <f>_xll.LVCELL($AK$1,AN$3,$AK45,$AL$2,$AK$4,$AK$5,$AK$6,$AK$7,$AK$8,$AL$3)/1000</f>
        <v>162.35754907999998</v>
      </c>
      <c r="AO45" s="172">
        <f>_xll.LVCELL($AK$1,AO$3,$AK45,$AL$2,$AK$4,$AK$5,$AK$6,$AK$7,$AK$8,$AL$3)/1000</f>
        <v>158.339283456</v>
      </c>
      <c r="AP45" s="172">
        <f>_xll.LVCELL($AK$1,AP$3,$AK45,$AL$2,$AK$4,$AK$5,$AK$6,$AK$7,$AK$8,$AL$3)/1000</f>
        <v>130.67102232799999</v>
      </c>
      <c r="AQ45" s="172">
        <f>_xll.LVCELL($AK$1,AQ$3,$AK45,$AL$2,$AK$4,$AK$5,$AK$6,$AK$7,$AK$8,$AL$3)/1000</f>
        <v>113.846597184</v>
      </c>
      <c r="AR45" s="172">
        <f>_xll.LVCELL($AK$1,AR$3,$AK45,$AL$2,$AK$4,$AK$5,$AK$6,$AK$7,$AK$8,$AL$3)/1000</f>
        <v>87.097621951999997</v>
      </c>
      <c r="AS45" s="172">
        <f>_xll.LVCELL($AK$1,AS$3,$AK45,$AL$2,$AK$4,$AK$5,$AK$6,$AK$7,$AK$8,$AL$3)/1000</f>
        <v>86.414304880000003</v>
      </c>
      <c r="AT45" s="172">
        <f>_xll.LVCELL($AK$1,AT$3,$AK45,$AL$2,$AK$4,$AK$5,$AK$6,$AK$7,$AK$8,$AL$3)/1000</f>
        <v>80.113606439999998</v>
      </c>
      <c r="AU45" s="172">
        <f>_xll.LVCELL($AK$1,AU$3,$AK45,$AL$2,$AK$4,$AK$5,$AK$6,$AK$7,$AK$8,$AL$3)/1000</f>
        <v>108.579458288</v>
      </c>
      <c r="AV45" s="172">
        <f>_xll.LVCELL($AK$1,AV$3,$AK45,$AL$2,$AK$4,$AK$5,$AK$6,$AK$7,$AK$8,$AL$3)/1000</f>
        <v>153.05640734400001</v>
      </c>
      <c r="AW45" s="172">
        <f>_xll.LVCELL($AK$1,AW$3,$AK45,$AL$2,$AK$4,$AK$5,$AK$6,$AK$7,$AK$8,$AL$3)/1000</f>
        <v>161.56806327999999</v>
      </c>
      <c r="AX45" s="172">
        <f>_xll.LVCELL($AK$1,AX$3,$AK45,$AL$2,$AK$4,$AK$5,$AK$6,$AK$7,$AK$8,$AL$3)/1000</f>
        <v>200.52979973200001</v>
      </c>
      <c r="AY45" s="172">
        <f>_xll.LVCELL($AK$1,AY$2,$AK45,$AL$2,$AK$4,$AK$5,$AK$6,$AK$7,$AK$8,$AL$3)/1000</f>
        <v>1638.4749601159999</v>
      </c>
      <c r="AZ45" s="172">
        <f>_xll.LVCELL($AK$1,AZ$3,$AK45,$AL$2,$AK$4,$AK$5,$AK$6,$AK$7,$AK$8,$AL$3)/1000</f>
        <v>201.230538715476</v>
      </c>
      <c r="BA45" s="172">
        <f>_xll.LVCELL($AK$1,BA$3,$AK45,$AL$2,$AK$4,$AK$5,$AK$6,$AK$7,$AK$8,$AL$3)/1000</f>
        <v>166.774331893176</v>
      </c>
      <c r="BB45" s="172">
        <f>_xll.LVCELL($AK$1,BB$3,$AK45,$AL$2,$AK$4,$AK$5,$AK$6,$AK$7,$AK$8,$AL$3)/1000</f>
        <v>162.646789668504</v>
      </c>
      <c r="BC45" s="172">
        <f>_xll.LVCELL($AK$1,BC$3,$AK45,$AL$2,$AK$4,$AK$5,$AK$6,$AK$7,$AK$8,$AL$3)/1000</f>
        <v>134.22580958910001</v>
      </c>
      <c r="BD45" s="172">
        <f>_xll.LVCELL($AK$1,BD$3,$AK45,$AL$2,$AK$4,$AK$5,$AK$6,$AK$7,$AK$8,$AL$3)/1000</f>
        <v>116.94368672292001</v>
      </c>
      <c r="BE45" s="172">
        <f>_xll.LVCELL($AK$1,BE$3,$AK45,$AL$2,$AK$4,$AK$5,$AK$6,$AK$7,$AK$8,$AL$3)/1000</f>
        <v>89.467067006723994</v>
      </c>
      <c r="BF45" s="172">
        <f>_xll.LVCELL($AK$1,BF$3,$AK45,$AL$2,$AK$4,$AK$5,$AK$6,$AK$7,$AK$8,$AL$3)/1000</f>
        <v>88.765133193600008</v>
      </c>
      <c r="BG45" s="172">
        <f>_xll.LVCELL($AK$1,BG$3,$AK45,$AL$2,$AK$4,$AK$5,$AK$6,$AK$7,$AK$8,$AL$3)/1000</f>
        <v>82.293009862511994</v>
      </c>
      <c r="BH45" s="172">
        <f>_xll.LVCELL($AK$1,BH$3,$AK45,$AL$2,$AK$4,$AK$5,$AK$6,$AK$7,$AK$8,$AL$3)/1000</f>
        <v>111.53326221685201</v>
      </c>
      <c r="BI45" s="172">
        <f>_xll.LVCELL($AK$1,BI$3,$AK45,$AL$2,$AK$4,$AK$5,$AK$6,$AK$7,$AK$8,$AL$3)/1000</f>
        <v>157.22013653290801</v>
      </c>
      <c r="BJ45" s="172">
        <f>_xll.LVCELL($AK$1,BJ$3,$AK45,$AL$2,$AK$4,$AK$5,$AK$6,$AK$7,$AK$8,$AL$3)/1000</f>
        <v>169.10347401244798</v>
      </c>
      <c r="BK45" s="172">
        <f>_xll.LVCELL($AK$1,BK$3,$AK45,$AL$2,$AK$4,$AK$5,$AK$6,$AK$7,$AK$8,$AL$3)/1000</f>
        <v>209.88237451985998</v>
      </c>
      <c r="BL45" s="172">
        <f>_xll.LVCELL($AK$1,BL$2,$AK45,$AL$2,$AK$4,$AK$5,$AK$6,$AK$7,$AK$8,$AL$3)/1000</f>
        <v>1690.0856139340799</v>
      </c>
      <c r="BM45" s="214">
        <f t="shared" si="6"/>
        <v>51.610653818079982</v>
      </c>
      <c r="BN45" s="217">
        <f t="shared" si="7"/>
        <v>12.155819828569111</v>
      </c>
      <c r="BO45" s="218">
        <f t="shared" si="7"/>
        <v>39.454833989510931</v>
      </c>
      <c r="BP45" s="193">
        <f t="shared" si="8"/>
        <v>3.1499202047265973E-2</v>
      </c>
      <c r="BQ45" s="190"/>
      <c r="BS45" s="198">
        <f t="shared" si="9"/>
        <v>89.494870891420774</v>
      </c>
      <c r="BT45" s="198">
        <f t="shared" si="10"/>
        <v>91.634056296682814</v>
      </c>
      <c r="BU45" s="198">
        <f t="shared" si="11"/>
        <v>2.1391854052620403</v>
      </c>
      <c r="BV45" s="199">
        <f t="shared" si="12"/>
        <v>2.3902882745731838E-2</v>
      </c>
      <c r="BX45" s="200">
        <f t="shared" si="17"/>
        <v>12.155819828569111</v>
      </c>
      <c r="BY45" s="200">
        <f t="shared" si="18"/>
        <v>39.454833989510931</v>
      </c>
      <c r="BZ45" s="200">
        <f t="shared" si="15"/>
        <v>51.610653818080038</v>
      </c>
      <c r="CA45" s="526">
        <f t="shared" si="16"/>
        <v>-5.6843418860808015E-14</v>
      </c>
    </row>
    <row r="46" spans="2:79" ht="38.25">
      <c r="B46" s="64" t="str">
        <f>'1-EO_Calcul Reporting'!B63</f>
        <v>E5402</v>
      </c>
      <c r="C46" s="64" t="str">
        <f>'1-EO_Calcul Reporting'!C63</f>
        <v>BEV13</v>
      </c>
      <c r="D46" s="192" t="str">
        <f>'1-EO_Calcul Reporting'!D63</f>
        <v>Comes de l'Arce</v>
      </c>
      <c r="E46" s="172">
        <f>_xll.LVCELL($D$1,E$3,$C46,$D$2,$C$4,$C$5,$C$6,$C$7,$C$8,$D$3)/1000</f>
        <v>2937.134</v>
      </c>
      <c r="F46" s="172">
        <f>_xll.LVCELL($D$1,F$3,$C46,$D$2,$C$4,$C$5,$C$6,$C$7,$C$8,$D$3)/1000</f>
        <v>2416.0790000000002</v>
      </c>
      <c r="G46" s="172">
        <f>_xll.LVCELL($D$1,G$3,$C46,$D$2,$C$4,$C$5,$C$6,$C$7,$C$8,$D$3)/1000</f>
        <v>2385.931</v>
      </c>
      <c r="H46" s="172">
        <f>_xll.LVCELL($D$1,H$3,$C46,$D$2,$C$4,$C$5,$C$6,$C$7,$C$8,$D$3)/1000</f>
        <v>1978.23</v>
      </c>
      <c r="I46" s="172">
        <f>_xll.LVCELL($D$1,I$3,$C46,$D$2,$C$4,$C$5,$C$6,$C$7,$C$8,$D$3)/1000</f>
        <v>1678.354</v>
      </c>
      <c r="J46" s="172">
        <f>_xll.LVCELL($D$1,J$3,$C46,$D$2,$C$4,$C$5,$C$6,$C$7,$C$8,$D$3)/1000</f>
        <v>1300.326</v>
      </c>
      <c r="K46" s="172">
        <f>_xll.LVCELL($D$1,K$3,$C46,$D$2,$C$4,$C$5,$C$6,$C$7,$C$8,$D$3)/1000</f>
        <v>1261.5909999999999</v>
      </c>
      <c r="L46" s="172">
        <f>_xll.LVCELL($D$1,L$3,$C46,$D$2,$C$4,$C$5,$C$6,$C$7,$C$8,$D$3)/1000</f>
        <v>1192.248</v>
      </c>
      <c r="M46" s="172">
        <f>_xll.LVCELL($D$1,M$3,$C46,$D$2,$C$4,$C$5,$C$6,$C$7,$C$8,$D$3)/1000</f>
        <v>1655.712</v>
      </c>
      <c r="N46" s="172">
        <f>_xll.LVCELL($D$1,N$3,$C46,$D$2,$C$4,$C$5,$C$6,$C$7,$C$8,$D$3)/1000</f>
        <v>2366.8270000000002</v>
      </c>
      <c r="O46" s="172">
        <f>_xll.LVCELL($D$1,O$3,$C46,$D$2,$C$4,$C$5,$C$6,$C$7,$C$8,$D$3)/1000</f>
        <v>2450.7089999999998</v>
      </c>
      <c r="P46" s="172">
        <f>_xll.LVCELL($D$1,P$3,$C46,$D$2,$C$4,$C$5,$C$6,$C$7,$C$8,$D$3)/1000</f>
        <v>2999.4009999999998</v>
      </c>
      <c r="Q46" s="172">
        <f>_xll.LVCELL($D$1,Q$2,$C46,$D$2,$C$4,$C$5,$C$6,$C$7,$C$8,$D$3)/1000</f>
        <v>24622.542000000001</v>
      </c>
      <c r="R46" s="172">
        <f>_xll.LVCELL($D$1,R$3,$C46,$D$2,$C$4,$C$5,$C$6,$C$7,$C$8,$D$3)/1000</f>
        <v>2888.1579999999999</v>
      </c>
      <c r="S46" s="172">
        <f>_xll.LVCELL($D$1,S$3,$C46,$D$2,$C$4,$C$5,$C$6,$C$7,$C$8,$D$3)/1000</f>
        <v>2375.7910000000002</v>
      </c>
      <c r="T46" s="172">
        <f>_xll.LVCELL($D$1,T$3,$C46,$D$2,$C$4,$C$5,$C$6,$C$7,$C$8,$D$3)/1000</f>
        <v>2346.1460000000002</v>
      </c>
      <c r="U46" s="172">
        <f>_xll.LVCELL($D$1,U$3,$C46,$D$2,$C$4,$C$5,$C$6,$C$7,$C$8,$D$3)/1000</f>
        <v>1945.2439999999999</v>
      </c>
      <c r="V46" s="172">
        <f>_xll.LVCELL($D$1,V$3,$C46,$D$2,$C$4,$C$5,$C$6,$C$7,$C$8,$D$3)/1000</f>
        <v>1650.3679999999999</v>
      </c>
      <c r="W46" s="172">
        <f>_xll.LVCELL($D$1,W$3,$C46,$D$2,$C$4,$C$5,$C$6,$C$7,$C$8,$D$3)/1000</f>
        <v>1278.643</v>
      </c>
      <c r="X46" s="172">
        <f>_xll.LVCELL($D$1,X$3,$C46,$D$2,$C$4,$C$5,$C$6,$C$7,$C$8,$D$3)/1000</f>
        <v>1240.5540000000001</v>
      </c>
      <c r="Y46" s="172">
        <f>_xll.LVCELL($D$1,Y$3,$C46,$D$2,$C$4,$C$5,$C$6,$C$7,$C$8,$D$3)/1000</f>
        <v>1172.3679999999999</v>
      </c>
      <c r="Z46" s="172">
        <f>_xll.LVCELL($D$1,Z$3,$C46,$D$2,$C$4,$C$5,$C$6,$C$7,$C$8,$D$3)/1000</f>
        <v>1628.1030000000001</v>
      </c>
      <c r="AA46" s="172">
        <f>_xll.LVCELL($D$1,AA$3,$C46,$D$2,$C$4,$C$5,$C$6,$C$7,$C$8,$D$3)/1000</f>
        <v>2327.36</v>
      </c>
      <c r="AB46" s="172">
        <f>_xll.LVCELL($D$1,AB$3,$C46,$D$2,$C$4,$C$5,$C$6,$C$7,$C$8,$D$3)/1000</f>
        <v>2409.8440000000001</v>
      </c>
      <c r="AC46" s="172">
        <f>_xll.LVCELL($D$1,AC$3,$C46,$D$2,$C$4,$C$5,$C$6,$C$7,$C$8,$D$3)/1000</f>
        <v>2949.386</v>
      </c>
      <c r="AD46" s="172">
        <f>_xll.LVCELL($D$1,AD$2,$C46,$D$2,$C$4,$C$5,$C$6,$C$7,$C$8,$D$3)/1000</f>
        <v>24211.965</v>
      </c>
      <c r="AE46" s="516">
        <f t="shared" si="1"/>
        <v>-410.57700000000114</v>
      </c>
      <c r="AF46" s="193">
        <f t="shared" si="2"/>
        <v>-1.6674842102005649E-2</v>
      </c>
      <c r="AG46" s="535" t="s">
        <v>3279</v>
      </c>
      <c r="AJ46" s="64" t="str">
        <f t="shared" si="3"/>
        <v>E5402</v>
      </c>
      <c r="AK46" s="64" t="str">
        <f t="shared" si="4"/>
        <v>BEV13</v>
      </c>
      <c r="AL46" s="192" t="str">
        <f t="shared" si="5"/>
        <v>Comes de l'Arce</v>
      </c>
      <c r="AM46" s="172">
        <f>_xll.LVCELL($AK$1,AM$3,$AK46,$AL$2,$AK$4,$AK$5,$AK$6,$AK$7,$AK$8,$AL$3)/1000</f>
        <v>262.18620364399999</v>
      </c>
      <c r="AN46" s="172">
        <f>_xll.LVCELL($AK$1,AN$3,$AK46,$AL$2,$AK$4,$AK$5,$AK$6,$AK$7,$AK$8,$AL$3)/1000</f>
        <v>215.673708014</v>
      </c>
      <c r="AO46" s="172">
        <f>_xll.LVCELL($AK$1,AO$3,$AK46,$AL$2,$AK$4,$AK$5,$AK$6,$AK$7,$AK$8,$AL$3)/1000</f>
        <v>212.98251664599999</v>
      </c>
      <c r="AP46" s="172">
        <f>_xll.LVCELL($AK$1,AP$3,$AK46,$AL$2,$AK$4,$AK$5,$AK$6,$AK$7,$AK$8,$AL$3)/1000</f>
        <v>176.58867918000001</v>
      </c>
      <c r="AQ46" s="172">
        <f>_xll.LVCELL($AK$1,AQ$3,$AK46,$AL$2,$AK$4,$AK$5,$AK$6,$AK$7,$AK$8,$AL$3)/1000</f>
        <v>149.81994816400001</v>
      </c>
      <c r="AR46" s="172">
        <f>_xll.LVCELL($AK$1,AR$3,$AK46,$AL$2,$AK$4,$AK$5,$AK$6,$AK$7,$AK$8,$AL$3)/1000</f>
        <v>116.074900716</v>
      </c>
      <c r="AS46" s="172">
        <f>_xll.LVCELL($AK$1,AS$3,$AK46,$AL$2,$AK$4,$AK$5,$AK$6,$AK$7,$AK$8,$AL$3)/1000</f>
        <v>112.617182206</v>
      </c>
      <c r="AT46" s="172">
        <f>_xll.LVCELL($AK$1,AT$3,$AK46,$AL$2,$AK$4,$AK$5,$AK$6,$AK$7,$AK$8,$AL$3)/1000</f>
        <v>106.427209968</v>
      </c>
      <c r="AU46" s="172">
        <f>_xll.LVCELL($AK$1,AU$3,$AK46,$AL$2,$AK$4,$AK$5,$AK$6,$AK$7,$AK$8,$AL$3)/1000</f>
        <v>147.79878739200001</v>
      </c>
      <c r="AV46" s="172">
        <f>_xll.LVCELL($AK$1,AV$3,$AK46,$AL$2,$AK$4,$AK$5,$AK$6,$AK$7,$AK$8,$AL$3)/1000</f>
        <v>211.27717898200001</v>
      </c>
      <c r="AW46" s="172">
        <f>_xll.LVCELL($AK$1,AW$3,$AK46,$AL$2,$AK$4,$AK$5,$AK$6,$AK$7,$AK$8,$AL$3)/1000</f>
        <v>219.639892707</v>
      </c>
      <c r="AX46" s="172">
        <f>_xll.LVCELL($AK$1,AX$3,$AK46,$AL$2,$AK$4,$AK$5,$AK$6,$AK$7,$AK$8,$AL$3)/1000</f>
        <v>268.81531582299999</v>
      </c>
      <c r="AY46" s="172">
        <f>_xll.LVCELL($AK$1,AY$2,$AK46,$AL$2,$AK$4,$AK$5,$AK$6,$AK$7,$AK$8,$AL$3)/1000</f>
        <v>2199.9015234420003</v>
      </c>
      <c r="AZ46" s="172">
        <f>_xll.LVCELL($AK$1,AZ$3,$AK46,$AL$2,$AK$4,$AK$5,$AK$6,$AK$7,$AK$8,$AL$3)/1000</f>
        <v>262.87460456111398</v>
      </c>
      <c r="BA46" s="172">
        <f>_xll.LVCELL($AK$1,BA$3,$AK46,$AL$2,$AK$4,$AK$5,$AK$6,$AK$7,$AK$8,$AL$3)/1000</f>
        <v>216.23994242865302</v>
      </c>
      <c r="BB46" s="172">
        <f>_xll.LVCELL($AK$1,BB$3,$AK46,$AL$2,$AK$4,$AK$5,$AK$6,$AK$7,$AK$8,$AL$3)/1000</f>
        <v>213.54171135811799</v>
      </c>
      <c r="BC46" s="172">
        <f>_xll.LVCELL($AK$1,BC$3,$AK46,$AL$2,$AK$4,$AK$5,$AK$6,$AK$7,$AK$8,$AL$3)/1000</f>
        <v>177.05237984725201</v>
      </c>
      <c r="BD46" s="172">
        <f>_xll.LVCELL($AK$1,BD$3,$AK46,$AL$2,$AK$4,$AK$5,$AK$6,$AK$7,$AK$8,$AL$3)/1000</f>
        <v>150.21333160454398</v>
      </c>
      <c r="BE46" s="172">
        <f>_xll.LVCELL($AK$1,BE$3,$AK46,$AL$2,$AK$4,$AK$5,$AK$6,$AK$7,$AK$8,$AL$3)/1000</f>
        <v>116.379634701369</v>
      </c>
      <c r="BF46" s="172">
        <f>_xll.LVCELL($AK$1,BF$3,$AK46,$AL$2,$AK$4,$AK$5,$AK$6,$AK$7,$AK$8,$AL$3)/1000</f>
        <v>112.912846937982</v>
      </c>
      <c r="BG46" s="172">
        <f>_xll.LVCELL($AK$1,BG$3,$AK46,$AL$2,$AK$4,$AK$5,$AK$6,$AK$7,$AK$8,$AL$3)/1000</f>
        <v>106.70668793054399</v>
      </c>
      <c r="BH46" s="172">
        <f>_xll.LVCELL($AK$1,BH$3,$AK46,$AL$2,$AK$4,$AK$5,$AK$6,$AK$7,$AK$8,$AL$3)/1000</f>
        <v>148.186813986549</v>
      </c>
      <c r="BI46" s="172">
        <f>_xll.LVCELL($AK$1,BI$3,$AK46,$AL$2,$AK$4,$AK$5,$AK$6,$AK$7,$AK$8,$AL$3)/1000</f>
        <v>211.83184565087998</v>
      </c>
      <c r="BJ46" s="172">
        <f>_xll.LVCELL($AK$1,BJ$3,$AK46,$AL$2,$AK$4,$AK$5,$AK$6,$AK$7,$AK$8,$AL$3)/1000</f>
        <v>224.38418719615601</v>
      </c>
      <c r="BK46" s="172">
        <f>_xll.LVCELL($AK$1,BK$3,$AK46,$AL$2,$AK$4,$AK$5,$AK$6,$AK$7,$AK$8,$AL$3)/1000</f>
        <v>274.62175158961401</v>
      </c>
      <c r="BL46" s="172">
        <f>_xll.LVCELL($AK$1,BL$2,$AK46,$AL$2,$AK$4,$AK$5,$AK$6,$AK$7,$AK$8,$AL$3)/1000</f>
        <v>2214.9457377927752</v>
      </c>
      <c r="BM46" s="214">
        <f t="shared" si="6"/>
        <v>15.044214350774837</v>
      </c>
      <c r="BN46" s="217">
        <f t="shared" si="7"/>
        <v>-36.683010543356929</v>
      </c>
      <c r="BO46" s="218">
        <f t="shared" si="7"/>
        <v>51.727224894131552</v>
      </c>
      <c r="BP46" s="193">
        <f t="shared" si="8"/>
        <v>6.8385853596011348E-3</v>
      </c>
      <c r="BQ46" s="190" t="s">
        <v>3551</v>
      </c>
      <c r="BS46" s="198">
        <f t="shared" si="9"/>
        <v>89.345020649858185</v>
      </c>
      <c r="BT46" s="198">
        <f t="shared" si="10"/>
        <v>91.481452983794384</v>
      </c>
      <c r="BU46" s="198">
        <f t="shared" si="11"/>
        <v>2.1364323339361988</v>
      </c>
      <c r="BV46" s="199">
        <f t="shared" si="12"/>
        <v>2.391215893618566E-2</v>
      </c>
      <c r="BX46" s="200">
        <f t="shared" si="17"/>
        <v>-36.683010543356929</v>
      </c>
      <c r="BY46" s="200">
        <f t="shared" si="18"/>
        <v>51.727224894131552</v>
      </c>
      <c r="BZ46" s="200">
        <f t="shared" si="15"/>
        <v>15.044214350774624</v>
      </c>
      <c r="CA46" s="526">
        <f t="shared" si="16"/>
        <v>2.1316282072803006E-13</v>
      </c>
    </row>
    <row r="47" spans="2:79">
      <c r="B47" s="64" t="str">
        <f>'1-EO_Calcul Reporting'!B64</f>
        <v>E5560</v>
      </c>
      <c r="C47" s="64" t="str">
        <f>'1-EO_Calcul Reporting'!C64</f>
        <v>E5560</v>
      </c>
      <c r="D47" s="192" t="str">
        <f>'1-EO_Calcul Reporting'!D64</f>
        <v>Touvent</v>
      </c>
      <c r="E47" s="172">
        <f>_xll.LVCELL($D$1,E$3,$C47,$D$2,$C$4,$C$5,$C$6,$C$7,$C$8,$D$3)/1000</f>
        <v>3903.7550000000001</v>
      </c>
      <c r="F47" s="172">
        <f>_xll.LVCELL($D$1,F$3,$C47,$D$2,$C$4,$C$5,$C$6,$C$7,$C$8,$D$3)/1000</f>
        <v>3129.7109999999998</v>
      </c>
      <c r="G47" s="172">
        <f>_xll.LVCELL($D$1,G$3,$C47,$D$2,$C$4,$C$5,$C$6,$C$7,$C$8,$D$3)/1000</f>
        <v>2818.2190000000001</v>
      </c>
      <c r="H47" s="172">
        <f>_xll.LVCELL($D$1,H$3,$C47,$D$2,$C$4,$C$5,$C$6,$C$7,$C$8,$D$3)/1000</f>
        <v>1990.3989999999999</v>
      </c>
      <c r="I47" s="172">
        <f>_xll.LVCELL($D$1,I$3,$C47,$D$2,$C$4,$C$5,$C$6,$C$7,$C$8,$D$3)/1000</f>
        <v>2000.0709999999999</v>
      </c>
      <c r="J47" s="172">
        <f>_xll.LVCELL($D$1,J$3,$C47,$D$2,$C$4,$C$5,$C$6,$C$7,$C$8,$D$3)/1000</f>
        <v>1661.3209999999999</v>
      </c>
      <c r="K47" s="172">
        <f>_xll.LVCELL($D$1,K$3,$C47,$D$2,$C$4,$C$5,$C$6,$C$7,$C$8,$D$3)/1000</f>
        <v>1805.3430000000001</v>
      </c>
      <c r="L47" s="172">
        <f>_xll.LVCELL($D$1,L$3,$C47,$D$2,$C$4,$C$5,$C$6,$C$7,$C$8,$D$3)/1000</f>
        <v>1639.6790000000001</v>
      </c>
      <c r="M47" s="172">
        <f>_xll.LVCELL($D$1,M$3,$C47,$D$2,$C$4,$C$5,$C$6,$C$7,$C$8,$D$3)/1000</f>
        <v>1737.2619999999999</v>
      </c>
      <c r="N47" s="172">
        <f>_xll.LVCELL($D$1,N$3,$C47,$D$2,$C$4,$C$5,$C$6,$C$7,$C$8,$D$3)/1000</f>
        <v>2675.806</v>
      </c>
      <c r="O47" s="172">
        <f>_xll.LVCELL($D$1,O$3,$C47,$D$2,$C$4,$C$5,$C$6,$C$7,$C$8,$D$3)/1000</f>
        <v>2934.0369999999998</v>
      </c>
      <c r="P47" s="172">
        <f>_xll.LVCELL($D$1,P$3,$C47,$D$2,$C$4,$C$5,$C$6,$C$7,$C$8,$D$3)/1000</f>
        <v>3604.3969999999999</v>
      </c>
      <c r="Q47" s="172">
        <f>_xll.LVCELL($D$1,Q$2,$C47,$D$2,$C$4,$C$5,$C$6,$C$7,$C$8,$D$3)/1000</f>
        <v>29900</v>
      </c>
      <c r="R47" s="172">
        <f>_xll.LVCELL($D$1,R$3,$C47,$D$2,$C$4,$C$5,$C$6,$C$7,$C$8,$D$3)/1000</f>
        <v>3917.473</v>
      </c>
      <c r="S47" s="172">
        <f>_xll.LVCELL($D$1,S$3,$C47,$D$2,$C$4,$C$5,$C$6,$C$7,$C$8,$D$3)/1000</f>
        <v>3140.7089999999998</v>
      </c>
      <c r="T47" s="172">
        <f>_xll.LVCELL($D$1,T$3,$C47,$D$2,$C$4,$C$5,$C$6,$C$7,$C$8,$D$3)/1000</f>
        <v>2828.123</v>
      </c>
      <c r="U47" s="172">
        <f>_xll.LVCELL($D$1,U$3,$C47,$D$2,$C$4,$C$5,$C$6,$C$7,$C$8,$D$3)/1000</f>
        <v>1997.393</v>
      </c>
      <c r="V47" s="172">
        <f>_xll.LVCELL($D$1,V$3,$C47,$D$2,$C$4,$C$5,$C$6,$C$7,$C$8,$D$3)/1000</f>
        <v>2007.0989999999999</v>
      </c>
      <c r="W47" s="172">
        <f>_xll.LVCELL($D$1,W$3,$C47,$D$2,$C$4,$C$5,$C$6,$C$7,$C$8,$D$3)/1000</f>
        <v>1667.1590000000001</v>
      </c>
      <c r="X47" s="172">
        <f>_xll.LVCELL($D$1,X$3,$C47,$D$2,$C$4,$C$5,$C$6,$C$7,$C$8,$D$3)/1000</f>
        <v>1811.6869999999999</v>
      </c>
      <c r="Y47" s="172">
        <f>_xll.LVCELL($D$1,Y$3,$C47,$D$2,$C$4,$C$5,$C$6,$C$7,$C$8,$D$3)/1000</f>
        <v>1645.441</v>
      </c>
      <c r="Z47" s="172">
        <f>_xll.LVCELL($D$1,Z$3,$C47,$D$2,$C$4,$C$5,$C$6,$C$7,$C$8,$D$3)/1000</f>
        <v>1743.367</v>
      </c>
      <c r="AA47" s="172">
        <f>_xll.LVCELL($D$1,AA$3,$C47,$D$2,$C$4,$C$5,$C$6,$C$7,$C$8,$D$3)/1000</f>
        <v>2685.2089999999998</v>
      </c>
      <c r="AB47" s="172">
        <f>_xll.LVCELL($D$1,AB$3,$C47,$D$2,$C$4,$C$5,$C$6,$C$7,$C$8,$D$3)/1000</f>
        <v>2944.348</v>
      </c>
      <c r="AC47" s="172">
        <f>_xll.LVCELL($D$1,AC$3,$C47,$D$2,$C$4,$C$5,$C$6,$C$7,$C$8,$D$3)/1000</f>
        <v>3617.0630000000001</v>
      </c>
      <c r="AD47" s="172">
        <f>_xll.LVCELL($D$1,AD$2,$C47,$D$2,$C$4,$C$5,$C$6,$C$7,$C$8,$D$3)/1000</f>
        <v>30005.071</v>
      </c>
      <c r="AE47" s="172">
        <f t="shared" si="1"/>
        <v>105.07099999999991</v>
      </c>
      <c r="AF47" s="193">
        <f t="shared" si="2"/>
        <v>3.5140802675586169E-3</v>
      </c>
      <c r="AG47" s="535"/>
      <c r="AJ47" s="64" t="str">
        <f t="shared" si="3"/>
        <v>E5560</v>
      </c>
      <c r="AK47" s="64" t="str">
        <f t="shared" si="4"/>
        <v>E5560</v>
      </c>
      <c r="AL47" s="192" t="str">
        <f t="shared" si="5"/>
        <v>Touvent</v>
      </c>
      <c r="AM47" s="172">
        <f>_xll.LVCELL($AK$1,AM$3,$AK47,$AL$2,$AK$4,$AK$5,$AK$6,$AK$7,$AK$8,$AL$3)/1000</f>
        <v>347.45371377499998</v>
      </c>
      <c r="AN47" s="172">
        <f>_xll.LVCELL($AK$1,AN$3,$AK47,$AL$2,$AK$4,$AK$5,$AK$6,$AK$7,$AK$8,$AL$3)/1000</f>
        <v>278.559927555</v>
      </c>
      <c r="AO47" s="172">
        <f>_xll.LVCELL($AK$1,AO$3,$AK47,$AL$2,$AK$4,$AK$5,$AK$6,$AK$7,$AK$8,$AL$3)/1000</f>
        <v>250.83558209499998</v>
      </c>
      <c r="AP47" s="172">
        <f>_xll.LVCELL($AK$1,AP$3,$AK47,$AL$2,$AK$4,$AK$5,$AK$6,$AK$7,$AK$8,$AL$3)/1000</f>
        <v>177.15546299500002</v>
      </c>
      <c r="AQ47" s="172">
        <f>_xll.LVCELL($AK$1,AQ$3,$AK47,$AL$2,$AK$4,$AK$5,$AK$6,$AK$7,$AK$8,$AL$3)/1000</f>
        <v>178.01631935500001</v>
      </c>
      <c r="AR47" s="172">
        <f>_xll.LVCELL($AK$1,AR$3,$AK47,$AL$2,$AK$4,$AK$5,$AK$6,$AK$7,$AK$8,$AL$3)/1000</f>
        <v>147.86587560500001</v>
      </c>
      <c r="AS47" s="172">
        <f>_xll.LVCELL($AK$1,AS$3,$AK47,$AL$2,$AK$4,$AK$5,$AK$6,$AK$7,$AK$8,$AL$3)/1000</f>
        <v>160.68455371499999</v>
      </c>
      <c r="AT47" s="172">
        <f>_xll.LVCELL($AK$1,AT$3,$AK47,$AL$2,$AK$4,$AK$5,$AK$6,$AK$7,$AK$8,$AL$3)/1000</f>
        <v>145.939629395</v>
      </c>
      <c r="AU47" s="172">
        <f>_xll.LVCELL($AK$1,AU$3,$AK47,$AL$2,$AK$4,$AK$5,$AK$6,$AK$7,$AK$8,$AL$3)/1000</f>
        <v>154.62500430999998</v>
      </c>
      <c r="AV47" s="172">
        <f>_xll.LVCELL($AK$1,AV$3,$AK47,$AL$2,$AK$4,$AK$5,$AK$6,$AK$7,$AK$8,$AL$3)/1000</f>
        <v>238.16011303000002</v>
      </c>
      <c r="AW47" s="172">
        <f>_xll.LVCELL($AK$1,AW$3,$AK47,$AL$2,$AK$4,$AK$5,$AK$6,$AK$7,$AK$8,$AL$3)/1000</f>
        <v>262.188480357</v>
      </c>
      <c r="AX47" s="172">
        <f>_xll.LVCELL($AK$1,AX$3,$AK47,$AL$2,$AK$4,$AK$5,$AK$6,$AK$7,$AK$8,$AL$3)/1000</f>
        <v>322.09252031699998</v>
      </c>
      <c r="AY47" s="172">
        <f>_xll.LVCELL($AK$1,AY$2,$AK47,$AL$2,$AK$4,$AK$5,$AK$6,$AK$7,$AK$8,$AL$3)/1000</f>
        <v>2663.5771825040001</v>
      </c>
      <c r="AZ47" s="172">
        <f>_xll.LVCELL($AK$1,AZ$3,$AK47,$AL$2,$AK$4,$AK$5,$AK$6,$AK$7,$AK$8,$AL$3)/1000</f>
        <v>355.35170761313299</v>
      </c>
      <c r="BA47" s="172">
        <f>_xll.LVCELL($AK$1,BA$3,$AK47,$AL$2,$AK$4,$AK$5,$AK$6,$AK$7,$AK$8,$AL$3)/1000</f>
        <v>284.891894919489</v>
      </c>
      <c r="BB47" s="172">
        <f>_xll.LVCELL($AK$1,BB$3,$AK47,$AL$2,$AK$4,$AK$5,$AK$6,$AK$7,$AK$8,$AL$3)/1000</f>
        <v>256.53739984678299</v>
      </c>
      <c r="BC47" s="172">
        <f>_xll.LVCELL($AK$1,BC$3,$AK47,$AL$2,$AK$4,$AK$5,$AK$6,$AK$7,$AK$8,$AL$3)/1000</f>
        <v>181.18236253945298</v>
      </c>
      <c r="BD47" s="172">
        <f>_xll.LVCELL($AK$1,BD$3,$AK47,$AL$2,$AK$4,$AK$5,$AK$6,$AK$7,$AK$8,$AL$3)/1000</f>
        <v>182.06278817967899</v>
      </c>
      <c r="BE47" s="172">
        <f>_xll.LVCELL($AK$1,BE$3,$AK47,$AL$2,$AK$4,$AK$5,$AK$6,$AK$7,$AK$8,$AL$3)/1000</f>
        <v>151.227027604939</v>
      </c>
      <c r="BF47" s="172">
        <f>_xll.LVCELL($AK$1,BF$3,$AK47,$AL$2,$AK$4,$AK$5,$AK$6,$AK$7,$AK$8,$AL$3)/1000</f>
        <v>164.337078803227</v>
      </c>
      <c r="BG47" s="172">
        <f>_xll.LVCELL($AK$1,BG$3,$AK47,$AL$2,$AK$4,$AK$5,$AK$6,$AK$7,$AK$8,$AL$3)/1000</f>
        <v>149.257000399661</v>
      </c>
      <c r="BH47" s="172">
        <f>_xll.LVCELL($AK$1,BH$3,$AK47,$AL$2,$AK$4,$AK$5,$AK$6,$AK$7,$AK$8,$AL$3)/1000</f>
        <v>158.13981116050701</v>
      </c>
      <c r="BI47" s="172">
        <f>_xll.LVCELL($AK$1,BI$3,$AK47,$AL$2,$AK$4,$AK$5,$AK$6,$AK$7,$AK$8,$AL$3)/1000</f>
        <v>243.573753653989</v>
      </c>
      <c r="BJ47" s="172">
        <f>_xll.LVCELL($AK$1,BJ$3,$AK47,$AL$2,$AK$4,$AK$5,$AK$6,$AK$7,$AK$8,$AL$3)/1000</f>
        <v>273.22294558882402</v>
      </c>
      <c r="BK47" s="172">
        <f>_xll.LVCELL($AK$1,BK$3,$AK47,$AL$2,$AK$4,$AK$5,$AK$6,$AK$7,$AK$8,$AL$3)/1000</f>
        <v>335.64803047749399</v>
      </c>
      <c r="BL47" s="172">
        <f>_xll.LVCELL($AK$1,BL$2,$AK47,$AL$2,$AK$4,$AK$5,$AK$6,$AK$7,$AK$8,$AL$3)/1000</f>
        <v>2735.431800787178</v>
      </c>
      <c r="BM47" s="214">
        <f t="shared" si="6"/>
        <v>71.854618283177842</v>
      </c>
      <c r="BN47" s="217">
        <f t="shared" si="7"/>
        <v>9.3600240181564409</v>
      </c>
      <c r="BO47" s="218">
        <f t="shared" si="7"/>
        <v>62.494594265021291</v>
      </c>
      <c r="BP47" s="193">
        <f t="shared" si="8"/>
        <v>2.697673593059835E-2</v>
      </c>
      <c r="BQ47" s="190"/>
      <c r="BS47" s="198">
        <f t="shared" si="9"/>
        <v>89.082848913177259</v>
      </c>
      <c r="BT47" s="198">
        <f t="shared" si="10"/>
        <v>91.165649992535521</v>
      </c>
      <c r="BU47" s="198">
        <f t="shared" si="11"/>
        <v>2.0828010793582621</v>
      </c>
      <c r="BV47" s="199">
        <f t="shared" si="12"/>
        <v>2.3380494727870915E-2</v>
      </c>
      <c r="BX47" s="200">
        <f t="shared" si="17"/>
        <v>9.3600240181564409</v>
      </c>
      <c r="BY47" s="200">
        <f t="shared" si="18"/>
        <v>62.494594265021291</v>
      </c>
      <c r="BZ47" s="200">
        <f t="shared" si="15"/>
        <v>71.854618283177729</v>
      </c>
      <c r="CA47" s="526">
        <f t="shared" si="16"/>
        <v>1.1368683772161603E-13</v>
      </c>
    </row>
    <row r="48" spans="2:79" ht="38.25">
      <c r="B48" s="64" t="str">
        <f>'1-EO_Calcul Reporting'!B65</f>
        <v>E5570</v>
      </c>
      <c r="C48" s="64" t="str">
        <f>'1-EO_Calcul Reporting'!C65</f>
        <v>E5570</v>
      </c>
      <c r="D48" s="192" t="s">
        <v>2637</v>
      </c>
      <c r="E48" s="172">
        <f>_xll.LVCELL($D$1,E$3,$C48,$D$2,$C$4,$C$5,$C$6,$C$7,$C$8,$D$3)/1000</f>
        <v>4030.2840000000001</v>
      </c>
      <c r="F48" s="172">
        <f>_xll.LVCELL($D$1,F$3,$C48,$D$2,$C$4,$C$5,$C$6,$C$7,$C$8,$D$3)/1000</f>
        <v>3444.7820000000002</v>
      </c>
      <c r="G48" s="172">
        <f>_xll.LVCELL($D$1,G$3,$C48,$D$2,$C$4,$C$5,$C$6,$C$7,$C$8,$D$3)/1000</f>
        <v>3347.4389999999999</v>
      </c>
      <c r="H48" s="172">
        <f>_xll.LVCELL($D$1,H$3,$C48,$D$2,$C$4,$C$5,$C$6,$C$7,$C$8,$D$3)/1000</f>
        <v>2869.848</v>
      </c>
      <c r="I48" s="172">
        <f>_xll.LVCELL($D$1,I$3,$C48,$D$2,$C$4,$C$5,$C$6,$C$7,$C$8,$D$3)/1000</f>
        <v>2442.9160000000002</v>
      </c>
      <c r="J48" s="172">
        <f>_xll.LVCELL($D$1,J$3,$C48,$D$2,$C$4,$C$5,$C$6,$C$7,$C$8,$D$3)/1000</f>
        <v>1905.7619999999999</v>
      </c>
      <c r="K48" s="172">
        <f>_xll.LVCELL($D$1,K$3,$C48,$D$2,$C$4,$C$5,$C$6,$C$7,$C$8,$D$3)/1000</f>
        <v>1887.3810000000001</v>
      </c>
      <c r="L48" s="172">
        <f>_xll.LVCELL($D$1,L$3,$C48,$D$2,$C$4,$C$5,$C$6,$C$7,$C$8,$D$3)/1000</f>
        <v>1717.338</v>
      </c>
      <c r="M48" s="172">
        <f>_xll.LVCELL($D$1,M$3,$C48,$D$2,$C$4,$C$5,$C$6,$C$7,$C$8,$D$3)/1000</f>
        <v>2265.8939999999998</v>
      </c>
      <c r="N48" s="172">
        <f>_xll.LVCELL($D$1,N$3,$C48,$D$2,$C$4,$C$5,$C$6,$C$7,$C$8,$D$3)/1000</f>
        <v>3127.54</v>
      </c>
      <c r="O48" s="172">
        <f>_xll.LVCELL($D$1,O$3,$C48,$D$2,$C$4,$C$5,$C$6,$C$7,$C$8,$D$3)/1000</f>
        <v>3455.7089999999998</v>
      </c>
      <c r="P48" s="172">
        <f>_xll.LVCELL($D$1,P$3,$C48,$D$2,$C$4,$C$5,$C$6,$C$7,$C$8,$D$3)/1000</f>
        <v>4141.5680000000002</v>
      </c>
      <c r="Q48" s="172">
        <f>_xll.LVCELL($D$1,Q$2,$C48,$D$2,$C$4,$C$5,$C$6,$C$7,$C$8,$D$3)/1000</f>
        <v>34636.461000000003</v>
      </c>
      <c r="R48" s="172">
        <f>_xll.LVCELL($D$1,R$3,$C48,$D$2,$C$4,$C$5,$C$6,$C$7,$C$8,$D$3)/1000</f>
        <v>3917.4360000000001</v>
      </c>
      <c r="S48" s="172">
        <f>_xll.LVCELL($D$1,S$3,$C48,$D$2,$C$4,$C$5,$C$6,$C$7,$C$8,$D$3)/1000</f>
        <v>3348.328</v>
      </c>
      <c r="T48" s="172">
        <f>_xll.LVCELL($D$1,T$3,$C48,$D$2,$C$4,$C$5,$C$6,$C$7,$C$8,$D$3)/1000</f>
        <v>3253.7109999999998</v>
      </c>
      <c r="U48" s="172">
        <f>_xll.LVCELL($D$1,U$3,$C48,$D$2,$C$4,$C$5,$C$6,$C$7,$C$8,$D$3)/1000</f>
        <v>2789.4920000000002</v>
      </c>
      <c r="V48" s="172">
        <f>_xll.LVCELL($D$1,V$3,$C48,$D$2,$C$4,$C$5,$C$6,$C$7,$C$8,$D$3)/1000</f>
        <v>2374.5140000000001</v>
      </c>
      <c r="W48" s="172">
        <f>_xll.LVCELL($D$1,W$3,$C48,$D$2,$C$4,$C$5,$C$6,$C$7,$C$8,$D$3)/1000</f>
        <v>1852.4</v>
      </c>
      <c r="X48" s="172">
        <f>_xll.LVCELL($D$1,X$3,$C48,$D$2,$C$4,$C$5,$C$6,$C$7,$C$8,$D$3)/1000</f>
        <v>1834.5350000000001</v>
      </c>
      <c r="Y48" s="172">
        <f>_xll.LVCELL($D$1,Y$3,$C48,$D$2,$C$4,$C$5,$C$6,$C$7,$C$8,$D$3)/1000</f>
        <v>1669.252</v>
      </c>
      <c r="Z48" s="172">
        <f>_xll.LVCELL($D$1,Z$3,$C48,$D$2,$C$4,$C$5,$C$6,$C$7,$C$8,$D$3)/1000</f>
        <v>2202.4490000000001</v>
      </c>
      <c r="AA48" s="172">
        <f>_xll.LVCELL($D$1,AA$3,$C48,$D$2,$C$4,$C$5,$C$6,$C$7,$C$8,$D$3)/1000</f>
        <v>3039.9690000000001</v>
      </c>
      <c r="AB48" s="172">
        <f>_xll.LVCELL($D$1,AB$3,$C48,$D$2,$C$4,$C$5,$C$6,$C$7,$C$8,$D$3)/1000</f>
        <v>3358.9490000000001</v>
      </c>
      <c r="AC48" s="172">
        <f>_xll.LVCELL($D$1,AC$3,$C48,$D$2,$C$4,$C$5,$C$6,$C$7,$C$8,$D$3)/1000</f>
        <v>4025.605</v>
      </c>
      <c r="AD48" s="172">
        <f>_xll.LVCELL($D$1,AD$2,$C48,$D$2,$C$4,$C$5,$C$6,$C$7,$C$8,$D$3)/1000</f>
        <v>33666.639999999999</v>
      </c>
      <c r="AE48" s="516">
        <f t="shared" si="1"/>
        <v>-969.82100000000355</v>
      </c>
      <c r="AF48" s="193">
        <f t="shared" si="2"/>
        <v>-2.800000265616065E-2</v>
      </c>
      <c r="AG48" s="535" t="s">
        <v>3202</v>
      </c>
      <c r="AJ48" s="64" t="str">
        <f t="shared" si="3"/>
        <v>E5570</v>
      </c>
      <c r="AK48" s="64" t="str">
        <f t="shared" si="4"/>
        <v>E5570</v>
      </c>
      <c r="AL48" s="192" t="str">
        <f t="shared" si="5"/>
        <v>Plateau de Savernat 1/2</v>
      </c>
      <c r="AM48" s="172">
        <f>_xll.LVCELL($AK$1,AM$3,$AK48,$AL$2,$AK$4,$AK$5,$AK$6,$AK$7,$AK$8,$AL$3)/1000</f>
        <v>357.19198006799996</v>
      </c>
      <c r="AN48" s="172">
        <f>_xll.LVCELL($AK$1,AN$3,$AK48,$AL$2,$AK$4,$AK$5,$AK$6,$AK$7,$AK$8,$AL$3)/1000</f>
        <v>305.300694314</v>
      </c>
      <c r="AO48" s="172">
        <f>_xll.LVCELL($AK$1,AO$3,$AK48,$AL$2,$AK$4,$AK$5,$AK$6,$AK$7,$AK$8,$AL$3)/1000</f>
        <v>296.67347625299999</v>
      </c>
      <c r="AP48" s="172">
        <f>_xll.LVCELL($AK$1,AP$3,$AK48,$AL$2,$AK$4,$AK$5,$AK$6,$AK$7,$AK$8,$AL$3)/1000</f>
        <v>254.34601869600002</v>
      </c>
      <c r="AQ48" s="172">
        <f>_xll.LVCELL($AK$1,AQ$3,$AK48,$AL$2,$AK$4,$AK$5,$AK$6,$AK$7,$AK$8,$AL$3)/1000</f>
        <v>216.50831633199999</v>
      </c>
      <c r="AR48" s="172">
        <f>_xll.LVCELL($AK$1,AR$3,$AK48,$AL$2,$AK$4,$AK$5,$AK$6,$AK$7,$AK$8,$AL$3)/1000</f>
        <v>168.90196877400001</v>
      </c>
      <c r="AS48" s="172">
        <f>_xll.LVCELL($AK$1,AS$3,$AK48,$AL$2,$AK$4,$AK$5,$AK$6,$AK$7,$AK$8,$AL$3)/1000</f>
        <v>167.27291588700001</v>
      </c>
      <c r="AT48" s="172">
        <f>_xll.LVCELL($AK$1,AT$3,$AK48,$AL$2,$AK$4,$AK$5,$AK$6,$AK$7,$AK$8,$AL$3)/1000</f>
        <v>152.20251492599999</v>
      </c>
      <c r="AU48" s="172">
        <f>_xll.LVCELL($AK$1,AU$3,$AK48,$AL$2,$AK$4,$AK$5,$AK$6,$AK$7,$AK$8,$AL$3)/1000</f>
        <v>200.819387538</v>
      </c>
      <c r="AV48" s="172">
        <f>_xll.LVCELL($AK$1,AV$3,$AK48,$AL$2,$AK$4,$AK$5,$AK$6,$AK$7,$AK$8,$AL$3)/1000</f>
        <v>277.18448758</v>
      </c>
      <c r="AW48" s="172">
        <f>_xll.LVCELL($AK$1,AW$3,$AK48,$AL$2,$AK$4,$AK$5,$AK$6,$AK$7,$AK$8,$AL$3)/1000</f>
        <v>307.49244252900002</v>
      </c>
      <c r="AX48" s="172">
        <f>_xll.LVCELL($AK$1,AX$3,$AK48,$AL$2,$AK$4,$AK$5,$AK$6,$AK$7,$AK$8,$AL$3)/1000</f>
        <v>368.52086220799998</v>
      </c>
      <c r="AY48" s="172">
        <f>_xll.LVCELL($AK$1,AY$2,$AK48,$AL$2,$AK$4,$AK$5,$AK$6,$AK$7,$AK$8,$AL$3)/1000</f>
        <v>3072.4150651049999</v>
      </c>
      <c r="AZ48" s="172">
        <f>_xll.LVCELL($AK$1,AZ$3,$AK48,$AL$2,$AK$4,$AK$5,$AK$6,$AK$7,$AK$8,$AL$3)/1000</f>
        <v>353.86841455760401</v>
      </c>
      <c r="BA48" s="172">
        <f>_xll.LVCELL($AK$1,BA$3,$AK48,$AL$2,$AK$4,$AK$5,$AK$6,$AK$7,$AK$8,$AL$3)/1000</f>
        <v>302.45995614959202</v>
      </c>
      <c r="BB48" s="172">
        <f>_xll.LVCELL($AK$1,BB$3,$AK48,$AL$2,$AK$4,$AK$5,$AK$6,$AK$7,$AK$8,$AL$3)/1000</f>
        <v>293.91304746232896</v>
      </c>
      <c r="BC48" s="172">
        <f>_xll.LVCELL($AK$1,BC$3,$AK48,$AL$2,$AK$4,$AK$5,$AK$6,$AK$7,$AK$8,$AL$3)/1000</f>
        <v>251.97938433738801</v>
      </c>
      <c r="BD48" s="172">
        <f>_xll.LVCELL($AK$1,BD$3,$AK48,$AL$2,$AK$4,$AK$5,$AK$6,$AK$7,$AK$8,$AL$3)/1000</f>
        <v>214.493741448446</v>
      </c>
      <c r="BE48" s="172">
        <f>_xll.LVCELL($AK$1,BE$3,$AK48,$AL$2,$AK$4,$AK$5,$AK$6,$AK$7,$AK$8,$AL$3)/1000</f>
        <v>167.33032808359999</v>
      </c>
      <c r="BF48" s="172">
        <f>_xll.LVCELL($AK$1,BF$3,$AK48,$AL$2,$AK$4,$AK$5,$AK$6,$AK$7,$AK$8,$AL$3)/1000</f>
        <v>165.71655335286502</v>
      </c>
      <c r="BG48" s="172">
        <f>_xll.LVCELL($AK$1,BG$3,$AK48,$AL$2,$AK$4,$AK$5,$AK$6,$AK$7,$AK$8,$AL$3)/1000</f>
        <v>150.78626906402798</v>
      </c>
      <c r="BH48" s="172">
        <f>_xll.LVCELL($AK$1,BH$3,$AK48,$AL$2,$AK$4,$AK$5,$AK$6,$AK$7,$AK$8,$AL$3)/1000</f>
        <v>198.95082798391101</v>
      </c>
      <c r="BI48" s="172">
        <f>_xll.LVCELL($AK$1,BI$3,$AK48,$AL$2,$AK$4,$AK$5,$AK$6,$AK$7,$AK$8,$AL$3)/1000</f>
        <v>274.60538227919102</v>
      </c>
      <c r="BJ48" s="172">
        <f>_xll.LVCELL($AK$1,BJ$3,$AK48,$AL$2,$AK$4,$AK$5,$AK$6,$AK$7,$AK$8,$AL$3)/1000</f>
        <v>310.39801498038298</v>
      </c>
      <c r="BK48" s="172">
        <f>_xll.LVCELL($AK$1,BK$3,$AK48,$AL$2,$AK$4,$AK$5,$AK$6,$AK$7,$AK$8,$AL$3)/1000</f>
        <v>372.00320728153503</v>
      </c>
      <c r="BL48" s="172">
        <f>_xll.LVCELL($AK$1,BL$2,$AK48,$AL$2,$AK$4,$AK$5,$AK$6,$AK$7,$AK$8,$AL$3)/1000</f>
        <v>3056.5051269808728</v>
      </c>
      <c r="BM48" s="214">
        <f t="shared" si="6"/>
        <v>-15.909938124127166</v>
      </c>
      <c r="BN48" s="217">
        <f t="shared" si="7"/>
        <v>-86.027629983767881</v>
      </c>
      <c r="BO48" s="218">
        <f t="shared" si="7"/>
        <v>70.117691859640715</v>
      </c>
      <c r="BP48" s="193">
        <f t="shared" si="8"/>
        <v>-5.1783166619721044E-3</v>
      </c>
      <c r="BQ48" s="190" t="s">
        <v>3551</v>
      </c>
      <c r="BS48" s="198">
        <f t="shared" si="9"/>
        <v>88.704647541935643</v>
      </c>
      <c r="BT48" s="198">
        <f t="shared" si="10"/>
        <v>90.787352910206451</v>
      </c>
      <c r="BU48" s="198">
        <f t="shared" si="11"/>
        <v>2.0827053682708083</v>
      </c>
      <c r="BV48" s="199">
        <f t="shared" si="12"/>
        <v>2.3479100881227188E-2</v>
      </c>
      <c r="BX48" s="200">
        <f t="shared" si="17"/>
        <v>-86.027629983767881</v>
      </c>
      <c r="BY48" s="200">
        <f t="shared" si="18"/>
        <v>70.117691859640715</v>
      </c>
      <c r="BZ48" s="200">
        <f t="shared" si="15"/>
        <v>-15.909938124127166</v>
      </c>
      <c r="CA48" s="526">
        <f t="shared" si="16"/>
        <v>0</v>
      </c>
    </row>
    <row r="49" spans="2:79">
      <c r="B49" s="64" t="str">
        <f>'1-EO_Calcul Reporting'!B67</f>
        <v>E5690</v>
      </c>
      <c r="C49" s="64" t="str">
        <f>'1-EO_Calcul Reporting'!C67</f>
        <v>E5690</v>
      </c>
      <c r="D49" s="192" t="str">
        <f>'1-EO_Calcul Reporting'!D67</f>
        <v>Voie des monts</v>
      </c>
      <c r="E49" s="172">
        <f>_xll.LVCELL($D$1,E$3,$C49,$D$2,$C$4,$C$5,$C$6,$C$7,$C$8,$D$3)/1000</f>
        <v>3221.107</v>
      </c>
      <c r="F49" s="172">
        <f>_xll.LVCELL($D$1,F$3,$C49,$D$2,$C$4,$C$5,$C$6,$C$7,$C$8,$D$3)/1000</f>
        <v>2711.8270000000002</v>
      </c>
      <c r="G49" s="172">
        <f>_xll.LVCELL($D$1,G$3,$C49,$D$2,$C$4,$C$5,$C$6,$C$7,$C$8,$D$3)/1000</f>
        <v>2700.4110000000001</v>
      </c>
      <c r="H49" s="172">
        <f>_xll.LVCELL($D$1,H$3,$C49,$D$2,$C$4,$C$5,$C$6,$C$7,$C$8,$D$3)/1000</f>
        <v>2247.6179999999999</v>
      </c>
      <c r="I49" s="172">
        <f>_xll.LVCELL($D$1,I$3,$C49,$D$2,$C$4,$C$5,$C$6,$C$7,$C$8,$D$3)/1000</f>
        <v>2154.098</v>
      </c>
      <c r="J49" s="172">
        <f>_xll.LVCELL($D$1,J$3,$C49,$D$2,$C$4,$C$5,$C$6,$C$7,$C$8,$D$3)/1000</f>
        <v>1804.46</v>
      </c>
      <c r="K49" s="172">
        <f>_xll.LVCELL($D$1,K$3,$C49,$D$2,$C$4,$C$5,$C$6,$C$7,$C$8,$D$3)/1000</f>
        <v>1781.989</v>
      </c>
      <c r="L49" s="172">
        <f>_xll.LVCELL($D$1,L$3,$C49,$D$2,$C$4,$C$5,$C$6,$C$7,$C$8,$D$3)/1000</f>
        <v>1762.7760000000001</v>
      </c>
      <c r="M49" s="172">
        <f>_xll.LVCELL($D$1,M$3,$C49,$D$2,$C$4,$C$5,$C$6,$C$7,$C$8,$D$3)/1000</f>
        <v>2062.9180000000001</v>
      </c>
      <c r="N49" s="172">
        <f>_xll.LVCELL($D$1,N$3,$C49,$D$2,$C$4,$C$5,$C$6,$C$7,$C$8,$D$3)/1000</f>
        <v>2713.221</v>
      </c>
      <c r="O49" s="172">
        <f>_xll.LVCELL($D$1,O$3,$C49,$D$2,$C$4,$C$5,$C$6,$C$7,$C$8,$D$3)/1000</f>
        <v>2718.0479999999998</v>
      </c>
      <c r="P49" s="172">
        <f>_xll.LVCELL($D$1,P$3,$C49,$D$2,$C$4,$C$5,$C$6,$C$7,$C$8,$D$3)/1000</f>
        <v>3142.33</v>
      </c>
      <c r="Q49" s="172">
        <f>_xll.LVCELL($D$1,Q$2,$C49,$D$2,$C$4,$C$5,$C$6,$C$7,$C$8,$D$3)/1000</f>
        <v>29020.803</v>
      </c>
      <c r="R49" s="172">
        <f>_xll.LVCELL($D$1,R$3,$C49,$D$2,$C$4,$C$5,$C$6,$C$7,$C$8,$D$3)/1000</f>
        <v>3221.107</v>
      </c>
      <c r="S49" s="172">
        <f>_xll.LVCELL($D$1,S$3,$C49,$D$2,$C$4,$C$5,$C$6,$C$7,$C$8,$D$3)/1000</f>
        <v>2711.8270000000002</v>
      </c>
      <c r="T49" s="172">
        <f>_xll.LVCELL($D$1,T$3,$C49,$D$2,$C$4,$C$5,$C$6,$C$7,$C$8,$D$3)/1000</f>
        <v>2700.4110000000001</v>
      </c>
      <c r="U49" s="172">
        <f>_xll.LVCELL($D$1,U$3,$C49,$D$2,$C$4,$C$5,$C$6,$C$7,$C$8,$D$3)/1000</f>
        <v>2247.6179999999999</v>
      </c>
      <c r="V49" s="172">
        <f>_xll.LVCELL($D$1,V$3,$C49,$D$2,$C$4,$C$5,$C$6,$C$7,$C$8,$D$3)/1000</f>
        <v>2154.098</v>
      </c>
      <c r="W49" s="172">
        <f>_xll.LVCELL($D$1,W$3,$C49,$D$2,$C$4,$C$5,$C$6,$C$7,$C$8,$D$3)/1000</f>
        <v>1804.46</v>
      </c>
      <c r="X49" s="172">
        <f>_xll.LVCELL($D$1,X$3,$C49,$D$2,$C$4,$C$5,$C$6,$C$7,$C$8,$D$3)/1000</f>
        <v>1781.989</v>
      </c>
      <c r="Y49" s="172">
        <f>_xll.LVCELL($D$1,Y$3,$C49,$D$2,$C$4,$C$5,$C$6,$C$7,$C$8,$D$3)/1000</f>
        <v>1762.7760000000001</v>
      </c>
      <c r="Z49" s="172">
        <f>_xll.LVCELL($D$1,Z$3,$C49,$D$2,$C$4,$C$5,$C$6,$C$7,$C$8,$D$3)/1000</f>
        <v>2062.9180000000001</v>
      </c>
      <c r="AA49" s="172">
        <f>_xll.LVCELL($D$1,AA$3,$C49,$D$2,$C$4,$C$5,$C$6,$C$7,$C$8,$D$3)/1000</f>
        <v>2713.221</v>
      </c>
      <c r="AB49" s="172">
        <f>_xll.LVCELL($D$1,AB$3,$C49,$D$2,$C$4,$C$5,$C$6,$C$7,$C$8,$D$3)/1000</f>
        <v>2718.0479999999998</v>
      </c>
      <c r="AC49" s="172">
        <f>_xll.LVCELL($D$1,AC$3,$C49,$D$2,$C$4,$C$5,$C$6,$C$7,$C$8,$D$3)/1000</f>
        <v>3142.33</v>
      </c>
      <c r="AD49" s="172">
        <f>_xll.LVCELL($D$1,AD$2,$C49,$D$2,$C$4,$C$5,$C$6,$C$7,$C$8,$D$3)/1000</f>
        <v>29020.803</v>
      </c>
      <c r="AE49" s="172">
        <f t="shared" si="1"/>
        <v>0</v>
      </c>
      <c r="AF49" s="193">
        <f t="shared" si="2"/>
        <v>0</v>
      </c>
      <c r="AG49" s="535"/>
      <c r="AJ49" s="64" t="str">
        <f t="shared" si="3"/>
        <v>E5690</v>
      </c>
      <c r="AK49" s="64" t="str">
        <f t="shared" si="4"/>
        <v>E5690</v>
      </c>
      <c r="AL49" s="192" t="str">
        <f t="shared" si="5"/>
        <v>Voie des monts</v>
      </c>
      <c r="AM49" s="172">
        <f>_xll.LVCELL($AK$1,AM$3,$AK49,$AL$2,$AK$4,$AK$5,$AK$6,$AK$7,$AK$8,$AL$3)/1000</f>
        <v>280.25885674900002</v>
      </c>
      <c r="AN49" s="172">
        <f>_xll.LVCELL($AK$1,AN$3,$AK49,$AL$2,$AK$4,$AK$5,$AK$6,$AK$7,$AK$8,$AL$3)/1000</f>
        <v>235.94793178899999</v>
      </c>
      <c r="AO49" s="172">
        <f>_xll.LVCELL($AK$1,AO$3,$AK49,$AL$2,$AK$4,$AK$5,$AK$6,$AK$7,$AK$8,$AL$3)/1000</f>
        <v>234.95465987700001</v>
      </c>
      <c r="AP49" s="172">
        <f>_xll.LVCELL($AK$1,AP$3,$AK49,$AL$2,$AK$4,$AK$5,$AK$6,$AK$7,$AK$8,$AL$3)/1000</f>
        <v>195.558499326</v>
      </c>
      <c r="AQ49" s="172">
        <f>_xll.LVCELL($AK$1,AQ$3,$AK49,$AL$2,$AK$4,$AK$5,$AK$6,$AK$7,$AK$8,$AL$3)/1000</f>
        <v>187.42160468599999</v>
      </c>
      <c r="AR49" s="172">
        <f>_xll.LVCELL($AK$1,AR$3,$AK49,$AL$2,$AK$4,$AK$5,$AK$6,$AK$7,$AK$8,$AL$3)/1000</f>
        <v>157.00065122000001</v>
      </c>
      <c r="AS49" s="172">
        <f>_xll.LVCELL($AK$1,AS$3,$AK49,$AL$2,$AK$4,$AK$5,$AK$6,$AK$7,$AK$8,$AL$3)/1000</f>
        <v>155.04551692299998</v>
      </c>
      <c r="AT49" s="172">
        <f>_xll.LVCELL($AK$1,AT$3,$AK49,$AL$2,$AK$4,$AK$5,$AK$6,$AK$7,$AK$8,$AL$3)/1000</f>
        <v>153.37385143200001</v>
      </c>
      <c r="AU49" s="172">
        <f>_xll.LVCELL($AK$1,AU$3,$AK49,$AL$2,$AK$4,$AK$5,$AK$6,$AK$7,$AK$8,$AL$3)/1000</f>
        <v>179.48830642600001</v>
      </c>
      <c r="AV49" s="172">
        <f>_xll.LVCELL($AK$1,AV$3,$AK49,$AL$2,$AK$4,$AK$5,$AK$6,$AK$7,$AK$8,$AL$3)/1000</f>
        <v>236.06921954699999</v>
      </c>
      <c r="AW49" s="172">
        <f>_xll.LVCELL($AK$1,AW$3,$AK49,$AL$2,$AK$4,$AK$5,$AK$6,$AK$7,$AK$8,$AL$3)/1000</f>
        <v>237.43508303999999</v>
      </c>
      <c r="AX49" s="172">
        <f>_xll.LVCELL($AK$1,AX$3,$AK49,$AL$2,$AK$4,$AK$5,$AK$6,$AK$7,$AK$8,$AL$3)/1000</f>
        <v>274.49823715000002</v>
      </c>
      <c r="AY49" s="172">
        <f>_xll.LVCELL($AK$1,AY$2,$AK49,$AL$2,$AK$4,$AK$5,$AK$6,$AK$7,$AK$8,$AL$3)/1000</f>
        <v>2527.0524181650003</v>
      </c>
      <c r="AZ49" s="172">
        <f>_xll.LVCELL($AK$1,AZ$3,$AK49,$AL$2,$AK$4,$AK$5,$AK$6,$AK$7,$AK$8,$AL$3)/1000</f>
        <v>285.66031497176499</v>
      </c>
      <c r="BA49" s="172">
        <f>_xll.LVCELL($AK$1,BA$3,$AK49,$AL$2,$AK$4,$AK$5,$AK$6,$AK$7,$AK$8,$AL$3)/1000</f>
        <v>240.49538092616501</v>
      </c>
      <c r="BB49" s="172">
        <f>_xll.LVCELL($AK$1,BB$3,$AK49,$AL$2,$AK$4,$AK$5,$AK$6,$AK$7,$AK$8,$AL$3)/1000</f>
        <v>239.48296558084499</v>
      </c>
      <c r="BC49" s="172">
        <f>_xll.LVCELL($AK$1,BC$3,$AK49,$AL$2,$AK$4,$AK$5,$AK$6,$AK$7,$AK$8,$AL$3)/1000</f>
        <v>199.32751871210999</v>
      </c>
      <c r="BD49" s="172">
        <f>_xll.LVCELL($AK$1,BD$3,$AK49,$AL$2,$AK$4,$AK$5,$AK$6,$AK$7,$AK$8,$AL$3)/1000</f>
        <v>191.03380085171</v>
      </c>
      <c r="BE49" s="172">
        <f>_xll.LVCELL($AK$1,BE$3,$AK49,$AL$2,$AK$4,$AK$5,$AK$6,$AK$7,$AK$8,$AL$3)/1000</f>
        <v>160.02654117169999</v>
      </c>
      <c r="BF49" s="172">
        <f>_xll.LVCELL($AK$1,BF$3,$AK49,$AL$2,$AK$4,$AK$5,$AK$6,$AK$7,$AK$8,$AL$3)/1000</f>
        <v>158.033725367155</v>
      </c>
      <c r="BG49" s="172">
        <f>_xll.LVCELL($AK$1,BG$3,$AK49,$AL$2,$AK$4,$AK$5,$AK$6,$AK$7,$AK$8,$AL$3)/1000</f>
        <v>156.32984169252001</v>
      </c>
      <c r="BH49" s="172">
        <f>_xll.LVCELL($AK$1,BH$3,$AK49,$AL$2,$AK$4,$AK$5,$AK$6,$AK$7,$AK$8,$AL$3)/1000</f>
        <v>182.94760330561002</v>
      </c>
      <c r="BI49" s="172">
        <f>_xll.LVCELL($AK$1,BI$3,$AK49,$AL$2,$AK$4,$AK$5,$AK$6,$AK$7,$AK$8,$AL$3)/1000</f>
        <v>240.61900627579499</v>
      </c>
      <c r="BJ49" s="172">
        <f>_xll.LVCELL($AK$1,BJ$3,$AK49,$AL$2,$AK$4,$AK$5,$AK$6,$AK$7,$AK$8,$AL$3)/1000</f>
        <v>246.59116748400001</v>
      </c>
      <c r="BK49" s="172">
        <f>_xll.LVCELL($AK$1,BK$3,$AK49,$AL$2,$AK$4,$AK$5,$AK$6,$AK$7,$AK$8,$AL$3)/1000</f>
        <v>285.08356854624998</v>
      </c>
      <c r="BL49" s="172">
        <f>_xll.LVCELL($AK$1,BL$2,$AK49,$AL$2,$AK$4,$AK$5,$AK$6,$AK$7,$AK$8,$AL$3)/1000</f>
        <v>2585.6314348856249</v>
      </c>
      <c r="BM49" s="214">
        <f t="shared" si="6"/>
        <v>58.579016720624622</v>
      </c>
      <c r="BN49" s="217">
        <f t="shared" si="7"/>
        <v>0</v>
      </c>
      <c r="BO49" s="218">
        <f t="shared" si="7"/>
        <v>58.579016720624637</v>
      </c>
      <c r="BP49" s="193">
        <f t="shared" si="8"/>
        <v>2.318076835270455E-2</v>
      </c>
      <c r="BQ49" s="190"/>
      <c r="BS49" s="198">
        <f t="shared" si="9"/>
        <v>87.077274125219773</v>
      </c>
      <c r="BT49" s="198">
        <f t="shared" si="10"/>
        <v>89.095792245501443</v>
      </c>
      <c r="BU49" s="198">
        <f t="shared" si="11"/>
        <v>2.0185181202816693</v>
      </c>
      <c r="BV49" s="199">
        <f t="shared" si="12"/>
        <v>2.3180768352704505E-2</v>
      </c>
      <c r="BX49" s="200">
        <f t="shared" si="17"/>
        <v>0</v>
      </c>
      <c r="BY49" s="200">
        <f t="shared" si="18"/>
        <v>58.579016720624637</v>
      </c>
      <c r="BZ49" s="200">
        <f t="shared" si="15"/>
        <v>58.579016720624637</v>
      </c>
      <c r="CA49" s="526">
        <f t="shared" si="16"/>
        <v>0</v>
      </c>
    </row>
    <row r="50" spans="2:79">
      <c r="B50" s="64" t="str">
        <f>'1-EO_Calcul Reporting'!B68</f>
        <v>E5630</v>
      </c>
      <c r="C50" s="64" t="str">
        <f>'1-EO_Calcul Reporting'!C68</f>
        <v>E5630</v>
      </c>
      <c r="D50" s="192" t="s">
        <v>2645</v>
      </c>
      <c r="E50" s="172">
        <f>_xll.LVCELL($D$1,E$3,$C50,$D$2,$C$4,$C$5,$C$6,$C$7,$C$8,$D$3)/1000</f>
        <v>8105.2</v>
      </c>
      <c r="F50" s="172">
        <f>_xll.LVCELL($D$1,F$3,$C50,$D$2,$C$4,$C$5,$C$6,$C$7,$C$8,$D$3)/1000</f>
        <v>6580.04</v>
      </c>
      <c r="G50" s="172">
        <f>_xll.LVCELL($D$1,G$3,$C50,$D$2,$C$4,$C$5,$C$6,$C$7,$C$8,$D$3)/1000</f>
        <v>6297.8639999999996</v>
      </c>
      <c r="H50" s="172">
        <f>_xll.LVCELL($D$1,H$3,$C50,$D$2,$C$4,$C$5,$C$6,$C$7,$C$8,$D$3)/1000</f>
        <v>4995.6959999999999</v>
      </c>
      <c r="I50" s="172">
        <f>_xll.LVCELL($D$1,I$3,$C50,$D$2,$C$4,$C$5,$C$6,$C$7,$C$8,$D$3)/1000</f>
        <v>4642.87</v>
      </c>
      <c r="J50" s="172">
        <f>_xll.LVCELL($D$1,J$3,$C50,$D$2,$C$4,$C$5,$C$6,$C$7,$C$8,$D$3)/1000</f>
        <v>3740.88</v>
      </c>
      <c r="K50" s="172">
        <f>_xll.LVCELL($D$1,K$3,$C50,$D$2,$C$4,$C$5,$C$6,$C$7,$C$8,$D$3)/1000</f>
        <v>3611.0949999999998</v>
      </c>
      <c r="L50" s="172">
        <f>_xll.LVCELL($D$1,L$3,$C50,$D$2,$C$4,$C$5,$C$6,$C$7,$C$8,$D$3)/1000</f>
        <v>3611.0949999999998</v>
      </c>
      <c r="M50" s="172">
        <f>_xll.LVCELL($D$1,M$3,$C50,$D$2,$C$4,$C$5,$C$6,$C$7,$C$8,$D$3)/1000</f>
        <v>4583.567</v>
      </c>
      <c r="N50" s="172">
        <f>_xll.LVCELL($D$1,N$3,$C50,$D$2,$C$4,$C$5,$C$6,$C$7,$C$8,$D$3)/1000</f>
        <v>6567.9250000000002</v>
      </c>
      <c r="O50" s="172">
        <f>_xll.LVCELL($D$1,O$3,$C50,$D$2,$C$4,$C$5,$C$6,$C$7,$C$8,$D$3)/1000</f>
        <v>6731.3289999999997</v>
      </c>
      <c r="P50" s="172">
        <f>_xll.LVCELL($D$1,P$3,$C50,$D$2,$C$4,$C$5,$C$6,$C$7,$C$8,$D$3)/1000</f>
        <v>7843.7939999999999</v>
      </c>
      <c r="Q50" s="172">
        <f>_xll.LVCELL($D$1,Q$2,$C50,$D$2,$C$4,$C$5,$C$6,$C$7,$C$8,$D$3)/1000</f>
        <v>67311.354999999996</v>
      </c>
      <c r="R50" s="172">
        <f>_xll.LVCELL($D$1,R$3,$C50,$D$2,$C$4,$C$5,$C$6,$C$7,$C$8,$D$3)/1000</f>
        <v>7895.549</v>
      </c>
      <c r="S50" s="172">
        <f>_xll.LVCELL($D$1,S$3,$C50,$D$2,$C$4,$C$5,$C$6,$C$7,$C$8,$D$3)/1000</f>
        <v>6409.8389999999999</v>
      </c>
      <c r="T50" s="172">
        <f>_xll.LVCELL($D$1,T$3,$C50,$D$2,$C$4,$C$5,$C$6,$C$7,$C$8,$D$3)/1000</f>
        <v>6134.9610000000002</v>
      </c>
      <c r="U50" s="172">
        <f>_xll.LVCELL($D$1,U$3,$C50,$D$2,$C$4,$C$5,$C$6,$C$7,$C$8,$D$3)/1000</f>
        <v>4866.4759999999997</v>
      </c>
      <c r="V50" s="172">
        <f>_xll.LVCELL($D$1,V$3,$C50,$D$2,$C$4,$C$5,$C$6,$C$7,$C$8,$D$3)/1000</f>
        <v>4522.7759999999998</v>
      </c>
      <c r="W50" s="172">
        <f>_xll.LVCELL($D$1,W$3,$C50,$D$2,$C$4,$C$5,$C$6,$C$7,$C$8,$D$3)/1000</f>
        <v>3644.1179999999999</v>
      </c>
      <c r="X50" s="172">
        <f>_xll.LVCELL($D$1,X$3,$C50,$D$2,$C$4,$C$5,$C$6,$C$7,$C$8,$D$3)/1000</f>
        <v>3517.6889999999999</v>
      </c>
      <c r="Y50" s="172">
        <f>_xll.LVCELL($D$1,Y$3,$C50,$D$2,$C$4,$C$5,$C$6,$C$7,$C$8,$D$3)/1000</f>
        <v>3517.6889999999999</v>
      </c>
      <c r="Z50" s="172">
        <f>_xll.LVCELL($D$1,Z$3,$C50,$D$2,$C$4,$C$5,$C$6,$C$7,$C$8,$D$3)/1000</f>
        <v>4465.0069999999996</v>
      </c>
      <c r="AA50" s="172">
        <f>_xll.LVCELL($D$1,AA$3,$C50,$D$2,$C$4,$C$5,$C$6,$C$7,$C$8,$D$3)/1000</f>
        <v>6398.0379999999996</v>
      </c>
      <c r="AB50" s="172">
        <f>_xll.LVCELL($D$1,AB$3,$C50,$D$2,$C$4,$C$5,$C$6,$C$7,$C$8,$D$3)/1000</f>
        <v>6557.2139999999999</v>
      </c>
      <c r="AC50" s="172">
        <f>_xll.LVCELL($D$1,AC$3,$C50,$D$2,$C$4,$C$5,$C$6,$C$7,$C$8,$D$3)/1000</f>
        <v>7640.9040000000005</v>
      </c>
      <c r="AD50" s="172">
        <f>_xll.LVCELL($D$1,AD$2,$C50,$D$2,$C$4,$C$5,$C$6,$C$7,$C$8,$D$3)/1000</f>
        <v>65570.259999999995</v>
      </c>
      <c r="AE50" s="172">
        <f t="shared" si="1"/>
        <v>-1741.0950000000012</v>
      </c>
      <c r="AF50" s="193">
        <f t="shared" si="2"/>
        <v>-2.5866289573282297E-2</v>
      </c>
      <c r="AG50" s="535"/>
      <c r="AJ50" s="64" t="str">
        <f t="shared" si="3"/>
        <v>E5630</v>
      </c>
      <c r="AK50" s="64" t="str">
        <f t="shared" si="4"/>
        <v>E5630</v>
      </c>
      <c r="AL50" s="192" t="str">
        <f t="shared" si="5"/>
        <v>Monts de Bagny 1/2</v>
      </c>
      <c r="AM50" s="172">
        <f>_xll.LVCELL($AK$1,AM$3,$AK50,$AL$2,$AK$4,$AK$5,$AK$6,$AK$7,$AK$8,$AL$3)/1000</f>
        <v>713.18465319999996</v>
      </c>
      <c r="AN50" s="172">
        <f>_xll.LVCELL($AK$1,AN$3,$AK50,$AL$2,$AK$4,$AK$5,$AK$6,$AK$7,$AK$8,$AL$3)/1000</f>
        <v>578.98429964000002</v>
      </c>
      <c r="AO50" s="172">
        <f>_xll.LVCELL($AK$1,AO$3,$AK50,$AL$2,$AK$4,$AK$5,$AK$6,$AK$7,$AK$8,$AL$3)/1000</f>
        <v>554.15535122400001</v>
      </c>
      <c r="AP50" s="172">
        <f>_xll.LVCELL($AK$1,AP$3,$AK50,$AL$2,$AK$4,$AK$5,$AK$6,$AK$7,$AK$8,$AL$3)/1000</f>
        <v>439.57628673599999</v>
      </c>
      <c r="AQ50" s="172">
        <f>_xll.LVCELL($AK$1,AQ$3,$AK50,$AL$2,$AK$4,$AK$5,$AK$6,$AK$7,$AK$8,$AL$3)/1000</f>
        <v>408.53077416999997</v>
      </c>
      <c r="AR50" s="172">
        <f>_xll.LVCELL($AK$1,AR$3,$AK50,$AL$2,$AK$4,$AK$5,$AK$6,$AK$7,$AK$8,$AL$3)/1000</f>
        <v>329.16377208</v>
      </c>
      <c r="AS50" s="172">
        <f>_xll.LVCELL($AK$1,AS$3,$AK50,$AL$2,$AK$4,$AK$5,$AK$6,$AK$7,$AK$8,$AL$3)/1000</f>
        <v>317.74386014499999</v>
      </c>
      <c r="AT50" s="172">
        <f>_xll.LVCELL($AK$1,AT$3,$AK50,$AL$2,$AK$4,$AK$5,$AK$6,$AK$7,$AK$8,$AL$3)/1000</f>
        <v>317.74386014499999</v>
      </c>
      <c r="AU50" s="172">
        <f>_xll.LVCELL($AK$1,AU$3,$AK50,$AL$2,$AK$4,$AK$5,$AK$6,$AK$7,$AK$8,$AL$3)/1000</f>
        <v>403.31264389699999</v>
      </c>
      <c r="AV50" s="172">
        <f>_xll.LVCELL($AK$1,AV$3,$AK50,$AL$2,$AK$4,$AK$5,$AK$6,$AK$7,$AK$8,$AL$3)/1000</f>
        <v>577.91828867499999</v>
      </c>
      <c r="AW50" s="172">
        <f>_xll.LVCELL($AK$1,AW$3,$AK50,$AL$2,$AK$4,$AK$5,$AK$6,$AK$7,$AK$8,$AL$3)/1000</f>
        <v>594.66579784699991</v>
      </c>
      <c r="AX50" s="172">
        <f>_xll.LVCELL($AK$1,AX$3,$AK50,$AL$2,$AK$4,$AK$5,$AK$6,$AK$7,$AK$8,$AL$3)/1000</f>
        <v>692.94429334200004</v>
      </c>
      <c r="AY50" s="172">
        <f>_xll.LVCELL($AK$1,AY$2,$AK50,$AL$2,$AK$4,$AK$5,$AK$6,$AK$7,$AK$8,$AL$3)/1000</f>
        <v>5927.923881101</v>
      </c>
      <c r="AZ50" s="172">
        <f>_xll.LVCELL($AK$1,AZ$3,$AK50,$AL$2,$AK$4,$AK$5,$AK$6,$AK$7,$AK$8,$AL$3)/1000</f>
        <v>708.12351584903104</v>
      </c>
      <c r="BA50" s="172">
        <f>_xll.LVCELL($AK$1,BA$3,$AK50,$AL$2,$AK$4,$AK$5,$AK$6,$AK$7,$AK$8,$AL$3)/1000</f>
        <v>574.87550627654105</v>
      </c>
      <c r="BB50" s="172">
        <f>_xll.LVCELL($AK$1,BB$3,$AK50,$AL$2,$AK$4,$AK$5,$AK$6,$AK$7,$AK$8,$AL$3)/1000</f>
        <v>550.22268279465902</v>
      </c>
      <c r="BC50" s="172">
        <f>_xll.LVCELL($AK$1,BC$3,$AK50,$AL$2,$AK$4,$AK$5,$AK$6,$AK$7,$AK$8,$AL$3)/1000</f>
        <v>436.456805589444</v>
      </c>
      <c r="BD50" s="172">
        <f>_xll.LVCELL($AK$1,BD$3,$AK50,$AL$2,$AK$4,$AK$5,$AK$6,$AK$7,$AK$8,$AL$3)/1000</f>
        <v>405.63158337914405</v>
      </c>
      <c r="BE50" s="172">
        <f>_xll.LVCELL($AK$1,BE$3,$AK50,$AL$2,$AK$4,$AK$5,$AK$6,$AK$7,$AK$8,$AL$3)/1000</f>
        <v>326.82789383344203</v>
      </c>
      <c r="BF50" s="172">
        <f>_xll.LVCELL($AK$1,BF$3,$AK50,$AL$2,$AK$4,$AK$5,$AK$6,$AK$7,$AK$8,$AL$3)/1000</f>
        <v>315.48892956569097</v>
      </c>
      <c r="BG50" s="172">
        <f>_xll.LVCELL($AK$1,BG$3,$AK50,$AL$2,$AK$4,$AK$5,$AK$6,$AK$7,$AK$8,$AL$3)/1000</f>
        <v>315.48892956569097</v>
      </c>
      <c r="BH50" s="172">
        <f>_xll.LVCELL($AK$1,BH$3,$AK50,$AL$2,$AK$4,$AK$5,$AK$6,$AK$7,$AK$8,$AL$3)/1000</f>
        <v>400.45048863993298</v>
      </c>
      <c r="BI50" s="172">
        <f>_xll.LVCELL($AK$1,BI$3,$AK50,$AL$2,$AK$4,$AK$5,$AK$6,$AK$7,$AK$8,$AL$3)/1000</f>
        <v>573.81711684592199</v>
      </c>
      <c r="BJ50" s="172">
        <f>_xll.LVCELL($AK$1,BJ$3,$AK50,$AL$2,$AK$4,$AK$5,$AK$6,$AK$7,$AK$8,$AL$3)/1000</f>
        <v>601.61918462929805</v>
      </c>
      <c r="BK50" s="172">
        <f>_xll.LVCELL($AK$1,BK$3,$AK50,$AL$2,$AK$4,$AK$5,$AK$6,$AK$7,$AK$8,$AL$3)/1000</f>
        <v>701.046882763128</v>
      </c>
      <c r="BL50" s="172">
        <f>_xll.LVCELL($AK$1,BL$2,$AK50,$AL$2,$AK$4,$AK$5,$AK$6,$AK$7,$AK$8,$AL$3)/1000</f>
        <v>5910.0495197319242</v>
      </c>
      <c r="BM50" s="214">
        <f t="shared" si="6"/>
        <v>-17.874361369075814</v>
      </c>
      <c r="BN50" s="217">
        <f t="shared" si="7"/>
        <v>-153.33339567693375</v>
      </c>
      <c r="BO50" s="218">
        <f t="shared" si="7"/>
        <v>135.45903430785742</v>
      </c>
      <c r="BP50" s="193">
        <f t="shared" si="8"/>
        <v>-3.0152818638683465E-3</v>
      </c>
      <c r="BQ50" s="190" t="s">
        <v>3560</v>
      </c>
      <c r="BS50" s="198">
        <f t="shared" si="9"/>
        <v>88.067219581317303</v>
      </c>
      <c r="BT50" s="198">
        <f t="shared" si="10"/>
        <v>90.133080450373754</v>
      </c>
      <c r="BU50" s="198">
        <f t="shared" si="11"/>
        <v>2.0658608690564506</v>
      </c>
      <c r="BV50" s="199">
        <f t="shared" si="12"/>
        <v>2.3457773265442173E-2</v>
      </c>
      <c r="BX50" s="200">
        <f t="shared" si="17"/>
        <v>-153.33339567693375</v>
      </c>
      <c r="BY50" s="200">
        <f t="shared" si="18"/>
        <v>135.45903430785742</v>
      </c>
      <c r="BZ50" s="200">
        <f t="shared" si="15"/>
        <v>-17.874361369076325</v>
      </c>
      <c r="CA50" s="526">
        <f t="shared" si="16"/>
        <v>5.1159076974727213E-13</v>
      </c>
    </row>
    <row r="51" spans="2:79">
      <c r="B51" s="64" t="str">
        <f>'1-EO_Calcul Reporting'!B70</f>
        <v>E5640</v>
      </c>
      <c r="C51" s="64" t="str">
        <f>'1-EO_Calcul Reporting'!C70</f>
        <v>E5640</v>
      </c>
      <c r="D51" s="192" t="str">
        <f>'1-EO_Calcul Reporting'!D70</f>
        <v>Artois 1</v>
      </c>
      <c r="E51" s="172">
        <f>_xll.LVCELL($D$1,E$3,$C51,$D$2,$C$4,$C$5,$C$6,$C$7,$C$8,$D$3)/1000</f>
        <v>7009.2659999999996</v>
      </c>
      <c r="F51" s="172">
        <f>_xll.LVCELL($D$1,F$3,$C51,$D$2,$C$4,$C$5,$C$6,$C$7,$C$8,$D$3)/1000</f>
        <v>5787.2280000000001</v>
      </c>
      <c r="G51" s="172">
        <f>_xll.LVCELL($D$1,G$3,$C51,$D$2,$C$4,$C$5,$C$6,$C$7,$C$8,$D$3)/1000</f>
        <v>5590.4719999999998</v>
      </c>
      <c r="H51" s="172">
        <f>_xll.LVCELL($D$1,H$3,$C51,$D$2,$C$4,$C$5,$C$6,$C$7,$C$8,$D$3)/1000</f>
        <v>4519.22</v>
      </c>
      <c r="I51" s="172">
        <f>_xll.LVCELL($D$1,I$3,$C51,$D$2,$C$4,$C$5,$C$6,$C$7,$C$8,$D$3)/1000</f>
        <v>4359.1379999999999</v>
      </c>
      <c r="J51" s="172">
        <f>_xll.LVCELL($D$1,J$3,$C51,$D$2,$C$4,$C$5,$C$6,$C$7,$C$8,$D$3)/1000</f>
        <v>3725.2249999999999</v>
      </c>
      <c r="K51" s="172">
        <f>_xll.LVCELL($D$1,K$3,$C51,$D$2,$C$4,$C$5,$C$6,$C$7,$C$8,$D$3)/1000</f>
        <v>3718.433</v>
      </c>
      <c r="L51" s="172">
        <f>_xll.LVCELL($D$1,L$3,$C51,$D$2,$C$4,$C$5,$C$6,$C$7,$C$8,$D$3)/1000</f>
        <v>3687.6179999999999</v>
      </c>
      <c r="M51" s="172">
        <f>_xll.LVCELL($D$1,M$3,$C51,$D$2,$C$4,$C$5,$C$6,$C$7,$C$8,$D$3)/1000</f>
        <v>4252.07</v>
      </c>
      <c r="N51" s="172">
        <f>_xll.LVCELL($D$1,N$3,$C51,$D$2,$C$4,$C$5,$C$6,$C$7,$C$8,$D$3)/1000</f>
        <v>5699.61</v>
      </c>
      <c r="O51" s="172">
        <f>_xll.LVCELL($D$1,O$3,$C51,$D$2,$C$4,$C$5,$C$6,$C$7,$C$8,$D$3)/1000</f>
        <v>5840.0590000000002</v>
      </c>
      <c r="P51" s="172">
        <f>_xll.LVCELL($D$1,P$3,$C51,$D$2,$C$4,$C$5,$C$6,$C$7,$C$8,$D$3)/1000</f>
        <v>6815.3860000000004</v>
      </c>
      <c r="Q51" s="172">
        <f>_xll.LVCELL($D$1,Q$2,$C51,$D$2,$C$4,$C$5,$C$6,$C$7,$C$8,$D$3)/1000</f>
        <v>61003.724999999999</v>
      </c>
      <c r="R51" s="172">
        <f>_xll.LVCELL($D$1,R$3,$C51,$D$2,$C$4,$C$5,$C$6,$C$7,$C$8,$D$3)/1000</f>
        <v>6797.5730000000003</v>
      </c>
      <c r="S51" s="172">
        <f>_xll.LVCELL($D$1,S$3,$C51,$D$2,$C$4,$C$5,$C$6,$C$7,$C$8,$D$3)/1000</f>
        <v>5612.4430000000002</v>
      </c>
      <c r="T51" s="172">
        <f>_xll.LVCELL($D$1,T$3,$C51,$D$2,$C$4,$C$5,$C$6,$C$7,$C$8,$D$3)/1000</f>
        <v>5421.6289999999999</v>
      </c>
      <c r="U51" s="172">
        <f>_xll.LVCELL($D$1,U$3,$C51,$D$2,$C$4,$C$5,$C$6,$C$7,$C$8,$D$3)/1000</f>
        <v>4382.7309999999998</v>
      </c>
      <c r="V51" s="172">
        <f>_xll.LVCELL($D$1,V$3,$C51,$D$2,$C$4,$C$5,$C$6,$C$7,$C$8,$D$3)/1000</f>
        <v>4227.4840000000004</v>
      </c>
      <c r="W51" s="172">
        <f>_xll.LVCELL($D$1,W$3,$C51,$D$2,$C$4,$C$5,$C$6,$C$7,$C$8,$D$3)/1000</f>
        <v>3612.7159999999999</v>
      </c>
      <c r="X51" s="172">
        <f>_xll.LVCELL($D$1,X$3,$C51,$D$2,$C$4,$C$5,$C$6,$C$7,$C$8,$D$3)/1000</f>
        <v>3606.13</v>
      </c>
      <c r="Y51" s="172">
        <f>_xll.LVCELL($D$1,Y$3,$C51,$D$2,$C$4,$C$5,$C$6,$C$7,$C$8,$D$3)/1000</f>
        <v>3576.2449999999999</v>
      </c>
      <c r="Z51" s="172">
        <f>_xll.LVCELL($D$1,Z$3,$C51,$D$2,$C$4,$C$5,$C$6,$C$7,$C$8,$D$3)/1000</f>
        <v>4123.6490000000003</v>
      </c>
      <c r="AA51" s="172">
        <f>_xll.LVCELL($D$1,AA$3,$C51,$D$2,$C$4,$C$5,$C$6,$C$7,$C$8,$D$3)/1000</f>
        <v>5527.4709999999995</v>
      </c>
      <c r="AB51" s="172">
        <f>_xll.LVCELL($D$1,AB$3,$C51,$D$2,$C$4,$C$5,$C$6,$C$7,$C$8,$D$3)/1000</f>
        <v>5663.6779999999999</v>
      </c>
      <c r="AC51" s="172">
        <f>_xll.LVCELL($D$1,AC$3,$C51,$D$2,$C$4,$C$5,$C$6,$C$7,$C$8,$D$3)/1000</f>
        <v>6609.5479999999998</v>
      </c>
      <c r="AD51" s="172">
        <f>_xll.LVCELL($D$1,AD$2,$C51,$D$2,$C$4,$C$5,$C$6,$C$7,$C$8,$D$3)/1000</f>
        <v>59161.296999999999</v>
      </c>
      <c r="AE51" s="172">
        <f t="shared" si="1"/>
        <v>-1842.4279999999999</v>
      </c>
      <c r="AF51" s="193">
        <f t="shared" si="2"/>
        <v>-3.0201893408968061E-2</v>
      </c>
      <c r="AG51" s="535"/>
      <c r="AJ51" s="64" t="str">
        <f t="shared" si="3"/>
        <v>E5640</v>
      </c>
      <c r="AK51" s="64" t="str">
        <f t="shared" si="4"/>
        <v>E5640</v>
      </c>
      <c r="AL51" s="192" t="str">
        <f t="shared" si="5"/>
        <v>Artois 1</v>
      </c>
      <c r="AM51" s="172">
        <f>_xll.LVCELL($AK$1,AM$3,$AK51,$AL$2,$AK$4,$AK$5,$AK$6,$AK$7,$AK$8,$AL$3)/1000</f>
        <v>610.34585548200005</v>
      </c>
      <c r="AN51" s="172">
        <f>_xll.LVCELL($AK$1,AN$3,$AK51,$AL$2,$AK$4,$AK$5,$AK$6,$AK$7,$AK$8,$AL$3)/1000</f>
        <v>503.934452556</v>
      </c>
      <c r="AO51" s="172">
        <f>_xll.LVCELL($AK$1,AO$3,$AK51,$AL$2,$AK$4,$AK$5,$AK$6,$AK$7,$AK$8,$AL$3)/1000</f>
        <v>486.80153034400001</v>
      </c>
      <c r="AP51" s="172">
        <f>_xll.LVCELL($AK$1,AP$3,$AK51,$AL$2,$AK$4,$AK$5,$AK$6,$AK$7,$AK$8,$AL$3)/1000</f>
        <v>393.52011994000003</v>
      </c>
      <c r="AQ51" s="172">
        <f>_xll.LVCELL($AK$1,AQ$3,$AK51,$AL$2,$AK$4,$AK$5,$AK$6,$AK$7,$AK$8,$AL$3)/1000</f>
        <v>379.580659626</v>
      </c>
      <c r="AR51" s="172">
        <f>_xll.LVCELL($AK$1,AR$3,$AK51,$AL$2,$AK$4,$AK$5,$AK$6,$AK$7,$AK$8,$AL$3)/1000</f>
        <v>324.38141732499997</v>
      </c>
      <c r="AS51" s="172">
        <f>_xll.LVCELL($AK$1,AS$3,$AK51,$AL$2,$AK$4,$AK$5,$AK$6,$AK$7,$AK$8,$AL$3)/1000</f>
        <v>323.78999034100002</v>
      </c>
      <c r="AT51" s="172">
        <f>_xll.LVCELL($AK$1,AT$3,$AK51,$AL$2,$AK$4,$AK$5,$AK$6,$AK$7,$AK$8,$AL$3)/1000</f>
        <v>321.10671258599996</v>
      </c>
      <c r="AU51" s="172">
        <f>_xll.LVCELL($AK$1,AU$3,$AK51,$AL$2,$AK$4,$AK$5,$AK$6,$AK$7,$AK$8,$AL$3)/1000</f>
        <v>370.25749939000002</v>
      </c>
      <c r="AV51" s="172">
        <f>_xll.LVCELL($AK$1,AV$3,$AK51,$AL$2,$AK$4,$AK$5,$AK$6,$AK$7,$AK$8,$AL$3)/1000</f>
        <v>496.30493997000002</v>
      </c>
      <c r="AW51" s="172">
        <f>_xll.LVCELL($AK$1,AW$3,$AK51,$AL$2,$AK$4,$AK$5,$AK$6,$AK$7,$AK$8,$AL$3)/1000</f>
        <v>510.56715807500001</v>
      </c>
      <c r="AX51" s="172">
        <f>_xll.LVCELL($AK$1,AX$3,$AK51,$AL$2,$AK$4,$AK$5,$AK$6,$AK$7,$AK$8,$AL$3)/1000</f>
        <v>595.83512105</v>
      </c>
      <c r="AY51" s="172">
        <f>_xll.LVCELL($AK$1,AY$2,$AK51,$AL$2,$AK$4,$AK$5,$AK$6,$AK$7,$AK$8,$AL$3)/1000</f>
        <v>5316.4254566850004</v>
      </c>
      <c r="AZ51" s="172">
        <f>_xll.LVCELL($AK$1,AZ$3,$AK51,$AL$2,$AK$4,$AK$5,$AK$6,$AK$7,$AK$8,$AL$3)/1000</f>
        <v>603.32216034082501</v>
      </c>
      <c r="BA51" s="172">
        <f>_xll.LVCELL($AK$1,BA$3,$AK51,$AL$2,$AK$4,$AK$5,$AK$6,$AK$7,$AK$8,$AL$3)/1000</f>
        <v>498.13532499757503</v>
      </c>
      <c r="BB51" s="172">
        <f>_xll.LVCELL($AK$1,BB$3,$AK51,$AL$2,$AK$4,$AK$5,$AK$6,$AK$7,$AK$8,$AL$3)/1000</f>
        <v>481.199528250225</v>
      </c>
      <c r="BC51" s="172">
        <f>_xll.LVCELL($AK$1,BC$3,$AK51,$AL$2,$AK$4,$AK$5,$AK$6,$AK$7,$AK$8,$AL$3)/1000</f>
        <v>388.99159083877498</v>
      </c>
      <c r="BD51" s="172">
        <f>_xll.LVCELL($AK$1,BD$3,$AK51,$AL$2,$AK$4,$AK$5,$AK$6,$AK$7,$AK$8,$AL$3)/1000</f>
        <v>375.21256184909998</v>
      </c>
      <c r="BE51" s="172">
        <f>_xll.LVCELL($AK$1,BE$3,$AK51,$AL$2,$AK$4,$AK$5,$AK$6,$AK$7,$AK$8,$AL$3)/1000</f>
        <v>320.64850525589998</v>
      </c>
      <c r="BF51" s="172">
        <f>_xll.LVCELL($AK$1,BF$3,$AK51,$AL$2,$AK$4,$AK$5,$AK$6,$AK$7,$AK$8,$AL$3)/1000</f>
        <v>320.06396136825003</v>
      </c>
      <c r="BG51" s="172">
        <f>_xll.LVCELL($AK$1,BG$3,$AK51,$AL$2,$AK$4,$AK$5,$AK$6,$AK$7,$AK$8,$AL$3)/1000</f>
        <v>317.411502503625</v>
      </c>
      <c r="BH51" s="172">
        <f>_xll.LVCELL($AK$1,BH$3,$AK51,$AL$2,$AK$4,$AK$5,$AK$6,$AK$7,$AK$8,$AL$3)/1000</f>
        <v>365.996631910725</v>
      </c>
      <c r="BI51" s="172">
        <f>_xll.LVCELL($AK$1,BI$3,$AK51,$AL$2,$AK$4,$AK$5,$AK$6,$AK$7,$AK$8,$AL$3)/1000</f>
        <v>490.59359052727501</v>
      </c>
      <c r="BJ51" s="172">
        <f>_xll.LVCELL($AK$1,BJ$3,$AK51,$AL$2,$AK$4,$AK$5,$AK$6,$AK$7,$AK$8,$AL$3)/1000</f>
        <v>514.24441632555602</v>
      </c>
      <c r="BK51" s="172">
        <f>_xll.LVCELL($AK$1,BK$3,$AK51,$AL$2,$AK$4,$AK$5,$AK$6,$AK$7,$AK$8,$AL$3)/1000</f>
        <v>600.12648202029607</v>
      </c>
      <c r="BL51" s="172">
        <f>_xll.LVCELL($AK$1,BL$2,$AK51,$AL$2,$AK$4,$AK$5,$AK$6,$AK$7,$AK$8,$AL$3)/1000</f>
        <v>5275.9462561881282</v>
      </c>
      <c r="BM51" s="214">
        <f t="shared" si="6"/>
        <v>-40.479200496872181</v>
      </c>
      <c r="BN51" s="217">
        <f t="shared" si="7"/>
        <v>-160.56611495952473</v>
      </c>
      <c r="BO51" s="218">
        <f t="shared" si="7"/>
        <v>120.08691446265212</v>
      </c>
      <c r="BP51" s="193">
        <f t="shared" si="8"/>
        <v>-7.6139881630377104E-3</v>
      </c>
      <c r="BQ51" s="190" t="s">
        <v>3560</v>
      </c>
      <c r="BS51" s="198">
        <f t="shared" si="9"/>
        <v>87.149193867833489</v>
      </c>
      <c r="BT51" s="198">
        <f t="shared" si="10"/>
        <v>89.17901607512303</v>
      </c>
      <c r="BU51" s="198">
        <f t="shared" si="11"/>
        <v>2.0298222072895413</v>
      </c>
      <c r="BV51" s="199">
        <f t="shared" si="12"/>
        <v>2.3291348057308224E-2</v>
      </c>
      <c r="BX51" s="200">
        <f t="shared" si="17"/>
        <v>-160.56611495952473</v>
      </c>
      <c r="BY51" s="200">
        <f t="shared" si="18"/>
        <v>120.08691446265212</v>
      </c>
      <c r="BZ51" s="200">
        <f t="shared" si="15"/>
        <v>-40.479200496872608</v>
      </c>
      <c r="CA51" s="526">
        <f t="shared" si="16"/>
        <v>4.2632564145606011E-13</v>
      </c>
    </row>
    <row r="52" spans="2:79">
      <c r="B52" s="64" t="str">
        <f>'1-EO_Calcul Reporting'!B72</f>
        <v>E5620</v>
      </c>
      <c r="C52" s="64" t="str">
        <f>'1-EO_Calcul Reporting'!C72</f>
        <v>E5620</v>
      </c>
      <c r="D52" s="192" t="str">
        <f>'1-EO_Calcul Reporting'!D72</f>
        <v>Chemin de Grès</v>
      </c>
      <c r="E52" s="172">
        <f>_xll.LVCELL($D$1,E$3,$C52,$D$2,$C$4,$C$5,$C$6,$C$7,$C$8,$D$3)/1000</f>
        <v>8625.1290000000008</v>
      </c>
      <c r="F52" s="172">
        <f>_xll.LVCELL($D$1,F$3,$C52,$D$2,$C$4,$C$5,$C$6,$C$7,$C$8,$D$3)/1000</f>
        <v>7011.0290000000005</v>
      </c>
      <c r="G52" s="172">
        <f>_xll.LVCELL($D$1,G$3,$C52,$D$2,$C$4,$C$5,$C$6,$C$7,$C$8,$D$3)/1000</f>
        <v>6725.5039999999999</v>
      </c>
      <c r="H52" s="172">
        <f>_xll.LVCELL($D$1,H$3,$C52,$D$2,$C$4,$C$5,$C$6,$C$7,$C$8,$D$3)/1000</f>
        <v>5386.009</v>
      </c>
      <c r="I52" s="172">
        <f>_xll.LVCELL($D$1,I$3,$C52,$D$2,$C$4,$C$5,$C$6,$C$7,$C$8,$D$3)/1000</f>
        <v>5074.0889999999999</v>
      </c>
      <c r="J52" s="172">
        <f>_xll.LVCELL($D$1,J$3,$C52,$D$2,$C$4,$C$5,$C$6,$C$7,$C$8,$D$3)/1000</f>
        <v>4223.4309999999996</v>
      </c>
      <c r="K52" s="172">
        <f>_xll.LVCELL($D$1,K$3,$C52,$D$2,$C$4,$C$5,$C$6,$C$7,$C$8,$D$3)/1000</f>
        <v>4145.7879999999996</v>
      </c>
      <c r="L52" s="172">
        <f>_xll.LVCELL($D$1,L$3,$C52,$D$2,$C$4,$C$5,$C$6,$C$7,$C$8,$D$3)/1000</f>
        <v>4160.6809999999996</v>
      </c>
      <c r="M52" s="172">
        <f>_xll.LVCELL($D$1,M$3,$C52,$D$2,$C$4,$C$5,$C$6,$C$7,$C$8,$D$3)/1000</f>
        <v>5072.1450000000004</v>
      </c>
      <c r="N52" s="172">
        <f>_xll.LVCELL($D$1,N$3,$C52,$D$2,$C$4,$C$5,$C$6,$C$7,$C$8,$D$3)/1000</f>
        <v>7086.2349999999997</v>
      </c>
      <c r="O52" s="172">
        <f>_xll.LVCELL($D$1,O$3,$C52,$D$2,$C$4,$C$5,$C$6,$C$7,$C$8,$D$3)/1000</f>
        <v>7259.5839999999998</v>
      </c>
      <c r="P52" s="172">
        <f>_xll.LVCELL($D$1,P$3,$C52,$D$2,$C$4,$C$5,$C$6,$C$7,$C$8,$D$3)/1000</f>
        <v>8375.2649999999994</v>
      </c>
      <c r="Q52" s="172">
        <f>_xll.LVCELL($D$1,Q$2,$C52,$D$2,$C$4,$C$5,$C$6,$C$7,$C$8,$D$3)/1000</f>
        <v>73144.888999999996</v>
      </c>
      <c r="R52" s="172">
        <f>_xll.LVCELL($D$1,R$3,$C52,$D$2,$C$4,$C$5,$C$6,$C$7,$C$8,$D$3)/1000</f>
        <v>8874.7510000000002</v>
      </c>
      <c r="S52" s="172">
        <f>_xll.LVCELL($D$1,S$3,$C52,$D$2,$C$4,$C$5,$C$6,$C$7,$C$8,$D$3)/1000</f>
        <v>7213.9369999999999</v>
      </c>
      <c r="T52" s="172">
        <f>_xll.LVCELL($D$1,T$3,$C52,$D$2,$C$4,$C$5,$C$6,$C$7,$C$8,$D$3)/1000</f>
        <v>6920.1490000000003</v>
      </c>
      <c r="U52" s="172">
        <f>_xll.LVCELL($D$1,U$3,$C52,$D$2,$C$4,$C$5,$C$6,$C$7,$C$8,$D$3)/1000</f>
        <v>5541.8860000000004</v>
      </c>
      <c r="V52" s="172">
        <f>_xll.LVCELL($D$1,V$3,$C52,$D$2,$C$4,$C$5,$C$6,$C$7,$C$8,$D$3)/1000</f>
        <v>5220.9390000000003</v>
      </c>
      <c r="W52" s="172">
        <f>_xll.LVCELL($D$1,W$3,$C52,$D$2,$C$4,$C$5,$C$6,$C$7,$C$8,$D$3)/1000</f>
        <v>4345.6620000000003</v>
      </c>
      <c r="X52" s="172">
        <f>_xll.LVCELL($D$1,X$3,$C52,$D$2,$C$4,$C$5,$C$6,$C$7,$C$8,$D$3)/1000</f>
        <v>4265.7719999999999</v>
      </c>
      <c r="Y52" s="172">
        <f>_xll.LVCELL($D$1,Y$3,$C52,$D$2,$C$4,$C$5,$C$6,$C$7,$C$8,$D$3)/1000</f>
        <v>4281.0959999999995</v>
      </c>
      <c r="Z52" s="172">
        <f>_xll.LVCELL($D$1,Z$3,$C52,$D$2,$C$4,$C$5,$C$6,$C$7,$C$8,$D$3)/1000</f>
        <v>5218.9390000000003</v>
      </c>
      <c r="AA52" s="172">
        <f>_xll.LVCELL($D$1,AA$3,$C52,$D$2,$C$4,$C$5,$C$6,$C$7,$C$8,$D$3)/1000</f>
        <v>7291.3190000000004</v>
      </c>
      <c r="AB52" s="172">
        <f>_xll.LVCELL($D$1,AB$3,$C52,$D$2,$C$4,$C$5,$C$6,$C$7,$C$8,$D$3)/1000</f>
        <v>7469.6859999999997</v>
      </c>
      <c r="AC52" s="172">
        <f>_xll.LVCELL($D$1,AC$3,$C52,$D$2,$C$4,$C$5,$C$6,$C$7,$C$8,$D$3)/1000</f>
        <v>8617.6560000000009</v>
      </c>
      <c r="AD52" s="172">
        <f>_xll.LVCELL($D$1,AD$2,$C52,$D$2,$C$4,$C$5,$C$6,$C$7,$C$8,$D$3)/1000</f>
        <v>75261.792000000001</v>
      </c>
      <c r="AE52" s="172">
        <f t="shared" si="1"/>
        <v>2116.9030000000057</v>
      </c>
      <c r="AF52" s="193">
        <f t="shared" si="2"/>
        <v>2.8941229236126187E-2</v>
      </c>
      <c r="AG52" s="535"/>
      <c r="AJ52" s="64" t="str">
        <f t="shared" si="3"/>
        <v>E5620</v>
      </c>
      <c r="AK52" s="64" t="str">
        <f t="shared" si="4"/>
        <v>E5620</v>
      </c>
      <c r="AL52" s="192" t="str">
        <f t="shared" si="5"/>
        <v>Chemin de Grès</v>
      </c>
      <c r="AM52" s="172">
        <f>_xll.LVCELL($AK$1,AM$3,$AK52,$AL$2,$AK$4,$AK$5,$AK$6,$AK$7,$AK$8,$AL$3)/1000</f>
        <v>751.05035793299999</v>
      </c>
      <c r="AN52" s="172">
        <f>_xll.LVCELL($AK$1,AN$3,$AK52,$AL$2,$AK$4,$AK$5,$AK$6,$AK$7,$AK$8,$AL$3)/1000</f>
        <v>610.49937223300003</v>
      </c>
      <c r="AO52" s="172">
        <f>_xll.LVCELL($AK$1,AO$3,$AK52,$AL$2,$AK$4,$AK$5,$AK$6,$AK$7,$AK$8,$AL$3)/1000</f>
        <v>585.63671180799997</v>
      </c>
      <c r="AP52" s="172">
        <f>_xll.LVCELL($AK$1,AP$3,$AK52,$AL$2,$AK$4,$AK$5,$AK$6,$AK$7,$AK$8,$AL$3)/1000</f>
        <v>468.99750569299999</v>
      </c>
      <c r="AQ52" s="172">
        <f>_xll.LVCELL($AK$1,AQ$3,$AK52,$AL$2,$AK$4,$AK$5,$AK$6,$AK$7,$AK$8,$AL$3)/1000</f>
        <v>441.83644785300004</v>
      </c>
      <c r="AR52" s="172">
        <f>_xll.LVCELL($AK$1,AR$3,$AK52,$AL$2,$AK$4,$AK$5,$AK$6,$AK$7,$AK$8,$AL$3)/1000</f>
        <v>367.76370118700004</v>
      </c>
      <c r="AS52" s="172">
        <f>_xll.LVCELL($AK$1,AS$3,$AK52,$AL$2,$AK$4,$AK$5,$AK$6,$AK$7,$AK$8,$AL$3)/1000</f>
        <v>361.00278167599998</v>
      </c>
      <c r="AT52" s="172">
        <f>_xll.LVCELL($AK$1,AT$3,$AK52,$AL$2,$AK$4,$AK$5,$AK$6,$AK$7,$AK$8,$AL$3)/1000</f>
        <v>362.29961943699999</v>
      </c>
      <c r="AU52" s="172">
        <f>_xll.LVCELL($AK$1,AU$3,$AK52,$AL$2,$AK$4,$AK$5,$AK$6,$AK$7,$AK$8,$AL$3)/1000</f>
        <v>441.66717016500002</v>
      </c>
      <c r="AV52" s="172">
        <f>_xll.LVCELL($AK$1,AV$3,$AK52,$AL$2,$AK$4,$AK$5,$AK$6,$AK$7,$AK$8,$AL$3)/1000</f>
        <v>617.04808509500003</v>
      </c>
      <c r="AW52" s="172">
        <f>_xll.LVCELL($AK$1,AW$3,$AK52,$AL$2,$AK$4,$AK$5,$AK$6,$AK$7,$AK$8,$AL$3)/1000</f>
        <v>634.66913119999992</v>
      </c>
      <c r="AX52" s="172">
        <f>_xll.LVCELL($AK$1,AX$3,$AK52,$AL$2,$AK$4,$AK$5,$AK$6,$AK$7,$AK$8,$AL$3)/1000</f>
        <v>732.20754262499997</v>
      </c>
      <c r="AY52" s="172">
        <f>_xll.LVCELL($AK$1,AY$2,$AK52,$AL$2,$AK$4,$AK$5,$AK$6,$AK$7,$AK$8,$AL$3)/1000</f>
        <v>6374.6784269049995</v>
      </c>
      <c r="AZ52" s="172">
        <f>_xll.LVCELL($AK$1,AZ$3,$AK52,$AL$2,$AK$4,$AK$5,$AK$6,$AK$7,$AK$8,$AL$3)/1000</f>
        <v>787.68278488547992</v>
      </c>
      <c r="BA52" s="172">
        <f>_xll.LVCELL($AK$1,BA$3,$AK52,$AL$2,$AK$4,$AK$5,$AK$6,$AK$7,$AK$8,$AL$3)/1000</f>
        <v>640.27644112475991</v>
      </c>
      <c r="BB52" s="172">
        <f>_xll.LVCELL($AK$1,BB$3,$AK52,$AL$2,$AK$4,$AK$5,$AK$6,$AK$7,$AK$8,$AL$3)/1000</f>
        <v>614.20114616651995</v>
      </c>
      <c r="BC52" s="172">
        <f>_xll.LVCELL($AK$1,BC$3,$AK52,$AL$2,$AK$4,$AK$5,$AK$6,$AK$7,$AK$8,$AL$3)/1000</f>
        <v>491.87275203527997</v>
      </c>
      <c r="BD52" s="172">
        <f>_xll.LVCELL($AK$1,BD$3,$AK52,$AL$2,$AK$4,$AK$5,$AK$6,$AK$7,$AK$8,$AL$3)/1000</f>
        <v>463.38694699572</v>
      </c>
      <c r="BE52" s="172">
        <f>_xll.LVCELL($AK$1,BE$3,$AK52,$AL$2,$AK$4,$AK$5,$AK$6,$AK$7,$AK$8,$AL$3)/1000</f>
        <v>385.70131672776</v>
      </c>
      <c r="BF52" s="172">
        <f>_xll.LVCELL($AK$1,BF$3,$AK52,$AL$2,$AK$4,$AK$5,$AK$6,$AK$7,$AK$8,$AL$3)/1000</f>
        <v>378.61064143055995</v>
      </c>
      <c r="BG52" s="172">
        <f>_xll.LVCELL($AK$1,BG$3,$AK52,$AL$2,$AK$4,$AK$5,$AK$6,$AK$7,$AK$8,$AL$3)/1000</f>
        <v>379.97073040608001</v>
      </c>
      <c r="BH52" s="172">
        <f>_xll.LVCELL($AK$1,BH$3,$AK52,$AL$2,$AK$4,$AK$5,$AK$6,$AK$7,$AK$8,$AL$3)/1000</f>
        <v>463.20943603571999</v>
      </c>
      <c r="BI52" s="172">
        <f>_xll.LVCELL($AK$1,BI$3,$AK52,$AL$2,$AK$4,$AK$5,$AK$6,$AK$7,$AK$8,$AL$3)/1000</f>
        <v>647.14451767812011</v>
      </c>
      <c r="BJ52" s="172">
        <f>_xll.LVCELL($AK$1,BJ$3,$AK52,$AL$2,$AK$4,$AK$5,$AK$6,$AK$7,$AK$8,$AL$3)/1000</f>
        <v>678.22400410721605</v>
      </c>
      <c r="BK52" s="172">
        <f>_xll.LVCELL($AK$1,BK$3,$AK52,$AL$2,$AK$4,$AK$5,$AK$6,$AK$7,$AK$8,$AL$3)/1000</f>
        <v>782.45607088953591</v>
      </c>
      <c r="BL52" s="172">
        <f>_xll.LVCELL($AK$1,BL$2,$AK52,$AL$2,$AK$4,$AK$5,$AK$6,$AK$7,$AK$8,$AL$3)/1000</f>
        <v>6712.7367884827518</v>
      </c>
      <c r="BM52" s="214">
        <f t="shared" si="6"/>
        <v>338.05836157775229</v>
      </c>
      <c r="BN52" s="217">
        <f t="shared" si="7"/>
        <v>184.49102965964596</v>
      </c>
      <c r="BO52" s="218">
        <f t="shared" si="7"/>
        <v>153.56733191810693</v>
      </c>
      <c r="BP52" s="193">
        <f t="shared" si="8"/>
        <v>5.3031437656673175E-2</v>
      </c>
      <c r="BQ52" s="190" t="s">
        <v>3560</v>
      </c>
      <c r="BS52" s="198">
        <f t="shared" si="9"/>
        <v>87.151385613627767</v>
      </c>
      <c r="BT52" s="198">
        <f t="shared" si="10"/>
        <v>89.19182775348682</v>
      </c>
      <c r="BU52" s="198">
        <f t="shared" si="11"/>
        <v>2.0404421398590529</v>
      </c>
      <c r="BV52" s="199">
        <f t="shared" si="12"/>
        <v>2.3412618462602976E-2</v>
      </c>
      <c r="BX52" s="200">
        <f t="shared" si="17"/>
        <v>184.49102965964596</v>
      </c>
      <c r="BY52" s="200">
        <f t="shared" si="18"/>
        <v>153.56733191810693</v>
      </c>
      <c r="BZ52" s="200">
        <f t="shared" si="15"/>
        <v>338.05836157775286</v>
      </c>
      <c r="CA52" s="526">
        <f t="shared" si="16"/>
        <v>-5.6843418860808015E-13</v>
      </c>
    </row>
    <row r="53" spans="2:79" ht="25.5">
      <c r="B53" s="64" t="str">
        <f>'1-EO_Calcul Reporting'!B73</f>
        <v>E5600</v>
      </c>
      <c r="C53" s="64" t="str">
        <f>'1-EO_Calcul Reporting'!C73</f>
        <v>E5600</v>
      </c>
      <c r="D53" s="192" t="str">
        <f>'1-EO_Calcul Reporting'!D73</f>
        <v>Inter deux bos (MET)</v>
      </c>
      <c r="E53" s="172">
        <f>_xll.LVCELL($D$1,E$3,$C53,$D$2,$C$4,$C$5,$C$6,$C$7,$C$8,$D$3)/1000</f>
        <v>11234.017</v>
      </c>
      <c r="F53" s="172">
        <f>_xll.LVCELL($D$1,F$3,$C53,$D$2,$C$4,$C$5,$C$6,$C$7,$C$8,$D$3)/1000</f>
        <v>9200.0660000000007</v>
      </c>
      <c r="G53" s="172">
        <f>_xll.LVCELL($D$1,G$3,$C53,$D$2,$C$4,$C$5,$C$6,$C$7,$C$8,$D$3)/1000</f>
        <v>8825.1260000000002</v>
      </c>
      <c r="H53" s="172">
        <f>_xll.LVCELL($D$1,H$3,$C53,$D$2,$C$4,$C$5,$C$6,$C$7,$C$8,$D$3)/1000</f>
        <v>7050.64</v>
      </c>
      <c r="I53" s="172">
        <f>_xll.LVCELL($D$1,I$3,$C53,$D$2,$C$4,$C$5,$C$6,$C$7,$C$8,$D$3)/1000</f>
        <v>6668.9480000000003</v>
      </c>
      <c r="J53" s="172">
        <f>_xll.LVCELL($D$1,J$3,$C53,$D$2,$C$4,$C$5,$C$6,$C$7,$C$8,$D$3)/1000</f>
        <v>5493.5240000000003</v>
      </c>
      <c r="K53" s="172">
        <f>_xll.LVCELL($D$1,K$3,$C53,$D$2,$C$4,$C$5,$C$6,$C$7,$C$8,$D$3)/1000</f>
        <v>5349.7370000000001</v>
      </c>
      <c r="L53" s="172">
        <f>_xll.LVCELL($D$1,L$3,$C53,$D$2,$C$4,$C$5,$C$6,$C$7,$C$8,$D$3)/1000</f>
        <v>5310.3230000000003</v>
      </c>
      <c r="M53" s="172">
        <f>_xll.LVCELL($D$1,M$3,$C53,$D$2,$C$4,$C$5,$C$6,$C$7,$C$8,$D$3)/1000</f>
        <v>6478.5010000000002</v>
      </c>
      <c r="N53" s="172">
        <f>_xll.LVCELL($D$1,N$3,$C53,$D$2,$C$4,$C$5,$C$6,$C$7,$C$8,$D$3)/1000</f>
        <v>9040.7440000000006</v>
      </c>
      <c r="O53" s="172">
        <f>_xll.LVCELL($D$1,O$3,$C53,$D$2,$C$4,$C$5,$C$6,$C$7,$C$8,$D$3)/1000</f>
        <v>9278.616</v>
      </c>
      <c r="P53" s="172">
        <f>_xll.LVCELL($D$1,P$3,$C53,$D$2,$C$4,$C$5,$C$6,$C$7,$C$8,$D$3)/1000</f>
        <v>10897.839</v>
      </c>
      <c r="Q53" s="172">
        <f>_xll.LVCELL($D$1,Q$2,$C53,$D$2,$C$4,$C$5,$C$6,$C$7,$C$8,$D$3)/1000</f>
        <v>94828.081000000006</v>
      </c>
      <c r="R53" s="172">
        <f>_xll.LVCELL($D$1,R$3,$C53,$D$2,$C$4,$C$5,$C$6,$C$7,$C$8,$D$3)/1000</f>
        <v>8819.4339999999993</v>
      </c>
      <c r="S53" s="172">
        <f>_xll.LVCELL($D$1,S$3,$C53,$D$2,$C$4,$C$5,$C$6,$C$7,$C$8,$D$3)/1000</f>
        <v>7222.65</v>
      </c>
      <c r="T53" s="172">
        <f>_xll.LVCELL($D$1,T$3,$C53,$D$2,$C$4,$C$5,$C$6,$C$7,$C$8,$D$3)/1000</f>
        <v>6928.2979999999998</v>
      </c>
      <c r="U53" s="172">
        <f>_xll.LVCELL($D$1,U$3,$C53,$D$2,$C$4,$C$5,$C$6,$C$7,$C$8,$D$3)/1000</f>
        <v>5535.2110000000002</v>
      </c>
      <c r="V53" s="172">
        <f>_xll.LVCELL($D$1,V$3,$C53,$D$2,$C$4,$C$5,$C$6,$C$7,$C$8,$D$3)/1000</f>
        <v>5235.558</v>
      </c>
      <c r="W53" s="172">
        <f>_xll.LVCELL($D$1,W$3,$C53,$D$2,$C$4,$C$5,$C$6,$C$7,$C$8,$D$3)/1000</f>
        <v>4312.7740000000003</v>
      </c>
      <c r="X53" s="172">
        <f>_xll.LVCELL($D$1,X$3,$C53,$D$2,$C$4,$C$5,$C$6,$C$7,$C$8,$D$3)/1000</f>
        <v>4199.8919999999998</v>
      </c>
      <c r="Y53" s="172">
        <f>_xll.LVCELL($D$1,Y$3,$C53,$D$2,$C$4,$C$5,$C$6,$C$7,$C$8,$D$3)/1000</f>
        <v>4168.9489999999996</v>
      </c>
      <c r="Z53" s="172">
        <f>_xll.LVCELL($D$1,Z$3,$C53,$D$2,$C$4,$C$5,$C$6,$C$7,$C$8,$D$3)/1000</f>
        <v>5086.0439999999999</v>
      </c>
      <c r="AA53" s="172">
        <f>_xll.LVCELL($D$1,AA$3,$C53,$D$2,$C$4,$C$5,$C$6,$C$7,$C$8,$D$3)/1000</f>
        <v>7097.5720000000001</v>
      </c>
      <c r="AB53" s="172">
        <f>_xll.LVCELL($D$1,AB$3,$C53,$D$2,$C$4,$C$5,$C$6,$C$7,$C$8,$D$3)/1000</f>
        <v>7284.317</v>
      </c>
      <c r="AC53" s="172">
        <f>_xll.LVCELL($D$1,AC$3,$C53,$D$2,$C$4,$C$5,$C$6,$C$7,$C$8,$D$3)/1000</f>
        <v>8555.5120000000006</v>
      </c>
      <c r="AD53" s="172">
        <f>_xll.LVCELL($D$1,AD$2,$C53,$D$2,$C$4,$C$5,$C$6,$C$7,$C$8,$D$3)/1000</f>
        <v>74446.210999999996</v>
      </c>
      <c r="AE53" s="516">
        <f t="shared" si="1"/>
        <v>-20381.87000000001</v>
      </c>
      <c r="AF53" s="193">
        <f t="shared" si="2"/>
        <v>-0.21493496214481034</v>
      </c>
      <c r="AG53" s="535" t="s">
        <v>3203</v>
      </c>
      <c r="AJ53" s="64" t="str">
        <f t="shared" si="3"/>
        <v>E5600</v>
      </c>
      <c r="AK53" s="64" t="str">
        <f t="shared" si="4"/>
        <v>E5600</v>
      </c>
      <c r="AL53" s="192" t="str">
        <f t="shared" si="5"/>
        <v>Inter deux bos (MET)</v>
      </c>
      <c r="AM53" s="172">
        <f>_xll.LVCELL($AK$1,AM$3,$AK53,$AL$2,$AK$4,$AK$5,$AK$6,$AK$7,$AK$8,$AL$3)/1000</f>
        <v>946.19631584199999</v>
      </c>
      <c r="AN53" s="172">
        <f>_xll.LVCELL($AK$1,AN$3,$AK53,$AL$2,$AK$4,$AK$5,$AK$6,$AK$7,$AK$8,$AL$3)/1000</f>
        <v>774.88475891600001</v>
      </c>
      <c r="AO53" s="172">
        <f>_xll.LVCELL($AK$1,AO$3,$AK53,$AL$2,$AK$4,$AK$5,$AK$6,$AK$7,$AK$8,$AL$3)/1000</f>
        <v>743.3050624760001</v>
      </c>
      <c r="AP53" s="172">
        <f>_xll.LVCELL($AK$1,AP$3,$AK53,$AL$2,$AK$4,$AK$5,$AK$6,$AK$7,$AK$8,$AL$3)/1000</f>
        <v>593.84720463999997</v>
      </c>
      <c r="AQ53" s="172">
        <f>_xll.LVCELL($AK$1,AQ$3,$AK53,$AL$2,$AK$4,$AK$5,$AK$6,$AK$7,$AK$8,$AL$3)/1000</f>
        <v>561.69881424800008</v>
      </c>
      <c r="AR53" s="172">
        <f>_xll.LVCELL($AK$1,AR$3,$AK53,$AL$2,$AK$4,$AK$5,$AK$6,$AK$7,$AK$8,$AL$3)/1000</f>
        <v>462.69755242399998</v>
      </c>
      <c r="AS53" s="172">
        <f>_xll.LVCELL($AK$1,AS$3,$AK53,$AL$2,$AK$4,$AK$5,$AK$6,$AK$7,$AK$8,$AL$3)/1000</f>
        <v>450.58694856200003</v>
      </c>
      <c r="AT53" s="172">
        <f>_xll.LVCELL($AK$1,AT$3,$AK53,$AL$2,$AK$4,$AK$5,$AK$6,$AK$7,$AK$8,$AL$3)/1000</f>
        <v>447.26726499799997</v>
      </c>
      <c r="AU53" s="172">
        <f>_xll.LVCELL($AK$1,AU$3,$AK53,$AL$2,$AK$4,$AK$5,$AK$6,$AK$7,$AK$8,$AL$3)/1000</f>
        <v>545.6582252259999</v>
      </c>
      <c r="AV53" s="172">
        <f>_xll.LVCELL($AK$1,AV$3,$AK53,$AL$2,$AK$4,$AK$5,$AK$6,$AK$7,$AK$8,$AL$3)/1000</f>
        <v>761.46570414399991</v>
      </c>
      <c r="AW53" s="172">
        <f>_xll.LVCELL($AK$1,AW$3,$AK53,$AL$2,$AK$4,$AK$5,$AK$6,$AK$7,$AK$8,$AL$3)/1000</f>
        <v>784.61832619199993</v>
      </c>
      <c r="AX53" s="172">
        <f>_xll.LVCELL($AK$1,AX$3,$AK53,$AL$2,$AK$4,$AK$5,$AK$6,$AK$7,$AK$8,$AL$3)/1000</f>
        <v>921.54306151799994</v>
      </c>
      <c r="AY53" s="172">
        <f>_xll.LVCELL($AK$1,AY$2,$AK53,$AL$2,$AK$4,$AK$5,$AK$6,$AK$7,$AK$8,$AL$3)/1000</f>
        <v>7993.769239186</v>
      </c>
      <c r="AZ53" s="172">
        <f>_xll.LVCELL($AK$1,AZ$3,$AK53,$AL$2,$AK$4,$AK$5,$AK$6,$AK$7,$AK$8,$AL$3)/1000</f>
        <v>757.14840890000005</v>
      </c>
      <c r="BA53" s="172">
        <f>_xll.LVCELL($AK$1,BA$3,$AK53,$AL$2,$AK$4,$AK$5,$AK$6,$AK$7,$AK$8,$AL$3)/1000</f>
        <v>620.06450249999989</v>
      </c>
      <c r="BB53" s="172">
        <f>_xll.LVCELL($AK$1,BB$3,$AK53,$AL$2,$AK$4,$AK$5,$AK$6,$AK$7,$AK$8,$AL$3)/1000</f>
        <v>594.79438329999994</v>
      </c>
      <c r="BC53" s="172">
        <f>_xll.LVCELL($AK$1,BC$3,$AK53,$AL$2,$AK$4,$AK$5,$AK$6,$AK$7,$AK$8,$AL$3)/1000</f>
        <v>475.19786434999997</v>
      </c>
      <c r="BD53" s="172">
        <f>_xll.LVCELL($AK$1,BD$3,$AK53,$AL$2,$AK$4,$AK$5,$AK$6,$AK$7,$AK$8,$AL$3)/1000</f>
        <v>449.47265429999999</v>
      </c>
      <c r="BE53" s="172">
        <f>_xll.LVCELL($AK$1,BE$3,$AK53,$AL$2,$AK$4,$AK$5,$AK$6,$AK$7,$AK$8,$AL$3)/1000</f>
        <v>370.25164789999997</v>
      </c>
      <c r="BF53" s="172">
        <f>_xll.LVCELL($AK$1,BF$3,$AK53,$AL$2,$AK$4,$AK$5,$AK$6,$AK$7,$AK$8,$AL$3)/1000</f>
        <v>360.56072820000003</v>
      </c>
      <c r="BG53" s="172">
        <f>_xll.LVCELL($AK$1,BG$3,$AK53,$AL$2,$AK$4,$AK$5,$AK$6,$AK$7,$AK$8,$AL$3)/1000</f>
        <v>357.90427165</v>
      </c>
      <c r="BH53" s="172">
        <f>_xll.LVCELL($AK$1,BH$3,$AK53,$AL$2,$AK$4,$AK$5,$AK$6,$AK$7,$AK$8,$AL$3)/1000</f>
        <v>436.6368774</v>
      </c>
      <c r="BI53" s="172">
        <f>_xll.LVCELL($AK$1,BI$3,$AK53,$AL$2,$AK$4,$AK$5,$AK$6,$AK$7,$AK$8,$AL$3)/1000</f>
        <v>609.32655620000003</v>
      </c>
      <c r="BJ53" s="172">
        <f>_xll.LVCELL($AK$1,BJ$3,$AK53,$AL$2,$AK$4,$AK$5,$AK$6,$AK$7,$AK$8,$AL$3)/1000</f>
        <v>639.74186258235</v>
      </c>
      <c r="BK53" s="172">
        <f>_xll.LVCELL($AK$1,BK$3,$AK53,$AL$2,$AK$4,$AK$5,$AK$6,$AK$7,$AK$8,$AL$3)/1000</f>
        <v>751.38399141959997</v>
      </c>
      <c r="BL53" s="172">
        <f>_xll.LVCELL($AK$1,BL$2,$AK53,$AL$2,$AK$4,$AK$5,$AK$6,$AK$7,$AK$8,$AL$3)/1000</f>
        <v>6422.4837487019522</v>
      </c>
      <c r="BM53" s="214">
        <f t="shared" si="6"/>
        <v>-1571.2854904840478</v>
      </c>
      <c r="BN53" s="217">
        <f t="shared" si="7"/>
        <v>-1718.1404888187924</v>
      </c>
      <c r="BO53" s="218">
        <f t="shared" si="7"/>
        <v>146.85499833474427</v>
      </c>
      <c r="BP53" s="193">
        <f t="shared" si="8"/>
        <v>-0.19656377904699818</v>
      </c>
      <c r="BQ53" s="190" t="s">
        <v>3560</v>
      </c>
      <c r="BS53" s="198">
        <f t="shared" si="9"/>
        <v>84.297490309711108</v>
      </c>
      <c r="BT53" s="198">
        <f t="shared" si="10"/>
        <v>86.270122581550226</v>
      </c>
      <c r="BU53" s="198">
        <f t="shared" si="11"/>
        <v>1.9726322718391174</v>
      </c>
      <c r="BV53" s="199">
        <f t="shared" si="12"/>
        <v>2.3400842238501012E-2</v>
      </c>
      <c r="BX53" s="200">
        <f t="shared" si="17"/>
        <v>-1718.1404888187924</v>
      </c>
      <c r="BY53" s="200">
        <f t="shared" si="18"/>
        <v>146.85499833474427</v>
      </c>
      <c r="BZ53" s="200">
        <f t="shared" si="15"/>
        <v>-1571.2854904840481</v>
      </c>
      <c r="CA53" s="526">
        <f t="shared" si="16"/>
        <v>0</v>
      </c>
    </row>
    <row r="54" spans="2:79" ht="38.25">
      <c r="B54" s="64" t="str">
        <f>'1-EO_Calcul Reporting'!B74</f>
        <v>E5700</v>
      </c>
      <c r="C54" s="64" t="str">
        <f>'1-EO_Calcul Reporting'!C74</f>
        <v>E5700</v>
      </c>
      <c r="D54" s="192" t="str">
        <f>'1-EO_Calcul Reporting'!D74</f>
        <v>Haut de Comble (HC)</v>
      </c>
      <c r="E54" s="172">
        <f>_xll.LVCELL($D$1,E$3,$C54,$D$2,$C$4,$C$5,$C$6,$C$7,$C$8,$D$3)/1000</f>
        <v>7136.1909999999998</v>
      </c>
      <c r="F54" s="172">
        <f>_xll.LVCELL($D$1,F$3,$C54,$D$2,$C$4,$C$5,$C$6,$C$7,$C$8,$D$3)/1000</f>
        <v>5906.8739999999998</v>
      </c>
      <c r="G54" s="172">
        <f>_xll.LVCELL($D$1,G$3,$C54,$D$2,$C$4,$C$5,$C$6,$C$7,$C$8,$D$3)/1000</f>
        <v>5772.68</v>
      </c>
      <c r="H54" s="172">
        <f>_xll.LVCELL($D$1,H$3,$C54,$D$2,$C$4,$C$5,$C$6,$C$7,$C$8,$D$3)/1000</f>
        <v>4677.8919999999998</v>
      </c>
      <c r="I54" s="172">
        <f>_xll.LVCELL($D$1,I$3,$C54,$D$2,$C$4,$C$5,$C$6,$C$7,$C$8,$D$3)/1000</f>
        <v>4487.1670000000004</v>
      </c>
      <c r="J54" s="172">
        <f>_xll.LVCELL($D$1,J$3,$C54,$D$2,$C$4,$C$5,$C$6,$C$7,$C$8,$D$3)/1000</f>
        <v>3734.375</v>
      </c>
      <c r="K54" s="172">
        <f>_xll.LVCELL($D$1,K$3,$C54,$D$2,$C$4,$C$5,$C$6,$C$7,$C$8,$D$3)/1000</f>
        <v>3645.0830000000001</v>
      </c>
      <c r="L54" s="172">
        <f>_xll.LVCELL($D$1,L$3,$C54,$D$2,$C$4,$C$5,$C$6,$C$7,$C$8,$D$3)/1000</f>
        <v>3613.306</v>
      </c>
      <c r="M54" s="172">
        <f>_xll.LVCELL($D$1,M$3,$C54,$D$2,$C$4,$C$5,$C$6,$C$7,$C$8,$D$3)/1000</f>
        <v>4293.4960000000001</v>
      </c>
      <c r="N54" s="172">
        <f>_xll.LVCELL($D$1,N$3,$C54,$D$2,$C$4,$C$5,$C$6,$C$7,$C$8,$D$3)/1000</f>
        <v>5808.79</v>
      </c>
      <c r="O54" s="172">
        <f>_xll.LVCELL($D$1,O$3,$C54,$D$2,$C$4,$C$5,$C$6,$C$7,$C$8,$D$3)/1000</f>
        <v>5889.7879999999996</v>
      </c>
      <c r="P54" s="172">
        <f>_xll.LVCELL($D$1,P$3,$C54,$D$2,$C$4,$C$5,$C$6,$C$7,$C$8,$D$3)/1000</f>
        <v>6919.5320000000002</v>
      </c>
      <c r="Q54" s="172">
        <f>_xll.LVCELL($D$1,Q$2,$C54,$D$2,$C$4,$C$5,$C$6,$C$7,$C$8,$D$3)/1000</f>
        <v>61885.173999999999</v>
      </c>
      <c r="R54" s="172">
        <f>_xll.LVCELL($D$1,R$3,$C54,$D$2,$C$4,$C$5,$C$6,$C$7,$C$8,$D$3)/1000</f>
        <v>6013.0020000000004</v>
      </c>
      <c r="S54" s="172">
        <f>_xll.LVCELL($D$1,S$3,$C54,$D$2,$C$4,$C$5,$C$6,$C$7,$C$8,$D$3)/1000</f>
        <v>4977.1710000000003</v>
      </c>
      <c r="T54" s="172">
        <f>_xll.LVCELL($D$1,T$3,$C54,$D$2,$C$4,$C$5,$C$6,$C$7,$C$8,$D$3)/1000</f>
        <v>4864.098</v>
      </c>
      <c r="U54" s="172">
        <f>_xll.LVCELL($D$1,U$3,$C54,$D$2,$C$4,$C$5,$C$6,$C$7,$C$8,$D$3)/1000</f>
        <v>3941.623</v>
      </c>
      <c r="V54" s="172">
        <f>_xll.LVCELL($D$1,V$3,$C54,$D$2,$C$4,$C$5,$C$6,$C$7,$C$8,$D$3)/1000</f>
        <v>3780.9160000000002</v>
      </c>
      <c r="W54" s="172">
        <f>_xll.LVCELL($D$1,W$3,$C54,$D$2,$C$4,$C$5,$C$6,$C$7,$C$8,$D$3)/1000</f>
        <v>3146.6089999999999</v>
      </c>
      <c r="X54" s="172">
        <f>_xll.LVCELL($D$1,X$3,$C54,$D$2,$C$4,$C$5,$C$6,$C$7,$C$8,$D$3)/1000</f>
        <v>3071.3710000000001</v>
      </c>
      <c r="Y54" s="172">
        <f>_xll.LVCELL($D$1,Y$3,$C54,$D$2,$C$4,$C$5,$C$6,$C$7,$C$8,$D$3)/1000</f>
        <v>3044.596</v>
      </c>
      <c r="Z54" s="172">
        <f>_xll.LVCELL($D$1,Z$3,$C54,$D$2,$C$4,$C$5,$C$6,$C$7,$C$8,$D$3)/1000</f>
        <v>3617.7280000000001</v>
      </c>
      <c r="AA54" s="172">
        <f>_xll.LVCELL($D$1,AA$3,$C54,$D$2,$C$4,$C$5,$C$6,$C$7,$C$8,$D$3)/1000</f>
        <v>4894.5249999999996</v>
      </c>
      <c r="AB54" s="172">
        <f>_xll.LVCELL($D$1,AB$3,$C54,$D$2,$C$4,$C$5,$C$6,$C$7,$C$8,$D$3)/1000</f>
        <v>4962.7740000000003</v>
      </c>
      <c r="AC54" s="172">
        <f>_xll.LVCELL($D$1,AC$3,$C54,$D$2,$C$4,$C$5,$C$6,$C$7,$C$8,$D$3)/1000</f>
        <v>5830.4430000000002</v>
      </c>
      <c r="AD54" s="172">
        <f>_xll.LVCELL($D$1,AD$2,$C54,$D$2,$C$4,$C$5,$C$6,$C$7,$C$8,$D$3)/1000</f>
        <v>52144.856</v>
      </c>
      <c r="AE54" s="516">
        <f t="shared" si="1"/>
        <v>-9740.3179999999993</v>
      </c>
      <c r="AF54" s="193">
        <f t="shared" si="2"/>
        <v>-0.15739340088144538</v>
      </c>
      <c r="AG54" s="535" t="s">
        <v>3280</v>
      </c>
      <c r="AJ54" s="64" t="str">
        <f t="shared" si="3"/>
        <v>E5700</v>
      </c>
      <c r="AK54" s="64" t="str">
        <f t="shared" si="4"/>
        <v>E5700</v>
      </c>
      <c r="AL54" s="192" t="str">
        <f t="shared" si="5"/>
        <v>Haut de Comble (HC)</v>
      </c>
      <c r="AM54" s="172">
        <f>_xll.LVCELL($AK$1,AM$3,$AK54,$AL$2,$AK$4,$AK$5,$AK$6,$AK$7,$AK$8,$AL$3)/1000</f>
        <v>597.755902924</v>
      </c>
      <c r="AN54" s="172">
        <f>_xll.LVCELL($AK$1,AN$3,$AK54,$AL$2,$AK$4,$AK$5,$AK$6,$AK$7,$AK$8,$AL$3)/1000</f>
        <v>494.78339373599999</v>
      </c>
      <c r="AO54" s="172">
        <f>_xll.LVCELL($AK$1,AO$3,$AK54,$AL$2,$AK$4,$AK$5,$AK$6,$AK$7,$AK$8,$AL$3)/1000</f>
        <v>483.54276751999998</v>
      </c>
      <c r="AP54" s="172">
        <f>_xll.LVCELL($AK$1,AP$3,$AK54,$AL$2,$AK$4,$AK$5,$AK$6,$AK$7,$AK$8,$AL$3)/1000</f>
        <v>391.83894548799998</v>
      </c>
      <c r="AQ54" s="172">
        <f>_xll.LVCELL($AK$1,AQ$3,$AK54,$AL$2,$AK$4,$AK$5,$AK$6,$AK$7,$AK$8,$AL$3)/1000</f>
        <v>375.86305658799995</v>
      </c>
      <c r="AR54" s="172">
        <f>_xll.LVCELL($AK$1,AR$3,$AK54,$AL$2,$AK$4,$AK$5,$AK$6,$AK$7,$AK$8,$AL$3)/1000</f>
        <v>312.80618750000002</v>
      </c>
      <c r="AS54" s="172">
        <f>_xll.LVCELL($AK$1,AS$3,$AK54,$AL$2,$AK$4,$AK$5,$AK$6,$AK$7,$AK$8,$AL$3)/1000</f>
        <v>305.32673241200001</v>
      </c>
      <c r="AT54" s="172">
        <f>_xll.LVCELL($AK$1,AT$3,$AK54,$AL$2,$AK$4,$AK$5,$AK$6,$AK$7,$AK$8,$AL$3)/1000</f>
        <v>302.66496378400001</v>
      </c>
      <c r="AU54" s="172">
        <f>_xll.LVCELL($AK$1,AU$3,$AK54,$AL$2,$AK$4,$AK$5,$AK$6,$AK$7,$AK$8,$AL$3)/1000</f>
        <v>359.64039894400003</v>
      </c>
      <c r="AV54" s="172">
        <f>_xll.LVCELL($AK$1,AV$3,$AK54,$AL$2,$AK$4,$AK$5,$AK$6,$AK$7,$AK$8,$AL$3)/1000</f>
        <v>486.56748556000002</v>
      </c>
      <c r="AW54" s="172">
        <f>_xll.LVCELL($AK$1,AW$3,$AK54,$AL$2,$AK$4,$AK$5,$AK$6,$AK$7,$AK$8,$AL$3)/1000</f>
        <v>495.325281012</v>
      </c>
      <c r="AX54" s="172">
        <f>_xll.LVCELL($AK$1,AX$3,$AK54,$AL$2,$AK$4,$AK$5,$AK$6,$AK$7,$AK$8,$AL$3)/1000</f>
        <v>581.92572166799994</v>
      </c>
      <c r="AY54" s="172">
        <f>_xll.LVCELL($AK$1,AY$2,$AK54,$AL$2,$AK$4,$AK$5,$AK$6,$AK$7,$AK$8,$AL$3)/1000</f>
        <v>5188.0408371360008</v>
      </c>
      <c r="AZ54" s="172">
        <f>_xll.LVCELL($AK$1,AZ$3,$AK54,$AL$2,$AK$4,$AK$5,$AK$6,$AK$7,$AK$8,$AL$3)/1000</f>
        <v>513.38742294810606</v>
      </c>
      <c r="BA54" s="172">
        <f>_xll.LVCELL($AK$1,BA$3,$AK54,$AL$2,$AK$4,$AK$5,$AK$6,$AK$7,$AK$8,$AL$3)/1000</f>
        <v>424.94863518456299</v>
      </c>
      <c r="BB54" s="172">
        <f>_xll.LVCELL($AK$1,BB$3,$AK54,$AL$2,$AK$4,$AK$5,$AK$6,$AK$7,$AK$8,$AL$3)/1000</f>
        <v>415.29451298819401</v>
      </c>
      <c r="BC54" s="172">
        <f>_xll.LVCELL($AK$1,BC$3,$AK54,$AL$2,$AK$4,$AK$5,$AK$6,$AK$7,$AK$8,$AL$3)/1000</f>
        <v>336.534009834519</v>
      </c>
      <c r="BD54" s="172">
        <f>_xll.LVCELL($AK$1,BD$3,$AK54,$AL$2,$AK$4,$AK$5,$AK$6,$AK$7,$AK$8,$AL$3)/1000</f>
        <v>322.812918010548</v>
      </c>
      <c r="BE54" s="172">
        <f>_xll.LVCELL($AK$1,BE$3,$AK54,$AL$2,$AK$4,$AK$5,$AK$6,$AK$7,$AK$8,$AL$3)/1000</f>
        <v>268.65606988577701</v>
      </c>
      <c r="BF54" s="172">
        <f>_xll.LVCELL($AK$1,BF$3,$AK54,$AL$2,$AK$4,$AK$5,$AK$6,$AK$7,$AK$8,$AL$3)/1000</f>
        <v>262.232283077163</v>
      </c>
      <c r="BG54" s="172">
        <f>_xll.LVCELL($AK$1,BG$3,$AK54,$AL$2,$AK$4,$AK$5,$AK$6,$AK$7,$AK$8,$AL$3)/1000</f>
        <v>259.946245545588</v>
      </c>
      <c r="BH54" s="172">
        <f>_xll.LVCELL($AK$1,BH$3,$AK54,$AL$2,$AK$4,$AK$5,$AK$6,$AK$7,$AK$8,$AL$3)/1000</f>
        <v>308.87999951558396</v>
      </c>
      <c r="BI54" s="172">
        <f>_xll.LVCELL($AK$1,BI$3,$AK54,$AL$2,$AK$4,$AK$5,$AK$6,$AK$7,$AK$8,$AL$3)/1000</f>
        <v>417.89235664732496</v>
      </c>
      <c r="BJ54" s="172">
        <f>_xll.LVCELL($AK$1,BJ$3,$AK54,$AL$2,$AK$4,$AK$5,$AK$6,$AK$7,$AK$8,$AL$3)/1000</f>
        <v>433.46497394704204</v>
      </c>
      <c r="BK54" s="172">
        <f>_xll.LVCELL($AK$1,BK$3,$AK54,$AL$2,$AK$4,$AK$5,$AK$6,$AK$7,$AK$8,$AL$3)/1000</f>
        <v>509.25003296436898</v>
      </c>
      <c r="BL54" s="172">
        <f>_xll.LVCELL($AK$1,BL$2,$AK54,$AL$2,$AK$4,$AK$5,$AK$6,$AK$7,$AK$8,$AL$3)/1000</f>
        <v>4473.2994605487784</v>
      </c>
      <c r="BM54" s="214">
        <f t="shared" si="6"/>
        <v>-714.74137658722248</v>
      </c>
      <c r="BN54" s="217">
        <f t="shared" si="7"/>
        <v>-816.56339126865601</v>
      </c>
      <c r="BO54" s="218">
        <f t="shared" si="7"/>
        <v>101.82201468143305</v>
      </c>
      <c r="BP54" s="193">
        <f t="shared" si="8"/>
        <v>-0.13776710689536276</v>
      </c>
      <c r="BQ54" s="190" t="s">
        <v>3560</v>
      </c>
      <c r="BS54" s="198">
        <f t="shared" si="9"/>
        <v>83.83334006843063</v>
      </c>
      <c r="BT54" s="198">
        <f t="shared" si="10"/>
        <v>85.786016180556302</v>
      </c>
      <c r="BU54" s="198">
        <f t="shared" si="11"/>
        <v>1.9526761121256726</v>
      </c>
      <c r="BV54" s="199">
        <f t="shared" si="12"/>
        <v>2.329235731907809E-2</v>
      </c>
      <c r="BX54" s="200">
        <f t="shared" si="17"/>
        <v>-816.56339126865601</v>
      </c>
      <c r="BY54" s="200">
        <f t="shared" si="18"/>
        <v>101.82201468143305</v>
      </c>
      <c r="BZ54" s="200">
        <f t="shared" si="15"/>
        <v>-714.74137658722293</v>
      </c>
      <c r="CA54" s="526">
        <f t="shared" si="16"/>
        <v>0</v>
      </c>
    </row>
    <row r="55" spans="2:79" ht="99" customHeight="1">
      <c r="B55" s="64" t="str">
        <f>'1-EO_Calcul Reporting'!B75</f>
        <v>E5770</v>
      </c>
      <c r="C55" s="64" t="str">
        <f>'1-EO_Calcul Reporting'!C75</f>
        <v>E5770</v>
      </c>
      <c r="D55" s="192" t="str">
        <f>'1-EO_Calcul Reporting'!D75</f>
        <v>Le Pelon</v>
      </c>
      <c r="E55" s="172">
        <f>_xll.LVCELL($D$1,E$3,$C55,$D$2,$C$4,$C$5,$C$6,$C$7,$C$8,$D$3)/1000</f>
        <v>3254.145</v>
      </c>
      <c r="F55" s="172">
        <f>_xll.LVCELL($D$1,F$3,$C55,$D$2,$C$4,$C$5,$C$6,$C$7,$C$8,$D$3)/1000</f>
        <v>2922.7840000000001</v>
      </c>
      <c r="G55" s="172">
        <f>_xll.LVCELL($D$1,G$3,$C55,$D$2,$C$4,$C$5,$C$6,$C$7,$C$8,$D$3)/1000</f>
        <v>2915.2719999999999</v>
      </c>
      <c r="H55" s="172">
        <f>_xll.LVCELL($D$1,H$3,$C55,$D$2,$C$4,$C$5,$C$6,$C$7,$C$8,$D$3)/1000</f>
        <v>2571.91</v>
      </c>
      <c r="I55" s="172">
        <f>_xll.LVCELL($D$1,I$3,$C55,$D$2,$C$4,$C$5,$C$6,$C$7,$C$8,$D$3)/1000</f>
        <v>2155.5520000000001</v>
      </c>
      <c r="J55" s="172">
        <f>_xll.LVCELL($D$1,J$3,$C55,$D$2,$C$4,$C$5,$C$6,$C$7,$C$8,$D$3)/1000</f>
        <v>1839.5309999999999</v>
      </c>
      <c r="K55" s="172">
        <f>_xll.LVCELL($D$1,K$3,$C55,$D$2,$C$4,$C$5,$C$6,$C$7,$C$8,$D$3)/1000</f>
        <v>1679.8130000000001</v>
      </c>
      <c r="L55" s="172">
        <f>_xll.LVCELL($D$1,L$3,$C55,$D$2,$C$4,$C$5,$C$6,$C$7,$C$8,$D$3)/1000</f>
        <v>1594.9110000000001</v>
      </c>
      <c r="M55" s="172">
        <f>_xll.LVCELL($D$1,M$3,$C55,$D$2,$C$4,$C$5,$C$6,$C$7,$C$8,$D$3)/1000</f>
        <v>2035.729</v>
      </c>
      <c r="N55" s="172">
        <f>_xll.LVCELL($D$1,N$3,$C55,$D$2,$C$4,$C$5,$C$6,$C$7,$C$8,$D$3)/1000</f>
        <v>2692.7719999999999</v>
      </c>
      <c r="O55" s="172">
        <f>_xll.LVCELL($D$1,O$3,$C55,$D$2,$C$4,$C$5,$C$6,$C$7,$C$8,$D$3)/1000</f>
        <v>2874.3530000000001</v>
      </c>
      <c r="P55" s="172">
        <f>_xll.LVCELL($D$1,P$3,$C55,$D$2,$C$4,$C$5,$C$6,$C$7,$C$8,$D$3)/1000</f>
        <v>3342.7060000000001</v>
      </c>
      <c r="Q55" s="172">
        <f>_xll.LVCELL($D$1,Q$2,$C55,$D$2,$C$4,$C$5,$C$6,$C$7,$C$8,$D$3)/1000</f>
        <v>29879.477999999999</v>
      </c>
      <c r="R55" s="172">
        <f>_xll.LVCELL($D$1,R$3,$C55,$D$2,$C$4,$C$5,$C$6,$C$7,$C$8,$D$3)/1000</f>
        <v>2915.3449999999998</v>
      </c>
      <c r="S55" s="172">
        <f>_xll.LVCELL($D$1,S$3,$C55,$D$2,$C$4,$C$5,$C$6,$C$7,$C$8,$D$3)/1000</f>
        <v>2618.4830000000002</v>
      </c>
      <c r="T55" s="172">
        <f>_xll.LVCELL($D$1,T$3,$C55,$D$2,$C$4,$C$5,$C$6,$C$7,$C$8,$D$3)/1000</f>
        <v>2611.7530000000002</v>
      </c>
      <c r="U55" s="172">
        <f>_xll.LVCELL($D$1,U$3,$C55,$D$2,$C$4,$C$5,$C$6,$C$7,$C$8,$D$3)/1000</f>
        <v>2304.14</v>
      </c>
      <c r="V55" s="172">
        <f>_xll.LVCELL($D$1,V$3,$C55,$D$2,$C$4,$C$5,$C$6,$C$7,$C$8,$D$3)/1000</f>
        <v>1931.13</v>
      </c>
      <c r="W55" s="172">
        <f>_xll.LVCELL($D$1,W$3,$C55,$D$2,$C$4,$C$5,$C$6,$C$7,$C$8,$D$3)/1000</f>
        <v>1648.011</v>
      </c>
      <c r="X55" s="172">
        <f>_xll.LVCELL($D$1,X$3,$C55,$D$2,$C$4,$C$5,$C$6,$C$7,$C$8,$D$3)/1000</f>
        <v>1504.922</v>
      </c>
      <c r="Y55" s="172">
        <f>_xll.LVCELL($D$1,Y$3,$C55,$D$2,$C$4,$C$5,$C$6,$C$7,$C$8,$D$3)/1000</f>
        <v>1428.86</v>
      </c>
      <c r="Z55" s="172">
        <f>_xll.LVCELL($D$1,Z$3,$C55,$D$2,$C$4,$C$5,$C$6,$C$7,$C$8,$D$3)/1000</f>
        <v>1823.7819999999999</v>
      </c>
      <c r="AA55" s="172">
        <f>_xll.LVCELL($D$1,AA$3,$C55,$D$2,$C$4,$C$5,$C$6,$C$7,$C$8,$D$3)/1000</f>
        <v>2412.4180000000001</v>
      </c>
      <c r="AB55" s="172">
        <f>_xll.LVCELL($D$1,AB$3,$C55,$D$2,$C$4,$C$5,$C$6,$C$7,$C$8,$D$3)/1000</f>
        <v>2575.0940000000001</v>
      </c>
      <c r="AC55" s="172">
        <f>_xll.LVCELL($D$1,AC$3,$C55,$D$2,$C$4,$C$5,$C$6,$C$7,$C$8,$D$3)/1000</f>
        <v>2994.6849999999999</v>
      </c>
      <c r="AD55" s="172">
        <f>_xll.LVCELL($D$1,AD$2,$C55,$D$2,$C$4,$C$5,$C$6,$C$7,$C$8,$D$3)/1000</f>
        <v>26768.623</v>
      </c>
      <c r="AE55" s="516">
        <f t="shared" si="1"/>
        <v>-3110.8549999999996</v>
      </c>
      <c r="AF55" s="193">
        <f t="shared" si="2"/>
        <v>-0.10411343196825595</v>
      </c>
      <c r="AG55" s="535" t="s">
        <v>3281</v>
      </c>
      <c r="AJ55" s="64" t="str">
        <f t="shared" si="3"/>
        <v>E5770</v>
      </c>
      <c r="AK55" s="64" t="str">
        <f t="shared" si="4"/>
        <v>E5770</v>
      </c>
      <c r="AL55" s="192" t="str">
        <f t="shared" si="5"/>
        <v>Le Pelon</v>
      </c>
      <c r="AM55" s="172">
        <f>_xll.LVCELL($AK$1,AM$3,$AK55,$AL$2,$AK$4,$AK$5,$AK$6,$AK$7,$AK$8,$AL$3)/1000</f>
        <v>271.09817303094002</v>
      </c>
      <c r="AN55" s="172">
        <f>_xll.LVCELL($AK$1,AN$3,$AK55,$AL$2,$AK$4,$AK$5,$AK$6,$AK$7,$AK$8,$AL$3)/1000</f>
        <v>243.50080313392002</v>
      </c>
      <c r="AO55" s="172">
        <f>_xll.LVCELL($AK$1,AO$3,$AK55,$AL$2,$AK$4,$AK$5,$AK$6,$AK$7,$AK$8,$AL$3)/1000</f>
        <v>242.87246185244001</v>
      </c>
      <c r="AP55" s="172">
        <f>_xll.LVCELL($AK$1,AP$3,$AK55,$AL$2,$AK$4,$AK$5,$AK$6,$AK$7,$AK$8,$AL$3)/1000</f>
        <v>214.26065513281</v>
      </c>
      <c r="AQ55" s="172">
        <f>_xll.LVCELL($AK$1,AQ$3,$AK55,$AL$2,$AK$4,$AK$5,$AK$6,$AK$7,$AK$8,$AL$3)/1000</f>
        <v>179.57769852220801</v>
      </c>
      <c r="AR55" s="172">
        <f>_xll.LVCELL($AK$1,AR$3,$AK55,$AL$2,$AK$4,$AK$5,$AK$6,$AK$7,$AK$8,$AL$3)/1000</f>
        <v>153.24786745218901</v>
      </c>
      <c r="AS55" s="172">
        <f>_xll.LVCELL($AK$1,AS$3,$AK55,$AL$2,$AK$4,$AK$5,$AK$6,$AK$7,$AK$8,$AL$3)/1000</f>
        <v>139.938029750547</v>
      </c>
      <c r="AT55" s="172">
        <f>_xll.LVCELL($AK$1,AT$3,$AK55,$AL$2,$AK$4,$AK$5,$AK$6,$AK$7,$AK$8,$AL$3)/1000</f>
        <v>132.872009891424</v>
      </c>
      <c r="AU55" s="172">
        <f>_xll.LVCELL($AK$1,AU$3,$AK55,$AL$2,$AK$4,$AK$5,$AK$6,$AK$7,$AK$8,$AL$3)/1000</f>
        <v>169.593077464662</v>
      </c>
      <c r="AV55" s="172">
        <f>_xll.LVCELL($AK$1,AV$3,$AK55,$AL$2,$AK$4,$AK$5,$AK$6,$AK$7,$AK$8,$AL$3)/1000</f>
        <v>224.33738806785601</v>
      </c>
      <c r="AW55" s="172">
        <f>_xll.LVCELL($AK$1,AW$3,$AK55,$AL$2,$AK$4,$AK$5,$AK$6,$AK$7,$AK$8,$AL$3)/1000</f>
        <v>240.38698467480501</v>
      </c>
      <c r="AX55" s="172">
        <f>_xll.LVCELL($AK$1,AX$3,$AK55,$AL$2,$AK$4,$AK$5,$AK$6,$AK$7,$AK$8,$AL$3)/1000</f>
        <v>279.568483195574</v>
      </c>
      <c r="AY55" s="172">
        <f>_xll.LVCELL($AK$1,AY$2,$AK55,$AL$2,$AK$4,$AK$5,$AK$6,$AK$7,$AK$8,$AL$3)/1000</f>
        <v>2491.2536321693751</v>
      </c>
      <c r="AZ55" s="172">
        <f>_xll.LVCELL($AK$1,AZ$3,$AK55,$AL$2,$AK$4,$AK$5,$AK$6,$AK$7,$AK$8,$AL$3)/1000</f>
        <v>252.58286698950002</v>
      </c>
      <c r="BA55" s="172">
        <f>_xll.LVCELL($AK$1,BA$3,$AK55,$AL$2,$AK$4,$AK$5,$AK$6,$AK$7,$AK$8,$AL$3)/1000</f>
        <v>226.86301048530001</v>
      </c>
      <c r="BB55" s="172">
        <f>_xll.LVCELL($AK$1,BB$3,$AK55,$AL$2,$AK$4,$AK$5,$AK$6,$AK$7,$AK$8,$AL$3)/1000</f>
        <v>226.27992934230002</v>
      </c>
      <c r="BC55" s="172">
        <f>_xll.LVCELL($AK$1,BC$3,$AK55,$AL$2,$AK$4,$AK$5,$AK$6,$AK$7,$AK$8,$AL$3)/1000</f>
        <v>199.62861587400002</v>
      </c>
      <c r="BD55" s="172">
        <f>_xll.LVCELL($AK$1,BD$3,$AK55,$AL$2,$AK$4,$AK$5,$AK$6,$AK$7,$AK$8,$AL$3)/1000</f>
        <v>167.31136518299999</v>
      </c>
      <c r="BE55" s="172">
        <f>_xll.LVCELL($AK$1,BE$3,$AK55,$AL$2,$AK$4,$AK$5,$AK$6,$AK$7,$AK$8,$AL$3)/1000</f>
        <v>142.78218983009998</v>
      </c>
      <c r="BF55" s="172">
        <f>_xll.LVCELL($AK$1,BF$3,$AK55,$AL$2,$AK$4,$AK$5,$AK$6,$AK$7,$AK$8,$AL$3)/1000</f>
        <v>130.38508765020001</v>
      </c>
      <c r="BG55" s="172">
        <f>_xll.LVCELL($AK$1,BG$3,$AK55,$AL$2,$AK$4,$AK$5,$AK$6,$AK$7,$AK$8,$AL$3)/1000</f>
        <v>123.79514442599998</v>
      </c>
      <c r="BH55" s="172">
        <f>_xll.LVCELL($AK$1,BH$3,$AK55,$AL$2,$AK$4,$AK$5,$AK$6,$AK$7,$AK$8,$AL$3)/1000</f>
        <v>158.01083107619999</v>
      </c>
      <c r="BI55" s="172">
        <f>_xll.LVCELL($AK$1,BI$3,$AK55,$AL$2,$AK$4,$AK$5,$AK$6,$AK$7,$AK$8,$AL$3)/1000</f>
        <v>209.00972434379997</v>
      </c>
      <c r="BJ55" s="172">
        <f>_xll.LVCELL($AK$1,BJ$3,$AK55,$AL$2,$AK$4,$AK$5,$AK$6,$AK$7,$AK$8,$AL$3)/1000</f>
        <v>228.053978698386</v>
      </c>
      <c r="BK55" s="172">
        <f>_xll.LVCELL($AK$1,BK$3,$AK55,$AL$2,$AK$4,$AK$5,$AK$6,$AK$7,$AK$8,$AL$3)/1000</f>
        <v>265.21355305801501</v>
      </c>
      <c r="BL55" s="172">
        <f>_xll.LVCELL($AK$1,BL$2,$AK55,$AL$2,$AK$4,$AK$5,$AK$6,$AK$7,$AK$8,$AL$3)/1000</f>
        <v>2329.916296956801</v>
      </c>
      <c r="BM55" s="214">
        <f t="shared" si="6"/>
        <v>-161.33733521257409</v>
      </c>
      <c r="BN55" s="217">
        <f t="shared" si="7"/>
        <v>-259.37296554853668</v>
      </c>
      <c r="BO55" s="218">
        <f t="shared" si="7"/>
        <v>98.035630335962765</v>
      </c>
      <c r="BP55" s="193">
        <f t="shared" si="8"/>
        <v>-6.4761505263549624E-2</v>
      </c>
      <c r="BQ55" s="190" t="s">
        <v>3560</v>
      </c>
      <c r="BS55" s="198">
        <f t="shared" si="9"/>
        <v>83.376745476255479</v>
      </c>
      <c r="BT55" s="198">
        <f t="shared" si="10"/>
        <v>87.039079184491527</v>
      </c>
      <c r="BU55" s="198">
        <f t="shared" si="11"/>
        <v>3.6623337082360479</v>
      </c>
      <c r="BV55" s="199">
        <f t="shared" si="12"/>
        <v>4.392512189479774E-2</v>
      </c>
      <c r="BX55" s="200">
        <f t="shared" si="17"/>
        <v>-259.37296554853668</v>
      </c>
      <c r="BY55" s="200">
        <f t="shared" si="18"/>
        <v>98.035630335962765</v>
      </c>
      <c r="BZ55" s="200">
        <f t="shared" si="15"/>
        <v>-161.33733521257392</v>
      </c>
      <c r="CA55" s="526">
        <f t="shared" si="16"/>
        <v>0</v>
      </c>
    </row>
    <row r="56" spans="2:79" ht="120.75" customHeight="1">
      <c r="B56" s="64" t="str">
        <f>'1-EO_Calcul Reporting'!B76</f>
        <v>E5810</v>
      </c>
      <c r="C56" s="64" t="str">
        <f>'1-EO_Calcul Reporting'!C76</f>
        <v>E5810</v>
      </c>
      <c r="D56" s="192" t="s">
        <v>2646</v>
      </c>
      <c r="E56" s="172">
        <f>_xll.LVCELL($D$1,E$3,$C56,$D$2,$C$4,$C$5,$C$6,$C$7,$C$8,$D$3)/1000</f>
        <v>6116.5810000000001</v>
      </c>
      <c r="F56" s="172">
        <f>_xll.LVCELL($D$1,F$3,$C56,$D$2,$C$4,$C$5,$C$6,$C$7,$C$8,$D$3)/1000</f>
        <v>4982.1260000000002</v>
      </c>
      <c r="G56" s="172">
        <f>_xll.LVCELL($D$1,G$3,$C56,$D$2,$C$4,$C$5,$C$6,$C$7,$C$8,$D$3)/1000</f>
        <v>4959.0820000000003</v>
      </c>
      <c r="H56" s="172">
        <f>_xll.LVCELL($D$1,H$3,$C56,$D$2,$C$4,$C$5,$C$6,$C$7,$C$8,$D$3)/1000</f>
        <v>3989.02</v>
      </c>
      <c r="I56" s="172">
        <f>_xll.LVCELL($D$1,I$3,$C56,$D$2,$C$4,$C$5,$C$6,$C$7,$C$8,$D$3)/1000</f>
        <v>3414.7869999999998</v>
      </c>
      <c r="J56" s="172">
        <f>_xll.LVCELL($D$1,J$3,$C56,$D$2,$C$4,$C$5,$C$6,$C$7,$C$8,$D$3)/1000</f>
        <v>2610.4679999999998</v>
      </c>
      <c r="K56" s="172">
        <f>_xll.LVCELL($D$1,K$3,$C56,$D$2,$C$4,$C$5,$C$6,$C$7,$C$8,$D$3)/1000</f>
        <v>2580.5790000000002</v>
      </c>
      <c r="L56" s="172">
        <f>_xll.LVCELL($D$1,L$3,$C56,$D$2,$C$4,$C$5,$C$6,$C$7,$C$8,$D$3)/1000</f>
        <v>2427.5929999999998</v>
      </c>
      <c r="M56" s="172">
        <f>_xll.LVCELL($D$1,M$3,$C56,$D$2,$C$4,$C$5,$C$6,$C$7,$C$8,$D$3)/1000</f>
        <v>3431.7330000000002</v>
      </c>
      <c r="N56" s="172">
        <f>_xll.LVCELL($D$1,N$3,$C56,$D$2,$C$4,$C$5,$C$6,$C$7,$C$8,$D$3)/1000</f>
        <v>4993.72</v>
      </c>
      <c r="O56" s="172">
        <f>_xll.LVCELL($D$1,O$3,$C56,$D$2,$C$4,$C$5,$C$6,$C$7,$C$8,$D$3)/1000</f>
        <v>5051.9160000000002</v>
      </c>
      <c r="P56" s="172">
        <f>_xll.LVCELL($D$1,P$3,$C56,$D$2,$C$4,$C$5,$C$6,$C$7,$C$8,$D$3)/1000</f>
        <v>6273.8969999999999</v>
      </c>
      <c r="Q56" s="172">
        <f>_xll.LVCELL($D$1,Q$2,$C56,$D$2,$C$4,$C$5,$C$6,$C$7,$C$8,$D$3)/1000</f>
        <v>50831.502</v>
      </c>
      <c r="R56" s="172">
        <f>_xll.LVCELL($D$1,R$3,$C56,$D$2,$C$4,$C$5,$C$6,$C$7,$C$8,$D$3)/1000</f>
        <v>5970.3509999999997</v>
      </c>
      <c r="S56" s="172">
        <f>_xll.LVCELL($D$1,S$3,$C56,$D$2,$C$4,$C$5,$C$6,$C$7,$C$8,$D$3)/1000</f>
        <v>4863.0169999999998</v>
      </c>
      <c r="T56" s="172">
        <f>_xll.LVCELL($D$1,T$3,$C56,$D$2,$C$4,$C$5,$C$6,$C$7,$C$8,$D$3)/1000</f>
        <v>4840.5240000000003</v>
      </c>
      <c r="U56" s="172">
        <f>_xll.LVCELL($D$1,U$3,$C56,$D$2,$C$4,$C$5,$C$6,$C$7,$C$8,$D$3)/1000</f>
        <v>3893.6529999999998</v>
      </c>
      <c r="V56" s="172">
        <f>_xll.LVCELL($D$1,V$3,$C56,$D$2,$C$4,$C$5,$C$6,$C$7,$C$8,$D$3)/1000</f>
        <v>3333.1489999999999</v>
      </c>
      <c r="W56" s="172">
        <f>_xll.LVCELL($D$1,W$3,$C56,$D$2,$C$4,$C$5,$C$6,$C$7,$C$8,$D$3)/1000</f>
        <v>2548.0590000000002</v>
      </c>
      <c r="X56" s="172">
        <f>_xll.LVCELL($D$1,X$3,$C56,$D$2,$C$4,$C$5,$C$6,$C$7,$C$8,$D$3)/1000</f>
        <v>2518.884</v>
      </c>
      <c r="Y56" s="172">
        <f>_xll.LVCELL($D$1,Y$3,$C56,$D$2,$C$4,$C$5,$C$6,$C$7,$C$8,$D$3)/1000</f>
        <v>2369.556</v>
      </c>
      <c r="Z56" s="172">
        <f>_xll.LVCELL($D$1,Z$3,$C56,$D$2,$C$4,$C$5,$C$6,$C$7,$C$8,$D$3)/1000</f>
        <v>3349.69</v>
      </c>
      <c r="AA56" s="172">
        <f>_xll.LVCELL($D$1,AA$3,$C56,$D$2,$C$4,$C$5,$C$6,$C$7,$C$8,$D$3)/1000</f>
        <v>4874.3339999999998</v>
      </c>
      <c r="AB56" s="172">
        <f>_xll.LVCELL($D$1,AB$3,$C56,$D$2,$C$4,$C$5,$C$6,$C$7,$C$8,$D$3)/1000</f>
        <v>4931.1379999999999</v>
      </c>
      <c r="AC56" s="172">
        <f>_xll.LVCELL($D$1,AC$3,$C56,$D$2,$C$4,$C$5,$C$6,$C$7,$C$8,$D$3)/1000</f>
        <v>6123.9059999999999</v>
      </c>
      <c r="AD56" s="172">
        <f>_xll.LVCELL($D$1,AD$2,$C56,$D$2,$C$4,$C$5,$C$6,$C$7,$C$8,$D$3)/1000</f>
        <v>49616.260999999999</v>
      </c>
      <c r="AE56" s="516">
        <f t="shared" si="1"/>
        <v>-1215.2410000000018</v>
      </c>
      <c r="AF56" s="193">
        <f t="shared" si="2"/>
        <v>-2.3907241615642283E-2</v>
      </c>
      <c r="AG56" s="535" t="s">
        <v>3282</v>
      </c>
      <c r="AJ56" s="64" t="str">
        <f t="shared" si="3"/>
        <v>E5810</v>
      </c>
      <c r="AK56" s="64" t="str">
        <f t="shared" si="4"/>
        <v>E5810</v>
      </c>
      <c r="AL56" s="192" t="str">
        <f t="shared" si="5"/>
        <v xml:space="preserve">Coteaux du Blaiseron/CDB </v>
      </c>
      <c r="AM56" s="172">
        <f>_xll.LVCELL($AK$1,AM$3,$AK56,$AL$2,$AK$4,$AK$5,$AK$6,$AK$7,$AK$8,$AL$3)/1000</f>
        <v>512.34929088399997</v>
      </c>
      <c r="AN56" s="172">
        <f>_xll.LVCELL($AK$1,AN$3,$AK56,$AL$2,$AK$4,$AK$5,$AK$6,$AK$7,$AK$8,$AL$3)/1000</f>
        <v>417.32280226400002</v>
      </c>
      <c r="AO56" s="172">
        <f>_xll.LVCELL($AK$1,AO$3,$AK56,$AL$2,$AK$4,$AK$5,$AK$6,$AK$7,$AK$8,$AL$3)/1000</f>
        <v>415.39254464799996</v>
      </c>
      <c r="AP56" s="172">
        <f>_xll.LVCELL($AK$1,AP$3,$AK56,$AL$2,$AK$4,$AK$5,$AK$6,$AK$7,$AK$8,$AL$3)/1000</f>
        <v>334.13627127999996</v>
      </c>
      <c r="AQ56" s="172">
        <f>_xll.LVCELL($AK$1,AQ$3,$AK56,$AL$2,$AK$4,$AK$5,$AK$6,$AK$7,$AK$8,$AL$3)/1000</f>
        <v>286.03621826799997</v>
      </c>
      <c r="AR56" s="172">
        <f>_xll.LVCELL($AK$1,AR$3,$AK56,$AL$2,$AK$4,$AK$5,$AK$6,$AK$7,$AK$8,$AL$3)/1000</f>
        <v>218.66324155199999</v>
      </c>
      <c r="AS56" s="172">
        <f>_xll.LVCELL($AK$1,AS$3,$AK56,$AL$2,$AK$4,$AK$5,$AK$6,$AK$7,$AK$8,$AL$3)/1000</f>
        <v>216.15961935600001</v>
      </c>
      <c r="AT56" s="172">
        <f>_xll.LVCELL($AK$1,AT$3,$AK56,$AL$2,$AK$4,$AK$5,$AK$6,$AK$7,$AK$8,$AL$3)/1000</f>
        <v>203.34490005200001</v>
      </c>
      <c r="AU56" s="172">
        <f>_xll.LVCELL($AK$1,AU$3,$AK56,$AL$2,$AK$4,$AK$5,$AK$6,$AK$7,$AK$8,$AL$3)/1000</f>
        <v>287.45568301200001</v>
      </c>
      <c r="AV56" s="172">
        <f>_xll.LVCELL($AK$1,AV$3,$AK56,$AL$2,$AK$4,$AK$5,$AK$6,$AK$7,$AK$8,$AL$3)/1000</f>
        <v>418.29396208000003</v>
      </c>
      <c r="AW56" s="172">
        <f>_xll.LVCELL($AK$1,AW$3,$AK56,$AL$2,$AK$4,$AK$5,$AK$6,$AK$7,$AK$8,$AL$3)/1000</f>
        <v>424.86108368399999</v>
      </c>
      <c r="AX56" s="172">
        <f>_xll.LVCELL($AK$1,AX$3,$AK56,$AL$2,$AK$4,$AK$5,$AK$6,$AK$7,$AK$8,$AL$3)/1000</f>
        <v>527.62846380300005</v>
      </c>
      <c r="AY56" s="172">
        <f>_xll.LVCELL($AK$1,AY$2,$AK56,$AL$2,$AK$4,$AK$5,$AK$6,$AK$7,$AK$8,$AL$3)/1000</f>
        <v>4261.6440808830002</v>
      </c>
      <c r="AZ56" s="172">
        <f>_xll.LVCELL($AK$1,AZ$3,$AK56,$AL$2,$AK$4,$AK$5,$AK$6,$AK$7,$AK$8,$AL$3)/1000</f>
        <v>509.74601904012297</v>
      </c>
      <c r="BA56" s="172">
        <f>_xll.LVCELL($AK$1,BA$3,$AK56,$AL$2,$AK$4,$AK$5,$AK$6,$AK$7,$AK$8,$AL$3)/1000</f>
        <v>415.20231495174102</v>
      </c>
      <c r="BB56" s="172">
        <f>_xll.LVCELL($AK$1,BB$3,$AK56,$AL$2,$AK$4,$AK$5,$AK$6,$AK$7,$AK$8,$AL$3)/1000</f>
        <v>413.28187221625205</v>
      </c>
      <c r="BC56" s="172">
        <f>_xll.LVCELL($AK$1,BC$3,$AK56,$AL$2,$AK$4,$AK$5,$AK$6,$AK$7,$AK$8,$AL$3)/1000</f>
        <v>332.43843055016902</v>
      </c>
      <c r="BD56" s="172">
        <f>_xll.LVCELL($AK$1,BD$3,$AK56,$AL$2,$AK$4,$AK$5,$AK$6,$AK$7,$AK$8,$AL$3)/1000</f>
        <v>284.58283836537697</v>
      </c>
      <c r="BE56" s="172">
        <f>_xll.LVCELL($AK$1,BE$3,$AK56,$AL$2,$AK$4,$AK$5,$AK$6,$AK$7,$AK$8,$AL$3)/1000</f>
        <v>217.552189398807</v>
      </c>
      <c r="BF56" s="172">
        <f>_xll.LVCELL($AK$1,BF$3,$AK56,$AL$2,$AK$4,$AK$5,$AK$6,$AK$7,$AK$8,$AL$3)/1000</f>
        <v>215.06124035653201</v>
      </c>
      <c r="BG56" s="172">
        <f>_xll.LVCELL($AK$1,BG$3,$AK56,$AL$2,$AK$4,$AK$5,$AK$6,$AK$7,$AK$8,$AL$3)/1000</f>
        <v>202.31167947958801</v>
      </c>
      <c r="BH56" s="172">
        <f>_xll.LVCELL($AK$1,BH$3,$AK56,$AL$2,$AK$4,$AK$5,$AK$6,$AK$7,$AK$8,$AL$3)/1000</f>
        <v>285.99510188237002</v>
      </c>
      <c r="BI56" s="172">
        <f>_xll.LVCELL($AK$1,BI$3,$AK56,$AL$2,$AK$4,$AK$5,$AK$6,$AK$7,$AK$8,$AL$3)/1000</f>
        <v>416.16855557938197</v>
      </c>
      <c r="BJ56" s="172">
        <f>_xll.LVCELL($AK$1,BJ$3,$AK56,$AL$2,$AK$4,$AK$5,$AK$6,$AK$7,$AK$8,$AL$3)/1000</f>
        <v>430.70188046881401</v>
      </c>
      <c r="BK56" s="172">
        <f>_xll.LVCELL($AK$1,BK$3,$AK56,$AL$2,$AK$4,$AK$5,$AK$6,$AK$7,$AK$8,$AL$3)/1000</f>
        <v>534.88217730151803</v>
      </c>
      <c r="BL56" s="172">
        <f>_xll.LVCELL($AK$1,BL$2,$AK56,$AL$2,$AK$4,$AK$5,$AK$6,$AK$7,$AK$8,$AL$3)/1000</f>
        <v>4257.9242995906743</v>
      </c>
      <c r="BM56" s="214">
        <f t="shared" si="6"/>
        <v>-3.7197812923259335</v>
      </c>
      <c r="BN56" s="217">
        <f t="shared" si="7"/>
        <v>-101.88415472154149</v>
      </c>
      <c r="BO56" s="218">
        <f t="shared" si="7"/>
        <v>98.164373429215999</v>
      </c>
      <c r="BP56" s="193">
        <f t="shared" si="8"/>
        <v>-8.7285123340363757E-4</v>
      </c>
      <c r="BQ56" s="190" t="s">
        <v>3551</v>
      </c>
      <c r="BS56" s="198">
        <f t="shared" si="9"/>
        <v>83.838641653417994</v>
      </c>
      <c r="BT56" s="198">
        <f t="shared" si="10"/>
        <v>85.817113457837436</v>
      </c>
      <c r="BU56" s="198">
        <f t="shared" si="11"/>
        <v>1.978471804419442</v>
      </c>
      <c r="BV56" s="199">
        <f t="shared" si="12"/>
        <v>2.3598567025910091E-2</v>
      </c>
      <c r="BX56" s="200">
        <f t="shared" si="17"/>
        <v>-101.88415472154149</v>
      </c>
      <c r="BY56" s="200">
        <f t="shared" si="18"/>
        <v>98.164373429215999</v>
      </c>
      <c r="BZ56" s="200">
        <f t="shared" si="15"/>
        <v>-3.7197812923254929</v>
      </c>
      <c r="CA56" s="526">
        <f t="shared" si="16"/>
        <v>-4.4053649617126212E-13</v>
      </c>
    </row>
    <row r="57" spans="2:79" ht="25.5">
      <c r="B57" s="64" t="str">
        <f>'1-EO_Calcul Reporting'!B78</f>
        <v>E6190</v>
      </c>
      <c r="C57" s="64" t="str">
        <f>'1-EO_Calcul Reporting'!C78</f>
        <v>E6190</v>
      </c>
      <c r="D57" s="284" t="str">
        <f>'1-EO_Calcul Reporting'!D78</f>
        <v>Evits et Josaphats</v>
      </c>
      <c r="E57" s="172">
        <f>_xll.LVCELL($D$1,E$3,$C57,$D$2,$C$4,$C$5,$C$6,$C$7,$C$8,$D$3)/1000</f>
        <v>2736.7530000000002</v>
      </c>
      <c r="F57" s="172">
        <f>_xll.LVCELL($D$1,F$3,$C57,$D$2,$C$4,$C$5,$C$6,$C$7,$C$8,$D$3)/1000</f>
        <v>2334.34</v>
      </c>
      <c r="G57" s="172">
        <f>_xll.LVCELL($D$1,G$3,$C57,$D$2,$C$4,$C$5,$C$6,$C$7,$C$8,$D$3)/1000</f>
        <v>2245.6120000000001</v>
      </c>
      <c r="H57" s="172">
        <f>_xll.LVCELL($D$1,H$3,$C57,$D$2,$C$4,$C$5,$C$6,$C$7,$C$8,$D$3)/1000</f>
        <v>1881.213</v>
      </c>
      <c r="I57" s="172">
        <f>_xll.LVCELL($D$1,I$3,$C57,$D$2,$C$4,$C$5,$C$6,$C$7,$C$8,$D$3)/1000</f>
        <v>1755.12</v>
      </c>
      <c r="J57" s="172">
        <f>_xll.LVCELL($D$1,J$3,$C57,$D$2,$C$4,$C$5,$C$6,$C$7,$C$8,$D$3)/1000</f>
        <v>1377.662</v>
      </c>
      <c r="K57" s="172">
        <f>_xll.LVCELL($D$1,K$3,$C57,$D$2,$C$4,$C$5,$C$6,$C$7,$C$8,$D$3)/1000</f>
        <v>1378.1679999999999</v>
      </c>
      <c r="L57" s="172">
        <f>_xll.LVCELL($D$1,L$3,$C57,$D$2,$C$4,$C$5,$C$6,$C$7,$C$8,$D$3)/1000</f>
        <v>1285.3900000000001</v>
      </c>
      <c r="M57" s="172">
        <f>_xll.LVCELL($D$1,M$3,$C57,$D$2,$C$4,$C$5,$C$6,$C$7,$C$8,$D$3)/1000</f>
        <v>1598.0440000000001</v>
      </c>
      <c r="N57" s="172">
        <f>_xll.LVCELL($D$1,N$3,$C57,$D$2,$C$4,$C$5,$C$6,$C$7,$C$8,$D$3)/1000</f>
        <v>2154.1309999999999</v>
      </c>
      <c r="O57" s="172">
        <f>_xll.LVCELL($D$1,O$3,$C57,$D$2,$C$4,$C$5,$C$6,$C$7,$C$8,$D$3)/1000</f>
        <v>2241.6109999999999</v>
      </c>
      <c r="P57" s="172">
        <f>_xll.LVCELL($D$1,P$3,$C57,$D$2,$C$4,$C$5,$C$6,$C$7,$C$8,$D$3)/1000</f>
        <v>2757.5140000000001</v>
      </c>
      <c r="Q57" s="172">
        <f>_xll.LVCELL($D$1,Q$2,$C57,$D$2,$C$4,$C$5,$C$6,$C$7,$C$8,$D$3)/1000</f>
        <v>23745.558000000001</v>
      </c>
      <c r="R57" s="172">
        <f>_xll.LVCELL($D$1,R$3,$C57,$D$2,$C$4,$C$5,$C$6,$C$7,$C$8,$D$3)/1000</f>
        <v>2736.7530000000002</v>
      </c>
      <c r="S57" s="172">
        <f>_xll.LVCELL($D$1,S$3,$C57,$D$2,$C$4,$C$5,$C$6,$C$7,$C$8,$D$3)/1000</f>
        <v>0</v>
      </c>
      <c r="T57" s="172">
        <f>_xll.LVCELL($D$1,T$3,$C57,$D$2,$C$4,$C$5,$C$6,$C$7,$C$8,$D$3)/1000</f>
        <v>0</v>
      </c>
      <c r="U57" s="172">
        <f>_xll.LVCELL($D$1,U$3,$C57,$D$2,$C$4,$C$5,$C$6,$C$7,$C$8,$D$3)/1000</f>
        <v>0</v>
      </c>
      <c r="V57" s="172">
        <f>_xll.LVCELL($D$1,V$3,$C57,$D$2,$C$4,$C$5,$C$6,$C$7,$C$8,$D$3)/1000</f>
        <v>0</v>
      </c>
      <c r="W57" s="172">
        <f>_xll.LVCELL($D$1,W$3,$C57,$D$2,$C$4,$C$5,$C$6,$C$7,$C$8,$D$3)/1000</f>
        <v>0</v>
      </c>
      <c r="X57" s="172">
        <f>_xll.LVCELL($D$1,X$3,$C57,$D$2,$C$4,$C$5,$C$6,$C$7,$C$8,$D$3)/1000</f>
        <v>0</v>
      </c>
      <c r="Y57" s="172">
        <f>_xll.LVCELL($D$1,Y$3,$C57,$D$2,$C$4,$C$5,$C$6,$C$7,$C$8,$D$3)/1000</f>
        <v>0</v>
      </c>
      <c r="Z57" s="172">
        <f>_xll.LVCELL($D$1,Z$3,$C57,$D$2,$C$4,$C$5,$C$6,$C$7,$C$8,$D$3)/1000</f>
        <v>0</v>
      </c>
      <c r="AA57" s="172">
        <f>_xll.LVCELL($D$1,AA$3,$C57,$D$2,$C$4,$C$5,$C$6,$C$7,$C$8,$D$3)/1000</f>
        <v>0</v>
      </c>
      <c r="AB57" s="172">
        <f>_xll.LVCELL($D$1,AB$3,$C57,$D$2,$C$4,$C$5,$C$6,$C$7,$C$8,$D$3)/1000</f>
        <v>0</v>
      </c>
      <c r="AC57" s="172">
        <f>_xll.LVCELL($D$1,AC$3,$C57,$D$2,$C$4,$C$5,$C$6,$C$7,$C$8,$D$3)/1000</f>
        <v>0</v>
      </c>
      <c r="AD57" s="172">
        <f>_xll.LVCELL($D$1,AD$2,$C57,$D$2,$C$4,$C$5,$C$6,$C$7,$C$8,$D$3)/1000</f>
        <v>2736.7530000000002</v>
      </c>
      <c r="AE57" s="516">
        <f t="shared" si="1"/>
        <v>-21008.805</v>
      </c>
      <c r="AF57" s="193">
        <f t="shared" si="2"/>
        <v>-0.88474673873740928</v>
      </c>
      <c r="AG57" s="535" t="s">
        <v>3187</v>
      </c>
      <c r="AJ57" s="64" t="str">
        <f t="shared" si="3"/>
        <v>E6190</v>
      </c>
      <c r="AK57" s="64" t="str">
        <f t="shared" si="4"/>
        <v>E6190</v>
      </c>
      <c r="AL57" s="192" t="str">
        <f t="shared" si="5"/>
        <v>Evits et Josaphats</v>
      </c>
      <c r="AM57" s="172">
        <f>_xll.LVCELL($AK$1,AM$3,$AK57,$AL$2,$AK$4,$AK$5,$AK$6,$AK$7,$AK$8,$AL$3)/1000</f>
        <v>264.41139109500006</v>
      </c>
      <c r="AN57" s="172">
        <f>_xll.LVCELL($AK$1,AN$3,$AK57,$AL$2,$AK$4,$AK$5,$AK$6,$AK$7,$AK$8,$AL$3)/1000</f>
        <v>225.5322591</v>
      </c>
      <c r="AO57" s="172">
        <f>_xll.LVCELL($AK$1,AO$3,$AK57,$AL$2,$AK$4,$AK$5,$AK$6,$AK$7,$AK$8,$AL$3)/1000</f>
        <v>216.95980338000001</v>
      </c>
      <c r="AP57" s="172">
        <f>_xll.LVCELL($AK$1,AP$3,$AK57,$AL$2,$AK$4,$AK$5,$AK$6,$AK$7,$AK$8,$AL$3)/1000</f>
        <v>181.75339399499998</v>
      </c>
      <c r="AQ57" s="172">
        <f>_xll.LVCELL($AK$1,AQ$3,$AK57,$AL$2,$AK$4,$AK$5,$AK$6,$AK$7,$AK$8,$AL$3)/1000</f>
        <v>169.57091880000002</v>
      </c>
      <c r="AR57" s="172">
        <f>_xll.LVCELL($AK$1,AR$3,$AK57,$AL$2,$AK$4,$AK$5,$AK$6,$AK$7,$AK$8,$AL$3)/1000</f>
        <v>133.10281413000001</v>
      </c>
      <c r="AS57" s="172">
        <f>_xll.LVCELL($AK$1,AS$3,$AK57,$AL$2,$AK$4,$AK$5,$AK$6,$AK$7,$AK$8,$AL$3)/1000</f>
        <v>133.15170132</v>
      </c>
      <c r="AT57" s="172">
        <f>_xll.LVCELL($AK$1,AT$3,$AK57,$AL$2,$AK$4,$AK$5,$AK$6,$AK$7,$AK$8,$AL$3)/1000</f>
        <v>124.18795485</v>
      </c>
      <c r="AU57" s="172">
        <f>_xll.LVCELL($AK$1,AU$3,$AK57,$AL$2,$AK$4,$AK$5,$AK$6,$AK$7,$AK$8,$AL$3)/1000</f>
        <v>53.134963000000006</v>
      </c>
      <c r="AV57" s="172">
        <f>_xll.LVCELL($AK$1,AV$3,$AK57,$AL$2,$AK$4,$AK$5,$AK$6,$AK$7,$AK$8,$AL$3)/1000</f>
        <v>80.413710229999992</v>
      </c>
      <c r="AW57" s="172">
        <f>_xll.LVCELL($AK$1,AW$3,$AK57,$AL$2,$AK$4,$AK$5,$AK$6,$AK$7,$AK$8,$AL$3)/1000</f>
        <v>99.079206200000002</v>
      </c>
      <c r="AX57" s="172">
        <f>_xll.LVCELL($AK$1,AX$3,$AK57,$AL$2,$AK$4,$AK$5,$AK$6,$AK$7,$AK$8,$AL$3)/1000</f>
        <v>113.91290334</v>
      </c>
      <c r="AY57" s="172">
        <f>_xll.LVCELL($AK$1,AY$2,$AK57,$AL$2,$AK$4,$AK$5,$AK$6,$AK$7,$AK$8,$AL$3)/1000</f>
        <v>1795.21101944</v>
      </c>
      <c r="AZ57" s="172">
        <f>_xll.LVCELL($AK$1,AZ$3,$AK57,$AL$2,$AK$4,$AK$5,$AK$6,$AK$7,$AK$8,$AL$3)/1000</f>
        <v>184.37504960999999</v>
      </c>
      <c r="BA57" s="172">
        <f>_xll.LVCELL($AK$1,BA$3,$AK57,$AL$2,$AK$4,$AK$5,$AK$6,$AK$7,$AK$8,$AL$3)/1000</f>
        <v>0</v>
      </c>
      <c r="BB57" s="172">
        <f>_xll.LVCELL($AK$1,BB$3,$AK57,$AL$2,$AK$4,$AK$5,$AK$6,$AK$7,$AK$8,$AL$3)/1000</f>
        <v>0</v>
      </c>
      <c r="BC57" s="172">
        <f>_xll.LVCELL($AK$1,BC$3,$AK57,$AL$2,$AK$4,$AK$5,$AK$6,$AK$7,$AK$8,$AL$3)/1000</f>
        <v>0</v>
      </c>
      <c r="BD57" s="172">
        <f>_xll.LVCELL($AK$1,BD$3,$AK57,$AL$2,$AK$4,$AK$5,$AK$6,$AK$7,$AK$8,$AL$3)/1000</f>
        <v>0</v>
      </c>
      <c r="BE57" s="172">
        <f>_xll.LVCELL($AK$1,BE$3,$AK57,$AL$2,$AK$4,$AK$5,$AK$6,$AK$7,$AK$8,$AL$3)/1000</f>
        <v>0</v>
      </c>
      <c r="BF57" s="172">
        <f>_xll.LVCELL($AK$1,BF$3,$AK57,$AL$2,$AK$4,$AK$5,$AK$6,$AK$7,$AK$8,$AL$3)/1000</f>
        <v>0</v>
      </c>
      <c r="BG57" s="172">
        <f>_xll.LVCELL($AK$1,BG$3,$AK57,$AL$2,$AK$4,$AK$5,$AK$6,$AK$7,$AK$8,$AL$3)/1000</f>
        <v>0</v>
      </c>
      <c r="BH57" s="172">
        <f>_xll.LVCELL($AK$1,BH$3,$AK57,$AL$2,$AK$4,$AK$5,$AK$6,$AK$7,$AK$8,$AL$3)/1000</f>
        <v>0</v>
      </c>
      <c r="BI57" s="172">
        <f>_xll.LVCELL($AK$1,BI$3,$AK57,$AL$2,$AK$4,$AK$5,$AK$6,$AK$7,$AK$8,$AL$3)/1000</f>
        <v>0</v>
      </c>
      <c r="BJ57" s="172">
        <f>_xll.LVCELL($AK$1,BJ$3,$AK57,$AL$2,$AK$4,$AK$5,$AK$6,$AK$7,$AK$8,$AL$3)/1000</f>
        <v>0</v>
      </c>
      <c r="BK57" s="172">
        <f>_xll.LVCELL($AK$1,BK$3,$AK57,$AL$2,$AK$4,$AK$5,$AK$6,$AK$7,$AK$8,$AL$3)/1000</f>
        <v>0</v>
      </c>
      <c r="BL57" s="172">
        <f>_xll.LVCELL($AK$1,BL$2,$AK57,$AL$2,$AK$4,$AK$5,$AK$6,$AK$7,$AK$8,$AL$3)/1000</f>
        <v>184.37504960999999</v>
      </c>
      <c r="BM57" s="214">
        <f t="shared" si="6"/>
        <v>-1610.8359698300001</v>
      </c>
      <c r="BN57" s="217">
        <f t="shared" si="7"/>
        <v>-1588.3070947949996</v>
      </c>
      <c r="BO57" s="218">
        <f t="shared" si="7"/>
        <v>-22.528875035000009</v>
      </c>
      <c r="BP57" s="193">
        <f t="shared" si="8"/>
        <v>-0.89729616874370899</v>
      </c>
      <c r="BQ57" s="172" t="s">
        <v>3554</v>
      </c>
      <c r="BS57" s="198">
        <f t="shared" si="9"/>
        <v>75.601972353734524</v>
      </c>
      <c r="BT57" s="198">
        <f t="shared" si="10"/>
        <v>67.37</v>
      </c>
      <c r="BU57" s="198">
        <f t="shared" si="11"/>
        <v>-8.2319723537345197</v>
      </c>
      <c r="BV57" s="199">
        <f t="shared" si="12"/>
        <v>-0.10888568244248834</v>
      </c>
      <c r="BX57" s="200">
        <f t="shared" si="17"/>
        <v>-1588.3070947949996</v>
      </c>
      <c r="BY57" s="200">
        <f t="shared" si="18"/>
        <v>-22.528875035000009</v>
      </c>
      <c r="BZ57" s="200">
        <f t="shared" si="15"/>
        <v>-1610.8359698299996</v>
      </c>
      <c r="CA57" s="526">
        <f t="shared" si="16"/>
        <v>0</v>
      </c>
    </row>
    <row r="58" spans="2:79" ht="25.5">
      <c r="B58" s="64" t="str">
        <f>'1-EO_Calcul Reporting'!B79</f>
        <v>E6200</v>
      </c>
      <c r="C58" s="64" t="str">
        <f>'1-EO_Calcul Reporting'!C79</f>
        <v>E6200</v>
      </c>
      <c r="D58" s="284" t="str">
        <f>'1-EO_Calcul Reporting'!D79</f>
        <v>Remise Reclainville</v>
      </c>
      <c r="E58" s="172">
        <f>_xll.LVCELL($D$1,E$3,$C58,$D$2,$C$4,$C$5,$C$6,$C$7,$C$8,$D$3)/1000</f>
        <v>2765.5450000000001</v>
      </c>
      <c r="F58" s="172">
        <f>_xll.LVCELL($D$1,F$3,$C58,$D$2,$C$4,$C$5,$C$6,$C$7,$C$8,$D$3)/1000</f>
        <v>2362.4839999999999</v>
      </c>
      <c r="G58" s="172">
        <f>_xll.LVCELL($D$1,G$3,$C58,$D$2,$C$4,$C$5,$C$6,$C$7,$C$8,$D$3)/1000</f>
        <v>2276.5659999999998</v>
      </c>
      <c r="H58" s="172">
        <f>_xll.LVCELL($D$1,H$3,$C58,$D$2,$C$4,$C$5,$C$6,$C$7,$C$8,$D$3)/1000</f>
        <v>1910.162</v>
      </c>
      <c r="I58" s="172">
        <f>_xll.LVCELL($D$1,I$3,$C58,$D$2,$C$4,$C$5,$C$6,$C$7,$C$8,$D$3)/1000</f>
        <v>1780.348</v>
      </c>
      <c r="J58" s="172">
        <f>_xll.LVCELL($D$1,J$3,$C58,$D$2,$C$4,$C$5,$C$6,$C$7,$C$8,$D$3)/1000</f>
        <v>1400.0170000000001</v>
      </c>
      <c r="K58" s="172">
        <f>_xll.LVCELL($D$1,K$3,$C58,$D$2,$C$4,$C$5,$C$6,$C$7,$C$8,$D$3)/1000</f>
        <v>1399.3</v>
      </c>
      <c r="L58" s="172">
        <f>_xll.LVCELL($D$1,L$3,$C58,$D$2,$C$4,$C$5,$C$6,$C$7,$C$8,$D$3)/1000</f>
        <v>1301.8989999999999</v>
      </c>
      <c r="M58" s="172">
        <f>_xll.LVCELL($D$1,M$3,$C58,$D$2,$C$4,$C$5,$C$6,$C$7,$C$8,$D$3)/1000</f>
        <v>1619.742</v>
      </c>
      <c r="N58" s="172">
        <f>_xll.LVCELL($D$1,N$3,$C58,$D$2,$C$4,$C$5,$C$6,$C$7,$C$8,$D$3)/1000</f>
        <v>2177.8490000000002</v>
      </c>
      <c r="O58" s="172">
        <f>_xll.LVCELL($D$1,O$3,$C58,$D$2,$C$4,$C$5,$C$6,$C$7,$C$8,$D$3)/1000</f>
        <v>2265.5430000000001</v>
      </c>
      <c r="P58" s="172">
        <f>_xll.LVCELL($D$1,P$3,$C58,$D$2,$C$4,$C$5,$C$6,$C$7,$C$8,$D$3)/1000</f>
        <v>2789.2370000000001</v>
      </c>
      <c r="Q58" s="172">
        <f>_xll.LVCELL($D$1,Q$2,$C58,$D$2,$C$4,$C$5,$C$6,$C$7,$C$8,$D$3)/1000</f>
        <v>24048.691999999999</v>
      </c>
      <c r="R58" s="172">
        <f>_xll.LVCELL($D$1,R$3,$C58,$D$2,$C$4,$C$5,$C$6,$C$7,$C$8,$D$3)/1000</f>
        <v>0</v>
      </c>
      <c r="S58" s="172">
        <f>_xll.LVCELL($D$1,S$3,$C58,$D$2,$C$4,$C$5,$C$6,$C$7,$C$8,$D$3)/1000</f>
        <v>0</v>
      </c>
      <c r="T58" s="172">
        <f>_xll.LVCELL($D$1,T$3,$C58,$D$2,$C$4,$C$5,$C$6,$C$7,$C$8,$D$3)/1000</f>
        <v>0</v>
      </c>
      <c r="U58" s="172">
        <f>_xll.LVCELL($D$1,U$3,$C58,$D$2,$C$4,$C$5,$C$6,$C$7,$C$8,$D$3)/1000</f>
        <v>0</v>
      </c>
      <c r="V58" s="172">
        <f>_xll.LVCELL($D$1,V$3,$C58,$D$2,$C$4,$C$5,$C$6,$C$7,$C$8,$D$3)/1000</f>
        <v>0</v>
      </c>
      <c r="W58" s="172">
        <f>_xll.LVCELL($D$1,W$3,$C58,$D$2,$C$4,$C$5,$C$6,$C$7,$C$8,$D$3)/1000</f>
        <v>0</v>
      </c>
      <c r="X58" s="172">
        <f>_xll.LVCELL($D$1,X$3,$C58,$D$2,$C$4,$C$5,$C$6,$C$7,$C$8,$D$3)/1000</f>
        <v>0</v>
      </c>
      <c r="Y58" s="172">
        <f>_xll.LVCELL($D$1,Y$3,$C58,$D$2,$C$4,$C$5,$C$6,$C$7,$C$8,$D$3)/1000</f>
        <v>0</v>
      </c>
      <c r="Z58" s="172">
        <f>_xll.LVCELL($D$1,Z$3,$C58,$D$2,$C$4,$C$5,$C$6,$C$7,$C$8,$D$3)/1000</f>
        <v>0</v>
      </c>
      <c r="AA58" s="172">
        <f>_xll.LVCELL($D$1,AA$3,$C58,$D$2,$C$4,$C$5,$C$6,$C$7,$C$8,$D$3)/1000</f>
        <v>0</v>
      </c>
      <c r="AB58" s="172">
        <f>_xll.LVCELL($D$1,AB$3,$C58,$D$2,$C$4,$C$5,$C$6,$C$7,$C$8,$D$3)/1000</f>
        <v>0</v>
      </c>
      <c r="AC58" s="172">
        <f>_xll.LVCELL($D$1,AC$3,$C58,$D$2,$C$4,$C$5,$C$6,$C$7,$C$8,$D$3)/1000</f>
        <v>0</v>
      </c>
      <c r="AD58" s="172">
        <f>_xll.LVCELL($D$1,AD$2,$C58,$D$2,$C$4,$C$5,$C$6,$C$7,$C$8,$D$3)/1000</f>
        <v>0</v>
      </c>
      <c r="AE58" s="516">
        <f t="shared" si="1"/>
        <v>-24048.691999999999</v>
      </c>
      <c r="AF58" s="193">
        <f t="shared" si="2"/>
        <v>-1</v>
      </c>
      <c r="AG58" s="535" t="s">
        <v>3187</v>
      </c>
      <c r="AJ58" s="64" t="str">
        <f t="shared" si="3"/>
        <v>E6200</v>
      </c>
      <c r="AK58" s="64" t="str">
        <f t="shared" si="4"/>
        <v>E6200</v>
      </c>
      <c r="AL58" s="192" t="str">
        <f t="shared" si="5"/>
        <v>Remise Reclainville</v>
      </c>
      <c r="AM58" s="172">
        <f>_xll.LVCELL($AK$1,AM$3,$AK58,$AL$2,$AK$4,$AK$5,$AK$6,$AK$7,$AK$8,$AL$3)/1000</f>
        <v>267.19313017500002</v>
      </c>
      <c r="AN58" s="172">
        <f>_xll.LVCELL($AK$1,AN$3,$AK58,$AL$2,$AK$4,$AK$5,$AK$6,$AK$7,$AK$8,$AL$3)/1000</f>
        <v>228.25139166</v>
      </c>
      <c r="AO58" s="172">
        <f>_xll.LVCELL($AK$1,AO$3,$AK58,$AL$2,$AK$4,$AK$5,$AK$6,$AK$7,$AK$8,$AL$3)/1000</f>
        <v>219.95042408999998</v>
      </c>
      <c r="AP58" s="172">
        <f>_xll.LVCELL($AK$1,AP$3,$AK58,$AL$2,$AK$4,$AK$5,$AK$6,$AK$7,$AK$8,$AL$3)/1000</f>
        <v>184.55030163000001</v>
      </c>
      <c r="AQ58" s="172">
        <f>_xll.LVCELL($AK$1,AQ$3,$AK58,$AL$2,$AK$4,$AK$5,$AK$6,$AK$7,$AK$8,$AL$3)/1000</f>
        <v>172.00832201999998</v>
      </c>
      <c r="AR58" s="172">
        <f>_xll.LVCELL($AK$1,AR$3,$AK58,$AL$2,$AK$4,$AK$5,$AK$6,$AK$7,$AK$8,$AL$3)/1000</f>
        <v>135.26264245499999</v>
      </c>
      <c r="AS58" s="172">
        <f>_xll.LVCELL($AK$1,AS$3,$AK58,$AL$2,$AK$4,$AK$5,$AK$6,$AK$7,$AK$8,$AL$3)/1000</f>
        <v>135.19336949999999</v>
      </c>
      <c r="AT58" s="172">
        <f>_xll.LVCELL($AK$1,AT$3,$AK58,$AL$2,$AK$4,$AK$5,$AK$6,$AK$7,$AK$8,$AL$3)/1000</f>
        <v>125.78297188500001</v>
      </c>
      <c r="AU58" s="172">
        <f>_xll.LVCELL($AK$1,AU$3,$AK58,$AL$2,$AK$4,$AK$5,$AK$6,$AK$7,$AK$8,$AL$3)/1000</f>
        <v>53.532473100000004</v>
      </c>
      <c r="AV58" s="172">
        <f>_xll.LVCELL($AK$1,AV$3,$AK58,$AL$2,$AK$4,$AK$5,$AK$6,$AK$7,$AK$8,$AL$3)/1000</f>
        <v>81.211989209999999</v>
      </c>
      <c r="AW58" s="172">
        <f>_xll.LVCELL($AK$1,AW$3,$AK58,$AL$2,$AK$4,$AK$5,$AK$6,$AK$7,$AK$8,$AL$3)/1000</f>
        <v>99.117506250000005</v>
      </c>
      <c r="AX58" s="172">
        <f>_xll.LVCELL($AK$1,AX$3,$AK58,$AL$2,$AK$4,$AK$5,$AK$6,$AK$7,$AK$8,$AL$3)/1000</f>
        <v>115.50230417</v>
      </c>
      <c r="AY58" s="172">
        <f>_xll.LVCELL($AK$1,AY$2,$AK58,$AL$2,$AK$4,$AK$5,$AK$6,$AK$7,$AK$8,$AL$3)/1000</f>
        <v>1817.5568261450001</v>
      </c>
      <c r="AZ58" s="172">
        <f>_xll.LVCELL($AK$1,AZ$3,$AK58,$AL$2,$AK$4,$AK$5,$AK$6,$AK$7,$AK$8,$AL$3)/1000</f>
        <v>0</v>
      </c>
      <c r="BA58" s="172">
        <f>_xll.LVCELL($AK$1,BA$3,$AK58,$AL$2,$AK$4,$AK$5,$AK$6,$AK$7,$AK$8,$AL$3)/1000</f>
        <v>0</v>
      </c>
      <c r="BB58" s="172">
        <f>_xll.LVCELL($AK$1,BB$3,$AK58,$AL$2,$AK$4,$AK$5,$AK$6,$AK$7,$AK$8,$AL$3)/1000</f>
        <v>0</v>
      </c>
      <c r="BC58" s="172">
        <f>_xll.LVCELL($AK$1,BC$3,$AK58,$AL$2,$AK$4,$AK$5,$AK$6,$AK$7,$AK$8,$AL$3)/1000</f>
        <v>0</v>
      </c>
      <c r="BD58" s="172">
        <f>_xll.LVCELL($AK$1,BD$3,$AK58,$AL$2,$AK$4,$AK$5,$AK$6,$AK$7,$AK$8,$AL$3)/1000</f>
        <v>0</v>
      </c>
      <c r="BE58" s="172">
        <f>_xll.LVCELL($AK$1,BE$3,$AK58,$AL$2,$AK$4,$AK$5,$AK$6,$AK$7,$AK$8,$AL$3)/1000</f>
        <v>0</v>
      </c>
      <c r="BF58" s="172">
        <f>_xll.LVCELL($AK$1,BF$3,$AK58,$AL$2,$AK$4,$AK$5,$AK$6,$AK$7,$AK$8,$AL$3)/1000</f>
        <v>0</v>
      </c>
      <c r="BG58" s="172">
        <f>_xll.LVCELL($AK$1,BG$3,$AK58,$AL$2,$AK$4,$AK$5,$AK$6,$AK$7,$AK$8,$AL$3)/1000</f>
        <v>0</v>
      </c>
      <c r="BH58" s="172">
        <f>_xll.LVCELL($AK$1,BH$3,$AK58,$AL$2,$AK$4,$AK$5,$AK$6,$AK$7,$AK$8,$AL$3)/1000</f>
        <v>0</v>
      </c>
      <c r="BI58" s="172">
        <f>_xll.LVCELL($AK$1,BI$3,$AK58,$AL$2,$AK$4,$AK$5,$AK$6,$AK$7,$AK$8,$AL$3)/1000</f>
        <v>0</v>
      </c>
      <c r="BJ58" s="172">
        <f>_xll.LVCELL($AK$1,BJ$3,$AK58,$AL$2,$AK$4,$AK$5,$AK$6,$AK$7,$AK$8,$AL$3)/1000</f>
        <v>0</v>
      </c>
      <c r="BK58" s="172">
        <f>_xll.LVCELL($AK$1,BK$3,$AK58,$AL$2,$AK$4,$AK$5,$AK$6,$AK$7,$AK$8,$AL$3)/1000</f>
        <v>0</v>
      </c>
      <c r="BL58" s="172">
        <f>_xll.LVCELL($AK$1,BL$2,$AK58,$AL$2,$AK$4,$AK$5,$AK$6,$AK$7,$AK$8,$AL$3)/1000</f>
        <v>0</v>
      </c>
      <c r="BM58" s="214">
        <f t="shared" si="6"/>
        <v>-1817.5568261450001</v>
      </c>
      <c r="BN58" s="217">
        <f t="shared" si="7"/>
        <v>-1817.5568261449998</v>
      </c>
      <c r="BO58" s="218">
        <f t="shared" si="7"/>
        <v>0</v>
      </c>
      <c r="BP58" s="193">
        <f t="shared" si="8"/>
        <v>-1</v>
      </c>
      <c r="BQ58" s="172" t="s">
        <v>3554</v>
      </c>
      <c r="BS58" s="198">
        <f t="shared" si="9"/>
        <v>75.578198853600853</v>
      </c>
      <c r="BT58" s="198">
        <f t="shared" si="10"/>
        <v>0</v>
      </c>
      <c r="BU58" s="198">
        <f t="shared" si="11"/>
        <v>-75.578198853600853</v>
      </c>
      <c r="BV58" s="199">
        <f t="shared" si="12"/>
        <v>-1</v>
      </c>
      <c r="BX58" s="200">
        <f t="shared" si="17"/>
        <v>-1817.5568261449998</v>
      </c>
      <c r="BY58" s="200">
        <f t="shared" si="18"/>
        <v>0</v>
      </c>
      <c r="BZ58" s="200">
        <f t="shared" si="15"/>
        <v>-1817.5568261449998</v>
      </c>
      <c r="CA58" s="526">
        <f t="shared" si="16"/>
        <v>0</v>
      </c>
    </row>
    <row r="59" spans="2:79">
      <c r="B59" s="64" t="str">
        <f>'1-EO_Calcul Reporting'!B80</f>
        <v>E6150</v>
      </c>
      <c r="C59" s="64" t="str">
        <f>'1-EO_Calcul Reporting'!C80</f>
        <v>E6150</v>
      </c>
      <c r="D59" s="192" t="str">
        <f>'1-EO_Calcul Reporting'!D80</f>
        <v>Fierville</v>
      </c>
      <c r="E59" s="172">
        <f>_xll.LVCELL($D$1,E$3,$C59,$D$2,$C$4,$C$5,$C$6,$C$7,$C$8,$D$3)/1000</f>
        <v>2151.1990000000001</v>
      </c>
      <c r="F59" s="172">
        <f>_xll.LVCELL($D$1,F$3,$C59,$D$2,$C$4,$C$5,$C$6,$C$7,$C$8,$D$3)/1000</f>
        <v>1773.2860000000001</v>
      </c>
      <c r="G59" s="172">
        <f>_xll.LVCELL($D$1,G$3,$C59,$D$2,$C$4,$C$5,$C$6,$C$7,$C$8,$D$3)/1000</f>
        <v>1611.575</v>
      </c>
      <c r="H59" s="172">
        <f>_xll.LVCELL($D$1,H$3,$C59,$D$2,$C$4,$C$5,$C$6,$C$7,$C$8,$D$3)/1000</f>
        <v>1291.058</v>
      </c>
      <c r="I59" s="172">
        <f>_xll.LVCELL($D$1,I$3,$C59,$D$2,$C$4,$C$5,$C$6,$C$7,$C$8,$D$3)/1000</f>
        <v>1210.0160000000001</v>
      </c>
      <c r="J59" s="172">
        <f>_xll.LVCELL($D$1,J$3,$C59,$D$2,$C$4,$C$5,$C$6,$C$7,$C$8,$D$3)/1000</f>
        <v>905.072</v>
      </c>
      <c r="K59" s="172">
        <f>_xll.LVCELL($D$1,K$3,$C59,$D$2,$C$4,$C$5,$C$6,$C$7,$C$8,$D$3)/1000</f>
        <v>920.351</v>
      </c>
      <c r="L59" s="172">
        <f>_xll.LVCELL($D$1,L$3,$C59,$D$2,$C$4,$C$5,$C$6,$C$7,$C$8,$D$3)/1000</f>
        <v>917.64400000000001</v>
      </c>
      <c r="M59" s="172">
        <f>_xll.LVCELL($D$1,M$3,$C59,$D$2,$C$4,$C$5,$C$6,$C$7,$C$8,$D$3)/1000</f>
        <v>1150.461</v>
      </c>
      <c r="N59" s="172">
        <f>_xll.LVCELL($D$1,N$3,$C59,$D$2,$C$4,$C$5,$C$6,$C$7,$C$8,$D$3)/1000</f>
        <v>1671.1320000000001</v>
      </c>
      <c r="O59" s="172">
        <f>_xll.LVCELL($D$1,O$3,$C59,$D$2,$C$4,$C$5,$C$6,$C$7,$C$8,$D$3)/1000</f>
        <v>1803.232</v>
      </c>
      <c r="P59" s="172">
        <f>_xll.LVCELL($D$1,P$3,$C59,$D$2,$C$4,$C$5,$C$6,$C$7,$C$8,$D$3)/1000</f>
        <v>2061.4119999999998</v>
      </c>
      <c r="Q59" s="172">
        <f>_xll.LVCELL($D$1,Q$2,$C59,$D$2,$C$4,$C$5,$C$6,$C$7,$C$8,$D$3)/1000</f>
        <v>17466.437999999998</v>
      </c>
      <c r="R59" s="172">
        <f>_xll.LVCELL($D$1,R$3,$C59,$D$2,$C$4,$C$5,$C$6,$C$7,$C$8,$D$3)/1000</f>
        <v>2155.6439999999998</v>
      </c>
      <c r="S59" s="172">
        <f>_xll.LVCELL($D$1,S$3,$C59,$D$2,$C$4,$C$5,$C$6,$C$7,$C$8,$D$3)/1000</f>
        <v>1776.95</v>
      </c>
      <c r="T59" s="172">
        <f>_xll.LVCELL($D$1,T$3,$C59,$D$2,$C$4,$C$5,$C$6,$C$7,$C$8,$D$3)/1000</f>
        <v>1614.905</v>
      </c>
      <c r="U59" s="172">
        <f>_xll.LVCELL($D$1,U$3,$C59,$D$2,$C$4,$C$5,$C$6,$C$7,$C$8,$D$3)/1000</f>
        <v>1293.7249999999999</v>
      </c>
      <c r="V59" s="172">
        <f>_xll.LVCELL($D$1,V$3,$C59,$D$2,$C$4,$C$5,$C$6,$C$7,$C$8,$D$3)/1000</f>
        <v>1212.5160000000001</v>
      </c>
      <c r="W59" s="172">
        <f>_xll.LVCELL($D$1,W$3,$C59,$D$2,$C$4,$C$5,$C$6,$C$7,$C$8,$D$3)/1000</f>
        <v>906.94200000000001</v>
      </c>
      <c r="X59" s="172">
        <f>_xll.LVCELL($D$1,X$3,$C59,$D$2,$C$4,$C$5,$C$6,$C$7,$C$8,$D$3)/1000</f>
        <v>922.25300000000004</v>
      </c>
      <c r="Y59" s="172">
        <f>_xll.LVCELL($D$1,Y$3,$C59,$D$2,$C$4,$C$5,$C$6,$C$7,$C$8,$D$3)/1000</f>
        <v>919.54</v>
      </c>
      <c r="Z59" s="172">
        <f>_xll.LVCELL($D$1,Z$3,$C59,$D$2,$C$4,$C$5,$C$6,$C$7,$C$8,$D$3)/1000</f>
        <v>1152.838</v>
      </c>
      <c r="AA59" s="172">
        <f>_xll.LVCELL($D$1,AA$3,$C59,$D$2,$C$4,$C$5,$C$6,$C$7,$C$8,$D$3)/1000</f>
        <v>1674.585</v>
      </c>
      <c r="AB59" s="172">
        <f>_xll.LVCELL($D$1,AB$3,$C59,$D$2,$C$4,$C$5,$C$6,$C$7,$C$8,$D$3)/1000</f>
        <v>1806.9570000000001</v>
      </c>
      <c r="AC59" s="172">
        <f>_xll.LVCELL($D$1,AC$3,$C59,$D$2,$C$4,$C$5,$C$6,$C$7,$C$8,$D$3)/1000</f>
        <v>2065.6709999999998</v>
      </c>
      <c r="AD59" s="172">
        <f>_xll.LVCELL($D$1,AD$2,$C59,$D$2,$C$4,$C$5,$C$6,$C$7,$C$8,$D$3)/1000</f>
        <v>17502.526000000002</v>
      </c>
      <c r="AE59" s="172">
        <f t="shared" si="1"/>
        <v>36.088000000003376</v>
      </c>
      <c r="AF59" s="193">
        <f t="shared" si="2"/>
        <v>2.0661339192342698E-3</v>
      </c>
      <c r="AG59" s="535"/>
      <c r="AJ59" s="64" t="str">
        <f t="shared" si="3"/>
        <v>E6150</v>
      </c>
      <c r="AK59" s="64" t="str">
        <f t="shared" si="4"/>
        <v>E6150</v>
      </c>
      <c r="AL59" s="192" t="str">
        <f t="shared" si="5"/>
        <v>Fierville</v>
      </c>
      <c r="AM59" s="172">
        <f>_xll.LVCELL($AK$1,AM$3,$AK59,$AL$2,$AK$4,$AK$5,$AK$6,$AK$7,$AK$8,$AL$3)/1000</f>
        <v>209.65155214200001</v>
      </c>
      <c r="AN59" s="172">
        <f>_xll.LVCELL($AK$1,AN$3,$AK59,$AL$2,$AK$4,$AK$5,$AK$6,$AK$7,$AK$8,$AL$3)/1000</f>
        <v>172.82090698799999</v>
      </c>
      <c r="AO59" s="172">
        <f>_xll.LVCELL($AK$1,AO$3,$AK59,$AL$2,$AK$4,$AK$5,$AK$6,$AK$7,$AK$8,$AL$3)/1000</f>
        <v>157.06087635</v>
      </c>
      <c r="AP59" s="172">
        <f>_xll.LVCELL($AK$1,AP$3,$AK59,$AL$2,$AK$4,$AK$5,$AK$6,$AK$7,$AK$8,$AL$3)/1000</f>
        <v>125.82393056399999</v>
      </c>
      <c r="AQ59" s="172">
        <f>_xll.LVCELL($AK$1,AQ$3,$AK59,$AL$2,$AK$4,$AK$5,$AK$6,$AK$7,$AK$8,$AL$3)/1000</f>
        <v>117.92573932799999</v>
      </c>
      <c r="AR59" s="172">
        <f>_xll.LVCELL($AK$1,AR$3,$AK59,$AL$2,$AK$4,$AK$5,$AK$6,$AK$7,$AK$8,$AL$3)/1000</f>
        <v>88.206506976</v>
      </c>
      <c r="AS59" s="172">
        <f>_xll.LVCELL($AK$1,AS$3,$AK59,$AL$2,$AK$4,$AK$5,$AK$6,$AK$7,$AK$8,$AL$3)/1000</f>
        <v>89.69556775800001</v>
      </c>
      <c r="AT59" s="172">
        <f>_xll.LVCELL($AK$1,AT$3,$AK59,$AL$2,$AK$4,$AK$5,$AK$6,$AK$7,$AK$8,$AL$3)/1000</f>
        <v>89.431748951999992</v>
      </c>
      <c r="AU59" s="172">
        <f>_xll.LVCELL($AK$1,AU$3,$AK59,$AL$2,$AK$4,$AK$5,$AK$6,$AK$7,$AK$8,$AL$3)/1000</f>
        <v>112.12162813800001</v>
      </c>
      <c r="AV59" s="172">
        <f>_xll.LVCELL($AK$1,AV$3,$AK59,$AL$2,$AK$4,$AK$5,$AK$6,$AK$7,$AK$8,$AL$3)/1000</f>
        <v>162.86518245600001</v>
      </c>
      <c r="AW59" s="172">
        <f>_xll.LVCELL($AK$1,AW$3,$AK59,$AL$2,$AK$4,$AK$5,$AK$6,$AK$7,$AK$8,$AL$3)/1000</f>
        <v>176.44264473599998</v>
      </c>
      <c r="AX59" s="172">
        <f>_xll.LVCELL($AK$1,AX$3,$AK59,$AL$2,$AK$4,$AK$5,$AK$6,$AK$7,$AK$8,$AL$3)/1000</f>
        <v>201.705041376</v>
      </c>
      <c r="AY59" s="172">
        <f>_xll.LVCELL($AK$1,AY$2,$AK59,$AL$2,$AK$4,$AK$5,$AK$6,$AK$7,$AK$8,$AL$3)/1000</f>
        <v>1703.7513257640001</v>
      </c>
      <c r="AZ59" s="172">
        <f>_xll.LVCELL($AK$1,AZ$3,$AK59,$AL$2,$AK$4,$AK$5,$AK$6,$AK$7,$AK$8,$AL$3)/1000</f>
        <v>214.23729932784002</v>
      </c>
      <c r="BA59" s="172">
        <f>_xll.LVCELL($AK$1,BA$3,$AK59,$AL$2,$AK$4,$AK$5,$AK$6,$AK$7,$AK$8,$AL$3)/1000</f>
        <v>176.60103850200002</v>
      </c>
      <c r="BB59" s="172">
        <f>_xll.LVCELL($AK$1,BB$3,$AK59,$AL$2,$AK$4,$AK$5,$AK$6,$AK$7,$AK$8,$AL$3)/1000</f>
        <v>160.4962998858</v>
      </c>
      <c r="BC59" s="172">
        <f>_xll.LVCELL($AK$1,BC$3,$AK59,$AL$2,$AK$4,$AK$5,$AK$6,$AK$7,$AK$8,$AL$3)/1000</f>
        <v>128.57603114099999</v>
      </c>
      <c r="BD59" s="172">
        <f>_xll.LVCELL($AK$1,BD$3,$AK59,$AL$2,$AK$4,$AK$5,$AK$6,$AK$7,$AK$8,$AL$3)/1000</f>
        <v>120.50512664976</v>
      </c>
      <c r="BE59" s="172">
        <f>_xll.LVCELL($AK$1,BE$3,$AK59,$AL$2,$AK$4,$AK$5,$AK$6,$AK$7,$AK$8,$AL$3)/1000</f>
        <v>90.135850227120002</v>
      </c>
      <c r="BF59" s="172">
        <f>_xll.LVCELL($AK$1,BF$3,$AK59,$AL$2,$AK$4,$AK$5,$AK$6,$AK$7,$AK$8,$AL$3)/1000</f>
        <v>91.657524163079998</v>
      </c>
      <c r="BG59" s="172">
        <f>_xll.LVCELL($AK$1,BG$3,$AK59,$AL$2,$AK$4,$AK$5,$AK$6,$AK$7,$AK$8,$AL$3)/1000</f>
        <v>91.387894394400007</v>
      </c>
      <c r="BH59" s="172">
        <f>_xll.LVCELL($AK$1,BH$3,$AK59,$AL$2,$AK$4,$AK$5,$AK$6,$AK$7,$AK$8,$AL$3)/1000</f>
        <v>114.57406681367999</v>
      </c>
      <c r="BI59" s="172">
        <f>_xll.LVCELL($AK$1,BI$3,$AK59,$AL$2,$AK$4,$AK$5,$AK$6,$AK$7,$AK$8,$AL$3)/1000</f>
        <v>166.42755849060001</v>
      </c>
      <c r="BJ59" s="172">
        <f>_xll.LVCELL($AK$1,BJ$3,$AK59,$AL$2,$AK$4,$AK$5,$AK$6,$AK$7,$AK$8,$AL$3)/1000</f>
        <v>183.71367958140002</v>
      </c>
      <c r="BK59" s="172">
        <f>_xll.LVCELL($AK$1,BK$3,$AK59,$AL$2,$AK$4,$AK$5,$AK$6,$AK$7,$AK$8,$AL$3)/1000</f>
        <v>210.01718370419999</v>
      </c>
      <c r="BL59" s="172">
        <f>_xll.LVCELL($AK$1,BL$2,$AK59,$AL$2,$AK$4,$AK$5,$AK$6,$AK$7,$AK$8,$AL$3)/1000</f>
        <v>1748.3295528808799</v>
      </c>
      <c r="BM59" s="214">
        <f t="shared" si="6"/>
        <v>44.578227116879816</v>
      </c>
      <c r="BN59" s="217">
        <f t="shared" si="7"/>
        <v>3.5201784041014541</v>
      </c>
      <c r="BO59" s="218">
        <f t="shared" si="7"/>
        <v>41.058048712778408</v>
      </c>
      <c r="BP59" s="193">
        <f t="shared" si="8"/>
        <v>2.6164749774671536E-2</v>
      </c>
      <c r="BQ59" s="172"/>
      <c r="BS59" s="198">
        <f t="shared" si="9"/>
        <v>97.54429184496577</v>
      </c>
      <c r="BT59" s="198">
        <f t="shared" si="10"/>
        <v>99.890127452510555</v>
      </c>
      <c r="BU59" s="198">
        <f t="shared" si="11"/>
        <v>2.3458356075447853</v>
      </c>
      <c r="BV59" s="199">
        <f t="shared" si="12"/>
        <v>2.4048927550503849E-2</v>
      </c>
      <c r="BX59" s="200">
        <f t="shared" si="17"/>
        <v>3.5201784041014541</v>
      </c>
      <c r="BY59" s="200">
        <f t="shared" si="18"/>
        <v>41.058048712778408</v>
      </c>
      <c r="BZ59" s="200">
        <f t="shared" si="15"/>
        <v>44.578227116879859</v>
      </c>
      <c r="CA59" s="526">
        <f t="shared" si="16"/>
        <v>0</v>
      </c>
    </row>
    <row r="60" spans="2:79">
      <c r="B60" s="64" t="str">
        <f>'1-EO_Calcul Reporting'!B81</f>
        <v>E6340</v>
      </c>
      <c r="C60" s="64" t="str">
        <f>'1-EO_Calcul Reporting'!C81</f>
        <v>E6340</v>
      </c>
      <c r="D60" s="192" t="str">
        <f>'1-EO_Calcul Reporting'!D81</f>
        <v>Plaine de Beaunay</v>
      </c>
      <c r="E60" s="172">
        <f>_xll.LVCELL($D$1,E$3,$C60,$D$2,$C$4,$C$5,$C$6,$C$7,$C$8,$D$3)/1000</f>
        <v>3555.2750000000001</v>
      </c>
      <c r="F60" s="172">
        <f>_xll.LVCELL($D$1,F$3,$C60,$D$2,$C$4,$C$5,$C$6,$C$7,$C$8,$D$3)/1000</f>
        <v>2892.7440000000001</v>
      </c>
      <c r="G60" s="172">
        <f>_xll.LVCELL($D$1,G$3,$C60,$D$2,$C$4,$C$5,$C$6,$C$7,$C$8,$D$3)/1000</f>
        <v>2653.212</v>
      </c>
      <c r="H60" s="172">
        <f>_xll.LVCELL($D$1,H$3,$C60,$D$2,$C$4,$C$5,$C$6,$C$7,$C$8,$D$3)/1000</f>
        <v>2027.7919999999999</v>
      </c>
      <c r="I60" s="172">
        <f>_xll.LVCELL($D$1,I$3,$C60,$D$2,$C$4,$C$5,$C$6,$C$7,$C$8,$D$3)/1000</f>
        <v>1955.1949999999999</v>
      </c>
      <c r="J60" s="172">
        <f>_xll.LVCELL($D$1,J$3,$C60,$D$2,$C$4,$C$5,$C$6,$C$7,$C$8,$D$3)/1000</f>
        <v>1461.6790000000001</v>
      </c>
      <c r="K60" s="172">
        <f>_xll.LVCELL($D$1,K$3,$C60,$D$2,$C$4,$C$5,$C$6,$C$7,$C$8,$D$3)/1000</f>
        <v>1451.683</v>
      </c>
      <c r="L60" s="172">
        <f>_xll.LVCELL($D$1,L$3,$C60,$D$2,$C$4,$C$5,$C$6,$C$7,$C$8,$D$3)/1000</f>
        <v>1476.6389999999999</v>
      </c>
      <c r="M60" s="172">
        <f>_xll.LVCELL($D$1,M$3,$C60,$D$2,$C$4,$C$5,$C$6,$C$7,$C$8,$D$3)/1000</f>
        <v>1816.8320000000001</v>
      </c>
      <c r="N60" s="172">
        <f>_xll.LVCELL($D$1,N$3,$C60,$D$2,$C$4,$C$5,$C$6,$C$7,$C$8,$D$3)/1000</f>
        <v>2747.1610000000001</v>
      </c>
      <c r="O60" s="172">
        <f>_xll.LVCELL($D$1,O$3,$C60,$D$2,$C$4,$C$5,$C$6,$C$7,$C$8,$D$3)/1000</f>
        <v>2892.944</v>
      </c>
      <c r="P60" s="172">
        <f>_xll.LVCELL($D$1,P$3,$C60,$D$2,$C$4,$C$5,$C$6,$C$7,$C$8,$D$3)/1000</f>
        <v>3368.8440000000001</v>
      </c>
      <c r="Q60" s="172">
        <f>_xll.LVCELL($D$1,Q$2,$C60,$D$2,$C$4,$C$5,$C$6,$C$7,$C$8,$D$3)/1000</f>
        <v>28300</v>
      </c>
      <c r="R60" s="172">
        <f>_xll.LVCELL($D$1,R$3,$C60,$D$2,$C$4,$C$5,$C$6,$C$7,$C$8,$D$3)/1000</f>
        <v>3576.607</v>
      </c>
      <c r="S60" s="172">
        <f>_xll.LVCELL($D$1,S$3,$C60,$D$2,$C$4,$C$5,$C$6,$C$7,$C$8,$D$3)/1000</f>
        <v>2910.1010000000001</v>
      </c>
      <c r="T60" s="172">
        <f>_xll.LVCELL($D$1,T$3,$C60,$D$2,$C$4,$C$5,$C$6,$C$7,$C$8,$D$3)/1000</f>
        <v>2669.1309999999999</v>
      </c>
      <c r="U60" s="172">
        <f>_xll.LVCELL($D$1,U$3,$C60,$D$2,$C$4,$C$5,$C$6,$C$7,$C$8,$D$3)/1000</f>
        <v>2039.9590000000001</v>
      </c>
      <c r="V60" s="172">
        <f>_xll.LVCELL($D$1,V$3,$C60,$D$2,$C$4,$C$5,$C$6,$C$7,$C$8,$D$3)/1000</f>
        <v>1966.9259999999999</v>
      </c>
      <c r="W60" s="172">
        <f>_xll.LVCELL($D$1,W$3,$C60,$D$2,$C$4,$C$5,$C$6,$C$7,$C$8,$D$3)/1000</f>
        <v>1470.4490000000001</v>
      </c>
      <c r="X60" s="172">
        <f>_xll.LVCELL($D$1,X$3,$C60,$D$2,$C$4,$C$5,$C$6,$C$7,$C$8,$D$3)/1000</f>
        <v>1460.393</v>
      </c>
      <c r="Y60" s="172">
        <f>_xll.LVCELL($D$1,Y$3,$C60,$D$2,$C$4,$C$5,$C$6,$C$7,$C$8,$D$3)/1000</f>
        <v>1485.499</v>
      </c>
      <c r="Z60" s="172">
        <f>_xll.LVCELL($D$1,Z$3,$C60,$D$2,$C$4,$C$5,$C$6,$C$7,$C$8,$D$3)/1000</f>
        <v>1827.7329999999999</v>
      </c>
      <c r="AA60" s="172">
        <f>_xll.LVCELL($D$1,AA$3,$C60,$D$2,$C$4,$C$5,$C$6,$C$7,$C$8,$D$3)/1000</f>
        <v>2763.6439999999998</v>
      </c>
      <c r="AB60" s="172">
        <f>_xll.LVCELL($D$1,AB$3,$C60,$D$2,$C$4,$C$5,$C$6,$C$7,$C$8,$D$3)/1000</f>
        <v>2910.3009999999999</v>
      </c>
      <c r="AC60" s="172">
        <f>_xll.LVCELL($D$1,AC$3,$C60,$D$2,$C$4,$C$5,$C$6,$C$7,$C$8,$D$3)/1000</f>
        <v>3389.0569999999998</v>
      </c>
      <c r="AD60" s="172">
        <f>_xll.LVCELL($D$1,AD$2,$C60,$D$2,$C$4,$C$5,$C$6,$C$7,$C$8,$D$3)/1000</f>
        <v>28469.8</v>
      </c>
      <c r="AE60" s="172">
        <f t="shared" si="1"/>
        <v>169.79999999999927</v>
      </c>
      <c r="AF60" s="193">
        <f t="shared" si="2"/>
        <v>6.0000000000000053E-3</v>
      </c>
      <c r="AG60" s="535"/>
      <c r="AJ60" s="64" t="str">
        <f t="shared" si="3"/>
        <v>E6340</v>
      </c>
      <c r="AK60" s="64" t="str">
        <f t="shared" si="4"/>
        <v>E6340</v>
      </c>
      <c r="AL60" s="192" t="str">
        <f t="shared" si="5"/>
        <v>Plaine de Beaunay</v>
      </c>
      <c r="AM60" s="172">
        <f>_xll.LVCELL($AK$1,AM$3,$AK60,$AL$2,$AK$4,$AK$5,$AK$6,$AK$7,$AK$8,$AL$3)/1000</f>
        <v>309.58268117499995</v>
      </c>
      <c r="AN60" s="172">
        <f>_xll.LVCELL($AK$1,AN$3,$AK60,$AL$2,$AK$4,$AK$5,$AK$6,$AK$7,$AK$8,$AL$3)/1000</f>
        <v>251.891469288</v>
      </c>
      <c r="AO60" s="172">
        <f>_xll.LVCELL($AK$1,AO$3,$AK60,$AL$2,$AK$4,$AK$5,$AK$6,$AK$7,$AK$8,$AL$3)/1000</f>
        <v>231.033741324</v>
      </c>
      <c r="AP60" s="172">
        <f>_xll.LVCELL($AK$1,AP$3,$AK60,$AL$2,$AK$4,$AK$5,$AK$6,$AK$7,$AK$8,$AL$3)/1000</f>
        <v>176.57404398399999</v>
      </c>
      <c r="AQ60" s="172">
        <f>_xll.LVCELL($AK$1,AQ$3,$AK60,$AL$2,$AK$4,$AK$5,$AK$6,$AK$7,$AK$8,$AL$3)/1000</f>
        <v>170.252515015</v>
      </c>
      <c r="AR60" s="172">
        <f>_xll.LVCELL($AK$1,AR$3,$AK60,$AL$2,$AK$4,$AK$5,$AK$6,$AK$7,$AK$8,$AL$3)/1000</f>
        <v>127.278622283</v>
      </c>
      <c r="AS60" s="172">
        <f>_xll.LVCELL($AK$1,AS$3,$AK60,$AL$2,$AK$4,$AK$5,$AK$6,$AK$7,$AK$8,$AL$3)/1000</f>
        <v>126.408200591</v>
      </c>
      <c r="AT60" s="172">
        <f>_xll.LVCELL($AK$1,AT$3,$AK60,$AL$2,$AK$4,$AK$5,$AK$6,$AK$7,$AK$8,$AL$3)/1000</f>
        <v>128.581294203</v>
      </c>
      <c r="AU60" s="172">
        <f>_xll.LVCELL($AK$1,AU$3,$AK60,$AL$2,$AK$4,$AK$5,$AK$6,$AK$7,$AK$8,$AL$3)/1000</f>
        <v>158.20428006399999</v>
      </c>
      <c r="AV60" s="172">
        <f>_xll.LVCELL($AK$1,AV$3,$AK60,$AL$2,$AK$4,$AK$5,$AK$6,$AK$7,$AK$8,$AL$3)/1000</f>
        <v>239.21453839699998</v>
      </c>
      <c r="AW60" s="172">
        <f>_xll.LVCELL($AK$1,AW$3,$AK60,$AL$2,$AK$4,$AK$5,$AK$6,$AK$7,$AK$8,$AL$3)/1000</f>
        <v>252.91562919999998</v>
      </c>
      <c r="AX60" s="172">
        <f>_xll.LVCELL($AK$1,AX$3,$AK60,$AL$2,$AK$4,$AK$5,$AK$6,$AK$7,$AK$8,$AL$3)/1000</f>
        <v>294.52118670000004</v>
      </c>
      <c r="AY60" s="172">
        <f>_xll.LVCELL($AK$1,AY$2,$AK60,$AL$2,$AK$4,$AK$5,$AK$6,$AK$7,$AK$8,$AL$3)/1000</f>
        <v>2466.4582022239997</v>
      </c>
      <c r="AZ60" s="172">
        <f>_xll.LVCELL($AK$1,AZ$3,$AK60,$AL$2,$AK$4,$AK$5,$AK$6,$AK$7,$AK$8,$AL$3)/1000</f>
        <v>317.44347463296697</v>
      </c>
      <c r="BA60" s="172">
        <f>_xll.LVCELL($AK$1,BA$3,$AK60,$AL$2,$AK$4,$AK$5,$AK$6,$AK$7,$AK$8,$AL$3)/1000</f>
        <v>258.28741401358099</v>
      </c>
      <c r="BB60" s="172">
        <f>_xll.LVCELL($AK$1,BB$3,$AK60,$AL$2,$AK$4,$AK$5,$AK$6,$AK$7,$AK$8,$AL$3)/1000</f>
        <v>236.900005757011</v>
      </c>
      <c r="BC60" s="172">
        <f>_xll.LVCELL($AK$1,BC$3,$AK60,$AL$2,$AK$4,$AK$5,$AK$6,$AK$7,$AK$8,$AL$3)/1000</f>
        <v>181.05754226527898</v>
      </c>
      <c r="BD60" s="172">
        <f>_xll.LVCELL($AK$1,BD$3,$AK60,$AL$2,$AK$4,$AK$5,$AK$6,$AK$7,$AK$8,$AL$3)/1000</f>
        <v>174.57546322140601</v>
      </c>
      <c r="BE60" s="172">
        <f>_xll.LVCELL($AK$1,BE$3,$AK60,$AL$2,$AK$4,$AK$5,$AK$6,$AK$7,$AK$8,$AL$3)/1000</f>
        <v>130.51040828096899</v>
      </c>
      <c r="BF60" s="172">
        <f>_xll.LVCELL($AK$1,BF$3,$AK60,$AL$2,$AK$4,$AK$5,$AK$6,$AK$7,$AK$8,$AL$3)/1000</f>
        <v>129.617883164033</v>
      </c>
      <c r="BG60" s="172">
        <f>_xll.LVCELL($AK$1,BG$3,$AK60,$AL$2,$AK$4,$AK$5,$AK$6,$AK$7,$AK$8,$AL$3)/1000</f>
        <v>131.84617827001901</v>
      </c>
      <c r="BH60" s="172">
        <f>_xll.LVCELL($AK$1,BH$3,$AK60,$AL$2,$AK$4,$AK$5,$AK$6,$AK$7,$AK$8,$AL$3)/1000</f>
        <v>162.221321554573</v>
      </c>
      <c r="BI60" s="172">
        <f>_xll.LVCELL($AK$1,BI$3,$AK60,$AL$2,$AK$4,$AK$5,$AK$6,$AK$7,$AK$8,$AL$3)/1000</f>
        <v>245.28855253276402</v>
      </c>
      <c r="BJ60" s="172">
        <f>_xll.LVCELL($AK$1,BJ$3,$AK60,$AL$2,$AK$4,$AK$5,$AK$6,$AK$7,$AK$8,$AL$3)/1000</f>
        <v>264.24618372395696</v>
      </c>
      <c r="BK60" s="172">
        <f>_xll.LVCELL($AK$1,BK$3,$AK60,$AL$2,$AK$4,$AK$5,$AK$6,$AK$7,$AK$8,$AL$3)/1000</f>
        <v>307.71572379384901</v>
      </c>
      <c r="BL60" s="172">
        <f>_xll.LVCELL($AK$1,BL$2,$AK60,$AL$2,$AK$4,$AK$5,$AK$6,$AK$7,$AK$8,$AL$3)/1000</f>
        <v>2539.7101512104082</v>
      </c>
      <c r="BM60" s="214">
        <f t="shared" si="6"/>
        <v>73.251948986408479</v>
      </c>
      <c r="BN60" s="217">
        <f t="shared" si="7"/>
        <v>14.798749213343935</v>
      </c>
      <c r="BO60" s="218">
        <f t="shared" si="7"/>
        <v>58.453199773064469</v>
      </c>
      <c r="BP60" s="193">
        <f t="shared" si="8"/>
        <v>2.9699246036424709E-2</v>
      </c>
      <c r="BQ60" s="172"/>
      <c r="BS60" s="198">
        <f t="shared" si="9"/>
        <v>87.154000078586563</v>
      </c>
      <c r="BT60" s="198">
        <f t="shared" si="10"/>
        <v>89.207165178905655</v>
      </c>
      <c r="BU60" s="198">
        <f t="shared" si="11"/>
        <v>2.0531651003190916</v>
      </c>
      <c r="BV60" s="199">
        <f t="shared" si="12"/>
        <v>2.3557898644557419E-2</v>
      </c>
      <c r="BX60" s="200">
        <f t="shared" si="17"/>
        <v>14.798749213343935</v>
      </c>
      <c r="BY60" s="200">
        <f t="shared" si="18"/>
        <v>58.453199773064469</v>
      </c>
      <c r="BZ60" s="200">
        <f t="shared" si="15"/>
        <v>73.251948986408408</v>
      </c>
      <c r="CA60" s="526">
        <f t="shared" si="16"/>
        <v>0</v>
      </c>
    </row>
    <row r="61" spans="2:79">
      <c r="B61" s="64" t="str">
        <f>'1-EO_Calcul Reporting'!B82</f>
        <v>E6370</v>
      </c>
      <c r="C61" s="64" t="str">
        <f>'1-EO_Calcul Reporting'!C82</f>
        <v>E6370</v>
      </c>
      <c r="D61" s="192" t="s">
        <v>2638</v>
      </c>
      <c r="E61" s="172">
        <f>_xll.LVCELL($D$1,E$3,$C61,$D$2,$C$4,$C$5,$C$6,$C$7,$C$8,$D$3)/1000</f>
        <v>4428.098</v>
      </c>
      <c r="F61" s="172">
        <f>_xll.LVCELL($D$1,F$3,$C61,$D$2,$C$4,$C$5,$C$6,$C$7,$C$8,$D$3)/1000</f>
        <v>3611.9110000000001</v>
      </c>
      <c r="G61" s="172">
        <f>_xll.LVCELL($D$1,G$3,$C61,$D$2,$C$4,$C$5,$C$6,$C$7,$C$8,$D$3)/1000</f>
        <v>3416.8919999999998</v>
      </c>
      <c r="H61" s="172">
        <f>_xll.LVCELL($D$1,H$3,$C61,$D$2,$C$4,$C$5,$C$6,$C$7,$C$8,$D$3)/1000</f>
        <v>2656.5079999999998</v>
      </c>
      <c r="I61" s="172">
        <f>_xll.LVCELL($D$1,I$3,$C61,$D$2,$C$4,$C$5,$C$6,$C$7,$C$8,$D$3)/1000</f>
        <v>2562.8510000000001</v>
      </c>
      <c r="J61" s="172">
        <f>_xll.LVCELL($D$1,J$3,$C61,$D$2,$C$4,$C$5,$C$6,$C$7,$C$8,$D$3)/1000</f>
        <v>2005.51</v>
      </c>
      <c r="K61" s="172">
        <f>_xll.LVCELL($D$1,K$3,$C61,$D$2,$C$4,$C$5,$C$6,$C$7,$C$8,$D$3)/1000</f>
        <v>1992.0509999999999</v>
      </c>
      <c r="L61" s="172">
        <f>_xll.LVCELL($D$1,L$3,$C61,$D$2,$C$4,$C$5,$C$6,$C$7,$C$8,$D$3)/1000</f>
        <v>2024.002</v>
      </c>
      <c r="M61" s="172">
        <f>_xll.LVCELL($D$1,M$3,$C61,$D$2,$C$4,$C$5,$C$6,$C$7,$C$8,$D$3)/1000</f>
        <v>2428.366</v>
      </c>
      <c r="N61" s="172">
        <f>_xll.LVCELL($D$1,N$3,$C61,$D$2,$C$4,$C$5,$C$6,$C$7,$C$8,$D$3)/1000</f>
        <v>3525.6979999999999</v>
      </c>
      <c r="O61" s="172">
        <f>_xll.LVCELL($D$1,O$3,$C61,$D$2,$C$4,$C$5,$C$6,$C$7,$C$8,$D$3)/1000</f>
        <v>3610.8589999999999</v>
      </c>
      <c r="P61" s="172">
        <f>_xll.LVCELL($D$1,P$3,$C61,$D$2,$C$4,$C$5,$C$6,$C$7,$C$8,$D$3)/1000</f>
        <v>4237.2550000000001</v>
      </c>
      <c r="Q61" s="172">
        <f>_xll.LVCELL($D$1,Q$2,$C61,$D$2,$C$4,$C$5,$C$6,$C$7,$C$8,$D$3)/1000</f>
        <v>36500.000999999997</v>
      </c>
      <c r="R61" s="172">
        <f>_xll.LVCELL($D$1,R$3,$C61,$D$2,$C$4,$C$5,$C$6,$C$7,$C$8,$D$3)/1000</f>
        <v>4463.8990000000003</v>
      </c>
      <c r="S61" s="172">
        <f>_xll.LVCELL($D$1,S$3,$C61,$D$2,$C$4,$C$5,$C$6,$C$7,$C$8,$D$3)/1000</f>
        <v>3641.1129999999998</v>
      </c>
      <c r="T61" s="172">
        <f>_xll.LVCELL($D$1,T$3,$C61,$D$2,$C$4,$C$5,$C$6,$C$7,$C$8,$D$3)/1000</f>
        <v>3444.518</v>
      </c>
      <c r="U61" s="172">
        <f>_xll.LVCELL($D$1,U$3,$C61,$D$2,$C$4,$C$5,$C$6,$C$7,$C$8,$D$3)/1000</f>
        <v>2677.9850000000001</v>
      </c>
      <c r="V61" s="172">
        <f>_xll.LVCELL($D$1,V$3,$C61,$D$2,$C$4,$C$5,$C$6,$C$7,$C$8,$D$3)/1000</f>
        <v>2583.5709999999999</v>
      </c>
      <c r="W61" s="172">
        <f>_xll.LVCELL($D$1,W$3,$C61,$D$2,$C$4,$C$5,$C$6,$C$7,$C$8,$D$3)/1000</f>
        <v>2021.7239999999999</v>
      </c>
      <c r="X61" s="172">
        <f>_xll.LVCELL($D$1,X$3,$C61,$D$2,$C$4,$C$5,$C$6,$C$7,$C$8,$D$3)/1000</f>
        <v>2008.1569999999999</v>
      </c>
      <c r="Y61" s="172">
        <f>_xll.LVCELL($D$1,Y$3,$C61,$D$2,$C$4,$C$5,$C$6,$C$7,$C$8,$D$3)/1000</f>
        <v>2040.366</v>
      </c>
      <c r="Z61" s="172">
        <f>_xll.LVCELL($D$1,Z$3,$C61,$D$2,$C$4,$C$5,$C$6,$C$7,$C$8,$D$3)/1000</f>
        <v>2447.9989999999998</v>
      </c>
      <c r="AA61" s="172">
        <f>_xll.LVCELL($D$1,AA$3,$C61,$D$2,$C$4,$C$5,$C$6,$C$7,$C$8,$D$3)/1000</f>
        <v>3554.203</v>
      </c>
      <c r="AB61" s="172">
        <f>_xll.LVCELL($D$1,AB$3,$C61,$D$2,$C$4,$C$5,$C$6,$C$7,$C$8,$D$3)/1000</f>
        <v>3640.0529999999999</v>
      </c>
      <c r="AC61" s="172">
        <f>_xll.LVCELL($D$1,AC$3,$C61,$D$2,$C$4,$C$5,$C$6,$C$7,$C$8,$D$3)/1000</f>
        <v>4271.5129999999999</v>
      </c>
      <c r="AD61" s="172">
        <f>_xll.LVCELL($D$1,AD$2,$C61,$D$2,$C$4,$C$5,$C$6,$C$7,$C$8,$D$3)/1000</f>
        <v>36795.101000000002</v>
      </c>
      <c r="AE61" s="172">
        <f t="shared" si="1"/>
        <v>295.10000000000582</v>
      </c>
      <c r="AF61" s="193">
        <f t="shared" si="2"/>
        <v>8.0849312853445987E-3</v>
      </c>
      <c r="AG61" s="535"/>
      <c r="AJ61" s="64" t="str">
        <f t="shared" si="3"/>
        <v>E6370</v>
      </c>
      <c r="AK61" s="64" t="str">
        <f t="shared" si="4"/>
        <v>E6370</v>
      </c>
      <c r="AL61" s="192" t="str">
        <f t="shared" si="5"/>
        <v>Val au Moines 1/2</v>
      </c>
      <c r="AM61" s="172">
        <f>_xll.LVCELL($AK$1,AM$3,$AK61,$AL$2,$AK$4,$AK$5,$AK$6,$AK$7,$AK$8,$AL$3)/1000</f>
        <v>385.49692758600003</v>
      </c>
      <c r="AN61" s="172">
        <f>_xll.LVCELL($AK$1,AN$3,$AK61,$AL$2,$AK$4,$AK$5,$AK$6,$AK$7,$AK$8,$AL$3)/1000</f>
        <v>314.44213592700004</v>
      </c>
      <c r="AO61" s="172">
        <f>_xll.LVCELL($AK$1,AO$3,$AK61,$AL$2,$AK$4,$AK$5,$AK$6,$AK$7,$AK$8,$AL$3)/1000</f>
        <v>297.46436684399998</v>
      </c>
      <c r="AP61" s="172">
        <f>_xll.LVCELL($AK$1,AP$3,$AK61,$AL$2,$AK$4,$AK$5,$AK$6,$AK$7,$AK$8,$AL$3)/1000</f>
        <v>231.26761695600001</v>
      </c>
      <c r="AQ61" s="172">
        <f>_xll.LVCELL($AK$1,AQ$3,$AK61,$AL$2,$AK$4,$AK$5,$AK$6,$AK$7,$AK$8,$AL$3)/1000</f>
        <v>223.114119507</v>
      </c>
      <c r="AR61" s="172">
        <f>_xll.LVCELL($AK$1,AR$3,$AK61,$AL$2,$AK$4,$AK$5,$AK$6,$AK$7,$AK$8,$AL$3)/1000</f>
        <v>174.59368406999999</v>
      </c>
      <c r="AS61" s="172">
        <f>_xll.LVCELL($AK$1,AS$3,$AK61,$AL$2,$AK$4,$AK$5,$AK$6,$AK$7,$AK$8,$AL$3)/1000</f>
        <v>173.421983907</v>
      </c>
      <c r="AT61" s="172">
        <f>_xll.LVCELL($AK$1,AT$3,$AK61,$AL$2,$AK$4,$AK$5,$AK$6,$AK$7,$AK$8,$AL$3)/1000</f>
        <v>176.20354211400002</v>
      </c>
      <c r="AU61" s="172">
        <f>_xll.LVCELL($AK$1,AU$3,$AK61,$AL$2,$AK$4,$AK$5,$AK$6,$AK$7,$AK$8,$AL$3)/1000</f>
        <v>211.40625886199999</v>
      </c>
      <c r="AV61" s="172">
        <f>_xll.LVCELL($AK$1,AV$3,$AK61,$AL$2,$AK$4,$AK$5,$AK$6,$AK$7,$AK$8,$AL$3)/1000</f>
        <v>306.93669078599999</v>
      </c>
      <c r="AW61" s="172">
        <f>_xll.LVCELL($AK$1,AW$3,$AK61,$AL$2,$AK$4,$AK$5,$AK$6,$AK$7,$AK$8,$AL$3)/1000</f>
        <v>315.60713089500001</v>
      </c>
      <c r="AX61" s="172">
        <f>_xll.LVCELL($AK$1,AX$3,$AK61,$AL$2,$AK$4,$AK$5,$AK$6,$AK$7,$AK$8,$AL$3)/1000</f>
        <v>370.35727327500001</v>
      </c>
      <c r="AY61" s="172">
        <f>_xll.LVCELL($AK$1,AY$2,$AK61,$AL$2,$AK$4,$AK$5,$AK$6,$AK$7,$AK$8,$AL$3)/1000</f>
        <v>3180.3117307290004</v>
      </c>
      <c r="AZ61" s="172">
        <f>_xll.LVCELL($AK$1,AZ$3,$AK61,$AL$2,$AK$4,$AK$5,$AK$6,$AK$7,$AK$8,$AL$3)/1000</f>
        <v>396.10427864045499</v>
      </c>
      <c r="BA61" s="172">
        <f>_xll.LVCELL($AK$1,BA$3,$AK61,$AL$2,$AK$4,$AK$5,$AK$6,$AK$7,$AK$8,$AL$3)/1000</f>
        <v>323.09432590508504</v>
      </c>
      <c r="BB61" s="172">
        <f>_xll.LVCELL($AK$1,BB$3,$AK61,$AL$2,$AK$4,$AK$5,$AK$6,$AK$7,$AK$8,$AL$3)/1000</f>
        <v>305.64945973330998</v>
      </c>
      <c r="BC61" s="172">
        <f>_xll.LVCELL($AK$1,BC$3,$AK61,$AL$2,$AK$4,$AK$5,$AK$6,$AK$7,$AK$8,$AL$3)/1000</f>
        <v>237.63111948432498</v>
      </c>
      <c r="BD61" s="172">
        <f>_xll.LVCELL($AK$1,BD$3,$AK61,$AL$2,$AK$4,$AK$5,$AK$6,$AK$7,$AK$8,$AL$3)/1000</f>
        <v>229.253288945695</v>
      </c>
      <c r="BE61" s="172">
        <f>_xll.LVCELL($AK$1,BE$3,$AK61,$AL$2,$AK$4,$AK$5,$AK$6,$AK$7,$AK$8,$AL$3)/1000</f>
        <v>179.39777011758</v>
      </c>
      <c r="BF61" s="172">
        <f>_xll.LVCELL($AK$1,BF$3,$AK61,$AL$2,$AK$4,$AK$5,$AK$6,$AK$7,$AK$8,$AL$3)/1000</f>
        <v>178.19390176206502</v>
      </c>
      <c r="BG61" s="172">
        <f>_xll.LVCELL($AK$1,BG$3,$AK61,$AL$2,$AK$4,$AK$5,$AK$6,$AK$7,$AK$8,$AL$3)/1000</f>
        <v>181.05196882646999</v>
      </c>
      <c r="BH61" s="172">
        <f>_xll.LVCELL($AK$1,BH$3,$AK61,$AL$2,$AK$4,$AK$5,$AK$6,$AK$7,$AK$8,$AL$3)/1000</f>
        <v>217.223301424955</v>
      </c>
      <c r="BI61" s="172">
        <f>_xll.LVCELL($AK$1,BI$3,$AK61,$AL$2,$AK$4,$AK$5,$AK$6,$AK$7,$AK$8,$AL$3)/1000</f>
        <v>315.38236314413501</v>
      </c>
      <c r="BJ61" s="172">
        <f>_xll.LVCELL($AK$1,BJ$3,$AK61,$AL$2,$AK$4,$AK$5,$AK$6,$AK$7,$AK$8,$AL$3)/1000</f>
        <v>330.42927276540297</v>
      </c>
      <c r="BK61" s="172">
        <f>_xll.LVCELL($AK$1,BK$3,$AK61,$AL$2,$AK$4,$AK$5,$AK$6,$AK$7,$AK$8,$AL$3)/1000</f>
        <v>387.75065478386301</v>
      </c>
      <c r="BL61" s="172">
        <f>_xll.LVCELL($AK$1,BL$2,$AK61,$AL$2,$AK$4,$AK$5,$AK$6,$AK$7,$AK$8,$AL$3)/1000</f>
        <v>3281.1617055333409</v>
      </c>
      <c r="BM61" s="214">
        <f t="shared" si="6"/>
        <v>100.84997480434049</v>
      </c>
      <c r="BN61" s="217">
        <f t="shared" si="7"/>
        <v>25.712601808919032</v>
      </c>
      <c r="BO61" s="218">
        <f t="shared" si="7"/>
        <v>75.137372995421842</v>
      </c>
      <c r="BP61" s="193">
        <f t="shared" si="8"/>
        <v>3.1710719999521464E-2</v>
      </c>
      <c r="BQ61" s="172"/>
      <c r="BS61" s="198">
        <f t="shared" si="9"/>
        <v>87.131825851977382</v>
      </c>
      <c r="BT61" s="198">
        <f t="shared" si="10"/>
        <v>89.173874139748676</v>
      </c>
      <c r="BU61" s="198">
        <f t="shared" si="11"/>
        <v>2.0420482877712942</v>
      </c>
      <c r="BV61" s="199">
        <f t="shared" si="12"/>
        <v>2.3436307776224016E-2</v>
      </c>
      <c r="BX61" s="200">
        <f t="shared" si="17"/>
        <v>25.712601808919032</v>
      </c>
      <c r="BY61" s="200">
        <f t="shared" si="18"/>
        <v>75.137372995421842</v>
      </c>
      <c r="BZ61" s="200">
        <f t="shared" si="15"/>
        <v>100.84997480434087</v>
      </c>
      <c r="CA61" s="526">
        <f t="shared" si="16"/>
        <v>-3.836930773104541E-13</v>
      </c>
    </row>
    <row r="62" spans="2:79">
      <c r="B62" s="64" t="str">
        <f>'1-EO_Calcul Reporting'!B84</f>
        <v>E6250</v>
      </c>
      <c r="C62" s="64" t="str">
        <f>'1-EO_Calcul Reporting'!C84</f>
        <v>E6250</v>
      </c>
      <c r="D62" s="284" t="str">
        <f>'1-EO_Calcul Reporting'!D84</f>
        <v>Bougainville</v>
      </c>
      <c r="E62" s="172">
        <f>_xll.LVCELL($D$1,E$3,$C62,$D$2,$C$4,$C$5,$C$6,$C$7,$C$8,$D$3)/1000</f>
        <v>2310.9070000000002</v>
      </c>
      <c r="F62" s="172">
        <f>_xll.LVCELL($D$1,F$3,$C62,$D$2,$C$4,$C$5,$C$6,$C$7,$C$8,$D$3)/1000</f>
        <v>1880.1690000000001</v>
      </c>
      <c r="G62" s="172">
        <f>_xll.LVCELL($D$1,G$3,$C62,$D$2,$C$4,$C$5,$C$6,$C$7,$C$8,$D$3)/1000</f>
        <v>1760.49</v>
      </c>
      <c r="H62" s="172">
        <f>_xll.LVCELL($D$1,H$3,$C62,$D$2,$C$4,$C$5,$C$6,$C$7,$C$8,$D$3)/1000</f>
        <v>1337.884</v>
      </c>
      <c r="I62" s="172">
        <f>_xll.LVCELL($D$1,I$3,$C62,$D$2,$C$4,$C$5,$C$6,$C$7,$C$8,$D$3)/1000</f>
        <v>1274.973</v>
      </c>
      <c r="J62" s="172">
        <f>_xll.LVCELL($D$1,J$3,$C62,$D$2,$C$4,$C$5,$C$6,$C$7,$C$8,$D$3)/1000</f>
        <v>1006.109</v>
      </c>
      <c r="K62" s="172">
        <f>_xll.LVCELL($D$1,K$3,$C62,$D$2,$C$4,$C$5,$C$6,$C$7,$C$8,$D$3)/1000</f>
        <v>1021.811</v>
      </c>
      <c r="L62" s="172">
        <f>_xll.LVCELL($D$1,L$3,$C62,$D$2,$C$4,$C$5,$C$6,$C$7,$C$8,$D$3)/1000</f>
        <v>1021.316</v>
      </c>
      <c r="M62" s="172">
        <f>_xll.LVCELL($D$1,M$3,$C62,$D$2,$C$4,$C$5,$C$6,$C$7,$C$8,$D$3)/1000</f>
        <v>1232.4069999999999</v>
      </c>
      <c r="N62" s="172">
        <f>_xll.LVCELL($D$1,N$3,$C62,$D$2,$C$4,$C$5,$C$6,$C$7,$C$8,$D$3)/1000</f>
        <v>1786.252</v>
      </c>
      <c r="O62" s="172">
        <f>_xll.LVCELL($D$1,O$3,$C62,$D$2,$C$4,$C$5,$C$6,$C$7,$C$8,$D$3)/1000</f>
        <v>1850.41</v>
      </c>
      <c r="P62" s="172">
        <f>_xll.LVCELL($D$1,P$3,$C62,$D$2,$C$4,$C$5,$C$6,$C$7,$C$8,$D$3)/1000</f>
        <v>2217.2719999999999</v>
      </c>
      <c r="Q62" s="172">
        <f>_xll.LVCELL($D$1,Q$2,$C62,$D$2,$C$4,$C$5,$C$6,$C$7,$C$8,$D$3)/1000</f>
        <v>18700</v>
      </c>
      <c r="R62" s="172">
        <f>_xll.LVCELL($D$1,R$3,$C62,$D$2,$C$4,$C$5,$C$6,$C$7,$C$8,$D$3)/1000</f>
        <v>2310.9070000000002</v>
      </c>
      <c r="S62" s="172">
        <f>_xll.LVCELL($D$1,S$3,$C62,$D$2,$C$4,$C$5,$C$6,$C$7,$C$8,$D$3)/1000</f>
        <v>1880.1690000000001</v>
      </c>
      <c r="T62" s="172">
        <f>_xll.LVCELL($D$1,T$3,$C62,$D$2,$C$4,$C$5,$C$6,$C$7,$C$8,$D$3)/1000</f>
        <v>1760.49</v>
      </c>
      <c r="U62" s="172">
        <f>_xll.LVCELL($D$1,U$3,$C62,$D$2,$C$4,$C$5,$C$6,$C$7,$C$8,$D$3)/1000</f>
        <v>1337.884</v>
      </c>
      <c r="V62" s="172">
        <f>_xll.LVCELL($D$1,V$3,$C62,$D$2,$C$4,$C$5,$C$6,$C$7,$C$8,$D$3)/1000</f>
        <v>0</v>
      </c>
      <c r="W62" s="172">
        <f>_xll.LVCELL($D$1,W$3,$C62,$D$2,$C$4,$C$5,$C$6,$C$7,$C$8,$D$3)/1000</f>
        <v>0</v>
      </c>
      <c r="X62" s="172">
        <f>_xll.LVCELL($D$1,X$3,$C62,$D$2,$C$4,$C$5,$C$6,$C$7,$C$8,$D$3)/1000</f>
        <v>0</v>
      </c>
      <c r="Y62" s="172">
        <f>_xll.LVCELL($D$1,Y$3,$C62,$D$2,$C$4,$C$5,$C$6,$C$7,$C$8,$D$3)/1000</f>
        <v>0</v>
      </c>
      <c r="Z62" s="172">
        <f>_xll.LVCELL($D$1,Z$3,$C62,$D$2,$C$4,$C$5,$C$6,$C$7,$C$8,$D$3)/1000</f>
        <v>0</v>
      </c>
      <c r="AA62" s="172">
        <f>_xll.LVCELL($D$1,AA$3,$C62,$D$2,$C$4,$C$5,$C$6,$C$7,$C$8,$D$3)/1000</f>
        <v>0</v>
      </c>
      <c r="AB62" s="172">
        <f>_xll.LVCELL($D$1,AB$3,$C62,$D$2,$C$4,$C$5,$C$6,$C$7,$C$8,$D$3)/1000</f>
        <v>0</v>
      </c>
      <c r="AC62" s="172">
        <f>_xll.LVCELL($D$1,AC$3,$C62,$D$2,$C$4,$C$5,$C$6,$C$7,$C$8,$D$3)/1000</f>
        <v>0</v>
      </c>
      <c r="AD62" s="172">
        <f>_xll.LVCELL($D$1,AD$2,$C62,$D$2,$C$4,$C$5,$C$6,$C$7,$C$8,$D$3)/1000</f>
        <v>7289.45</v>
      </c>
      <c r="AE62" s="172">
        <f t="shared" si="1"/>
        <v>-11410.55</v>
      </c>
      <c r="AF62" s="193">
        <f t="shared" si="2"/>
        <v>-0.61018983957219253</v>
      </c>
      <c r="AG62" s="535"/>
      <c r="AJ62" s="64" t="str">
        <f t="shared" si="3"/>
        <v>E6250</v>
      </c>
      <c r="AK62" s="64" t="str">
        <f t="shared" si="4"/>
        <v>E6250</v>
      </c>
      <c r="AL62" s="192" t="str">
        <f t="shared" si="5"/>
        <v>Bougainville</v>
      </c>
      <c r="AM62" s="172">
        <f>_xll.LVCELL($AK$1,AM$3,$AK62,$AL$2,$AK$4,$AK$5,$AK$6,$AK$7,$AK$8,$AL$3)/1000</f>
        <v>99.738746120000002</v>
      </c>
      <c r="AN62" s="172">
        <f>_xll.LVCELL($AK$1,AN$3,$AK62,$AL$2,$AK$4,$AK$5,$AK$6,$AK$7,$AK$8,$AL$3)/1000</f>
        <v>86.28095540999999</v>
      </c>
      <c r="AO62" s="172">
        <f>_xll.LVCELL($AK$1,AO$3,$AK62,$AL$2,$AK$4,$AK$5,$AK$6,$AK$7,$AK$8,$AL$3)/1000</f>
        <v>61.335471599999998</v>
      </c>
      <c r="AP62" s="172">
        <f>_xll.LVCELL($AK$1,AP$3,$AK62,$AL$2,$AK$4,$AK$5,$AK$6,$AK$7,$AK$8,$AL$3)/1000</f>
        <v>35.480683679999999</v>
      </c>
      <c r="AQ62" s="172">
        <f>_xll.LVCELL($AK$1,AQ$3,$AK62,$AL$2,$AK$4,$AK$5,$AK$6,$AK$7,$AK$8,$AL$3)/1000</f>
        <v>33.0218007</v>
      </c>
      <c r="AR62" s="172">
        <f>_xll.LVCELL($AK$1,AR$3,$AK62,$AL$2,$AK$4,$AK$5,$AK$6,$AK$7,$AK$8,$AL$3)/1000</f>
        <v>26.420422340000002</v>
      </c>
      <c r="AS62" s="172">
        <f>_xll.LVCELL($AK$1,AS$3,$AK62,$AL$2,$AK$4,$AK$5,$AK$6,$AK$7,$AK$8,$AL$3)/1000</f>
        <v>29.581428450000001</v>
      </c>
      <c r="AT62" s="172">
        <f>_xll.LVCELL($AK$1,AT$3,$AK62,$AL$2,$AK$4,$AK$5,$AK$6,$AK$7,$AK$8,$AL$3)/1000</f>
        <v>27.25892404</v>
      </c>
      <c r="AU62" s="172">
        <f>_xll.LVCELL($AK$1,AU$3,$AK62,$AL$2,$AK$4,$AK$5,$AK$6,$AK$7,$AK$8,$AL$3)/1000</f>
        <v>39.09195004</v>
      </c>
      <c r="AV62" s="172">
        <f>_xll.LVCELL($AK$1,AV$3,$AK62,$AL$2,$AK$4,$AK$5,$AK$6,$AK$7,$AK$8,$AL$3)/1000</f>
        <v>64.644459879999999</v>
      </c>
      <c r="AW62" s="172">
        <f>_xll.LVCELL($AK$1,AW$3,$AK62,$AL$2,$AK$4,$AK$5,$AK$6,$AK$7,$AK$8,$AL$3)/1000</f>
        <v>81.825130200000004</v>
      </c>
      <c r="AX62" s="172">
        <f>_xll.LVCELL($AK$1,AX$3,$AK62,$AL$2,$AK$4,$AK$5,$AK$6,$AK$7,$AK$8,$AL$3)/1000</f>
        <v>92.571106</v>
      </c>
      <c r="AY62" s="172">
        <f>_xll.LVCELL($AK$1,AY$2,$AK62,$AL$2,$AK$4,$AK$5,$AK$6,$AK$7,$AK$8,$AL$3)/1000</f>
        <v>677.25107846000003</v>
      </c>
      <c r="AZ62" s="172">
        <f>_xll.LVCELL($AK$1,AZ$3,$AK62,$AL$2,$AK$4,$AK$5,$AK$6,$AK$7,$AK$8,$AL$3)/1000</f>
        <v>160.03030974999999</v>
      </c>
      <c r="BA62" s="172">
        <f>_xll.LVCELL($AK$1,BA$3,$AK62,$AL$2,$AK$4,$AK$5,$AK$6,$AK$7,$AK$8,$AL$3)/1000</f>
        <v>144.03974708999999</v>
      </c>
      <c r="BB62" s="172">
        <f>_xll.LVCELL($AK$1,BB$3,$AK62,$AL$2,$AK$4,$AK$5,$AK$6,$AK$7,$AK$8,$AL$3)/1000</f>
        <v>118.1816937</v>
      </c>
      <c r="BC62" s="172">
        <f>_xll.LVCELL($AK$1,BC$3,$AK62,$AL$2,$AK$4,$AK$5,$AK$6,$AK$7,$AK$8,$AL$3)/1000</f>
        <v>61.970786879999999</v>
      </c>
      <c r="BD62" s="172">
        <f>_xll.LVCELL($AK$1,BD$3,$AK62,$AL$2,$AK$4,$AK$5,$AK$6,$AK$7,$AK$8,$AL$3)/1000</f>
        <v>0</v>
      </c>
      <c r="BE62" s="172">
        <f>_xll.LVCELL($AK$1,BE$3,$AK62,$AL$2,$AK$4,$AK$5,$AK$6,$AK$7,$AK$8,$AL$3)/1000</f>
        <v>0</v>
      </c>
      <c r="BF62" s="172">
        <f>_xll.LVCELL($AK$1,BF$3,$AK62,$AL$2,$AK$4,$AK$5,$AK$6,$AK$7,$AK$8,$AL$3)/1000</f>
        <v>0</v>
      </c>
      <c r="BG62" s="172">
        <f>_xll.LVCELL($AK$1,BG$3,$AK62,$AL$2,$AK$4,$AK$5,$AK$6,$AK$7,$AK$8,$AL$3)/1000</f>
        <v>0</v>
      </c>
      <c r="BH62" s="172">
        <f>_xll.LVCELL($AK$1,BH$3,$AK62,$AL$2,$AK$4,$AK$5,$AK$6,$AK$7,$AK$8,$AL$3)/1000</f>
        <v>0</v>
      </c>
      <c r="BI62" s="172">
        <f>_xll.LVCELL($AK$1,BI$3,$AK62,$AL$2,$AK$4,$AK$5,$AK$6,$AK$7,$AK$8,$AL$3)/1000</f>
        <v>0</v>
      </c>
      <c r="BJ62" s="172">
        <f>_xll.LVCELL($AK$1,BJ$3,$AK62,$AL$2,$AK$4,$AK$5,$AK$6,$AK$7,$AK$8,$AL$3)/1000</f>
        <v>0</v>
      </c>
      <c r="BK62" s="172">
        <f>_xll.LVCELL($AK$1,BK$3,$AK62,$AL$2,$AK$4,$AK$5,$AK$6,$AK$7,$AK$8,$AL$3)/1000</f>
        <v>0</v>
      </c>
      <c r="BL62" s="172">
        <f>_xll.LVCELL($AK$1,BL$2,$AK62,$AL$2,$AK$4,$AK$5,$AK$6,$AK$7,$AK$8,$AL$3)/1000</f>
        <v>484.22253741999998</v>
      </c>
      <c r="BM62" s="214">
        <f t="shared" si="6"/>
        <v>-193.02854104000005</v>
      </c>
      <c r="BN62" s="217">
        <f t="shared" si="7"/>
        <v>-413.25172691560169</v>
      </c>
      <c r="BO62" s="218">
        <f t="shared" si="7"/>
        <v>220.22318587560173</v>
      </c>
      <c r="BP62" s="193">
        <f t="shared" si="8"/>
        <v>-0.28501769458813897</v>
      </c>
      <c r="BQ62" s="758" t="s">
        <v>3554</v>
      </c>
      <c r="BS62" s="198">
        <f t="shared" si="9"/>
        <v>36.216635211764704</v>
      </c>
      <c r="BT62" s="198">
        <f t="shared" si="10"/>
        <v>66.427856343071142</v>
      </c>
      <c r="BU62" s="198">
        <f t="shared" si="11"/>
        <v>30.211221131306438</v>
      </c>
      <c r="BV62" s="199">
        <f t="shared" si="12"/>
        <v>0.83418078335152868</v>
      </c>
      <c r="BX62" s="200">
        <f t="shared" si="17"/>
        <v>-413.25172691560169</v>
      </c>
      <c r="BY62" s="200">
        <f t="shared" si="18"/>
        <v>220.22318587560173</v>
      </c>
      <c r="BZ62" s="200">
        <f t="shared" si="15"/>
        <v>-193.02854103999996</v>
      </c>
      <c r="CA62" s="526">
        <f t="shared" si="16"/>
        <v>0</v>
      </c>
    </row>
    <row r="63" spans="2:79">
      <c r="B63" s="64" t="str">
        <f>'1-EO_Calcul Reporting'!B85</f>
        <v>E6260</v>
      </c>
      <c r="C63" s="64" t="str">
        <f>'1-EO_Calcul Reporting'!C85</f>
        <v>E6260</v>
      </c>
      <c r="D63" s="192" t="str">
        <f>'1-EO_Calcul Reporting'!D85</f>
        <v>Saint André</v>
      </c>
      <c r="E63" s="172">
        <f>_xll.LVCELL($D$1,E$3,$C63,$D$2,$C$4,$C$5,$C$6,$C$7,$C$8,$D$3)/1000</f>
        <v>2445.33</v>
      </c>
      <c r="F63" s="172">
        <f>_xll.LVCELL($D$1,F$3,$C63,$D$2,$C$4,$C$5,$C$6,$C$7,$C$8,$D$3)/1000</f>
        <v>2037.6120000000001</v>
      </c>
      <c r="G63" s="172">
        <f>_xll.LVCELL($D$1,G$3,$C63,$D$2,$C$4,$C$5,$C$6,$C$7,$C$8,$D$3)/1000</f>
        <v>1952.1320000000001</v>
      </c>
      <c r="H63" s="172">
        <f>_xll.LVCELL($D$1,H$3,$C63,$D$2,$C$4,$C$5,$C$6,$C$7,$C$8,$D$3)/1000</f>
        <v>1556.52</v>
      </c>
      <c r="I63" s="172">
        <f>_xll.LVCELL($D$1,I$3,$C63,$D$2,$C$4,$C$5,$C$6,$C$7,$C$8,$D$3)/1000</f>
        <v>1493.4680000000001</v>
      </c>
      <c r="J63" s="172">
        <f>_xll.LVCELL($D$1,J$3,$C63,$D$2,$C$4,$C$5,$C$6,$C$7,$C$8,$D$3)/1000</f>
        <v>1186.2819999999999</v>
      </c>
      <c r="K63" s="172">
        <f>_xll.LVCELL($D$1,K$3,$C63,$D$2,$C$4,$C$5,$C$6,$C$7,$C$8,$D$3)/1000</f>
        <v>1176.181</v>
      </c>
      <c r="L63" s="172">
        <f>_xll.LVCELL($D$1,L$3,$C63,$D$2,$C$4,$C$5,$C$6,$C$7,$C$8,$D$3)/1000</f>
        <v>1146.5029999999999</v>
      </c>
      <c r="M63" s="172">
        <f>_xll.LVCELL($D$1,M$3,$C63,$D$2,$C$4,$C$5,$C$6,$C$7,$C$8,$D$3)/1000</f>
        <v>1395.683</v>
      </c>
      <c r="N63" s="172">
        <f>_xll.LVCELL($D$1,N$3,$C63,$D$2,$C$4,$C$5,$C$6,$C$7,$C$8,$D$3)/1000</f>
        <v>1954.29</v>
      </c>
      <c r="O63" s="172">
        <f>_xll.LVCELL($D$1,O$3,$C63,$D$2,$C$4,$C$5,$C$6,$C$7,$C$8,$D$3)/1000</f>
        <v>1995.6880000000001</v>
      </c>
      <c r="P63" s="172">
        <f>_xll.LVCELL($D$1,P$3,$C63,$D$2,$C$4,$C$5,$C$6,$C$7,$C$8,$D$3)/1000</f>
        <v>2388.1320000000001</v>
      </c>
      <c r="Q63" s="172">
        <f>_xll.LVCELL($D$1,Q$2,$C63,$D$2,$C$4,$C$5,$C$6,$C$7,$C$8,$D$3)/1000</f>
        <v>20727.821</v>
      </c>
      <c r="R63" s="172">
        <f>_xll.LVCELL($D$1,R$3,$C63,$D$2,$C$4,$C$5,$C$6,$C$7,$C$8,$D$3)/1000</f>
        <v>2445.33</v>
      </c>
      <c r="S63" s="172">
        <f>_xll.LVCELL($D$1,S$3,$C63,$D$2,$C$4,$C$5,$C$6,$C$7,$C$8,$D$3)/1000</f>
        <v>2037.6120000000001</v>
      </c>
      <c r="T63" s="172">
        <f>_xll.LVCELL($D$1,T$3,$C63,$D$2,$C$4,$C$5,$C$6,$C$7,$C$8,$D$3)/1000</f>
        <v>1952.1320000000001</v>
      </c>
      <c r="U63" s="172">
        <f>_xll.LVCELL($D$1,U$3,$C63,$D$2,$C$4,$C$5,$C$6,$C$7,$C$8,$D$3)/1000</f>
        <v>1556.52</v>
      </c>
      <c r="V63" s="172">
        <f>_xll.LVCELL($D$1,V$3,$C63,$D$2,$C$4,$C$5,$C$6,$C$7,$C$8,$D$3)/1000</f>
        <v>1493.4680000000001</v>
      </c>
      <c r="W63" s="172">
        <f>_xll.LVCELL($D$1,W$3,$C63,$D$2,$C$4,$C$5,$C$6,$C$7,$C$8,$D$3)/1000</f>
        <v>1186.2819999999999</v>
      </c>
      <c r="X63" s="172">
        <f>_xll.LVCELL($D$1,X$3,$C63,$D$2,$C$4,$C$5,$C$6,$C$7,$C$8,$D$3)/1000</f>
        <v>1176.181</v>
      </c>
      <c r="Y63" s="172">
        <f>_xll.LVCELL($D$1,Y$3,$C63,$D$2,$C$4,$C$5,$C$6,$C$7,$C$8,$D$3)/1000</f>
        <v>1146.5029999999999</v>
      </c>
      <c r="Z63" s="172">
        <f>_xll.LVCELL($D$1,Z$3,$C63,$D$2,$C$4,$C$5,$C$6,$C$7,$C$8,$D$3)/1000</f>
        <v>1395.683</v>
      </c>
      <c r="AA63" s="172">
        <f>_xll.LVCELL($D$1,AA$3,$C63,$D$2,$C$4,$C$5,$C$6,$C$7,$C$8,$D$3)/1000</f>
        <v>1954.29</v>
      </c>
      <c r="AB63" s="172">
        <f>_xll.LVCELL($D$1,AB$3,$C63,$D$2,$C$4,$C$5,$C$6,$C$7,$C$8,$D$3)/1000</f>
        <v>1995.6880000000001</v>
      </c>
      <c r="AC63" s="172">
        <f>_xll.LVCELL($D$1,AC$3,$C63,$D$2,$C$4,$C$5,$C$6,$C$7,$C$8,$D$3)/1000</f>
        <v>2388.1320000000001</v>
      </c>
      <c r="AD63" s="172">
        <f>_xll.LVCELL($D$1,AD$2,$C63,$D$2,$C$4,$C$5,$C$6,$C$7,$C$8,$D$3)/1000</f>
        <v>20727.821</v>
      </c>
      <c r="AE63" s="172">
        <f t="shared" si="1"/>
        <v>0</v>
      </c>
      <c r="AF63" s="193">
        <f t="shared" si="2"/>
        <v>0</v>
      </c>
      <c r="AG63" s="535"/>
      <c r="AJ63" s="64" t="str">
        <f t="shared" si="3"/>
        <v>E6260</v>
      </c>
      <c r="AK63" s="64" t="str">
        <f t="shared" si="4"/>
        <v>E6260</v>
      </c>
      <c r="AL63" s="192" t="str">
        <f t="shared" si="5"/>
        <v>Saint André</v>
      </c>
      <c r="AM63" s="172">
        <f>_xll.LVCELL($AK$1,AM$3,$AK63,$AL$2,$AK$4,$AK$5,$AK$6,$AK$7,$AK$8,$AL$3)/1000</f>
        <v>233.284482</v>
      </c>
      <c r="AN63" s="172">
        <f>_xll.LVCELL($AK$1,AN$3,$AK63,$AL$2,$AK$4,$AK$5,$AK$6,$AK$7,$AK$8,$AL$3)/1000</f>
        <v>194.38818479999998</v>
      </c>
      <c r="AO63" s="172">
        <f>_xll.LVCELL($AK$1,AO$3,$AK63,$AL$2,$AK$4,$AK$5,$AK$6,$AK$7,$AK$8,$AL$3)/1000</f>
        <v>186.23339279999999</v>
      </c>
      <c r="AP63" s="172">
        <f>_xll.LVCELL($AK$1,AP$3,$AK63,$AL$2,$AK$4,$AK$5,$AK$6,$AK$7,$AK$8,$AL$3)/1000</f>
        <v>148.492008</v>
      </c>
      <c r="AQ63" s="172">
        <f>_xll.LVCELL($AK$1,AQ$3,$AK63,$AL$2,$AK$4,$AK$5,$AK$6,$AK$7,$AK$8,$AL$3)/1000</f>
        <v>142.47684719999998</v>
      </c>
      <c r="AR63" s="172">
        <f>_xll.LVCELL($AK$1,AR$3,$AK63,$AL$2,$AK$4,$AK$5,$AK$6,$AK$7,$AK$8,$AL$3)/1000</f>
        <v>113.17130280000001</v>
      </c>
      <c r="AS63" s="172">
        <f>_xll.LVCELL($AK$1,AS$3,$AK63,$AL$2,$AK$4,$AK$5,$AK$6,$AK$7,$AK$8,$AL$3)/1000</f>
        <v>112.20766740000001</v>
      </c>
      <c r="AT63" s="172">
        <f>_xll.LVCELL($AK$1,AT$3,$AK63,$AL$2,$AK$4,$AK$5,$AK$6,$AK$7,$AK$8,$AL$3)/1000</f>
        <v>109.3763862</v>
      </c>
      <c r="AU63" s="172">
        <f>_xll.LVCELL($AK$1,AU$3,$AK63,$AL$2,$AK$4,$AK$5,$AK$6,$AK$7,$AK$8,$AL$3)/1000</f>
        <v>133.14815820000001</v>
      </c>
      <c r="AV63" s="172">
        <f>_xll.LVCELL($AK$1,AV$3,$AK63,$AL$2,$AK$4,$AK$5,$AK$6,$AK$7,$AK$8,$AL$3)/1000</f>
        <v>186.439266</v>
      </c>
      <c r="AW63" s="172">
        <f>_xll.LVCELL($AK$1,AW$3,$AK63,$AL$2,$AK$4,$AK$5,$AK$6,$AK$7,$AK$8,$AL$3)/1000</f>
        <v>191.15098801599999</v>
      </c>
      <c r="AX63" s="172">
        <f>_xll.LVCELL($AK$1,AX$3,$AK63,$AL$2,$AK$4,$AK$5,$AK$6,$AK$7,$AK$8,$AL$3)/1000</f>
        <v>228.74005922399999</v>
      </c>
      <c r="AY63" s="172">
        <f>_xll.LVCELL($AK$1,AY$2,$AK63,$AL$2,$AK$4,$AK$5,$AK$6,$AK$7,$AK$8,$AL$3)/1000</f>
        <v>1979.1087426400002</v>
      </c>
      <c r="AZ63" s="172">
        <f>_xll.LVCELL($AK$1,AZ$3,$AK63,$AL$2,$AK$4,$AK$5,$AK$6,$AK$7,$AK$8,$AL$3)/1000</f>
        <v>237.94996623228002</v>
      </c>
      <c r="BA63" s="172">
        <f>_xll.LVCELL($AK$1,BA$3,$AK63,$AL$2,$AK$4,$AK$5,$AK$6,$AK$7,$AK$8,$AL$3)/1000</f>
        <v>198.275777336592</v>
      </c>
      <c r="BB63" s="172">
        <f>_xll.LVCELL($AK$1,BB$3,$AK63,$AL$2,$AK$4,$AK$5,$AK$6,$AK$7,$AK$8,$AL$3)/1000</f>
        <v>189.95789667691201</v>
      </c>
      <c r="BC63" s="172">
        <f>_xll.LVCELL($AK$1,BC$3,$AK63,$AL$2,$AK$4,$AK$5,$AK$6,$AK$7,$AK$8,$AL$3)/1000</f>
        <v>151.46171741231998</v>
      </c>
      <c r="BD63" s="172">
        <f>_xll.LVCELL($AK$1,BD$3,$AK63,$AL$2,$AK$4,$AK$5,$AK$6,$AK$7,$AK$8,$AL$3)/1000</f>
        <v>145.32625869268799</v>
      </c>
      <c r="BE63" s="172">
        <f>_xll.LVCELL($AK$1,BE$3,$AK63,$AL$2,$AK$4,$AK$5,$AK$6,$AK$7,$AK$8,$AL$3)/1000</f>
        <v>115.434629208312</v>
      </c>
      <c r="BF63" s="172">
        <f>_xll.LVCELL($AK$1,BF$3,$AK63,$AL$2,$AK$4,$AK$5,$AK$6,$AK$7,$AK$8,$AL$3)/1000</f>
        <v>114.45172194879599</v>
      </c>
      <c r="BG63" s="172">
        <f>_xll.LVCELL($AK$1,BG$3,$AK63,$AL$2,$AK$4,$AK$5,$AK$6,$AK$7,$AK$8,$AL$3)/1000</f>
        <v>111.563817617748</v>
      </c>
      <c r="BH63" s="172">
        <f>_xll.LVCELL($AK$1,BH$3,$AK63,$AL$2,$AK$4,$AK$5,$AK$6,$AK$7,$AK$8,$AL$3)/1000</f>
        <v>135.81100412662798</v>
      </c>
      <c r="BI63" s="172">
        <f>_xll.LVCELL($AK$1,BI$3,$AK63,$AL$2,$AK$4,$AK$5,$AK$6,$AK$7,$AK$8,$AL$3)/1000</f>
        <v>190.16788715964</v>
      </c>
      <c r="BJ63" s="172">
        <f>_xll.LVCELL($AK$1,BJ$3,$AK63,$AL$2,$AK$4,$AK$5,$AK$6,$AK$7,$AK$8,$AL$3)/1000</f>
        <v>198.66275565231197</v>
      </c>
      <c r="BK63" s="172">
        <f>_xll.LVCELL($AK$1,BK$3,$AK63,$AL$2,$AK$4,$AK$5,$AK$6,$AK$7,$AK$8,$AL$3)/1000</f>
        <v>237.72898568386799</v>
      </c>
      <c r="BL63" s="172">
        <f>_xll.LVCELL($AK$1,BL$2,$AK63,$AL$2,$AK$4,$AK$5,$AK$6,$AK$7,$AK$8,$AL$3)/1000</f>
        <v>2026.7924177480959</v>
      </c>
      <c r="BM63" s="214">
        <f t="shared" si="6"/>
        <v>47.683675108095713</v>
      </c>
      <c r="BN63" s="217">
        <f t="shared" si="7"/>
        <v>0</v>
      </c>
      <c r="BO63" s="218">
        <f t="shared" si="7"/>
        <v>47.683675108095819</v>
      </c>
      <c r="BP63" s="193">
        <f t="shared" si="8"/>
        <v>2.4093509406910574E-2</v>
      </c>
      <c r="BQ63" s="172"/>
      <c r="BS63" s="198">
        <f t="shared" si="9"/>
        <v>95.480790896447829</v>
      </c>
      <c r="BT63" s="198">
        <f t="shared" si="10"/>
        <v>97.781258230090657</v>
      </c>
      <c r="BU63" s="198">
        <f t="shared" si="11"/>
        <v>2.3004673336428283</v>
      </c>
      <c r="BV63" s="199">
        <f t="shared" si="12"/>
        <v>2.4093509406910584E-2</v>
      </c>
      <c r="BX63" s="200">
        <f t="shared" si="17"/>
        <v>0</v>
      </c>
      <c r="BY63" s="200">
        <f t="shared" si="18"/>
        <v>47.683675108095819</v>
      </c>
      <c r="BZ63" s="200">
        <f t="shared" si="15"/>
        <v>47.683675108095819</v>
      </c>
      <c r="CA63" s="526">
        <f t="shared" si="16"/>
        <v>-1.0658141036401503E-13</v>
      </c>
    </row>
    <row r="64" spans="2:79">
      <c r="B64" s="64" t="str">
        <f>'1-EO_Calcul Reporting'!B86</f>
        <v>E6120</v>
      </c>
      <c r="C64" s="64" t="str">
        <f>'1-EO_Calcul Reporting'!C86</f>
        <v>E6120</v>
      </c>
      <c r="D64" s="192" t="str">
        <f>'1-EO_Calcul Reporting'!D86</f>
        <v>Fond de la Plaine</v>
      </c>
      <c r="E64" s="172">
        <f>_xll.LVCELL($D$1,E$3,$C64,$D$2,$C$4,$C$5,$C$6,$C$7,$C$8,$D$3)/1000</f>
        <v>931.41600000000005</v>
      </c>
      <c r="F64" s="172">
        <f>_xll.LVCELL($D$1,F$3,$C64,$D$2,$C$4,$C$5,$C$6,$C$7,$C$8,$D$3)/1000</f>
        <v>874.32299999999998</v>
      </c>
      <c r="G64" s="172">
        <f>_xll.LVCELL($D$1,G$3,$C64,$D$2,$C$4,$C$5,$C$6,$C$7,$C$8,$D$3)/1000</f>
        <v>848.55499999999995</v>
      </c>
      <c r="H64" s="172">
        <f>_xll.LVCELL($D$1,H$3,$C64,$D$2,$C$4,$C$5,$C$6,$C$7,$C$8,$D$3)/1000</f>
        <v>804.64400000000001</v>
      </c>
      <c r="I64" s="172">
        <f>_xll.LVCELL($D$1,I$3,$C64,$D$2,$C$4,$C$5,$C$6,$C$7,$C$8,$D$3)/1000</f>
        <v>721.58</v>
      </c>
      <c r="J64" s="172">
        <f>_xll.LVCELL($D$1,J$3,$C64,$D$2,$C$4,$C$5,$C$6,$C$7,$C$8,$D$3)/1000</f>
        <v>641.57500000000005</v>
      </c>
      <c r="K64" s="172">
        <f>_xll.LVCELL($D$1,K$3,$C64,$D$2,$C$4,$C$5,$C$6,$C$7,$C$8,$D$3)/1000</f>
        <v>678.85699999999997</v>
      </c>
      <c r="L64" s="172">
        <f>_xll.LVCELL($D$1,L$3,$C64,$D$2,$C$4,$C$5,$C$6,$C$7,$C$8,$D$3)/1000</f>
        <v>592.41899999999998</v>
      </c>
      <c r="M64" s="172">
        <f>_xll.LVCELL($D$1,M$3,$C64,$D$2,$C$4,$C$5,$C$6,$C$7,$C$8,$D$3)/1000</f>
        <v>579.846</v>
      </c>
      <c r="N64" s="172">
        <f>_xll.LVCELL($D$1,N$3,$C64,$D$2,$C$4,$C$5,$C$6,$C$7,$C$8,$D$3)/1000</f>
        <v>671.90200000000004</v>
      </c>
      <c r="O64" s="172">
        <f>_xll.LVCELL($D$1,O$3,$C64,$D$2,$C$4,$C$5,$C$6,$C$7,$C$8,$D$3)/1000</f>
        <v>846.75800000000004</v>
      </c>
      <c r="P64" s="172">
        <f>_xll.LVCELL($D$1,P$3,$C64,$D$2,$C$4,$C$5,$C$6,$C$7,$C$8,$D$3)/1000</f>
        <v>853.125</v>
      </c>
      <c r="Q64" s="172">
        <f>_xll.LVCELL($D$1,Q$2,$C64,$D$2,$C$4,$C$5,$C$6,$C$7,$C$8,$D$3)/1000</f>
        <v>9045</v>
      </c>
      <c r="R64" s="172">
        <f>_xll.LVCELL($D$1,R$3,$C64,$D$2,$C$4,$C$5,$C$6,$C$7,$C$8,$D$3)/1000</f>
        <v>934.35199999999998</v>
      </c>
      <c r="S64" s="172">
        <f>_xll.LVCELL($D$1,S$3,$C64,$D$2,$C$4,$C$5,$C$6,$C$7,$C$8,$D$3)/1000</f>
        <v>877.07899999999995</v>
      </c>
      <c r="T64" s="172">
        <f>_xll.LVCELL($D$1,T$3,$C64,$D$2,$C$4,$C$5,$C$6,$C$7,$C$8,$D$3)/1000</f>
        <v>851.22900000000004</v>
      </c>
      <c r="U64" s="172">
        <f>_xll.LVCELL($D$1,U$3,$C64,$D$2,$C$4,$C$5,$C$6,$C$7,$C$8,$D$3)/1000</f>
        <v>807.18</v>
      </c>
      <c r="V64" s="172">
        <f>_xll.LVCELL($D$1,V$3,$C64,$D$2,$C$4,$C$5,$C$6,$C$7,$C$8,$D$3)/1000</f>
        <v>723.85299999999995</v>
      </c>
      <c r="W64" s="172">
        <f>_xll.LVCELL($D$1,W$3,$C64,$D$2,$C$4,$C$5,$C$6,$C$7,$C$8,$D$3)/1000</f>
        <v>643.596</v>
      </c>
      <c r="X64" s="172">
        <f>_xll.LVCELL($D$1,X$3,$C64,$D$2,$C$4,$C$5,$C$6,$C$7,$C$8,$D$3)/1000</f>
        <v>680.99599999999998</v>
      </c>
      <c r="Y64" s="172">
        <f>_xll.LVCELL($D$1,Y$3,$C64,$D$2,$C$4,$C$5,$C$6,$C$7,$C$8,$D$3)/1000</f>
        <v>594.28499999999997</v>
      </c>
      <c r="Z64" s="172">
        <f>_xll.LVCELL($D$1,Z$3,$C64,$D$2,$C$4,$C$5,$C$6,$C$7,$C$8,$D$3)/1000</f>
        <v>581.67399999999998</v>
      </c>
      <c r="AA64" s="172">
        <f>_xll.LVCELL($D$1,AA$3,$C64,$D$2,$C$4,$C$5,$C$6,$C$7,$C$8,$D$3)/1000</f>
        <v>674.02</v>
      </c>
      <c r="AB64" s="172">
        <f>_xll.LVCELL($D$1,AB$3,$C64,$D$2,$C$4,$C$5,$C$6,$C$7,$C$8,$D$3)/1000</f>
        <v>849.42600000000004</v>
      </c>
      <c r="AC64" s="172">
        <f>_xll.LVCELL($D$1,AC$3,$C64,$D$2,$C$4,$C$5,$C$6,$C$7,$C$8,$D$3)/1000</f>
        <v>855.81299999999999</v>
      </c>
      <c r="AD64" s="172">
        <f>_xll.LVCELL($D$1,AD$2,$C64,$D$2,$C$4,$C$5,$C$6,$C$7,$C$8,$D$3)/1000</f>
        <v>9073.5030000000006</v>
      </c>
      <c r="AE64" s="172">
        <f t="shared" si="1"/>
        <v>28.503000000000611</v>
      </c>
      <c r="AF64" s="193">
        <f t="shared" si="2"/>
        <v>3.1512437810945482E-3</v>
      </c>
      <c r="AG64" s="535"/>
      <c r="AJ64" s="64" t="str">
        <f t="shared" si="3"/>
        <v>E6120</v>
      </c>
      <c r="AK64" s="64" t="str">
        <f t="shared" si="4"/>
        <v>E6120</v>
      </c>
      <c r="AL64" s="192" t="str">
        <f t="shared" si="5"/>
        <v>Fond de la Plaine</v>
      </c>
      <c r="AM64" s="172">
        <f>_xll.LVCELL($AK$1,AM$3,$AK64,$AL$2,$AK$4,$AK$5,$AK$6,$AK$7,$AK$8,$AL$3)/1000</f>
        <v>89.708400624000006</v>
      </c>
      <c r="AN64" s="172">
        <f>_xll.LVCELL($AK$1,AN$3,$AK64,$AL$2,$AK$4,$AK$5,$AK$6,$AK$7,$AK$8,$AL$3)/1000</f>
        <v>84.209545421999991</v>
      </c>
      <c r="AO64" s="172">
        <f>_xll.LVCELL($AK$1,AO$3,$AK64,$AL$2,$AK$4,$AK$5,$AK$6,$AK$7,$AK$8,$AL$3)/1000</f>
        <v>81.727726270000005</v>
      </c>
      <c r="AP64" s="172">
        <f>_xll.LVCELL($AK$1,AP$3,$AK64,$AL$2,$AK$4,$AK$5,$AK$6,$AK$7,$AK$8,$AL$3)/1000</f>
        <v>77.498482215999999</v>
      </c>
      <c r="AQ64" s="172">
        <f>_xll.LVCELL($AK$1,AQ$3,$AK64,$AL$2,$AK$4,$AK$5,$AK$6,$AK$7,$AK$8,$AL$3)/1000</f>
        <v>69.498256120000008</v>
      </c>
      <c r="AR64" s="172">
        <f>_xll.LVCELL($AK$1,AR$3,$AK64,$AL$2,$AK$4,$AK$5,$AK$6,$AK$7,$AK$8,$AL$3)/1000</f>
        <v>61.792654550000002</v>
      </c>
      <c r="AS64" s="172">
        <f>_xll.LVCELL($AK$1,AS$3,$AK64,$AL$2,$AK$4,$AK$5,$AK$6,$AK$7,$AK$8,$AL$3)/1000</f>
        <v>65.383433097999998</v>
      </c>
      <c r="AT64" s="172">
        <f>_xll.LVCELL($AK$1,AT$3,$AK64,$AL$2,$AK$4,$AK$5,$AK$6,$AK$7,$AK$8,$AL$3)/1000</f>
        <v>57.058243565999994</v>
      </c>
      <c r="AU64" s="172">
        <f>_xll.LVCELL($AK$1,AU$3,$AK64,$AL$2,$AK$4,$AK$5,$AK$6,$AK$7,$AK$8,$AL$3)/1000</f>
        <v>55.847287643999998</v>
      </c>
      <c r="AV64" s="172">
        <f>_xll.LVCELL($AK$1,AV$3,$AK64,$AL$2,$AK$4,$AK$5,$AK$6,$AK$7,$AK$8,$AL$3)/1000</f>
        <v>64.713569227999997</v>
      </c>
      <c r="AW64" s="172">
        <f>_xll.LVCELL($AK$1,AW$3,$AK64,$AL$2,$AK$4,$AK$5,$AK$6,$AK$7,$AK$8,$AL$3)/1000</f>
        <v>81.880651842000006</v>
      </c>
      <c r="AX64" s="172">
        <f>_xll.LVCELL($AK$1,AX$3,$AK64,$AL$2,$AK$4,$AK$5,$AK$6,$AK$7,$AK$8,$AL$3)/1000</f>
        <v>82.496334375000004</v>
      </c>
      <c r="AY64" s="172">
        <f>_xll.LVCELL($AK$1,AY$2,$AK64,$AL$2,$AK$4,$AK$5,$AK$6,$AK$7,$AK$8,$AL$3)/1000</f>
        <v>871.81458495499999</v>
      </c>
      <c r="AZ64" s="172">
        <f>_xll.LVCELL($AK$1,AZ$3,$AK64,$AL$2,$AK$4,$AK$5,$AK$6,$AK$7,$AK$8,$AL$3)/1000</f>
        <v>91.789434255903998</v>
      </c>
      <c r="BA64" s="172">
        <f>_xll.LVCELL($AK$1,BA$3,$AK64,$AL$2,$AK$4,$AK$5,$AK$6,$AK$7,$AK$8,$AL$3)/1000</f>
        <v>86.163014803557999</v>
      </c>
      <c r="BB64" s="172">
        <f>_xll.LVCELL($AK$1,BB$3,$AK64,$AL$2,$AK$4,$AK$5,$AK$6,$AK$7,$AK$8,$AL$3)/1000</f>
        <v>83.62354694185801</v>
      </c>
      <c r="BC64" s="172">
        <f>_xll.LVCELL($AK$1,BC$3,$AK64,$AL$2,$AK$4,$AK$5,$AK$6,$AK$7,$AK$8,$AL$3)/1000</f>
        <v>79.296234762360001</v>
      </c>
      <c r="BD64" s="172">
        <f>_xll.LVCELL($AK$1,BD$3,$AK64,$AL$2,$AK$4,$AK$5,$AK$6,$AK$7,$AK$8,$AL$3)/1000</f>
        <v>71.110306773505997</v>
      </c>
      <c r="BE64" s="172">
        <f>_xll.LVCELL($AK$1,BE$3,$AK64,$AL$2,$AK$4,$AK$5,$AK$6,$AK$7,$AK$8,$AL$3)/1000</f>
        <v>63.225971292791996</v>
      </c>
      <c r="BF64" s="172">
        <f>_xll.LVCELL($AK$1,BF$3,$AK64,$AL$2,$AK$4,$AK$5,$AK$6,$AK$7,$AK$8,$AL$3)/1000</f>
        <v>66.900095007592</v>
      </c>
      <c r="BG64" s="172">
        <f>_xll.LVCELL($AK$1,BG$3,$AK64,$AL$2,$AK$4,$AK$5,$AK$6,$AK$7,$AK$8,$AL$3)/1000</f>
        <v>58.381727589569998</v>
      </c>
      <c r="BH64" s="172">
        <f>_xll.LVCELL($AK$1,BH$3,$AK64,$AL$2,$AK$4,$AK$5,$AK$6,$AK$7,$AK$8,$AL$3)/1000</f>
        <v>57.142840579748004</v>
      </c>
      <c r="BI64" s="172">
        <f>_xll.LVCELL($AK$1,BI$3,$AK64,$AL$2,$AK$4,$AK$5,$AK$6,$AK$7,$AK$8,$AL$3)/1000</f>
        <v>30.566807000000001</v>
      </c>
      <c r="BJ64" s="172">
        <f>_xll.LVCELL($AK$1,BJ$3,$AK64,$AL$2,$AK$4,$AK$5,$AK$6,$AK$7,$AK$8,$AL$3)/1000</f>
        <v>50.192582340000001</v>
      </c>
      <c r="BK64" s="172">
        <f>_xll.LVCELL($AK$1,BK$3,$AK64,$AL$2,$AK$4,$AK$5,$AK$6,$AK$7,$AK$8,$AL$3)/1000</f>
        <v>54.977427120000002</v>
      </c>
      <c r="BL64" s="172">
        <f>_xll.LVCELL($AK$1,BL$2,$AK64,$AL$2,$AK$4,$AK$5,$AK$6,$AK$7,$AK$8,$AL$3)/1000</f>
        <v>793.369988466888</v>
      </c>
      <c r="BM64" s="214">
        <f t="shared" si="6"/>
        <v>-78.444596488111983</v>
      </c>
      <c r="BN64" s="217">
        <f t="shared" si="7"/>
        <v>2.7473002891070091</v>
      </c>
      <c r="BO64" s="218">
        <f t="shared" si="7"/>
        <v>-81.191896777219029</v>
      </c>
      <c r="BP64" s="193">
        <f t="shared" si="8"/>
        <v>-8.9978531951448115E-2</v>
      </c>
      <c r="BQ64" s="172" t="s">
        <v>3555</v>
      </c>
      <c r="BS64" s="198">
        <f t="shared" si="9"/>
        <v>96.386355440022115</v>
      </c>
      <c r="BT64" s="198">
        <f t="shared" si="10"/>
        <v>87.438113864831251</v>
      </c>
      <c r="BU64" s="198">
        <f t="shared" si="11"/>
        <v>-8.9482415751908633</v>
      </c>
      <c r="BV64" s="199">
        <f t="shared" si="12"/>
        <v>-9.2837223010875686E-2</v>
      </c>
      <c r="BX64" s="200">
        <f t="shared" si="17"/>
        <v>2.7473002891070091</v>
      </c>
      <c r="BY64" s="200">
        <f t="shared" si="18"/>
        <v>-81.191896777219029</v>
      </c>
      <c r="BZ64" s="200">
        <f t="shared" si="15"/>
        <v>-78.444596488112026</v>
      </c>
      <c r="CA64" s="526">
        <f t="shared" si="16"/>
        <v>0</v>
      </c>
    </row>
    <row r="65" spans="1:79">
      <c r="B65" s="64" t="str">
        <f>'1-EO_Calcul Reporting'!B87</f>
        <v>E6130</v>
      </c>
      <c r="C65" s="64" t="str">
        <f>'1-EO_Calcul Reporting'!C87</f>
        <v>E6130</v>
      </c>
      <c r="D65" s="192" t="str">
        <f>'1-EO_Calcul Reporting'!D87</f>
        <v>Bassigny</v>
      </c>
      <c r="E65" s="172">
        <f>_xll.LVCELL($D$1,E$3,$C65,$D$2,$C$4,$C$5,$C$6,$C$7,$C$8,$D$3)/1000</f>
        <v>2304.4780000000001</v>
      </c>
      <c r="F65" s="172">
        <f>_xll.LVCELL($D$1,F$3,$C65,$D$2,$C$4,$C$5,$C$6,$C$7,$C$8,$D$3)/1000</f>
        <v>1978.5239999999999</v>
      </c>
      <c r="G65" s="172">
        <f>_xll.LVCELL($D$1,G$3,$C65,$D$2,$C$4,$C$5,$C$6,$C$7,$C$8,$D$3)/1000</f>
        <v>2037.2180000000001</v>
      </c>
      <c r="H65" s="172">
        <f>_xll.LVCELL($D$1,H$3,$C65,$D$2,$C$4,$C$5,$C$6,$C$7,$C$8,$D$3)/1000</f>
        <v>1720.328</v>
      </c>
      <c r="I65" s="172">
        <f>_xll.LVCELL($D$1,I$3,$C65,$D$2,$C$4,$C$5,$C$6,$C$7,$C$8,$D$3)/1000</f>
        <v>1480.104</v>
      </c>
      <c r="J65" s="172">
        <f>_xll.LVCELL($D$1,J$3,$C65,$D$2,$C$4,$C$5,$C$6,$C$7,$C$8,$D$3)/1000</f>
        <v>1204.116</v>
      </c>
      <c r="K65" s="172">
        <f>_xll.LVCELL($D$1,K$3,$C65,$D$2,$C$4,$C$5,$C$6,$C$7,$C$8,$D$3)/1000</f>
        <v>1172.616</v>
      </c>
      <c r="L65" s="172">
        <f>_xll.LVCELL($D$1,L$3,$C65,$D$2,$C$4,$C$5,$C$6,$C$7,$C$8,$D$3)/1000</f>
        <v>1082.7950000000001</v>
      </c>
      <c r="M65" s="172">
        <f>_xll.LVCELL($D$1,M$3,$C65,$D$2,$C$4,$C$5,$C$6,$C$7,$C$8,$D$3)/1000</f>
        <v>1451.0229999999999</v>
      </c>
      <c r="N65" s="172">
        <f>_xll.LVCELL($D$1,N$3,$C65,$D$2,$C$4,$C$5,$C$6,$C$7,$C$8,$D$3)/1000</f>
        <v>1944.09</v>
      </c>
      <c r="O65" s="172">
        <f>_xll.LVCELL($D$1,O$3,$C65,$D$2,$C$4,$C$5,$C$6,$C$7,$C$8,$D$3)/1000</f>
        <v>1950.703</v>
      </c>
      <c r="P65" s="172">
        <f>_xll.LVCELL($D$1,P$3,$C65,$D$2,$C$4,$C$5,$C$6,$C$7,$C$8,$D$3)/1000</f>
        <v>2397.6060000000002</v>
      </c>
      <c r="Q65" s="172">
        <f>_xll.LVCELL($D$1,Q$2,$C65,$D$2,$C$4,$C$5,$C$6,$C$7,$C$8,$D$3)/1000</f>
        <v>20723.600999999999</v>
      </c>
      <c r="R65" s="172">
        <f>_xll.LVCELL($D$1,R$3,$C65,$D$2,$C$4,$C$5,$C$6,$C$7,$C$8,$D$3)/1000</f>
        <v>2306.864</v>
      </c>
      <c r="S65" s="172">
        <f>_xll.LVCELL($D$1,S$3,$C65,$D$2,$C$4,$C$5,$C$6,$C$7,$C$8,$D$3)/1000</f>
        <v>1980.5719999999999</v>
      </c>
      <c r="T65" s="172">
        <f>_xll.LVCELL($D$1,T$3,$C65,$D$2,$C$4,$C$5,$C$6,$C$7,$C$8,$D$3)/1000</f>
        <v>2039.327</v>
      </c>
      <c r="U65" s="172">
        <f>_xll.LVCELL($D$1,U$3,$C65,$D$2,$C$4,$C$5,$C$6,$C$7,$C$8,$D$3)/1000</f>
        <v>1722.1089999999999</v>
      </c>
      <c r="V65" s="172">
        <f>_xll.LVCELL($D$1,V$3,$C65,$D$2,$C$4,$C$5,$C$6,$C$7,$C$8,$D$3)/1000</f>
        <v>1481.636</v>
      </c>
      <c r="W65" s="172">
        <f>_xll.LVCELL($D$1,W$3,$C65,$D$2,$C$4,$C$5,$C$6,$C$7,$C$8,$D$3)/1000</f>
        <v>1205.3620000000001</v>
      </c>
      <c r="X65" s="172">
        <f>_xll.LVCELL($D$1,X$3,$C65,$D$2,$C$4,$C$5,$C$6,$C$7,$C$8,$D$3)/1000</f>
        <v>1173.83</v>
      </c>
      <c r="Y65" s="172">
        <f>_xll.LVCELL($D$1,Y$3,$C65,$D$2,$C$4,$C$5,$C$6,$C$7,$C$8,$D$3)/1000</f>
        <v>1083.915</v>
      </c>
      <c r="Z65" s="172">
        <f>_xll.LVCELL($D$1,Z$3,$C65,$D$2,$C$4,$C$5,$C$6,$C$7,$C$8,$D$3)/1000</f>
        <v>1452.5250000000001</v>
      </c>
      <c r="AA65" s="172">
        <f>_xll.LVCELL($D$1,AA$3,$C65,$D$2,$C$4,$C$5,$C$6,$C$7,$C$8,$D$3)/1000</f>
        <v>1946.1020000000001</v>
      </c>
      <c r="AB65" s="172">
        <f>_xll.LVCELL($D$1,AB$3,$C65,$D$2,$C$4,$C$5,$C$6,$C$7,$C$8,$D$3)/1000</f>
        <v>1952.723</v>
      </c>
      <c r="AC65" s="172">
        <f>_xll.LVCELL($D$1,AC$3,$C65,$D$2,$C$4,$C$5,$C$6,$C$7,$C$8,$D$3)/1000</f>
        <v>2400.0880000000002</v>
      </c>
      <c r="AD65" s="172">
        <f>_xll.LVCELL($D$1,AD$2,$C65,$D$2,$C$4,$C$5,$C$6,$C$7,$C$8,$D$3)/1000</f>
        <v>20745.053</v>
      </c>
      <c r="AE65" s="172">
        <f t="shared" si="1"/>
        <v>21.452000000001135</v>
      </c>
      <c r="AF65" s="193">
        <f t="shared" si="2"/>
        <v>1.0351482833510506E-3</v>
      </c>
      <c r="AG65" s="535"/>
      <c r="AJ65" s="64" t="str">
        <f t="shared" si="3"/>
        <v>E6130</v>
      </c>
      <c r="AK65" s="64" t="str">
        <f t="shared" si="4"/>
        <v>E6130</v>
      </c>
      <c r="AL65" s="192" t="str">
        <f t="shared" si="5"/>
        <v>Bassigny</v>
      </c>
      <c r="AM65" s="172">
        <f>_xll.LVCELL($AK$1,AM$3,$AK65,$AL$2,$AK$4,$AK$5,$AK$6,$AK$7,$AK$8,$AL$3)/1000</f>
        <v>215.219809376</v>
      </c>
      <c r="AN65" s="172">
        <f>_xll.LVCELL($AK$1,AN$3,$AK65,$AL$2,$AK$4,$AK$5,$AK$6,$AK$7,$AK$8,$AL$3)/1000</f>
        <v>184.77831340799997</v>
      </c>
      <c r="AO65" s="172">
        <f>_xll.LVCELL($AK$1,AO$3,$AK65,$AL$2,$AK$4,$AK$5,$AK$6,$AK$7,$AK$8,$AL$3)/1000</f>
        <v>190.25986345600001</v>
      </c>
      <c r="AP65" s="172">
        <f>_xll.LVCELL($AK$1,AP$3,$AK65,$AL$2,$AK$4,$AK$5,$AK$6,$AK$7,$AK$8,$AL$3)/1000</f>
        <v>160.66487257599999</v>
      </c>
      <c r="AQ65" s="172">
        <f>_xll.LVCELL($AK$1,AQ$3,$AK65,$AL$2,$AK$4,$AK$5,$AK$6,$AK$7,$AK$8,$AL$3)/1000</f>
        <v>138.22987276800001</v>
      </c>
      <c r="AR65" s="172">
        <f>_xll.LVCELL($AK$1,AR$3,$AK65,$AL$2,$AK$4,$AK$5,$AK$6,$AK$7,$AK$8,$AL$3)/1000</f>
        <v>112.454801472</v>
      </c>
      <c r="AS65" s="172">
        <f>_xll.LVCELL($AK$1,AS$3,$AK65,$AL$2,$AK$4,$AK$5,$AK$6,$AK$7,$AK$8,$AL$3)/1000</f>
        <v>109.51295347199999</v>
      </c>
      <c r="AT65" s="172">
        <f>_xll.LVCELL($AK$1,AT$3,$AK65,$AL$2,$AK$4,$AK$5,$AK$6,$AK$7,$AK$8,$AL$3)/1000</f>
        <v>101.12439064</v>
      </c>
      <c r="AU65" s="172">
        <f>_xll.LVCELL($AK$1,AU$3,$AK65,$AL$2,$AK$4,$AK$5,$AK$6,$AK$7,$AK$8,$AL$3)/1000</f>
        <v>135.51394001600002</v>
      </c>
      <c r="AV65" s="172">
        <f>_xll.LVCELL($AK$1,AV$3,$AK65,$AL$2,$AK$4,$AK$5,$AK$6,$AK$7,$AK$8,$AL$3)/1000</f>
        <v>181.56245328</v>
      </c>
      <c r="AW65" s="172">
        <f>_xll.LVCELL($AK$1,AW$3,$AK65,$AL$2,$AK$4,$AK$5,$AK$6,$AK$7,$AK$8,$AL$3)/1000</f>
        <v>182.90961749800002</v>
      </c>
      <c r="AX65" s="172">
        <f>_xll.LVCELL($AK$1,AX$3,$AK65,$AL$2,$AK$4,$AK$5,$AK$6,$AK$7,$AK$8,$AL$3)/1000</f>
        <v>224.81392419600002</v>
      </c>
      <c r="AY65" s="172">
        <f>_xll.LVCELL($AK$1,AY$2,$AK65,$AL$2,$AK$4,$AK$5,$AK$6,$AK$7,$AK$8,$AL$3)/1000</f>
        <v>1937.044812158</v>
      </c>
      <c r="AZ65" s="172">
        <f>_xll.LVCELL($AK$1,AZ$3,$AK65,$AL$2,$AK$4,$AK$5,$AK$6,$AK$7,$AK$8,$AL$3)/1000</f>
        <v>219.80329617287998</v>
      </c>
      <c r="BA65" s="172">
        <f>_xll.LVCELL($AK$1,BA$3,$AK65,$AL$2,$AK$4,$AK$5,$AK$6,$AK$7,$AK$8,$AL$3)/1000</f>
        <v>188.71344557274</v>
      </c>
      <c r="BB65" s="172">
        <f>_xll.LVCELL($AK$1,BB$3,$AK65,$AL$2,$AK$4,$AK$5,$AK$6,$AK$7,$AK$8,$AL$3)/1000</f>
        <v>194.311756815465</v>
      </c>
      <c r="BC65" s="172">
        <f>_xll.LVCELL($AK$1,BC$3,$AK65,$AL$2,$AK$4,$AK$5,$AK$6,$AK$7,$AK$8,$AL$3)/1000</f>
        <v>164.086497760155</v>
      </c>
      <c r="BD65" s="172">
        <f>_xll.LVCELL($AK$1,BD$3,$AK65,$AL$2,$AK$4,$AK$5,$AK$6,$AK$7,$AK$8,$AL$3)/1000</f>
        <v>141.17367843462</v>
      </c>
      <c r="BE65" s="172">
        <f>_xll.LVCELL($AK$1,BE$3,$AK65,$AL$2,$AK$4,$AK$5,$AK$6,$AK$7,$AK$8,$AL$3)/1000</f>
        <v>114.84965766579001</v>
      </c>
      <c r="BF65" s="172">
        <f>_xll.LVCELL($AK$1,BF$3,$AK65,$AL$2,$AK$4,$AK$5,$AK$6,$AK$7,$AK$8,$AL$3)/1000</f>
        <v>111.84521633985</v>
      </c>
      <c r="BG65" s="172">
        <f>_xll.LVCELL($AK$1,BG$3,$AK65,$AL$2,$AK$4,$AK$5,$AK$6,$AK$7,$AK$8,$AL$3)/1000</f>
        <v>103.277908784925</v>
      </c>
      <c r="BH65" s="172">
        <f>_xll.LVCELL($AK$1,BH$3,$AK65,$AL$2,$AK$4,$AK$5,$AK$6,$AK$7,$AK$8,$AL$3)/1000</f>
        <v>138.399915544875</v>
      </c>
      <c r="BI65" s="172">
        <f>_xll.LVCELL($AK$1,BI$3,$AK65,$AL$2,$AK$4,$AK$5,$AK$6,$AK$7,$AK$8,$AL$3)/1000</f>
        <v>185.42906486409001</v>
      </c>
      <c r="BJ65" s="172">
        <f>_xll.LVCELL($AK$1,BJ$3,$AK65,$AL$2,$AK$4,$AK$5,$AK$6,$AK$7,$AK$8,$AL$3)/1000</f>
        <v>190.33930772472399</v>
      </c>
      <c r="BK65" s="172">
        <f>_xll.LVCELL($AK$1,BK$3,$AK65,$AL$2,$AK$4,$AK$5,$AK$6,$AK$7,$AK$8,$AL$3)/1000</f>
        <v>233.94566889334399</v>
      </c>
      <c r="BL65" s="172">
        <f>_xll.LVCELL($AK$1,BL$2,$AK65,$AL$2,$AK$4,$AK$5,$AK$6,$AK$7,$AK$8,$AL$3)/1000</f>
        <v>1986.1754145734581</v>
      </c>
      <c r="BM65" s="214">
        <f t="shared" si="6"/>
        <v>49.130602415458043</v>
      </c>
      <c r="BN65" s="217">
        <f t="shared" si="7"/>
        <v>2.0051286120793201</v>
      </c>
      <c r="BO65" s="218">
        <f t="shared" si="7"/>
        <v>47.125473803379144</v>
      </c>
      <c r="BP65" s="193">
        <f t="shared" si="8"/>
        <v>2.5363689113997889E-2</v>
      </c>
      <c r="BQ65" s="172"/>
      <c r="BS65" s="198">
        <f t="shared" si="9"/>
        <v>93.470474178594728</v>
      </c>
      <c r="BT65" s="198">
        <f t="shared" si="10"/>
        <v>95.742122932800328</v>
      </c>
      <c r="BU65" s="198">
        <f t="shared" si="11"/>
        <v>2.2716487542056001</v>
      </c>
      <c r="BV65" s="199">
        <f t="shared" si="12"/>
        <v>2.4303383225221947E-2</v>
      </c>
      <c r="BX65" s="200">
        <f t="shared" si="17"/>
        <v>2.0051286120793201</v>
      </c>
      <c r="BY65" s="200">
        <f t="shared" si="18"/>
        <v>47.125473803379144</v>
      </c>
      <c r="BZ65" s="200">
        <f t="shared" si="15"/>
        <v>49.130602415458462</v>
      </c>
      <c r="CA65" s="526">
        <f t="shared" si="16"/>
        <v>-4.1922021409845911E-13</v>
      </c>
    </row>
    <row r="66" spans="1:79">
      <c r="B66" s="64" t="str">
        <f>'1-EO_Calcul Reporting'!B88</f>
        <v>E6210</v>
      </c>
      <c r="C66" s="64" t="str">
        <f>'1-EO_Calcul Reporting'!C88</f>
        <v>E6210</v>
      </c>
      <c r="D66" s="192" t="str">
        <f>'1-EO_Calcul Reporting'!D88</f>
        <v>Les Clérimois</v>
      </c>
      <c r="E66" s="172">
        <f>_xll.LVCELL($D$1,E$3,$C66,$D$2,$C$4,$C$5,$C$6,$C$7,$C$8,$D$3)/1000</f>
        <v>1781.913</v>
      </c>
      <c r="F66" s="172">
        <f>_xll.LVCELL($D$1,F$3,$C66,$D$2,$C$4,$C$5,$C$6,$C$7,$C$8,$D$3)/1000</f>
        <v>1489.4929999999999</v>
      </c>
      <c r="G66" s="172">
        <f>_xll.LVCELL($D$1,G$3,$C66,$D$2,$C$4,$C$5,$C$6,$C$7,$C$8,$D$3)/1000</f>
        <v>1464.4839999999999</v>
      </c>
      <c r="H66" s="172">
        <f>_xll.LVCELL($D$1,H$3,$C66,$D$2,$C$4,$C$5,$C$6,$C$7,$C$8,$D$3)/1000</f>
        <v>1218.4469999999999</v>
      </c>
      <c r="I66" s="172">
        <f>_xll.LVCELL($D$1,I$3,$C66,$D$2,$C$4,$C$5,$C$6,$C$7,$C$8,$D$3)/1000</f>
        <v>1075.3330000000001</v>
      </c>
      <c r="J66" s="172">
        <f>_xll.LVCELL($D$1,J$3,$C66,$D$2,$C$4,$C$5,$C$6,$C$7,$C$8,$D$3)/1000</f>
        <v>831.56799999999998</v>
      </c>
      <c r="K66" s="172">
        <f>_xll.LVCELL($D$1,K$3,$C66,$D$2,$C$4,$C$5,$C$6,$C$7,$C$8,$D$3)/1000</f>
        <v>835.38</v>
      </c>
      <c r="L66" s="172">
        <f>_xll.LVCELL($D$1,L$3,$C66,$D$2,$C$4,$C$5,$C$6,$C$7,$C$8,$D$3)/1000</f>
        <v>770.74300000000005</v>
      </c>
      <c r="M66" s="172">
        <f>_xll.LVCELL($D$1,M$3,$C66,$D$2,$C$4,$C$5,$C$6,$C$7,$C$8,$D$3)/1000</f>
        <v>1022.651</v>
      </c>
      <c r="N66" s="172">
        <f>_xll.LVCELL($D$1,N$3,$C66,$D$2,$C$4,$C$5,$C$6,$C$7,$C$8,$D$3)/1000</f>
        <v>1402.06</v>
      </c>
      <c r="O66" s="172">
        <f>_xll.LVCELL($D$1,O$3,$C66,$D$2,$C$4,$C$5,$C$6,$C$7,$C$8,$D$3)/1000</f>
        <v>1465.6559999999999</v>
      </c>
      <c r="P66" s="172">
        <f>_xll.LVCELL($D$1,P$3,$C66,$D$2,$C$4,$C$5,$C$6,$C$7,$C$8,$D$3)/1000</f>
        <v>1817.7729999999999</v>
      </c>
      <c r="Q66" s="172">
        <f>_xll.LVCELL($D$1,Q$2,$C66,$D$2,$C$4,$C$5,$C$6,$C$7,$C$8,$D$3)/1000</f>
        <v>15175.501</v>
      </c>
      <c r="R66" s="172">
        <f>_xll.LVCELL($D$1,R$3,$C66,$D$2,$C$4,$C$5,$C$6,$C$7,$C$8,$D$3)/1000</f>
        <v>1809.7550000000001</v>
      </c>
      <c r="S66" s="172">
        <f>_xll.LVCELL($D$1,S$3,$C66,$D$2,$C$4,$C$5,$C$6,$C$7,$C$8,$D$3)/1000</f>
        <v>1512.7660000000001</v>
      </c>
      <c r="T66" s="172">
        <f>_xll.LVCELL($D$1,T$3,$C66,$D$2,$C$4,$C$5,$C$6,$C$7,$C$8,$D$3)/1000</f>
        <v>1487.366</v>
      </c>
      <c r="U66" s="172">
        <f>_xll.LVCELL($D$1,U$3,$C66,$D$2,$C$4,$C$5,$C$6,$C$7,$C$8,$D$3)/1000</f>
        <v>1237.4849999999999</v>
      </c>
      <c r="V66" s="172">
        <f>_xll.LVCELL($D$1,V$3,$C66,$D$2,$C$4,$C$5,$C$6,$C$7,$C$8,$D$3)/1000</f>
        <v>1092.136</v>
      </c>
      <c r="W66" s="172">
        <f>_xll.LVCELL($D$1,W$3,$C66,$D$2,$C$4,$C$5,$C$6,$C$7,$C$8,$D$3)/1000</f>
        <v>844.56100000000004</v>
      </c>
      <c r="X66" s="172">
        <f>_xll.LVCELL($D$1,X$3,$C66,$D$2,$C$4,$C$5,$C$6,$C$7,$C$8,$D$3)/1000</f>
        <v>848.43299999999999</v>
      </c>
      <c r="Y66" s="172">
        <f>_xll.LVCELL($D$1,Y$3,$C66,$D$2,$C$4,$C$5,$C$6,$C$7,$C$8,$D$3)/1000</f>
        <v>782.78599999999994</v>
      </c>
      <c r="Z66" s="172">
        <f>_xll.LVCELL($D$1,Z$3,$C66,$D$2,$C$4,$C$5,$C$6,$C$7,$C$8,$D$3)/1000</f>
        <v>1038.6300000000001</v>
      </c>
      <c r="AA66" s="172">
        <f>_xll.LVCELL($D$1,AA$3,$C66,$D$2,$C$4,$C$5,$C$6,$C$7,$C$8,$D$3)/1000</f>
        <v>1423.9670000000001</v>
      </c>
      <c r="AB66" s="172">
        <f>_xll.LVCELL($D$1,AB$3,$C66,$D$2,$C$4,$C$5,$C$6,$C$7,$C$8,$D$3)/1000</f>
        <v>1488.556</v>
      </c>
      <c r="AC66" s="172">
        <f>_xll.LVCELL($D$1,AC$3,$C66,$D$2,$C$4,$C$5,$C$6,$C$7,$C$8,$D$3)/1000</f>
        <v>1846.1759999999999</v>
      </c>
      <c r="AD66" s="172">
        <f>_xll.LVCELL($D$1,AD$2,$C66,$D$2,$C$4,$C$5,$C$6,$C$7,$C$8,$D$3)/1000</f>
        <v>15412.617</v>
      </c>
      <c r="AE66" s="172">
        <f t="shared" si="1"/>
        <v>237.11599999999999</v>
      </c>
      <c r="AF66" s="193">
        <f t="shared" si="2"/>
        <v>1.5624920719256696E-2</v>
      </c>
      <c r="AG66" s="535"/>
      <c r="AJ66" s="64" t="str">
        <f t="shared" si="3"/>
        <v>E6210</v>
      </c>
      <c r="AK66" s="64" t="str">
        <f t="shared" si="4"/>
        <v>E6210</v>
      </c>
      <c r="AL66" s="192" t="str">
        <f t="shared" si="5"/>
        <v>Les Clérimois</v>
      </c>
      <c r="AM66" s="172">
        <f>_xll.LVCELL($AK$1,AM$3,$AK66,$AL$2,$AK$4,$AK$5,$AK$6,$AK$7,$AK$8,$AL$3)/1000</f>
        <v>169.90540455000001</v>
      </c>
      <c r="AN66" s="172">
        <f>_xll.LVCELL($AK$1,AN$3,$AK66,$AL$2,$AK$4,$AK$5,$AK$6,$AK$7,$AK$8,$AL$3)/1000</f>
        <v>142.02315755000001</v>
      </c>
      <c r="AO66" s="172">
        <f>_xll.LVCELL($AK$1,AO$3,$AK66,$AL$2,$AK$4,$AK$5,$AK$6,$AK$7,$AK$8,$AL$3)/1000</f>
        <v>139.63854939999999</v>
      </c>
      <c r="AP66" s="172">
        <f>_xll.LVCELL($AK$1,AP$3,$AK66,$AL$2,$AK$4,$AK$5,$AK$6,$AK$7,$AK$8,$AL$3)/1000</f>
        <v>116.17892144999999</v>
      </c>
      <c r="AQ66" s="172">
        <f>_xll.LVCELL($AK$1,AQ$3,$AK66,$AL$2,$AK$4,$AK$5,$AK$6,$AK$7,$AK$8,$AL$3)/1000</f>
        <v>102.53300154999999</v>
      </c>
      <c r="AR66" s="172">
        <f>_xll.LVCELL($AK$1,AR$3,$AK66,$AL$2,$AK$4,$AK$5,$AK$6,$AK$7,$AK$8,$AL$3)/1000</f>
        <v>79.290008799999995</v>
      </c>
      <c r="AS66" s="172">
        <f>_xll.LVCELL($AK$1,AS$3,$AK66,$AL$2,$AK$4,$AK$5,$AK$6,$AK$7,$AK$8,$AL$3)/1000</f>
        <v>79.653482999999994</v>
      </c>
      <c r="AT66" s="172">
        <f>_xll.LVCELL($AK$1,AT$3,$AK66,$AL$2,$AK$4,$AK$5,$AK$6,$AK$7,$AK$8,$AL$3)/1000</f>
        <v>73.490345050000002</v>
      </c>
      <c r="AU66" s="172">
        <f>_xll.LVCELL($AK$1,AU$3,$AK66,$AL$2,$AK$4,$AK$5,$AK$6,$AK$7,$AK$8,$AL$3)/1000</f>
        <v>97.50977284999999</v>
      </c>
      <c r="AV66" s="172">
        <f>_xll.LVCELL($AK$1,AV$3,$AK66,$AL$2,$AK$4,$AK$5,$AK$6,$AK$7,$AK$8,$AL$3)/1000</f>
        <v>133.686421</v>
      </c>
      <c r="AW66" s="172">
        <f>_xll.LVCELL($AK$1,AW$3,$AK66,$AL$2,$AK$4,$AK$5,$AK$6,$AK$7,$AK$8,$AL$3)/1000</f>
        <v>140.30871453600002</v>
      </c>
      <c r="AX66" s="172">
        <f>_xll.LVCELL($AK$1,AX$3,$AK66,$AL$2,$AK$4,$AK$5,$AK$6,$AK$7,$AK$8,$AL$3)/1000</f>
        <v>174.01722706300001</v>
      </c>
      <c r="AY66" s="172">
        <f>_xll.LVCELL($AK$1,AY$2,$AK66,$AL$2,$AK$4,$AK$5,$AK$6,$AK$7,$AK$8,$AL$3)/1000</f>
        <v>1448.2350067990001</v>
      </c>
      <c r="AZ66" s="172">
        <f>_xll.LVCELL($AK$1,AZ$3,$AK66,$AL$2,$AK$4,$AK$5,$AK$6,$AK$7,$AK$8,$AL$3)/1000</f>
        <v>175.97367379443</v>
      </c>
      <c r="BA66" s="172">
        <f>_xll.LVCELL($AK$1,BA$3,$AK66,$AL$2,$AK$4,$AK$5,$AK$6,$AK$7,$AK$8,$AL$3)/1000</f>
        <v>147.09559615047598</v>
      </c>
      <c r="BB66" s="172">
        <f>_xll.LVCELL($AK$1,BB$3,$AK66,$AL$2,$AK$4,$AK$5,$AK$6,$AK$7,$AK$8,$AL$3)/1000</f>
        <v>144.62579702607601</v>
      </c>
      <c r="BC66" s="172">
        <f>_xll.LVCELL($AK$1,BC$3,$AK66,$AL$2,$AK$4,$AK$5,$AK$6,$AK$7,$AK$8,$AL$3)/1000</f>
        <v>120.32832163221001</v>
      </c>
      <c r="BD66" s="172">
        <f>_xll.LVCELL($AK$1,BD$3,$AK66,$AL$2,$AK$4,$AK$5,$AK$6,$AK$7,$AK$8,$AL$3)/1000</f>
        <v>106.19513923329599</v>
      </c>
      <c r="BE66" s="172">
        <f>_xll.LVCELL($AK$1,BE$3,$AK66,$AL$2,$AK$4,$AK$5,$AK$6,$AK$7,$AK$8,$AL$3)/1000</f>
        <v>82.121890484346011</v>
      </c>
      <c r="BF66" s="172">
        <f>_xll.LVCELL($AK$1,BF$3,$AK66,$AL$2,$AK$4,$AK$5,$AK$6,$AK$7,$AK$8,$AL$3)/1000</f>
        <v>82.498388996537997</v>
      </c>
      <c r="BG66" s="172">
        <f>_xll.LVCELL($AK$1,BG$3,$AK66,$AL$2,$AK$4,$AK$5,$AK$6,$AK$7,$AK$8,$AL$3)/1000</f>
        <v>76.115125094196003</v>
      </c>
      <c r="BH66" s="172">
        <f>_xll.LVCELL($AK$1,BH$3,$AK66,$AL$2,$AK$4,$AK$5,$AK$6,$AK$7,$AK$8,$AL$3)/1000</f>
        <v>100.99241986518</v>
      </c>
      <c r="BI66" s="172">
        <f>_xll.LVCELL($AK$1,BI$3,$AK66,$AL$2,$AK$4,$AK$5,$AK$6,$AK$7,$AK$8,$AL$3)/1000</f>
        <v>138.46112006986201</v>
      </c>
      <c r="BJ66" s="172">
        <f>_xll.LVCELL($AK$1,BJ$3,$AK66,$AL$2,$AK$4,$AK$5,$AK$6,$AK$7,$AK$8,$AL$3)/1000</f>
        <v>148.070562359608</v>
      </c>
      <c r="BK66" s="172">
        <f>_xll.LVCELL($AK$1,BK$3,$AK66,$AL$2,$AK$4,$AK$5,$AK$6,$AK$7,$AK$8,$AL$3)/1000</f>
        <v>183.64396000876798</v>
      </c>
      <c r="BL66" s="172">
        <f>_xll.LVCELL($AK$1,BL$2,$AK66,$AL$2,$AK$4,$AK$5,$AK$6,$AK$7,$AK$8,$AL$3)/1000</f>
        <v>1506.1219947149862</v>
      </c>
      <c r="BM66" s="214">
        <f t="shared" si="6"/>
        <v>57.886987915986083</v>
      </c>
      <c r="BN66" s="217">
        <f t="shared" si="7"/>
        <v>22.628557164086487</v>
      </c>
      <c r="BO66" s="218">
        <f t="shared" si="7"/>
        <v>35.258430751899724</v>
      </c>
      <c r="BP66" s="193">
        <f t="shared" si="8"/>
        <v>3.9970714451884604E-2</v>
      </c>
      <c r="BQ66" s="172" t="s">
        <v>3551</v>
      </c>
      <c r="BS66" s="198">
        <f t="shared" si="9"/>
        <v>95.432434606211686</v>
      </c>
      <c r="BT66" s="198">
        <f t="shared" si="10"/>
        <v>97.720068870522525</v>
      </c>
      <c r="BU66" s="198">
        <f t="shared" si="11"/>
        <v>2.2876342643108387</v>
      </c>
      <c r="BV66" s="199">
        <f t="shared" si="12"/>
        <v>2.3971244931038749E-2</v>
      </c>
      <c r="BX66" s="200">
        <f t="shared" si="17"/>
        <v>22.628557164086487</v>
      </c>
      <c r="BY66" s="200">
        <f t="shared" si="18"/>
        <v>35.258430751899724</v>
      </c>
      <c r="BZ66" s="200">
        <f t="shared" si="15"/>
        <v>57.886987915986211</v>
      </c>
      <c r="CA66" s="526">
        <f t="shared" si="16"/>
        <v>-1.2789769243681803E-13</v>
      </c>
    </row>
    <row r="67" spans="1:79">
      <c r="B67" s="64" t="str">
        <f>'1-EO_Calcul Reporting'!B89</f>
        <v>E6160</v>
      </c>
      <c r="C67" s="64" t="str">
        <f>'1-EO_Calcul Reporting'!C89</f>
        <v>E6160</v>
      </c>
      <c r="D67" s="192" t="str">
        <f>'1-EO_Calcul Reporting'!D89</f>
        <v>Plateau de Langres</v>
      </c>
      <c r="E67" s="172">
        <f>_xll.LVCELL($D$1,E$3,$C67,$D$2,$C$4,$C$5,$C$6,$C$7,$C$8,$D$3)/1000</f>
        <v>2015.8789999999999</v>
      </c>
      <c r="F67" s="172">
        <f>_xll.LVCELL($D$1,F$3,$C67,$D$2,$C$4,$C$5,$C$6,$C$7,$C$8,$D$3)/1000</f>
        <v>1762.7080000000001</v>
      </c>
      <c r="G67" s="172">
        <f>_xll.LVCELL($D$1,G$3,$C67,$D$2,$C$4,$C$5,$C$6,$C$7,$C$8,$D$3)/1000</f>
        <v>1830.9649999999999</v>
      </c>
      <c r="H67" s="172">
        <f>_xll.LVCELL($D$1,H$3,$C67,$D$2,$C$4,$C$5,$C$6,$C$7,$C$8,$D$3)/1000</f>
        <v>1588.646</v>
      </c>
      <c r="I67" s="172">
        <f>_xll.LVCELL($D$1,I$3,$C67,$D$2,$C$4,$C$5,$C$6,$C$7,$C$8,$D$3)/1000</f>
        <v>1356.318</v>
      </c>
      <c r="J67" s="172">
        <f>_xll.LVCELL($D$1,J$3,$C67,$D$2,$C$4,$C$5,$C$6,$C$7,$C$8,$D$3)/1000</f>
        <v>1117.826</v>
      </c>
      <c r="K67" s="172">
        <f>_xll.LVCELL($D$1,K$3,$C67,$D$2,$C$4,$C$5,$C$6,$C$7,$C$8,$D$3)/1000</f>
        <v>1084.385</v>
      </c>
      <c r="L67" s="172">
        <f>_xll.LVCELL($D$1,L$3,$C67,$D$2,$C$4,$C$5,$C$6,$C$7,$C$8,$D$3)/1000</f>
        <v>1003.299</v>
      </c>
      <c r="M67" s="172">
        <f>_xll.LVCELL($D$1,M$3,$C67,$D$2,$C$4,$C$5,$C$6,$C$7,$C$8,$D$3)/1000</f>
        <v>1317.35</v>
      </c>
      <c r="N67" s="172">
        <f>_xll.LVCELL($D$1,N$3,$C67,$D$2,$C$4,$C$5,$C$6,$C$7,$C$8,$D$3)/1000</f>
        <v>1704.3920000000001</v>
      </c>
      <c r="O67" s="172">
        <f>_xll.LVCELL($D$1,O$3,$C67,$D$2,$C$4,$C$5,$C$6,$C$7,$C$8,$D$3)/1000</f>
        <v>1721.183</v>
      </c>
      <c r="P67" s="172">
        <f>_xll.LVCELL($D$1,P$3,$C67,$D$2,$C$4,$C$5,$C$6,$C$7,$C$8,$D$3)/1000</f>
        <v>2089.5479999999998</v>
      </c>
      <c r="Q67" s="172">
        <f>_xll.LVCELL($D$1,Q$2,$C67,$D$2,$C$4,$C$5,$C$6,$C$7,$C$8,$D$3)/1000</f>
        <v>18592.499</v>
      </c>
      <c r="R67" s="172">
        <f>_xll.LVCELL($D$1,R$3,$C67,$D$2,$C$4,$C$5,$C$6,$C$7,$C$8,$D$3)/1000</f>
        <v>2022.133</v>
      </c>
      <c r="S67" s="172">
        <f>_xll.LVCELL($D$1,S$3,$C67,$D$2,$C$4,$C$5,$C$6,$C$7,$C$8,$D$3)/1000</f>
        <v>1768.1769999999999</v>
      </c>
      <c r="T67" s="172">
        <f>_xll.LVCELL($D$1,T$3,$C67,$D$2,$C$4,$C$5,$C$6,$C$7,$C$8,$D$3)/1000</f>
        <v>1836.645</v>
      </c>
      <c r="U67" s="172">
        <f>_xll.LVCELL($D$1,U$3,$C67,$D$2,$C$4,$C$5,$C$6,$C$7,$C$8,$D$3)/1000</f>
        <v>1593.5740000000001</v>
      </c>
      <c r="V67" s="172">
        <f>_xll.LVCELL($D$1,V$3,$C67,$D$2,$C$4,$C$5,$C$6,$C$7,$C$8,$D$3)/1000</f>
        <v>1360.5260000000001</v>
      </c>
      <c r="W67" s="172">
        <f>_xll.LVCELL($D$1,W$3,$C67,$D$2,$C$4,$C$5,$C$6,$C$7,$C$8,$D$3)/1000</f>
        <v>1121.2940000000001</v>
      </c>
      <c r="X67" s="172">
        <f>_xll.LVCELL($D$1,X$3,$C67,$D$2,$C$4,$C$5,$C$6,$C$7,$C$8,$D$3)/1000</f>
        <v>1087.749</v>
      </c>
      <c r="Y67" s="172">
        <f>_xll.LVCELL($D$1,Y$3,$C67,$D$2,$C$4,$C$5,$C$6,$C$7,$C$8,$D$3)/1000</f>
        <v>1006.412</v>
      </c>
      <c r="Z67" s="172">
        <f>_xll.LVCELL($D$1,Z$3,$C67,$D$2,$C$4,$C$5,$C$6,$C$7,$C$8,$D$3)/1000</f>
        <v>1321.4369999999999</v>
      </c>
      <c r="AA67" s="172">
        <f>_xll.LVCELL($D$1,AA$3,$C67,$D$2,$C$4,$C$5,$C$6,$C$7,$C$8,$D$3)/1000</f>
        <v>1709.68</v>
      </c>
      <c r="AB67" s="172">
        <f>_xll.LVCELL($D$1,AB$3,$C67,$D$2,$C$4,$C$5,$C$6,$C$7,$C$8,$D$3)/1000</f>
        <v>1726.5229999999999</v>
      </c>
      <c r="AC67" s="172">
        <f>_xll.LVCELL($D$1,AC$3,$C67,$D$2,$C$4,$C$5,$C$6,$C$7,$C$8,$D$3)/1000</f>
        <v>2096.0309999999999</v>
      </c>
      <c r="AD67" s="172">
        <f>_xll.LVCELL($D$1,AD$2,$C67,$D$2,$C$4,$C$5,$C$6,$C$7,$C$8,$D$3)/1000</f>
        <v>18650.181</v>
      </c>
      <c r="AE67" s="172">
        <f t="shared" si="1"/>
        <v>57.682000000000698</v>
      </c>
      <c r="AF67" s="193">
        <f t="shared" si="2"/>
        <v>3.1024339439253978E-3</v>
      </c>
      <c r="AG67" s="535"/>
      <c r="AJ67" s="64" t="str">
        <f t="shared" si="3"/>
        <v>E6160</v>
      </c>
      <c r="AK67" s="64" t="str">
        <f t="shared" si="4"/>
        <v>E6160</v>
      </c>
      <c r="AL67" s="192" t="str">
        <f t="shared" si="5"/>
        <v>Plateau de Langres</v>
      </c>
      <c r="AM67" s="172">
        <f>_xll.LVCELL($AK$1,AM$3,$AK67,$AL$2,$AK$4,$AK$5,$AK$6,$AK$7,$AK$8,$AL$3)/1000</f>
        <v>196.969521211</v>
      </c>
      <c r="AN67" s="172">
        <f>_xll.LVCELL($AK$1,AN$3,$AK67,$AL$2,$AK$4,$AK$5,$AK$6,$AK$7,$AK$8,$AL$3)/1000</f>
        <v>172.23243597200002</v>
      </c>
      <c r="AO67" s="172">
        <f>_xll.LVCELL($AK$1,AO$3,$AK67,$AL$2,$AK$4,$AK$5,$AK$6,$AK$7,$AK$8,$AL$3)/1000</f>
        <v>178.901759185</v>
      </c>
      <c r="AP67" s="172">
        <f>_xll.LVCELL($AK$1,AP$3,$AK67,$AL$2,$AK$4,$AK$5,$AK$6,$AK$7,$AK$8,$AL$3)/1000</f>
        <v>155.22501201400001</v>
      </c>
      <c r="AQ67" s="172">
        <f>_xll.LVCELL($AK$1,AQ$3,$AK67,$AL$2,$AK$4,$AK$5,$AK$6,$AK$7,$AK$8,$AL$3)/1000</f>
        <v>132.524475462</v>
      </c>
      <c r="AR67" s="172">
        <f>_xll.LVCELL($AK$1,AR$3,$AK67,$AL$2,$AK$4,$AK$5,$AK$6,$AK$7,$AK$8,$AL$3)/1000</f>
        <v>109.221660634</v>
      </c>
      <c r="AS67" s="172">
        <f>_xll.LVCELL($AK$1,AS$3,$AK67,$AL$2,$AK$4,$AK$5,$AK$6,$AK$7,$AK$8,$AL$3)/1000</f>
        <v>105.954173965</v>
      </c>
      <c r="AT67" s="172">
        <f>_xll.LVCELL($AK$1,AT$3,$AK67,$AL$2,$AK$4,$AK$5,$AK$6,$AK$7,$AK$8,$AL$3)/1000</f>
        <v>98.031341990999991</v>
      </c>
      <c r="AU67" s="172">
        <f>_xll.LVCELL($AK$1,AU$3,$AK67,$AL$2,$AK$4,$AK$5,$AK$6,$AK$7,$AK$8,$AL$3)/1000</f>
        <v>128.71695115</v>
      </c>
      <c r="AV67" s="172">
        <f>_xll.LVCELL($AK$1,AV$3,$AK67,$AL$2,$AK$4,$AK$5,$AK$6,$AK$7,$AK$8,$AL$3)/1000</f>
        <v>166.53443792799999</v>
      </c>
      <c r="AW67" s="172">
        <f>_xll.LVCELL($AK$1,AW$3,$AK67,$AL$2,$AK$4,$AK$5,$AK$6,$AK$7,$AK$8,$AL$3)/1000</f>
        <v>168.84805230000001</v>
      </c>
      <c r="AX67" s="172">
        <f>_xll.LVCELL($AK$1,AX$3,$AK67,$AL$2,$AK$4,$AK$5,$AK$6,$AK$7,$AK$8,$AL$3)/1000</f>
        <v>204.98465880000001</v>
      </c>
      <c r="AY67" s="172">
        <f>_xll.LVCELL($AK$1,AY$2,$AK67,$AL$2,$AK$4,$AK$5,$AK$6,$AK$7,$AK$8,$AL$3)/1000</f>
        <v>1818.1444806120001</v>
      </c>
      <c r="AZ67" s="172">
        <f>_xll.LVCELL($AK$1,AZ$3,$AK67,$AL$2,$AK$4,$AK$5,$AK$6,$AK$7,$AK$8,$AL$3)/1000</f>
        <v>201.485677904743</v>
      </c>
      <c r="BA67" s="172">
        <f>_xll.LVCELL($AK$1,BA$3,$AK67,$AL$2,$AK$4,$AK$5,$AK$6,$AK$7,$AK$8,$AL$3)/1000</f>
        <v>176.181458638267</v>
      </c>
      <c r="BB67" s="172">
        <f>_xll.LVCELL($AK$1,BB$3,$AK67,$AL$2,$AK$4,$AK$5,$AK$6,$AK$7,$AK$8,$AL$3)/1000</f>
        <v>183.00362186629499</v>
      </c>
      <c r="BC67" s="172">
        <f>_xll.LVCELL($AK$1,BC$3,$AK67,$AL$2,$AK$4,$AK$5,$AK$6,$AK$7,$AK$8,$AL$3)/1000</f>
        <v>158.78398586115401</v>
      </c>
      <c r="BD67" s="172">
        <f>_xll.LVCELL($AK$1,BD$3,$AK67,$AL$2,$AK$4,$AK$5,$AK$6,$AK$7,$AK$8,$AL$3)/1000</f>
        <v>135.56304328994602</v>
      </c>
      <c r="BE67" s="172">
        <f>_xll.LVCELL($AK$1,BE$3,$AK67,$AL$2,$AK$4,$AK$5,$AK$6,$AK$7,$AK$8,$AL$3)/1000</f>
        <v>111.725925901274</v>
      </c>
      <c r="BF67" s="172">
        <f>_xll.LVCELL($AK$1,BF$3,$AK67,$AL$2,$AK$4,$AK$5,$AK$6,$AK$7,$AK$8,$AL$3)/1000</f>
        <v>108.383496365079</v>
      </c>
      <c r="BG67" s="172">
        <f>_xll.LVCELL($AK$1,BG$3,$AK67,$AL$2,$AK$4,$AK$5,$AK$6,$AK$7,$AK$8,$AL$3)/1000</f>
        <v>100.27906377645201</v>
      </c>
      <c r="BH67" s="172">
        <f>_xll.LVCELL($AK$1,BH$3,$AK67,$AL$2,$AK$4,$AK$5,$AK$6,$AK$7,$AK$8,$AL$3)/1000</f>
        <v>131.66820864572699</v>
      </c>
      <c r="BI67" s="172">
        <f>_xll.LVCELL($AK$1,BI$3,$AK67,$AL$2,$AK$4,$AK$5,$AK$6,$AK$7,$AK$8,$AL$3)/1000</f>
        <v>170.35280755527998</v>
      </c>
      <c r="BJ67" s="172">
        <f>_xll.LVCELL($AK$1,BJ$3,$AK67,$AL$2,$AK$4,$AK$5,$AK$6,$AK$7,$AK$8,$AL$3)/1000</f>
        <v>175.98776115108501</v>
      </c>
      <c r="BK67" s="172">
        <f>_xll.LVCELL($AK$1,BK$3,$AK67,$AL$2,$AK$4,$AK$5,$AK$6,$AK$7,$AK$8,$AL$3)/1000</f>
        <v>213.652411808745</v>
      </c>
      <c r="BL67" s="172">
        <f>_xll.LVCELL($AK$1,BL$2,$AK67,$AL$2,$AK$4,$AK$5,$AK$6,$AK$7,$AK$8,$AL$3)/1000</f>
        <v>1867.0674627640471</v>
      </c>
      <c r="BM67" s="214">
        <f t="shared" si="6"/>
        <v>48.922982152047098</v>
      </c>
      <c r="BN67" s="217">
        <f t="shared" si="7"/>
        <v>5.6406731516114457</v>
      </c>
      <c r="BO67" s="218">
        <f t="shared" si="7"/>
        <v>43.282309000435625</v>
      </c>
      <c r="BP67" s="193">
        <f t="shared" si="8"/>
        <v>2.6908192761215144E-2</v>
      </c>
      <c r="BQ67" s="172"/>
      <c r="BS67" s="198">
        <f t="shared" si="9"/>
        <v>97.789139620876142</v>
      </c>
      <c r="BT67" s="198">
        <f t="shared" si="10"/>
        <v>100.10988433646017</v>
      </c>
      <c r="BU67" s="198">
        <f t="shared" si="11"/>
        <v>2.3207447155840271</v>
      </c>
      <c r="BV67" s="199">
        <f t="shared" si="12"/>
        <v>2.3732131447126381E-2</v>
      </c>
      <c r="BX67" s="200">
        <f t="shared" si="17"/>
        <v>5.6406731516114457</v>
      </c>
      <c r="BY67" s="200">
        <f t="shared" si="18"/>
        <v>43.282309000435625</v>
      </c>
      <c r="BZ67" s="200">
        <f t="shared" si="15"/>
        <v>48.922982152047069</v>
      </c>
      <c r="CA67" s="526">
        <f t="shared" si="16"/>
        <v>0</v>
      </c>
    </row>
    <row r="68" spans="1:79">
      <c r="B68" s="64" t="str">
        <f>'1-EO_Calcul Reporting'!B90</f>
        <v>E6170</v>
      </c>
      <c r="C68" s="64" t="str">
        <f>'1-EO_Calcul Reporting'!C90</f>
        <v>E6170</v>
      </c>
      <c r="D68" s="192" t="str">
        <f>'1-EO_Calcul Reporting'!D90</f>
        <v>Les Moulins de Boulay</v>
      </c>
      <c r="E68" s="172">
        <f>_xll.LVCELL($D$1,E$3,$C68,$D$2,$C$4,$C$5,$C$6,$C$7,$C$8,$D$3)/1000</f>
        <v>1974.5260000000001</v>
      </c>
      <c r="F68" s="172">
        <f>_xll.LVCELL($D$1,F$3,$C68,$D$2,$C$4,$C$5,$C$6,$C$7,$C$8,$D$3)/1000</f>
        <v>1642.511</v>
      </c>
      <c r="G68" s="172">
        <f>_xll.LVCELL($D$1,G$3,$C68,$D$2,$C$4,$C$5,$C$6,$C$7,$C$8,$D$3)/1000</f>
        <v>1664.8820000000001</v>
      </c>
      <c r="H68" s="172">
        <f>_xll.LVCELL($D$1,H$3,$C68,$D$2,$C$4,$C$5,$C$6,$C$7,$C$8,$D$3)/1000</f>
        <v>1280.2059999999999</v>
      </c>
      <c r="I68" s="172">
        <f>_xll.LVCELL($D$1,I$3,$C68,$D$2,$C$4,$C$5,$C$6,$C$7,$C$8,$D$3)/1000</f>
        <v>1160.643</v>
      </c>
      <c r="J68" s="172">
        <f>_xll.LVCELL($D$1,J$3,$C68,$D$2,$C$4,$C$5,$C$6,$C$7,$C$8,$D$3)/1000</f>
        <v>911.4</v>
      </c>
      <c r="K68" s="172">
        <f>_xll.LVCELL($D$1,K$3,$C68,$D$2,$C$4,$C$5,$C$6,$C$7,$C$8,$D$3)/1000</f>
        <v>964.25</v>
      </c>
      <c r="L68" s="172">
        <f>_xll.LVCELL($D$1,L$3,$C68,$D$2,$C$4,$C$5,$C$6,$C$7,$C$8,$D$3)/1000</f>
        <v>906.27599999999995</v>
      </c>
      <c r="M68" s="172">
        <f>_xll.LVCELL($D$1,M$3,$C68,$D$2,$C$4,$C$5,$C$6,$C$7,$C$8,$D$3)/1000</f>
        <v>1170.173</v>
      </c>
      <c r="N68" s="172">
        <f>_xll.LVCELL($D$1,N$3,$C68,$D$2,$C$4,$C$5,$C$6,$C$7,$C$8,$D$3)/1000</f>
        <v>1608.7049999999999</v>
      </c>
      <c r="O68" s="172">
        <f>_xll.LVCELL($D$1,O$3,$C68,$D$2,$C$4,$C$5,$C$6,$C$7,$C$8,$D$3)/1000</f>
        <v>1578.992</v>
      </c>
      <c r="P68" s="172">
        <f>_xll.LVCELL($D$1,P$3,$C68,$D$2,$C$4,$C$5,$C$6,$C$7,$C$8,$D$3)/1000</f>
        <v>2004.636</v>
      </c>
      <c r="Q68" s="172">
        <f>_xll.LVCELL($D$1,Q$2,$C68,$D$2,$C$4,$C$5,$C$6,$C$7,$C$8,$D$3)/1000</f>
        <v>16867.2</v>
      </c>
      <c r="R68" s="172">
        <f>_xll.LVCELL($D$1,R$3,$C68,$D$2,$C$4,$C$5,$C$6,$C$7,$C$8,$D$3)/1000</f>
        <v>1972.328</v>
      </c>
      <c r="S68" s="172">
        <f>_xll.LVCELL($D$1,S$3,$C68,$D$2,$C$4,$C$5,$C$6,$C$7,$C$8,$D$3)/1000</f>
        <v>1640.682</v>
      </c>
      <c r="T68" s="172">
        <f>_xll.LVCELL($D$1,T$3,$C68,$D$2,$C$4,$C$5,$C$6,$C$7,$C$8,$D$3)/1000</f>
        <v>1663.028</v>
      </c>
      <c r="U68" s="172">
        <f>_xll.LVCELL($D$1,U$3,$C68,$D$2,$C$4,$C$5,$C$6,$C$7,$C$8,$D$3)/1000</f>
        <v>1278.7809999999999</v>
      </c>
      <c r="V68" s="172">
        <f>_xll.LVCELL($D$1,V$3,$C68,$D$2,$C$4,$C$5,$C$6,$C$7,$C$8,$D$3)/1000</f>
        <v>1159.3499999999999</v>
      </c>
      <c r="W68" s="172">
        <f>_xll.LVCELL($D$1,W$3,$C68,$D$2,$C$4,$C$5,$C$6,$C$7,$C$8,$D$3)/1000</f>
        <v>910.38499999999999</v>
      </c>
      <c r="X68" s="172">
        <f>_xll.LVCELL($D$1,X$3,$C68,$D$2,$C$4,$C$5,$C$6,$C$7,$C$8,$D$3)/1000</f>
        <v>963.17700000000002</v>
      </c>
      <c r="Y68" s="172">
        <f>_xll.LVCELL($D$1,Y$3,$C68,$D$2,$C$4,$C$5,$C$6,$C$7,$C$8,$D$3)/1000</f>
        <v>905.26700000000005</v>
      </c>
      <c r="Z68" s="172">
        <f>_xll.LVCELL($D$1,Z$3,$C68,$D$2,$C$4,$C$5,$C$6,$C$7,$C$8,$D$3)/1000</f>
        <v>1168.8699999999999</v>
      </c>
      <c r="AA68" s="172">
        <f>_xll.LVCELL($D$1,AA$3,$C68,$D$2,$C$4,$C$5,$C$6,$C$7,$C$8,$D$3)/1000</f>
        <v>1606.914</v>
      </c>
      <c r="AB68" s="172">
        <f>_xll.LVCELL($D$1,AB$3,$C68,$D$2,$C$4,$C$5,$C$6,$C$7,$C$8,$D$3)/1000</f>
        <v>1577.2339999999999</v>
      </c>
      <c r="AC68" s="172">
        <f>_xll.LVCELL($D$1,AC$3,$C68,$D$2,$C$4,$C$5,$C$6,$C$7,$C$8,$D$3)/1000</f>
        <v>2002.405</v>
      </c>
      <c r="AD68" s="172">
        <f>_xll.LVCELL($D$1,AD$2,$C68,$D$2,$C$4,$C$5,$C$6,$C$7,$C$8,$D$3)/1000</f>
        <v>16848.420999999998</v>
      </c>
      <c r="AE68" s="172">
        <f t="shared" si="1"/>
        <v>-18.77900000000227</v>
      </c>
      <c r="AF68" s="193">
        <f t="shared" si="2"/>
        <v>-1.1133442420794282E-3</v>
      </c>
      <c r="AG68" s="535"/>
      <c r="AJ68" s="64" t="str">
        <f t="shared" si="3"/>
        <v>E6170</v>
      </c>
      <c r="AK68" s="64" t="str">
        <f t="shared" si="4"/>
        <v>E6170</v>
      </c>
      <c r="AL68" s="192" t="str">
        <f t="shared" si="5"/>
        <v>Les Moulins de Boulay</v>
      </c>
      <c r="AM68" s="172">
        <f>_xll.LVCELL($AK$1,AM$3,$AK68,$AL$2,$AK$4,$AK$5,$AK$6,$AK$7,$AK$8,$AL$3)/1000</f>
        <v>189.955324778</v>
      </c>
      <c r="AN68" s="172">
        <f>_xll.LVCELL($AK$1,AN$3,$AK68,$AL$2,$AK$4,$AK$5,$AK$6,$AK$7,$AK$8,$AL$3)/1000</f>
        <v>158.01448573300001</v>
      </c>
      <c r="AO68" s="172">
        <f>_xll.LVCELL($AK$1,AO$3,$AK68,$AL$2,$AK$4,$AK$5,$AK$6,$AK$7,$AK$8,$AL$3)/1000</f>
        <v>160.16664304600002</v>
      </c>
      <c r="AP68" s="172">
        <f>_xll.LVCELL($AK$1,AP$3,$AK68,$AL$2,$AK$4,$AK$5,$AK$6,$AK$7,$AK$8,$AL$3)/1000</f>
        <v>123.15965781800001</v>
      </c>
      <c r="AQ68" s="172">
        <f>_xll.LVCELL($AK$1,AQ$3,$AK68,$AL$2,$AK$4,$AK$5,$AK$6,$AK$7,$AK$8,$AL$3)/1000</f>
        <v>111.657338529</v>
      </c>
      <c r="AR68" s="172">
        <f>_xll.LVCELL($AK$1,AR$3,$AK68,$AL$2,$AK$4,$AK$5,$AK$6,$AK$7,$AK$8,$AL$3)/1000</f>
        <v>87.679414199999997</v>
      </c>
      <c r="AS68" s="172">
        <f>_xll.LVCELL($AK$1,AS$3,$AK68,$AL$2,$AK$4,$AK$5,$AK$6,$AK$7,$AK$8,$AL$3)/1000</f>
        <v>92.763742750000006</v>
      </c>
      <c r="AT68" s="172">
        <f>_xll.LVCELL($AK$1,AT$3,$AK68,$AL$2,$AK$4,$AK$5,$AK$6,$AK$7,$AK$8,$AL$3)/1000</f>
        <v>87.186470028000002</v>
      </c>
      <c r="AU68" s="172">
        <f>_xll.LVCELL($AK$1,AU$3,$AK68,$AL$2,$AK$4,$AK$5,$AK$6,$AK$7,$AK$8,$AL$3)/1000</f>
        <v>112.574153119</v>
      </c>
      <c r="AV68" s="172">
        <f>_xll.LVCELL($AK$1,AV$3,$AK68,$AL$2,$AK$4,$AK$5,$AK$6,$AK$7,$AK$8,$AL$3)/1000</f>
        <v>154.76224711500001</v>
      </c>
      <c r="AW68" s="172">
        <f>_xll.LVCELL($AK$1,AW$3,$AK68,$AL$2,$AK$4,$AK$5,$AK$6,$AK$7,$AK$8,$AL$3)/1000</f>
        <v>152.51167929599998</v>
      </c>
      <c r="AX68" s="172">
        <f>_xll.LVCELL($AK$1,AX$3,$AK68,$AL$2,$AK$4,$AK$5,$AK$6,$AK$7,$AK$8,$AL$3)/1000</f>
        <v>193.623781968</v>
      </c>
      <c r="AY68" s="172">
        <f>_xll.LVCELL($AK$1,AY$2,$AK68,$AL$2,$AK$4,$AK$5,$AK$6,$AK$7,$AK$8,$AL$3)/1000</f>
        <v>1624.0549383799998</v>
      </c>
      <c r="AZ68" s="172">
        <f>_xll.LVCELL($AK$1,AZ$3,$AK68,$AL$2,$AK$4,$AK$5,$AK$6,$AK$7,$AK$8,$AL$3)/1000</f>
        <v>193.55953633280001</v>
      </c>
      <c r="BA68" s="172">
        <f>_xll.LVCELL($AK$1,BA$3,$AK68,$AL$2,$AK$4,$AK$5,$AK$6,$AK$7,$AK$8,$AL$3)/1000</f>
        <v>161.01259384320002</v>
      </c>
      <c r="BB68" s="172">
        <f>_xll.LVCELL($AK$1,BB$3,$AK68,$AL$2,$AK$4,$AK$5,$AK$6,$AK$7,$AK$8,$AL$3)/1000</f>
        <v>163.2055766528</v>
      </c>
      <c r="BC68" s="172">
        <f>_xll.LVCELL($AK$1,BC$3,$AK68,$AL$2,$AK$4,$AK$5,$AK$6,$AK$7,$AK$8,$AL$3)/1000</f>
        <v>125.49649826560001</v>
      </c>
      <c r="BD68" s="172">
        <f>_xll.LVCELL($AK$1,BD$3,$AK68,$AL$2,$AK$4,$AK$5,$AK$6,$AK$7,$AK$8,$AL$3)/1000</f>
        <v>113.77582656</v>
      </c>
      <c r="BE68" s="172">
        <f>_xll.LVCELL($AK$1,BE$3,$AK68,$AL$2,$AK$4,$AK$5,$AK$6,$AK$7,$AK$8,$AL$3)/1000</f>
        <v>89.342998976000004</v>
      </c>
      <c r="BF68" s="172">
        <f>_xll.LVCELL($AK$1,BF$3,$AK68,$AL$2,$AK$4,$AK$5,$AK$6,$AK$7,$AK$8,$AL$3)/1000</f>
        <v>94.523879155200007</v>
      </c>
      <c r="BG68" s="172">
        <f>_xll.LVCELL($AK$1,BG$3,$AK68,$AL$2,$AK$4,$AK$5,$AK$6,$AK$7,$AK$8,$AL$3)/1000</f>
        <v>88.840730739199998</v>
      </c>
      <c r="BH68" s="172">
        <f>_xll.LVCELL($AK$1,BH$3,$AK68,$AL$2,$AK$4,$AK$5,$AK$6,$AK$7,$AK$8,$AL$3)/1000</f>
        <v>114.71009651200001</v>
      </c>
      <c r="BI68" s="172">
        <f>_xll.LVCELL($AK$1,BI$3,$AK68,$AL$2,$AK$4,$AK$5,$AK$6,$AK$7,$AK$8,$AL$3)/1000</f>
        <v>157.69868336639999</v>
      </c>
      <c r="BJ68" s="172">
        <f>_xll.LVCELL($AK$1,BJ$3,$AK68,$AL$2,$AK$4,$AK$5,$AK$6,$AK$7,$AK$8,$AL$3)/1000</f>
        <v>158.34603678001</v>
      </c>
      <c r="BK68" s="172">
        <f>_xll.LVCELL($AK$1,BK$3,$AK68,$AL$2,$AK$4,$AK$5,$AK$6,$AK$7,$AK$8,$AL$3)/1000</f>
        <v>120.4646848</v>
      </c>
      <c r="BL68" s="172">
        <f>_xll.LVCELL($AK$1,BL$2,$AK68,$AL$2,$AK$4,$AK$5,$AK$6,$AK$7,$AK$8,$AL$3)/1000</f>
        <v>1580.97714198321</v>
      </c>
      <c r="BM68" s="214">
        <f t="shared" si="6"/>
        <v>-43.077796396789836</v>
      </c>
      <c r="BN68" s="217">
        <f t="shared" si="7"/>
        <v>-1.808132214466047</v>
      </c>
      <c r="BO68" s="218">
        <f t="shared" si="7"/>
        <v>-41.269664182323801</v>
      </c>
      <c r="BP68" s="193">
        <f t="shared" si="8"/>
        <v>-2.652483938736705E-2</v>
      </c>
      <c r="BQ68" s="172" t="s">
        <v>3555</v>
      </c>
      <c r="BS68" s="198">
        <f t="shared" si="9"/>
        <v>96.284797617861884</v>
      </c>
      <c r="BT68" s="198">
        <f t="shared" si="10"/>
        <v>93.835329849794846</v>
      </c>
      <c r="BU68" s="198">
        <f t="shared" si="11"/>
        <v>-2.4494677680670378</v>
      </c>
      <c r="BV68" s="199">
        <f t="shared" si="12"/>
        <v>-2.5439818420645823E-2</v>
      </c>
      <c r="BX68" s="200">
        <f t="shared" si="17"/>
        <v>-1.808132214466047</v>
      </c>
      <c r="BY68" s="200">
        <f t="shared" si="18"/>
        <v>-41.269664182323801</v>
      </c>
      <c r="BZ68" s="200">
        <f t="shared" si="15"/>
        <v>-43.07779639678985</v>
      </c>
      <c r="CA68" s="526">
        <f t="shared" si="16"/>
        <v>0</v>
      </c>
    </row>
    <row r="69" spans="1:79" ht="76.5">
      <c r="B69" s="64" t="str">
        <f>'1-EO_Calcul Reporting'!B91</f>
        <v>E6330</v>
      </c>
      <c r="C69" s="64" t="str">
        <f>'1-EO_Calcul Reporting'!C91</f>
        <v>E6330</v>
      </c>
      <c r="D69" s="192" t="str">
        <f>'1-EO_Calcul Reporting'!D91</f>
        <v>Morlange</v>
      </c>
      <c r="E69" s="172">
        <f>_xll.LVCELL($D$1,E$3,$C69,$D$2,$C$4,$C$5,$C$6,$C$7,$C$8,$D$3)/1000</f>
        <v>2330.7350000000001</v>
      </c>
      <c r="F69" s="172">
        <f>_xll.LVCELL($D$1,F$3,$C69,$D$2,$C$4,$C$5,$C$6,$C$7,$C$8,$D$3)/1000</f>
        <v>1964.6980000000001</v>
      </c>
      <c r="G69" s="172">
        <f>_xll.LVCELL($D$1,G$3,$C69,$D$2,$C$4,$C$5,$C$6,$C$7,$C$8,$D$3)/1000</f>
        <v>2020.5429999999999</v>
      </c>
      <c r="H69" s="172">
        <f>_xll.LVCELL($D$1,H$3,$C69,$D$2,$C$4,$C$5,$C$6,$C$7,$C$8,$D$3)/1000</f>
        <v>1613.8209999999999</v>
      </c>
      <c r="I69" s="172">
        <f>_xll.LVCELL($D$1,I$3,$C69,$D$2,$C$4,$C$5,$C$6,$C$7,$C$8,$D$3)/1000</f>
        <v>1486.5889999999999</v>
      </c>
      <c r="J69" s="172">
        <f>_xll.LVCELL($D$1,J$3,$C69,$D$2,$C$4,$C$5,$C$6,$C$7,$C$8,$D$3)/1000</f>
        <v>1213.2629999999999</v>
      </c>
      <c r="K69" s="172">
        <f>_xll.LVCELL($D$1,K$3,$C69,$D$2,$C$4,$C$5,$C$6,$C$7,$C$8,$D$3)/1000</f>
        <v>1270.991</v>
      </c>
      <c r="L69" s="172">
        <f>_xll.LVCELL($D$1,L$3,$C69,$D$2,$C$4,$C$5,$C$6,$C$7,$C$8,$D$3)/1000</f>
        <v>1212.4100000000001</v>
      </c>
      <c r="M69" s="172">
        <f>_xll.LVCELL($D$1,M$3,$C69,$D$2,$C$4,$C$5,$C$6,$C$7,$C$8,$D$3)/1000</f>
        <v>1493.0029999999999</v>
      </c>
      <c r="N69" s="172">
        <f>_xll.LVCELL($D$1,N$3,$C69,$D$2,$C$4,$C$5,$C$6,$C$7,$C$8,$D$3)/1000</f>
        <v>1956.68</v>
      </c>
      <c r="O69" s="172">
        <f>_xll.LVCELL($D$1,O$3,$C69,$D$2,$C$4,$C$5,$C$6,$C$7,$C$8,$D$3)/1000</f>
        <v>1914.9359999999999</v>
      </c>
      <c r="P69" s="172">
        <f>_xll.LVCELL($D$1,P$3,$C69,$D$2,$C$4,$C$5,$C$6,$C$7,$C$8,$D$3)/1000</f>
        <v>2362.4270000000001</v>
      </c>
      <c r="Q69" s="172">
        <f>_xll.LVCELL($D$1,Q$2,$C69,$D$2,$C$4,$C$5,$C$6,$C$7,$C$8,$D$3)/1000</f>
        <v>20840.096000000001</v>
      </c>
      <c r="R69" s="172">
        <f>_xll.LVCELL($D$1,R$3,$C69,$D$2,$C$4,$C$5,$C$6,$C$7,$C$8,$D$3)/1000</f>
        <v>2318.9499999999998</v>
      </c>
      <c r="S69" s="172">
        <f>_xll.LVCELL($D$1,S$3,$C69,$D$2,$C$4,$C$5,$C$6,$C$7,$C$8,$D$3)/1000</f>
        <v>1954.7639999999999</v>
      </c>
      <c r="T69" s="172">
        <f>_xll.LVCELL($D$1,T$3,$C69,$D$2,$C$4,$C$5,$C$6,$C$7,$C$8,$D$3)/1000</f>
        <v>2010.326</v>
      </c>
      <c r="U69" s="172">
        <f>_xll.LVCELL($D$1,U$3,$C69,$D$2,$C$4,$C$5,$C$6,$C$7,$C$8,$D$3)/1000</f>
        <v>1605.6610000000001</v>
      </c>
      <c r="V69" s="172">
        <f>_xll.LVCELL($D$1,V$3,$C69,$D$2,$C$4,$C$5,$C$6,$C$7,$C$8,$D$3)/1000</f>
        <v>1479.0719999999999</v>
      </c>
      <c r="W69" s="172">
        <f>_xll.LVCELL($D$1,W$3,$C69,$D$2,$C$4,$C$5,$C$6,$C$7,$C$8,$D$3)/1000</f>
        <v>1207.1279999999999</v>
      </c>
      <c r="X69" s="172">
        <f>_xll.LVCELL($D$1,X$3,$C69,$D$2,$C$4,$C$5,$C$6,$C$7,$C$8,$D$3)/1000</f>
        <v>1264.5650000000001</v>
      </c>
      <c r="Y69" s="172">
        <f>_xll.LVCELL($D$1,Y$3,$C69,$D$2,$C$4,$C$5,$C$6,$C$7,$C$8,$D$3)/1000</f>
        <v>1206.279</v>
      </c>
      <c r="Z69" s="172">
        <f>_xll.LVCELL($D$1,Z$3,$C69,$D$2,$C$4,$C$5,$C$6,$C$7,$C$8,$D$3)/1000</f>
        <v>1485.454</v>
      </c>
      <c r="AA69" s="172">
        <f>_xll.LVCELL($D$1,AA$3,$C69,$D$2,$C$4,$C$5,$C$6,$C$7,$C$8,$D$3)/1000</f>
        <v>1946.7860000000001</v>
      </c>
      <c r="AB69" s="172">
        <f>_xll.LVCELL($D$1,AB$3,$C69,$D$2,$C$4,$C$5,$C$6,$C$7,$C$8,$D$3)/1000</f>
        <v>1905.2539999999999</v>
      </c>
      <c r="AC69" s="172">
        <f>_xll.LVCELL($D$1,AC$3,$C69,$D$2,$C$4,$C$5,$C$6,$C$7,$C$8,$D$3)/1000</f>
        <v>2350.4810000000002</v>
      </c>
      <c r="AD69" s="172">
        <f>_xll.LVCELL($D$1,AD$2,$C69,$D$2,$C$4,$C$5,$C$6,$C$7,$C$8,$D$3)/1000</f>
        <v>20734.72</v>
      </c>
      <c r="AE69" s="516">
        <f t="shared" si="1"/>
        <v>-105.3760000000002</v>
      </c>
      <c r="AF69" s="193">
        <f t="shared" si="2"/>
        <v>-5.056406649950218E-3</v>
      </c>
      <c r="AG69" s="535" t="s">
        <v>3283</v>
      </c>
      <c r="AJ69" s="64" t="str">
        <f t="shared" si="3"/>
        <v>E6330</v>
      </c>
      <c r="AK69" s="64" t="str">
        <f t="shared" si="4"/>
        <v>E6330</v>
      </c>
      <c r="AL69" s="192" t="str">
        <f t="shared" si="5"/>
        <v>Morlange</v>
      </c>
      <c r="AM69" s="172">
        <f>_xll.LVCELL($AK$1,AM$3,$AK69,$AL$2,$AK$4,$AK$5,$AK$6,$AK$7,$AK$8,$AL$3)/1000</f>
        <v>206.78980140499999</v>
      </c>
      <c r="AN69" s="172">
        <f>_xll.LVCELL($AK$1,AN$3,$AK69,$AL$2,$AK$4,$AK$5,$AK$6,$AK$7,$AK$8,$AL$3)/1000</f>
        <v>174.31390065400001</v>
      </c>
      <c r="AO69" s="172">
        <f>_xll.LVCELL($AK$1,AO$3,$AK69,$AL$2,$AK$4,$AK$5,$AK$6,$AK$7,$AK$8,$AL$3)/1000</f>
        <v>179.26863658900001</v>
      </c>
      <c r="AP69" s="172">
        <f>_xll.LVCELL($AK$1,AP$3,$AK69,$AL$2,$AK$4,$AK$5,$AK$6,$AK$7,$AK$8,$AL$3)/1000</f>
        <v>143.18304058300001</v>
      </c>
      <c r="AQ69" s="172">
        <f>_xll.LVCELL($AK$1,AQ$3,$AK69,$AL$2,$AK$4,$AK$5,$AK$6,$AK$7,$AK$8,$AL$3)/1000</f>
        <v>131.89463584699999</v>
      </c>
      <c r="AR69" s="172">
        <f>_xll.LVCELL($AK$1,AR$3,$AK69,$AL$2,$AK$4,$AK$5,$AK$6,$AK$7,$AK$8,$AL$3)/1000</f>
        <v>107.644333149</v>
      </c>
      <c r="AS69" s="172">
        <f>_xll.LVCELL($AK$1,AS$3,$AK69,$AL$2,$AK$4,$AK$5,$AK$6,$AK$7,$AK$8,$AL$3)/1000</f>
        <v>112.76613449300001</v>
      </c>
      <c r="AT69" s="172">
        <f>_xll.LVCELL($AK$1,AT$3,$AK69,$AL$2,$AK$4,$AK$5,$AK$6,$AK$7,$AK$8,$AL$3)/1000</f>
        <v>107.56865243</v>
      </c>
      <c r="AU69" s="172">
        <f>_xll.LVCELL($AK$1,AU$3,$AK69,$AL$2,$AK$4,$AK$5,$AK$6,$AK$7,$AK$8,$AL$3)/1000</f>
        <v>132.46370516899998</v>
      </c>
      <c r="AV69" s="172">
        <f>_xll.LVCELL($AK$1,AV$3,$AK69,$AL$2,$AK$4,$AK$5,$AK$6,$AK$7,$AK$8,$AL$3)/1000</f>
        <v>173.60251964000003</v>
      </c>
      <c r="AW69" s="172">
        <f>_xll.LVCELL($AK$1,AW$3,$AK69,$AL$2,$AK$4,$AK$5,$AK$6,$AK$7,$AK$8,$AL$3)/1000</f>
        <v>170.57866900799999</v>
      </c>
      <c r="AX69" s="172">
        <f>_xll.LVCELL($AK$1,AX$3,$AK69,$AL$2,$AK$4,$AK$5,$AK$6,$AK$7,$AK$8,$AL$3)/1000</f>
        <v>210.440272306</v>
      </c>
      <c r="AY69" s="172">
        <f>_xll.LVCELL($AK$1,AY$2,$AK69,$AL$2,$AK$4,$AK$5,$AK$6,$AK$7,$AK$8,$AL$3)/1000</f>
        <v>1850.514301273</v>
      </c>
      <c r="AZ69" s="172">
        <f>_xll.LVCELL($AK$1,AZ$3,$AK69,$AL$2,$AK$4,$AK$5,$AK$6,$AK$7,$AK$8,$AL$3)/1000</f>
        <v>209.68634628150002</v>
      </c>
      <c r="BA69" s="172">
        <f>_xll.LVCELL($AK$1,BA$3,$AK69,$AL$2,$AK$4,$AK$5,$AK$6,$AK$7,$AK$8,$AL$3)/1000</f>
        <v>176.75556652908</v>
      </c>
      <c r="BB69" s="172">
        <f>_xll.LVCELL($AK$1,BB$3,$AK69,$AL$2,$AK$4,$AK$5,$AK$6,$AK$7,$AK$8,$AL$3)/1000</f>
        <v>181.77964758822</v>
      </c>
      <c r="BC69" s="172">
        <f>_xll.LVCELL($AK$1,BC$3,$AK69,$AL$2,$AK$4,$AK$5,$AK$6,$AK$7,$AK$8,$AL$3)/1000</f>
        <v>145.18863643316999</v>
      </c>
      <c r="BD69" s="172">
        <f>_xll.LVCELL($AK$1,BD$3,$AK69,$AL$2,$AK$4,$AK$5,$AK$6,$AK$7,$AK$8,$AL$3)/1000</f>
        <v>133.74208308383999</v>
      </c>
      <c r="BE69" s="172">
        <f>_xll.LVCELL($AK$1,BE$3,$AK69,$AL$2,$AK$4,$AK$5,$AK$6,$AK$7,$AK$8,$AL$3)/1000</f>
        <v>109.15209893016001</v>
      </c>
      <c r="BF69" s="172">
        <f>_xll.LVCELL($AK$1,BF$3,$AK69,$AL$2,$AK$4,$AK$5,$AK$6,$AK$7,$AK$8,$AL$3)/1000</f>
        <v>114.34572305805</v>
      </c>
      <c r="BG69" s="172">
        <f>_xll.LVCELL($AK$1,BG$3,$AK69,$AL$2,$AK$4,$AK$5,$AK$6,$AK$7,$AK$8,$AL$3)/1000</f>
        <v>109.07532982863</v>
      </c>
      <c r="BH69" s="172">
        <f>_xll.LVCELL($AK$1,BH$3,$AK69,$AL$2,$AK$4,$AK$5,$AK$6,$AK$7,$AK$8,$AL$3)/1000</f>
        <v>134.31916247837998</v>
      </c>
      <c r="BI69" s="172">
        <f>_xll.LVCELL($AK$1,BI$3,$AK69,$AL$2,$AK$4,$AK$5,$AK$6,$AK$7,$AK$8,$AL$3)/1000</f>
        <v>176.03417207442001</v>
      </c>
      <c r="BJ69" s="172">
        <f>_xll.LVCELL($AK$1,BJ$3,$AK69,$AL$2,$AK$4,$AK$5,$AK$6,$AK$7,$AK$8,$AL$3)/1000</f>
        <v>176.241135375292</v>
      </c>
      <c r="BK69" s="172">
        <f>_xll.LVCELL($AK$1,BK$3,$AK69,$AL$2,$AK$4,$AK$5,$AK$6,$AK$7,$AK$8,$AL$3)/1000</f>
        <v>217.425834097738</v>
      </c>
      <c r="BL69" s="172">
        <f>_xll.LVCELL($AK$1,BL$2,$AK69,$AL$2,$AK$4,$AK$5,$AK$6,$AK$7,$AK$8,$AL$3)/1000</f>
        <v>1883.7457357584799</v>
      </c>
      <c r="BM69" s="214">
        <f t="shared" si="6"/>
        <v>33.231434485479895</v>
      </c>
      <c r="BN69" s="217">
        <f>BX69</f>
        <v>-9.3569528187847144</v>
      </c>
      <c r="BO69" s="218">
        <f t="shared" si="7"/>
        <v>42.588387304264373</v>
      </c>
      <c r="BP69" s="193">
        <f t="shared" si="8"/>
        <v>1.7957945238585626E-2</v>
      </c>
      <c r="BQ69" s="172" t="s">
        <v>3551</v>
      </c>
      <c r="BS69" s="198">
        <f t="shared" si="9"/>
        <v>88.79586261373268</v>
      </c>
      <c r="BT69" s="198">
        <f t="shared" si="10"/>
        <v>90.849827524002237</v>
      </c>
      <c r="BU69" s="198">
        <f t="shared" si="11"/>
        <v>2.0539649102695563</v>
      </c>
      <c r="BV69" s="199">
        <f t="shared" si="12"/>
        <v>2.3131313214495439E-2</v>
      </c>
      <c r="BX69" s="200">
        <f t="shared" si="17"/>
        <v>-9.3569528187847144</v>
      </c>
      <c r="BY69" s="200">
        <f t="shared" si="18"/>
        <v>42.588387304264373</v>
      </c>
      <c r="BZ69" s="200">
        <f t="shared" si="15"/>
        <v>33.23143448547966</v>
      </c>
      <c r="CA69" s="526">
        <f t="shared" si="16"/>
        <v>2.3447910280083306E-13</v>
      </c>
    </row>
    <row r="70" spans="1:79">
      <c r="B70" s="64" t="str">
        <f>'1-EO_Calcul Reporting'!B92</f>
        <v>E6140</v>
      </c>
      <c r="C70" s="64" t="str">
        <f>'1-EO_Calcul Reporting'!C92</f>
        <v>E6140</v>
      </c>
      <c r="D70" s="192" t="str">
        <f>'1-EO_Calcul Reporting'!D92</f>
        <v>Renardières mont de Bezard</v>
      </c>
      <c r="E70" s="172">
        <f>_xll.LVCELL($D$1,E$3,$C70,$D$2,$C$4,$C$5,$C$6,$C$7,$C$8,$D$3)/1000</f>
        <v>2450.779</v>
      </c>
      <c r="F70" s="172">
        <f>_xll.LVCELL($D$1,F$3,$C70,$D$2,$C$4,$C$5,$C$6,$C$7,$C$8,$D$3)/1000</f>
        <v>2235.982</v>
      </c>
      <c r="G70" s="172">
        <f>_xll.LVCELL($D$1,G$3,$C70,$D$2,$C$4,$C$5,$C$6,$C$7,$C$8,$D$3)/1000</f>
        <v>2239.9029999999998</v>
      </c>
      <c r="H70" s="172">
        <f>_xll.LVCELL($D$1,H$3,$C70,$D$2,$C$4,$C$5,$C$6,$C$7,$C$8,$D$3)/1000</f>
        <v>1663.5630000000001</v>
      </c>
      <c r="I70" s="172">
        <f>_xll.LVCELL($D$1,I$3,$C70,$D$2,$C$4,$C$5,$C$6,$C$7,$C$8,$D$3)/1000</f>
        <v>1462.296</v>
      </c>
      <c r="J70" s="172">
        <f>_xll.LVCELL($D$1,J$3,$C70,$D$2,$C$4,$C$5,$C$6,$C$7,$C$8,$D$3)/1000</f>
        <v>1217.7059999999999</v>
      </c>
      <c r="K70" s="172">
        <f>_xll.LVCELL($D$1,K$3,$C70,$D$2,$C$4,$C$5,$C$6,$C$7,$C$8,$D$3)/1000</f>
        <v>1289.8130000000001</v>
      </c>
      <c r="L70" s="172">
        <f>_xll.LVCELL($D$1,L$3,$C70,$D$2,$C$4,$C$5,$C$6,$C$7,$C$8,$D$3)/1000</f>
        <v>1170.049</v>
      </c>
      <c r="M70" s="172">
        <f>_xll.LVCELL($D$1,M$3,$C70,$D$2,$C$4,$C$5,$C$6,$C$7,$C$8,$D$3)/1000</f>
        <v>1398.489</v>
      </c>
      <c r="N70" s="172">
        <f>_xll.LVCELL($D$1,N$3,$C70,$D$2,$C$4,$C$5,$C$6,$C$7,$C$8,$D$3)/1000</f>
        <v>1886.914</v>
      </c>
      <c r="O70" s="172">
        <f>_xll.LVCELL($D$1,O$3,$C70,$D$2,$C$4,$C$5,$C$6,$C$7,$C$8,$D$3)/1000</f>
        <v>2050.6379999999999</v>
      </c>
      <c r="P70" s="172">
        <f>_xll.LVCELL($D$1,P$3,$C70,$D$2,$C$4,$C$5,$C$6,$C$7,$C$8,$D$3)/1000</f>
        <v>2533.8690000000001</v>
      </c>
      <c r="Q70" s="172">
        <f>_xll.LVCELL($D$1,Q$2,$C70,$D$2,$C$4,$C$5,$C$6,$C$7,$C$8,$D$3)/1000</f>
        <v>21600.001</v>
      </c>
      <c r="R70" s="172">
        <f>_xll.LVCELL($D$1,R$3,$C70,$D$2,$C$4,$C$5,$C$6,$C$7,$C$8,$D$3)/1000</f>
        <v>2450.779</v>
      </c>
      <c r="S70" s="172">
        <f>_xll.LVCELL($D$1,S$3,$C70,$D$2,$C$4,$C$5,$C$6,$C$7,$C$8,$D$3)/1000</f>
        <v>2235.982</v>
      </c>
      <c r="T70" s="172">
        <f>_xll.LVCELL($D$1,T$3,$C70,$D$2,$C$4,$C$5,$C$6,$C$7,$C$8,$D$3)/1000</f>
        <v>2239.9029999999998</v>
      </c>
      <c r="U70" s="172">
        <f>_xll.LVCELL($D$1,U$3,$C70,$D$2,$C$4,$C$5,$C$6,$C$7,$C$8,$D$3)/1000</f>
        <v>1663.5630000000001</v>
      </c>
      <c r="V70" s="172">
        <f>_xll.LVCELL($D$1,V$3,$C70,$D$2,$C$4,$C$5,$C$6,$C$7,$C$8,$D$3)/1000</f>
        <v>1462.296</v>
      </c>
      <c r="W70" s="172">
        <f>_xll.LVCELL($D$1,W$3,$C70,$D$2,$C$4,$C$5,$C$6,$C$7,$C$8,$D$3)/1000</f>
        <v>1217.7059999999999</v>
      </c>
      <c r="X70" s="172">
        <f>_xll.LVCELL($D$1,X$3,$C70,$D$2,$C$4,$C$5,$C$6,$C$7,$C$8,$D$3)/1000</f>
        <v>0</v>
      </c>
      <c r="Y70" s="172">
        <f>_xll.LVCELL($D$1,Y$3,$C70,$D$2,$C$4,$C$5,$C$6,$C$7,$C$8,$D$3)/1000</f>
        <v>0</v>
      </c>
      <c r="Z70" s="172">
        <f>_xll.LVCELL($D$1,Z$3,$C70,$D$2,$C$4,$C$5,$C$6,$C$7,$C$8,$D$3)/1000</f>
        <v>0</v>
      </c>
      <c r="AA70" s="172">
        <f>_xll.LVCELL($D$1,AA$3,$C70,$D$2,$C$4,$C$5,$C$6,$C$7,$C$8,$D$3)/1000</f>
        <v>0</v>
      </c>
      <c r="AB70" s="172">
        <f>_xll.LVCELL($D$1,AB$3,$C70,$D$2,$C$4,$C$5,$C$6,$C$7,$C$8,$D$3)/1000</f>
        <v>0</v>
      </c>
      <c r="AC70" s="172">
        <f>_xll.LVCELL($D$1,AC$3,$C70,$D$2,$C$4,$C$5,$C$6,$C$7,$C$8,$D$3)/1000</f>
        <v>0</v>
      </c>
      <c r="AD70" s="172">
        <f>_xll.LVCELL($D$1,AD$2,$C70,$D$2,$C$4,$C$5,$C$6,$C$7,$C$8,$D$3)/1000</f>
        <v>11270.228999999999</v>
      </c>
      <c r="AE70" s="172">
        <f t="shared" si="1"/>
        <v>-10329.772000000001</v>
      </c>
      <c r="AF70" s="193">
        <f t="shared" si="2"/>
        <v>-0.47823016304489985</v>
      </c>
      <c r="AG70" s="535"/>
      <c r="AJ70" s="64" t="str">
        <f t="shared" si="3"/>
        <v>E6140</v>
      </c>
      <c r="AK70" s="64" t="str">
        <f t="shared" si="4"/>
        <v>E6140</v>
      </c>
      <c r="AL70" s="192" t="str">
        <f t="shared" si="5"/>
        <v>Renardières mont de Bezard</v>
      </c>
      <c r="AM70" s="172">
        <f>_xll.LVCELL($AK$1,AM$3,$AK70,$AL$2,$AK$4,$AK$5,$AK$6,$AK$7,$AK$8,$AL$3)/1000</f>
        <v>237.15208071400002</v>
      </c>
      <c r="AN70" s="172">
        <f>_xll.LVCELL($AK$1,AN$3,$AK70,$AL$2,$AK$4,$AK$5,$AK$6,$AK$7,$AK$8,$AL$3)/1000</f>
        <v>216.36703421199999</v>
      </c>
      <c r="AO70" s="172">
        <f>_xll.LVCELL($AK$1,AO$3,$AK70,$AL$2,$AK$4,$AK$5,$AK$6,$AK$7,$AK$8,$AL$3)/1000</f>
        <v>216.74645369800001</v>
      </c>
      <c r="AP70" s="172">
        <f>_xll.LVCELL($AK$1,AP$3,$AK70,$AL$2,$AK$4,$AK$5,$AK$6,$AK$7,$AK$8,$AL$3)/1000</f>
        <v>160.976337258</v>
      </c>
      <c r="AQ70" s="172">
        <f>_xll.LVCELL($AK$1,AQ$3,$AK70,$AL$2,$AK$4,$AK$5,$AK$6,$AK$7,$AK$8,$AL$3)/1000</f>
        <v>141.50053473599999</v>
      </c>
      <c r="AR70" s="172">
        <f>_xll.LVCELL($AK$1,AR$3,$AK70,$AL$2,$AK$4,$AK$5,$AK$6,$AK$7,$AK$8,$AL$3)/1000</f>
        <v>117.83253879599999</v>
      </c>
      <c r="AS70" s="172">
        <f>_xll.LVCELL($AK$1,AS$3,$AK70,$AL$2,$AK$4,$AK$5,$AK$6,$AK$7,$AK$8,$AL$3)/1000</f>
        <v>124.810044758</v>
      </c>
      <c r="AT70" s="172">
        <f>_xll.LVCELL($AK$1,AT$3,$AK70,$AL$2,$AK$4,$AK$5,$AK$6,$AK$7,$AK$8,$AL$3)/1000</f>
        <v>113.220961534</v>
      </c>
      <c r="AU70" s="172">
        <f>_xll.LVCELL($AK$1,AU$3,$AK70,$AL$2,$AK$4,$AK$5,$AK$6,$AK$7,$AK$8,$AL$3)/1000</f>
        <v>135.32618657399999</v>
      </c>
      <c r="AV70" s="172">
        <f>_xll.LVCELL($AK$1,AV$3,$AK70,$AL$2,$AK$4,$AK$5,$AK$6,$AK$7,$AK$8,$AL$3)/1000</f>
        <v>182.589120124</v>
      </c>
      <c r="AW70" s="172">
        <f>_xll.LVCELL($AK$1,AW$3,$AK70,$AL$2,$AK$4,$AK$5,$AK$6,$AK$7,$AK$8,$AL$3)/1000</f>
        <v>199.225633614</v>
      </c>
      <c r="AX70" s="172">
        <f>_xll.LVCELL($AK$1,AX$3,$AK70,$AL$2,$AK$4,$AK$5,$AK$6,$AK$7,$AK$8,$AL$3)/1000</f>
        <v>246.17297495700001</v>
      </c>
      <c r="AY70" s="172">
        <f>_xll.LVCELL($AK$1,AY$2,$AK70,$AL$2,$AK$4,$AK$5,$AK$6,$AK$7,$AK$8,$AL$3)/1000</f>
        <v>2091.919900975</v>
      </c>
      <c r="AZ70" s="172">
        <f>_xll.LVCELL($AK$1,AZ$3,$AK70,$AL$2,$AK$4,$AK$5,$AK$6,$AK$7,$AK$8,$AL$3)/1000</f>
        <v>241.86463953907798</v>
      </c>
      <c r="BA70" s="172">
        <f>_xll.LVCELL($AK$1,BA$3,$AK70,$AL$2,$AK$4,$AK$5,$AK$6,$AK$7,$AK$8,$AL$3)/1000</f>
        <v>220.66656375212401</v>
      </c>
      <c r="BB70" s="172">
        <f>_xll.LVCELL($AK$1,BB$3,$AK70,$AL$2,$AK$4,$AK$5,$AK$6,$AK$7,$AK$8,$AL$3)/1000</f>
        <v>221.053522858446</v>
      </c>
      <c r="BC70" s="172">
        <f>_xll.LVCELL($AK$1,BC$3,$AK70,$AL$2,$AK$4,$AK$5,$AK$6,$AK$7,$AK$8,$AL$3)/1000</f>
        <v>164.17517260656598</v>
      </c>
      <c r="BD70" s="172">
        <f>_xll.LVCELL($AK$1,BD$3,$AK70,$AL$2,$AK$4,$AK$5,$AK$6,$AK$7,$AK$8,$AL$3)/1000</f>
        <v>144.31235739307198</v>
      </c>
      <c r="BE70" s="172">
        <f>_xll.LVCELL($AK$1,BE$3,$AK70,$AL$2,$AK$4,$AK$5,$AK$6,$AK$7,$AK$8,$AL$3)/1000</f>
        <v>120.174043744692</v>
      </c>
      <c r="BF70" s="172">
        <f>_xll.LVCELL($AK$1,BF$3,$AK70,$AL$2,$AK$4,$AK$5,$AK$6,$AK$7,$AK$8,$AL$3)/1000</f>
        <v>0</v>
      </c>
      <c r="BG70" s="172">
        <f>_xll.LVCELL($AK$1,BG$3,$AK70,$AL$2,$AK$4,$AK$5,$AK$6,$AK$7,$AK$8,$AL$3)/1000</f>
        <v>0</v>
      </c>
      <c r="BH70" s="172">
        <f>_xll.LVCELL($AK$1,BH$3,$AK70,$AL$2,$AK$4,$AK$5,$AK$6,$AK$7,$AK$8,$AL$3)/1000</f>
        <v>0</v>
      </c>
      <c r="BI70" s="172">
        <f>_xll.LVCELL($AK$1,BI$3,$AK70,$AL$2,$AK$4,$AK$5,$AK$6,$AK$7,$AK$8,$AL$3)/1000</f>
        <v>0</v>
      </c>
      <c r="BJ70" s="172">
        <f>_xll.LVCELL($AK$1,BJ$3,$AK70,$AL$2,$AK$4,$AK$5,$AK$6,$AK$7,$AK$8,$AL$3)/1000</f>
        <v>0</v>
      </c>
      <c r="BK70" s="172">
        <f>_xll.LVCELL($AK$1,BK$3,$AK70,$AL$2,$AK$4,$AK$5,$AK$6,$AK$7,$AK$8,$AL$3)/1000</f>
        <v>0</v>
      </c>
      <c r="BL70" s="172">
        <f>_xll.LVCELL($AK$1,BL$2,$AK70,$AL$2,$AK$4,$AK$5,$AK$6,$AK$7,$AK$8,$AL$3)/1000</f>
        <v>1112.2462998939779</v>
      </c>
      <c r="BM70" s="214">
        <f t="shared" si="6"/>
        <v>-979.67360108102207</v>
      </c>
      <c r="BN70" s="217">
        <f t="shared" si="7"/>
        <v>-1000.4191953201453</v>
      </c>
      <c r="BO70" s="218">
        <f t="shared" si="7"/>
        <v>20.745594239122994</v>
      </c>
      <c r="BP70" s="193">
        <f t="shared" si="8"/>
        <v>-0.46831315129437645</v>
      </c>
      <c r="BQ70" s="172" t="s">
        <v>3554</v>
      </c>
      <c r="BS70" s="198">
        <f t="shared" si="9"/>
        <v>96.848139079947273</v>
      </c>
      <c r="BT70" s="198">
        <f t="shared" si="10"/>
        <v>98.688882000000007</v>
      </c>
      <c r="BU70" s="198">
        <f t="shared" si="11"/>
        <v>1.8407429200527332</v>
      </c>
      <c r="BV70" s="199">
        <f t="shared" si="12"/>
        <v>1.9006487244253772E-2</v>
      </c>
      <c r="BX70" s="200">
        <f>+AE70*BS70/1000</f>
        <v>-1000.4191953201453</v>
      </c>
      <c r="BY70" s="200">
        <f t="shared" si="18"/>
        <v>20.745594239122994</v>
      </c>
      <c r="BZ70" s="200">
        <f t="shared" si="15"/>
        <v>-979.6736010810223</v>
      </c>
      <c r="CA70" s="526">
        <f t="shared" si="16"/>
        <v>0</v>
      </c>
    </row>
    <row r="71" spans="1:79" ht="63.75">
      <c r="B71" s="64" t="str">
        <f>'1-EO_Calcul Reporting'!B93</f>
        <v>E6350</v>
      </c>
      <c r="C71" s="64" t="str">
        <f>'1-EO_Calcul Reporting'!C93</f>
        <v>E6350</v>
      </c>
      <c r="D71" s="192" t="str">
        <f>'1-EO_Calcul Reporting'!D93</f>
        <v>Zondrange</v>
      </c>
      <c r="E71" s="172">
        <f>_xll.LVCELL($D$1,E$3,$C71,$D$2,$C$4,$C$5,$C$6,$C$7,$C$8,$D$3)/1000</f>
        <v>2510.1320000000001</v>
      </c>
      <c r="F71" s="172">
        <f>_xll.LVCELL($D$1,F$3,$C71,$D$2,$C$4,$C$5,$C$6,$C$7,$C$8,$D$3)/1000</f>
        <v>2106.7939999999999</v>
      </c>
      <c r="G71" s="172">
        <f>_xll.LVCELL($D$1,G$3,$C71,$D$2,$C$4,$C$5,$C$6,$C$7,$C$8,$D$3)/1000</f>
        <v>2161.12</v>
      </c>
      <c r="H71" s="172">
        <f>_xll.LVCELL($D$1,H$3,$C71,$D$2,$C$4,$C$5,$C$6,$C$7,$C$8,$D$3)/1000</f>
        <v>1695.9349999999999</v>
      </c>
      <c r="I71" s="172">
        <f>_xll.LVCELL($D$1,I$3,$C71,$D$2,$C$4,$C$5,$C$6,$C$7,$C$8,$D$3)/1000</f>
        <v>1542.617</v>
      </c>
      <c r="J71" s="172">
        <f>_xll.LVCELL($D$1,J$3,$C71,$D$2,$C$4,$C$5,$C$6,$C$7,$C$8,$D$3)/1000</f>
        <v>1235.799</v>
      </c>
      <c r="K71" s="172">
        <f>_xll.LVCELL($D$1,K$3,$C71,$D$2,$C$4,$C$5,$C$6,$C$7,$C$8,$D$3)/1000</f>
        <v>1295.768</v>
      </c>
      <c r="L71" s="172">
        <f>_xll.LVCELL($D$1,L$3,$C71,$D$2,$C$4,$C$5,$C$6,$C$7,$C$8,$D$3)/1000</f>
        <v>1228.9480000000001</v>
      </c>
      <c r="M71" s="172">
        <f>_xll.LVCELL($D$1,M$3,$C71,$D$2,$C$4,$C$5,$C$6,$C$7,$C$8,$D$3)/1000</f>
        <v>1558.5889999999999</v>
      </c>
      <c r="N71" s="172">
        <f>_xll.LVCELL($D$1,N$3,$C71,$D$2,$C$4,$C$5,$C$6,$C$7,$C$8,$D$3)/1000</f>
        <v>2078.837</v>
      </c>
      <c r="O71" s="172">
        <f>_xll.LVCELL($D$1,O$3,$C71,$D$2,$C$4,$C$5,$C$6,$C$7,$C$8,$D$3)/1000</f>
        <v>2037.43</v>
      </c>
      <c r="P71" s="172">
        <f>_xll.LVCELL($D$1,P$3,$C71,$D$2,$C$4,$C$5,$C$6,$C$7,$C$8,$D$3)/1000</f>
        <v>2546.58</v>
      </c>
      <c r="Q71" s="172">
        <f>_xll.LVCELL($D$1,Q$2,$C71,$D$2,$C$4,$C$5,$C$6,$C$7,$C$8,$D$3)/1000</f>
        <v>21998.548999999999</v>
      </c>
      <c r="R71" s="172">
        <f>_xll.LVCELL($D$1,R$3,$C71,$D$2,$C$4,$C$5,$C$6,$C$7,$C$8,$D$3)/1000</f>
        <v>2485.5450000000001</v>
      </c>
      <c r="S71" s="172">
        <f>_xll.LVCELL($D$1,S$3,$C71,$D$2,$C$4,$C$5,$C$6,$C$7,$C$8,$D$3)/1000</f>
        <v>2086.1570000000002</v>
      </c>
      <c r="T71" s="172">
        <f>_xll.LVCELL($D$1,T$3,$C71,$D$2,$C$4,$C$5,$C$6,$C$7,$C$8,$D$3)/1000</f>
        <v>2139.951</v>
      </c>
      <c r="U71" s="172">
        <f>_xll.LVCELL($D$1,U$3,$C71,$D$2,$C$4,$C$5,$C$6,$C$7,$C$8,$D$3)/1000</f>
        <v>1679.3230000000001</v>
      </c>
      <c r="V71" s="172">
        <f>_xll.LVCELL($D$1,V$3,$C71,$D$2,$C$4,$C$5,$C$6,$C$7,$C$8,$D$3)/1000</f>
        <v>1527.5070000000001</v>
      </c>
      <c r="W71" s="172">
        <f>_xll.LVCELL($D$1,W$3,$C71,$D$2,$C$4,$C$5,$C$6,$C$7,$C$8,$D$3)/1000</f>
        <v>1223.694</v>
      </c>
      <c r="X71" s="172">
        <f>_xll.LVCELL($D$1,X$3,$C71,$D$2,$C$4,$C$5,$C$6,$C$7,$C$8,$D$3)/1000</f>
        <v>1283.076</v>
      </c>
      <c r="Y71" s="172">
        <f>_xll.LVCELL($D$1,Y$3,$C71,$D$2,$C$4,$C$5,$C$6,$C$7,$C$8,$D$3)/1000</f>
        <v>1216.9100000000001</v>
      </c>
      <c r="Z71" s="172">
        <f>_xll.LVCELL($D$1,Z$3,$C71,$D$2,$C$4,$C$5,$C$6,$C$7,$C$8,$D$3)/1000</f>
        <v>1543.3219999999999</v>
      </c>
      <c r="AA71" s="172">
        <f>_xll.LVCELL($D$1,AA$3,$C71,$D$2,$C$4,$C$5,$C$6,$C$7,$C$8,$D$3)/1000</f>
        <v>2058.4740000000002</v>
      </c>
      <c r="AB71" s="172">
        <f>_xll.LVCELL($D$1,AB$3,$C71,$D$2,$C$4,$C$5,$C$6,$C$7,$C$8,$D$3)/1000</f>
        <v>2017.473</v>
      </c>
      <c r="AC71" s="172">
        <f>_xll.LVCELL($D$1,AC$3,$C71,$D$2,$C$4,$C$5,$C$6,$C$7,$C$8,$D$3)/1000</f>
        <v>2521.6350000000002</v>
      </c>
      <c r="AD71" s="172">
        <f>_xll.LVCELL($D$1,AD$2,$C71,$D$2,$C$4,$C$5,$C$6,$C$7,$C$8,$D$3)/1000</f>
        <v>21783.066999999999</v>
      </c>
      <c r="AE71" s="516">
        <f t="shared" si="1"/>
        <v>-215.48199999999997</v>
      </c>
      <c r="AF71" s="193">
        <f t="shared" si="2"/>
        <v>-9.7952824070350886E-3</v>
      </c>
      <c r="AG71" s="535" t="s">
        <v>3284</v>
      </c>
      <c r="AJ71" s="64" t="str">
        <f t="shared" si="3"/>
        <v>E6350</v>
      </c>
      <c r="AK71" s="64" t="str">
        <f t="shared" si="4"/>
        <v>E6350</v>
      </c>
      <c r="AL71" s="192" t="str">
        <f t="shared" si="5"/>
        <v>Zondrange</v>
      </c>
      <c r="AM71" s="172">
        <f>_xll.LVCELL($AK$1,AM$3,$AK71,$AL$2,$AK$4,$AK$5,$AK$6,$AK$7,$AK$8,$AL$3)/1000</f>
        <v>222.70644143600001</v>
      </c>
      <c r="AN71" s="172">
        <f>_xll.LVCELL($AK$1,AN$3,$AK71,$AL$2,$AK$4,$AK$5,$AK$6,$AK$7,$AK$8,$AL$3)/1000</f>
        <v>186.92108406200001</v>
      </c>
      <c r="AO71" s="172">
        <f>_xll.LVCELL($AK$1,AO$3,$AK71,$AL$2,$AK$4,$AK$5,$AK$6,$AK$7,$AK$8,$AL$3)/1000</f>
        <v>191.74104975999998</v>
      </c>
      <c r="AP71" s="172">
        <f>_xll.LVCELL($AK$1,AP$3,$AK71,$AL$2,$AK$4,$AK$5,$AK$6,$AK$7,$AK$8,$AL$3)/1000</f>
        <v>150.46844100499999</v>
      </c>
      <c r="AQ71" s="172">
        <f>_xll.LVCELL($AK$1,AQ$3,$AK71,$AL$2,$AK$4,$AK$5,$AK$6,$AK$7,$AK$8,$AL$3)/1000</f>
        <v>136.86560809100001</v>
      </c>
      <c r="AR71" s="172">
        <f>_xll.LVCELL($AK$1,AR$3,$AK71,$AL$2,$AK$4,$AK$5,$AK$6,$AK$7,$AK$8,$AL$3)/1000</f>
        <v>109.643794677</v>
      </c>
      <c r="AS71" s="172">
        <f>_xll.LVCELL($AK$1,AS$3,$AK71,$AL$2,$AK$4,$AK$5,$AK$6,$AK$7,$AK$8,$AL$3)/1000</f>
        <v>114.964424264</v>
      </c>
      <c r="AT71" s="172">
        <f>_xll.LVCELL($AK$1,AT$3,$AK71,$AL$2,$AK$4,$AK$5,$AK$6,$AK$7,$AK$8,$AL$3)/1000</f>
        <v>109.035953404</v>
      </c>
      <c r="AU71" s="172">
        <f>_xll.LVCELL($AK$1,AU$3,$AK71,$AL$2,$AK$4,$AK$5,$AK$6,$AK$7,$AK$8,$AL$3)/1000</f>
        <v>138.282691847</v>
      </c>
      <c r="AV71" s="172">
        <f>_xll.LVCELL($AK$1,AV$3,$AK71,$AL$2,$AK$4,$AK$5,$AK$6,$AK$7,$AK$8,$AL$3)/1000</f>
        <v>184.44065515100002</v>
      </c>
      <c r="AW71" s="172">
        <f>_xll.LVCELL($AK$1,AW$3,$AK71,$AL$2,$AK$4,$AK$5,$AK$6,$AK$7,$AK$8,$AL$3)/1000</f>
        <v>181.49018953999999</v>
      </c>
      <c r="AX71" s="172">
        <f>_xll.LVCELL($AK$1,AX$3,$AK71,$AL$2,$AK$4,$AK$5,$AK$6,$AK$7,$AK$8,$AL$3)/1000</f>
        <v>226.84425324</v>
      </c>
      <c r="AY71" s="172">
        <f>_xll.LVCELL($AK$1,AY$2,$AK71,$AL$2,$AK$4,$AK$5,$AK$6,$AK$7,$AK$8,$AL$3)/1000</f>
        <v>1953.4045864770001</v>
      </c>
      <c r="AZ71" s="172">
        <f>_xll.LVCELL($AK$1,AZ$3,$AK71,$AL$2,$AK$4,$AK$5,$AK$6,$AK$7,$AK$8,$AL$3)/1000</f>
        <v>224.75036096865</v>
      </c>
      <c r="BA71" s="172">
        <f>_xll.LVCELL($AK$1,BA$3,$AK71,$AL$2,$AK$4,$AK$5,$AK$6,$AK$7,$AK$8,$AL$3)/1000</f>
        <v>188.63651182628999</v>
      </c>
      <c r="BB71" s="172">
        <f>_xll.LVCELL($AK$1,BB$3,$AK71,$AL$2,$AK$4,$AK$5,$AK$6,$AK$7,$AK$8,$AL$3)/1000</f>
        <v>193.50072507447001</v>
      </c>
      <c r="BC71" s="172">
        <f>_xll.LVCELL($AK$1,BC$3,$AK71,$AL$2,$AK$4,$AK$5,$AK$6,$AK$7,$AK$8,$AL$3)/1000</f>
        <v>151.84937324931002</v>
      </c>
      <c r="BD71" s="172">
        <f>_xll.LVCELL($AK$1,BD$3,$AK71,$AL$2,$AK$4,$AK$5,$AK$6,$AK$7,$AK$8,$AL$3)/1000</f>
        <v>138.12171963579001</v>
      </c>
      <c r="BE71" s="172">
        <f>_xll.LVCELL($AK$1,BE$3,$AK71,$AL$2,$AK$4,$AK$5,$AK$6,$AK$7,$AK$8,$AL$3)/1000</f>
        <v>110.65004585118</v>
      </c>
      <c r="BF71" s="172">
        <f>_xll.LVCELL($AK$1,BF$3,$AK71,$AL$2,$AK$4,$AK$5,$AK$6,$AK$7,$AK$8,$AL$3)/1000</f>
        <v>116.01954265572</v>
      </c>
      <c r="BG71" s="172">
        <f>_xll.LVCELL($AK$1,BG$3,$AK71,$AL$2,$AK$4,$AK$5,$AK$6,$AK$7,$AK$8,$AL$3)/1000</f>
        <v>110.03661642269999</v>
      </c>
      <c r="BH71" s="172">
        <f>_xll.LVCELL($AK$1,BH$3,$AK71,$AL$2,$AK$4,$AK$5,$AK$6,$AK$7,$AK$8,$AL$3)/1000</f>
        <v>139.55175890633998</v>
      </c>
      <c r="BI71" s="172">
        <f>_xll.LVCELL($AK$1,BI$3,$AK71,$AL$2,$AK$4,$AK$5,$AK$6,$AK$7,$AK$8,$AL$3)/1000</f>
        <v>186.13333274778</v>
      </c>
      <c r="BJ71" s="172">
        <f>_xll.LVCELL($AK$1,BJ$3,$AK71,$AL$2,$AK$4,$AK$5,$AK$6,$AK$7,$AK$8,$AL$3)/1000</f>
        <v>186.62169564215398</v>
      </c>
      <c r="BK71" s="172">
        <f>_xll.LVCELL($AK$1,BK$3,$AK71,$AL$2,$AK$4,$AK$5,$AK$6,$AK$7,$AK$8,$AL$3)/1000</f>
        <v>233.25804087123001</v>
      </c>
      <c r="BL71" s="172">
        <f>_xll.LVCELL($AK$1,BL$2,$AK71,$AL$2,$AK$4,$AK$5,$AK$6,$AK$7,$AK$8,$AL$3)/1000</f>
        <v>1979.129723851614</v>
      </c>
      <c r="BM71" s="214">
        <f t="shared" si="6"/>
        <v>25.725137374613951</v>
      </c>
      <c r="BN71" s="217">
        <f t="shared" si="7"/>
        <v>-19.134149579739873</v>
      </c>
      <c r="BO71" s="218">
        <f t="shared" si="7"/>
        <v>44.859286954353415</v>
      </c>
      <c r="BP71" s="193">
        <f t="shared" si="8"/>
        <v>1.3169385161017511E-2</v>
      </c>
      <c r="BQ71" s="172" t="s">
        <v>3551</v>
      </c>
      <c r="BS71" s="198">
        <f t="shared" si="9"/>
        <v>88.796974131202944</v>
      </c>
      <c r="BT71" s="198">
        <f t="shared" si="10"/>
        <v>90.856339185460612</v>
      </c>
      <c r="BU71" s="198">
        <f t="shared" si="11"/>
        <v>2.0593650542576682</v>
      </c>
      <c r="BV71" s="199">
        <f t="shared" si="12"/>
        <v>2.3191838172490323E-2</v>
      </c>
      <c r="BX71" s="200">
        <f t="shared" si="17"/>
        <v>-19.134149579739873</v>
      </c>
      <c r="BY71" s="200">
        <f t="shared" si="18"/>
        <v>44.859286954353415</v>
      </c>
      <c r="BZ71" s="200">
        <f t="shared" si="15"/>
        <v>25.725137374613542</v>
      </c>
      <c r="CA71" s="526">
        <f t="shared" si="16"/>
        <v>4.0856207306205761E-13</v>
      </c>
    </row>
    <row r="72" spans="1:79">
      <c r="B72" s="64" t="str">
        <f>'1-EO_Calcul Reporting'!B94</f>
        <v>E6360</v>
      </c>
      <c r="C72" s="64" t="str">
        <f>'1-EO_Calcul Reporting'!C94</f>
        <v>E6360</v>
      </c>
      <c r="D72" s="192" t="str">
        <f>'1-EO_Calcul Reporting'!D94</f>
        <v xml:space="preserve">Noyers </v>
      </c>
      <c r="E72" s="172">
        <f>_xll.LVCELL($D$1,E$3,$C72,$D$2,$C$4,$C$5,$C$6,$C$7,$C$8,$D$3)/1000</f>
        <v>2974.5149999999999</v>
      </c>
      <c r="F72" s="172">
        <f>_xll.LVCELL($D$1,F$3,$C72,$D$2,$C$4,$C$5,$C$6,$C$7,$C$8,$D$3)/1000</f>
        <v>2506.3919999999998</v>
      </c>
      <c r="G72" s="172">
        <f>_xll.LVCELL($D$1,G$3,$C72,$D$2,$C$4,$C$5,$C$6,$C$7,$C$8,$D$3)/1000</f>
        <v>2444.567</v>
      </c>
      <c r="H72" s="172">
        <f>_xll.LVCELL($D$1,H$3,$C72,$D$2,$C$4,$C$5,$C$6,$C$7,$C$8,$D$3)/1000</f>
        <v>1996.075</v>
      </c>
      <c r="I72" s="172">
        <f>_xll.LVCELL($D$1,I$3,$C72,$D$2,$C$4,$C$5,$C$6,$C$7,$C$8,$D$3)/1000</f>
        <v>1935.4970000000001</v>
      </c>
      <c r="J72" s="172">
        <f>_xll.LVCELL($D$1,J$3,$C72,$D$2,$C$4,$C$5,$C$6,$C$7,$C$8,$D$3)/1000</f>
        <v>1575.3330000000001</v>
      </c>
      <c r="K72" s="172">
        <f>_xll.LVCELL($D$1,K$3,$C72,$D$2,$C$4,$C$5,$C$6,$C$7,$C$8,$D$3)/1000</f>
        <v>1567.0509999999999</v>
      </c>
      <c r="L72" s="172">
        <f>_xll.LVCELL($D$1,L$3,$C72,$D$2,$C$4,$C$5,$C$6,$C$7,$C$8,$D$3)/1000</f>
        <v>1527.136</v>
      </c>
      <c r="M72" s="172">
        <f>_xll.LVCELL($D$1,M$3,$C72,$D$2,$C$4,$C$5,$C$6,$C$7,$C$8,$D$3)/1000</f>
        <v>1800.5609999999999</v>
      </c>
      <c r="N72" s="172">
        <f>_xll.LVCELL($D$1,N$3,$C72,$D$2,$C$4,$C$5,$C$6,$C$7,$C$8,$D$3)/1000</f>
        <v>2428.6010000000001</v>
      </c>
      <c r="O72" s="172">
        <f>_xll.LVCELL($D$1,O$3,$C72,$D$2,$C$4,$C$5,$C$6,$C$7,$C$8,$D$3)/1000</f>
        <v>2454.85</v>
      </c>
      <c r="P72" s="172">
        <f>_xll.LVCELL($D$1,P$3,$C72,$D$2,$C$4,$C$5,$C$6,$C$7,$C$8,$D$3)/1000</f>
        <v>2909.4229999999998</v>
      </c>
      <c r="Q72" s="172">
        <f>_xll.LVCELL($D$1,Q$2,$C72,$D$2,$C$4,$C$5,$C$6,$C$7,$C$8,$D$3)/1000</f>
        <v>26120.001</v>
      </c>
      <c r="R72" s="172">
        <f>_xll.LVCELL($D$1,R$3,$C72,$D$2,$C$4,$C$5,$C$6,$C$7,$C$8,$D$3)/1000</f>
        <v>2659.3679999999999</v>
      </c>
      <c r="S72" s="172">
        <f>_xll.LVCELL($D$1,S$3,$C72,$D$2,$C$4,$C$5,$C$6,$C$7,$C$8,$D$3)/1000</f>
        <v>2240.8420000000001</v>
      </c>
      <c r="T72" s="172">
        <f>_xll.LVCELL($D$1,T$3,$C72,$D$2,$C$4,$C$5,$C$6,$C$7,$C$8,$D$3)/1000</f>
        <v>2185.567</v>
      </c>
      <c r="U72" s="172">
        <f>_xll.LVCELL($D$1,U$3,$C72,$D$2,$C$4,$C$5,$C$6,$C$7,$C$8,$D$3)/1000</f>
        <v>1784.5930000000001</v>
      </c>
      <c r="V72" s="172">
        <f>_xll.LVCELL($D$1,V$3,$C72,$D$2,$C$4,$C$5,$C$6,$C$7,$C$8,$D$3)/1000</f>
        <v>1730.433</v>
      </c>
      <c r="W72" s="172">
        <f>_xll.LVCELL($D$1,W$3,$C72,$D$2,$C$4,$C$5,$C$6,$C$7,$C$8,$D$3)/1000</f>
        <v>1408.4280000000001</v>
      </c>
      <c r="X72" s="172">
        <f>_xll.LVCELL($D$1,X$3,$C72,$D$2,$C$4,$C$5,$C$6,$C$7,$C$8,$D$3)/1000</f>
        <v>1401.0229999999999</v>
      </c>
      <c r="Y72" s="172">
        <f>_xll.LVCELL($D$1,Y$3,$C72,$D$2,$C$4,$C$5,$C$6,$C$7,$C$8,$D$3)/1000</f>
        <v>1365.337</v>
      </c>
      <c r="Z72" s="172">
        <f>_xll.LVCELL($D$1,Z$3,$C72,$D$2,$C$4,$C$5,$C$6,$C$7,$C$8,$D$3)/1000</f>
        <v>1609.7929999999999</v>
      </c>
      <c r="AA72" s="172">
        <f>_xll.LVCELL($D$1,AA$3,$C72,$D$2,$C$4,$C$5,$C$6,$C$7,$C$8,$D$3)/1000</f>
        <v>2171.2930000000001</v>
      </c>
      <c r="AB72" s="172">
        <f>_xll.LVCELL($D$1,AB$3,$C72,$D$2,$C$4,$C$5,$C$6,$C$7,$C$8,$D$3)/1000</f>
        <v>2194.761</v>
      </c>
      <c r="AC72" s="172">
        <f>_xll.LVCELL($D$1,AC$3,$C72,$D$2,$C$4,$C$5,$C$6,$C$7,$C$8,$D$3)/1000</f>
        <v>2601.1729999999998</v>
      </c>
      <c r="AD72" s="172">
        <f>_xll.LVCELL($D$1,AD$2,$C72,$D$2,$C$4,$C$5,$C$6,$C$7,$C$8,$D$3)/1000</f>
        <v>23352.611000000001</v>
      </c>
      <c r="AE72" s="172">
        <f t="shared" si="1"/>
        <v>-2767.3899999999994</v>
      </c>
      <c r="AF72" s="193">
        <f t="shared" si="2"/>
        <v>-0.1059490771076157</v>
      </c>
      <c r="AG72" s="535"/>
      <c r="AJ72" s="64" t="str">
        <f t="shared" si="3"/>
        <v>E6360</v>
      </c>
      <c r="AK72" s="64" t="str">
        <f t="shared" si="4"/>
        <v>E6360</v>
      </c>
      <c r="AL72" s="192" t="str">
        <f t="shared" si="5"/>
        <v xml:space="preserve">Noyers </v>
      </c>
      <c r="AM72" s="172">
        <f>_xll.LVCELL($AK$1,AM$3,$AK72,$AL$2,$AK$4,$AK$5,$AK$6,$AK$7,$AK$8,$AL$3)/1000</f>
        <v>248.36775489257997</v>
      </c>
      <c r="AN72" s="172">
        <f>_xll.LVCELL($AK$1,AN$3,$AK72,$AL$2,$AK$4,$AK$5,$AK$6,$AK$7,$AK$8,$AL$3)/1000</f>
        <v>209.28687752196001</v>
      </c>
      <c r="AO72" s="172">
        <f>_xll.LVCELL($AK$1,AO$3,$AK72,$AL$2,$AK$4,$AK$5,$AK$6,$AK$7,$AK$8,$AL$3)/1000</f>
        <v>204.12231010396499</v>
      </c>
      <c r="AP72" s="172">
        <f>_xll.LVCELL($AK$1,AP$3,$AK72,$AL$2,$AK$4,$AK$5,$AK$6,$AK$7,$AK$8,$AL$3)/1000</f>
        <v>166.66825238532499</v>
      </c>
      <c r="AQ72" s="172">
        <f>_xll.LVCELL($AK$1,AQ$3,$AK72,$AL$2,$AK$4,$AK$5,$AK$6,$AK$7,$AK$8,$AL$3)/1000</f>
        <v>161.61279755636301</v>
      </c>
      <c r="AR72" s="172">
        <f>_xll.LVCELL($AK$1,AR$3,$AK72,$AL$2,$AK$4,$AK$5,$AK$6,$AK$7,$AK$8,$AL$3)/1000</f>
        <v>131.53734229862701</v>
      </c>
      <c r="AS72" s="172">
        <f>_xll.LVCELL($AK$1,AS$3,$AK72,$AL$2,$AK$4,$AK$5,$AK$6,$AK$7,$AK$8,$AL$3)/1000</f>
        <v>130.84204995466899</v>
      </c>
      <c r="AT72" s="172">
        <f>_xll.LVCELL($AK$1,AT$3,$AK72,$AL$2,$AK$4,$AK$5,$AK$6,$AK$7,$AK$8,$AL$3)/1000</f>
        <v>127.51583156582399</v>
      </c>
      <c r="AU72" s="172">
        <f>_xll.LVCELL($AK$1,AU$3,$AK72,$AL$2,$AK$4,$AK$5,$AK$6,$AK$7,$AK$8,$AL$3)/1000</f>
        <v>150.34374293395803</v>
      </c>
      <c r="AV72" s="172">
        <f>_xll.LVCELL($AK$1,AV$3,$AK72,$AL$2,$AK$4,$AK$5,$AK$6,$AK$7,$AK$8,$AL$3)/1000</f>
        <v>202.79048581374801</v>
      </c>
      <c r="AW72" s="172">
        <f>_xll.LVCELL($AK$1,AW$3,$AK72,$AL$2,$AK$4,$AK$5,$AK$6,$AK$7,$AK$8,$AL$3)/1000</f>
        <v>205.79421192224999</v>
      </c>
      <c r="AX72" s="172">
        <f>_xll.LVCELL($AK$1,AX$3,$AK72,$AL$2,$AK$4,$AK$5,$AK$6,$AK$7,$AK$8,$AL$3)/1000</f>
        <v>243.88348564631701</v>
      </c>
      <c r="AY72" s="172">
        <f>_xll.LVCELL($AK$1,AY$2,$AK72,$AL$2,$AK$4,$AK$5,$AK$6,$AK$7,$AK$8,$AL$3)/1000</f>
        <v>2182.765142595586</v>
      </c>
      <c r="AZ72" s="172">
        <f>_xll.LVCELL($AK$1,AZ$3,$AK72,$AL$2,$AK$4,$AK$5,$AK$6,$AK$7,$AK$8,$AL$3)/1000</f>
        <v>226.08149003232</v>
      </c>
      <c r="BA72" s="172">
        <f>_xll.LVCELL($AK$1,BA$3,$AK72,$AL$2,$AK$4,$AK$5,$AK$6,$AK$7,$AK$8,$AL$3)/1000</f>
        <v>190.50123874808</v>
      </c>
      <c r="BB72" s="172">
        <f>_xll.LVCELL($AK$1,BB$3,$AK72,$AL$2,$AK$4,$AK$5,$AK$6,$AK$7,$AK$8,$AL$3)/1000</f>
        <v>185.80213190708</v>
      </c>
      <c r="BC72" s="172">
        <f>_xll.LVCELL($AK$1,BC$3,$AK72,$AL$2,$AK$4,$AK$5,$AK$6,$AK$7,$AK$8,$AL$3)/1000</f>
        <v>151.71403301132</v>
      </c>
      <c r="BD72" s="172">
        <f>_xll.LVCELL($AK$1,BD$3,$AK72,$AL$2,$AK$4,$AK$5,$AK$6,$AK$7,$AK$8,$AL$3)/1000</f>
        <v>147.10971593291998</v>
      </c>
      <c r="BE72" s="172">
        <f>_xll.LVCELL($AK$1,BE$3,$AK72,$AL$2,$AK$4,$AK$5,$AK$6,$AK$7,$AK$8,$AL$3)/1000</f>
        <v>119.73502758671999</v>
      </c>
      <c r="BF72" s="172">
        <f>_xll.LVCELL($AK$1,BF$3,$AK72,$AL$2,$AK$4,$AK$5,$AK$6,$AK$7,$AK$8,$AL$3)/1000</f>
        <v>119.10550454452</v>
      </c>
      <c r="BG72" s="172">
        <f>_xll.LVCELL($AK$1,BG$3,$AK72,$AL$2,$AK$4,$AK$5,$AK$6,$AK$7,$AK$8,$AL$3)/1000</f>
        <v>116.07172206188</v>
      </c>
      <c r="BH72" s="172">
        <f>_xll.LVCELL($AK$1,BH$3,$AK72,$AL$2,$AK$4,$AK$5,$AK$6,$AK$7,$AK$8,$AL$3)/1000</f>
        <v>136.85371865932001</v>
      </c>
      <c r="BI72" s="172">
        <f>_xll.LVCELL($AK$1,BI$3,$AK72,$AL$2,$AK$4,$AK$5,$AK$6,$AK$7,$AK$8,$AL$3)/1000</f>
        <v>184.58865291931997</v>
      </c>
      <c r="BJ72" s="172">
        <f>_xll.LVCELL($AK$1,BJ$3,$AK72,$AL$2,$AK$4,$AK$5,$AK$6,$AK$7,$AK$8,$AL$3)/1000</f>
        <v>190.812071413995</v>
      </c>
      <c r="BK72" s="172">
        <f>_xll.LVCELL($AK$1,BK$3,$AK72,$AL$2,$AK$4,$AK$5,$AK$6,$AK$7,$AK$8,$AL$3)/1000</f>
        <v>226.145447379535</v>
      </c>
      <c r="BL72" s="172">
        <f>_xll.LVCELL($AK$1,BL$2,$AK72,$AL$2,$AK$4,$AK$5,$AK$6,$AK$7,$AK$8,$AL$3)/1000</f>
        <v>1994.5207541970099</v>
      </c>
      <c r="BM72" s="214">
        <f t="shared" si="6"/>
        <v>-188.24438839857612</v>
      </c>
      <c r="BN72" s="217">
        <f t="shared" si="7"/>
        <v>-231.26195240067551</v>
      </c>
      <c r="BO72" s="218">
        <f t="shared" si="7"/>
        <v>43.017564002099533</v>
      </c>
      <c r="BP72" s="193">
        <f t="shared" si="8"/>
        <v>-8.6241247271673704E-2</v>
      </c>
      <c r="BQ72" s="190" t="s">
        <v>3560</v>
      </c>
      <c r="BS72" s="198">
        <f t="shared" si="9"/>
        <v>83.56680930431763</v>
      </c>
      <c r="BT72" s="198">
        <f t="shared" si="10"/>
        <v>85.408897283349162</v>
      </c>
      <c r="BU72" s="198">
        <f t="shared" si="11"/>
        <v>1.8420879790315325</v>
      </c>
      <c r="BV72" s="199">
        <f t="shared" si="12"/>
        <v>2.2043296786926118E-2</v>
      </c>
      <c r="BX72" s="200">
        <f t="shared" si="17"/>
        <v>-231.26195240067551</v>
      </c>
      <c r="BY72" s="200">
        <f t="shared" si="18"/>
        <v>43.017564002099533</v>
      </c>
      <c r="BZ72" s="200">
        <f t="shared" si="15"/>
        <v>-188.24438839857598</v>
      </c>
      <c r="CA72" s="526">
        <f t="shared" si="16"/>
        <v>0</v>
      </c>
    </row>
    <row r="73" spans="1:79" s="4" customFormat="1" ht="25.5">
      <c r="A73" s="63"/>
      <c r="B73" s="64" t="str">
        <f>'1-EO_Calcul Reporting'!B95</f>
        <v>E5660</v>
      </c>
      <c r="C73" s="64" t="str">
        <f>'1-EO_Calcul Reporting'!C95</f>
        <v>E5660</v>
      </c>
      <c r="D73" s="192" t="str">
        <f>'1-EO_Calcul Reporting'!D95</f>
        <v>Parc du Santerre (XSAN)</v>
      </c>
      <c r="E73" s="172">
        <f>_xll.LVCELL($D$1,E$3,$C73,$D$2,$C$4,$C$5,$C$6,$C$7,$C$8,$D$3)/1000</f>
        <v>5155.3819999999996</v>
      </c>
      <c r="F73" s="172">
        <f>_xll.LVCELL($D$1,F$3,$C73,$D$2,$C$4,$C$5,$C$6,$C$7,$C$8,$D$3)/1000</f>
        <v>4301.8819999999996</v>
      </c>
      <c r="G73" s="172">
        <f>_xll.LVCELL($D$1,G$3,$C73,$D$2,$C$4,$C$5,$C$6,$C$7,$C$8,$D$3)/1000</f>
        <v>4238.0569999999998</v>
      </c>
      <c r="H73" s="172">
        <f>_xll.LVCELL($D$1,H$3,$C73,$D$2,$C$4,$C$5,$C$6,$C$7,$C$8,$D$3)/1000</f>
        <v>3475.107</v>
      </c>
      <c r="I73" s="172">
        <f>_xll.LVCELL($D$1,I$3,$C73,$D$2,$C$4,$C$5,$C$6,$C$7,$C$8,$D$3)/1000</f>
        <v>3369.59</v>
      </c>
      <c r="J73" s="172">
        <f>_xll.LVCELL($D$1,J$3,$C73,$D$2,$C$4,$C$5,$C$6,$C$7,$C$8,$D$3)/1000</f>
        <v>2823.7809999999999</v>
      </c>
      <c r="K73" s="172">
        <f>_xll.LVCELL($D$1,K$3,$C73,$D$2,$C$4,$C$5,$C$6,$C$7,$C$8,$D$3)/1000</f>
        <v>2804.239</v>
      </c>
      <c r="L73" s="172">
        <f>_xll.LVCELL($D$1,L$3,$C73,$D$2,$C$4,$C$5,$C$6,$C$7,$C$8,$D$3)/1000</f>
        <v>2784.297</v>
      </c>
      <c r="M73" s="172">
        <f>_xll.LVCELL($D$1,M$3,$C73,$D$2,$C$4,$C$5,$C$6,$C$7,$C$8,$D$3)/1000</f>
        <v>3230.0160000000001</v>
      </c>
      <c r="N73" s="172">
        <f>_xll.LVCELL($D$1,N$3,$C73,$D$2,$C$4,$C$5,$C$6,$C$7,$C$8,$D$3)/1000</f>
        <v>4261.9870000000001</v>
      </c>
      <c r="O73" s="172">
        <f>_xll.LVCELL($D$1,O$3,$C73,$D$2,$C$4,$C$5,$C$6,$C$7,$C$8,$D$3)/1000</f>
        <v>4299.1559999999999</v>
      </c>
      <c r="P73" s="172">
        <f>_xll.LVCELL($D$1,P$3,$C73,$D$2,$C$4,$C$5,$C$6,$C$7,$C$8,$D$3)/1000</f>
        <v>5008.8090000000002</v>
      </c>
      <c r="Q73" s="172">
        <f>_xll.LVCELL($D$1,Q$2,$C73,$D$2,$C$4,$C$5,$C$6,$C$7,$C$8,$D$3)/1000</f>
        <v>45752.303</v>
      </c>
      <c r="R73" s="172">
        <f>_xll.LVCELL($D$1,R$3,$C73,$D$2,$C$4,$C$5,$C$6,$C$7,$C$8,$D$3)/1000</f>
        <v>5139.4369999999999</v>
      </c>
      <c r="S73" s="172">
        <f>_xll.LVCELL($D$1,S$3,$C73,$D$2,$C$4,$C$5,$C$6,$C$7,$C$8,$D$3)/1000</f>
        <v>4288.5770000000002</v>
      </c>
      <c r="T73" s="172">
        <f>_xll.LVCELL($D$1,T$3,$C73,$D$2,$C$4,$C$5,$C$6,$C$7,$C$8,$D$3)/1000</f>
        <v>4224.95</v>
      </c>
      <c r="U73" s="172">
        <f>_xll.LVCELL($D$1,U$3,$C73,$D$2,$C$4,$C$5,$C$6,$C$7,$C$8,$D$3)/1000</f>
        <v>3464.36</v>
      </c>
      <c r="V73" s="172">
        <f>_xll.LVCELL($D$1,V$3,$C73,$D$2,$C$4,$C$5,$C$6,$C$7,$C$8,$D$3)/1000</f>
        <v>3359.1689999999999</v>
      </c>
      <c r="W73" s="172">
        <f>_xll.LVCELL($D$1,W$3,$C73,$D$2,$C$4,$C$5,$C$6,$C$7,$C$8,$D$3)/1000</f>
        <v>2815.0479999999998</v>
      </c>
      <c r="X73" s="172">
        <f>_xll.LVCELL($D$1,X$3,$C73,$D$2,$C$4,$C$5,$C$6,$C$7,$C$8,$D$3)/1000</f>
        <v>2795.5659999999998</v>
      </c>
      <c r="Y73" s="172">
        <f>_xll.LVCELL($D$1,Y$3,$C73,$D$2,$C$4,$C$5,$C$6,$C$7,$C$8,$D$3)/1000</f>
        <v>2775.6860000000001</v>
      </c>
      <c r="Z73" s="172">
        <f>_xll.LVCELL($D$1,Z$3,$C73,$D$2,$C$4,$C$5,$C$6,$C$7,$C$8,$D$3)/1000</f>
        <v>3220.0259999999998</v>
      </c>
      <c r="AA73" s="172">
        <f>_xll.LVCELL($D$1,AA$3,$C73,$D$2,$C$4,$C$5,$C$6,$C$7,$C$8,$D$3)/1000</f>
        <v>4248.8059999999996</v>
      </c>
      <c r="AB73" s="172">
        <f>_xll.LVCELL($D$1,AB$3,$C73,$D$2,$C$4,$C$5,$C$6,$C$7,$C$8,$D$3)/1000</f>
        <v>4285.8590000000004</v>
      </c>
      <c r="AC73" s="172">
        <f>_xll.LVCELL($D$1,AC$3,$C73,$D$2,$C$4,$C$5,$C$6,$C$7,$C$8,$D$3)/1000</f>
        <v>4993.3180000000002</v>
      </c>
      <c r="AD73" s="172">
        <f>_xll.LVCELL($D$1,AD$2,$C73,$D$2,$C$4,$C$5,$C$6,$C$7,$C$8,$D$3)/1000</f>
        <v>45610.802000000003</v>
      </c>
      <c r="AE73" s="516">
        <f>AD73-Q73</f>
        <v>-141.50099999999657</v>
      </c>
      <c r="AF73" s="193">
        <f t="shared" si="2"/>
        <v>-3.092762346848299E-3</v>
      </c>
      <c r="AG73" s="535" t="s">
        <v>3285</v>
      </c>
      <c r="AI73" s="63"/>
      <c r="AJ73" s="64" t="str">
        <f t="shared" si="3"/>
        <v>E5660</v>
      </c>
      <c r="AK73" s="64" t="str">
        <f t="shared" si="4"/>
        <v>E5660</v>
      </c>
      <c r="AL73" s="192" t="str">
        <f t="shared" si="5"/>
        <v>Parc du Santerre (XSAN)</v>
      </c>
      <c r="AM73" s="172">
        <f>_xll.LVCELL($AK$1,AM$3,$AK73,$AL$2,$AK$4,$AK$5,$AK$6,$AK$7,$AK$8,$AL$3)/1000</f>
        <v>364.06571495450396</v>
      </c>
      <c r="AN73" s="172">
        <f>_xll.LVCELL($AK$1,AN$3,$AK73,$AL$2,$AK$4,$AK$5,$AK$6,$AK$7,$AK$8,$AL$3)/1000</f>
        <v>303.80430570190998</v>
      </c>
      <c r="AO73" s="172">
        <f>_xll.LVCELL($AK$1,AO$3,$AK73,$AL$2,$AK$4,$AK$5,$AK$6,$AK$7,$AK$8,$AL$3)/1000</f>
        <v>299.29325937251502</v>
      </c>
      <c r="AP73" s="172">
        <f>_xll.LVCELL($AK$1,AP$3,$AK73,$AL$2,$AK$4,$AK$5,$AK$6,$AK$7,$AK$8,$AL$3)/1000</f>
        <v>245.40507485003698</v>
      </c>
      <c r="AQ73" s="172">
        <f>_xll.LVCELL($AK$1,AQ$3,$AK73,$AL$2,$AK$4,$AK$5,$AK$6,$AK$7,$AK$8,$AL$3)/1000</f>
        <v>237.95835328461001</v>
      </c>
      <c r="AR73" s="172">
        <f>_xll.LVCELL($AK$1,AR$3,$AK73,$AL$2,$AK$4,$AK$5,$AK$6,$AK$7,$AK$8,$AL$3)/1000</f>
        <v>199.410102687939</v>
      </c>
      <c r="AS73" s="172">
        <f>_xll.LVCELL($AK$1,AS$3,$AK73,$AL$2,$AK$4,$AK$5,$AK$6,$AK$7,$AK$8,$AL$3)/1000</f>
        <v>198.023353232841</v>
      </c>
      <c r="AT73" s="172">
        <f>_xll.LVCELL($AK$1,AT$3,$AK73,$AL$2,$AK$4,$AK$5,$AK$6,$AK$7,$AK$8,$AL$3)/1000</f>
        <v>197.74072839124801</v>
      </c>
      <c r="AU73" s="172">
        <f>_xll.LVCELL($AK$1,AU$3,$AK73,$AL$2,$AK$4,$AK$5,$AK$6,$AK$7,$AK$8,$AL$3)/1000</f>
        <v>229.390174232448</v>
      </c>
      <c r="AV73" s="172">
        <f>_xll.LVCELL($AK$1,AV$3,$AK73,$AL$2,$AK$4,$AK$5,$AK$6,$AK$7,$AK$8,$AL$3)/1000</f>
        <v>302.69035710367604</v>
      </c>
      <c r="AW73" s="172">
        <f>_xll.LVCELL($AK$1,AW$3,$AK73,$AL$2,$AK$4,$AK$5,$AK$6,$AK$7,$AK$8,$AL$3)/1000</f>
        <v>305.33330319786</v>
      </c>
      <c r="AX73" s="172">
        <f>_xll.LVCELL($AK$1,AX$3,$AK73,$AL$2,$AK$4,$AK$5,$AK$6,$AK$7,$AK$8,$AL$3)/1000</f>
        <v>355.70246947361096</v>
      </c>
      <c r="AY73" s="172">
        <f>_xll.LVCELL($AK$1,AY$2,$AK73,$AL$2,$AK$4,$AK$5,$AK$6,$AK$7,$AK$8,$AL$3)/1000</f>
        <v>3238.817196483199</v>
      </c>
      <c r="AZ73" s="172">
        <f>_xll.LVCELL($AK$1,AZ$3,$AK73,$AL$2,$AK$4,$AK$5,$AK$6,$AK$7,$AK$8,$AL$3)/1000</f>
        <v>368.73687369235</v>
      </c>
      <c r="BA73" s="172">
        <f>_xll.LVCELL($AK$1,BA$3,$AK73,$AL$2,$AK$4,$AK$5,$AK$6,$AK$7,$AK$8,$AL$3)/1000</f>
        <v>307.69060415934996</v>
      </c>
      <c r="BB73" s="172">
        <f>_xll.LVCELL($AK$1,BB$3,$AK73,$AL$2,$AK$4,$AK$5,$AK$6,$AK$7,$AK$8,$AL$3)/1000</f>
        <v>303.12558642250002</v>
      </c>
      <c r="BC73" s="172">
        <f>_xll.LVCELL($AK$1,BC$3,$AK73,$AL$2,$AK$4,$AK$5,$AK$6,$AK$7,$AK$8,$AL$3)/1000</f>
        <v>248.555877958</v>
      </c>
      <c r="BD73" s="172">
        <f>_xll.LVCELL($AK$1,BD$3,$AK73,$AL$2,$AK$4,$AK$5,$AK$6,$AK$7,$AK$8,$AL$3)/1000</f>
        <v>241.00878661695</v>
      </c>
      <c r="BE73" s="172">
        <f>_xll.LVCELL($AK$1,BE$3,$AK73,$AL$2,$AK$4,$AK$5,$AK$6,$AK$7,$AK$8,$AL$3)/1000</f>
        <v>201.96998208439999</v>
      </c>
      <c r="BF73" s="172">
        <f>_xll.LVCELL($AK$1,BF$3,$AK73,$AL$2,$AK$4,$AK$5,$AK$6,$AK$7,$AK$8,$AL$3)/1000</f>
        <v>200.57221579729998</v>
      </c>
      <c r="BG73" s="172">
        <f>_xll.LVCELL($AK$1,BG$3,$AK73,$AL$2,$AK$4,$AK$5,$AK$6,$AK$7,$AK$8,$AL$3)/1000</f>
        <v>203.70773709998599</v>
      </c>
      <c r="BH73" s="172">
        <f>_xll.LVCELL($AK$1,BH$3,$AK73,$AL$2,$AK$4,$AK$5,$AK$6,$AK$7,$AK$8,$AL$3)/1000</f>
        <v>236.31787236132601</v>
      </c>
      <c r="BI73" s="172">
        <f>_xll.LVCELL($AK$1,BI$3,$AK73,$AL$2,$AK$4,$AK$5,$AK$6,$AK$7,$AK$8,$AL$3)/1000</f>
        <v>311.82008902910599</v>
      </c>
      <c r="BJ73" s="172">
        <f>_xll.LVCELL($AK$1,BJ$3,$AK73,$AL$2,$AK$4,$AK$5,$AK$6,$AK$7,$AK$8,$AL$3)/1000</f>
        <v>314.53941058880901</v>
      </c>
      <c r="BK73" s="172">
        <f>_xll.LVCELL($AK$1,BK$3,$AK73,$AL$2,$AK$4,$AK$5,$AK$6,$AK$7,$AK$8,$AL$3)/1000</f>
        <v>366.45986267921802</v>
      </c>
      <c r="BL73" s="172">
        <f>_xll.LVCELL($AK$1,BL$2,$AK73,$AL$2,$AK$4,$AK$5,$AK$6,$AK$7,$AK$8,$AL$3)/1000</f>
        <v>3304.5048984892951</v>
      </c>
      <c r="BM73" s="214">
        <f>BL73-AY73</f>
        <v>65.68770200609606</v>
      </c>
      <c r="BN73" s="217">
        <f t="shared" si="7"/>
        <v>-10.016891873608156</v>
      </c>
      <c r="BO73" s="218">
        <f t="shared" si="7"/>
        <v>75.704593879704262</v>
      </c>
      <c r="BP73" s="193">
        <f t="shared" si="8"/>
        <v>2.0281386080517771E-2</v>
      </c>
      <c r="BQ73" s="172"/>
      <c r="BS73" s="198">
        <f t="shared" si="9"/>
        <v>70.790255006031046</v>
      </c>
      <c r="BT73" s="198">
        <f t="shared" si="10"/>
        <v>72.450050286098787</v>
      </c>
      <c r="BU73" s="198">
        <f t="shared" ref="BU73" si="19">+BT73-BS73</f>
        <v>1.6597952800677405</v>
      </c>
      <c r="BV73" s="199">
        <f t="shared" ref="BV73" si="20">+IFERROR(BU73/BS73,"N/A")</f>
        <v>2.3446663385042654E-2</v>
      </c>
      <c r="BX73" s="200">
        <f t="shared" ref="BX73:BX87" si="21">+AE73*BS73/1000</f>
        <v>-10.016891873608156</v>
      </c>
      <c r="BY73" s="200">
        <f t="shared" ref="BY73:BY87" si="22">+BU73*AD73/1000</f>
        <v>75.704593879704262</v>
      </c>
      <c r="BZ73" s="200">
        <f t="shared" si="15"/>
        <v>65.687702006096103</v>
      </c>
      <c r="CA73" s="526">
        <f t="shared" si="16"/>
        <v>0</v>
      </c>
    </row>
    <row r="74" spans="1:79">
      <c r="B74" s="64" t="str">
        <f>'1-EO_Calcul Reporting'!B96</f>
        <v>E5590</v>
      </c>
      <c r="C74" s="64" t="str">
        <f>'1-EO_Calcul Reporting'!C96</f>
        <v>E5590</v>
      </c>
      <c r="D74" s="192" t="str">
        <f>'1-EO_Calcul Reporting'!D96</f>
        <v>Le Catésis (CAT)</v>
      </c>
      <c r="E74" s="183">
        <f>_xll.LVCELL($D$1,E$3,$C74,$D$2,$C$4,$C$5,$C$6,$C$7,$C$8,$D$3)/1000</f>
        <v>3700.2930000000001</v>
      </c>
      <c r="F74" s="183">
        <f>_xll.LVCELL($D$1,F$3,$C74,$D$2,$C$4,$C$5,$C$6,$C$7,$C$8,$D$3)/1000</f>
        <v>3067.797</v>
      </c>
      <c r="G74" s="183">
        <f>_xll.LVCELL($D$1,G$3,$C74,$D$2,$C$4,$C$5,$C$6,$C$7,$C$8,$D$3)/1000</f>
        <v>3023.3879999999999</v>
      </c>
      <c r="H74" s="183">
        <f>_xll.LVCELL($D$1,H$3,$C74,$D$2,$C$4,$C$5,$C$6,$C$7,$C$8,$D$3)/1000</f>
        <v>2510.7280000000001</v>
      </c>
      <c r="I74" s="183">
        <f>_xll.LVCELL($D$1,I$3,$C74,$D$2,$C$4,$C$5,$C$6,$C$7,$C$8,$D$3)/1000</f>
        <v>2388.4609999999998</v>
      </c>
      <c r="J74" s="183">
        <f>_xll.LVCELL($D$1,J$3,$C74,$D$2,$C$4,$C$5,$C$6,$C$7,$C$8,$D$3)/1000</f>
        <v>2026.4079999999999</v>
      </c>
      <c r="K74" s="172">
        <f>_xll.LVCELL($D$1,K$3,$C74,$D$2,$C$4,$C$5,$C$6,$C$7,$C$8,$D$3)/1000</f>
        <v>1990.9760000000001</v>
      </c>
      <c r="L74" s="172">
        <f>_xll.LVCELL($D$1,L$3,$C74,$D$2,$C$4,$C$5,$C$6,$C$7,$C$8,$D$3)/1000</f>
        <v>1994.2560000000001</v>
      </c>
      <c r="M74" s="172">
        <f>_xll.LVCELL($D$1,M$3,$C74,$D$2,$C$4,$C$5,$C$6,$C$7,$C$8,$D$3)/1000</f>
        <v>2351.404</v>
      </c>
      <c r="N74" s="172">
        <f>_xll.LVCELL($D$1,N$3,$C74,$D$2,$C$4,$C$5,$C$6,$C$7,$C$8,$D$3)/1000</f>
        <v>3136.8620000000001</v>
      </c>
      <c r="O74" s="172">
        <f>_xll.LVCELL($D$1,O$3,$C74,$D$2,$C$4,$C$5,$C$6,$C$7,$C$8,$D$3)/1000</f>
        <v>3164.5279999999998</v>
      </c>
      <c r="P74" s="172">
        <f>_xll.LVCELL($D$1,P$3,$C74,$D$2,$C$4,$C$5,$C$6,$C$7,$C$8,$D$3)/1000</f>
        <v>3606.4969999999998</v>
      </c>
      <c r="Q74" s="172">
        <f>_xll.LVCELL($D$1,Q$2,$C74,$D$2,$C$4,$C$5,$C$6,$C$7,$C$8,$D$3)/1000</f>
        <v>32961.597999999998</v>
      </c>
      <c r="R74" s="183">
        <f>_xll.LVCELL($D$1,R$3,$C74,$D$2,$C$4,$C$5,$C$6,$C$7,$C$8,$D$3)/1000</f>
        <v>3764.64</v>
      </c>
      <c r="S74" s="183">
        <f>_xll.LVCELL($D$1,S$3,$C74,$D$2,$C$4,$C$5,$C$6,$C$7,$C$8,$D$3)/1000</f>
        <v>3121.145</v>
      </c>
      <c r="T74" s="183">
        <f>_xll.LVCELL($D$1,T$3,$C74,$D$2,$C$4,$C$5,$C$6,$C$7,$C$8,$D$3)/1000</f>
        <v>3075.9639999999999</v>
      </c>
      <c r="U74" s="183">
        <f>_xll.LVCELL($D$1,U$3,$C74,$D$2,$C$4,$C$5,$C$6,$C$7,$C$8,$D$3)/1000</f>
        <v>2554.3890000000001</v>
      </c>
      <c r="V74" s="183">
        <f>_xll.LVCELL($D$1,V$3,$C74,$D$2,$C$4,$C$5,$C$6,$C$7,$C$8,$D$3)/1000</f>
        <v>2429.9960000000001</v>
      </c>
      <c r="W74" s="183">
        <f>_xll.LVCELL($D$1,W$3,$C74,$D$2,$C$4,$C$5,$C$6,$C$7,$C$8,$D$3)/1000</f>
        <v>2061.6469999999999</v>
      </c>
      <c r="X74" s="172">
        <f>_xll.LVCELL($D$1,X$3,$C74,$D$2,$C$4,$C$5,$C$6,$C$7,$C$8,$D$3)/1000</f>
        <v>2025.5989999999999</v>
      </c>
      <c r="Y74" s="172">
        <f>_xll.LVCELL($D$1,Y$3,$C74,$D$2,$C$4,$C$5,$C$6,$C$7,$C$8,$D$3)/1000</f>
        <v>2028.9349999999999</v>
      </c>
      <c r="Z74" s="172">
        <f>_xll.LVCELL($D$1,Z$3,$C74,$D$2,$C$4,$C$5,$C$6,$C$7,$C$8,$D$3)/1000</f>
        <v>2392.2939999999999</v>
      </c>
      <c r="AA74" s="172">
        <f>_xll.LVCELL($D$1,AA$3,$C74,$D$2,$C$4,$C$5,$C$6,$C$7,$C$8,$D$3)/1000</f>
        <v>3191.41</v>
      </c>
      <c r="AB74" s="172">
        <f>_xll.LVCELL($D$1,AB$3,$C74,$D$2,$C$4,$C$5,$C$6,$C$7,$C$8,$D$3)/1000</f>
        <v>3219.558</v>
      </c>
      <c r="AC74" s="172">
        <f>_xll.LVCELL($D$1,AC$3,$C74,$D$2,$C$4,$C$5,$C$6,$C$7,$C$8,$D$3)/1000</f>
        <v>3669.2130000000002</v>
      </c>
      <c r="AD74" s="172">
        <f>_xll.LVCELL($D$1,AD$2,$C74,$D$2,$C$4,$C$5,$C$6,$C$7,$C$8,$D$3)/1000</f>
        <v>33534.79</v>
      </c>
      <c r="AE74" s="172">
        <f t="shared" si="1"/>
        <v>573.19200000000274</v>
      </c>
      <c r="AF74" s="193">
        <f t="shared" si="2"/>
        <v>1.7389690876030928E-2</v>
      </c>
      <c r="AG74" s="535"/>
      <c r="AJ74" s="64" t="str">
        <f>B74</f>
        <v>E5590</v>
      </c>
      <c r="AK74" s="64" t="str">
        <f t="shared" si="4"/>
        <v>E5590</v>
      </c>
      <c r="AL74" s="192" t="str">
        <f t="shared" si="5"/>
        <v>Le Catésis (CAT)</v>
      </c>
      <c r="AM74" s="183">
        <f>_xll.LVCELL($AK$1,AM$3,$AK74,$AL$2,$AK$4,$AK$5,$AK$6,$AK$7,$AK$8,$AL$3)/1000</f>
        <v>277.33167633159599</v>
      </c>
      <c r="AN74" s="183">
        <f>_xll.LVCELL($AK$1,AN$3,$AK74,$AL$2,$AK$4,$AK$5,$AK$6,$AK$7,$AK$8,$AL$3)/1000</f>
        <v>229.93523523523501</v>
      </c>
      <c r="AO74" s="183">
        <f>_xll.LVCELL($AK$1,AO$3,$AK74,$AL$2,$AK$4,$AK$5,$AK$6,$AK$7,$AK$8,$AL$3)/1000</f>
        <v>226.60412483825999</v>
      </c>
      <c r="AP74" s="183">
        <f>_xll.LVCELL($AK$1,AP$3,$AK74,$AL$2,$AK$4,$AK$5,$AK$6,$AK$7,$AK$8,$AL$3)/1000</f>
        <v>119.631145147448</v>
      </c>
      <c r="AQ74" s="183">
        <f>_xll.LVCELL($AK$1,AQ$3,$AK74,$AL$2,$AK$4,$AK$5,$AK$6,$AK$7,$AK$8,$AL$3)/1000</f>
        <v>102.10522451571899</v>
      </c>
      <c r="AR74" s="183">
        <f>_xll.LVCELL($AK$1,AR$3,$AK74,$AL$2,$AK$4,$AK$5,$AK$6,$AK$7,$AK$8,$AL$3)/1000</f>
        <v>151.87546792655201</v>
      </c>
      <c r="AS74" s="172">
        <f>_xll.LVCELL($AK$1,AS$3,$AK74,$AL$2,$AK$4,$AK$5,$AK$6,$AK$7,$AK$8,$AL$3)/1000</f>
        <v>149.21512783174401</v>
      </c>
      <c r="AT74" s="172">
        <f>_xll.LVCELL($AK$1,AT$3,$AK74,$AL$2,$AK$4,$AK$5,$AK$6,$AK$7,$AK$8,$AL$3)/1000</f>
        <v>149.46945529190401</v>
      </c>
      <c r="AU74" s="172">
        <f>_xll.LVCELL($AK$1,AU$3,$AK74,$AL$2,$AK$4,$AK$5,$AK$6,$AK$7,$AK$8,$AL$3)/1000</f>
        <v>176.23368068231201</v>
      </c>
      <c r="AV74" s="172">
        <f>_xll.LVCELL($AK$1,AV$3,$AK74,$AL$2,$AK$4,$AK$5,$AK$6,$AK$7,$AK$8,$AL$3)/1000</f>
        <v>235.11078064517602</v>
      </c>
      <c r="AW74" s="172">
        <f>_xll.LVCELL($AK$1,AW$3,$AK74,$AL$2,$AK$4,$AK$5,$AK$6,$AK$7,$AK$8,$AL$3)/1000</f>
        <v>237.18670582968002</v>
      </c>
      <c r="AX74" s="172">
        <f>_xll.LVCELL($AK$1,AX$3,$AK74,$AL$2,$AK$4,$AK$5,$AK$6,$AK$7,$AK$8,$AL$3)/1000</f>
        <v>270.29028452736304</v>
      </c>
      <c r="AY74" s="172">
        <f>_xll.LVCELL($AK$1,AY$2,$AK74,$AL$2,$AK$4,$AK$5,$AK$6,$AK$7,$AK$8,$AL$3)/1000</f>
        <v>2324.988908802989</v>
      </c>
      <c r="AZ74" s="183">
        <f>_xll.LVCELL($AK$1,AZ$3,$AK74,$AL$2,$AK$4,$AK$5,$AK$6,$AK$7,$AK$8,$AL$3)/1000</f>
        <v>286.88728997279998</v>
      </c>
      <c r="BA74" s="183">
        <f>_xll.LVCELL($AK$1,BA$3,$AK74,$AL$2,$AK$4,$AK$5,$AK$6,$AK$7,$AK$8,$AL$3)/1000</f>
        <v>237.84925800664999</v>
      </c>
      <c r="BB74" s="183">
        <f>_xll.LVCELL($AK$1,BB$3,$AK74,$AL$2,$AK$4,$AK$5,$AK$6,$AK$7,$AK$8,$AL$3)/1000</f>
        <v>234.40620511227999</v>
      </c>
      <c r="BC74" s="183">
        <f>_xll.LVCELL($AK$1,BC$3,$AK74,$AL$2,$AK$4,$AK$5,$AK$6,$AK$7,$AK$8,$AL$3)/1000</f>
        <v>194.65918062452999</v>
      </c>
      <c r="BD74" s="183">
        <f>_xll.LVCELL($AK$1,BD$3,$AK74,$AL$2,$AK$4,$AK$5,$AK$6,$AK$7,$AK$8,$AL$3)/1000</f>
        <v>185.17971627692</v>
      </c>
      <c r="BE74" s="183">
        <f>_xll.LVCELL($AK$1,BE$3,$AK74,$AL$2,$AK$4,$AK$5,$AK$6,$AK$7,$AK$8,$AL$3)/1000</f>
        <v>157.10939710319002</v>
      </c>
      <c r="BF74" s="172">
        <f>_xll.LVCELL($AK$1,BF$3,$AK74,$AL$2,$AK$4,$AK$5,$AK$6,$AK$7,$AK$8,$AL$3)/1000</f>
        <v>154.36233150622999</v>
      </c>
      <c r="BG74" s="172">
        <f>_xll.LVCELL($AK$1,BG$3,$AK74,$AL$2,$AK$4,$AK$5,$AK$6,$AK$7,$AK$8,$AL$3)/1000</f>
        <v>154.61655395495001</v>
      </c>
      <c r="BH74" s="172">
        <f>_xll.LVCELL($AK$1,BH$3,$AK74,$AL$2,$AK$4,$AK$5,$AK$6,$AK$7,$AK$8,$AL$3)/1000</f>
        <v>182.30660633638001</v>
      </c>
      <c r="BI74" s="172">
        <f>_xll.LVCELL($AK$1,BI$3,$AK74,$AL$2,$AK$4,$AK$5,$AK$6,$AK$7,$AK$8,$AL$3)/1000</f>
        <v>243.2038564357</v>
      </c>
      <c r="BJ74" s="172">
        <f>_xll.LVCELL($AK$1,BJ$3,$AK74,$AL$2,$AK$4,$AK$5,$AK$6,$AK$7,$AK$8,$AL$3)/1000</f>
        <v>188.89146786000001</v>
      </c>
      <c r="BK74" s="172">
        <f>_xll.LVCELL($AK$1,BK$3,$AK74,$AL$2,$AK$4,$AK$5,$AK$6,$AK$7,$AK$8,$AL$3)/1000</f>
        <v>156.16170528000001</v>
      </c>
      <c r="BL74" s="172">
        <f>_xll.LVCELL($AK$1,BL$2,$AK74,$AL$2,$AK$4,$AK$5,$AK$6,$AK$7,$AK$8,$AL$3)/1000</f>
        <v>2375.6335684696301</v>
      </c>
      <c r="BM74" s="214">
        <f t="shared" ref="BM74:BM97" si="23">BL74-AY74</f>
        <v>50.644659666641019</v>
      </c>
      <c r="BN74" s="217">
        <f t="shared" si="7"/>
        <v>40.430838414284686</v>
      </c>
      <c r="BO74" s="218">
        <f t="shared" si="7"/>
        <v>10.213821252356473</v>
      </c>
      <c r="BP74" s="193">
        <f t="shared" si="8"/>
        <v>2.1782753231590846E-2</v>
      </c>
      <c r="BQ74" s="172"/>
      <c r="BS74" s="198">
        <f t="shared" si="9"/>
        <v>70.536292227184774</v>
      </c>
      <c r="BT74" s="198">
        <f t="shared" si="10"/>
        <v>70.840866111570406</v>
      </c>
      <c r="BU74" s="198">
        <f t="shared" si="11"/>
        <v>0.30457388438563271</v>
      </c>
      <c r="BV74" s="199">
        <f t="shared" si="12"/>
        <v>4.3179741203954233E-3</v>
      </c>
      <c r="BX74" s="200">
        <f t="shared" si="21"/>
        <v>40.430838414284686</v>
      </c>
      <c r="BY74" s="200">
        <f t="shared" si="22"/>
        <v>10.213821252356473</v>
      </c>
      <c r="BZ74" s="200">
        <f t="shared" si="15"/>
        <v>50.644659666641161</v>
      </c>
      <c r="CA74" s="526">
        <f t="shared" si="16"/>
        <v>-1.4210854715202004E-13</v>
      </c>
    </row>
    <row r="75" spans="1:79">
      <c r="B75" s="64" t="str">
        <f>'1-EO_Calcul Reporting'!B97</f>
        <v>E5650</v>
      </c>
      <c r="C75" s="64" t="str">
        <f>'1-EO_Calcul Reporting'!C97</f>
        <v>E5650</v>
      </c>
      <c r="D75" s="192" t="str">
        <f>'1-EO_Calcul Reporting'!D97</f>
        <v>Seuil du Cambrésis- Ribecourt (RIB)</v>
      </c>
      <c r="E75" s="183">
        <f>_xll.LVCELL($D$1,E$3,$C75,$D$2,$C$4,$C$5,$C$6,$C$7,$C$8,$D$3)/1000</f>
        <v>8663.8709999999992</v>
      </c>
      <c r="F75" s="183">
        <f>_xll.LVCELL($D$1,F$3,$C75,$D$2,$C$4,$C$5,$C$6,$C$7,$C$8,$D$3)/1000</f>
        <v>7113.3</v>
      </c>
      <c r="G75" s="183">
        <f>_xll.LVCELL($D$1,G$3,$C75,$D$2,$C$4,$C$5,$C$6,$C$7,$C$8,$D$3)/1000</f>
        <v>6842.8490000000002</v>
      </c>
      <c r="H75" s="183">
        <f>_xll.LVCELL($D$1,H$3,$C75,$D$2,$C$4,$C$5,$C$6,$C$7,$C$8,$D$3)/1000</f>
        <v>5532.5569999999998</v>
      </c>
      <c r="I75" s="183">
        <f>_xll.LVCELL($D$1,I$3,$C75,$D$2,$C$4,$C$5,$C$6,$C$7,$C$8,$D$3)/1000</f>
        <v>5262.9669999999996</v>
      </c>
      <c r="J75" s="183">
        <f>_xll.LVCELL($D$1,J$3,$C75,$D$2,$C$4,$C$5,$C$6,$C$7,$C$8,$D$3)/1000</f>
        <v>4414.0320000000002</v>
      </c>
      <c r="K75" s="183">
        <f>_xll.LVCELL($D$1,K$3,$C75,$D$2,$C$4,$C$5,$C$6,$C$7,$C$8,$D$3)/1000</f>
        <v>4343.3090000000002</v>
      </c>
      <c r="L75" s="183">
        <f>_xll.LVCELL($D$1,L$3,$C75,$D$2,$C$4,$C$5,$C$6,$C$7,$C$8,$D$3)/1000</f>
        <v>4326.6790000000001</v>
      </c>
      <c r="M75" s="172">
        <f>_xll.LVCELL($D$1,M$3,$C75,$D$2,$C$4,$C$5,$C$6,$C$7,$C$8,$D$3)/1000</f>
        <v>5160.7879999999996</v>
      </c>
      <c r="N75" s="172">
        <f>_xll.LVCELL($D$1,N$3,$C75,$D$2,$C$4,$C$5,$C$6,$C$7,$C$8,$D$3)/1000</f>
        <v>7067.3590000000004</v>
      </c>
      <c r="O75" s="172">
        <f>_xll.LVCELL($D$1,O$3,$C75,$D$2,$C$4,$C$5,$C$6,$C$7,$C$8,$D$3)/1000</f>
        <v>7256.2110000000002</v>
      </c>
      <c r="P75" s="172">
        <f>_xll.LVCELL($D$1,P$3,$C75,$D$2,$C$4,$C$5,$C$6,$C$7,$C$8,$D$3)/1000</f>
        <v>8416.0789999999997</v>
      </c>
      <c r="Q75" s="172">
        <f>_xll.LVCELL($D$1,Q$2,$C75,$D$2,$C$4,$C$5,$C$6,$C$7,$C$8,$D$3)/1000</f>
        <v>74400.001000000004</v>
      </c>
      <c r="R75" s="183">
        <f>_xll.LVCELL($D$1,R$3,$C75,$D$2,$C$4,$C$5,$C$6,$C$7,$C$8,$D$3)/1000</f>
        <v>6921.6620000000003</v>
      </c>
      <c r="S75" s="183">
        <f>_xll.LVCELL($D$1,S$3,$C75,$D$2,$C$4,$C$5,$C$6,$C$7,$C$8,$D$3)/1000</f>
        <v>5682.8940000000002</v>
      </c>
      <c r="T75" s="183">
        <f>_xll.LVCELL($D$1,T$3,$C75,$D$2,$C$4,$C$5,$C$6,$C$7,$C$8,$D$3)/1000</f>
        <v>5466.8270000000002</v>
      </c>
      <c r="U75" s="183">
        <f>_xll.LVCELL($D$1,U$3,$C75,$D$2,$C$4,$C$5,$C$6,$C$7,$C$8,$D$3)/1000</f>
        <v>4420.0200000000004</v>
      </c>
      <c r="V75" s="183">
        <f>_xll.LVCELL($D$1,V$3,$C75,$D$2,$C$4,$C$5,$C$6,$C$7,$C$8,$D$3)/1000</f>
        <v>4204.6419999999998</v>
      </c>
      <c r="W75" s="183">
        <f>_xll.LVCELL($D$1,W$3,$C75,$D$2,$C$4,$C$5,$C$6,$C$7,$C$8,$D$3)/1000</f>
        <v>3526.4189999999999</v>
      </c>
      <c r="X75" s="183">
        <f>_xll.LVCELL($D$1,X$3,$C75,$D$2,$C$4,$C$5,$C$6,$C$7,$C$8,$D$3)/1000</f>
        <v>3469.9180000000001</v>
      </c>
      <c r="Y75" s="183">
        <f>_xll.LVCELL($D$1,Y$3,$C75,$D$2,$C$4,$C$5,$C$6,$C$7,$C$8,$D$3)/1000</f>
        <v>3456.6309999999999</v>
      </c>
      <c r="Z75" s="172">
        <f>_xll.LVCELL($D$1,Z$3,$C75,$D$2,$C$4,$C$5,$C$6,$C$7,$C$8,$D$3)/1000</f>
        <v>4123.01</v>
      </c>
      <c r="AA75" s="172">
        <f>_xll.LVCELL($D$1,AA$3,$C75,$D$2,$C$4,$C$5,$C$6,$C$7,$C$8,$D$3)/1000</f>
        <v>5646.19</v>
      </c>
      <c r="AB75" s="172">
        <f>_xll.LVCELL($D$1,AB$3,$C75,$D$2,$C$4,$C$5,$C$6,$C$7,$C$8,$D$3)/1000</f>
        <v>5797.0659999999998</v>
      </c>
      <c r="AC75" s="172">
        <f>_xll.LVCELL($D$1,AC$3,$C75,$D$2,$C$4,$C$5,$C$6,$C$7,$C$8,$D$3)/1000</f>
        <v>6723.6980000000003</v>
      </c>
      <c r="AD75" s="172">
        <f>_xll.LVCELL($D$1,AD$2,$C75,$D$2,$C$4,$C$5,$C$6,$C$7,$C$8,$D$3)/1000</f>
        <v>59438.976999999999</v>
      </c>
      <c r="AE75" s="172">
        <f t="shared" si="1"/>
        <v>-14961.024000000005</v>
      </c>
      <c r="AF75" s="193">
        <f t="shared" si="2"/>
        <v>-0.20108902955525498</v>
      </c>
      <c r="AG75" s="535"/>
      <c r="AJ75" s="64" t="str">
        <f t="shared" ref="AJ75:AJ88" si="24">B75</f>
        <v>E5650</v>
      </c>
      <c r="AK75" s="64" t="str">
        <f t="shared" ref="AK75:AK88" si="25">C75</f>
        <v>E5650</v>
      </c>
      <c r="AL75" s="192" t="str">
        <f t="shared" ref="AL75:AL88" si="26">D75</f>
        <v>Seuil du Cambrésis- Ribecourt (RIB)</v>
      </c>
      <c r="AM75" s="183">
        <f>_xll.LVCELL($AK$1,AM$3,$AK75,$AL$2,$AK$4,$AK$5,$AK$6,$AK$7,$AK$8,$AL$3)/1000</f>
        <v>704.96681126221199</v>
      </c>
      <c r="AN75" s="183">
        <f>_xll.LVCELL($AK$1,AN$3,$AK75,$AL$2,$AK$4,$AK$5,$AK$6,$AK$7,$AK$8,$AL$3)/1000</f>
        <v>578.81814819149997</v>
      </c>
      <c r="AO75" s="183">
        <f>_xll.LVCELL($AK$1,AO$3,$AK75,$AL$2,$AK$4,$AK$5,$AK$6,$AK$7,$AK$8,$AL$3)/1000</f>
        <v>556.80532605535507</v>
      </c>
      <c r="AP75" s="183">
        <f>_xll.LVCELL($AK$1,AP$3,$AK75,$AL$2,$AK$4,$AK$5,$AK$6,$AK$7,$AK$8,$AL$3)/1000</f>
        <v>450.17304818298703</v>
      </c>
      <c r="AQ75" s="183">
        <f>_xll.LVCELL($AK$1,AQ$3,$AK75,$AL$2,$AK$4,$AK$5,$AK$6,$AK$7,$AK$8,$AL$3)/1000</f>
        <v>428.24435648749295</v>
      </c>
      <c r="AR75" s="183">
        <f>_xll.LVCELL($AK$1,AR$3,$AK75,$AL$2,$AK$4,$AK$5,$AK$6,$AK$7,$AK$8,$AL$3)/1000</f>
        <v>359.16148104580799</v>
      </c>
      <c r="AS75" s="183">
        <f>_xll.LVCELL($AK$1,AS$3,$AK75,$AL$2,$AK$4,$AK$5,$AK$6,$AK$7,$AK$8,$AL$3)/1000</f>
        <v>353.39645962417103</v>
      </c>
      <c r="AT75" s="183">
        <f>_xll.LVCELL($AK$1,AT$3,$AK75,$AL$2,$AK$4,$AK$5,$AK$6,$AK$7,$AK$8,$AL$3)/1000</f>
        <v>352.061801003136</v>
      </c>
      <c r="AU75" s="172">
        <f>_xll.LVCELL($AK$1,AU$3,$AK75,$AL$2,$AK$4,$AK$5,$AK$6,$AK$7,$AK$8,$AL$3)/1000</f>
        <v>419.92443268306403</v>
      </c>
      <c r="AV75" s="172">
        <f>_xll.LVCELL($AK$1,AV$3,$AK75,$AL$2,$AK$4,$AK$5,$AK$6,$AK$7,$AK$8,$AL$3)/1000</f>
        <v>575.07770168633203</v>
      </c>
      <c r="AW75" s="172">
        <f>_xll.LVCELL($AK$1,AW$3,$AK75,$AL$2,$AK$4,$AK$5,$AK$6,$AK$7,$AK$8,$AL$3)/1000</f>
        <v>592.77210330553487</v>
      </c>
      <c r="AX75" s="172">
        <f>_xll.LVCELL($AK$1,AX$3,$AK75,$AL$2,$AK$4,$AK$5,$AK$6,$AK$7,$AK$8,$AL$3)/1000</f>
        <v>687.47060280894095</v>
      </c>
      <c r="AY75" s="172">
        <f>_xll.LVCELL($AK$1,AY$2,$AK75,$AL$2,$AK$4,$AK$5,$AK$6,$AK$7,$AK$8,$AL$3)/1000</f>
        <v>6058.8722723365354</v>
      </c>
      <c r="AZ75" s="183">
        <f>_xll.LVCELL($AK$1,AZ$3,$AK75,$AL$2,$AK$4,$AK$5,$AK$6,$AK$7,$AK$8,$AL$3)/1000</f>
        <v>575.62368510767999</v>
      </c>
      <c r="BA75" s="183">
        <f>_xll.LVCELL($AK$1,BA$3,$AK75,$AL$2,$AK$4,$AK$5,$AK$6,$AK$7,$AK$8,$AL$3)/1000</f>
        <v>472.60446788015997</v>
      </c>
      <c r="BB75" s="183">
        <f>_xll.LVCELL($AK$1,BB$3,$AK75,$AL$2,$AK$4,$AK$5,$AK$6,$AK$7,$AK$8,$AL$3)/1000</f>
        <v>454.63576574327999</v>
      </c>
      <c r="BC75" s="183">
        <f>_xll.LVCELL($AK$1,BC$3,$AK75,$AL$2,$AK$4,$AK$5,$AK$6,$AK$7,$AK$8,$AL$3)/1000</f>
        <v>367.58053205279998</v>
      </c>
      <c r="BD75" s="183">
        <f>_xll.LVCELL($AK$1,BD$3,$AK75,$AL$2,$AK$4,$AK$5,$AK$6,$AK$7,$AK$8,$AL$3)/1000</f>
        <v>349.66912897487998</v>
      </c>
      <c r="BE75" s="183">
        <f>_xll.LVCELL($AK$1,BE$3,$AK75,$AL$2,$AK$4,$AK$5,$AK$6,$AK$7,$AK$8,$AL$3)/1000</f>
        <v>293.26631378616003</v>
      </c>
      <c r="BF75" s="183">
        <f>_xll.LVCELL($AK$1,BF$3,$AK75,$AL$2,$AK$4,$AK$5,$AK$6,$AK$7,$AK$8,$AL$3)/1000</f>
        <v>288.56754146351994</v>
      </c>
      <c r="BG75" s="183">
        <f>_xll.LVCELL($AK$1,BG$3,$AK75,$AL$2,$AK$4,$AK$5,$AK$6,$AK$7,$AK$8,$AL$3)/1000</f>
        <v>287.46255946584</v>
      </c>
      <c r="BH75" s="172">
        <f>_xll.LVCELL($AK$1,BH$3,$AK75,$AL$2,$AK$4,$AK$5,$AK$6,$AK$7,$AK$8,$AL$3)/1000</f>
        <v>342.8803963464</v>
      </c>
      <c r="BI75" s="172">
        <f>_xll.LVCELL($AK$1,BI$3,$AK75,$AL$2,$AK$4,$AK$5,$AK$6,$AK$7,$AK$8,$AL$3)/1000</f>
        <v>469.55206634160004</v>
      </c>
      <c r="BJ75" s="172">
        <f>_xll.LVCELL($AK$1,BJ$3,$AK75,$AL$2,$AK$4,$AK$5,$AK$6,$AK$7,$AK$8,$AL$3)/1000</f>
        <v>492.96759997744601</v>
      </c>
      <c r="BK75" s="172">
        <f>_xll.LVCELL($AK$1,BK$3,$AK75,$AL$2,$AK$4,$AK$5,$AK$6,$AK$7,$AK$8,$AL$3)/1000</f>
        <v>571.76600473983808</v>
      </c>
      <c r="BL75" s="172">
        <f>_xll.LVCELL($AK$1,BL$2,$AK75,$AL$2,$AK$4,$AK$5,$AK$6,$AK$7,$AK$8,$AL$3)/1000</f>
        <v>4966.5760618796039</v>
      </c>
      <c r="BM75" s="214">
        <f t="shared" si="23"/>
        <v>-1092.2962104569315</v>
      </c>
      <c r="BN75" s="217">
        <f t="shared" si="7"/>
        <v>-1218.3727454433968</v>
      </c>
      <c r="BO75" s="218">
        <f t="shared" si="7"/>
        <v>126.07653498646525</v>
      </c>
      <c r="BP75" s="193">
        <f t="shared" si="8"/>
        <v>-0.18028044846631164</v>
      </c>
      <c r="BQ75" s="190" t="s">
        <v>3560</v>
      </c>
      <c r="BS75" s="198">
        <f t="shared" si="9"/>
        <v>81.436454178764521</v>
      </c>
      <c r="BT75" s="198">
        <f t="shared" si="10"/>
        <v>83.557562941899278</v>
      </c>
      <c r="BU75" s="198">
        <f t="shared" si="11"/>
        <v>2.1211087631347567</v>
      </c>
      <c r="BV75" s="199">
        <f t="shared" si="12"/>
        <v>2.6046182689617395E-2</v>
      </c>
      <c r="BX75" s="200">
        <f t="shared" si="21"/>
        <v>-1218.3727454433968</v>
      </c>
      <c r="BY75" s="200">
        <f t="shared" si="22"/>
        <v>126.07653498646525</v>
      </c>
      <c r="BZ75" s="200">
        <f t="shared" si="15"/>
        <v>-1092.2962104569315</v>
      </c>
      <c r="CA75" s="526">
        <f t="shared" si="16"/>
        <v>0</v>
      </c>
    </row>
    <row r="76" spans="1:79">
      <c r="B76" s="64" t="str">
        <f>'1-EO_Calcul Reporting'!B98</f>
        <v>E5720</v>
      </c>
      <c r="C76" s="63" t="str">
        <f>'1-EO_Calcul Reporting'!C98</f>
        <v>E5720</v>
      </c>
      <c r="D76" s="192" t="s">
        <v>2639</v>
      </c>
      <c r="E76" s="183">
        <f>_xll.LVCELL($D$1,E$3,$C76,$D$2,$C$4,$C$5,$C$6,$C$7,$C$8,$D$3)/1000</f>
        <v>6345.558</v>
      </c>
      <c r="F76" s="183">
        <f>_xll.LVCELL($D$1,F$3,$C76,$D$2,$C$4,$C$5,$C$6,$C$7,$C$8,$D$3)/1000</f>
        <v>5172.973</v>
      </c>
      <c r="G76" s="183">
        <f>_xll.LVCELL($D$1,G$3,$C76,$D$2,$C$4,$C$5,$C$6,$C$7,$C$8,$D$3)/1000</f>
        <v>4985.5810000000001</v>
      </c>
      <c r="H76" s="183">
        <f>_xll.LVCELL($D$1,H$3,$C76,$D$2,$C$4,$C$5,$C$6,$C$7,$C$8,$D$3)/1000</f>
        <v>3979.6350000000002</v>
      </c>
      <c r="I76" s="183">
        <f>_xll.LVCELL($D$1,I$3,$C76,$D$2,$C$4,$C$5,$C$6,$C$7,$C$8,$D$3)/1000</f>
        <v>3681.8139999999999</v>
      </c>
      <c r="J76" s="183">
        <f>_xll.LVCELL($D$1,J$3,$C76,$D$2,$C$4,$C$5,$C$6,$C$7,$C$8,$D$3)/1000</f>
        <v>2963.3679999999999</v>
      </c>
      <c r="K76" s="172">
        <f>_xll.LVCELL($D$1,K$3,$C76,$D$2,$C$4,$C$5,$C$6,$C$7,$C$8,$D$3)/1000</f>
        <v>2838.683</v>
      </c>
      <c r="L76" s="172">
        <f>_xll.LVCELL($D$1,L$3,$C76,$D$2,$C$4,$C$5,$C$6,$C$7,$C$8,$D$3)/1000</f>
        <v>2844.1669999999999</v>
      </c>
      <c r="M76" s="172">
        <f>_xll.LVCELL($D$1,M$3,$C76,$D$2,$C$4,$C$5,$C$6,$C$7,$C$8,$D$3)/1000</f>
        <v>3626.7280000000001</v>
      </c>
      <c r="N76" s="172">
        <f>_xll.LVCELL($D$1,N$3,$C76,$D$2,$C$4,$C$5,$C$6,$C$7,$C$8,$D$3)/1000</f>
        <v>5204.9319999999998</v>
      </c>
      <c r="O76" s="172">
        <f>_xll.LVCELL($D$1,O$3,$C76,$D$2,$C$4,$C$5,$C$6,$C$7,$C$8,$D$3)/1000</f>
        <v>5286.4549999999999</v>
      </c>
      <c r="P76" s="172">
        <f>_xll.LVCELL($D$1,P$3,$C76,$D$2,$C$4,$C$5,$C$6,$C$7,$C$8,$D$3)/1000</f>
        <v>6150.884</v>
      </c>
      <c r="Q76" s="172">
        <f>_xll.LVCELL($D$1,Q$2,$C76,$D$2,$C$4,$C$5,$C$6,$C$7,$C$8,$D$3)/1000</f>
        <v>53080.777999999998</v>
      </c>
      <c r="R76" s="183">
        <f>_xll.LVCELL($D$1,R$3,$C76,$D$2,$C$4,$C$5,$C$6,$C$7,$C$8,$D$3)/1000</f>
        <v>5446.2839999999997</v>
      </c>
      <c r="S76" s="183">
        <f>_xll.LVCELL($D$1,S$3,$C76,$D$2,$C$4,$C$5,$C$6,$C$7,$C$8,$D$3)/1000</f>
        <v>4439.8739999999998</v>
      </c>
      <c r="T76" s="183">
        <f>_xll.LVCELL($D$1,T$3,$C76,$D$2,$C$4,$C$5,$C$6,$C$7,$C$8,$D$3)/1000</f>
        <v>4279.0389999999998</v>
      </c>
      <c r="U76" s="183">
        <f>_xll.LVCELL($D$1,U$3,$C76,$D$2,$C$4,$C$5,$C$6,$C$7,$C$8,$D$3)/1000</f>
        <v>3415.6529999999998</v>
      </c>
      <c r="V76" s="183">
        <f>_xll.LVCELL($D$1,V$3,$C76,$D$2,$C$4,$C$5,$C$6,$C$7,$C$8,$D$3)/1000</f>
        <v>3160.038</v>
      </c>
      <c r="W76" s="183">
        <f>_xll.LVCELL($D$1,W$3,$C76,$D$2,$C$4,$C$5,$C$6,$C$7,$C$8,$D$3)/1000</f>
        <v>2543.4079999999999</v>
      </c>
      <c r="X76" s="172">
        <f>_xll.LVCELL($D$1,X$3,$C76,$D$2,$C$4,$C$5,$C$6,$C$7,$C$8,$D$3)/1000</f>
        <v>2436.393</v>
      </c>
      <c r="Y76" s="172">
        <f>_xll.LVCELL($D$1,Y$3,$C76,$D$2,$C$4,$C$5,$C$6,$C$7,$C$8,$D$3)/1000</f>
        <v>2441.1</v>
      </c>
      <c r="Z76" s="172">
        <f>_xll.LVCELL($D$1,Z$3,$C76,$D$2,$C$4,$C$5,$C$6,$C$7,$C$8,$D$3)/1000</f>
        <v>3112.759</v>
      </c>
      <c r="AA76" s="172">
        <f>_xll.LVCELL($D$1,AA$3,$C76,$D$2,$C$4,$C$5,$C$6,$C$7,$C$8,$D$3)/1000</f>
        <v>4467.3040000000001</v>
      </c>
      <c r="AB76" s="172">
        <f>_xll.LVCELL($D$1,AB$3,$C76,$D$2,$C$4,$C$5,$C$6,$C$7,$C$8,$D$3)/1000</f>
        <v>4537.2740000000003</v>
      </c>
      <c r="AC76" s="172">
        <f>_xll.LVCELL($D$1,AC$3,$C76,$D$2,$C$4,$C$5,$C$6,$C$7,$C$8,$D$3)/1000</f>
        <v>5279.1980000000003</v>
      </c>
      <c r="AD76" s="172">
        <f>_xll.LVCELL($D$1,AD$2,$C76,$D$2,$C$4,$C$5,$C$6,$C$7,$C$8,$D$3)/1000</f>
        <v>45558.324000000001</v>
      </c>
      <c r="AE76" s="172">
        <f t="shared" si="1"/>
        <v>-7522.4539999999979</v>
      </c>
      <c r="AF76" s="193">
        <f t="shared" si="2"/>
        <v>-0.1417171014335924</v>
      </c>
      <c r="AG76" s="535"/>
      <c r="AJ76" s="64" t="str">
        <f t="shared" si="24"/>
        <v>E5720</v>
      </c>
      <c r="AK76" s="64" t="str">
        <f t="shared" si="25"/>
        <v>E5720</v>
      </c>
      <c r="AL76" s="192" t="str">
        <f t="shared" si="26"/>
        <v>Basse Thiérache Nord 1 /2</v>
      </c>
      <c r="AM76" s="183">
        <f>_xll.LVCELL($AK$1,AM$3,$AK76,$AL$2,$AK$4,$AK$5,$AK$6,$AK$7,$AK$8,$AL$3)/1000</f>
        <v>518.67684946317593</v>
      </c>
      <c r="AN76" s="183">
        <f>_xll.LVCELL($AK$1,AN$3,$AK76,$AL$2,$AK$4,$AK$5,$AK$6,$AK$7,$AK$8,$AL$3)/1000</f>
        <v>422.845305101115</v>
      </c>
      <c r="AO76" s="183">
        <f>_xll.LVCELL($AK$1,AO$3,$AK76,$AL$2,$AK$4,$AK$5,$AK$6,$AK$7,$AK$8,$AL$3)/1000</f>
        <v>407.523360244495</v>
      </c>
      <c r="AP76" s="183">
        <f>_xll.LVCELL($AK$1,AP$3,$AK76,$AL$2,$AK$4,$AK$5,$AK$6,$AK$7,$AK$8,$AL$3)/1000</f>
        <v>325.28736981328501</v>
      </c>
      <c r="AQ76" s="183">
        <f>_xll.LVCELL($AK$1,AQ$3,$AK76,$AL$2,$AK$4,$AK$5,$AK$6,$AK$7,$AK$8,$AL$3)/1000</f>
        <v>300.94918995350599</v>
      </c>
      <c r="AR76" s="183">
        <f>_xll.LVCELL($AK$1,AR$3,$AK76,$AL$2,$AK$4,$AK$5,$AK$6,$AK$7,$AK$8,$AL$3)/1000</f>
        <v>242.22012622479198</v>
      </c>
      <c r="AS76" s="172">
        <f>_xll.LVCELL($AK$1,AS$3,$AK76,$AL$2,$AK$4,$AK$5,$AK$6,$AK$7,$AK$8,$AL$3)/1000</f>
        <v>232.021796018077</v>
      </c>
      <c r="AT76" s="172">
        <f>_xll.LVCELL($AK$1,AT$3,$AK76,$AL$2,$AK$4,$AK$5,$AK$6,$AK$7,$AK$8,$AL$3)/1000</f>
        <v>232.48216507332802</v>
      </c>
      <c r="AU76" s="172">
        <f>_xll.LVCELL($AK$1,AU$3,$AK76,$AL$2,$AK$4,$AK$5,$AK$6,$AK$7,$AK$8,$AL$3)/1000</f>
        <v>296.44250149438403</v>
      </c>
      <c r="AV76" s="172">
        <f>_xll.LVCELL($AK$1,AV$3,$AK76,$AL$2,$AK$4,$AK$5,$AK$6,$AK$7,$AK$8,$AL$3)/1000</f>
        <v>425.45607595553599</v>
      </c>
      <c r="AW76" s="172">
        <f>_xll.LVCELL($AK$1,AW$3,$AK76,$AL$2,$AK$4,$AK$5,$AK$6,$AK$7,$AK$8,$AL$3)/1000</f>
        <v>433.81540497667498</v>
      </c>
      <c r="AX76" s="172">
        <f>_xll.LVCELL($AK$1,AX$3,$AK76,$AL$2,$AK$4,$AK$5,$AK$6,$AK$7,$AK$8,$AL$3)/1000</f>
        <v>504.77462664503605</v>
      </c>
      <c r="AY76" s="172">
        <f>_xll.LVCELL($AK$1,AY$2,$AK76,$AL$2,$AK$4,$AK$5,$AK$6,$AK$7,$AK$8,$AL$3)/1000</f>
        <v>4342.4947709634052</v>
      </c>
      <c r="AZ76" s="183">
        <f>_xll.LVCELL($AK$1,AZ$3,$AK76,$AL$2,$AK$4,$AK$5,$AK$6,$AK$7,$AK$8,$AL$3)/1000</f>
        <v>459.57372830916</v>
      </c>
      <c r="BA76" s="183">
        <f>_xll.LVCELL($AK$1,BA$3,$AK76,$AL$2,$AK$4,$AK$5,$AK$6,$AK$7,$AK$8,$AL$3)/1000</f>
        <v>374.64984334325999</v>
      </c>
      <c r="BB76" s="183">
        <f>_xll.LVCELL($AK$1,BB$3,$AK76,$AL$2,$AK$4,$AK$5,$AK$6,$AK$7,$AK$8,$AL$3)/1000</f>
        <v>361.07810514661003</v>
      </c>
      <c r="BC76" s="183">
        <f>_xll.LVCELL($AK$1,BC$3,$AK76,$AL$2,$AK$4,$AK$5,$AK$6,$AK$7,$AK$8,$AL$3)/1000</f>
        <v>288.22301294247001</v>
      </c>
      <c r="BD76" s="183">
        <f>_xll.LVCELL($AK$1,BD$3,$AK76,$AL$2,$AK$4,$AK$5,$AK$6,$AK$7,$AK$8,$AL$3)/1000</f>
        <v>266.65345495361998</v>
      </c>
      <c r="BE76" s="183">
        <f>_xll.LVCELL($AK$1,BE$3,$AK76,$AL$2,$AK$4,$AK$5,$AK$6,$AK$7,$AK$8,$AL$3)/1000</f>
        <v>214.62037182991997</v>
      </c>
      <c r="BF76" s="172">
        <f>_xll.LVCELL($AK$1,BF$3,$AK76,$AL$2,$AK$4,$AK$5,$AK$6,$AK$7,$AK$8,$AL$3)/1000</f>
        <v>205.59012615507001</v>
      </c>
      <c r="BG76" s="172">
        <f>_xll.LVCELL($AK$1,BG$3,$AK76,$AL$2,$AK$4,$AK$5,$AK$6,$AK$7,$AK$8,$AL$3)/1000</f>
        <v>205.987316889</v>
      </c>
      <c r="BH76" s="172">
        <f>_xll.LVCELL($AK$1,BH$3,$AK76,$AL$2,$AK$4,$AK$5,$AK$6,$AK$7,$AK$8,$AL$3)/1000</f>
        <v>262.66391156941</v>
      </c>
      <c r="BI76" s="172">
        <f>_xll.LVCELL($AK$1,BI$3,$AK76,$AL$2,$AK$4,$AK$5,$AK$6,$AK$7,$AK$8,$AL$3)/1000</f>
        <v>376.96446875896004</v>
      </c>
      <c r="BJ76" s="172">
        <f>_xll.LVCELL($AK$1,BJ$3,$AK76,$AL$2,$AK$4,$AK$5,$AK$6,$AK$7,$AK$8,$AL$3)/1000</f>
        <v>391.42322768610597</v>
      </c>
      <c r="BK76" s="172">
        <f>_xll.LVCELL($AK$1,BK$3,$AK76,$AL$2,$AK$4,$AK$5,$AK$6,$AK$7,$AK$8,$AL$3)/1000</f>
        <v>455.42780108806198</v>
      </c>
      <c r="BL76" s="172">
        <f>_xll.LVCELL($AK$1,BL$2,$AK76,$AL$2,$AK$4,$AK$5,$AK$6,$AK$7,$AK$8,$AL$3)/1000</f>
        <v>3862.8553686716477</v>
      </c>
      <c r="BM76" s="214">
        <f t="shared" si="23"/>
        <v>-479.63940229175751</v>
      </c>
      <c r="BN76" s="217">
        <f t="shared" si="7"/>
        <v>-615.40577193146532</v>
      </c>
      <c r="BO76" s="218">
        <f t="shared" si="7"/>
        <v>135.76636963970722</v>
      </c>
      <c r="BP76" s="193">
        <f t="shared" si="8"/>
        <v>-0.11045249967804727</v>
      </c>
      <c r="BQ76" s="190" t="s">
        <v>3560</v>
      </c>
      <c r="BS76" s="198">
        <f t="shared" si="9"/>
        <v>81.809177155681581</v>
      </c>
      <c r="BT76" s="198">
        <f t="shared" si="10"/>
        <v>84.789233437815824</v>
      </c>
      <c r="BU76" s="198">
        <f t="shared" si="11"/>
        <v>2.9800562821342425</v>
      </c>
      <c r="BV76" s="199">
        <f t="shared" si="12"/>
        <v>3.6426919151909355E-2</v>
      </c>
      <c r="BX76" s="200">
        <f t="shared" si="21"/>
        <v>-615.40577193146532</v>
      </c>
      <c r="BY76" s="200">
        <f t="shared" si="22"/>
        <v>135.76636963970722</v>
      </c>
      <c r="BZ76" s="200">
        <f t="shared" si="15"/>
        <v>-479.63940229175807</v>
      </c>
      <c r="CA76" s="526">
        <f t="shared" si="16"/>
        <v>5.6843418860808015E-13</v>
      </c>
    </row>
    <row r="77" spans="1:79" ht="89.25">
      <c r="B77" s="64" t="str">
        <f>'1-EO_Calcul Reporting'!B100</f>
        <v>E5710</v>
      </c>
      <c r="C77" s="63" t="str">
        <f>'1-EO_Calcul Reporting'!C100</f>
        <v>E5710</v>
      </c>
      <c r="D77" s="192" t="s">
        <v>2640</v>
      </c>
      <c r="E77" s="183">
        <f>_xll.LVCELL($D$1,E$3,$C77,$D$2,$C$4,$C$5,$C$6,$C$7,$C$8,$D$3)/1000</f>
        <v>7239.6760000000004</v>
      </c>
      <c r="F77" s="172">
        <f>_xll.LVCELL($D$1,F$3,$C77,$D$2,$C$4,$C$5,$C$6,$C$7,$C$8,$D$3)/1000</f>
        <v>6444.1670000000004</v>
      </c>
      <c r="G77" s="172">
        <f>_xll.LVCELL($D$1,G$3,$C77,$D$2,$C$4,$C$5,$C$6,$C$7,$C$8,$D$3)/1000</f>
        <v>6464.375</v>
      </c>
      <c r="H77" s="172">
        <f>_xll.LVCELL($D$1,H$3,$C77,$D$2,$C$4,$C$5,$C$6,$C$7,$C$8,$D$3)/1000</f>
        <v>5592.03</v>
      </c>
      <c r="I77" s="172">
        <f>_xll.LVCELL($D$1,I$3,$C77,$D$2,$C$4,$C$5,$C$6,$C$7,$C$8,$D$3)/1000</f>
        <v>4807.3329999999996</v>
      </c>
      <c r="J77" s="172">
        <f>_xll.LVCELL($D$1,J$3,$C77,$D$2,$C$4,$C$5,$C$6,$C$7,$C$8,$D$3)/1000</f>
        <v>3919.77</v>
      </c>
      <c r="K77" s="172">
        <f>_xll.LVCELL($D$1,K$3,$C77,$D$2,$C$4,$C$5,$C$6,$C$7,$C$8,$D$3)/1000</f>
        <v>3850.6909999999998</v>
      </c>
      <c r="L77" s="172">
        <f>_xll.LVCELL($D$1,L$3,$C77,$D$2,$C$4,$C$5,$C$6,$C$7,$C$8,$D$3)/1000</f>
        <v>3419.6759999999999</v>
      </c>
      <c r="M77" s="172">
        <f>_xll.LVCELL($D$1,M$3,$C77,$D$2,$C$4,$C$5,$C$6,$C$7,$C$8,$D$3)/1000</f>
        <v>4325.4359999999997</v>
      </c>
      <c r="N77" s="172">
        <f>_xll.LVCELL($D$1,N$3,$C77,$D$2,$C$4,$C$5,$C$6,$C$7,$C$8,$D$3)/1000</f>
        <v>5541.8980000000001</v>
      </c>
      <c r="O77" s="172">
        <f>_xll.LVCELL($D$1,O$3,$C77,$D$2,$C$4,$C$5,$C$6,$C$7,$C$8,$D$3)/1000</f>
        <v>6803.9409999999998</v>
      </c>
      <c r="P77" s="172">
        <f>_xll.LVCELL($D$1,P$3,$C77,$D$2,$C$4,$C$5,$C$6,$C$7,$C$8,$D$3)/1000</f>
        <v>7164.7740000000003</v>
      </c>
      <c r="Q77" s="172">
        <f>_xll.LVCELL($D$1,Q$2,$C77,$D$2,$C$4,$C$5,$C$6,$C$7,$C$8,$D$3)/1000</f>
        <v>65573.767000000007</v>
      </c>
      <c r="R77" s="183">
        <f>_xll.LVCELL($D$1,R$3,$C77,$D$2,$C$4,$C$5,$C$6,$C$7,$C$8,$D$3)/1000</f>
        <v>6207.0069999999996</v>
      </c>
      <c r="S77" s="172">
        <f>_xll.LVCELL($D$1,S$3,$C77,$D$2,$C$4,$C$5,$C$6,$C$7,$C$8,$D$3)/1000</f>
        <v>5524.9690000000001</v>
      </c>
      <c r="T77" s="172">
        <f>_xll.LVCELL($D$1,T$3,$C77,$D$2,$C$4,$C$5,$C$6,$C$7,$C$8,$D$3)/1000</f>
        <v>5542.2950000000001</v>
      </c>
      <c r="U77" s="172">
        <f>_xll.LVCELL($D$1,U$3,$C77,$D$2,$C$4,$C$5,$C$6,$C$7,$C$8,$D$3)/1000</f>
        <v>4794.3810000000003</v>
      </c>
      <c r="V77" s="172">
        <f>_xll.LVCELL($D$1,V$3,$C77,$D$2,$C$4,$C$5,$C$6,$C$7,$C$8,$D$3)/1000</f>
        <v>4121.6139999999996</v>
      </c>
      <c r="W77" s="172">
        <f>_xll.LVCELL($D$1,W$3,$C77,$D$2,$C$4,$C$5,$C$6,$C$7,$C$8,$D$3)/1000</f>
        <v>3360.6529999999998</v>
      </c>
      <c r="X77" s="172">
        <f>_xll.LVCELL($D$1,X$3,$C77,$D$2,$C$4,$C$5,$C$6,$C$7,$C$8,$D$3)/1000</f>
        <v>3301.4270000000001</v>
      </c>
      <c r="Y77" s="172">
        <f>_xll.LVCELL($D$1,Y$3,$C77,$D$2,$C$4,$C$5,$C$6,$C$7,$C$8,$D$3)/1000</f>
        <v>2931.893</v>
      </c>
      <c r="Z77" s="172">
        <f>_xll.LVCELL($D$1,Z$3,$C77,$D$2,$C$4,$C$5,$C$6,$C$7,$C$8,$D$3)/1000</f>
        <v>3708.4549999999999</v>
      </c>
      <c r="AA77" s="172">
        <f>_xll.LVCELL($D$1,AA$3,$C77,$D$2,$C$4,$C$5,$C$6,$C$7,$C$8,$D$3)/1000</f>
        <v>4751.3999999999996</v>
      </c>
      <c r="AB77" s="172">
        <f>_xll.LVCELL($D$1,AB$3,$C77,$D$2,$C$4,$C$5,$C$6,$C$7,$C$8,$D$3)/1000</f>
        <v>5833.4250000000002</v>
      </c>
      <c r="AC77" s="172">
        <f>_xll.LVCELL($D$1,AC$3,$C77,$D$2,$C$4,$C$5,$C$6,$C$7,$C$8,$D$3)/1000</f>
        <v>6142.7889999999998</v>
      </c>
      <c r="AD77" s="172">
        <f>_xll.LVCELL($D$1,AD$2,$C77,$D$2,$C$4,$C$5,$C$6,$C$7,$C$8,$D$3)/1000</f>
        <v>56220.307999999997</v>
      </c>
      <c r="AE77" s="516">
        <f t="shared" ref="AE77:AE98" si="27">AD77-Q77</f>
        <v>-9353.4590000000098</v>
      </c>
      <c r="AF77" s="193">
        <f t="shared" ref="AF77" si="28">AD77/Q77-1</f>
        <v>-0.14264025734559382</v>
      </c>
      <c r="AG77" s="535" t="s">
        <v>3286</v>
      </c>
      <c r="AJ77" s="64" t="str">
        <f t="shared" si="24"/>
        <v>E5710</v>
      </c>
      <c r="AK77" s="64" t="str">
        <f t="shared" si="25"/>
        <v>E5710</v>
      </c>
      <c r="AL77" s="192" t="str">
        <f t="shared" si="26"/>
        <v>Sources de l'Ancre 1 /2</v>
      </c>
      <c r="AM77" s="183">
        <f>_xll.LVCELL($AK$1,AM$3,$AK77,$AL$2,$AK$4,$AK$5,$AK$6,$AK$7,$AK$8,$AL$3)/1000</f>
        <v>603.127069302672</v>
      </c>
      <c r="AN77" s="172">
        <f>_xll.LVCELL($AK$1,AN$3,$AK77,$AL$2,$AK$4,$AK$5,$AK$6,$AK$7,$AK$8,$AL$3)/1000</f>
        <v>536.87164019958504</v>
      </c>
      <c r="AO77" s="172">
        <f>_xll.LVCELL($AK$1,AO$3,$AK77,$AL$2,$AK$4,$AK$5,$AK$6,$AK$7,$AK$8,$AL$3)/1000</f>
        <v>538.54963467812502</v>
      </c>
      <c r="AP77" s="172">
        <f>_xll.LVCELL($AK$1,AP$3,$AK77,$AL$2,$AK$4,$AK$5,$AK$6,$AK$7,$AK$8,$AL$3)/1000</f>
        <v>465.86078491172998</v>
      </c>
      <c r="AQ77" s="172">
        <f>_xll.LVCELL($AK$1,AQ$3,$AK77,$AL$2,$AK$4,$AK$5,$AK$6,$AK$7,$AK$8,$AL$3)/1000</f>
        <v>400.49592687620702</v>
      </c>
      <c r="AR77" s="172">
        <f>_xll.LVCELL($AK$1,AR$3,$AK77,$AL$2,$AK$4,$AK$5,$AK$6,$AK$7,$AK$8,$AL$3)/1000</f>
        <v>326.54866561262997</v>
      </c>
      <c r="AS77" s="172">
        <f>_xll.LVCELL($AK$1,AS$3,$AK77,$AL$2,$AK$4,$AK$5,$AK$6,$AK$7,$AK$8,$AL$3)/1000</f>
        <v>320.78458240182897</v>
      </c>
      <c r="AT77" s="172">
        <f>_xll.LVCELL($AK$1,AT$3,$AK77,$AL$2,$AK$4,$AK$5,$AK$6,$AK$7,$AK$8,$AL$3)/1000</f>
        <v>284.89315284518398</v>
      </c>
      <c r="AU77" s="172">
        <f>_xll.LVCELL($AK$1,AU$3,$AK77,$AL$2,$AK$4,$AK$5,$AK$6,$AK$7,$AK$8,$AL$3)/1000</f>
        <v>360.34462475920799</v>
      </c>
      <c r="AV77" s="172">
        <f>_xll.LVCELL($AK$1,AV$3,$AK77,$AL$2,$AK$4,$AK$5,$AK$6,$AK$7,$AK$8,$AL$3)/1000</f>
        <v>461.70077609930399</v>
      </c>
      <c r="AW77" s="172">
        <f>_xll.LVCELL($AK$1,AW$3,$AK77,$AL$2,$AK$4,$AK$5,$AK$6,$AK$7,$AK$8,$AL$3)/1000</f>
        <v>569.02505047058503</v>
      </c>
      <c r="AX77" s="172">
        <f>_xll.LVCELL($AK$1,AX$3,$AK77,$AL$2,$AK$4,$AK$5,$AK$6,$AK$7,$AK$8,$AL$3)/1000</f>
        <v>599.22858893934597</v>
      </c>
      <c r="AY77" s="172">
        <f>_xll.LVCELL($AK$1,AY$2,$AK77,$AL$2,$AK$4,$AK$5,$AK$6,$AK$7,$AK$8,$AL$3)/1000</f>
        <v>5467.4304970964058</v>
      </c>
      <c r="AZ77" s="183">
        <f>_xll.LVCELL($AK$1,AZ$3,$AK77,$AL$2,$AK$4,$AK$5,$AK$6,$AK$7,$AK$8,$AL$3)/1000</f>
        <v>533.17631499369998</v>
      </c>
      <c r="BA77" s="172">
        <f>_xll.LVCELL($AK$1,BA$3,$AK77,$AL$2,$AK$4,$AK$5,$AK$6,$AK$7,$AK$8,$AL$3)/1000</f>
        <v>474.5898646279</v>
      </c>
      <c r="BB77" s="172">
        <f>_xll.LVCELL($AK$1,BB$3,$AK77,$AL$2,$AK$4,$AK$5,$AK$6,$AK$7,$AK$8,$AL$3)/1000</f>
        <v>476.0781524345</v>
      </c>
      <c r="BC77" s="172">
        <f>_xll.LVCELL($AK$1,BC$3,$AK77,$AL$2,$AK$4,$AK$5,$AK$6,$AK$7,$AK$8,$AL$3)/1000</f>
        <v>411.83301295709998</v>
      </c>
      <c r="BD77" s="172">
        <f>_xll.LVCELL($AK$1,BD$3,$AK77,$AL$2,$AK$4,$AK$5,$AK$6,$AK$7,$AK$8,$AL$3)/1000</f>
        <v>354.04293314740005</v>
      </c>
      <c r="BE77" s="172">
        <f>_xll.LVCELL($AK$1,BE$3,$AK77,$AL$2,$AK$4,$AK$5,$AK$6,$AK$7,$AK$8,$AL$3)/1000</f>
        <v>288.67706811229999</v>
      </c>
      <c r="BF77" s="172">
        <f>_xll.LVCELL($AK$1,BF$3,$AK77,$AL$2,$AK$4,$AK$5,$AK$6,$AK$7,$AK$8,$AL$3)/1000</f>
        <v>283.58960801570004</v>
      </c>
      <c r="BG77" s="172">
        <f>_xll.LVCELL($AK$1,BG$3,$AK77,$AL$2,$AK$4,$AK$5,$AK$6,$AK$7,$AK$8,$AL$3)/1000</f>
        <v>251.8469699963</v>
      </c>
      <c r="BH77" s="172">
        <f>_xll.LVCELL($AK$1,BH$3,$AK77,$AL$2,$AK$4,$AK$5,$AK$6,$AK$7,$AK$8,$AL$3)/1000</f>
        <v>318.55294689050004</v>
      </c>
      <c r="BI77" s="172">
        <f>_xll.LVCELL($AK$1,BI$3,$AK77,$AL$2,$AK$4,$AK$5,$AK$6,$AK$7,$AK$8,$AL$3)/1000</f>
        <v>408.14098374000002</v>
      </c>
      <c r="BJ77" s="172">
        <f>_xll.LVCELL($AK$1,BJ$3,$AK77,$AL$2,$AK$4,$AK$5,$AK$6,$AK$7,$AK$8,$AL$3)/1000</f>
        <v>512.29966113007504</v>
      </c>
      <c r="BK77" s="172">
        <f>_xll.LVCELL($AK$1,BK$3,$AK77,$AL$2,$AK$4,$AK$5,$AK$6,$AK$7,$AK$8,$AL$3)/1000</f>
        <v>539.46844659759108</v>
      </c>
      <c r="BL77" s="172">
        <f>_xll.LVCELL($AK$1,BL$2,$AK77,$AL$2,$AK$4,$AK$5,$AK$6,$AK$7,$AK$8,$AL$3)/1000</f>
        <v>4852.2959626430666</v>
      </c>
      <c r="BM77" s="214">
        <f t="shared" si="23"/>
        <v>-615.13453445333926</v>
      </c>
      <c r="BN77" s="217">
        <f t="shared" ref="BN77:BO83" si="29">BX77</f>
        <v>-779.87569312497942</v>
      </c>
      <c r="BO77" s="218">
        <f t="shared" si="29"/>
        <v>164.74115867164019</v>
      </c>
      <c r="BP77" s="193">
        <f t="shared" ref="BP77" si="30">BL77/AY77-1</f>
        <v>-0.11250888964752626</v>
      </c>
      <c r="BQ77" s="190" t="s">
        <v>3560</v>
      </c>
      <c r="BS77" s="198">
        <f>+IFERROR(AY77/Q77*1000,0)</f>
        <v>83.37831952061569</v>
      </c>
      <c r="BT77" s="198">
        <f>+IFERROR(BL77/AD77*1000,0)</f>
        <v>86.308598000620464</v>
      </c>
      <c r="BU77" s="198">
        <f>+BT77-BS77</f>
        <v>2.9302784800047732</v>
      </c>
      <c r="BV77" s="199">
        <f>+IFERROR(BU77/BS77,"N/A")</f>
        <v>3.5144369625730434E-2</v>
      </c>
      <c r="BX77" s="200">
        <f t="shared" si="21"/>
        <v>-779.87569312497942</v>
      </c>
      <c r="BY77" s="200">
        <f t="shared" si="22"/>
        <v>164.74115867164019</v>
      </c>
      <c r="BZ77" s="200">
        <f>+SUM(BX77:BY77)</f>
        <v>-615.13453445333926</v>
      </c>
      <c r="CA77" s="526">
        <f t="shared" ref="CA77:CA94" si="31">+BM77-BZ77</f>
        <v>0</v>
      </c>
    </row>
    <row r="78" spans="1:79">
      <c r="B78" s="64" t="str">
        <f>'1-EO_Calcul Reporting'!B102</f>
        <v>E5550</v>
      </c>
      <c r="C78" s="64" t="str">
        <f>'1-EO_Calcul Reporting'!C102</f>
        <v>E5550</v>
      </c>
      <c r="D78" s="192" t="str">
        <f>'1-EO_Calcul Reporting'!D102</f>
        <v>Boralex Solaire Les Cigalettes SAS (Montfort)</v>
      </c>
      <c r="E78" s="172">
        <f>_xll.LVCELL($D$1,E$3,$C78,$D$2,$C$4,$C$5,$C$6,$C$7,$C$8,$D$3)/1000</f>
        <v>838.72799999999995</v>
      </c>
      <c r="F78" s="172">
        <f>_xll.LVCELL($D$1,F$3,$C78,$D$2,$C$4,$C$5,$C$6,$C$7,$C$8,$D$3)/1000</f>
        <v>950.28200000000004</v>
      </c>
      <c r="G78" s="172">
        <f>_xll.LVCELL($D$1,G$3,$C78,$D$2,$C$4,$C$5,$C$6,$C$7,$C$8,$D$3)/1000</f>
        <v>1345.46</v>
      </c>
      <c r="H78" s="172">
        <f>_xll.LVCELL($D$1,H$3,$C78,$D$2,$C$4,$C$5,$C$6,$C$7,$C$8,$D$3)/1000</f>
        <v>1374.9770000000001</v>
      </c>
      <c r="I78" s="172">
        <f>_xll.LVCELL($D$1,I$3,$C78,$D$2,$C$4,$C$5,$C$6,$C$7,$C$8,$D$3)/1000</f>
        <v>1555.24</v>
      </c>
      <c r="J78" s="172">
        <f>_xll.LVCELL($D$1,J$3,$C78,$D$2,$C$4,$C$5,$C$6,$C$7,$C$8,$D$3)/1000</f>
        <v>1674.4949999999999</v>
      </c>
      <c r="K78" s="172">
        <f>_xll.LVCELL($D$1,K$3,$C78,$D$2,$C$4,$C$5,$C$6,$C$7,$C$8,$D$3)/1000</f>
        <v>1792.367</v>
      </c>
      <c r="L78" s="172">
        <f>_xll.LVCELL($D$1,L$3,$C78,$D$2,$C$4,$C$5,$C$6,$C$7,$C$8,$D$3)/1000</f>
        <v>1656.7249999999999</v>
      </c>
      <c r="M78" s="172">
        <f>_xll.LVCELL($D$1,M$3,$C78,$D$2,$C$4,$C$5,$C$6,$C$7,$C$8,$D$3)/1000</f>
        <v>1337.1669999999999</v>
      </c>
      <c r="N78" s="172">
        <f>_xll.LVCELL($D$1,N$3,$C78,$D$2,$C$4,$C$5,$C$6,$C$7,$C$8,$D$3)/1000</f>
        <v>1050.9770000000001</v>
      </c>
      <c r="O78" s="172">
        <f>_xll.LVCELL($D$1,O$3,$C78,$D$2,$C$4,$C$5,$C$6,$C$7,$C$8,$D$3)/1000</f>
        <v>752.15</v>
      </c>
      <c r="P78" s="172">
        <f>_xll.LVCELL($D$1,P$3,$C78,$D$2,$C$4,$C$5,$C$6,$C$7,$C$8,$D$3)/1000</f>
        <v>730.43200000000002</v>
      </c>
      <c r="Q78" s="172">
        <f>_xll.LVCELL($D$1,Q$2,$C78,$D$2,$C$4,$C$5,$C$6,$C$7,$C$8,$D$3)/1000</f>
        <v>15059</v>
      </c>
      <c r="R78" s="172">
        <f>_xll.LVCELL($D$1,R$3,$C78,$D$2,$C$4,$C$5,$C$6,$C$7,$C$8,$D$3)/1000</f>
        <v>833.36</v>
      </c>
      <c r="S78" s="172">
        <f>_xll.LVCELL($D$1,S$3,$C78,$D$2,$C$4,$C$5,$C$6,$C$7,$C$8,$D$3)/1000</f>
        <v>944.2</v>
      </c>
      <c r="T78" s="172">
        <f>_xll.LVCELL($D$1,T$3,$C78,$D$2,$C$4,$C$5,$C$6,$C$7,$C$8,$D$3)/1000</f>
        <v>1336.8489999999999</v>
      </c>
      <c r="U78" s="172">
        <f>_xll.LVCELL($D$1,U$3,$C78,$D$2,$C$4,$C$5,$C$6,$C$7,$C$8,$D$3)/1000</f>
        <v>1366.1769999999999</v>
      </c>
      <c r="V78" s="172">
        <f>_xll.LVCELL($D$1,V$3,$C78,$D$2,$C$4,$C$5,$C$6,$C$7,$C$8,$D$3)/1000</f>
        <v>1545.287</v>
      </c>
      <c r="W78" s="172">
        <f>_xll.LVCELL($D$1,W$3,$C78,$D$2,$C$4,$C$5,$C$6,$C$7,$C$8,$D$3)/1000</f>
        <v>1663.778</v>
      </c>
      <c r="X78" s="172">
        <f>_xll.LVCELL($D$1,X$3,$C78,$D$2,$C$4,$C$5,$C$6,$C$7,$C$8,$D$3)/1000</f>
        <v>1780.896</v>
      </c>
      <c r="Y78" s="172">
        <f>_xll.LVCELL($D$1,Y$3,$C78,$D$2,$C$4,$C$5,$C$6,$C$7,$C$8,$D$3)/1000</f>
        <v>1646.1220000000001</v>
      </c>
      <c r="Z78" s="172">
        <f>_xll.LVCELL($D$1,Z$3,$C78,$D$2,$C$4,$C$5,$C$6,$C$7,$C$8,$D$3)/1000</f>
        <v>1328.6089999999999</v>
      </c>
      <c r="AA78" s="172">
        <f>_xll.LVCELL($D$1,AA$3,$C78,$D$2,$C$4,$C$5,$C$6,$C$7,$C$8,$D$3)/1000</f>
        <v>1044.251</v>
      </c>
      <c r="AB78" s="172">
        <f>_xll.LVCELL($D$1,AB$3,$C78,$D$2,$C$4,$C$5,$C$6,$C$7,$C$8,$D$3)/1000</f>
        <v>747.33699999999999</v>
      </c>
      <c r="AC78" s="172">
        <f>_xll.LVCELL($D$1,AC$3,$C78,$D$2,$C$4,$C$5,$C$6,$C$7,$C$8,$D$3)/1000</f>
        <v>725.75699999999995</v>
      </c>
      <c r="AD78" s="172">
        <f>_xll.LVCELL($D$1,AD$2,$C78,$D$2,$C$4,$C$5,$C$6,$C$7,$C$8,$D$3)/1000</f>
        <v>14962.623</v>
      </c>
      <c r="AE78" s="172">
        <f t="shared" si="27"/>
        <v>-96.377000000000407</v>
      </c>
      <c r="AF78" s="193">
        <f>AD78/Q78-1</f>
        <v>-6.3999601567169551E-3</v>
      </c>
      <c r="AG78" s="535"/>
      <c r="AJ78" s="64" t="str">
        <f t="shared" si="24"/>
        <v>E5550</v>
      </c>
      <c r="AK78" s="64" t="str">
        <f t="shared" si="25"/>
        <v>E5550</v>
      </c>
      <c r="AL78" s="192" t="str">
        <f t="shared" si="26"/>
        <v>Boralex Solaire Les Cigalettes SAS (Montfort)</v>
      </c>
      <c r="AM78" s="172">
        <f>_xll.LVCELL($AK$1,AM$3,$AK78,$AL$2,$AK$4,$AK$5,$AK$6,$AK$7,$AK$8,$AL$3)/1000</f>
        <v>72.562552920000002</v>
      </c>
      <c r="AN78" s="172">
        <f>_xll.LVCELL($AK$1,AN$3,$AK78,$AL$2,$AK$4,$AK$5,$AK$6,$AK$7,$AK$8,$AL$3)/1000</f>
        <v>82.213647230000007</v>
      </c>
      <c r="AO78" s="172">
        <f>_xll.LVCELL($AK$1,AO$3,$AK78,$AL$2,$AK$4,$AK$5,$AK$6,$AK$7,$AK$8,$AL$3)/1000</f>
        <v>116.40247190000001</v>
      </c>
      <c r="AP78" s="172">
        <f>_xll.LVCELL($AK$1,AP$3,$AK78,$AL$2,$AK$4,$AK$5,$AK$6,$AK$7,$AK$8,$AL$3)/1000</f>
        <v>118.956135155</v>
      </c>
      <c r="AQ78" s="172">
        <f>_xll.LVCELL($AK$1,AQ$3,$AK78,$AL$2,$AK$4,$AK$5,$AK$6,$AK$7,$AK$8,$AL$3)/1000</f>
        <v>134.5515886</v>
      </c>
      <c r="AR78" s="172">
        <f>_xll.LVCELL($AK$1,AR$3,$AK78,$AL$2,$AK$4,$AK$5,$AK$6,$AK$7,$AK$8,$AL$3)/1000</f>
        <v>144.86893492500002</v>
      </c>
      <c r="AS78" s="172">
        <f>_xll.LVCELL($AK$1,AS$3,$AK78,$AL$2,$AK$4,$AK$5,$AK$6,$AK$7,$AK$8,$AL$3)/1000</f>
        <v>155.066631005</v>
      </c>
      <c r="AT78" s="172">
        <f>_xll.LVCELL($AK$1,AT$3,$AK78,$AL$2,$AK$4,$AK$5,$AK$6,$AK$7,$AK$8,$AL$3)/1000</f>
        <v>143.331563375</v>
      </c>
      <c r="AU78" s="172">
        <f>_xll.LVCELL($AK$1,AU$3,$AK78,$AL$2,$AK$4,$AK$5,$AK$6,$AK$7,$AK$8,$AL$3)/1000</f>
        <v>115.68500300500001</v>
      </c>
      <c r="AV78" s="172">
        <f>_xll.LVCELL($AK$1,AV$3,$AK78,$AL$2,$AK$4,$AK$5,$AK$6,$AK$7,$AK$8,$AL$3)/1000</f>
        <v>91.288913196999999</v>
      </c>
      <c r="AW78" s="172">
        <f>_xll.LVCELL($AK$1,AW$3,$AK78,$AL$2,$AK$4,$AK$5,$AK$6,$AK$7,$AK$8,$AL$3)/1000</f>
        <v>65.332501149999999</v>
      </c>
      <c r="AX78" s="172">
        <f>_xll.LVCELL($AK$1,AX$3,$AK78,$AL$2,$AK$4,$AK$5,$AK$6,$AK$7,$AK$8,$AL$3)/1000</f>
        <v>63.446053952</v>
      </c>
      <c r="AY78" s="172">
        <f>_xll.LVCELL($AK$1,AY$2,$AK78,$AL$2,$AK$4,$AK$5,$AK$6,$AK$7,$AK$8,$AL$3)/1000</f>
        <v>1303.7059964139999</v>
      </c>
      <c r="AZ78" s="172">
        <f>_xll.LVCELL($AK$1,AZ$3,$AK78,$AL$2,$AK$4,$AK$5,$AK$6,$AK$7,$AK$8,$AL$3)/1000</f>
        <v>73.675599210400009</v>
      </c>
      <c r="BA78" s="172">
        <f>_xll.LVCELL($AK$1,BA$3,$AK78,$AL$2,$AK$4,$AK$5,$AK$6,$AK$7,$AK$8,$AL$3)/1000</f>
        <v>83.474729737999994</v>
      </c>
      <c r="BB78" s="172">
        <f>_xll.LVCELL($AK$1,BB$3,$AK78,$AL$2,$AK$4,$AK$5,$AK$6,$AK$7,$AK$8,$AL$3)/1000</f>
        <v>118.18799933861</v>
      </c>
      <c r="BC78" s="172">
        <f>_xll.LVCELL($AK$1,BC$3,$AK78,$AL$2,$AK$4,$AK$5,$AK$6,$AK$7,$AK$8,$AL$3)/1000</f>
        <v>120.78082593653001</v>
      </c>
      <c r="BD78" s="172">
        <f>_xll.LVCELL($AK$1,BD$3,$AK78,$AL$2,$AK$4,$AK$5,$AK$6,$AK$7,$AK$8,$AL$3)/1000</f>
        <v>136.61556311442999</v>
      </c>
      <c r="BE78" s="172">
        <f>_xll.LVCELL($AK$1,BE$3,$AK78,$AL$2,$AK$4,$AK$5,$AK$6,$AK$7,$AK$8,$AL$3)/1000</f>
        <v>147.09110240842</v>
      </c>
      <c r="BF78" s="172">
        <f>_xll.LVCELL($AK$1,BF$3,$AK78,$AL$2,$AK$4,$AK$5,$AK$6,$AK$7,$AK$8,$AL$3)/1000</f>
        <v>157.44525766944</v>
      </c>
      <c r="BG78" s="172">
        <f>_xll.LVCELL($AK$1,BG$3,$AK78,$AL$2,$AK$4,$AK$5,$AK$6,$AK$7,$AK$8,$AL$3)/1000</f>
        <v>145.53017270257999</v>
      </c>
      <c r="BH78" s="172">
        <f>_xll.LVCELL($AK$1,BH$3,$AK78,$AL$2,$AK$4,$AK$5,$AK$6,$AK$7,$AK$8,$AL$3)/1000</f>
        <v>117.45951832501</v>
      </c>
      <c r="BI78" s="172">
        <f>_xll.LVCELL($AK$1,BI$3,$AK78,$AL$2,$AK$4,$AK$5,$AK$6,$AK$7,$AK$8,$AL$3)/1000</f>
        <v>92.320027540390001</v>
      </c>
      <c r="BJ78" s="172">
        <f>_xll.LVCELL($AK$1,BJ$3,$AK78,$AL$2,$AK$4,$AK$5,$AK$6,$AK$7,$AK$8,$AL$3)/1000</f>
        <v>67.590108145327008</v>
      </c>
      <c r="BK78" s="172">
        <f>_xll.LVCELL($AK$1,BK$3,$AK78,$AL$2,$AK$4,$AK$5,$AK$6,$AK$7,$AK$8,$AL$3)/1000</f>
        <v>65.638385517147</v>
      </c>
      <c r="BL78" s="172">
        <f>_xll.LVCELL($AK$1,BL$2,$AK78,$AL$2,$AK$4,$AK$5,$AK$6,$AK$7,$AK$8,$AL$3)/1000</f>
        <v>1325.809289646284</v>
      </c>
      <c r="BM78" s="214">
        <f t="shared" si="23"/>
        <v>22.103293232284159</v>
      </c>
      <c r="BN78" s="217">
        <f t="shared" si="29"/>
        <v>-8.343666433122559</v>
      </c>
      <c r="BO78" s="218">
        <f t="shared" si="29"/>
        <v>30.446959665406844</v>
      </c>
      <c r="BP78" s="193">
        <f>BL78/AY78-1</f>
        <v>1.6954200788430684E-2</v>
      </c>
      <c r="BQ78" s="172" t="s">
        <v>3551</v>
      </c>
      <c r="BS78" s="198">
        <f>+IFERROR(AY78/Q78*1000,0)</f>
        <v>86.573211794541464</v>
      </c>
      <c r="BT78" s="198">
        <f>+IFERROR(BL78/AD78*1000,0)</f>
        <v>88.608079589139166</v>
      </c>
      <c r="BU78" s="198">
        <f>+BT78-BS78</f>
        <v>2.0348677945977016</v>
      </c>
      <c r="BV78" s="199">
        <f>+IFERROR(BU78/BS78,"N/A")</f>
        <v>2.3504589380684178E-2</v>
      </c>
      <c r="BX78" s="200">
        <f t="shared" si="21"/>
        <v>-8.343666433122559</v>
      </c>
      <c r="BY78" s="200">
        <f t="shared" si="22"/>
        <v>30.446959665406844</v>
      </c>
      <c r="BZ78" s="200">
        <f>+SUM(BX78:BY78)</f>
        <v>22.103293232284287</v>
      </c>
      <c r="CA78" s="526">
        <f t="shared" si="31"/>
        <v>-1.2789769243681803E-13</v>
      </c>
    </row>
    <row r="79" spans="1:79">
      <c r="B79" s="64" t="str">
        <f>'1-EO_Calcul Reporting'!B103</f>
        <v>E5250</v>
      </c>
      <c r="C79" s="64" t="str">
        <f>'1-EO_Calcul Reporting'!C103</f>
        <v>E5250</v>
      </c>
      <c r="D79" s="192" t="str">
        <f>'1-EO_Calcul Reporting'!D103</f>
        <v>Boralex Solaire Lauragais SAS</v>
      </c>
      <c r="E79" s="172">
        <f>_xll.LVCELL($D$1,E$3,$C79,$D$2,$C$4,$C$5,$C$6,$C$7,$C$8,$D$3)/1000</f>
        <v>252.636</v>
      </c>
      <c r="F79" s="172">
        <f>_xll.LVCELL($D$1,F$3,$C79,$D$2,$C$4,$C$5,$C$6,$C$7,$C$8,$D$3)/1000</f>
        <v>337.93400000000003</v>
      </c>
      <c r="G79" s="172">
        <f>_xll.LVCELL($D$1,G$3,$C79,$D$2,$C$4,$C$5,$C$6,$C$7,$C$8,$D$3)/1000</f>
        <v>529.55799999999999</v>
      </c>
      <c r="H79" s="172">
        <f>_xll.LVCELL($D$1,H$3,$C79,$D$2,$C$4,$C$5,$C$6,$C$7,$C$8,$D$3)/1000</f>
        <v>586.226</v>
      </c>
      <c r="I79" s="172">
        <f>_xll.LVCELL($D$1,I$3,$C79,$D$2,$C$4,$C$5,$C$6,$C$7,$C$8,$D$3)/1000</f>
        <v>640.82100000000003</v>
      </c>
      <c r="J79" s="172">
        <f>_xll.LVCELL($D$1,J$3,$C79,$D$2,$C$4,$C$5,$C$6,$C$7,$C$8,$D$3)/1000</f>
        <v>673.30100000000004</v>
      </c>
      <c r="K79" s="172">
        <f>_xll.LVCELL($D$1,K$3,$C79,$D$2,$C$4,$C$5,$C$6,$C$7,$C$8,$D$3)/1000</f>
        <v>709.33600000000001</v>
      </c>
      <c r="L79" s="172">
        <f>_xll.LVCELL($D$1,L$3,$C79,$D$2,$C$4,$C$5,$C$6,$C$7,$C$8,$D$3)/1000</f>
        <v>672.70899999999995</v>
      </c>
      <c r="M79" s="172">
        <f>_xll.LVCELL($D$1,M$3,$C79,$D$2,$C$4,$C$5,$C$6,$C$7,$C$8,$D$3)/1000</f>
        <v>567.17200000000003</v>
      </c>
      <c r="N79" s="172">
        <f>_xll.LVCELL($D$1,N$3,$C79,$D$2,$C$4,$C$5,$C$6,$C$7,$C$8,$D$3)/1000</f>
        <v>447.81400000000002</v>
      </c>
      <c r="O79" s="172">
        <f>_xll.LVCELL($D$1,O$3,$C79,$D$2,$C$4,$C$5,$C$6,$C$7,$C$8,$D$3)/1000</f>
        <v>273.17099999999999</v>
      </c>
      <c r="P79" s="172">
        <f>_xll.LVCELL($D$1,P$3,$C79,$D$2,$C$4,$C$5,$C$6,$C$7,$C$8,$D$3)/1000</f>
        <v>238.321</v>
      </c>
      <c r="Q79" s="172">
        <f>_xll.LVCELL($D$1,Q$2,$C79,$D$2,$C$4,$C$5,$C$6,$C$7,$C$8,$D$3)/1000</f>
        <v>5928.9989999999998</v>
      </c>
      <c r="R79" s="172">
        <f>_xll.LVCELL($D$1,R$3,$C79,$D$2,$C$4,$C$5,$C$6,$C$7,$C$8,$D$3)/1000</f>
        <v>251.01900000000001</v>
      </c>
      <c r="S79" s="172">
        <f>_xll.LVCELL($D$1,S$3,$C79,$D$2,$C$4,$C$5,$C$6,$C$7,$C$8,$D$3)/1000</f>
        <v>335.77100000000002</v>
      </c>
      <c r="T79" s="172">
        <f>_xll.LVCELL($D$1,T$3,$C79,$D$2,$C$4,$C$5,$C$6,$C$7,$C$8,$D$3)/1000</f>
        <v>526.16899999999998</v>
      </c>
      <c r="U79" s="172">
        <f>_xll.LVCELL($D$1,U$3,$C79,$D$2,$C$4,$C$5,$C$6,$C$7,$C$8,$D$3)/1000</f>
        <v>582.47400000000005</v>
      </c>
      <c r="V79" s="172">
        <f>_xll.LVCELL($D$1,V$3,$C79,$D$2,$C$4,$C$5,$C$6,$C$7,$C$8,$D$3)/1000</f>
        <v>636.72</v>
      </c>
      <c r="W79" s="172">
        <f>_xll.LVCELL($D$1,W$3,$C79,$D$2,$C$4,$C$5,$C$6,$C$7,$C$8,$D$3)/1000</f>
        <v>668.99199999999996</v>
      </c>
      <c r="X79" s="172">
        <f>_xll.LVCELL($D$1,X$3,$C79,$D$2,$C$4,$C$5,$C$6,$C$7,$C$8,$D$3)/1000</f>
        <v>704.79600000000005</v>
      </c>
      <c r="Y79" s="172">
        <f>_xll.LVCELL($D$1,Y$3,$C79,$D$2,$C$4,$C$5,$C$6,$C$7,$C$8,$D$3)/1000</f>
        <v>668.404</v>
      </c>
      <c r="Z79" s="172">
        <f>_xll.LVCELL($D$1,Z$3,$C79,$D$2,$C$4,$C$5,$C$6,$C$7,$C$8,$D$3)/1000</f>
        <v>563.54200000000003</v>
      </c>
      <c r="AA79" s="172">
        <f>_xll.LVCELL($D$1,AA$3,$C79,$D$2,$C$4,$C$5,$C$6,$C$7,$C$8,$D$3)/1000</f>
        <v>444.94799999999998</v>
      </c>
      <c r="AB79" s="172">
        <f>_xll.LVCELL($D$1,AB$3,$C79,$D$2,$C$4,$C$5,$C$6,$C$7,$C$8,$D$3)/1000</f>
        <v>271.42200000000003</v>
      </c>
      <c r="AC79" s="172">
        <f>_xll.LVCELL($D$1,AC$3,$C79,$D$2,$C$4,$C$5,$C$6,$C$7,$C$8,$D$3)/1000</f>
        <v>236.79599999999999</v>
      </c>
      <c r="AD79" s="172">
        <f>_xll.LVCELL($D$1,AD$2,$C79,$D$2,$C$4,$C$5,$C$6,$C$7,$C$8,$D$3)/1000</f>
        <v>5891.0529999999999</v>
      </c>
      <c r="AE79" s="172">
        <f t="shared" si="27"/>
        <v>-37.945999999999913</v>
      </c>
      <c r="AF79" s="193">
        <f>AD79/Q79-1</f>
        <v>-6.4000685444540739E-3</v>
      </c>
      <c r="AG79" s="535"/>
      <c r="AJ79" s="64" t="str">
        <f t="shared" si="24"/>
        <v>E5250</v>
      </c>
      <c r="AK79" s="64" t="str">
        <f t="shared" si="25"/>
        <v>E5250</v>
      </c>
      <c r="AL79" s="192" t="str">
        <f t="shared" si="26"/>
        <v>Boralex Solaire Lauragais SAS</v>
      </c>
      <c r="AM79" s="172">
        <f>_xll.LVCELL($AK$1,AM$3,$AK79,$AL$2,$AK$4,$AK$5,$AK$6,$AK$7,$AK$8,$AL$3)/1000</f>
        <v>86.128159847999996</v>
      </c>
      <c r="AN79" s="172">
        <f>_xll.LVCELL($AK$1,AN$3,$AK79,$AL$2,$AK$4,$AK$5,$AK$6,$AK$7,$AK$8,$AL$3)/1000</f>
        <v>115.207783412</v>
      </c>
      <c r="AO79" s="172">
        <f>_xll.LVCELL($AK$1,AO$3,$AK79,$AL$2,$AK$4,$AK$5,$AK$6,$AK$7,$AK$8,$AL$3)/1000</f>
        <v>180.53585424399998</v>
      </c>
      <c r="AP79" s="172">
        <f>_xll.LVCELL($AK$1,AP$3,$AK79,$AL$2,$AK$4,$AK$5,$AK$6,$AK$7,$AK$8,$AL$3)/1000</f>
        <v>199.854995468</v>
      </c>
      <c r="AQ79" s="172">
        <f>_xll.LVCELL($AK$1,AQ$3,$AK79,$AL$2,$AK$4,$AK$5,$AK$6,$AK$7,$AK$8,$AL$3)/1000</f>
        <v>218.46741367800001</v>
      </c>
      <c r="AR79" s="172">
        <f>_xll.LVCELL($AK$1,AR$3,$AK79,$AL$2,$AK$4,$AK$5,$AK$6,$AK$7,$AK$8,$AL$3)/1000</f>
        <v>229.54043031800001</v>
      </c>
      <c r="AS79" s="172">
        <f>_xll.LVCELL($AK$1,AS$3,$AK79,$AL$2,$AK$4,$AK$5,$AK$6,$AK$7,$AK$8,$AL$3)/1000</f>
        <v>242.79294475200001</v>
      </c>
      <c r="AT79" s="172">
        <f>_xll.LVCELL($AK$1,AT$3,$AK79,$AL$2,$AK$4,$AK$5,$AK$6,$AK$7,$AK$8,$AL$3)/1000</f>
        <v>230.256181938</v>
      </c>
      <c r="AU79" s="172">
        <f>_xll.LVCELL($AK$1,AU$3,$AK79,$AL$2,$AK$4,$AK$5,$AK$6,$AK$7,$AK$8,$AL$3)/1000</f>
        <v>194.13276650399999</v>
      </c>
      <c r="AV79" s="172">
        <f>_xll.LVCELL($AK$1,AV$3,$AK79,$AL$2,$AK$4,$AK$5,$AK$6,$AK$7,$AK$8,$AL$3)/1000</f>
        <v>153.27867154800001</v>
      </c>
      <c r="AW79" s="172">
        <f>_xll.LVCELL($AK$1,AW$3,$AK79,$AL$2,$AK$4,$AK$5,$AK$6,$AK$7,$AK$8,$AL$3)/1000</f>
        <v>93.501516222000006</v>
      </c>
      <c r="AX79" s="172">
        <f>_xll.LVCELL($AK$1,AX$3,$AK79,$AL$2,$AK$4,$AK$5,$AK$6,$AK$7,$AK$8,$AL$3)/1000</f>
        <v>81.572988522000003</v>
      </c>
      <c r="AY79" s="172">
        <f>_xll.LVCELL($AK$1,AY$2,$AK79,$AL$2,$AK$4,$AK$5,$AK$6,$AK$7,$AK$8,$AL$3)/1000</f>
        <v>2025.269706454</v>
      </c>
      <c r="AZ79" s="172">
        <f>_xll.LVCELL($AK$1,AZ$3,$AK79,$AL$2,$AK$4,$AK$5,$AK$6,$AK$7,$AK$8,$AL$3)/1000</f>
        <v>87.468640392978003</v>
      </c>
      <c r="BA79" s="172">
        <f>_xll.LVCELL($AK$1,BA$3,$AK79,$AL$2,$AK$4,$AK$5,$AK$6,$AK$7,$AK$8,$AL$3)/1000</f>
        <v>117.000836006002</v>
      </c>
      <c r="BB79" s="172">
        <f>_xll.LVCELL($AK$1,BB$3,$AK79,$AL$2,$AK$4,$AK$5,$AK$6,$AK$7,$AK$8,$AL$3)/1000</f>
        <v>183.34583058227798</v>
      </c>
      <c r="BC79" s="172">
        <f>_xll.LVCELL($AK$1,BC$3,$AK79,$AL$2,$AK$4,$AK$5,$AK$6,$AK$7,$AK$8,$AL$3)/1000</f>
        <v>202.96554780418802</v>
      </c>
      <c r="BD79" s="172">
        <f>_xll.LVCELL($AK$1,BD$3,$AK79,$AL$2,$AK$4,$AK$5,$AK$6,$AK$7,$AK$8,$AL$3)/1000</f>
        <v>221.86779770063998</v>
      </c>
      <c r="BE79" s="172">
        <f>_xll.LVCELL($AK$1,BE$3,$AK79,$AL$2,$AK$4,$AK$5,$AK$6,$AK$7,$AK$8,$AL$3)/1000</f>
        <v>233.113113643904</v>
      </c>
      <c r="BF79" s="172">
        <f>_xll.LVCELL($AK$1,BF$3,$AK79,$AL$2,$AK$4,$AK$5,$AK$6,$AK$7,$AK$8,$AL$3)/1000</f>
        <v>245.58917004055201</v>
      </c>
      <c r="BG79" s="172">
        <f>_xll.LVCELL($AK$1,BG$3,$AK79,$AL$2,$AK$4,$AK$5,$AK$6,$AK$7,$AK$8,$AL$3)/1000</f>
        <v>232.90822253784799</v>
      </c>
      <c r="BH79" s="172">
        <f>_xll.LVCELL($AK$1,BH$3,$AK79,$AL$2,$AK$4,$AK$5,$AK$6,$AK$7,$AK$8,$AL$3)/1000</f>
        <v>196.36861171600401</v>
      </c>
      <c r="BI79" s="172">
        <f>_xll.LVCELL($AK$1,BI$3,$AK79,$AL$2,$AK$4,$AK$5,$AK$6,$AK$7,$AK$8,$AL$3)/1000</f>
        <v>155.04402696837602</v>
      </c>
      <c r="BJ79" s="172">
        <f>_xll.LVCELL($AK$1,BJ$3,$AK79,$AL$2,$AK$4,$AK$5,$AK$6,$AK$7,$AK$8,$AL$3)/1000</f>
        <v>96.753450205619998</v>
      </c>
      <c r="BK79" s="172">
        <f>_xll.LVCELL($AK$1,BK$3,$AK79,$AL$2,$AK$4,$AK$5,$AK$6,$AK$7,$AK$8,$AL$3)/1000</f>
        <v>84.410364653160002</v>
      </c>
      <c r="BL79" s="172">
        <f>_xll.LVCELL($AK$1,BL$2,$AK79,$AL$2,$AK$4,$AK$5,$AK$6,$AK$7,$AK$8,$AL$3)/1000</f>
        <v>2056.8356122515502</v>
      </c>
      <c r="BM79" s="214">
        <f t="shared" si="23"/>
        <v>31.565905797550158</v>
      </c>
      <c r="BN79" s="217">
        <f t="shared" si="29"/>
        <v>-12.961864942312069</v>
      </c>
      <c r="BO79" s="218">
        <f t="shared" si="29"/>
        <v>44.527770739862255</v>
      </c>
      <c r="BP79" s="193">
        <f>BL79/AY79-1</f>
        <v>1.5586025751018751E-2</v>
      </c>
      <c r="BQ79" s="172" t="s">
        <v>3551</v>
      </c>
      <c r="BS79" s="198">
        <f>+IFERROR(AY79/Q79*1000,0)</f>
        <v>341.5871222872529</v>
      </c>
      <c r="BT79" s="198">
        <f>+IFERROR(BL79/AD79*1000,0)</f>
        <v>349.14566415402311</v>
      </c>
      <c r="BU79" s="198">
        <f t="shared" ref="BU79:BU88" si="32">+BT79-BS79</f>
        <v>7.5585418667702129</v>
      </c>
      <c r="BV79" s="199">
        <f t="shared" ref="BV79:BV88" si="33">+IFERROR(BU79/BS79,"N/A")</f>
        <v>2.212771317653469E-2</v>
      </c>
      <c r="BX79" s="200">
        <f t="shared" si="21"/>
        <v>-12.961864942312069</v>
      </c>
      <c r="BY79" s="200">
        <f t="shared" si="22"/>
        <v>44.527770739862255</v>
      </c>
      <c r="BZ79" s="200">
        <f>+SUM(BX79:BY79)</f>
        <v>31.565905797550187</v>
      </c>
      <c r="CA79" s="526">
        <f t="shared" si="31"/>
        <v>-2.8421709430404007E-14</v>
      </c>
    </row>
    <row r="80" spans="1:79">
      <c r="B80" s="64" t="str">
        <f>'1-EO_Calcul Reporting'!B104</f>
        <v>E5020</v>
      </c>
      <c r="C80" s="64" t="str">
        <f>'1-EO_Calcul Reporting'!C104</f>
        <v>E5020</v>
      </c>
      <c r="D80" s="192" t="str">
        <f>'1-EO_Calcul Reporting'!D104</f>
        <v>Blendecques Elec</v>
      </c>
      <c r="E80" s="172">
        <f>_xll.LVCELL($D$1,E$3,$C80,$D$2,$C$4,$C$5,$C$6,$C$7,$C$8,$D$3)/1000</f>
        <v>7200</v>
      </c>
      <c r="F80" s="172">
        <f>_xll.LVCELL($D$1,F$3,$C80,$D$2,$C$4,$C$5,$C$6,$C$7,$C$8,$D$3)/1000</f>
        <v>6450</v>
      </c>
      <c r="G80" s="172">
        <f>_xll.LVCELL($D$1,G$3,$C80,$D$2,$C$4,$C$5,$C$6,$C$7,$C$8,$D$3)/1000</f>
        <v>7100</v>
      </c>
      <c r="H80" s="172">
        <f>_xll.LVCELL($D$1,H$3,$C80,$D$2,$C$4,$C$5,$C$6,$C$7,$C$8,$D$3)/1000</f>
        <v>0</v>
      </c>
      <c r="I80" s="172">
        <f>_xll.LVCELL($D$1,I$3,$C80,$D$2,$C$4,$C$5,$C$6,$C$7,$C$8,$D$3)/1000</f>
        <v>0</v>
      </c>
      <c r="J80" s="172">
        <f>_xll.LVCELL($D$1,J$3,$C80,$D$2,$C$4,$C$5,$C$6,$C$7,$C$8,$D$3)/1000</f>
        <v>0</v>
      </c>
      <c r="K80" s="172">
        <f>_xll.LVCELL($D$1,K$3,$C80,$D$2,$C$4,$C$5,$C$6,$C$7,$C$8,$D$3)/1000</f>
        <v>0</v>
      </c>
      <c r="L80" s="172">
        <f>_xll.LVCELL($D$1,L$3,$C80,$D$2,$C$4,$C$5,$C$6,$C$7,$C$8,$D$3)/1000</f>
        <v>0</v>
      </c>
      <c r="M80" s="172">
        <f>_xll.LVCELL($D$1,M$3,$C80,$D$2,$C$4,$C$5,$C$6,$C$7,$C$8,$D$3)/1000</f>
        <v>0</v>
      </c>
      <c r="N80" s="172">
        <f>_xll.LVCELL($D$1,N$3,$C80,$D$2,$C$4,$C$5,$C$6,$C$7,$C$8,$D$3)/1000</f>
        <v>0</v>
      </c>
      <c r="O80" s="172">
        <f>_xll.LVCELL($D$1,O$3,$C80,$D$2,$C$4,$C$5,$C$6,$C$7,$C$8,$D$3)/1000</f>
        <v>6900</v>
      </c>
      <c r="P80" s="172">
        <f>_xll.LVCELL($D$1,P$3,$C80,$D$2,$C$4,$C$5,$C$6,$C$7,$C$8,$D$3)/1000</f>
        <v>7100</v>
      </c>
      <c r="Q80" s="172">
        <f>_xll.LVCELL($D$1,Q$2,$C80,$D$2,$C$4,$C$5,$C$6,$C$7,$C$8,$D$3)/1000</f>
        <v>34750</v>
      </c>
      <c r="R80" s="172">
        <f>_xll.LVCELL($D$1,R$3,$C80,$D$2,$C$4,$C$5,$C$6,$C$7,$C$8,$D$3)/1000</f>
        <v>0</v>
      </c>
      <c r="S80" s="172">
        <f>_xll.LVCELL($D$1,S$3,$C80,$D$2,$C$4,$C$5,$C$6,$C$7,$C$8,$D$3)/1000</f>
        <v>0</v>
      </c>
      <c r="T80" s="172">
        <f>_xll.LVCELL($D$1,T$3,$C80,$D$2,$C$4,$C$5,$C$6,$C$7,$C$8,$D$3)/1000</f>
        <v>0</v>
      </c>
      <c r="U80" s="172">
        <f>_xll.LVCELL($D$1,U$3,$C80,$D$2,$C$4,$C$5,$C$6,$C$7,$C$8,$D$3)/1000</f>
        <v>0</v>
      </c>
      <c r="V80" s="172">
        <f>_xll.LVCELL($D$1,V$3,$C80,$D$2,$C$4,$C$5,$C$6,$C$7,$C$8,$D$3)/1000</f>
        <v>0</v>
      </c>
      <c r="W80" s="172">
        <f>_xll.LVCELL($D$1,W$3,$C80,$D$2,$C$4,$C$5,$C$6,$C$7,$C$8,$D$3)/1000</f>
        <v>0</v>
      </c>
      <c r="X80" s="172">
        <f>_xll.LVCELL($D$1,X$3,$C80,$D$2,$C$4,$C$5,$C$6,$C$7,$C$8,$D$3)/1000</f>
        <v>0</v>
      </c>
      <c r="Y80" s="172">
        <f>_xll.LVCELL($D$1,Y$3,$C80,$D$2,$C$4,$C$5,$C$6,$C$7,$C$8,$D$3)/1000</f>
        <v>0</v>
      </c>
      <c r="Z80" s="172">
        <f>_xll.LVCELL($D$1,Z$3,$C80,$D$2,$C$4,$C$5,$C$6,$C$7,$C$8,$D$3)/1000</f>
        <v>0</v>
      </c>
      <c r="AA80" s="172">
        <f>_xll.LVCELL($D$1,AA$3,$C80,$D$2,$C$4,$C$5,$C$6,$C$7,$C$8,$D$3)/1000</f>
        <v>0</v>
      </c>
      <c r="AB80" s="172">
        <f>_xll.LVCELL($D$1,AB$3,$C80,$D$2,$C$4,$C$5,$C$6,$C$7,$C$8,$D$3)/1000</f>
        <v>0</v>
      </c>
      <c r="AC80" s="172">
        <f>_xll.LVCELL($D$1,AC$3,$C80,$D$2,$C$4,$C$5,$C$6,$C$7,$C$8,$D$3)/1000</f>
        <v>0</v>
      </c>
      <c r="AD80" s="172">
        <f>_xll.LVCELL($D$1,AD$2,$C80,$D$2,$C$4,$C$5,$C$6,$C$7,$C$8,$D$3)/1000</f>
        <v>0</v>
      </c>
      <c r="AE80" s="172">
        <f t="shared" ref="AE80:AE82" si="34">AD80-Q80</f>
        <v>-34750</v>
      </c>
      <c r="AF80" s="193">
        <f t="shared" ref="AF80:AF82" si="35">AD80/Q80-1</f>
        <v>-1</v>
      </c>
      <c r="AG80" s="535"/>
      <c r="AJ80" s="64" t="str">
        <f t="shared" si="24"/>
        <v>E5020</v>
      </c>
      <c r="AK80" s="64" t="str">
        <f t="shared" si="25"/>
        <v>E5020</v>
      </c>
      <c r="AL80" s="192" t="str">
        <f t="shared" si="26"/>
        <v>Blendecques Elec</v>
      </c>
      <c r="AM80" s="172">
        <f>_xll.LVCELL($AK$1,AM$3,$AK80,$AL$2,$AK$4,$AK$5,$AK$6,$AK$7,$AK$8,$AL$3)/1000</f>
        <v>563.83199999999999</v>
      </c>
      <c r="AN80" s="172">
        <f>_xll.LVCELL($AK$1,AN$3,$AK80,$AL$2,$AK$4,$AK$5,$AK$6,$AK$7,$AK$8,$AL$3)/1000</f>
        <v>505.09949999999998</v>
      </c>
      <c r="AO80" s="172">
        <f>_xll.LVCELL($AK$1,AO$3,$AK80,$AL$2,$AK$4,$AK$5,$AK$6,$AK$7,$AK$8,$AL$3)/1000</f>
        <v>556.00099999999998</v>
      </c>
      <c r="AP80" s="172">
        <f>_xll.LVCELL($AK$1,AP$3,$AK80,$AL$2,$AK$4,$AK$5,$AK$6,$AK$7,$AK$8,$AL$3)/1000</f>
        <v>0</v>
      </c>
      <c r="AQ80" s="172">
        <f>_xll.LVCELL($AK$1,AQ$3,$AK80,$AL$2,$AK$4,$AK$5,$AK$6,$AK$7,$AK$8,$AL$3)/1000</f>
        <v>0</v>
      </c>
      <c r="AR80" s="172">
        <f>_xll.LVCELL($AK$1,AR$3,$AK80,$AL$2,$AK$4,$AK$5,$AK$6,$AK$7,$AK$8,$AL$3)/1000</f>
        <v>0</v>
      </c>
      <c r="AS80" s="172">
        <f>_xll.LVCELL($AK$1,AS$3,$AK80,$AL$2,$AK$4,$AK$5,$AK$6,$AK$7,$AK$8,$AL$3)/1000</f>
        <v>0</v>
      </c>
      <c r="AT80" s="172">
        <f>_xll.LVCELL($AK$1,AT$3,$AK80,$AL$2,$AK$4,$AK$5,$AK$6,$AK$7,$AK$8,$AL$3)/1000</f>
        <v>0</v>
      </c>
      <c r="AU80" s="172">
        <f>_xll.LVCELL($AK$1,AU$3,$AK80,$AL$2,$AK$4,$AK$5,$AK$6,$AK$7,$AK$8,$AL$3)/1000</f>
        <v>0</v>
      </c>
      <c r="AV80" s="172">
        <f>_xll.LVCELL($AK$1,AV$3,$AK80,$AL$2,$AK$4,$AK$5,$AK$6,$AK$7,$AK$8,$AL$3)/1000</f>
        <v>0</v>
      </c>
      <c r="AW80" s="172">
        <f>_xll.LVCELL($AK$1,AW$3,$AK80,$AL$2,$AK$4,$AK$5,$AK$6,$AK$7,$AK$8,$AL$3)/1000</f>
        <v>546.82500000000005</v>
      </c>
      <c r="AX80" s="172">
        <f>_xll.LVCELL($AK$1,AX$3,$AK80,$AL$2,$AK$4,$AK$5,$AK$6,$AK$7,$AK$8,$AL$3)/1000</f>
        <v>562.67499999999995</v>
      </c>
      <c r="AY80" s="172">
        <f>_xll.LVCELL($AK$1,AY$2,$AK80,$AL$2,$AK$4,$AK$5,$AK$6,$AK$7,$AK$8,$AL$3)/1000</f>
        <v>2734.4324999999999</v>
      </c>
      <c r="AZ80" s="172">
        <f>_xll.LVCELL($AK$1,AZ$3,$AK80,$AL$2,$AK$4,$AK$5,$AK$6,$AK$7,$AK$8,$AL$3)/1000</f>
        <v>0</v>
      </c>
      <c r="BA80" s="172">
        <f>_xll.LVCELL($AK$1,BA$3,$AK80,$AL$2,$AK$4,$AK$5,$AK$6,$AK$7,$AK$8,$AL$3)/1000</f>
        <v>0</v>
      </c>
      <c r="BB80" s="172">
        <f>_xll.LVCELL($AK$1,BB$3,$AK80,$AL$2,$AK$4,$AK$5,$AK$6,$AK$7,$AK$8,$AL$3)/1000</f>
        <v>0</v>
      </c>
      <c r="BC80" s="172">
        <f>_xll.LVCELL($AK$1,BC$3,$AK80,$AL$2,$AK$4,$AK$5,$AK$6,$AK$7,$AK$8,$AL$3)/1000</f>
        <v>0</v>
      </c>
      <c r="BD80" s="172">
        <f>_xll.LVCELL($AK$1,BD$3,$AK80,$AL$2,$AK$4,$AK$5,$AK$6,$AK$7,$AK$8,$AL$3)/1000</f>
        <v>0</v>
      </c>
      <c r="BE80" s="172">
        <f>_xll.LVCELL($AK$1,BE$3,$AK80,$AL$2,$AK$4,$AK$5,$AK$6,$AK$7,$AK$8,$AL$3)/1000</f>
        <v>0</v>
      </c>
      <c r="BF80" s="172">
        <f>_xll.LVCELL($AK$1,BF$3,$AK80,$AL$2,$AK$4,$AK$5,$AK$6,$AK$7,$AK$8,$AL$3)/1000</f>
        <v>0</v>
      </c>
      <c r="BG80" s="172">
        <f>_xll.LVCELL($AK$1,BG$3,$AK80,$AL$2,$AK$4,$AK$5,$AK$6,$AK$7,$AK$8,$AL$3)/1000</f>
        <v>0</v>
      </c>
      <c r="BH80" s="172">
        <f>_xll.LVCELL($AK$1,BH$3,$AK80,$AL$2,$AK$4,$AK$5,$AK$6,$AK$7,$AK$8,$AL$3)/1000</f>
        <v>0</v>
      </c>
      <c r="BI80" s="172">
        <f>_xll.LVCELL($AK$1,BI$3,$AK80,$AL$2,$AK$4,$AK$5,$AK$6,$AK$7,$AK$8,$AL$3)/1000</f>
        <v>0</v>
      </c>
      <c r="BJ80" s="172">
        <f>_xll.LVCELL($AK$1,BJ$3,$AK80,$AL$2,$AK$4,$AK$5,$AK$6,$AK$7,$AK$8,$AL$3)/1000</f>
        <v>0</v>
      </c>
      <c r="BK80" s="172">
        <f>_xll.LVCELL($AK$1,BK$3,$AK80,$AL$2,$AK$4,$AK$5,$AK$6,$AK$7,$AK$8,$AL$3)/1000</f>
        <v>0</v>
      </c>
      <c r="BL80" s="172">
        <f>_xll.LVCELL($AK$1,BL$2,$AK80,$AL$2,$AK$4,$AK$5,$AK$6,$AK$7,$AK$8,$AL$3)/1000</f>
        <v>0</v>
      </c>
      <c r="BM80" s="214">
        <f>BL80-AY80</f>
        <v>-2734.4324999999999</v>
      </c>
      <c r="BN80" s="217">
        <f t="shared" ref="BN80:BN82" si="36">BX80</f>
        <v>-2734.4324999999999</v>
      </c>
      <c r="BO80" s="218">
        <f t="shared" ref="BO80:BO82" si="37">BY80</f>
        <v>0</v>
      </c>
      <c r="BP80" s="193">
        <f t="shared" ref="BP80:BP82" si="38">BL80/AY80-1</f>
        <v>-1</v>
      </c>
      <c r="BQ80" s="172" t="s">
        <v>3561</v>
      </c>
      <c r="BS80" s="198">
        <f t="shared" ref="BS80:BS82" si="39">+IFERROR(AY80/Q80*1000,0)</f>
        <v>78.688705035971225</v>
      </c>
      <c r="BT80" s="198">
        <f t="shared" ref="BT80:BT82" si="40">+IFERROR(BL80/AD80*1000,0)</f>
        <v>0</v>
      </c>
      <c r="BU80" s="198">
        <f t="shared" si="32"/>
        <v>-78.688705035971225</v>
      </c>
      <c r="BV80" s="199">
        <f t="shared" si="33"/>
        <v>-1</v>
      </c>
      <c r="BX80" s="200">
        <f t="shared" si="21"/>
        <v>-2734.4324999999999</v>
      </c>
      <c r="BY80" s="200">
        <f t="shared" si="22"/>
        <v>0</v>
      </c>
      <c r="BZ80" s="524">
        <f t="shared" ref="BZ80:BZ82" si="41">+SUM(BX80:BY80)</f>
        <v>-2734.4324999999999</v>
      </c>
      <c r="CA80" s="526">
        <f t="shared" si="31"/>
        <v>0</v>
      </c>
    </row>
    <row r="81" spans="1:79" ht="25.5">
      <c r="B81" s="64" t="str">
        <f>'1-EO_Calcul Reporting'!B105</f>
        <v>E6010</v>
      </c>
      <c r="C81" s="64" t="str">
        <f>'1-EO_Calcul Reporting'!C105</f>
        <v>E6010</v>
      </c>
      <c r="D81" s="192" t="str">
        <f>'1-EO_Calcul Reporting'!D105</f>
        <v>Cham Longe Repowering</v>
      </c>
      <c r="E81" s="172">
        <f>_xll.LVCELL($D$1,E$3,$C81,$D$2,$C$4,$C$5,$C$6,$C$7,$C$8,$D$3)/1000</f>
        <v>10650.977000000001</v>
      </c>
      <c r="F81" s="172">
        <f>_xll.LVCELL($D$1,F$3,$C81,$D$2,$C$4,$C$5,$C$6,$C$7,$C$8,$D$3)/1000</f>
        <v>9540.598</v>
      </c>
      <c r="G81" s="172">
        <f>_xll.LVCELL($D$1,G$3,$C81,$D$2,$C$4,$C$5,$C$6,$C$7,$C$8,$D$3)/1000</f>
        <v>9405.8610000000008</v>
      </c>
      <c r="H81" s="172">
        <f>_xll.LVCELL($D$1,H$3,$C81,$D$2,$C$4,$C$5,$C$6,$C$7,$C$8,$D$3)/1000</f>
        <v>8039.723</v>
      </c>
      <c r="I81" s="172">
        <f>_xll.LVCELL($D$1,I$3,$C81,$D$2,$C$4,$C$5,$C$6,$C$7,$C$8,$D$3)/1000</f>
        <v>6988.2870000000003</v>
      </c>
      <c r="J81" s="172">
        <f>_xll.LVCELL($D$1,J$3,$C81,$D$2,$C$4,$C$5,$C$6,$C$7,$C$8,$D$3)/1000</f>
        <v>6138.01</v>
      </c>
      <c r="K81" s="172">
        <f>_xll.LVCELL($D$1,K$3,$C81,$D$2,$C$4,$C$5,$C$6,$C$7,$C$8,$D$3)/1000</f>
        <v>6177.4750000000004</v>
      </c>
      <c r="L81" s="172">
        <f>_xll.LVCELL($D$1,L$3,$C81,$D$2,$C$4,$C$5,$C$6,$C$7,$C$8,$D$3)/1000</f>
        <v>5525.1930000000002</v>
      </c>
      <c r="M81" s="172">
        <f>_xll.LVCELL($D$1,M$3,$C81,$D$2,$C$4,$C$5,$C$6,$C$7,$C$8,$D$3)/1000</f>
        <v>6577.4809999999998</v>
      </c>
      <c r="N81" s="172">
        <f>_xll.LVCELL($D$1,N$3,$C81,$D$2,$C$4,$C$5,$C$6,$C$7,$C$8,$D$3)/1000</f>
        <v>7797.4480000000003</v>
      </c>
      <c r="O81" s="172">
        <f>_xll.LVCELL($D$1,O$3,$C81,$D$2,$C$4,$C$5,$C$6,$C$7,$C$8,$D$3)/1000</f>
        <v>9789.6200000000008</v>
      </c>
      <c r="P81" s="172">
        <f>_xll.LVCELL($D$1,P$3,$C81,$D$2,$C$4,$C$5,$C$6,$C$7,$C$8,$D$3)/1000</f>
        <v>10469.329</v>
      </c>
      <c r="Q81" s="172">
        <f>_xll.LVCELL($D$1,Q$2,$C81,$D$2,$C$4,$C$5,$C$6,$C$7,$C$8,$D$3)/1000</f>
        <v>97100.001999999993</v>
      </c>
      <c r="R81" s="172">
        <f>_xll.LVCELL($D$1,R$3,$C81,$D$2,$C$4,$C$5,$C$6,$C$7,$C$8,$D$3)/1000</f>
        <v>10650.977000000001</v>
      </c>
      <c r="S81" s="172">
        <f>_xll.LVCELL($D$1,S$3,$C81,$D$2,$C$4,$C$5,$C$6,$C$7,$C$8,$D$3)/1000</f>
        <v>9540.598</v>
      </c>
      <c r="T81" s="172">
        <f>_xll.LVCELL($D$1,T$3,$C81,$D$2,$C$4,$C$5,$C$6,$C$7,$C$8,$D$3)/1000</f>
        <v>9405.8610000000008</v>
      </c>
      <c r="U81" s="172">
        <f>_xll.LVCELL($D$1,U$3,$C81,$D$2,$C$4,$C$5,$C$6,$C$7,$C$8,$D$3)/1000</f>
        <v>8039.723</v>
      </c>
      <c r="V81" s="172">
        <f>_xll.LVCELL($D$1,V$3,$C81,$D$2,$C$4,$C$5,$C$6,$C$7,$C$8,$D$3)/1000</f>
        <v>6988.2870000000003</v>
      </c>
      <c r="W81" s="172">
        <f>_xll.LVCELL($D$1,W$3,$C81,$D$2,$C$4,$C$5,$C$6,$C$7,$C$8,$D$3)/1000</f>
        <v>6138.01</v>
      </c>
      <c r="X81" s="172">
        <f>_xll.LVCELL($D$1,X$3,$C81,$D$2,$C$4,$C$5,$C$6,$C$7,$C$8,$D$3)/1000</f>
        <v>6177.4750000000004</v>
      </c>
      <c r="Y81" s="172">
        <f>_xll.LVCELL($D$1,Y$3,$C81,$D$2,$C$4,$C$5,$C$6,$C$7,$C$8,$D$3)/1000</f>
        <v>5525.1930000000002</v>
      </c>
      <c r="Z81" s="172">
        <f>_xll.LVCELL($D$1,Z$3,$C81,$D$2,$C$4,$C$5,$C$6,$C$7,$C$8,$D$3)/1000</f>
        <v>6577.4809999999998</v>
      </c>
      <c r="AA81" s="172">
        <f>_xll.LVCELL($D$1,AA$3,$C81,$D$2,$C$4,$C$5,$C$6,$C$7,$C$8,$D$3)/1000</f>
        <v>7797.4480000000003</v>
      </c>
      <c r="AB81" s="172">
        <f>_xll.LVCELL($D$1,AB$3,$C81,$D$2,$C$4,$C$5,$C$6,$C$7,$C$8,$D$3)/1000</f>
        <v>9789.6200000000008</v>
      </c>
      <c r="AC81" s="172">
        <f>_xll.LVCELL($D$1,AC$3,$C81,$D$2,$C$4,$C$5,$C$6,$C$7,$C$8,$D$3)/1000</f>
        <v>10469.329</v>
      </c>
      <c r="AD81" s="172">
        <f>_xll.LVCELL($D$1,AD$2,$C81,$D$2,$C$4,$C$5,$C$6,$C$7,$C$8,$D$3)/1000</f>
        <v>97100.001999999993</v>
      </c>
      <c r="AE81" s="516">
        <f t="shared" si="34"/>
        <v>0</v>
      </c>
      <c r="AF81" s="193">
        <f t="shared" si="35"/>
        <v>0</v>
      </c>
      <c r="AG81" s="535" t="s">
        <v>3288</v>
      </c>
      <c r="AJ81" s="64" t="str">
        <f t="shared" si="24"/>
        <v>E6010</v>
      </c>
      <c r="AK81" s="64" t="str">
        <f t="shared" si="25"/>
        <v>E6010</v>
      </c>
      <c r="AL81" s="192" t="str">
        <f t="shared" si="26"/>
        <v>Cham Longe Repowering</v>
      </c>
      <c r="AM81" s="172">
        <f>_xll.LVCELL($AK$1,AM$3,$AK81,$AL$2,$AK$4,$AK$5,$AK$6,$AK$7,$AK$8,$AL$3)/1000</f>
        <v>797.95598724484398</v>
      </c>
      <c r="AN81" s="172">
        <f>_xll.LVCELL($AK$1,AN$3,$AK81,$AL$2,$AK$4,$AK$5,$AK$6,$AK$7,$AK$8,$AL$3)/1000</f>
        <v>714.79357561049005</v>
      </c>
      <c r="AO81" s="172">
        <f>_xll.LVCELL($AK$1,AO$3,$AK81,$AL$2,$AK$4,$AK$5,$AK$6,$AK$7,$AK$8,$AL$3)/1000</f>
        <v>704.69082143509502</v>
      </c>
      <c r="AP81" s="172">
        <f>_xll.LVCELL($AK$1,AP$3,$AK81,$AL$2,$AK$4,$AK$5,$AK$6,$AK$7,$AK$8,$AL$3)/1000</f>
        <v>602.31989535649302</v>
      </c>
      <c r="AQ81" s="172">
        <f>_xll.LVCELL($AK$1,AQ$3,$AK81,$AL$2,$AK$4,$AK$5,$AK$6,$AK$7,$AK$8,$AL$3)/1000</f>
        <v>523.55812231377308</v>
      </c>
      <c r="AR81" s="172">
        <f>_xll.LVCELL($AK$1,AR$3,$AK81,$AL$2,$AK$4,$AK$5,$AK$6,$AK$7,$AK$8,$AL$3)/1000</f>
        <v>459.84816360318996</v>
      </c>
      <c r="AS81" s="172">
        <f>_xll.LVCELL($AK$1,AS$3,$AK81,$AL$2,$AK$4,$AK$5,$AK$6,$AK$7,$AK$8,$AL$3)/1000</f>
        <v>462.78998122952498</v>
      </c>
      <c r="AT81" s="172">
        <f>_xll.LVCELL($AK$1,AT$3,$AK81,$AL$2,$AK$4,$AK$5,$AK$6,$AK$7,$AK$8,$AL$3)/1000</f>
        <v>413.94737115691203</v>
      </c>
      <c r="AU81" s="172">
        <f>_xll.LVCELL($AK$1,AU$3,$AK81,$AL$2,$AK$4,$AK$5,$AK$6,$AK$7,$AK$8,$AL$3)/1000</f>
        <v>492.77355009771804</v>
      </c>
      <c r="AV81" s="172">
        <f>_xll.LVCELL($AK$1,AV$3,$AK81,$AL$2,$AK$4,$AK$5,$AK$6,$AK$7,$AK$8,$AL$3)/1000</f>
        <v>584.19219614070403</v>
      </c>
      <c r="AW81" s="172">
        <f>_xll.LVCELL($AK$1,AW$3,$AK81,$AL$2,$AK$4,$AK$5,$AK$6,$AK$7,$AK$8,$AL$3)/1000</f>
        <v>733.45482590970005</v>
      </c>
      <c r="AX81" s="172">
        <f>_xll.LVCELL($AK$1,AX$3,$AK81,$AL$2,$AK$4,$AK$5,$AK$6,$AK$7,$AK$8,$AL$3)/1000</f>
        <v>784.31374991069106</v>
      </c>
      <c r="AY81" s="172">
        <f>_xll.LVCELL($AK$1,AY$2,$AK81,$AL$2,$AK$4,$AK$5,$AK$6,$AK$7,$AK$8,$AL$3)/1000</f>
        <v>7274.6382400091361</v>
      </c>
      <c r="AZ81" s="172">
        <f>_xll.LVCELL($AK$1,AZ$3,$AK81,$AL$2,$AK$4,$AK$5,$AK$6,$AK$7,$AK$8,$AL$3)/1000</f>
        <v>815.81744135234999</v>
      </c>
      <c r="BA81" s="172">
        <f>_xll.LVCELL($AK$1,BA$3,$AK81,$AL$2,$AK$4,$AK$5,$AK$6,$AK$7,$AK$8,$AL$3)/1000</f>
        <v>730.76735113890004</v>
      </c>
      <c r="BB81" s="172">
        <f>_xll.LVCELL($AK$1,BB$3,$AK81,$AL$2,$AK$4,$AK$5,$AK$6,$AK$7,$AK$8,$AL$3)/1000</f>
        <v>720.44709651854998</v>
      </c>
      <c r="BC81" s="172">
        <f>_xll.LVCELL($AK$1,BC$3,$AK81,$AL$2,$AK$4,$AK$5,$AK$6,$AK$7,$AK$8,$AL$3)/1000</f>
        <v>615.80700503264995</v>
      </c>
      <c r="BD81" s="172">
        <f>_xll.LVCELL($AK$1,BD$3,$AK81,$AL$2,$AK$4,$AK$5,$AK$6,$AK$7,$AK$8,$AL$3)/1000</f>
        <v>535.27168632285009</v>
      </c>
      <c r="BE81" s="172">
        <f>_xll.LVCELL($AK$1,BE$3,$AK81,$AL$2,$AK$4,$AK$5,$AK$6,$AK$7,$AK$8,$AL$3)/1000</f>
        <v>470.14425185549999</v>
      </c>
      <c r="BF81" s="172">
        <f>_xll.LVCELL($AK$1,BF$3,$AK81,$AL$2,$AK$4,$AK$5,$AK$6,$AK$7,$AK$8,$AL$3)/1000</f>
        <v>473.16709523624996</v>
      </c>
      <c r="BG81" s="172">
        <f>_xll.LVCELL($AK$1,BG$3,$AK81,$AL$2,$AK$4,$AK$5,$AK$6,$AK$7,$AK$8,$AL$3)/1000</f>
        <v>423.20519669115004</v>
      </c>
      <c r="BH81" s="172">
        <f>_xll.LVCELL($AK$1,BH$3,$AK81,$AL$2,$AK$4,$AK$5,$AK$6,$AK$7,$AK$8,$AL$3)/1000</f>
        <v>503.80577480955003</v>
      </c>
      <c r="BI81" s="172">
        <f>_xll.LVCELL($AK$1,BI$3,$AK81,$AL$2,$AK$4,$AK$5,$AK$6,$AK$7,$AK$8,$AL$3)/1000</f>
        <v>597.24981815640001</v>
      </c>
      <c r="BJ81" s="172">
        <f>_xll.LVCELL($AK$1,BJ$3,$AK81,$AL$2,$AK$4,$AK$5,$AK$6,$AK$7,$AK$8,$AL$3)/1000</f>
        <v>749.841328191</v>
      </c>
      <c r="BK81" s="172">
        <f>_xll.LVCELL($AK$1,BK$3,$AK81,$AL$2,$AK$4,$AK$5,$AK$6,$AK$7,$AK$8,$AL$3)/1000</f>
        <v>819.84936409290208</v>
      </c>
      <c r="BL81" s="172">
        <f>_xll.LVCELL($AK$1,BL$2,$AK81,$AL$2,$AK$4,$AK$5,$AK$6,$AK$7,$AK$8,$AL$3)/1000</f>
        <v>7455.3734093980529</v>
      </c>
      <c r="BM81" s="214">
        <f t="shared" ref="BM81:BM82" si="42">BL81-AY81</f>
        <v>180.7351693889168</v>
      </c>
      <c r="BN81" s="217">
        <f t="shared" si="36"/>
        <v>0</v>
      </c>
      <c r="BO81" s="218">
        <f t="shared" si="37"/>
        <v>180.73516938891592</v>
      </c>
      <c r="BP81" s="193">
        <f t="shared" si="38"/>
        <v>2.4844557684656765E-2</v>
      </c>
      <c r="BQ81" s="172"/>
      <c r="BS81" s="198">
        <f t="shared" si="39"/>
        <v>74.919032854490951</v>
      </c>
      <c r="BT81" s="198">
        <f>+IFERROR(BL81/AD81*1000,0)</f>
        <v>76.780363087923035</v>
      </c>
      <c r="BU81" s="198">
        <f t="shared" si="32"/>
        <v>1.8613302334320849</v>
      </c>
      <c r="BV81" s="199">
        <f t="shared" si="33"/>
        <v>2.4844557684656619E-2</v>
      </c>
      <c r="BX81" s="200">
        <f t="shared" si="21"/>
        <v>0</v>
      </c>
      <c r="BY81" s="200">
        <f t="shared" si="22"/>
        <v>180.73516938891592</v>
      </c>
      <c r="BZ81" s="524">
        <f t="shared" si="41"/>
        <v>180.73516938891592</v>
      </c>
      <c r="CA81" s="526">
        <f t="shared" si="31"/>
        <v>8.8107299234252423E-13</v>
      </c>
    </row>
    <row r="82" spans="1:79" ht="25.5">
      <c r="B82" s="64" t="str">
        <f>'1-EO_Calcul Reporting'!B106</f>
        <v>E6280</v>
      </c>
      <c r="C82" s="64" t="str">
        <f>'1-EO_Calcul Reporting'!C106</f>
        <v>E6280</v>
      </c>
      <c r="D82" s="192" t="str">
        <f>'1-EO_Calcul Reporting'!D106</f>
        <v>PBF Blanches Fosses</v>
      </c>
      <c r="E82" s="172">
        <f>_xll.LVCELL($D$1,E$3,$C82,$D$2,$C$4,$C$5,$C$6,$C$7,$C$8,$D$3)/1000</f>
        <v>3362.7469999999998</v>
      </c>
      <c r="F82" s="172">
        <f>_xll.LVCELL($D$1,F$3,$C82,$D$2,$C$4,$C$5,$C$6,$C$7,$C$8,$D$3)/1000</f>
        <v>2835.5439999999999</v>
      </c>
      <c r="G82" s="172">
        <f>_xll.LVCELL($D$1,G$3,$C82,$D$2,$C$4,$C$5,$C$6,$C$7,$C$8,$D$3)/1000</f>
        <v>2894.2339999999999</v>
      </c>
      <c r="H82" s="172">
        <f>_xll.LVCELL($D$1,H$3,$C82,$D$2,$C$4,$C$5,$C$6,$C$7,$C$8,$D$3)/1000</f>
        <v>2386.0430000000001</v>
      </c>
      <c r="I82" s="172">
        <f>_xll.LVCELL($D$1,I$3,$C82,$D$2,$C$4,$C$5,$C$6,$C$7,$C$8,$D$3)/1000</f>
        <v>2229.4409999999998</v>
      </c>
      <c r="J82" s="172">
        <f>_xll.LVCELL($D$1,J$3,$C82,$D$2,$C$4,$C$5,$C$6,$C$7,$C$8,$D$3)/1000</f>
        <v>1848.9490000000001</v>
      </c>
      <c r="K82" s="172">
        <f>_xll.LVCELL($D$1,K$3,$C82,$D$2,$C$4,$C$5,$C$6,$C$7,$C$8,$D$3)/1000</f>
        <v>1805.297</v>
      </c>
      <c r="L82" s="172">
        <f>_xll.LVCELL($D$1,L$3,$C82,$D$2,$C$4,$C$5,$C$6,$C$7,$C$8,$D$3)/1000</f>
        <v>1794.0170000000001</v>
      </c>
      <c r="M82" s="172">
        <f>_xll.LVCELL($D$1,M$3,$C82,$D$2,$C$4,$C$5,$C$6,$C$7,$C$8,$D$3)/1000</f>
        <v>2142.9679999999998</v>
      </c>
      <c r="N82" s="172">
        <f>_xll.LVCELL($D$1,N$3,$C82,$D$2,$C$4,$C$5,$C$6,$C$7,$C$8,$D$3)/1000</f>
        <v>2878.4409999999998</v>
      </c>
      <c r="O82" s="172">
        <f>_xll.LVCELL($D$1,O$3,$C82,$D$2,$C$4,$C$5,$C$6,$C$7,$C$8,$D$3)/1000</f>
        <v>2827.0709999999999</v>
      </c>
      <c r="P82" s="172">
        <f>_xll.LVCELL($D$1,P$3,$C82,$D$2,$C$4,$C$5,$C$6,$C$7,$C$8,$D$3)/1000</f>
        <v>3284.5360000000001</v>
      </c>
      <c r="Q82" s="172">
        <f>_xll.LVCELL($D$1,Q$2,$C82,$D$2,$C$4,$C$5,$C$6,$C$7,$C$8,$D$3)/1000</f>
        <v>30289.288</v>
      </c>
      <c r="R82" s="172">
        <f>_xll.LVCELL($D$1,R$3,$C82,$D$2,$C$4,$C$5,$C$6,$C$7,$C$8,$D$3)/1000</f>
        <v>3366.3110000000001</v>
      </c>
      <c r="S82" s="172">
        <f>_xll.LVCELL($D$1,S$3,$C82,$D$2,$C$4,$C$5,$C$6,$C$7,$C$8,$D$3)/1000</f>
        <v>2838.549</v>
      </c>
      <c r="T82" s="172">
        <f>_xll.LVCELL($D$1,T$3,$C82,$D$2,$C$4,$C$5,$C$6,$C$7,$C$8,$D$3)/1000</f>
        <v>2897.3009999999999</v>
      </c>
      <c r="U82" s="172">
        <f>_xll.LVCELL($D$1,U$3,$C82,$D$2,$C$4,$C$5,$C$6,$C$7,$C$8,$D$3)/1000</f>
        <v>2388.5720000000001</v>
      </c>
      <c r="V82" s="172">
        <f>_xll.LVCELL($D$1,V$3,$C82,$D$2,$C$4,$C$5,$C$6,$C$7,$C$8,$D$3)/1000</f>
        <v>2231.8040000000001</v>
      </c>
      <c r="W82" s="172">
        <f>_xll.LVCELL($D$1,W$3,$C82,$D$2,$C$4,$C$5,$C$6,$C$7,$C$8,$D$3)/1000</f>
        <v>1850.9090000000001</v>
      </c>
      <c r="X82" s="172">
        <f>_xll.LVCELL($D$1,X$3,$C82,$D$2,$C$4,$C$5,$C$6,$C$7,$C$8,$D$3)/1000</f>
        <v>1807.21</v>
      </c>
      <c r="Y82" s="172">
        <f>_xll.LVCELL($D$1,Y$3,$C82,$D$2,$C$4,$C$5,$C$6,$C$7,$C$8,$D$3)/1000</f>
        <v>1795.9179999999999</v>
      </c>
      <c r="Z82" s="172">
        <f>_xll.LVCELL($D$1,Z$3,$C82,$D$2,$C$4,$C$5,$C$6,$C$7,$C$8,$D$3)/1000</f>
        <v>2145.239</v>
      </c>
      <c r="AA82" s="172">
        <f>_xll.LVCELL($D$1,AA$3,$C82,$D$2,$C$4,$C$5,$C$6,$C$7,$C$8,$D$3)/1000</f>
        <v>2881.4920000000002</v>
      </c>
      <c r="AB82" s="172">
        <f>_xll.LVCELL($D$1,AB$3,$C82,$D$2,$C$4,$C$5,$C$6,$C$7,$C$8,$D$3)/1000</f>
        <v>2830.067</v>
      </c>
      <c r="AC82" s="172">
        <f>_xll.LVCELL($D$1,AC$3,$C82,$D$2,$C$4,$C$5,$C$6,$C$7,$C$8,$D$3)/1000</f>
        <v>3288.0169999999998</v>
      </c>
      <c r="AD82" s="172">
        <f>_xll.LVCELL($D$1,AD$2,$C82,$D$2,$C$4,$C$5,$C$6,$C$7,$C$8,$D$3)/1000</f>
        <v>30321.388999999999</v>
      </c>
      <c r="AE82" s="516">
        <f t="shared" si="34"/>
        <v>32.100999999998749</v>
      </c>
      <c r="AF82" s="193">
        <f t="shared" si="35"/>
        <v>1.0598136212378595E-3</v>
      </c>
      <c r="AG82" s="535" t="s">
        <v>3287</v>
      </c>
      <c r="AJ82" s="64" t="str">
        <f t="shared" si="24"/>
        <v>E6280</v>
      </c>
      <c r="AK82" s="64" t="str">
        <f t="shared" si="25"/>
        <v>E6280</v>
      </c>
      <c r="AL82" s="192" t="str">
        <f t="shared" si="26"/>
        <v>PBF Blanches Fosses</v>
      </c>
      <c r="AM82" s="172">
        <f>_xll.LVCELL($AK$1,AM$3,$AK82,$AL$2,$AK$4,$AK$5,$AK$6,$AK$7,$AK$8,$AL$3)/1000</f>
        <v>251.52867359728401</v>
      </c>
      <c r="AN82" s="172">
        <f>_xll.LVCELL($AK$1,AN$3,$AK82,$AL$2,$AK$4,$AK$5,$AK$6,$AK$7,$AK$8,$AL$3)/1000</f>
        <v>212.10224980772003</v>
      </c>
      <c r="AO82" s="172">
        <f>_xll.LVCELL($AK$1,AO$3,$AK82,$AL$2,$AK$4,$AK$5,$AK$6,$AK$7,$AK$8,$AL$3)/1000</f>
        <v>216.48984642242999</v>
      </c>
      <c r="AP82" s="172">
        <f>_xll.LVCELL($AK$1,AP$3,$AK82,$AL$2,$AK$4,$AK$5,$AK$6,$AK$7,$AK$8,$AL$3)/1000</f>
        <v>178.47122283961298</v>
      </c>
      <c r="AQ82" s="172">
        <f>_xll.LVCELL($AK$1,AQ$3,$AK82,$AL$2,$AK$4,$AK$5,$AK$6,$AK$7,$AK$8,$AL$3)/1000</f>
        <v>166.760802317139</v>
      </c>
      <c r="AR82" s="172">
        <f>_xll.LVCELL($AK$1,AR$3,$AK82,$AL$2,$AK$4,$AK$5,$AK$6,$AK$7,$AK$8,$AL$3)/1000</f>
        <v>138.29790732693098</v>
      </c>
      <c r="AS82" s="172">
        <f>_xll.LVCELL($AK$1,AS$3,$AK82,$AL$2,$AK$4,$AK$5,$AK$6,$AK$7,$AK$8,$AL$3)/1000</f>
        <v>135.02848712354299</v>
      </c>
      <c r="AT82" s="172">
        <f>_xll.LVCELL($AK$1,AT$3,$AK82,$AL$2,$AK$4,$AK$5,$AK$6,$AK$7,$AK$8,$AL$3)/1000</f>
        <v>134.19244289572799</v>
      </c>
      <c r="AU82" s="172">
        <f>_xll.LVCELL($AK$1,AU$3,$AK82,$AL$2,$AK$4,$AK$5,$AK$6,$AK$7,$AK$8,$AL$3)/1000</f>
        <v>160.29031620910399</v>
      </c>
      <c r="AV82" s="172">
        <f>_xll.LVCELL($AK$1,AV$3,$AK82,$AL$2,$AK$4,$AK$5,$AK$6,$AK$7,$AK$8,$AL$3)/1000</f>
        <v>215.31011556206801</v>
      </c>
      <c r="AW82" s="172">
        <f>_xll.LVCELL($AK$1,AW$3,$AK82,$AL$2,$AK$4,$AK$5,$AK$6,$AK$7,$AK$8,$AL$3)/1000</f>
        <v>211.46967441463499</v>
      </c>
      <c r="AX82" s="172">
        <f>_xll.LVCELL($AK$1,AX$3,$AK82,$AL$2,$AK$4,$AK$5,$AK$6,$AK$7,$AK$8,$AL$3)/1000</f>
        <v>245.66811495914399</v>
      </c>
      <c r="AY82" s="172">
        <f>_xll.LVCELL($AK$1,AY$2,$AK82,$AL$2,$AK$4,$AK$5,$AK$6,$AK$7,$AK$8,$AL$3)/1000</f>
        <v>2265.6098534753387</v>
      </c>
      <c r="AZ82" s="172">
        <f>_xll.LVCELL($AK$1,AZ$3,$AK82,$AL$2,$AK$4,$AK$5,$AK$6,$AK$7,$AK$8,$AL$3)/1000</f>
        <v>258.62562864671003</v>
      </c>
      <c r="BA82" s="172">
        <f>_xll.LVCELL($AK$1,BA$3,$AK82,$AL$2,$AK$4,$AK$5,$AK$6,$AK$7,$AK$8,$AL$3)/1000</f>
        <v>218.07893553789</v>
      </c>
      <c r="BB82" s="172">
        <f>_xll.LVCELL($AK$1,BB$3,$AK82,$AL$2,$AK$4,$AK$5,$AK$6,$AK$7,$AK$8,$AL$3)/1000</f>
        <v>222.59271128061002</v>
      </c>
      <c r="BC82" s="172">
        <f>_xll.LVCELL($AK$1,BC$3,$AK82,$AL$2,$AK$4,$AK$5,$AK$6,$AK$7,$AK$8,$AL$3)/1000</f>
        <v>183.50827807291998</v>
      </c>
      <c r="BD82" s="172">
        <f>_xll.LVCELL($AK$1,BD$3,$AK82,$AL$2,$AK$4,$AK$5,$AK$6,$AK$7,$AK$8,$AL$3)/1000</f>
        <v>171.46416730843998</v>
      </c>
      <c r="BE82" s="172">
        <f>_xll.LVCELL($AK$1,BE$3,$AK82,$AL$2,$AK$4,$AK$5,$AK$6,$AK$7,$AK$8,$AL$3)/1000</f>
        <v>142.20091479748999</v>
      </c>
      <c r="BF82" s="172">
        <f>_xll.LVCELL($AK$1,BF$3,$AK82,$AL$2,$AK$4,$AK$5,$AK$6,$AK$7,$AK$8,$AL$3)/1000</f>
        <v>138.84362506809998</v>
      </c>
      <c r="BG82" s="172">
        <f>_xll.LVCELL($AK$1,BG$3,$AK82,$AL$2,$AK$4,$AK$5,$AK$6,$AK$7,$AK$8,$AL$3)/1000</f>
        <v>137.97608769597997</v>
      </c>
      <c r="BH82" s="172">
        <f>_xll.LVCELL($AK$1,BH$3,$AK82,$AL$2,$AK$4,$AK$5,$AK$6,$AK$7,$AK$8,$AL$3)/1000</f>
        <v>164.81358524879002</v>
      </c>
      <c r="BI82" s="172">
        <f>_xll.LVCELL($AK$1,BI$3,$AK82,$AL$2,$AK$4,$AK$5,$AK$6,$AK$7,$AK$8,$AL$3)/1000</f>
        <v>221.37814359411999</v>
      </c>
      <c r="BJ82" s="172">
        <f>_xll.LVCELL($AK$1,BJ$3,$AK82,$AL$2,$AK$4,$AK$5,$AK$6,$AK$7,$AK$8,$AL$3)/1000</f>
        <v>217.42728374986999</v>
      </c>
      <c r="BK82" s="172">
        <f>_xll.LVCELL($AK$1,BK$3,$AK82,$AL$2,$AK$4,$AK$5,$AK$6,$AK$7,$AK$8,$AL$3)/1000</f>
        <v>252.61048774937001</v>
      </c>
      <c r="BL82" s="172">
        <f>_xll.LVCELL($AK$1,BL$2,$AK82,$AL$2,$AK$4,$AK$5,$AK$6,$AK$7,$AK$8,$AL$3)/1000</f>
        <v>2329.5198487502898</v>
      </c>
      <c r="BM82" s="214">
        <f t="shared" si="42"/>
        <v>63.909995274951143</v>
      </c>
      <c r="BN82" s="217">
        <f t="shared" si="36"/>
        <v>2.4011241831240477</v>
      </c>
      <c r="BO82" s="218">
        <f t="shared" si="37"/>
        <v>61.50887109182684</v>
      </c>
      <c r="BP82" s="193">
        <f t="shared" si="38"/>
        <v>2.8208738224242857E-2</v>
      </c>
      <c r="BQ82" s="172"/>
      <c r="BS82" s="198">
        <f t="shared" si="39"/>
        <v>74.799046232956641</v>
      </c>
      <c r="BT82" s="198">
        <f t="shared" si="40"/>
        <v>76.827609999999993</v>
      </c>
      <c r="BU82" s="198">
        <f t="shared" si="32"/>
        <v>2.0285637670433516</v>
      </c>
      <c r="BV82" s="199">
        <f t="shared" si="33"/>
        <v>2.7120182264430553E-2</v>
      </c>
      <c r="BX82" s="200">
        <f t="shared" si="21"/>
        <v>2.4011241831240477</v>
      </c>
      <c r="BY82" s="200">
        <f t="shared" si="22"/>
        <v>61.50887109182684</v>
      </c>
      <c r="BZ82" s="524">
        <f t="shared" si="41"/>
        <v>63.909995274950887</v>
      </c>
      <c r="CA82" s="526">
        <f t="shared" si="31"/>
        <v>2.5579538487363607E-13</v>
      </c>
    </row>
    <row r="83" spans="1:79" ht="25.5">
      <c r="B83" s="64" t="str">
        <f>'1-EO_Calcul Reporting'!B107</f>
        <v>E5930</v>
      </c>
      <c r="C83" s="64" t="str">
        <f>'1-EO_Calcul Reporting'!C107</f>
        <v>E5930</v>
      </c>
      <c r="D83" s="192" t="str">
        <f>'1-EO_Calcul Reporting'!D107</f>
        <v>Extension seuil de Bapaume XSB</v>
      </c>
      <c r="E83" s="172">
        <f>_xll.LVCELL($D$1,E$3,$C83,$D$2,$C$4,$C$5,$C$6,$C$7,$C$8,$D$3)/1000</f>
        <v>5142.4399999999996</v>
      </c>
      <c r="F83" s="172">
        <f>_xll.LVCELL($D$1,F$3,$C83,$D$2,$C$4,$C$5,$C$6,$C$7,$C$8,$D$3)/1000</f>
        <v>4234.5829999999996</v>
      </c>
      <c r="G83" s="172">
        <f>_xll.LVCELL($D$1,G$3,$C83,$D$2,$C$4,$C$5,$C$6,$C$7,$C$8,$D$3)/1000</f>
        <v>4102.7780000000002</v>
      </c>
      <c r="H83" s="172">
        <f>_xll.LVCELL($D$1,H$3,$C83,$D$2,$C$4,$C$5,$C$6,$C$7,$C$8,$D$3)/1000</f>
        <v>3297.2530000000002</v>
      </c>
      <c r="I83" s="172">
        <f>_xll.LVCELL($D$1,I$3,$C83,$D$2,$C$4,$C$5,$C$6,$C$7,$C$8,$D$3)/1000</f>
        <v>3137.3009999999999</v>
      </c>
      <c r="J83" s="172">
        <f>_xll.LVCELL($D$1,J$3,$C83,$D$2,$C$4,$C$5,$C$6,$C$7,$C$8,$D$3)/1000</f>
        <v>2583.498</v>
      </c>
      <c r="K83" s="172">
        <f>_xll.LVCELL($D$1,K$3,$C83,$D$2,$C$4,$C$5,$C$6,$C$7,$C$8,$D$3)/1000</f>
        <v>2507.2689999999998</v>
      </c>
      <c r="L83" s="172">
        <f>_xll.LVCELL($D$1,L$3,$C83,$D$2,$C$4,$C$5,$C$6,$C$7,$C$8,$D$3)/1000</f>
        <v>2484.6909999999998</v>
      </c>
      <c r="M83" s="172">
        <f>_xll.LVCELL($D$1,M$3,$C83,$D$2,$C$4,$C$5,$C$6,$C$7,$C$8,$D$3)/1000</f>
        <v>3012.1680000000001</v>
      </c>
      <c r="N83" s="172">
        <f>_xll.LVCELL($D$1,N$3,$C83,$D$2,$C$4,$C$5,$C$6,$C$7,$C$8,$D$3)/1000</f>
        <v>4153.3100000000004</v>
      </c>
      <c r="O83" s="172">
        <f>_xll.LVCELL($D$1,O$3,$C83,$D$2,$C$4,$C$5,$C$6,$C$7,$C$8,$D$3)/1000</f>
        <v>4233.6670000000004</v>
      </c>
      <c r="P83" s="172">
        <f>_xll.LVCELL($D$1,P$3,$C83,$D$2,$C$4,$C$5,$C$6,$C$7,$C$8,$D$3)/1000</f>
        <v>4986.5439999999999</v>
      </c>
      <c r="Q83" s="172">
        <f>_xll.LVCELL($D$1,Q$2,$C83,$D$2,$C$4,$C$5,$C$6,$C$7,$C$8,$D$3)/1000</f>
        <v>43875.502</v>
      </c>
      <c r="R83" s="172">
        <f>_xll.LVCELL($D$1,R$3,$C83,$D$2,$C$4,$C$5,$C$6,$C$7,$C$8,$D$3)/1000</f>
        <v>5168.9470000000001</v>
      </c>
      <c r="S83" s="172">
        <f>_xll.LVCELL($D$1,S$3,$C83,$D$2,$C$4,$C$5,$C$6,$C$7,$C$8,$D$3)/1000</f>
        <v>4256.4110000000001</v>
      </c>
      <c r="T83" s="172">
        <f>_xll.LVCELL($D$1,T$3,$C83,$D$2,$C$4,$C$5,$C$6,$C$7,$C$8,$D$3)/1000</f>
        <v>4123.9260000000004</v>
      </c>
      <c r="U83" s="172">
        <f>_xll.LVCELL($D$1,U$3,$C83,$D$2,$C$4,$C$5,$C$6,$C$7,$C$8,$D$3)/1000</f>
        <v>3314.25</v>
      </c>
      <c r="V83" s="172">
        <f>_xll.LVCELL($D$1,V$3,$C83,$D$2,$C$4,$C$5,$C$6,$C$7,$C$8,$D$3)/1000</f>
        <v>3153.473</v>
      </c>
      <c r="W83" s="172">
        <f>_xll.LVCELL($D$1,W$3,$C83,$D$2,$C$4,$C$5,$C$6,$C$7,$C$8,$D$3)/1000</f>
        <v>2596.8150000000001</v>
      </c>
      <c r="X83" s="172">
        <f>_xll.LVCELL($D$1,X$3,$C83,$D$2,$C$4,$C$5,$C$6,$C$7,$C$8,$D$3)/1000</f>
        <v>2520.1930000000002</v>
      </c>
      <c r="Y83" s="172">
        <f>_xll.LVCELL($D$1,Y$3,$C83,$D$2,$C$4,$C$5,$C$6,$C$7,$C$8,$D$3)/1000</f>
        <v>2497.498</v>
      </c>
      <c r="Z83" s="172">
        <f>_xll.LVCELL($D$1,Z$3,$C83,$D$2,$C$4,$C$5,$C$6,$C$7,$C$8,$D$3)/1000</f>
        <v>3027.694</v>
      </c>
      <c r="AA83" s="172">
        <f>_xll.LVCELL($D$1,AA$3,$C83,$D$2,$C$4,$C$5,$C$6,$C$7,$C$8,$D$3)/1000</f>
        <v>4174.7190000000001</v>
      </c>
      <c r="AB83" s="172">
        <f>_xll.LVCELL($D$1,AB$3,$C83,$D$2,$C$4,$C$5,$C$6,$C$7,$C$8,$D$3)/1000</f>
        <v>4255.49</v>
      </c>
      <c r="AC83" s="172">
        <f>_xll.LVCELL($D$1,AC$3,$C83,$D$2,$C$4,$C$5,$C$6,$C$7,$C$8,$D$3)/1000</f>
        <v>5012.2479999999996</v>
      </c>
      <c r="AD83" s="172">
        <f>_xll.LVCELL($D$1,AD$2,$C83,$D$2,$C$4,$C$5,$C$6,$C$7,$C$8,$D$3)/1000</f>
        <v>44101.663999999997</v>
      </c>
      <c r="AE83" s="516">
        <f t="shared" si="27"/>
        <v>226.16199999999662</v>
      </c>
      <c r="AF83" s="193">
        <f>AD83/Q83-1</f>
        <v>5.1546304814926724E-3</v>
      </c>
      <c r="AG83" s="535" t="s">
        <v>3288</v>
      </c>
      <c r="AJ83" s="64" t="str">
        <f t="shared" si="24"/>
        <v>E5930</v>
      </c>
      <c r="AK83" s="64" t="str">
        <f t="shared" si="25"/>
        <v>E5930</v>
      </c>
      <c r="AL83" s="192" t="str">
        <f t="shared" si="26"/>
        <v>Extension seuil de Bapaume XSB</v>
      </c>
      <c r="AM83" s="172">
        <f>_xll.LVCELL($AK$1,AM$3,$AK83,$AL$2,$AK$4,$AK$5,$AK$6,$AK$7,$AK$8,$AL$3)/1000</f>
        <v>335.43401779568001</v>
      </c>
      <c r="AN83" s="172">
        <f>_xll.LVCELL($AK$1,AN$3,$AK83,$AL$2,$AK$4,$AK$5,$AK$6,$AK$7,$AK$8,$AL$3)/1000</f>
        <v>276.22716349166495</v>
      </c>
      <c r="AO83" s="172">
        <f>_xll.LVCELL($AK$1,AO$3,$AK83,$AL$2,$AK$4,$AK$5,$AK$6,$AK$7,$AK$8,$AL$3)/1000</f>
        <v>267.62582953730998</v>
      </c>
      <c r="AP83" s="172">
        <f>_xll.LVCELL($AK$1,AP$3,$AK83,$AL$2,$AK$4,$AK$5,$AK$6,$AK$7,$AK$8,$AL$3)/1000</f>
        <v>215.07318900872301</v>
      </c>
      <c r="AQ83" s="172">
        <f>_xll.LVCELL($AK$1,AQ$3,$AK83,$AL$2,$AK$4,$AK$5,$AK$6,$AK$7,$AK$8,$AL$3)/1000</f>
        <v>204.64419596607902</v>
      </c>
      <c r="AR83" s="172">
        <f>_xll.LVCELL($AK$1,AR$3,$AK83,$AL$2,$AK$4,$AK$5,$AK$6,$AK$7,$AK$8,$AL$3)/1000</f>
        <v>168.51671498026198</v>
      </c>
      <c r="AS83" s="172">
        <f>_xll.LVCELL($AK$1,AS$3,$AK83,$AL$2,$AK$4,$AK$5,$AK$6,$AK$7,$AK$8,$AL$3)/1000</f>
        <v>163.53842325141102</v>
      </c>
      <c r="AT83" s="172">
        <f>_xll.LVCELL($AK$1,AT$3,$AK83,$AL$2,$AK$4,$AK$5,$AK$6,$AK$7,$AK$8,$AL$3)/1000</f>
        <v>162.07635417494399</v>
      </c>
      <c r="AU83" s="172">
        <f>_xll.LVCELL($AK$1,AU$3,$AK83,$AL$2,$AK$4,$AK$5,$AK$6,$AK$7,$AK$8,$AL$3)/1000</f>
        <v>196.47853168670403</v>
      </c>
      <c r="AV83" s="172">
        <f>_xll.LVCELL($AK$1,AV$3,$AK83,$AL$2,$AK$4,$AK$5,$AK$6,$AK$7,$AK$8,$AL$3)/1000</f>
        <v>270.92434863787997</v>
      </c>
      <c r="AW83" s="172">
        <f>_xll.LVCELL($AK$1,AW$3,$AK83,$AL$2,$AK$4,$AK$5,$AK$6,$AK$7,$AK$8,$AL$3)/1000</f>
        <v>276.16923213889498</v>
      </c>
      <c r="AX83" s="172">
        <f>_xll.LVCELL($AK$1,AX$3,$AK83,$AL$2,$AK$4,$AK$5,$AK$6,$AK$7,$AK$8,$AL$3)/1000</f>
        <v>325.24922230017597</v>
      </c>
      <c r="AY83" s="172">
        <f>_xll.LVCELL($AK$1,AY$2,$AK83,$AL$2,$AK$4,$AK$5,$AK$6,$AK$7,$AK$8,$AL$3)/1000</f>
        <v>2861.9572229697292</v>
      </c>
      <c r="AZ83" s="172">
        <f>_xll.LVCELL($AK$1,AZ$3,$AK83,$AL$2,$AK$4,$AK$5,$AK$6,$AK$7,$AK$8,$AL$3)/1000</f>
        <v>344.88609999689993</v>
      </c>
      <c r="BA83" s="172">
        <f>_xll.LVCELL($AK$1,BA$3,$AK83,$AL$2,$AK$4,$AK$5,$AK$6,$AK$7,$AK$8,$AL$3)/1000</f>
        <v>283.99923422969999</v>
      </c>
      <c r="BB83" s="172">
        <f>_xll.LVCELL($AK$1,BB$3,$AK83,$AL$2,$AK$4,$AK$5,$AK$6,$AK$7,$AK$8,$AL$3)/1000</f>
        <v>275.15947732019998</v>
      </c>
      <c r="BC83" s="172">
        <f>_xll.LVCELL($AK$1,BC$3,$AK83,$AL$2,$AK$4,$AK$5,$AK$6,$AK$7,$AK$8,$AL$3)/1000</f>
        <v>221.135708475</v>
      </c>
      <c r="BD83" s="172">
        <f>_xll.LVCELL($AK$1,BD$3,$AK83,$AL$2,$AK$4,$AK$5,$AK$6,$AK$7,$AK$8,$AL$3)/1000</f>
        <v>210.4082329371</v>
      </c>
      <c r="BE83" s="172">
        <f>_xll.LVCELL($AK$1,BE$3,$AK83,$AL$2,$AK$4,$AK$5,$AK$6,$AK$7,$AK$8,$AL$3)/1000</f>
        <v>173.26650820050003</v>
      </c>
      <c r="BF83" s="172">
        <f>_xll.LVCELL($AK$1,BF$3,$AK83,$AL$2,$AK$4,$AK$5,$AK$6,$AK$7,$AK$8,$AL$3)/1000</f>
        <v>168.15408148110001</v>
      </c>
      <c r="BG83" s="172">
        <f>_xll.LVCELL($AK$1,BG$3,$AK83,$AL$2,$AK$4,$AK$5,$AK$6,$AK$7,$AK$8,$AL$3)/1000</f>
        <v>166.63980980459999</v>
      </c>
      <c r="BH83" s="172">
        <f>_xll.LVCELL($AK$1,BH$3,$AK83,$AL$2,$AK$4,$AK$5,$AK$6,$AK$7,$AK$8,$AL$3)/1000</f>
        <v>202.0159184538</v>
      </c>
      <c r="BI83" s="172">
        <f>_xll.LVCELL($AK$1,BI$3,$AK83,$AL$2,$AK$4,$AK$5,$AK$6,$AK$7,$AK$8,$AL$3)/1000</f>
        <v>278.54852342129999</v>
      </c>
      <c r="BJ83" s="172">
        <f>_xll.LVCELL($AK$1,BJ$3,$AK83,$AL$2,$AK$4,$AK$5,$AK$6,$AK$7,$AK$8,$AL$3)/1000</f>
        <v>283.93778262299998</v>
      </c>
      <c r="BK83" s="172">
        <f>_xll.LVCELL($AK$1,BK$3,$AK83,$AL$2,$AK$4,$AK$5,$AK$6,$AK$7,$AK$8,$AL$3)/1000</f>
        <v>342.08458271753602</v>
      </c>
      <c r="BL83" s="172">
        <f>_xll.LVCELL($AK$1,BL$2,$AK83,$AL$2,$AK$4,$AK$5,$AK$6,$AK$7,$AK$8,$AL$3)/1000</f>
        <v>2950.2359596607357</v>
      </c>
      <c r="BM83" s="214">
        <f t="shared" si="23"/>
        <v>88.278736691006543</v>
      </c>
      <c r="BN83" s="217">
        <f t="shared" si="29"/>
        <v>14.75233193824814</v>
      </c>
      <c r="BO83" s="218">
        <f t="shared" si="29"/>
        <v>73.526404752758523</v>
      </c>
      <c r="BP83" s="193">
        <f>BL83/AY83-1</f>
        <v>3.0845582171002306E-2</v>
      </c>
      <c r="BQ83" s="172"/>
      <c r="BS83" s="198">
        <f>+IFERROR(AY83/Q83*1000,0)</f>
        <v>65.229047931342848</v>
      </c>
      <c r="BT83" s="198">
        <f>+IFERROR(BL83/AD83*1000,0)</f>
        <v>66.896250437641896</v>
      </c>
      <c r="BU83" s="198">
        <f t="shared" si="32"/>
        <v>1.6672025062990485</v>
      </c>
      <c r="BV83" s="199">
        <f t="shared" si="33"/>
        <v>2.555920344037323E-2</v>
      </c>
      <c r="BX83" s="200">
        <f t="shared" si="21"/>
        <v>14.75233193824814</v>
      </c>
      <c r="BY83" s="200">
        <f t="shared" si="22"/>
        <v>73.526404752758523</v>
      </c>
      <c r="BZ83" s="524">
        <f>+SUM(BX83:BY83)</f>
        <v>88.278736691006657</v>
      </c>
      <c r="CA83" s="526">
        <f t="shared" si="31"/>
        <v>-1.1368683772161603E-13</v>
      </c>
    </row>
    <row r="84" spans="1:79">
      <c r="B84" s="64" t="str">
        <f>'1-EO_Calcul Reporting'!B108</f>
        <v>E5880</v>
      </c>
      <c r="C84" s="64" t="str">
        <f>'1-EO_Calcul Reporting'!C108</f>
        <v>E5880</v>
      </c>
      <c r="D84" s="192" t="str">
        <f>'1-EO_Calcul Reporting'!D108</f>
        <v>Extension plaine d'Escrebieux XPE</v>
      </c>
      <c r="E84" s="254"/>
      <c r="F84" s="254"/>
      <c r="G84" s="254"/>
      <c r="H84" s="254"/>
      <c r="I84" s="254"/>
      <c r="J84" s="254"/>
      <c r="K84" s="254"/>
      <c r="L84" s="254"/>
      <c r="M84" s="254"/>
      <c r="N84" s="254"/>
      <c r="O84" s="254"/>
      <c r="P84" s="255"/>
      <c r="Q84" s="255">
        <f>_xll.LVCELL($D$1,Q$2,$C84,$D$2,$C$4,$C$5,$C$6,$C$7,$C$8,$D$3)/1000</f>
        <v>14838.91</v>
      </c>
      <c r="R84" s="254">
        <f>_xll.LVCELL($D$1,R$3,$C84,$D$2,$C$4,$C$5,$C$6,$C$7,$C$8,$D$3)/1000</f>
        <v>4537.43</v>
      </c>
      <c r="S84" s="254">
        <f>_xll.LVCELL($D$1,S$3,$C84,$D$2,$C$4,$C$5,$C$6,$C$7,$C$8,$D$3)/1000</f>
        <v>3740.491</v>
      </c>
      <c r="T84" s="254">
        <f>_xll.LVCELL($D$1,T$3,$C84,$D$2,$C$4,$C$5,$C$6,$C$7,$C$8,$D$3)/1000</f>
        <v>3833.2890000000002</v>
      </c>
      <c r="U84" s="254">
        <f>_xll.LVCELL($D$1,U$3,$C84,$D$2,$C$4,$C$5,$C$6,$C$7,$C$8,$D$3)/1000</f>
        <v>2767.4259999999999</v>
      </c>
      <c r="V84" s="254">
        <f>_xll.LVCELL($D$1,V$3,$C84,$D$2,$C$4,$C$5,$C$6,$C$7,$C$8,$D$3)/1000</f>
        <v>2945.5</v>
      </c>
      <c r="W84" s="254">
        <f>_xll.LVCELL($D$1,W$3,$C84,$D$2,$C$4,$C$5,$C$6,$C$7,$C$8,$D$3)/1000</f>
        <v>2401.2600000000002</v>
      </c>
      <c r="X84" s="254">
        <f>_xll.LVCELL($D$1,X$3,$C84,$D$2,$C$4,$C$5,$C$6,$C$7,$C$8,$D$3)/1000</f>
        <v>2503.451</v>
      </c>
      <c r="Y84" s="254">
        <f>_xll.LVCELL($D$1,Y$3,$C84,$D$2,$C$4,$C$5,$C$6,$C$7,$C$8,$D$3)/1000</f>
        <v>2609.5790000000002</v>
      </c>
      <c r="Z84" s="254">
        <f>_xll.LVCELL($D$1,Z$3,$C84,$D$2,$C$4,$C$5,$C$6,$C$7,$C$8,$D$3)/1000</f>
        <v>2631.6770000000001</v>
      </c>
      <c r="AA84" s="254">
        <f>_xll.LVCELL($D$1,AA$3,$C84,$D$2,$C$4,$C$5,$C$6,$C$7,$C$8,$D$3)/1000</f>
        <v>3544.4349999999999</v>
      </c>
      <c r="AB84" s="254">
        <f>_xll.LVCELL($D$1,AB$3,$C84,$D$2,$C$4,$C$5,$C$6,$C$7,$C$8,$D$3)/1000</f>
        <v>4049.9009999999998</v>
      </c>
      <c r="AC84" s="255">
        <f>_xll.LVCELL($D$1,AC$3,$C84,$D$2,$C$4,$C$5,$C$6,$C$7,$C$8,$D$3)/1000</f>
        <v>4658.3239999999996</v>
      </c>
      <c r="AD84" s="255">
        <f>_xll.LVCELL($D$1,AD$2,$C84,$D$2,$C$4,$C$5,$C$6,$C$7,$C$8,$D$3)/1000</f>
        <v>40222.762999999999</v>
      </c>
      <c r="AE84" s="517">
        <f t="shared" ref="AE84:AE88" si="43">AD84-Q84</f>
        <v>25383.852999999999</v>
      </c>
      <c r="AF84" s="256">
        <f t="shared" ref="AF84:AF88" si="44">AD84/Q84-1</f>
        <v>1.7106278695672392</v>
      </c>
      <c r="AG84" s="536" t="s">
        <v>3289</v>
      </c>
      <c r="AJ84" s="64" t="str">
        <f t="shared" si="24"/>
        <v>E5880</v>
      </c>
      <c r="AK84" s="64" t="str">
        <f t="shared" si="25"/>
        <v>E5880</v>
      </c>
      <c r="AL84" s="192" t="str">
        <f t="shared" si="26"/>
        <v>Extension plaine d'Escrebieux XPE</v>
      </c>
      <c r="AM84" s="254"/>
      <c r="AN84" s="254"/>
      <c r="AO84" s="254"/>
      <c r="AP84" s="254"/>
      <c r="AQ84" s="254"/>
      <c r="AR84" s="254"/>
      <c r="AS84" s="254"/>
      <c r="AT84" s="254"/>
      <c r="AU84" s="254"/>
      <c r="AV84" s="254"/>
      <c r="AW84" s="254"/>
      <c r="AX84" s="255"/>
      <c r="AY84" s="172">
        <f>_xll.LVCELL($AK$1,AY$2,$AK84,$AL$2,$AK$4,$AK$5,$AK$6,$AK$7,$AK$8,$AL$3)/1000</f>
        <v>1006.210661890364</v>
      </c>
      <c r="AZ84" s="172">
        <f>_xll.LVCELL($AK$1,AZ$3,$AK84,$AL$2,$AK$4,$AK$5,$AK$6,$AK$7,$AK$8,$AL$3)/1000</f>
        <v>305.41441330000004</v>
      </c>
      <c r="BA84" s="172">
        <f>_xll.LVCELL($AK$1,BA$3,$AK84,$AL$2,$AK$4,$AK$5,$AK$6,$AK$7,$AK$8,$AL$3)/1000</f>
        <v>251.77244921000002</v>
      </c>
      <c r="BB84" s="172">
        <f>_xll.LVCELL($AK$1,BB$3,$AK84,$AL$2,$AK$4,$AK$5,$AK$6,$AK$7,$AK$8,$AL$3)/1000</f>
        <v>258.01868258999997</v>
      </c>
      <c r="BC84" s="172">
        <f>_xll.LVCELL($AK$1,BC$3,$AK84,$AL$2,$AK$4,$AK$5,$AK$6,$AK$7,$AK$8,$AL$3)/1000</f>
        <v>186.27544406000001</v>
      </c>
      <c r="BD84" s="172">
        <f>_xll.LVCELL($AK$1,BD$3,$AK84,$AL$2,$AK$4,$AK$5,$AK$6,$AK$7,$AK$8,$AL$3)/1000</f>
        <v>198.26160499999997</v>
      </c>
      <c r="BE84" s="172">
        <f>_xll.LVCELL($AK$1,BE$3,$AK84,$AL$2,$AK$4,$AK$5,$AK$6,$AK$7,$AK$8,$AL$3)/1000</f>
        <v>161.62881060000001</v>
      </c>
      <c r="BF84" s="172">
        <f>_xll.LVCELL($AK$1,BF$3,$AK84,$AL$2,$AK$4,$AK$5,$AK$6,$AK$7,$AK$8,$AL$3)/1000</f>
        <v>168.50728680999998</v>
      </c>
      <c r="BG84" s="172">
        <f>_xll.LVCELL($AK$1,BG$3,$AK84,$AL$2,$AK$4,$AK$5,$AK$6,$AK$7,$AK$8,$AL$3)/1000</f>
        <v>179.7261420143</v>
      </c>
      <c r="BH84" s="172">
        <f>_xll.LVCELL($AK$1,BH$3,$AK84,$AL$2,$AK$4,$AK$5,$AK$6,$AK$7,$AK$8,$AL$3)/1000</f>
        <v>181.2480688409</v>
      </c>
      <c r="BI84" s="172">
        <f>_xll.LVCELL($AK$1,BI$3,$AK84,$AL$2,$AK$4,$AK$5,$AK$6,$AK$7,$AK$8,$AL$3)/1000</f>
        <v>244.1112639895</v>
      </c>
      <c r="BJ84" s="172">
        <f>_xll.LVCELL($AK$1,BJ$3,$AK84,$AL$2,$AK$4,$AK$5,$AK$6,$AK$7,$AK$8,$AL$3)/1000</f>
        <v>278.9235667017</v>
      </c>
      <c r="BK84" s="172">
        <f>_xll.LVCELL($AK$1,BK$3,$AK84,$AL$2,$AK$4,$AK$5,$AK$6,$AK$7,$AK$8,$AL$3)/1000</f>
        <v>320.82669303080002</v>
      </c>
      <c r="BL84" s="172">
        <f>_xll.LVCELL($AK$1,BL$2,$AK84,$AL$2,$AK$4,$AK$5,$AK$6,$AK$7,$AK$8,$AL$3)/1000</f>
        <v>2734.7144261471999</v>
      </c>
      <c r="BM84" s="214">
        <f t="shared" ref="BM84:BM88" si="45">BL84-AY84</f>
        <v>1728.5037642568359</v>
      </c>
      <c r="BN84" s="217">
        <f t="shared" ref="BN84:BN88" si="46">BX84</f>
        <v>1721.2520008853548</v>
      </c>
      <c r="BO84" s="218">
        <f t="shared" ref="BO84:BO88" si="47">BY84</f>
        <v>7.2517633714813705</v>
      </c>
      <c r="BP84" s="193">
        <f t="shared" ref="BP84:BP88" si="48">BL84/AY84-1</f>
        <v>1.7178348726791492</v>
      </c>
      <c r="BQ84" s="255" t="s">
        <v>3556</v>
      </c>
      <c r="BS84" s="198">
        <f t="shared" ref="BS84:BS93" si="49">+IFERROR(AY84/Q84*1000,0)</f>
        <v>67.808933532878356</v>
      </c>
      <c r="BT84" s="198">
        <f t="shared" ref="BT84:BT88" si="50">+IFERROR(BL84/AD84*1000,0)</f>
        <v>67.989223568435619</v>
      </c>
      <c r="BU84" s="198">
        <f t="shared" si="32"/>
        <v>0.1802900355572632</v>
      </c>
      <c r="BV84" s="199">
        <f t="shared" si="33"/>
        <v>2.6587947363874466E-3</v>
      </c>
      <c r="BX84" s="200">
        <f t="shared" si="21"/>
        <v>1721.2520008853548</v>
      </c>
      <c r="BY84" s="200">
        <f t="shared" si="22"/>
        <v>7.2517633714813705</v>
      </c>
      <c r="BZ84" s="524">
        <f t="shared" ref="BZ84:BZ88" si="51">+SUM(BX84:BY84)</f>
        <v>1728.5037642568361</v>
      </c>
      <c r="CA84" s="526">
        <f t="shared" si="31"/>
        <v>0</v>
      </c>
    </row>
    <row r="85" spans="1:79">
      <c r="B85" s="64" t="str">
        <f>'1-EO_Calcul Reporting'!B109</f>
        <v>E6720</v>
      </c>
      <c r="C85" s="64" t="str">
        <f>'1-EO_Calcul Reporting'!C109</f>
        <v>E6720</v>
      </c>
      <c r="D85" s="192" t="str">
        <f>'1-EO_Calcul Reporting'!D109</f>
        <v>Saint Christophe - Clé des champs</v>
      </c>
      <c r="E85" s="254"/>
      <c r="F85" s="254"/>
      <c r="G85" s="254"/>
      <c r="H85" s="254"/>
      <c r="I85" s="254"/>
      <c r="J85" s="254"/>
      <c r="K85" s="254"/>
      <c r="L85" s="254"/>
      <c r="M85" s="254"/>
      <c r="N85" s="254"/>
      <c r="O85" s="254"/>
      <c r="P85" s="255"/>
      <c r="Q85" s="255">
        <f>_xll.LVCELL($D$1,Q$2,$C85,$D$2,$C$4,$C$5,$C$6,$C$7,$C$8,$D$3)/1000</f>
        <v>1158.404</v>
      </c>
      <c r="R85" s="254">
        <f>_xll.LVCELL($D$1,R$3,$C85,$D$2,$C$4,$C$5,$C$6,$C$7,$C$8,$D$3)/1000</f>
        <v>469.98200000000003</v>
      </c>
      <c r="S85" s="254">
        <f>_xll.LVCELL($D$1,S$3,$C85,$D$2,$C$4,$C$5,$C$6,$C$7,$C$8,$D$3)/1000</f>
        <v>750.04899999999998</v>
      </c>
      <c r="T85" s="254">
        <f>_xll.LVCELL($D$1,T$3,$C85,$D$2,$C$4,$C$5,$C$6,$C$7,$C$8,$D$3)/1000</f>
        <v>1480.0450000000001</v>
      </c>
      <c r="U85" s="254">
        <f>_xll.LVCELL($D$1,U$3,$C85,$D$2,$C$4,$C$5,$C$6,$C$7,$C$8,$D$3)/1000</f>
        <v>1691.0070000000001</v>
      </c>
      <c r="V85" s="254">
        <f>_xll.LVCELL($D$1,V$3,$C85,$D$2,$C$4,$C$5,$C$6,$C$7,$C$8,$D$3)/1000</f>
        <v>1925.998</v>
      </c>
      <c r="W85" s="254">
        <f>_xll.LVCELL($D$1,W$3,$C85,$D$2,$C$4,$C$5,$C$6,$C$7,$C$8,$D$3)/1000</f>
        <v>2128.011</v>
      </c>
      <c r="X85" s="254">
        <f>_xll.LVCELL($D$1,X$3,$C85,$D$2,$C$4,$C$5,$C$6,$C$7,$C$8,$D$3)/1000</f>
        <v>2343.944</v>
      </c>
      <c r="Y85" s="254">
        <f>_xll.LVCELL($D$1,Y$3,$C85,$D$2,$C$4,$C$5,$C$6,$C$7,$C$8,$D$3)/1000</f>
        <v>2090.0610000000001</v>
      </c>
      <c r="Z85" s="254">
        <f>_xll.LVCELL($D$1,Z$3,$C85,$D$2,$C$4,$C$5,$C$6,$C$7,$C$8,$D$3)/1000</f>
        <v>1578.98</v>
      </c>
      <c r="AA85" s="254">
        <f>_xll.LVCELL($D$1,AA$3,$C85,$D$2,$C$4,$C$5,$C$6,$C$7,$C$8,$D$3)/1000</f>
        <v>1065.0820000000001</v>
      </c>
      <c r="AB85" s="254">
        <f>_xll.LVCELL($D$1,AB$3,$C85,$D$2,$C$4,$C$5,$C$6,$C$7,$C$8,$D$3)/1000</f>
        <v>586.98</v>
      </c>
      <c r="AC85" s="255">
        <f>_xll.LVCELL($D$1,AC$3,$C85,$D$2,$C$4,$C$5,$C$6,$C$7,$C$8,$D$3)/1000</f>
        <v>461.86200000000002</v>
      </c>
      <c r="AD85" s="255">
        <f>_xll.LVCELL($D$1,AD$2,$C85,$D$2,$C$4,$C$5,$C$6,$C$7,$C$8,$D$3)/1000</f>
        <v>16572.001</v>
      </c>
      <c r="AE85" s="517">
        <f t="shared" si="43"/>
        <v>15413.597</v>
      </c>
      <c r="AF85" s="256">
        <f t="shared" si="44"/>
        <v>13.305890690985184</v>
      </c>
      <c r="AG85" s="536" t="s">
        <v>3290</v>
      </c>
      <c r="AJ85" s="64" t="str">
        <f t="shared" si="24"/>
        <v>E6720</v>
      </c>
      <c r="AK85" s="64" t="str">
        <f t="shared" si="25"/>
        <v>E6720</v>
      </c>
      <c r="AL85" s="192" t="str">
        <f t="shared" si="26"/>
        <v>Saint Christophe - Clé des champs</v>
      </c>
      <c r="AM85" s="254"/>
      <c r="AN85" s="254"/>
      <c r="AO85" s="254"/>
      <c r="AP85" s="254"/>
      <c r="AQ85" s="254"/>
      <c r="AR85" s="254"/>
      <c r="AS85" s="254"/>
      <c r="AT85" s="254"/>
      <c r="AU85" s="254"/>
      <c r="AV85" s="254"/>
      <c r="AW85" s="254"/>
      <c r="AX85" s="255"/>
      <c r="AY85" s="172">
        <f>_xll.LVCELL($AK$1,AY$2,$AK85,$AL$2,$AK$4,$AK$5,$AK$6,$AK$7,$AK$8,$AL$3)/1000</f>
        <v>67.186019268767993</v>
      </c>
      <c r="AZ85" s="172">
        <f>_xll.LVCELL($AK$1,AZ$3,$AK85,$AL$2,$AK$4,$AK$5,$AK$6,$AK$7,$AK$8,$AL$3)/1000</f>
        <v>27.885911988</v>
      </c>
      <c r="BA85" s="172">
        <f>_xll.LVCELL($AK$1,BA$3,$AK85,$AL$2,$AK$4,$AK$5,$AK$6,$AK$7,$AK$8,$AL$3)/1000</f>
        <v>44.503407365999998</v>
      </c>
      <c r="BB85" s="172">
        <f>_xll.LVCELL($AK$1,BB$3,$AK85,$AL$2,$AK$4,$AK$5,$AK$6,$AK$7,$AK$8,$AL$3)/1000</f>
        <v>87.816990029999999</v>
      </c>
      <c r="BC85" s="172">
        <f>_xll.LVCELL($AK$1,BC$3,$AK85,$AL$2,$AK$4,$AK$5,$AK$6,$AK$7,$AK$8,$AL$3)/1000</f>
        <v>100.33420933799999</v>
      </c>
      <c r="BD85" s="172">
        <f>_xll.LVCELL($AK$1,BD$3,$AK85,$AL$2,$AK$4,$AK$5,$AK$6,$AK$7,$AK$8,$AL$3)/1000</f>
        <v>114.27716533200001</v>
      </c>
      <c r="BE85" s="172">
        <f>_xll.LVCELL($AK$1,BE$3,$AK85,$AL$2,$AK$4,$AK$5,$AK$6,$AK$7,$AK$8,$AL$3)/1000</f>
        <v>126.263404674</v>
      </c>
      <c r="BF85" s="172">
        <f>_xll.LVCELL($AK$1,BF$3,$AK85,$AL$2,$AK$4,$AK$5,$AK$6,$AK$7,$AK$8,$AL$3)/1000</f>
        <v>139.07557329599999</v>
      </c>
      <c r="BG85" s="172">
        <f>_xll.LVCELL($AK$1,BG$3,$AK85,$AL$2,$AK$4,$AK$5,$AK$6,$AK$7,$AK$8,$AL$3)/1000</f>
        <v>124.011679374</v>
      </c>
      <c r="BH85" s="172">
        <f>_xll.LVCELL($AK$1,BH$3,$AK85,$AL$2,$AK$4,$AK$5,$AK$6,$AK$7,$AK$8,$AL$3)/1000</f>
        <v>93.687199320000019</v>
      </c>
      <c r="BI85" s="172">
        <f>_xll.LVCELL($AK$1,BI$3,$AK85,$AL$2,$AK$4,$AK$5,$AK$6,$AK$7,$AK$8,$AL$3)/1000</f>
        <v>63.195575387999995</v>
      </c>
      <c r="BJ85" s="172">
        <f>_xll.LVCELL($AK$1,BJ$3,$AK85,$AL$2,$AK$4,$AK$5,$AK$6,$AK$7,$AK$8,$AL$3)/1000</f>
        <v>34.82787132</v>
      </c>
      <c r="BK85" s="172">
        <f>_xll.LVCELL($AK$1,BK$3,$AK85,$AL$2,$AK$4,$AK$5,$AK$6,$AK$7,$AK$8,$AL$3)/1000</f>
        <v>28.034414665884</v>
      </c>
      <c r="BL85" s="172">
        <f>_xll.LVCELL($AK$1,BL$2,$AK85,$AL$2,$AK$4,$AK$5,$AK$6,$AK$7,$AK$8,$AL$3)/1000</f>
        <v>983.91340209188388</v>
      </c>
      <c r="BM85" s="214">
        <f t="shared" si="45"/>
        <v>916.72738282311593</v>
      </c>
      <c r="BN85" s="217">
        <f t="shared" si="46"/>
        <v>893.96982835265123</v>
      </c>
      <c r="BO85" s="218">
        <f t="shared" si="47"/>
        <v>22.757554470464729</v>
      </c>
      <c r="BP85" s="193">
        <f t="shared" si="48"/>
        <v>13.644615245857624</v>
      </c>
      <c r="BQ85" s="255" t="s">
        <v>3556</v>
      </c>
      <c r="BS85" s="198">
        <f t="shared" si="49"/>
        <v>57.998780450316119</v>
      </c>
      <c r="BT85" s="198">
        <f t="shared" si="50"/>
        <v>59.372033714690453</v>
      </c>
      <c r="BU85" s="198">
        <f t="shared" si="32"/>
        <v>1.373253264374334</v>
      </c>
      <c r="BV85" s="199">
        <f t="shared" si="33"/>
        <v>2.367727827571673E-2</v>
      </c>
      <c r="BX85" s="200">
        <f t="shared" si="21"/>
        <v>893.96982835265123</v>
      </c>
      <c r="BY85" s="200">
        <f t="shared" si="22"/>
        <v>22.757554470464729</v>
      </c>
      <c r="BZ85" s="524">
        <f t="shared" si="51"/>
        <v>916.72738282311593</v>
      </c>
      <c r="CA85" s="526">
        <f t="shared" si="31"/>
        <v>0</v>
      </c>
    </row>
    <row r="86" spans="1:79">
      <c r="B86" s="64" t="str">
        <f>'1-EO_Calcul Reporting'!B110</f>
        <v>E6040</v>
      </c>
      <c r="C86" s="64" t="str">
        <f>'1-EO_Calcul Reporting'!C110</f>
        <v>E6040</v>
      </c>
      <c r="D86" s="192" t="str">
        <f>'1-EO_Calcul Reporting'!D110</f>
        <v>Peyrolles solaire</v>
      </c>
      <c r="E86" s="254"/>
      <c r="F86" s="254"/>
      <c r="G86" s="254"/>
      <c r="H86" s="254"/>
      <c r="I86" s="254"/>
      <c r="J86" s="254"/>
      <c r="K86" s="254"/>
      <c r="L86" s="254"/>
      <c r="M86" s="254"/>
      <c r="N86" s="254"/>
      <c r="O86" s="254"/>
      <c r="P86" s="255"/>
      <c r="Q86" s="255">
        <f>_xll.LVCELL($D$1,Q$2,$C86,$D$2,$C$4,$C$5,$C$6,$C$7,$C$8,$D$3)/1000</f>
        <v>3081.73</v>
      </c>
      <c r="R86" s="254">
        <f>_xll.LVCELL($D$1,R$3,$C86,$D$2,$C$4,$C$5,$C$6,$C$7,$C$8,$D$3)/1000</f>
        <v>965.98500000000001</v>
      </c>
      <c r="S86" s="254">
        <f>_xll.LVCELL($D$1,S$3,$C86,$D$2,$C$4,$C$5,$C$6,$C$7,$C$8,$D$3)/1000</f>
        <v>1335.098</v>
      </c>
      <c r="T86" s="254">
        <f>_xll.LVCELL($D$1,T$3,$C86,$D$2,$C$4,$C$5,$C$6,$C$7,$C$8,$D$3)/1000</f>
        <v>2048.0160000000001</v>
      </c>
      <c r="U86" s="254">
        <f>_xll.LVCELL($D$1,U$3,$C86,$D$2,$C$4,$C$5,$C$6,$C$7,$C$8,$D$3)/1000</f>
        <v>2188.0010000000002</v>
      </c>
      <c r="V86" s="254">
        <f>_xll.LVCELL($D$1,V$3,$C86,$D$2,$C$4,$C$5,$C$6,$C$7,$C$8,$D$3)/1000</f>
        <v>2600.203</v>
      </c>
      <c r="W86" s="254">
        <f>_xll.LVCELL($D$1,W$3,$C86,$D$2,$C$4,$C$5,$C$6,$C$7,$C$8,$D$3)/1000</f>
        <v>2776.21</v>
      </c>
      <c r="X86" s="254">
        <f>_xll.LVCELL($D$1,X$3,$C86,$D$2,$C$4,$C$5,$C$6,$C$7,$C$8,$D$3)/1000</f>
        <v>2963.16</v>
      </c>
      <c r="Y86" s="254">
        <f>_xll.LVCELL($D$1,Y$3,$C86,$D$2,$C$4,$C$5,$C$6,$C$7,$C$8,$D$3)/1000</f>
        <v>2650.1329999999998</v>
      </c>
      <c r="Z86" s="254">
        <f>_xll.LVCELL($D$1,Z$3,$C86,$D$2,$C$4,$C$5,$C$6,$C$7,$C$8,$D$3)/1000</f>
        <v>1957.961</v>
      </c>
      <c r="AA86" s="254">
        <f>_xll.LVCELL($D$1,AA$3,$C86,$D$2,$C$4,$C$5,$C$6,$C$7,$C$8,$D$3)/1000</f>
        <v>1485.114</v>
      </c>
      <c r="AB86" s="254">
        <f>_xll.LVCELL($D$1,AB$3,$C86,$D$2,$C$4,$C$5,$C$6,$C$7,$C$8,$D$3)/1000</f>
        <v>985.13599999999997</v>
      </c>
      <c r="AC86" s="255">
        <f>_xll.LVCELL($D$1,AC$3,$C86,$D$2,$C$4,$C$5,$C$6,$C$7,$C$8,$D$3)/1000</f>
        <v>843.78399999999999</v>
      </c>
      <c r="AD86" s="255">
        <f>_xll.LVCELL($D$1,AD$2,$C86,$D$2,$C$4,$C$5,$C$6,$C$7,$C$8,$D$3)/1000</f>
        <v>22798.800999999999</v>
      </c>
      <c r="AE86" s="517">
        <f t="shared" si="43"/>
        <v>19717.071</v>
      </c>
      <c r="AF86" s="256">
        <f t="shared" si="44"/>
        <v>6.3980527171426438</v>
      </c>
      <c r="AG86" s="536" t="s">
        <v>3291</v>
      </c>
      <c r="AJ86" s="64" t="str">
        <f t="shared" si="24"/>
        <v>E6040</v>
      </c>
      <c r="AK86" s="64" t="str">
        <f t="shared" si="25"/>
        <v>E6040</v>
      </c>
      <c r="AL86" s="192" t="str">
        <f t="shared" si="26"/>
        <v>Peyrolles solaire</v>
      </c>
      <c r="AM86" s="254"/>
      <c r="AN86" s="254"/>
      <c r="AO86" s="254"/>
      <c r="AP86" s="254"/>
      <c r="AQ86" s="254"/>
      <c r="AR86" s="254"/>
      <c r="AS86" s="254"/>
      <c r="AT86" s="254"/>
      <c r="AU86" s="254"/>
      <c r="AV86" s="254"/>
      <c r="AW86" s="254"/>
      <c r="AX86" s="255"/>
      <c r="AY86" s="172">
        <f>_xll.LVCELL($AK$1,AY$2,$AK86,$AL$2,$AK$4,$AK$5,$AK$6,$AK$7,$AK$8,$AL$3)/1000</f>
        <v>184.59508955214201</v>
      </c>
      <c r="AZ86" s="172">
        <f>_xll.LVCELL($AK$1,AZ$3,$AK86,$AL$2,$AK$4,$AK$5,$AK$6,$AK$7,$AK$8,$AL$3)/1000</f>
        <v>56.886856649999999</v>
      </c>
      <c r="BA86" s="172">
        <f>_xll.LVCELL($AK$1,BA$3,$AK86,$AL$2,$AK$4,$AK$5,$AK$6,$AK$7,$AK$8,$AL$3)/1000</f>
        <v>78.62392122</v>
      </c>
      <c r="BB86" s="172">
        <f>_xll.LVCELL($AK$1,BB$3,$AK86,$AL$2,$AK$4,$AK$5,$AK$6,$AK$7,$AK$8,$AL$3)/1000</f>
        <v>120.60766224000001</v>
      </c>
      <c r="BC86" s="172">
        <f>_xll.LVCELL($AK$1,BC$3,$AK86,$AL$2,$AK$4,$AK$5,$AK$6,$AK$7,$AK$8,$AL$3)/1000</f>
        <v>128.85137889000001</v>
      </c>
      <c r="BD86" s="172">
        <f>_xll.LVCELL($AK$1,BD$3,$AK86,$AL$2,$AK$4,$AK$5,$AK$6,$AK$7,$AK$8,$AL$3)/1000</f>
        <v>153.12595467</v>
      </c>
      <c r="BE86" s="172">
        <f>_xll.LVCELL($AK$1,BE$3,$AK86,$AL$2,$AK$4,$AK$5,$AK$6,$AK$7,$AK$8,$AL$3)/1000</f>
        <v>163.4910069</v>
      </c>
      <c r="BF86" s="172">
        <f>_xll.LVCELL($AK$1,BF$3,$AK86,$AL$2,$AK$4,$AK$5,$AK$6,$AK$7,$AK$8,$AL$3)/1000</f>
        <v>174.50049239999998</v>
      </c>
      <c r="BG86" s="172">
        <f>_xll.LVCELL($AK$1,BG$3,$AK86,$AL$2,$AK$4,$AK$5,$AK$6,$AK$7,$AK$8,$AL$3)/1000</f>
        <v>156.06633237</v>
      </c>
      <c r="BH86" s="172">
        <f>_xll.LVCELL($AK$1,BH$3,$AK86,$AL$2,$AK$4,$AK$5,$AK$6,$AK$7,$AK$8,$AL$3)/1000</f>
        <v>115.30432329</v>
      </c>
      <c r="BI86" s="172">
        <f>_xll.LVCELL($AK$1,BI$3,$AK86,$AL$2,$AK$4,$AK$5,$AK$6,$AK$7,$AK$8,$AL$3)/1000</f>
        <v>87.458363459999987</v>
      </c>
      <c r="BJ86" s="172">
        <f>_xll.LVCELL($AK$1,BJ$3,$AK86,$AL$2,$AK$4,$AK$5,$AK$6,$AK$7,$AK$8,$AL$3)/1000</f>
        <v>58.014659039999998</v>
      </c>
      <c r="BK86" s="172">
        <f>_xll.LVCELL($AK$1,BK$3,$AK86,$AL$2,$AK$4,$AK$5,$AK$6,$AK$7,$AK$8,$AL$3)/1000</f>
        <v>49.690439760000004</v>
      </c>
      <c r="BL86" s="172">
        <f>_xll.LVCELL($AK$1,BL$2,$AK86,$AL$2,$AK$4,$AK$5,$AK$6,$AK$7,$AK$8,$AL$3)/1000</f>
        <v>1342.6213908899999</v>
      </c>
      <c r="BM86" s="214">
        <f t="shared" si="45"/>
        <v>1158.0263013378578</v>
      </c>
      <c r="BN86" s="217">
        <f t="shared" si="46"/>
        <v>1181.0491142802719</v>
      </c>
      <c r="BO86" s="218">
        <f t="shared" si="47"/>
        <v>-23.022812942413871</v>
      </c>
      <c r="BP86" s="193">
        <f t="shared" si="48"/>
        <v>6.2733321029688263</v>
      </c>
      <c r="BQ86" s="255" t="s">
        <v>3556</v>
      </c>
      <c r="BS86" s="198">
        <f t="shared" si="49"/>
        <v>59.899825601899586</v>
      </c>
      <c r="BT86" s="198">
        <f t="shared" si="50"/>
        <v>58.89</v>
      </c>
      <c r="BU86" s="198">
        <f t="shared" si="32"/>
        <v>-1.0098256018995855</v>
      </c>
      <c r="BV86" s="199">
        <f t="shared" si="33"/>
        <v>-1.6858573322249559E-2</v>
      </c>
      <c r="BX86" s="200">
        <f t="shared" si="21"/>
        <v>1181.0491142802719</v>
      </c>
      <c r="BY86" s="200">
        <f t="shared" si="22"/>
        <v>-23.022812942413871</v>
      </c>
      <c r="BZ86" s="524">
        <f t="shared" si="51"/>
        <v>1158.0263013378581</v>
      </c>
      <c r="CA86" s="526">
        <f t="shared" si="31"/>
        <v>0</v>
      </c>
    </row>
    <row r="87" spans="1:79">
      <c r="B87" s="64" t="str">
        <f>'1-EO_Calcul Reporting'!B111</f>
        <v>E6310</v>
      </c>
      <c r="C87" s="64" t="str">
        <f>'1-EO_Calcul Reporting'!C111</f>
        <v>E6310</v>
      </c>
      <c r="D87" s="192" t="str">
        <f>'1-EO_Calcul Reporting'!D111</f>
        <v>Bazougeais</v>
      </c>
      <c r="E87" s="254"/>
      <c r="F87" s="254"/>
      <c r="G87" s="254"/>
      <c r="H87" s="254"/>
      <c r="I87" s="254"/>
      <c r="J87" s="254"/>
      <c r="K87" s="254"/>
      <c r="L87" s="254"/>
      <c r="M87" s="254"/>
      <c r="N87" s="254"/>
      <c r="O87" s="254"/>
      <c r="P87" s="255"/>
      <c r="Q87" s="255">
        <f>_xll.LVCELL($D$1,Q$2,$C87,$D$2,$C$4,$C$5,$C$6,$C$7,$C$8,$D$3)/1000</f>
        <v>20044.794999999998</v>
      </c>
      <c r="R87" s="254">
        <f>_xll.LVCELL($D$1,R$3,$C87,$D$2,$C$4,$C$5,$C$6,$C$7,$C$8,$D$3)/1000</f>
        <v>3705.4319999999998</v>
      </c>
      <c r="S87" s="254">
        <f>_xll.LVCELL($D$1,S$3,$C87,$D$2,$C$4,$C$5,$C$6,$C$7,$C$8,$D$3)/1000</f>
        <v>3277.0949999999998</v>
      </c>
      <c r="T87" s="254">
        <f>_xll.LVCELL($D$1,T$3,$C87,$D$2,$C$4,$C$5,$C$6,$C$7,$C$8,$D$3)/1000</f>
        <v>3185.9270000000001</v>
      </c>
      <c r="U87" s="254">
        <f>_xll.LVCELL($D$1,U$3,$C87,$D$2,$C$4,$C$5,$C$6,$C$7,$C$8,$D$3)/1000</f>
        <v>2417.46</v>
      </c>
      <c r="V87" s="254">
        <f>_xll.LVCELL($D$1,V$3,$C87,$D$2,$C$4,$C$5,$C$6,$C$7,$C$8,$D$3)/1000</f>
        <v>2326.4699999999998</v>
      </c>
      <c r="W87" s="254">
        <f>_xll.LVCELL($D$1,W$3,$C87,$D$2,$C$4,$C$5,$C$6,$C$7,$C$8,$D$3)/1000</f>
        <v>1801.963</v>
      </c>
      <c r="X87" s="254">
        <f>_xll.LVCELL($D$1,X$3,$C87,$D$2,$C$4,$C$5,$C$6,$C$7,$C$8,$D$3)/1000</f>
        <v>1839.684</v>
      </c>
      <c r="Y87" s="254">
        <f>_xll.LVCELL($D$1,Y$3,$C87,$D$2,$C$4,$C$5,$C$6,$C$7,$C$8,$D$3)/1000</f>
        <v>1825.32</v>
      </c>
      <c r="Z87" s="254">
        <f>_xll.LVCELL($D$1,Z$3,$C87,$D$2,$C$4,$C$5,$C$6,$C$7,$C$8,$D$3)/1000</f>
        <v>2029.009</v>
      </c>
      <c r="AA87" s="254">
        <f>_xll.LVCELL($D$1,AA$3,$C87,$D$2,$C$4,$C$5,$C$6,$C$7,$C$8,$D$3)/1000</f>
        <v>2848.3690000000001</v>
      </c>
      <c r="AB87" s="254">
        <f>_xll.LVCELL($D$1,AB$3,$C87,$D$2,$C$4,$C$5,$C$6,$C$7,$C$8,$D$3)/1000</f>
        <v>3337.2310000000002</v>
      </c>
      <c r="AC87" s="255">
        <f>_xll.LVCELL($D$1,AC$3,$C87,$D$2,$C$4,$C$5,$C$6,$C$7,$C$8,$D$3)/1000</f>
        <v>3616.8530000000001</v>
      </c>
      <c r="AD87" s="255">
        <f>_xll.LVCELL($D$1,AD$2,$C87,$D$2,$C$4,$C$5,$C$6,$C$7,$C$8,$D$3)/1000</f>
        <v>32210.812999999998</v>
      </c>
      <c r="AE87" s="517">
        <f t="shared" si="43"/>
        <v>12166.018</v>
      </c>
      <c r="AF87" s="256">
        <f t="shared" si="44"/>
        <v>0.60694150276917269</v>
      </c>
      <c r="AG87" s="536" t="s">
        <v>3292</v>
      </c>
      <c r="AJ87" s="64" t="str">
        <f t="shared" si="24"/>
        <v>E6310</v>
      </c>
      <c r="AK87" s="64" t="str">
        <f t="shared" si="25"/>
        <v>E6310</v>
      </c>
      <c r="AL87" s="192" t="str">
        <f t="shared" si="26"/>
        <v>Bazougeais</v>
      </c>
      <c r="AM87" s="254"/>
      <c r="AN87" s="254"/>
      <c r="AO87" s="254"/>
      <c r="AP87" s="254"/>
      <c r="AQ87" s="254"/>
      <c r="AR87" s="254"/>
      <c r="AS87" s="254"/>
      <c r="AT87" s="254"/>
      <c r="AU87" s="254"/>
      <c r="AV87" s="254"/>
      <c r="AW87" s="254"/>
      <c r="AX87" s="255"/>
      <c r="AY87" s="172">
        <f>_xll.LVCELL($AK$1,AY$2,$AK87,$AL$2,$AK$4,$AK$5,$AK$6,$AK$7,$AK$8,$AL$3)/1000</f>
        <v>1523.7801659993199</v>
      </c>
      <c r="AZ87" s="172">
        <f>_xll.LVCELL($AK$1,AZ$3,$AK87,$AL$2,$AK$4,$AK$5,$AK$6,$AK$7,$AK$8,$AL$3)/1000</f>
        <v>287.82313603200004</v>
      </c>
      <c r="BA87" s="172">
        <f>_xll.LVCELL($AK$1,BA$3,$AK87,$AL$2,$AK$4,$AK$5,$AK$6,$AK$7,$AK$8,$AL$3)/1000</f>
        <v>254.55163122000002</v>
      </c>
      <c r="BB87" s="172">
        <f>_xll.LVCELL($AK$1,BB$3,$AK87,$AL$2,$AK$4,$AK$5,$AK$6,$AK$7,$AK$8,$AL$3)/1000</f>
        <v>247.47006565199999</v>
      </c>
      <c r="BC87" s="172">
        <f>_xll.LVCELL($AK$1,BC$3,$AK87,$AL$2,$AK$4,$AK$5,$AK$6,$AK$7,$AK$8,$AL$3)/1000</f>
        <v>187.77862296000001</v>
      </c>
      <c r="BD87" s="172">
        <f>_xll.LVCELL($AK$1,BD$3,$AK87,$AL$2,$AK$4,$AK$5,$AK$6,$AK$7,$AK$8,$AL$3)/1000</f>
        <v>180.71088371999997</v>
      </c>
      <c r="BE87" s="172">
        <f>_xll.LVCELL($AK$1,BE$3,$AK87,$AL$2,$AK$4,$AK$5,$AK$6,$AK$7,$AK$8,$AL$3)/1000</f>
        <v>139.96927798799999</v>
      </c>
      <c r="BF87" s="172">
        <f>_xll.LVCELL($AK$1,BF$3,$AK87,$AL$2,$AK$4,$AK$5,$AK$6,$AK$7,$AK$8,$AL$3)/1000</f>
        <v>142.899294384</v>
      </c>
      <c r="BG87" s="172">
        <f>_xll.LVCELL($AK$1,BG$3,$AK87,$AL$2,$AK$4,$AK$5,$AK$6,$AK$7,$AK$8,$AL$3)/1000</f>
        <v>141.78355632</v>
      </c>
      <c r="BH87" s="172">
        <f>_xll.LVCELL($AK$1,BH$3,$AK87,$AL$2,$AK$4,$AK$5,$AK$6,$AK$7,$AK$8,$AL$3)/1000</f>
        <v>157.60530308400001</v>
      </c>
      <c r="BI87" s="172">
        <f>_xll.LVCELL($AK$1,BI$3,$AK87,$AL$2,$AK$4,$AK$5,$AK$6,$AK$7,$AK$8,$AL$3)/1000</f>
        <v>221.24991044400002</v>
      </c>
      <c r="BJ87" s="172">
        <f>_xll.LVCELL($AK$1,BJ$3,$AK87,$AL$2,$AK$4,$AK$5,$AK$6,$AK$7,$AK$8,$AL$3)/1000</f>
        <v>182.74676956000002</v>
      </c>
      <c r="BK87" s="172">
        <f>_xll.LVCELL($AK$1,BK$3,$AK87,$AL$2,$AK$4,$AK$5,$AK$6,$AK$7,$AK$8,$AL$3)/1000</f>
        <v>159.21386906000001</v>
      </c>
      <c r="BL87" s="172">
        <f>_xll.LVCELL($AK$1,BL$2,$AK87,$AL$2,$AK$4,$AK$5,$AK$6,$AK$7,$AK$8,$AL$3)/1000</f>
        <v>2303.8023204240003</v>
      </c>
      <c r="BM87" s="214">
        <f t="shared" si="45"/>
        <v>780.02215442468037</v>
      </c>
      <c r="BN87" s="217">
        <f t="shared" si="46"/>
        <v>924.84542384148676</v>
      </c>
      <c r="BO87" s="218">
        <f t="shared" si="47"/>
        <v>-144.82326941680634</v>
      </c>
      <c r="BP87" s="193">
        <f t="shared" si="48"/>
        <v>0.51189940112728083</v>
      </c>
      <c r="BQ87" s="255" t="s">
        <v>3562</v>
      </c>
      <c r="BS87" s="198">
        <f t="shared" si="49"/>
        <v>76.018745315146404</v>
      </c>
      <c r="BT87" s="198">
        <f t="shared" si="50"/>
        <v>71.522638078833978</v>
      </c>
      <c r="BU87" s="198">
        <f t="shared" si="32"/>
        <v>-4.4961072363124259</v>
      </c>
      <c r="BV87" s="199">
        <f t="shared" si="33"/>
        <v>-5.9144717762351653E-2</v>
      </c>
      <c r="BX87" s="200">
        <f t="shared" si="21"/>
        <v>924.84542384148676</v>
      </c>
      <c r="BY87" s="200">
        <f t="shared" si="22"/>
        <v>-144.82326941680634</v>
      </c>
      <c r="BZ87" s="524">
        <f t="shared" si="51"/>
        <v>780.02215442468037</v>
      </c>
      <c r="CA87" s="526">
        <f t="shared" si="31"/>
        <v>0</v>
      </c>
    </row>
    <row r="88" spans="1:79">
      <c r="B88" s="64">
        <f>'1-EO_Calcul Reporting'!B112</f>
        <v>0</v>
      </c>
      <c r="C88" s="64" t="str">
        <f>'1-EO_Calcul Reporting'!C112</f>
        <v>E6571</v>
      </c>
      <c r="D88" s="192" t="str">
        <f>'1-EO_Calcul Reporting'!D112</f>
        <v>Stockage de l'Arce</v>
      </c>
      <c r="E88" s="254"/>
      <c r="F88" s="254"/>
      <c r="G88" s="254"/>
      <c r="H88" s="254"/>
      <c r="I88" s="254"/>
      <c r="J88" s="254"/>
      <c r="K88" s="254"/>
      <c r="L88" s="254"/>
      <c r="M88" s="254"/>
      <c r="N88" s="254"/>
      <c r="O88" s="254"/>
      <c r="P88" s="255"/>
      <c r="Q88" s="255">
        <f>_xll.LVCELL($D$1,Q$2,$C88,$D$2,$C$4,$C$5,$C$6,$C$7,$C$8,$D$3)/1000</f>
        <v>0</v>
      </c>
      <c r="R88" s="254">
        <f>_xll.LVCELL($D$1,R$3,$C88,$D$2,$C$4,$C$5,$C$6,$C$7,$C$8,$D$3)/1000</f>
        <v>0</v>
      </c>
      <c r="S88" s="254">
        <f>_xll.LVCELL($D$1,S$3,$C88,$D$2,$C$4,$C$5,$C$6,$C$7,$C$8,$D$3)/1000</f>
        <v>0</v>
      </c>
      <c r="T88" s="254">
        <f>_xll.LVCELL($D$1,T$3,$C88,$D$2,$C$4,$C$5,$C$6,$C$7,$C$8,$D$3)/1000</f>
        <v>0</v>
      </c>
      <c r="U88" s="254">
        <f>_xll.LVCELL($D$1,U$3,$C88,$D$2,$C$4,$C$5,$C$6,$C$7,$C$8,$D$3)/1000</f>
        <v>0</v>
      </c>
      <c r="V88" s="254">
        <f>_xll.LVCELL($D$1,V$3,$C88,$D$2,$C$4,$C$5,$C$6,$C$7,$C$8,$D$3)/1000</f>
        <v>0</v>
      </c>
      <c r="W88" s="254">
        <f>_xll.LVCELL($D$1,W$3,$C88,$D$2,$C$4,$C$5,$C$6,$C$7,$C$8,$D$3)/1000</f>
        <v>0</v>
      </c>
      <c r="X88" s="254">
        <f>_xll.LVCELL($D$1,X$3,$C88,$D$2,$C$4,$C$5,$C$6,$C$7,$C$8,$D$3)/1000</f>
        <v>0</v>
      </c>
      <c r="Y88" s="254">
        <f>_xll.LVCELL($D$1,Y$3,$C88,$D$2,$C$4,$C$5,$C$6,$C$7,$C$8,$D$3)/1000</f>
        <v>0</v>
      </c>
      <c r="Z88" s="254">
        <f>_xll.LVCELL($D$1,Z$3,$C88,$D$2,$C$4,$C$5,$C$6,$C$7,$C$8,$D$3)/1000</f>
        <v>0</v>
      </c>
      <c r="AA88" s="254">
        <f>_xll.LVCELL($D$1,AA$3,$C88,$D$2,$C$4,$C$5,$C$6,$C$7,$C$8,$D$3)/1000</f>
        <v>0</v>
      </c>
      <c r="AB88" s="254">
        <f>_xll.LVCELL($D$1,AB$3,$C88,$D$2,$C$4,$C$5,$C$6,$C$7,$C$8,$D$3)/1000</f>
        <v>0</v>
      </c>
      <c r="AC88" s="255">
        <f>_xll.LVCELL($D$1,AC$3,$C88,$D$2,$C$4,$C$5,$C$6,$C$7,$C$8,$D$3)/1000</f>
        <v>0</v>
      </c>
      <c r="AD88" s="255">
        <f>_xll.LVCELL($D$1,AD$2,$C88,$D$2,$C$4,$C$5,$C$6,$C$7,$C$8,$D$3)/1000</f>
        <v>0</v>
      </c>
      <c r="AE88" s="517">
        <f t="shared" si="43"/>
        <v>0</v>
      </c>
      <c r="AF88" s="256" t="e">
        <f t="shared" si="44"/>
        <v>#DIV/0!</v>
      </c>
      <c r="AG88" s="536"/>
      <c r="AJ88" s="64">
        <f t="shared" si="24"/>
        <v>0</v>
      </c>
      <c r="AK88" s="64" t="str">
        <f t="shared" si="25"/>
        <v>E6571</v>
      </c>
      <c r="AL88" s="192" t="str">
        <f t="shared" si="26"/>
        <v>Stockage de l'Arce</v>
      </c>
      <c r="AM88" s="254"/>
      <c r="AN88" s="254"/>
      <c r="AO88" s="254"/>
      <c r="AP88" s="254"/>
      <c r="AQ88" s="254"/>
      <c r="AR88" s="254"/>
      <c r="AS88" s="254"/>
      <c r="AT88" s="254"/>
      <c r="AU88" s="254"/>
      <c r="AV88" s="254"/>
      <c r="AW88" s="254"/>
      <c r="AX88" s="255"/>
      <c r="AY88" s="172">
        <f>_xll.LVCELL($AK$1,AY$2,$AK88,$AL$2,$AK$4,$AK$5,$AK$6,$AK$7,$AK$8,$AL$3)/1000</f>
        <v>50.8</v>
      </c>
      <c r="AZ88" s="172">
        <f>_xll.LVCELL($AK$1,AZ$3,$AK88,$AL$2,$AK$4,$AK$5,$AK$6,$AK$7,$AK$8,$AL$3)/1000</f>
        <v>0</v>
      </c>
      <c r="BA88" s="172">
        <f>_xll.LVCELL($AK$1,BA$3,$AK88,$AL$2,$AK$4,$AK$5,$AK$6,$AK$7,$AK$8,$AL$3)/1000</f>
        <v>0</v>
      </c>
      <c r="BB88" s="172">
        <f>_xll.LVCELL($AK$1,BB$3,$AK88,$AL$2,$AK$4,$AK$5,$AK$6,$AK$7,$AK$8,$AL$3)/1000</f>
        <v>0</v>
      </c>
      <c r="BC88" s="172">
        <f>_xll.LVCELL($AK$1,BC$3,$AK88,$AL$2,$AK$4,$AK$5,$AK$6,$AK$7,$AK$8,$AL$3)/1000</f>
        <v>0</v>
      </c>
      <c r="BD88" s="172">
        <f>_xll.LVCELL($AK$1,BD$3,$AK88,$AL$2,$AK$4,$AK$5,$AK$6,$AK$7,$AK$8,$AL$3)/1000</f>
        <v>0</v>
      </c>
      <c r="BE88" s="172">
        <f>_xll.LVCELL($AK$1,BE$3,$AK88,$AL$2,$AK$4,$AK$5,$AK$6,$AK$7,$AK$8,$AL$3)/1000</f>
        <v>0</v>
      </c>
      <c r="BF88" s="172">
        <f>_xll.LVCELL($AK$1,BF$3,$AK88,$AL$2,$AK$4,$AK$5,$AK$6,$AK$7,$AK$8,$AL$3)/1000</f>
        <v>0</v>
      </c>
      <c r="BG88" s="172">
        <f>_xll.LVCELL($AK$1,BG$3,$AK88,$AL$2,$AK$4,$AK$5,$AK$6,$AK$7,$AK$8,$AL$3)/1000</f>
        <v>0</v>
      </c>
      <c r="BH88" s="172">
        <f>_xll.LVCELL($AK$1,BH$3,$AK88,$AL$2,$AK$4,$AK$5,$AK$6,$AK$7,$AK$8,$AL$3)/1000</f>
        <v>0</v>
      </c>
      <c r="BI88" s="172">
        <f>_xll.LVCELL($AK$1,BI$3,$AK88,$AL$2,$AK$4,$AK$5,$AK$6,$AK$7,$AK$8,$AL$3)/1000</f>
        <v>0</v>
      </c>
      <c r="BJ88" s="172">
        <f>_xll.LVCELL($AK$1,BJ$3,$AK88,$AL$2,$AK$4,$AK$5,$AK$6,$AK$7,$AK$8,$AL$3)/1000</f>
        <v>0</v>
      </c>
      <c r="BK88" s="172">
        <f>_xll.LVCELL($AK$1,BK$3,$AK88,$AL$2,$AK$4,$AK$5,$AK$6,$AK$7,$AK$8,$AL$3)/1000</f>
        <v>0</v>
      </c>
      <c r="BL88" s="172">
        <f>_xll.LVCELL($AK$1,BL$2,$AK88,$AL$2,$AK$4,$AK$5,$AK$6,$AK$7,$AK$8,$AL$3)/1000</f>
        <v>0</v>
      </c>
      <c r="BM88" s="214">
        <f t="shared" si="45"/>
        <v>-50.8</v>
      </c>
      <c r="BN88" s="217">
        <f t="shared" si="46"/>
        <v>0</v>
      </c>
      <c r="BO88" s="218">
        <f t="shared" si="47"/>
        <v>0</v>
      </c>
      <c r="BP88" s="193">
        <f t="shared" si="48"/>
        <v>-1</v>
      </c>
      <c r="BQ88" s="255" t="s">
        <v>3557</v>
      </c>
      <c r="BS88" s="198">
        <f t="shared" si="49"/>
        <v>0</v>
      </c>
      <c r="BT88" s="198">
        <f t="shared" si="50"/>
        <v>0</v>
      </c>
      <c r="BU88" s="198">
        <f t="shared" si="32"/>
        <v>0</v>
      </c>
      <c r="BV88" s="199" t="str">
        <f t="shared" si="33"/>
        <v>N/A</v>
      </c>
      <c r="BX88" s="524">
        <f t="shared" ref="BX88" si="52">+AE88*BS88/1000</f>
        <v>0</v>
      </c>
      <c r="BY88" s="524">
        <f t="shared" ref="BY88" si="53">+BU88*AD88/1000</f>
        <v>0</v>
      </c>
      <c r="BZ88" s="524">
        <f t="shared" si="51"/>
        <v>0</v>
      </c>
      <c r="CA88" s="526">
        <f t="shared" si="31"/>
        <v>-50.8</v>
      </c>
    </row>
    <row r="89" spans="1:79">
      <c r="B89" s="64" t="str">
        <f>'1-EO_Calcul Reporting'!B113</f>
        <v>E5890</v>
      </c>
      <c r="C89" s="64" t="str">
        <f>'1-EO_Calcul Reporting'!C113</f>
        <v>E5890</v>
      </c>
      <c r="D89" s="192" t="str">
        <f>'1-EO_Calcul Reporting'!D113</f>
        <v>La Grande Borne</v>
      </c>
      <c r="E89" s="254"/>
      <c r="F89" s="254"/>
      <c r="G89" s="254"/>
      <c r="H89" s="254"/>
      <c r="I89" s="254"/>
      <c r="J89" s="254"/>
      <c r="K89" s="254"/>
      <c r="L89" s="254"/>
      <c r="M89" s="254"/>
      <c r="N89" s="254"/>
      <c r="O89" s="254"/>
      <c r="P89" s="255"/>
      <c r="Q89" s="255">
        <f>_xll.LVCELL($D$1,Q$2,$C89,$D$2,$C$4,$C$5,$C$6,$C$7,$C$8,$D$3)/1000</f>
        <v>0</v>
      </c>
      <c r="R89" s="254">
        <f>_xll.LVCELL($D$1,R$3,$C89,$D$2,$C$4,$C$5,$C$6,$C$7,$C$8,$D$3)/1000</f>
        <v>2698.91</v>
      </c>
      <c r="S89" s="254">
        <f>_xll.LVCELL($D$1,S$3,$C89,$D$2,$C$4,$C$5,$C$6,$C$7,$C$8,$D$3)/1000</f>
        <v>2373.06</v>
      </c>
      <c r="T89" s="254">
        <f>_xll.LVCELL($D$1,T$3,$C89,$D$2,$C$4,$C$5,$C$6,$C$7,$C$8,$D$3)/1000</f>
        <v>2919.36</v>
      </c>
      <c r="U89" s="254">
        <f>_xll.LVCELL($D$1,U$3,$C89,$D$2,$C$4,$C$5,$C$6,$C$7,$C$8,$D$3)/1000</f>
        <v>1756.0139999999999</v>
      </c>
      <c r="V89" s="254">
        <f>_xll.LVCELL($D$1,V$3,$C89,$D$2,$C$4,$C$5,$C$6,$C$7,$C$8,$D$3)/1000</f>
        <v>1629.9849999999999</v>
      </c>
      <c r="W89" s="254">
        <f>_xll.LVCELL($D$1,W$3,$C89,$D$2,$C$4,$C$5,$C$6,$C$7,$C$8,$D$3)/1000</f>
        <v>1674.1510000000001</v>
      </c>
      <c r="X89" s="254">
        <f>_xll.LVCELL($D$1,X$3,$C89,$D$2,$C$4,$C$5,$C$6,$C$7,$C$8,$D$3)/1000</f>
        <v>1640.2380000000001</v>
      </c>
      <c r="Y89" s="254">
        <f>_xll.LVCELL($D$1,Y$3,$C89,$D$2,$C$4,$C$5,$C$6,$C$7,$C$8,$D$3)/1000</f>
        <v>1294.183</v>
      </c>
      <c r="Z89" s="254">
        <f>_xll.LVCELL($D$1,Z$3,$C89,$D$2,$C$4,$C$5,$C$6,$C$7,$C$8,$D$3)/1000</f>
        <v>1620.817</v>
      </c>
      <c r="AA89" s="254">
        <f>_xll.LVCELL($D$1,AA$3,$C89,$D$2,$C$4,$C$5,$C$6,$C$7,$C$8,$D$3)/1000</f>
        <v>2101.645</v>
      </c>
      <c r="AB89" s="254">
        <f>_xll.LVCELL($D$1,AB$3,$C89,$D$2,$C$4,$C$5,$C$6,$C$7,$C$8,$D$3)/1000</f>
        <v>2222.3820000000001</v>
      </c>
      <c r="AC89" s="255">
        <f>_xll.LVCELL($D$1,AC$3,$C89,$D$2,$C$4,$C$5,$C$6,$C$7,$C$8,$D$3)/1000</f>
        <v>2506.6579999999999</v>
      </c>
      <c r="AD89" s="255">
        <f>_xll.LVCELL($D$1,AD$2,$C89,$D$2,$C$4,$C$5,$C$6,$C$7,$C$8,$D$3)/1000</f>
        <v>24437.402999999998</v>
      </c>
      <c r="AE89" s="517">
        <f t="shared" ref="AE89:AE93" si="54">AD89-Q89</f>
        <v>24437.402999999998</v>
      </c>
      <c r="AF89" s="256" t="e">
        <f t="shared" ref="AF89:AF93" si="55">AD89/Q89-1</f>
        <v>#DIV/0!</v>
      </c>
      <c r="AG89" s="536"/>
      <c r="AJ89" s="64" t="str">
        <f t="shared" ref="AJ89:AJ93" si="56">B89</f>
        <v>E5890</v>
      </c>
      <c r="AK89" s="64" t="str">
        <f t="shared" ref="AK89:AK93" si="57">C89</f>
        <v>E5890</v>
      </c>
      <c r="AL89" s="192" t="str">
        <f t="shared" ref="AL89:AL93" si="58">D89</f>
        <v>La Grande Borne</v>
      </c>
      <c r="AM89" s="254"/>
      <c r="AN89" s="254"/>
      <c r="AO89" s="254"/>
      <c r="AP89" s="254"/>
      <c r="AQ89" s="254"/>
      <c r="AR89" s="254"/>
      <c r="AS89" s="254"/>
      <c r="AT89" s="254"/>
      <c r="AU89" s="254"/>
      <c r="AV89" s="254"/>
      <c r="AW89" s="254"/>
      <c r="AX89" s="255"/>
      <c r="AY89" s="172">
        <f>_xll.LVCELL($AK$1,AY$2,$AK89,$AL$2,$AK$4,$AK$5,$AK$6,$AK$7,$AK$8,$AL$3)/1000</f>
        <v>0</v>
      </c>
      <c r="AZ89" s="172">
        <f>_xll.LVCELL($AK$1,AZ$3,$AK89,$AL$2,$AK$4,$AK$5,$AK$6,$AK$7,$AK$8,$AL$3)/1000</f>
        <v>206.34786295999999</v>
      </c>
      <c r="BA89" s="172">
        <f>_xll.LVCELL($AK$1,BA$3,$AK89,$AL$2,$AK$4,$AK$5,$AK$6,$AK$7,$AK$8,$AL$3)/1000</f>
        <v>181.43467536</v>
      </c>
      <c r="BB89" s="172">
        <f>_xll.LVCELL($AK$1,BB$3,$AK89,$AL$2,$AK$4,$AK$5,$AK$6,$AK$7,$AK$8,$AL$3)/1000</f>
        <v>223.20258815999998</v>
      </c>
      <c r="BC89" s="172">
        <f>_xll.LVCELL($AK$1,BC$3,$AK89,$AL$2,$AK$4,$AK$5,$AK$6,$AK$7,$AK$8,$AL$3)/1000</f>
        <v>134.25780638399999</v>
      </c>
      <c r="BD89" s="172">
        <f>_xll.LVCELL($AK$1,BD$3,$AK89,$AL$2,$AK$4,$AK$5,$AK$6,$AK$7,$AK$8,$AL$3)/1000</f>
        <v>124.62213316</v>
      </c>
      <c r="BE89" s="172">
        <f>_xll.LVCELL($AK$1,BE$3,$AK89,$AL$2,$AK$4,$AK$5,$AK$6,$AK$7,$AK$8,$AL$3)/1000</f>
        <v>127.99888885600001</v>
      </c>
      <c r="BF89" s="172">
        <f>_xll.LVCELL($AK$1,BF$3,$AK89,$AL$2,$AK$4,$AK$5,$AK$6,$AK$7,$AK$8,$AL$3)/1000</f>
        <v>125.406036528</v>
      </c>
      <c r="BG89" s="172">
        <f>_xll.LVCELL($AK$1,BG$3,$AK89,$AL$2,$AK$4,$AK$5,$AK$6,$AK$7,$AK$8,$AL$3)/1000</f>
        <v>98.948055448000005</v>
      </c>
      <c r="BH89" s="172">
        <f>_xll.LVCELL($AK$1,BH$3,$AK89,$AL$2,$AK$4,$AK$5,$AK$6,$AK$7,$AK$8,$AL$3)/1000</f>
        <v>123.921184552</v>
      </c>
      <c r="BI89" s="172">
        <f>_xll.LVCELL($AK$1,BI$3,$AK89,$AL$2,$AK$4,$AK$5,$AK$6,$AK$7,$AK$8,$AL$3)/1000</f>
        <v>160.68337012000001</v>
      </c>
      <c r="BJ89" s="172">
        <f>_xll.LVCELL($AK$1,BJ$3,$AK89,$AL$2,$AK$4,$AK$5,$AK$6,$AK$7,$AK$8,$AL$3)/1000</f>
        <v>169.91443819200001</v>
      </c>
      <c r="BK89" s="172">
        <f>_xll.LVCELL($AK$1,BK$3,$AK89,$AL$2,$AK$4,$AK$5,$AK$6,$AK$7,$AK$8,$AL$3)/1000</f>
        <v>191.64904404799998</v>
      </c>
      <c r="BL89" s="172">
        <f>_xll.LVCELL($AK$1,BL$2,$AK89,$AL$2,$AK$4,$AK$5,$AK$6,$AK$7,$AK$8,$AL$3)/1000</f>
        <v>1868.3860837679999</v>
      </c>
      <c r="BM89" s="214">
        <f t="shared" ref="BM89:BM93" si="59">BL89-AY89</f>
        <v>1868.3860837679999</v>
      </c>
      <c r="BN89" s="217">
        <f t="shared" ref="BN89:BN93" si="60">BX89</f>
        <v>0</v>
      </c>
      <c r="BO89" s="218">
        <f t="shared" ref="BO89:BO93" si="61">BY89</f>
        <v>0</v>
      </c>
      <c r="BP89" s="193" t="e">
        <f t="shared" ref="BP89:BP93" si="62">BL89/AY89-1</f>
        <v>#DIV/0!</v>
      </c>
      <c r="BQ89" s="255" t="s">
        <v>3558</v>
      </c>
      <c r="BS89" s="198">
        <f t="shared" si="49"/>
        <v>0</v>
      </c>
      <c r="BT89" s="198">
        <f t="shared" ref="BT89:BT93" si="63">+IFERROR(BL89/AD89*1000,0)</f>
        <v>76.456000000000003</v>
      </c>
      <c r="BU89" s="198">
        <f t="shared" ref="BU89:BU93" si="64">+BT89-BS89</f>
        <v>76.456000000000003</v>
      </c>
      <c r="BV89" s="199" t="str">
        <f t="shared" ref="BV89:BV93" si="65">+IFERROR(BU89/BS89,"N/A")</f>
        <v>N/A</v>
      </c>
      <c r="BX89" s="524"/>
      <c r="BY89" s="524"/>
      <c r="BZ89" s="524"/>
      <c r="CA89" s="526"/>
    </row>
    <row r="90" spans="1:79">
      <c r="B90" s="64" t="str">
        <f>'1-EO_Calcul Reporting'!B114</f>
        <v>E6730</v>
      </c>
      <c r="C90" s="64" t="str">
        <f>'1-EO_Calcul Reporting'!C114</f>
        <v>E6730</v>
      </c>
      <c r="D90" s="192" t="str">
        <f>'1-EO_Calcul Reporting'!D114</f>
        <v>Repowering Evit Et Josaphats</v>
      </c>
      <c r="E90" s="254"/>
      <c r="F90" s="254"/>
      <c r="G90" s="254"/>
      <c r="H90" s="254"/>
      <c r="I90" s="254"/>
      <c r="J90" s="254"/>
      <c r="K90" s="254"/>
      <c r="L90" s="254"/>
      <c r="M90" s="254"/>
      <c r="N90" s="254"/>
      <c r="O90" s="254"/>
      <c r="P90" s="255"/>
      <c r="Q90" s="255">
        <f>_xll.LVCELL($D$1,Q$2,$C90,$D$2,$C$4,$C$5,$C$6,$C$7,$C$8,$D$3)/1000</f>
        <v>0</v>
      </c>
      <c r="R90" s="254">
        <f>_xll.LVCELL($D$1,R$3,$C90,$D$2,$C$4,$C$5,$C$6,$C$7,$C$8,$D$3)/1000</f>
        <v>0</v>
      </c>
      <c r="S90" s="254">
        <f>_xll.LVCELL($D$1,S$3,$C90,$D$2,$C$4,$C$5,$C$6,$C$7,$C$8,$D$3)/1000</f>
        <v>0</v>
      </c>
      <c r="T90" s="254">
        <f>_xll.LVCELL($D$1,T$3,$C90,$D$2,$C$4,$C$5,$C$6,$C$7,$C$8,$D$3)/1000</f>
        <v>0</v>
      </c>
      <c r="U90" s="254">
        <f>_xll.LVCELL($D$1,U$3,$C90,$D$2,$C$4,$C$5,$C$6,$C$7,$C$8,$D$3)/1000</f>
        <v>0</v>
      </c>
      <c r="V90" s="254">
        <f>_xll.LVCELL($D$1,V$3,$C90,$D$2,$C$4,$C$5,$C$6,$C$7,$C$8,$D$3)/1000</f>
        <v>0</v>
      </c>
      <c r="W90" s="254">
        <f>_xll.LVCELL($D$1,W$3,$C90,$D$2,$C$4,$C$5,$C$6,$C$7,$C$8,$D$3)/1000</f>
        <v>0</v>
      </c>
      <c r="X90" s="254">
        <f>_xll.LVCELL($D$1,X$3,$C90,$D$2,$C$4,$C$5,$C$6,$C$7,$C$8,$D$3)/1000</f>
        <v>0</v>
      </c>
      <c r="Y90" s="254">
        <f>_xll.LVCELL($D$1,Y$3,$C90,$D$2,$C$4,$C$5,$C$6,$C$7,$C$8,$D$3)/1000</f>
        <v>2238.2220000000002</v>
      </c>
      <c r="Z90" s="254">
        <f>_xll.LVCELL($D$1,Z$3,$C90,$D$2,$C$4,$C$5,$C$6,$C$7,$C$8,$D$3)/1000</f>
        <v>2660.5279999999998</v>
      </c>
      <c r="AA90" s="254">
        <f>_xll.LVCELL($D$1,AA$3,$C90,$D$2,$C$4,$C$5,$C$6,$C$7,$C$8,$D$3)/1000</f>
        <v>3631.8319999999999</v>
      </c>
      <c r="AB90" s="254">
        <f>_xll.LVCELL($D$1,AB$3,$C90,$D$2,$C$4,$C$5,$C$6,$C$7,$C$8,$D$3)/1000</f>
        <v>4223.0609999999997</v>
      </c>
      <c r="AC90" s="255">
        <f>_xll.LVCELL($D$1,AC$3,$C90,$D$2,$C$4,$C$5,$C$6,$C$7,$C$8,$D$3)/1000</f>
        <v>5067.6729999999998</v>
      </c>
      <c r="AD90" s="255">
        <f>_xll.LVCELL($D$1,AD$2,$C90,$D$2,$C$4,$C$5,$C$6,$C$7,$C$8,$D$3)/1000</f>
        <v>17821.315999999999</v>
      </c>
      <c r="AE90" s="517">
        <f t="shared" si="54"/>
        <v>17821.315999999999</v>
      </c>
      <c r="AF90" s="256" t="e">
        <f t="shared" si="55"/>
        <v>#DIV/0!</v>
      </c>
      <c r="AG90" s="536"/>
      <c r="AJ90" s="64" t="str">
        <f t="shared" si="56"/>
        <v>E6730</v>
      </c>
      <c r="AK90" s="64" t="str">
        <f t="shared" si="57"/>
        <v>E6730</v>
      </c>
      <c r="AL90" s="192" t="str">
        <f t="shared" si="58"/>
        <v>Repowering Evit Et Josaphats</v>
      </c>
      <c r="AM90" s="254"/>
      <c r="AN90" s="254"/>
      <c r="AO90" s="254"/>
      <c r="AP90" s="254"/>
      <c r="AQ90" s="254"/>
      <c r="AR90" s="254"/>
      <c r="AS90" s="254"/>
      <c r="AT90" s="254"/>
      <c r="AU90" s="254"/>
      <c r="AV90" s="254"/>
      <c r="AW90" s="254"/>
      <c r="AX90" s="255"/>
      <c r="AY90" s="172">
        <f>_xll.LVCELL($AK$1,AY$2,$AK90,$AL$2,$AK$4,$AK$5,$AK$6,$AK$7,$AK$8,$AL$3)/1000</f>
        <v>0</v>
      </c>
      <c r="AZ90" s="172">
        <f>_xll.LVCELL($AK$1,AZ$3,$AK90,$AL$2,$AK$4,$AK$5,$AK$6,$AK$7,$AK$8,$AL$3)/1000</f>
        <v>0</v>
      </c>
      <c r="BA90" s="172">
        <f>_xll.LVCELL($AK$1,BA$3,$AK90,$AL$2,$AK$4,$AK$5,$AK$6,$AK$7,$AK$8,$AL$3)/1000</f>
        <v>0</v>
      </c>
      <c r="BB90" s="172">
        <f>_xll.LVCELL($AK$1,BB$3,$AK90,$AL$2,$AK$4,$AK$5,$AK$6,$AK$7,$AK$8,$AL$3)/1000</f>
        <v>0</v>
      </c>
      <c r="BC90" s="172">
        <f>_xll.LVCELL($AK$1,BC$3,$AK90,$AL$2,$AK$4,$AK$5,$AK$6,$AK$7,$AK$8,$AL$3)/1000</f>
        <v>0</v>
      </c>
      <c r="BD90" s="172">
        <f>_xll.LVCELL($AK$1,BD$3,$AK90,$AL$2,$AK$4,$AK$5,$AK$6,$AK$7,$AK$8,$AL$3)/1000</f>
        <v>0</v>
      </c>
      <c r="BE90" s="172">
        <f>_xll.LVCELL($AK$1,BE$3,$AK90,$AL$2,$AK$4,$AK$5,$AK$6,$AK$7,$AK$8,$AL$3)/1000</f>
        <v>0</v>
      </c>
      <c r="BF90" s="172">
        <f>_xll.LVCELL($AK$1,BF$3,$AK90,$AL$2,$AK$4,$AK$5,$AK$6,$AK$7,$AK$8,$AL$3)/1000</f>
        <v>0</v>
      </c>
      <c r="BG90" s="172">
        <f>_xll.LVCELL($AK$1,BG$3,$AK90,$AL$2,$AK$4,$AK$5,$AK$6,$AK$7,$AK$8,$AL$3)/1000</f>
        <v>165.15840137999999</v>
      </c>
      <c r="BH90" s="172">
        <f>_xll.LVCELL($AK$1,BH$3,$AK90,$AL$2,$AK$4,$AK$5,$AK$6,$AK$7,$AK$8,$AL$3)/1000</f>
        <v>196.32036112000003</v>
      </c>
      <c r="BI90" s="172">
        <f>_xll.LVCELL($AK$1,BI$3,$AK90,$AL$2,$AK$4,$AK$5,$AK$6,$AK$7,$AK$8,$AL$3)/1000</f>
        <v>267.99288328</v>
      </c>
      <c r="BJ90" s="172">
        <f>_xll.LVCELL($AK$1,BJ$3,$AK90,$AL$2,$AK$4,$AK$5,$AK$6,$AK$7,$AK$8,$AL$3)/1000</f>
        <v>311.61967119000002</v>
      </c>
      <c r="BK90" s="172">
        <f>_xll.LVCELL($AK$1,BK$3,$AK90,$AL$2,$AK$4,$AK$5,$AK$6,$AK$7,$AK$8,$AL$3)/1000</f>
        <v>373.94359066999999</v>
      </c>
      <c r="BL90" s="172">
        <f>_xll.LVCELL($AK$1,BL$2,$AK90,$AL$2,$AK$4,$AK$5,$AK$6,$AK$7,$AK$8,$AL$3)/1000</f>
        <v>1315.0349076399998</v>
      </c>
      <c r="BM90" s="214">
        <f t="shared" si="59"/>
        <v>1315.0349076399998</v>
      </c>
      <c r="BN90" s="217">
        <f t="shared" si="60"/>
        <v>0</v>
      </c>
      <c r="BO90" s="218">
        <f t="shared" si="61"/>
        <v>0</v>
      </c>
      <c r="BP90" s="193" t="e">
        <f t="shared" si="62"/>
        <v>#DIV/0!</v>
      </c>
      <c r="BQ90" s="255" t="s">
        <v>3558</v>
      </c>
      <c r="BS90" s="198">
        <f t="shared" si="49"/>
        <v>0</v>
      </c>
      <c r="BT90" s="198">
        <f t="shared" si="63"/>
        <v>73.789999999999992</v>
      </c>
      <c r="BU90" s="198">
        <f t="shared" si="64"/>
        <v>73.789999999999992</v>
      </c>
      <c r="BV90" s="199" t="str">
        <f t="shared" si="65"/>
        <v>N/A</v>
      </c>
      <c r="BX90" s="524"/>
      <c r="BY90" s="524"/>
      <c r="BZ90" s="524"/>
      <c r="CA90" s="526"/>
    </row>
    <row r="91" spans="1:79">
      <c r="B91" s="64" t="str">
        <f>'1-EO_Calcul Reporting'!B115</f>
        <v>E6740</v>
      </c>
      <c r="C91" s="64" t="str">
        <f>'1-EO_Calcul Reporting'!C115</f>
        <v>E6740</v>
      </c>
      <c r="D91" s="192" t="str">
        <f>'1-EO_Calcul Reporting'!D115</f>
        <v>Repowering Reclainville</v>
      </c>
      <c r="E91" s="254"/>
      <c r="F91" s="254"/>
      <c r="G91" s="254"/>
      <c r="H91" s="254"/>
      <c r="I91" s="254"/>
      <c r="J91" s="254"/>
      <c r="K91" s="254"/>
      <c r="L91" s="254"/>
      <c r="M91" s="254"/>
      <c r="N91" s="254"/>
      <c r="O91" s="254"/>
      <c r="P91" s="255"/>
      <c r="Q91" s="255">
        <f>_xll.LVCELL($D$1,Q$2,$C91,$D$2,$C$4,$C$5,$C$6,$C$7,$C$8,$D$3)/1000</f>
        <v>0</v>
      </c>
      <c r="R91" s="254">
        <f>_xll.LVCELL($D$1,R$3,$C91,$D$2,$C$4,$C$5,$C$6,$C$7,$C$8,$D$3)/1000</f>
        <v>0</v>
      </c>
      <c r="S91" s="254">
        <f>_xll.LVCELL($D$1,S$3,$C91,$D$2,$C$4,$C$5,$C$6,$C$7,$C$8,$D$3)/1000</f>
        <v>0</v>
      </c>
      <c r="T91" s="254">
        <f>_xll.LVCELL($D$1,T$3,$C91,$D$2,$C$4,$C$5,$C$6,$C$7,$C$8,$D$3)/1000</f>
        <v>0</v>
      </c>
      <c r="U91" s="254">
        <f>_xll.LVCELL($D$1,U$3,$C91,$D$2,$C$4,$C$5,$C$6,$C$7,$C$8,$D$3)/1000</f>
        <v>0</v>
      </c>
      <c r="V91" s="254">
        <f>_xll.LVCELL($D$1,V$3,$C91,$D$2,$C$4,$C$5,$C$6,$C$7,$C$8,$D$3)/1000</f>
        <v>0</v>
      </c>
      <c r="W91" s="254">
        <f>_xll.LVCELL($D$1,W$3,$C91,$D$2,$C$4,$C$5,$C$6,$C$7,$C$8,$D$3)/1000</f>
        <v>0</v>
      </c>
      <c r="X91" s="254">
        <f>_xll.LVCELL($D$1,X$3,$C91,$D$2,$C$4,$C$5,$C$6,$C$7,$C$8,$D$3)/1000</f>
        <v>2373.741</v>
      </c>
      <c r="Y91" s="254">
        <f>_xll.LVCELL($D$1,Y$3,$C91,$D$2,$C$4,$C$5,$C$6,$C$7,$C$8,$D$3)/1000</f>
        <v>2210.0349999999999</v>
      </c>
      <c r="Z91" s="254">
        <f>_xll.LVCELL($D$1,Z$3,$C91,$D$2,$C$4,$C$5,$C$6,$C$7,$C$8,$D$3)/1000</f>
        <v>2619.3009999999999</v>
      </c>
      <c r="AA91" s="254">
        <f>_xll.LVCELL($D$1,AA$3,$C91,$D$2,$C$4,$C$5,$C$6,$C$7,$C$8,$D$3)/1000</f>
        <v>3519.6860000000001</v>
      </c>
      <c r="AB91" s="254">
        <f>_xll.LVCELL($D$1,AB$3,$C91,$D$2,$C$4,$C$5,$C$6,$C$7,$C$8,$D$3)/1000</f>
        <v>4051.7310000000002</v>
      </c>
      <c r="AC91" s="255">
        <f>_xll.LVCELL($D$1,AC$3,$C91,$D$2,$C$4,$C$5,$C$6,$C$7,$C$8,$D$3)/1000</f>
        <v>4870.2629999999999</v>
      </c>
      <c r="AD91" s="255">
        <f>_xll.LVCELL($D$1,AD$2,$C91,$D$2,$C$4,$C$5,$C$6,$C$7,$C$8,$D$3)/1000</f>
        <v>19644.757000000001</v>
      </c>
      <c r="AE91" s="517">
        <f t="shared" si="54"/>
        <v>19644.757000000001</v>
      </c>
      <c r="AF91" s="256" t="e">
        <f t="shared" si="55"/>
        <v>#DIV/0!</v>
      </c>
      <c r="AG91" s="536"/>
      <c r="AJ91" s="64" t="str">
        <f t="shared" si="56"/>
        <v>E6740</v>
      </c>
      <c r="AK91" s="64" t="str">
        <f t="shared" si="57"/>
        <v>E6740</v>
      </c>
      <c r="AL91" s="192" t="str">
        <f t="shared" si="58"/>
        <v>Repowering Reclainville</v>
      </c>
      <c r="AM91" s="254"/>
      <c r="AN91" s="254"/>
      <c r="AO91" s="254"/>
      <c r="AP91" s="254"/>
      <c r="AQ91" s="254"/>
      <c r="AR91" s="254"/>
      <c r="AS91" s="254"/>
      <c r="AT91" s="254"/>
      <c r="AU91" s="254"/>
      <c r="AV91" s="254"/>
      <c r="AW91" s="254"/>
      <c r="AX91" s="255"/>
      <c r="AY91" s="172">
        <f>_xll.LVCELL($AK$1,AY$2,$AK91,$AL$2,$AK$4,$AK$5,$AK$6,$AK$7,$AK$8,$AL$3)/1000</f>
        <v>0</v>
      </c>
      <c r="AZ91" s="172">
        <f>_xll.LVCELL($AK$1,AZ$3,$AK91,$AL$2,$AK$4,$AK$5,$AK$6,$AK$7,$AK$8,$AL$3)/1000</f>
        <v>0</v>
      </c>
      <c r="BA91" s="172">
        <f>_xll.LVCELL($AK$1,BA$3,$AK91,$AL$2,$AK$4,$AK$5,$AK$6,$AK$7,$AK$8,$AL$3)/1000</f>
        <v>0</v>
      </c>
      <c r="BB91" s="172">
        <f>_xll.LVCELL($AK$1,BB$3,$AK91,$AL$2,$AK$4,$AK$5,$AK$6,$AK$7,$AK$8,$AL$3)/1000</f>
        <v>0</v>
      </c>
      <c r="BC91" s="172">
        <f>_xll.LVCELL($AK$1,BC$3,$AK91,$AL$2,$AK$4,$AK$5,$AK$6,$AK$7,$AK$8,$AL$3)/1000</f>
        <v>0</v>
      </c>
      <c r="BD91" s="172">
        <f>_xll.LVCELL($AK$1,BD$3,$AK91,$AL$2,$AK$4,$AK$5,$AK$6,$AK$7,$AK$8,$AL$3)/1000</f>
        <v>0</v>
      </c>
      <c r="BE91" s="172">
        <f>_xll.LVCELL($AK$1,BE$3,$AK91,$AL$2,$AK$4,$AK$5,$AK$6,$AK$7,$AK$8,$AL$3)/1000</f>
        <v>0</v>
      </c>
      <c r="BF91" s="172">
        <f>_xll.LVCELL($AK$1,BF$3,$AK91,$AL$2,$AK$4,$AK$5,$AK$6,$AK$7,$AK$8,$AL$3)/1000</f>
        <v>175.15834838999999</v>
      </c>
      <c r="BG91" s="172">
        <f>_xll.LVCELL($AK$1,BG$3,$AK91,$AL$2,$AK$4,$AK$5,$AK$6,$AK$7,$AK$8,$AL$3)/1000</f>
        <v>163.07848265000001</v>
      </c>
      <c r="BH91" s="172">
        <f>_xll.LVCELL($AK$1,BH$3,$AK91,$AL$2,$AK$4,$AK$5,$AK$6,$AK$7,$AK$8,$AL$3)/1000</f>
        <v>193.27822079000001</v>
      </c>
      <c r="BI91" s="172">
        <f>_xll.LVCELL($AK$1,BI$3,$AK91,$AL$2,$AK$4,$AK$5,$AK$6,$AK$7,$AK$8,$AL$3)/1000</f>
        <v>259.71762993999999</v>
      </c>
      <c r="BJ91" s="172">
        <f>_xll.LVCELL($AK$1,BJ$3,$AK91,$AL$2,$AK$4,$AK$5,$AK$6,$AK$7,$AK$8,$AL$3)/1000</f>
        <v>298.97723049000001</v>
      </c>
      <c r="BK91" s="172">
        <f>_xll.LVCELL($AK$1,BK$3,$AK91,$AL$2,$AK$4,$AK$5,$AK$6,$AK$7,$AK$8,$AL$3)/1000</f>
        <v>359.37670677</v>
      </c>
      <c r="BL91" s="172">
        <f>_xll.LVCELL($AK$1,BL$2,$AK91,$AL$2,$AK$4,$AK$5,$AK$6,$AK$7,$AK$8,$AL$3)/1000</f>
        <v>1449.5866190299998</v>
      </c>
      <c r="BM91" s="214">
        <f t="shared" si="59"/>
        <v>1449.5866190299998</v>
      </c>
      <c r="BN91" s="217">
        <f t="shared" si="60"/>
        <v>0</v>
      </c>
      <c r="BO91" s="218">
        <f t="shared" si="61"/>
        <v>0</v>
      </c>
      <c r="BP91" s="193" t="e">
        <f t="shared" si="62"/>
        <v>#DIV/0!</v>
      </c>
      <c r="BQ91" s="255" t="s">
        <v>3558</v>
      </c>
      <c r="BS91" s="198">
        <f t="shared" si="49"/>
        <v>0</v>
      </c>
      <c r="BT91" s="198">
        <f t="shared" si="63"/>
        <v>73.789999999999978</v>
      </c>
      <c r="BU91" s="198">
        <f t="shared" si="64"/>
        <v>73.789999999999978</v>
      </c>
      <c r="BV91" s="199" t="str">
        <f t="shared" si="65"/>
        <v>N/A</v>
      </c>
      <c r="BX91" s="524"/>
      <c r="BY91" s="524"/>
      <c r="BZ91" s="524"/>
      <c r="CA91" s="526"/>
    </row>
    <row r="92" spans="1:79">
      <c r="B92" s="64" t="str">
        <f>'1-EO_Calcul Reporting'!B116</f>
        <v>E6290</v>
      </c>
      <c r="C92" s="64" t="str">
        <f>'1-EO_Calcul Reporting'!C116</f>
        <v>E6290</v>
      </c>
      <c r="D92" s="192" t="str">
        <f>'1-EO_Calcul Reporting'!D116</f>
        <v>Bois des Fontaines</v>
      </c>
      <c r="E92" s="254"/>
      <c r="F92" s="254"/>
      <c r="G92" s="254"/>
      <c r="H92" s="254"/>
      <c r="I92" s="254"/>
      <c r="J92" s="254"/>
      <c r="K92" s="254"/>
      <c r="L92" s="254"/>
      <c r="M92" s="254"/>
      <c r="N92" s="254"/>
      <c r="O92" s="254"/>
      <c r="P92" s="255"/>
      <c r="Q92" s="255">
        <f>_xll.LVCELL($D$1,Q$2,$C92,$D$2,$C$4,$C$5,$C$6,$C$7,$C$8,$D$3)/1000</f>
        <v>0</v>
      </c>
      <c r="R92" s="254">
        <f>_xll.LVCELL($D$1,R$3,$C92,$D$2,$C$4,$C$5,$C$6,$C$7,$C$8,$D$3)/1000</f>
        <v>0</v>
      </c>
      <c r="S92" s="254">
        <f>_xll.LVCELL($D$1,S$3,$C92,$D$2,$C$4,$C$5,$C$6,$C$7,$C$8,$D$3)/1000</f>
        <v>0</v>
      </c>
      <c r="T92" s="254">
        <f>_xll.LVCELL($D$1,T$3,$C92,$D$2,$C$4,$C$5,$C$6,$C$7,$C$8,$D$3)/1000</f>
        <v>0</v>
      </c>
      <c r="U92" s="254">
        <f>_xll.LVCELL($D$1,U$3,$C92,$D$2,$C$4,$C$5,$C$6,$C$7,$C$8,$D$3)/1000</f>
        <v>0</v>
      </c>
      <c r="V92" s="254">
        <f>_xll.LVCELL($D$1,V$3,$C92,$D$2,$C$4,$C$5,$C$6,$C$7,$C$8,$D$3)/1000</f>
        <v>0</v>
      </c>
      <c r="W92" s="254">
        <f>_xll.LVCELL($D$1,W$3,$C92,$D$2,$C$4,$C$5,$C$6,$C$7,$C$8,$D$3)/1000</f>
        <v>3011.7150000000001</v>
      </c>
      <c r="X92" s="254">
        <f>_xll.LVCELL($D$1,X$3,$C92,$D$2,$C$4,$C$5,$C$6,$C$7,$C$8,$D$3)/1000</f>
        <v>3234.8049999999998</v>
      </c>
      <c r="Y92" s="254">
        <f>_xll.LVCELL($D$1,Y$3,$C92,$D$2,$C$4,$C$5,$C$6,$C$7,$C$8,$D$3)/1000</f>
        <v>2955.942</v>
      </c>
      <c r="Z92" s="254">
        <f>_xll.LVCELL($D$1,Z$3,$C92,$D$2,$C$4,$C$5,$C$6,$C$7,$C$8,$D$3)/1000</f>
        <v>3513.6669999999999</v>
      </c>
      <c r="AA92" s="254">
        <f>_xll.LVCELL($D$1,AA$3,$C92,$D$2,$C$4,$C$5,$C$6,$C$7,$C$8,$D$3)/1000</f>
        <v>4796.4340000000002</v>
      </c>
      <c r="AB92" s="254">
        <f>_xll.LVCELL($D$1,AB$3,$C92,$D$2,$C$4,$C$5,$C$6,$C$7,$C$8,$D$3)/1000</f>
        <v>5577.2489999999998</v>
      </c>
      <c r="AC92" s="255">
        <f>_xll.LVCELL($D$1,AC$3,$C92,$D$2,$C$4,$C$5,$C$6,$C$7,$C$8,$D$3)/1000</f>
        <v>6692.6989999999996</v>
      </c>
      <c r="AD92" s="255">
        <f>_xll.LVCELL($D$1,AD$2,$C92,$D$2,$C$4,$C$5,$C$6,$C$7,$C$8,$D$3)/1000</f>
        <v>29782.510999999999</v>
      </c>
      <c r="AE92" s="517">
        <f t="shared" si="54"/>
        <v>29782.510999999999</v>
      </c>
      <c r="AF92" s="256" t="e">
        <f t="shared" si="55"/>
        <v>#DIV/0!</v>
      </c>
      <c r="AG92" s="536"/>
      <c r="AJ92" s="64" t="str">
        <f t="shared" si="56"/>
        <v>E6290</v>
      </c>
      <c r="AK92" s="64" t="str">
        <f t="shared" si="57"/>
        <v>E6290</v>
      </c>
      <c r="AL92" s="192" t="str">
        <f t="shared" si="58"/>
        <v>Bois des Fontaines</v>
      </c>
      <c r="AM92" s="254"/>
      <c r="AN92" s="254"/>
      <c r="AO92" s="254"/>
      <c r="AP92" s="254"/>
      <c r="AQ92" s="254"/>
      <c r="AR92" s="254"/>
      <c r="AS92" s="254"/>
      <c r="AT92" s="254"/>
      <c r="AU92" s="254"/>
      <c r="AV92" s="254"/>
      <c r="AW92" s="254"/>
      <c r="AX92" s="255"/>
      <c r="AY92" s="172">
        <f>_xll.LVCELL($AK$1,AY$2,$AK92,$AL$2,$AK$4,$AK$5,$AK$6,$AK$7,$AK$8,$AL$3)/1000</f>
        <v>0</v>
      </c>
      <c r="AZ92" s="172">
        <f>_xll.LVCELL($AK$1,AZ$3,$AK92,$AL$2,$AK$4,$AK$5,$AK$6,$AK$7,$AK$8,$AL$3)/1000</f>
        <v>0</v>
      </c>
      <c r="BA92" s="172">
        <f>_xll.LVCELL($AK$1,BA$3,$AK92,$AL$2,$AK$4,$AK$5,$AK$6,$AK$7,$AK$8,$AL$3)/1000</f>
        <v>0</v>
      </c>
      <c r="BB92" s="172">
        <f>_xll.LVCELL($AK$1,BB$3,$AK92,$AL$2,$AK$4,$AK$5,$AK$6,$AK$7,$AK$8,$AL$3)/1000</f>
        <v>0</v>
      </c>
      <c r="BC92" s="172">
        <f>_xll.LVCELL($AK$1,BC$3,$AK92,$AL$2,$AK$4,$AK$5,$AK$6,$AK$7,$AK$8,$AL$3)/1000</f>
        <v>0</v>
      </c>
      <c r="BD92" s="172">
        <f>_xll.LVCELL($AK$1,BD$3,$AK92,$AL$2,$AK$4,$AK$5,$AK$6,$AK$7,$AK$8,$AL$3)/1000</f>
        <v>0</v>
      </c>
      <c r="BE92" s="172">
        <f>_xll.LVCELL($AK$1,BE$3,$AK92,$AL$2,$AK$4,$AK$5,$AK$6,$AK$7,$AK$8,$AL$3)/1000</f>
        <v>203.17029389999999</v>
      </c>
      <c r="BF92" s="172">
        <f>_xll.LVCELL($AK$1,BF$3,$AK92,$AL$2,$AK$4,$AK$5,$AK$6,$AK$7,$AK$8,$AL$3)/1000</f>
        <v>218.21994530000003</v>
      </c>
      <c r="BG92" s="172">
        <f>_xll.LVCELL($AK$1,BG$3,$AK92,$AL$2,$AK$4,$AK$5,$AK$6,$AK$7,$AK$8,$AL$3)/1000</f>
        <v>199.40784732</v>
      </c>
      <c r="BH92" s="172">
        <f>_xll.LVCELL($AK$1,BH$3,$AK92,$AL$2,$AK$4,$AK$5,$AK$6,$AK$7,$AK$8,$AL$3)/1000</f>
        <v>237.03197581999999</v>
      </c>
      <c r="BI92" s="172">
        <f>_xll.LVCELL($AK$1,BI$3,$AK92,$AL$2,$AK$4,$AK$5,$AK$6,$AK$7,$AK$8,$AL$3)/1000</f>
        <v>323.56743764000004</v>
      </c>
      <c r="BJ92" s="172">
        <f>_xll.LVCELL($AK$1,BJ$3,$AK92,$AL$2,$AK$4,$AK$5,$AK$6,$AK$7,$AK$8,$AL$3)/1000</f>
        <v>376.24121753999998</v>
      </c>
      <c r="BK92" s="172">
        <f>_xll.LVCELL($AK$1,BK$3,$AK92,$AL$2,$AK$4,$AK$5,$AK$6,$AK$7,$AK$8,$AL$3)/1000</f>
        <v>451.48947453999995</v>
      </c>
      <c r="BL92" s="172">
        <f>_xll.LVCELL($AK$1,BL$2,$AK92,$AL$2,$AK$4,$AK$5,$AK$6,$AK$7,$AK$8,$AL$3)/1000</f>
        <v>2009.1281920599999</v>
      </c>
      <c r="BM92" s="214">
        <f t="shared" si="59"/>
        <v>2009.1281920599999</v>
      </c>
      <c r="BN92" s="217">
        <f t="shared" si="60"/>
        <v>0</v>
      </c>
      <c r="BO92" s="218">
        <f t="shared" si="61"/>
        <v>0</v>
      </c>
      <c r="BP92" s="193" t="e">
        <f t="shared" si="62"/>
        <v>#DIV/0!</v>
      </c>
      <c r="BQ92" s="255" t="s">
        <v>3558</v>
      </c>
      <c r="BS92" s="198">
        <f t="shared" si="49"/>
        <v>0</v>
      </c>
      <c r="BT92" s="198">
        <f t="shared" si="63"/>
        <v>67.460000000000008</v>
      </c>
      <c r="BU92" s="198">
        <f t="shared" si="64"/>
        <v>67.460000000000008</v>
      </c>
      <c r="BV92" s="199" t="str">
        <f t="shared" si="65"/>
        <v>N/A</v>
      </c>
      <c r="BX92" s="524"/>
      <c r="BY92" s="524"/>
      <c r="BZ92" s="524"/>
      <c r="CA92" s="526"/>
    </row>
    <row r="93" spans="1:79" ht="15.75" thickBot="1">
      <c r="B93" s="64" t="str">
        <f>'1-EO_Calcul Reporting'!B117</f>
        <v>E6760</v>
      </c>
      <c r="C93" s="64" t="str">
        <f>'1-EO_Calcul Reporting'!C117</f>
        <v>E6760</v>
      </c>
      <c r="D93" s="192" t="str">
        <f>'1-EO_Calcul Reporting'!D117</f>
        <v>Repowering Bougainville</v>
      </c>
      <c r="E93" s="254"/>
      <c r="F93" s="254"/>
      <c r="G93" s="254"/>
      <c r="H93" s="254"/>
      <c r="I93" s="254"/>
      <c r="J93" s="254"/>
      <c r="K93" s="254"/>
      <c r="L93" s="254"/>
      <c r="M93" s="254"/>
      <c r="N93" s="254"/>
      <c r="O93" s="254"/>
      <c r="P93" s="255"/>
      <c r="Q93" s="255">
        <f>_xll.LVCELL($D$1,Q$2,$C93,$D$2,$C$4,$C$5,$C$6,$C$7,$C$8,$D$3)/1000</f>
        <v>0</v>
      </c>
      <c r="R93" s="254">
        <f>_xll.LVCELL($D$1,R$3,$C93,$D$2,$C$4,$C$5,$C$6,$C$7,$C$8,$D$3)/1000</f>
        <v>0</v>
      </c>
      <c r="S93" s="254">
        <f>_xll.LVCELL($D$1,S$3,$C93,$D$2,$C$4,$C$5,$C$6,$C$7,$C$8,$D$3)/1000</f>
        <v>0</v>
      </c>
      <c r="T93" s="254">
        <f>_xll.LVCELL($D$1,T$3,$C93,$D$2,$C$4,$C$5,$C$6,$C$7,$C$8,$D$3)/1000</f>
        <v>0</v>
      </c>
      <c r="U93" s="254">
        <f>_xll.LVCELL($D$1,U$3,$C93,$D$2,$C$4,$C$5,$C$6,$C$7,$C$8,$D$3)/1000</f>
        <v>0</v>
      </c>
      <c r="V93" s="254">
        <f>_xll.LVCELL($D$1,V$3,$C93,$D$2,$C$4,$C$5,$C$6,$C$7,$C$8,$D$3)/1000</f>
        <v>0</v>
      </c>
      <c r="W93" s="254">
        <f>_xll.LVCELL($D$1,W$3,$C93,$D$2,$C$4,$C$5,$C$6,$C$7,$C$8,$D$3)/1000</f>
        <v>0</v>
      </c>
      <c r="X93" s="254">
        <f>_xll.LVCELL($D$1,X$3,$C93,$D$2,$C$4,$C$5,$C$6,$C$7,$C$8,$D$3)/1000</f>
        <v>0</v>
      </c>
      <c r="Y93" s="254">
        <f>_xll.LVCELL($D$1,Y$3,$C93,$D$2,$C$4,$C$5,$C$6,$C$7,$C$8,$D$3)/1000</f>
        <v>0</v>
      </c>
      <c r="Z93" s="254">
        <f>_xll.LVCELL($D$1,Z$3,$C93,$D$2,$C$4,$C$5,$C$6,$C$7,$C$8,$D$3)/1000</f>
        <v>0</v>
      </c>
      <c r="AA93" s="254">
        <f>_xll.LVCELL($D$1,AA$3,$C93,$D$2,$C$4,$C$5,$C$6,$C$7,$C$8,$D$3)/1000</f>
        <v>0</v>
      </c>
      <c r="AB93" s="254">
        <f>_xll.LVCELL($D$1,AB$3,$C93,$D$2,$C$4,$C$5,$C$6,$C$7,$C$8,$D$3)/1000</f>
        <v>5066.1689999999999</v>
      </c>
      <c r="AC93" s="255">
        <f>_xll.LVCELL($D$1,AC$3,$C93,$D$2,$C$4,$C$5,$C$6,$C$7,$C$8,$D$3)/1000</f>
        <v>6079.402</v>
      </c>
      <c r="AD93" s="255">
        <f>_xll.LVCELL($D$1,AD$2,$C93,$D$2,$C$4,$C$5,$C$6,$C$7,$C$8,$D$3)/1000</f>
        <v>11145.571</v>
      </c>
      <c r="AE93" s="517">
        <f t="shared" si="54"/>
        <v>11145.571</v>
      </c>
      <c r="AF93" s="256" t="e">
        <f t="shared" si="55"/>
        <v>#DIV/0!</v>
      </c>
      <c r="AG93" s="536"/>
      <c r="AJ93" s="64" t="str">
        <f t="shared" si="56"/>
        <v>E6760</v>
      </c>
      <c r="AK93" s="64" t="str">
        <f t="shared" si="57"/>
        <v>E6760</v>
      </c>
      <c r="AL93" s="192" t="str">
        <f t="shared" si="58"/>
        <v>Repowering Bougainville</v>
      </c>
      <c r="AM93" s="254"/>
      <c r="AN93" s="254"/>
      <c r="AO93" s="254"/>
      <c r="AP93" s="254"/>
      <c r="AQ93" s="254"/>
      <c r="AR93" s="254"/>
      <c r="AS93" s="254"/>
      <c r="AT93" s="254"/>
      <c r="AU93" s="254"/>
      <c r="AV93" s="254"/>
      <c r="AW93" s="254"/>
      <c r="AX93" s="255"/>
      <c r="AY93" s="172">
        <f>_xll.LVCELL($AK$1,AY$2,$AK93,$AL$2,$AK$4,$AK$5,$AK$6,$AK$7,$AK$8,$AL$3)/1000</f>
        <v>0</v>
      </c>
      <c r="AZ93" s="172">
        <f>_xll.LVCELL($AK$1,AZ$3,$AK93,$AL$2,$AK$4,$AK$5,$AK$6,$AK$7,$AK$8,$AL$3)/1000</f>
        <v>0</v>
      </c>
      <c r="BA93" s="172">
        <f>_xll.LVCELL($AK$1,BA$3,$AK93,$AL$2,$AK$4,$AK$5,$AK$6,$AK$7,$AK$8,$AL$3)/1000</f>
        <v>0</v>
      </c>
      <c r="BB93" s="172">
        <f>_xll.LVCELL($AK$1,BB$3,$AK93,$AL$2,$AK$4,$AK$5,$AK$6,$AK$7,$AK$8,$AL$3)/1000</f>
        <v>0</v>
      </c>
      <c r="BC93" s="172">
        <f>_xll.LVCELL($AK$1,BC$3,$AK93,$AL$2,$AK$4,$AK$5,$AK$6,$AK$7,$AK$8,$AL$3)/1000</f>
        <v>0</v>
      </c>
      <c r="BD93" s="172">
        <f>_xll.LVCELL($AK$1,BD$3,$AK93,$AL$2,$AK$4,$AK$5,$AK$6,$AK$7,$AK$8,$AL$3)/1000</f>
        <v>0</v>
      </c>
      <c r="BE93" s="172">
        <f>_xll.LVCELL($AK$1,BE$3,$AK93,$AL$2,$AK$4,$AK$5,$AK$6,$AK$7,$AK$8,$AL$3)/1000</f>
        <v>0</v>
      </c>
      <c r="BF93" s="172">
        <f>_xll.LVCELL($AK$1,BF$3,$AK93,$AL$2,$AK$4,$AK$5,$AK$6,$AK$7,$AK$8,$AL$3)/1000</f>
        <v>0</v>
      </c>
      <c r="BG93" s="172">
        <f>_xll.LVCELL($AK$1,BG$3,$AK93,$AL$2,$AK$4,$AK$5,$AK$6,$AK$7,$AK$8,$AL$3)/1000</f>
        <v>0</v>
      </c>
      <c r="BH93" s="172">
        <f>_xll.LVCELL($AK$1,BH$3,$AK93,$AL$2,$AK$4,$AK$5,$AK$6,$AK$7,$AK$8,$AL$3)/1000</f>
        <v>0</v>
      </c>
      <c r="BI93" s="172">
        <f>_xll.LVCELL($AK$1,BI$3,$AK93,$AL$2,$AK$4,$AK$5,$AK$6,$AK$7,$AK$8,$AL$3)/1000</f>
        <v>0</v>
      </c>
      <c r="BJ93" s="172">
        <f>_xll.LVCELL($AK$1,BJ$3,$AK93,$AL$2,$AK$4,$AK$5,$AK$6,$AK$7,$AK$8,$AL$3)/1000</f>
        <v>380.57061528000003</v>
      </c>
      <c r="BK93" s="172">
        <f>_xll.LVCELL($AK$1,BK$3,$AK93,$AL$2,$AK$4,$AK$5,$AK$6,$AK$7,$AK$8,$AL$3)/1000</f>
        <v>456.68467823999998</v>
      </c>
      <c r="BL93" s="172">
        <f>_xll.LVCELL($AK$1,BL$2,$AK93,$AL$2,$AK$4,$AK$5,$AK$6,$AK$7,$AK$8,$AL$3)/1000</f>
        <v>837.25529352000001</v>
      </c>
      <c r="BM93" s="214">
        <f t="shared" si="59"/>
        <v>837.25529352000001</v>
      </c>
      <c r="BN93" s="217">
        <f t="shared" si="60"/>
        <v>0</v>
      </c>
      <c r="BO93" s="218">
        <f t="shared" si="61"/>
        <v>0</v>
      </c>
      <c r="BP93" s="193" t="e">
        <f t="shared" si="62"/>
        <v>#DIV/0!</v>
      </c>
      <c r="BQ93" s="255" t="s">
        <v>3558</v>
      </c>
      <c r="BS93" s="198">
        <f t="shared" si="49"/>
        <v>0</v>
      </c>
      <c r="BT93" s="198">
        <f t="shared" si="63"/>
        <v>75.12</v>
      </c>
      <c r="BU93" s="198">
        <f t="shared" si="64"/>
        <v>75.12</v>
      </c>
      <c r="BV93" s="199" t="str">
        <f t="shared" si="65"/>
        <v>N/A</v>
      </c>
      <c r="BX93" s="524"/>
      <c r="BY93" s="524"/>
      <c r="BZ93" s="524"/>
      <c r="CA93" s="526"/>
    </row>
    <row r="94" spans="1:79" s="52" customFormat="1" ht="15.75" thickBot="1">
      <c r="A94" s="113"/>
      <c r="B94" s="113"/>
      <c r="C94" s="113"/>
      <c r="D94" s="90" t="s">
        <v>2739</v>
      </c>
      <c r="E94" s="227">
        <f>SUM(E12:E88)</f>
        <v>280922.76200000005</v>
      </c>
      <c r="F94" s="227">
        <f t="shared" ref="F94:AC94" si="66">SUM(F12:F88)</f>
        <v>236568.05</v>
      </c>
      <c r="G94" s="227">
        <f t="shared" si="66"/>
        <v>232103.43399999995</v>
      </c>
      <c r="H94" s="227">
        <f t="shared" si="66"/>
        <v>184559.90900000001</v>
      </c>
      <c r="I94" s="227">
        <f t="shared" si="66"/>
        <v>167982.38600000003</v>
      </c>
      <c r="J94" s="227">
        <f t="shared" si="66"/>
        <v>134965.80800000002</v>
      </c>
      <c r="K94" s="227">
        <f t="shared" si="66"/>
        <v>132526.802</v>
      </c>
      <c r="L94" s="227">
        <f t="shared" si="66"/>
        <v>126793.63500000001</v>
      </c>
      <c r="M94" s="227">
        <f t="shared" si="66"/>
        <v>157944.109</v>
      </c>
      <c r="N94" s="227">
        <f t="shared" si="66"/>
        <v>217829.33599999995</v>
      </c>
      <c r="O94" s="227">
        <f t="shared" si="66"/>
        <v>236968.43999999989</v>
      </c>
      <c r="P94" s="228">
        <f t="shared" si="66"/>
        <v>276936.24900000007</v>
      </c>
      <c r="Q94" s="228">
        <f>SUM(Q12:Q93)</f>
        <v>2425224.7589999996</v>
      </c>
      <c r="R94" s="227">
        <f t="shared" si="66"/>
        <v>272246.435</v>
      </c>
      <c r="S94" s="227">
        <f t="shared" si="66"/>
        <v>227537.891</v>
      </c>
      <c r="T94" s="227">
        <f t="shared" si="66"/>
        <v>224241.307</v>
      </c>
      <c r="U94" s="227">
        <f t="shared" si="66"/>
        <v>184307.33999999994</v>
      </c>
      <c r="V94" s="227">
        <f t="shared" si="66"/>
        <v>167855.41100000002</v>
      </c>
      <c r="W94" s="227">
        <f t="shared" si="66"/>
        <v>136063.32999999996</v>
      </c>
      <c r="X94" s="227">
        <f t="shared" si="66"/>
        <v>132966.74300000002</v>
      </c>
      <c r="Y94" s="227">
        <f t="shared" si="66"/>
        <v>127169.651</v>
      </c>
      <c r="Z94" s="227">
        <f t="shared" si="66"/>
        <v>155357.19399999996</v>
      </c>
      <c r="AA94" s="227">
        <f t="shared" si="66"/>
        <v>212013.80800000002</v>
      </c>
      <c r="AB94" s="227">
        <f t="shared" si="66"/>
        <v>223555.77099999995</v>
      </c>
      <c r="AC94" s="228">
        <f t="shared" si="66"/>
        <v>260906.70899999994</v>
      </c>
      <c r="AD94" s="228">
        <f>SUM(AD12:AD93)</f>
        <v>2427053.148</v>
      </c>
      <c r="AE94" s="228">
        <f t="shared" si="27"/>
        <v>1828.3890000004321</v>
      </c>
      <c r="AF94" s="334">
        <f>AD94/Q94-1</f>
        <v>7.5390497033955839E-4</v>
      </c>
      <c r="AG94" s="529"/>
      <c r="AI94" s="113"/>
      <c r="AJ94" s="113"/>
      <c r="AK94" s="113"/>
      <c r="AL94" s="90" t="s">
        <v>2739</v>
      </c>
      <c r="AM94" s="227">
        <f>SUM(AM12:AM88)</f>
        <v>24096.65263492649</v>
      </c>
      <c r="AN94" s="227">
        <f t="shared" ref="AN94:BK94" si="67">SUM(AN12:AN88)</f>
        <v>20249.715454068104</v>
      </c>
      <c r="AO94" s="227">
        <f t="shared" si="67"/>
        <v>19873.137751154994</v>
      </c>
      <c r="AP94" s="227">
        <f t="shared" si="67"/>
        <v>15779.456222623454</v>
      </c>
      <c r="AQ94" s="227">
        <f t="shared" si="67"/>
        <v>14369.257986129094</v>
      </c>
      <c r="AR94" s="227">
        <f t="shared" si="67"/>
        <v>11657.654618351922</v>
      </c>
      <c r="AS94" s="227">
        <f t="shared" si="67"/>
        <v>11482.630477159355</v>
      </c>
      <c r="AT94" s="227">
        <f t="shared" si="67"/>
        <v>10969.190626404634</v>
      </c>
      <c r="AU94" s="227">
        <f t="shared" si="67"/>
        <v>13400.927236613565</v>
      </c>
      <c r="AV94" s="227">
        <f t="shared" si="67"/>
        <v>18414.820857355284</v>
      </c>
      <c r="AW94" s="227">
        <f t="shared" si="67"/>
        <v>20067.057060360617</v>
      </c>
      <c r="AX94" s="228">
        <f t="shared" si="67"/>
        <v>23451.2755168732</v>
      </c>
      <c r="AY94" s="228">
        <f>SUM(AY12:AY93)</f>
        <v>206644.34837873132</v>
      </c>
      <c r="AZ94" s="227">
        <f t="shared" si="67"/>
        <v>23625.941490405363</v>
      </c>
      <c r="BA94" s="227">
        <f t="shared" si="67"/>
        <v>19813.724985193196</v>
      </c>
      <c r="BB94" s="227">
        <f t="shared" si="67"/>
        <v>19510.897516950357</v>
      </c>
      <c r="BC94" s="227">
        <f t="shared" si="67"/>
        <v>15985.726127724478</v>
      </c>
      <c r="BD94" s="227">
        <f t="shared" si="67"/>
        <v>14595.149889490465</v>
      </c>
      <c r="BE94" s="227">
        <f t="shared" si="67"/>
        <v>11845.51082149449</v>
      </c>
      <c r="BF94" s="227">
        <f t="shared" si="67"/>
        <v>11494.102827738558</v>
      </c>
      <c r="BG94" s="227">
        <f t="shared" si="67"/>
        <v>10989.41725543702</v>
      </c>
      <c r="BH94" s="227">
        <f t="shared" si="67"/>
        <v>13424.583165154683</v>
      </c>
      <c r="BI94" s="227">
        <f t="shared" si="67"/>
        <v>18269.543588283246</v>
      </c>
      <c r="BJ94" s="227">
        <f t="shared" si="67"/>
        <v>19487.27591260511</v>
      </c>
      <c r="BK94" s="228">
        <f t="shared" si="67"/>
        <v>22697.209570653355</v>
      </c>
      <c r="BL94" s="228">
        <f>SUM(BL12:BL93)</f>
        <v>209218.4742471482</v>
      </c>
      <c r="BM94" s="228">
        <f>SUM(BM12:BM93)</f>
        <v>2574.1258684170357</v>
      </c>
      <c r="BN94" s="228">
        <f>SUM(BN12:BN93)</f>
        <v>-8874.1666655677855</v>
      </c>
      <c r="BO94" s="228">
        <f>SUM(BO12:BO93)</f>
        <v>4019.7014379668217</v>
      </c>
      <c r="BP94" s="334">
        <f>BL94/AY94-1</f>
        <v>1.2456792980851894E-2</v>
      </c>
      <c r="BQ94" s="228"/>
      <c r="BS94" s="198">
        <f t="shared" ref="BS94" si="68">+IFERROR(AY94/Q94*1000,0)</f>
        <v>85.206267011696525</v>
      </c>
      <c r="BT94" s="198">
        <f t="shared" ref="BT94" si="69">+IFERROR(BL94/AD94*1000,0)</f>
        <v>86.202675215231096</v>
      </c>
      <c r="BU94" s="198">
        <f t="shared" ref="BU94" si="70">+BT94-BS94</f>
        <v>0.99640820353457116</v>
      </c>
      <c r="BV94" s="199">
        <f t="shared" ref="BV94" si="71">+IFERROR(BU94/BS94,"N/A")</f>
        <v>1.1694071791665173E-2</v>
      </c>
      <c r="BX94" s="233">
        <f>+SUM(BX12:BX88)</f>
        <v>-8874.1666655677855</v>
      </c>
      <c r="BY94" s="233">
        <f>+SUM(BY12:BY88)</f>
        <v>4019.7014379668217</v>
      </c>
      <c r="BZ94" s="233">
        <f>+SUM(BZ12:BZ88)</f>
        <v>-4854.4652276009656</v>
      </c>
      <c r="CA94" s="526">
        <f t="shared" si="31"/>
        <v>7428.5910960180008</v>
      </c>
    </row>
    <row r="95" spans="1:79">
      <c r="C95" s="113"/>
      <c r="D95" s="237"/>
      <c r="E95" s="194"/>
      <c r="AG95" s="530"/>
      <c r="AY95" s="339"/>
      <c r="AZ95" s="339">
        <f t="shared" ref="AZ95:BK95" si="72">AZ94-AZ80-AZ78-AZ79-AZ77-AZ76-AZ74-AZ75-AZ73-AZ81-AZ82-AZ83</f>
        <v>19821.470188730338</v>
      </c>
      <c r="BA95" s="339">
        <f t="shared" si="72"/>
        <v>16513.019860525383</v>
      </c>
      <c r="BB95" s="339">
        <f t="shared" si="72"/>
        <v>16161.84058705094</v>
      </c>
      <c r="BC95" s="339">
        <f t="shared" si="72"/>
        <v>13130.677145868289</v>
      </c>
      <c r="BD95" s="339">
        <f t="shared" si="72"/>
        <v>11922.968422137235</v>
      </c>
      <c r="BE95" s="339">
        <f t="shared" si="72"/>
        <v>9524.0517976727078</v>
      </c>
      <c r="BF95" s="339">
        <f t="shared" si="72"/>
        <v>9178.2217753052955</v>
      </c>
      <c r="BG95" s="339">
        <f t="shared" si="72"/>
        <v>8779.5366285987857</v>
      </c>
      <c r="BH95" s="339">
        <f t="shared" si="72"/>
        <v>10897.398023097512</v>
      </c>
      <c r="BI95" s="339">
        <f t="shared" si="72"/>
        <v>15115.321584297297</v>
      </c>
      <c r="BJ95" s="339">
        <f t="shared" si="72"/>
        <v>16171.604592447862</v>
      </c>
      <c r="BK95" s="339">
        <f t="shared" si="72"/>
        <v>19043.332565538531</v>
      </c>
      <c r="BL95" s="339"/>
      <c r="BM95" s="339"/>
      <c r="BN95" s="339"/>
      <c r="BO95" s="339"/>
      <c r="BP95" s="241"/>
      <c r="BQ95" s="241"/>
      <c r="BX95" s="17"/>
      <c r="BY95" s="17"/>
    </row>
    <row r="96" spans="1:79" hidden="1" outlineLevel="1">
      <c r="D96" s="95" t="s">
        <v>3547</v>
      </c>
      <c r="E96" s="96">
        <f>_xll.LVCELL($D$1,E$3,$C2,$D$2,$C$4,$C$5,$C$6,$C$7,$C$8,$D$3)/1000-E94</f>
        <v>0</v>
      </c>
      <c r="F96" s="96">
        <f>_xll.LVCELL($D$1,F$3,$C2,$D$2,$C$4,$C$5,$C$6,$C$7,$C$8,$D$3)/1000-F94</f>
        <v>0</v>
      </c>
      <c r="G96" s="96">
        <f>_xll.LVCELL($D$1,G$3,$C2,$D$2,$C$4,$C$5,$C$6,$C$7,$C$8,$D$3)/1000-G94</f>
        <v>0</v>
      </c>
      <c r="H96" s="96">
        <f>_xll.LVCELL($D$1,H$3,$C2,$D$2,$C$4,$C$5,$C$6,$C$7,$C$8,$D$3)/1000-H94</f>
        <v>0</v>
      </c>
      <c r="I96" s="96">
        <f>_xll.LVCELL($D$1,I$3,$C2,$D$2,$C$4,$C$5,$C$6,$C$7,$C$8,$D$3)/1000-I94</f>
        <v>2376.2479999999632</v>
      </c>
      <c r="J96" s="96">
        <f>_xll.LVCELL($D$1,J$3,$C2,$D$2,$C$4,$C$5,$C$6,$C$7,$C$8,$D$3)/1000-J94</f>
        <v>1840.5179999999818</v>
      </c>
      <c r="K96" s="96">
        <f>_xll.LVCELL($D$1,K$3,$C2,$D$2,$C$4,$C$5,$C$6,$C$7,$C$8,$D$3)/1000-K94</f>
        <v>1879.0460000000021</v>
      </c>
      <c r="L96" s="96">
        <f>_xll.LVCELL($D$1,L$3,$C2,$D$2,$C$4,$C$5,$C$6,$C$7,$C$8,$D$3)/1000-L94</f>
        <v>1864.3739999999962</v>
      </c>
      <c r="M96" s="96">
        <f>_xll.LVCELL($D$1,M$3,$C2,$D$2,$C$4,$C$5,$C$6,$C$7,$C$8,$D$3)/1000-M94</f>
        <v>4696.06700000001</v>
      </c>
      <c r="N96" s="96">
        <f>_xll.LVCELL($D$1,N$3,$C2,$D$2,$C$4,$C$5,$C$6,$C$7,$C$8,$D$3)/1000-N94</f>
        <v>7878.6980000000622</v>
      </c>
      <c r="O96" s="96">
        <f>_xll.LVCELL($D$1,O$3,$C2,$D$2,$C$4,$C$5,$C$6,$C$7,$C$8,$D$3)/1000-O94</f>
        <v>8976.0980000001146</v>
      </c>
      <c r="P96" s="96">
        <f>_xll.LVCELL($D$1,P$3,$C2,$D$2,$C$4,$C$5,$C$6,$C$7,$C$8,$D$3)/1000-P94</f>
        <v>9612.7899999999208</v>
      </c>
      <c r="Q96" s="96">
        <f>_xll.LVCELL($D$1,Q$2,$C2,$D$2,$C$4,$C$5,$C$6,$C$7,$C$8,$D$3)/1000-Q94</f>
        <v>0</v>
      </c>
      <c r="R96" s="96">
        <f>_xll.LVCELL($D$1,R$3,$C2,$D$2,$C$4,$C$5,$C$6,$C$7,$C$8,$D$3)/1000-R94</f>
        <v>2698.9099999999744</v>
      </c>
      <c r="S96" s="96">
        <f>_xll.LVCELL($D$1,S$3,$C2,$D$2,$C$4,$C$5,$C$6,$C$7,$C$8,$D$3)/1000-S94</f>
        <v>2373.0599999999977</v>
      </c>
      <c r="T96" s="96">
        <f>_xll.LVCELL($D$1,T$3,$C2,$D$2,$C$4,$C$5,$C$6,$C$7,$C$8,$D$3)/1000-T94</f>
        <v>2919.359999999986</v>
      </c>
      <c r="U96" s="96">
        <f>_xll.LVCELL($D$1,U$3,$C2,$D$2,$C$4,$C$5,$C$6,$C$7,$C$8,$D$3)/1000-U94</f>
        <v>1756.0140000000538</v>
      </c>
      <c r="V96" s="96">
        <f>_xll.LVCELL($D$1,V$3,$C2,$D$2,$C$4,$C$5,$C$6,$C$7,$C$8,$D$3)/1000-V94</f>
        <v>1629.984999999986</v>
      </c>
      <c r="W96" s="96">
        <f>_xll.LVCELL($D$1,W$3,$C2,$D$2,$C$4,$C$5,$C$6,$C$7,$C$8,$D$3)/1000-W94</f>
        <v>4685.8660000000382</v>
      </c>
      <c r="X96" s="96">
        <f>_xll.LVCELL($D$1,X$3,$C2,$D$2,$C$4,$C$5,$C$6,$C$7,$C$8,$D$3)/1000-X94</f>
        <v>7248.7839999999851</v>
      </c>
      <c r="Y96" s="96">
        <f>_xll.LVCELL($D$1,Y$3,$C2,$D$2,$C$4,$C$5,$C$6,$C$7,$C$8,$D$3)/1000-Y94</f>
        <v>8698.3819999999978</v>
      </c>
      <c r="Z96" s="96">
        <f>_xll.LVCELL($D$1,Z$3,$C2,$D$2,$C$4,$C$5,$C$6,$C$7,$C$8,$D$3)/1000-Z94</f>
        <v>10414.313000000053</v>
      </c>
      <c r="AA96" s="96">
        <f>_xll.LVCELL($D$1,AA$3,$C2,$D$2,$C$4,$C$5,$C$6,$C$7,$C$8,$D$3)/1000-AA94</f>
        <v>14049.59699999998</v>
      </c>
      <c r="AB96" s="96">
        <f>_xll.LVCELL($D$1,AB$3,$C2,$D$2,$C$4,$C$5,$C$6,$C$7,$C$8,$D$3)/1000-AB94</f>
        <v>21140.592000000062</v>
      </c>
      <c r="AC96" s="96">
        <f>_xll.LVCELL($D$1,AC$3,$C2,$D$2,$C$4,$C$5,$C$6,$C$7,$C$8,$D$3)/1000-AC94</f>
        <v>25216.695000000036</v>
      </c>
      <c r="AD96" s="96">
        <f>_xll.LVCELL($D$1,AD$2,$C2,$D$2,$C$4,$C$5,$C$6,$C$7,$C$8,$D$3)/1000-AD94</f>
        <v>0</v>
      </c>
      <c r="AE96" s="96">
        <f t="shared" si="27"/>
        <v>0</v>
      </c>
      <c r="AF96" s="96"/>
      <c r="AG96" s="531"/>
      <c r="AK96" s="64" t="s">
        <v>3102</v>
      </c>
      <c r="AL96" s="95" t="s">
        <v>3244</v>
      </c>
      <c r="AM96" s="335">
        <f>_xll.LVCELL($AK$1,AM$3,$AK96,$AL$2,$AK$4,$AK$5,$AK$6,$AK$7,$AK$8,$AL$3)/1000-AM94+AM97+AM98</f>
        <v>-9.0949470177292824E-13</v>
      </c>
      <c r="AN96" s="335">
        <f>_xll.LVCELL($AK$1,AN$3,$AK96,$AL$2,$AK$4,$AK$5,$AK$6,$AK$7,$AK$8,$AL$3)/1000-AN94+AN97+AN98</f>
        <v>-7.4464878707658499E-12</v>
      </c>
      <c r="AO96" s="335">
        <f>_xll.LVCELL($AK$1,AO$3,$AK96,$AL$2,$AK$4,$AK$5,$AK$6,$AK$7,$AK$8,$AL$3)/1000-AO94+AO97+AO98</f>
        <v>1.8189894035458565E-12</v>
      </c>
      <c r="AP96" s="335">
        <f>_xll.LVCELL($AK$1,AP$3,$AK96,$AL$2,$AK$4,$AK$5,$AK$6,$AK$7,$AK$8,$AL$3)/1000-AP94+AP97+AP98</f>
        <v>-2.1032064978498966E-12</v>
      </c>
      <c r="AQ96" s="335">
        <f>_xll.LVCELL($AK$1,AQ$3,$AK96,$AL$2,$AK$4,$AK$5,$AK$6,$AK$7,$AK$8,$AL$3)/1000-AQ94+AQ97+AQ98</f>
        <v>180.6408973099999</v>
      </c>
      <c r="AR96" s="335">
        <f>_xll.LVCELL($AK$1,AR$3,$AK96,$AL$2,$AK$4,$AK$5,$AK$6,$AK$7,$AK$8,$AL$3)/1000-AR94+AR97+AR98</f>
        <v>139.91271634564134</v>
      </c>
      <c r="AS96" s="335">
        <f>_xll.LVCELL($AK$1,AS$3,$AK96,$AL$2,$AK$4,$AK$5,$AK$6,$AK$7,$AK$8,$AL$3)/1000-AS94+AS97+AS98</f>
        <v>142.8370327240699</v>
      </c>
      <c r="AT96" s="335">
        <f>_xll.LVCELL($AK$1,AT$3,$AK96,$AL$2,$AK$4,$AK$5,$AK$6,$AK$7,$AK$8,$AL$3)/1000-AT94+AT97+AT98</f>
        <v>141.72968165001146</v>
      </c>
      <c r="AU96" s="335">
        <f>_xll.LVCELL($AK$1,AU$3,$AK96,$AL$2,$AK$4,$AK$5,$AK$6,$AK$7,$AK$8,$AL$3)/1000-AU94+AU97+AU98</f>
        <v>335.44680126261318</v>
      </c>
      <c r="AV96" s="335">
        <f>_xll.LVCELL($AK$1,AV$3,$AK96,$AL$2,$AK$4,$AK$5,$AK$6,$AK$7,$AK$8,$AL$3)/1000-AV94+AV97+AV98</f>
        <v>460.7866509276389</v>
      </c>
      <c r="AW96" s="335">
        <f>_xll.LVCELL($AK$1,AW$3,$AK96,$AL$2,$AK$4,$AK$5,$AK$6,$AK$7,$AK$8,$AL$3)/1000-AW94+AW97+AW98</f>
        <v>532.92263471656452</v>
      </c>
      <c r="AX96" s="335">
        <f>_xll.LVCELL($AK$1,AX$3,$AK96,$AL$2,$AK$4,$AK$5,$AK$6,$AK$7,$AK$8,$AL$3)/1000-AX94+AX97+AX98</f>
        <v>595.71441295313105</v>
      </c>
      <c r="AY96" s="335">
        <f>_xll.LVCELL($AK$1,AY$2,$AK96,$AL$2,$AK$4,$AK$5,$AK$6,$AK$7,$AK$8,$AL$3)/1000-AY94+AY97+AY98</f>
        <v>-50.800000000048385</v>
      </c>
      <c r="AZ96" s="335">
        <f>_xll.LVCELL($AK$1,AZ$3,$AK96,$AL$2,$AK$4,$AK$5,$AK$6,$AK$7,$AK$8,$AL$3)/1000-AZ94+AZ97+AZ98</f>
        <v>206.34786296000817</v>
      </c>
      <c r="BA96" s="335">
        <f>_xll.LVCELL($AK$1,BA$3,$AK96,$AL$2,$AK$4,$AK$5,$AK$6,$AK$7,$AK$8,$AL$3)/1000-BA94+BA97+BA98</f>
        <v>181.43467535999423</v>
      </c>
      <c r="BB96" s="335">
        <f>_xll.LVCELL($AK$1,BB$3,$AK96,$AL$2,$AK$4,$AK$5,$AK$6,$AK$7,$AK$8,$AL$3)/1000-BB94+BB97+BB98</f>
        <v>223.20258815998892</v>
      </c>
      <c r="BC96" s="335">
        <f>_xll.LVCELL($AK$1,BC$3,$AK96,$AL$2,$AK$4,$AK$5,$AK$6,$AK$7,$AK$8,$AL$3)/1000-BC94+BC97+BC98</f>
        <v>134.25780638399601</v>
      </c>
      <c r="BD96" s="335">
        <f>_xll.LVCELL($AK$1,BD$3,$AK96,$AL$2,$AK$4,$AK$5,$AK$6,$AK$7,$AK$8,$AL$3)/1000-BD94+BD97+BD98</f>
        <v>124.62213316000702</v>
      </c>
      <c r="BE96" s="335">
        <f>_xll.LVCELL($AK$1,BE$3,$AK96,$AL$2,$AK$4,$AK$5,$AK$6,$AK$7,$AK$8,$AL$3)/1000-BE94+BE97+BE98</f>
        <v>331.16918275599755</v>
      </c>
      <c r="BF96" s="335">
        <f>_xll.LVCELL($AK$1,BF$3,$AK96,$AL$2,$AK$4,$AK$5,$AK$6,$AK$7,$AK$8,$AL$3)/1000-BF94+BF97+BF98</f>
        <v>518.78433021800151</v>
      </c>
      <c r="BG96" s="335">
        <f>_xll.LVCELL($AK$1,BG$3,$AK96,$AL$2,$AK$4,$AK$5,$AK$6,$AK$7,$AK$8,$AL$3)/1000-BG94+BG97+BG98</f>
        <v>626.59278679799831</v>
      </c>
      <c r="BH96" s="335">
        <f>_xll.LVCELL($AK$1,BH$3,$AK96,$AL$2,$AK$4,$AK$5,$AK$6,$AK$7,$AK$8,$AL$3)/1000-BH94+BH97+BH98</f>
        <v>750.55174228200235</v>
      </c>
      <c r="BI96" s="335">
        <f>_xll.LVCELL($AK$1,BI$3,$AK96,$AL$2,$AK$4,$AK$5,$AK$6,$AK$7,$AK$8,$AL$3)/1000-BI94+BI97+BI98</f>
        <v>1011.9613209800036</v>
      </c>
      <c r="BJ96" s="335">
        <f>_xll.LVCELL($AK$1,BJ$3,$AK96,$AL$2,$AK$4,$AK$5,$AK$6,$AK$7,$AK$8,$AL$3)/1000-BJ94+BJ97+BJ98</f>
        <v>1537.3231726919985</v>
      </c>
      <c r="BK96" s="335">
        <f>_xll.LVCELL($AK$1,BK$3,$AK96,$AL$2,$AK$4,$AK$5,$AK$6,$AK$7,$AK$8,$AL$3)/1000-BK94+BK97+BK98</f>
        <v>1833.1434942680035</v>
      </c>
      <c r="BL96" s="335">
        <f>_xll.LVCELL($AK$1,BL$2,$AK96,$AL$2,$AK$4,$AK$5,$AK$6,$AK$7,$AK$8,$AL$3)/1000-BL94+BL97+BL98</f>
        <v>1.5097612049430609E-10</v>
      </c>
      <c r="BM96" s="96">
        <f t="shared" si="23"/>
        <v>50.800000000199361</v>
      </c>
      <c r="BN96" s="96"/>
      <c r="BO96" s="96"/>
      <c r="BP96" s="96"/>
      <c r="BQ96" s="96"/>
      <c r="BX96" s="496"/>
      <c r="BY96" s="496"/>
    </row>
    <row r="97" spans="1:78" hidden="1" outlineLevel="1">
      <c r="C97" s="64" t="s">
        <v>2201</v>
      </c>
      <c r="D97" s="187" t="s">
        <v>2676</v>
      </c>
      <c r="E97" s="189">
        <f t="shared" ref="E97:AD97" si="73">E78+E79</f>
        <v>1091.364</v>
      </c>
      <c r="F97" s="189">
        <f t="shared" si="73"/>
        <v>1288.2160000000001</v>
      </c>
      <c r="G97" s="189">
        <f t="shared" si="73"/>
        <v>1875.018</v>
      </c>
      <c r="H97" s="189">
        <f t="shared" si="73"/>
        <v>1961.203</v>
      </c>
      <c r="I97" s="189">
        <f t="shared" si="73"/>
        <v>2196.0610000000001</v>
      </c>
      <c r="J97" s="189">
        <f t="shared" si="73"/>
        <v>2347.7959999999998</v>
      </c>
      <c r="K97" s="189">
        <f t="shared" si="73"/>
        <v>2501.703</v>
      </c>
      <c r="L97" s="189">
        <f t="shared" si="73"/>
        <v>2329.4339999999997</v>
      </c>
      <c r="M97" s="189">
        <f t="shared" si="73"/>
        <v>1904.3389999999999</v>
      </c>
      <c r="N97" s="189">
        <f t="shared" si="73"/>
        <v>1498.7910000000002</v>
      </c>
      <c r="O97" s="189">
        <f t="shared" si="73"/>
        <v>1025.3209999999999</v>
      </c>
      <c r="P97" s="189">
        <f t="shared" si="73"/>
        <v>968.75300000000004</v>
      </c>
      <c r="Q97" s="80">
        <f t="shared" si="73"/>
        <v>20987.999</v>
      </c>
      <c r="R97" s="80">
        <f t="shared" si="73"/>
        <v>1084.3789999999999</v>
      </c>
      <c r="S97" s="80">
        <f t="shared" si="73"/>
        <v>1279.971</v>
      </c>
      <c r="T97" s="80">
        <f t="shared" si="73"/>
        <v>1863.018</v>
      </c>
      <c r="U97" s="80">
        <f t="shared" si="73"/>
        <v>1948.6509999999998</v>
      </c>
      <c r="V97" s="80">
        <f t="shared" si="73"/>
        <v>2182.0070000000001</v>
      </c>
      <c r="W97" s="80">
        <f t="shared" si="73"/>
        <v>2332.77</v>
      </c>
      <c r="X97" s="80">
        <f t="shared" si="73"/>
        <v>2485.692</v>
      </c>
      <c r="Y97" s="80">
        <f t="shared" si="73"/>
        <v>2314.5259999999998</v>
      </c>
      <c r="Z97" s="80">
        <f t="shared" si="73"/>
        <v>1892.1509999999998</v>
      </c>
      <c r="AA97" s="80">
        <f t="shared" si="73"/>
        <v>1489.1990000000001</v>
      </c>
      <c r="AB97" s="80">
        <f t="shared" si="73"/>
        <v>1018.759</v>
      </c>
      <c r="AC97" s="80">
        <f t="shared" si="73"/>
        <v>962.55299999999988</v>
      </c>
      <c r="AD97" s="80">
        <f t="shared" si="73"/>
        <v>20853.675999999999</v>
      </c>
      <c r="AE97" s="189">
        <f t="shared" si="27"/>
        <v>-134.32300000000032</v>
      </c>
      <c r="AF97" s="189"/>
      <c r="AG97" s="532"/>
      <c r="AK97" s="64" t="s">
        <v>2201</v>
      </c>
      <c r="AL97" s="187" t="s">
        <v>2648</v>
      </c>
      <c r="AM97" s="80">
        <f>AM78+AM79+AM85+AM86</f>
        <v>158.690712768</v>
      </c>
      <c r="AN97" s="80">
        <f t="shared" ref="AN97:BL97" si="74">AN78+AN79+AN85+AN86</f>
        <v>197.42143064200002</v>
      </c>
      <c r="AO97" s="80">
        <f t="shared" si="74"/>
        <v>296.93832614399997</v>
      </c>
      <c r="AP97" s="80">
        <f t="shared" si="74"/>
        <v>318.811130623</v>
      </c>
      <c r="AQ97" s="80">
        <f t="shared" si="74"/>
        <v>353.01900227800002</v>
      </c>
      <c r="AR97" s="80">
        <f t="shared" si="74"/>
        <v>374.40936524300002</v>
      </c>
      <c r="AS97" s="80">
        <f t="shared" si="74"/>
        <v>397.85957575700002</v>
      </c>
      <c r="AT97" s="80">
        <f t="shared" si="74"/>
        <v>373.58774531300003</v>
      </c>
      <c r="AU97" s="80">
        <f t="shared" si="74"/>
        <v>309.81776950900002</v>
      </c>
      <c r="AV97" s="80">
        <f t="shared" si="74"/>
        <v>244.567584745</v>
      </c>
      <c r="AW97" s="80">
        <f t="shared" si="74"/>
        <v>158.83401737200001</v>
      </c>
      <c r="AX97" s="80">
        <f t="shared" si="74"/>
        <v>145.019042474</v>
      </c>
      <c r="AY97" s="80">
        <f t="shared" si="74"/>
        <v>3580.7568116889097</v>
      </c>
      <c r="AZ97" s="80">
        <f t="shared" si="74"/>
        <v>245.91700824137803</v>
      </c>
      <c r="BA97" s="80">
        <f t="shared" si="74"/>
        <v>323.60289433000196</v>
      </c>
      <c r="BB97" s="80">
        <f t="shared" si="74"/>
        <v>509.95848219088799</v>
      </c>
      <c r="BC97" s="80">
        <f t="shared" si="74"/>
        <v>552.93196196871804</v>
      </c>
      <c r="BD97" s="80">
        <f t="shared" si="74"/>
        <v>625.88648081706992</v>
      </c>
      <c r="BE97" s="80">
        <f t="shared" si="74"/>
        <v>669.95862762632396</v>
      </c>
      <c r="BF97" s="80">
        <f t="shared" si="74"/>
        <v>716.61049340599197</v>
      </c>
      <c r="BG97" s="80">
        <f t="shared" si="74"/>
        <v>658.51640698442793</v>
      </c>
      <c r="BH97" s="80">
        <f t="shared" si="74"/>
        <v>522.81965265101394</v>
      </c>
      <c r="BI97" s="80">
        <f t="shared" si="74"/>
        <v>398.017993356766</v>
      </c>
      <c r="BJ97" s="80">
        <f t="shared" si="74"/>
        <v>257.18608871094705</v>
      </c>
      <c r="BK97" s="80">
        <f t="shared" si="74"/>
        <v>227.77360459619103</v>
      </c>
      <c r="BL97" s="80">
        <f t="shared" si="74"/>
        <v>5709.1796948797182</v>
      </c>
      <c r="BM97" s="80">
        <f t="shared" si="23"/>
        <v>2128.4228831908085</v>
      </c>
      <c r="BN97" s="80"/>
      <c r="BO97" s="80"/>
      <c r="BP97" s="80"/>
      <c r="BQ97" s="189"/>
      <c r="BX97" s="525"/>
      <c r="BY97" s="525"/>
    </row>
    <row r="98" spans="1:78" hidden="1" outlineLevel="1">
      <c r="D98" s="187" t="s">
        <v>2677</v>
      </c>
      <c r="E98" s="80">
        <f t="shared" ref="E98:AD98" si="75">E80</f>
        <v>7200</v>
      </c>
      <c r="F98" s="80">
        <f t="shared" si="75"/>
        <v>6450</v>
      </c>
      <c r="G98" s="80">
        <f t="shared" si="75"/>
        <v>7100</v>
      </c>
      <c r="H98" s="80">
        <f t="shared" si="75"/>
        <v>0</v>
      </c>
      <c r="I98" s="80">
        <f t="shared" si="75"/>
        <v>0</v>
      </c>
      <c r="J98" s="80">
        <f t="shared" si="75"/>
        <v>0</v>
      </c>
      <c r="K98" s="80">
        <f t="shared" si="75"/>
        <v>0</v>
      </c>
      <c r="L98" s="80">
        <f t="shared" si="75"/>
        <v>0</v>
      </c>
      <c r="M98" s="80">
        <f t="shared" si="75"/>
        <v>0</v>
      </c>
      <c r="N98" s="80">
        <f t="shared" si="75"/>
        <v>0</v>
      </c>
      <c r="O98" s="80">
        <f t="shared" si="75"/>
        <v>6900</v>
      </c>
      <c r="P98" s="80">
        <f t="shared" si="75"/>
        <v>7100</v>
      </c>
      <c r="Q98" s="80">
        <f t="shared" si="75"/>
        <v>34750</v>
      </c>
      <c r="R98" s="80">
        <f t="shared" si="75"/>
        <v>0</v>
      </c>
      <c r="S98" s="80">
        <f t="shared" si="75"/>
        <v>0</v>
      </c>
      <c r="T98" s="80">
        <f t="shared" si="75"/>
        <v>0</v>
      </c>
      <c r="U98" s="80">
        <f t="shared" si="75"/>
        <v>0</v>
      </c>
      <c r="V98" s="80">
        <f t="shared" si="75"/>
        <v>0</v>
      </c>
      <c r="W98" s="80">
        <f t="shared" si="75"/>
        <v>0</v>
      </c>
      <c r="X98" s="80">
        <f t="shared" si="75"/>
        <v>0</v>
      </c>
      <c r="Y98" s="80">
        <f t="shared" si="75"/>
        <v>0</v>
      </c>
      <c r="Z98" s="80">
        <f t="shared" si="75"/>
        <v>0</v>
      </c>
      <c r="AA98" s="80">
        <f t="shared" si="75"/>
        <v>0</v>
      </c>
      <c r="AB98" s="80">
        <f t="shared" si="75"/>
        <v>0</v>
      </c>
      <c r="AC98" s="80">
        <f t="shared" si="75"/>
        <v>0</v>
      </c>
      <c r="AD98" s="80">
        <f t="shared" si="75"/>
        <v>0</v>
      </c>
      <c r="AE98" s="189">
        <f t="shared" si="27"/>
        <v>-34750</v>
      </c>
      <c r="AF98" s="189"/>
      <c r="AG98" s="532"/>
      <c r="AL98" s="187" t="s">
        <v>2668</v>
      </c>
      <c r="AM98" s="80">
        <f t="shared" ref="AM98:BM98" si="76">AM80</f>
        <v>563.83199999999999</v>
      </c>
      <c r="AN98" s="80">
        <f t="shared" si="76"/>
        <v>505.09949999999998</v>
      </c>
      <c r="AO98" s="80">
        <f t="shared" si="76"/>
        <v>556.00099999999998</v>
      </c>
      <c r="AP98" s="80">
        <f t="shared" si="76"/>
        <v>0</v>
      </c>
      <c r="AQ98" s="80">
        <f t="shared" si="76"/>
        <v>0</v>
      </c>
      <c r="AR98" s="80">
        <f t="shared" si="76"/>
        <v>0</v>
      </c>
      <c r="AS98" s="80">
        <f t="shared" si="76"/>
        <v>0</v>
      </c>
      <c r="AT98" s="80">
        <f t="shared" si="76"/>
        <v>0</v>
      </c>
      <c r="AU98" s="80">
        <f t="shared" si="76"/>
        <v>0</v>
      </c>
      <c r="AV98" s="80">
        <f t="shared" si="76"/>
        <v>0</v>
      </c>
      <c r="AW98" s="80">
        <f t="shared" si="76"/>
        <v>546.82500000000005</v>
      </c>
      <c r="AX98" s="80">
        <f t="shared" si="76"/>
        <v>562.67499999999995</v>
      </c>
      <c r="AY98" s="80">
        <f t="shared" si="76"/>
        <v>2734.4324999999999</v>
      </c>
      <c r="AZ98" s="80">
        <f t="shared" si="76"/>
        <v>0</v>
      </c>
      <c r="BA98" s="80">
        <f t="shared" si="76"/>
        <v>0</v>
      </c>
      <c r="BB98" s="80">
        <f t="shared" si="76"/>
        <v>0</v>
      </c>
      <c r="BC98" s="80">
        <f t="shared" si="76"/>
        <v>0</v>
      </c>
      <c r="BD98" s="80">
        <f t="shared" si="76"/>
        <v>0</v>
      </c>
      <c r="BE98" s="80">
        <f t="shared" si="76"/>
        <v>0</v>
      </c>
      <c r="BF98" s="80">
        <f t="shared" si="76"/>
        <v>0</v>
      </c>
      <c r="BG98" s="80">
        <f t="shared" si="76"/>
        <v>0</v>
      </c>
      <c r="BH98" s="80">
        <f t="shared" si="76"/>
        <v>0</v>
      </c>
      <c r="BI98" s="80">
        <f t="shared" si="76"/>
        <v>0</v>
      </c>
      <c r="BJ98" s="80">
        <f t="shared" si="76"/>
        <v>0</v>
      </c>
      <c r="BK98" s="80">
        <f t="shared" si="76"/>
        <v>0</v>
      </c>
      <c r="BL98" s="80">
        <f t="shared" si="76"/>
        <v>0</v>
      </c>
      <c r="BM98" s="80">
        <f t="shared" si="76"/>
        <v>-2734.4324999999999</v>
      </c>
      <c r="BN98" s="80"/>
      <c r="BO98" s="80"/>
      <c r="BP98" s="80"/>
      <c r="BQ98" s="189"/>
    </row>
    <row r="99" spans="1:78" hidden="1" outlineLevel="1">
      <c r="AG99" s="530"/>
      <c r="BQ99" s="64"/>
    </row>
    <row r="100" spans="1:78" hidden="1" outlineLevel="1">
      <c r="AG100" s="530"/>
      <c r="BQ100" s="64"/>
    </row>
    <row r="101" spans="1:78" hidden="1" outlineLevel="1" collapsed="1">
      <c r="D101" s="749" t="s">
        <v>3104</v>
      </c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750">
        <f>+Q80</f>
        <v>34750</v>
      </c>
      <c r="R101" s="750"/>
      <c r="S101" s="750"/>
      <c r="T101" s="750"/>
      <c r="U101" s="750"/>
      <c r="V101" s="750"/>
      <c r="W101" s="750"/>
      <c r="X101" s="750"/>
      <c r="Y101" s="750"/>
      <c r="Z101" s="750"/>
      <c r="AA101" s="750"/>
      <c r="AB101" s="750"/>
      <c r="AC101" s="750"/>
      <c r="AD101" s="750">
        <f>+AD80</f>
        <v>0</v>
      </c>
      <c r="AE101" s="754">
        <f>+AE80</f>
        <v>-34750</v>
      </c>
      <c r="AF101" s="753"/>
      <c r="AG101" s="530"/>
      <c r="AL101" s="204" t="s">
        <v>3104</v>
      </c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197">
        <f>+AY80</f>
        <v>2734.4324999999999</v>
      </c>
      <c r="AZ101" s="196"/>
      <c r="BA101" s="196"/>
      <c r="BB101" s="196"/>
      <c r="BC101" s="196"/>
      <c r="BD101" s="196"/>
      <c r="BE101" s="196"/>
      <c r="BF101" s="196"/>
      <c r="BG101" s="196"/>
      <c r="BH101" s="196"/>
      <c r="BI101" s="196"/>
      <c r="BJ101" s="196"/>
      <c r="BK101" s="196"/>
      <c r="BL101" s="523">
        <f>+BL80</f>
        <v>0</v>
      </c>
      <c r="BM101" s="521">
        <f>+BM80</f>
        <v>-2734.4324999999999</v>
      </c>
      <c r="BN101" s="521">
        <f>+BN80</f>
        <v>-2734.4324999999999</v>
      </c>
      <c r="BO101" s="521">
        <f>+BO80</f>
        <v>0</v>
      </c>
      <c r="BP101" s="266">
        <f>BM101/$AY$94</f>
        <v>-1.3232554006211761E-2</v>
      </c>
      <c r="BQ101" s="64"/>
    </row>
    <row r="102" spans="1:78" s="52" customFormat="1" collapsed="1">
      <c r="A102" s="113"/>
      <c r="B102" s="113"/>
      <c r="C102" s="113"/>
      <c r="D102" s="204" t="s">
        <v>2694</v>
      </c>
      <c r="E102" s="196"/>
      <c r="F102" s="196"/>
      <c r="G102" s="196"/>
      <c r="H102" s="196"/>
      <c r="I102" s="196"/>
      <c r="J102" s="196"/>
      <c r="K102" s="196"/>
      <c r="L102" s="196"/>
      <c r="M102" s="196"/>
      <c r="N102" s="196"/>
      <c r="O102" s="196"/>
      <c r="P102" s="196"/>
      <c r="Q102" s="197">
        <f>Q94-SUM(Q103:Q107)-Q101</f>
        <v>2099699.2729999996</v>
      </c>
      <c r="R102" s="197"/>
      <c r="S102" s="197"/>
      <c r="T102" s="197"/>
      <c r="U102" s="197"/>
      <c r="V102" s="197"/>
      <c r="W102" s="197"/>
      <c r="X102" s="197"/>
      <c r="Y102" s="197"/>
      <c r="Z102" s="197"/>
      <c r="AA102" s="197"/>
      <c r="AB102" s="197"/>
      <c r="AC102" s="197"/>
      <c r="AD102" s="197">
        <f>AD94-SUM(AD103:AD107)-AD101</f>
        <v>2027633.0260000001</v>
      </c>
      <c r="AE102" s="521">
        <f>AE94-SUM(AE103:AE107)-AE101</f>
        <v>-72066.246999999537</v>
      </c>
      <c r="AF102" s="266">
        <f>AE102/Q102</f>
        <v>-3.4322175526132856E-2</v>
      </c>
      <c r="AG102" s="533"/>
      <c r="AI102" s="113"/>
      <c r="AJ102" s="113"/>
      <c r="AK102" s="113"/>
      <c r="AL102" s="204" t="str">
        <f>D102</f>
        <v>Périmètre constant</v>
      </c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7">
        <f>AY94-SUM(AY103:AY107)-AY101</f>
        <v>189381.98332385274</v>
      </c>
      <c r="AZ102" s="196"/>
      <c r="BA102" s="196"/>
      <c r="BB102" s="196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7">
        <f>BL94-SUM(BL103:BL107)-BL101</f>
        <v>187899.93755841968</v>
      </c>
      <c r="BM102" s="521">
        <f>BM94-SUM(BM103:BM107)-BM101</f>
        <v>-1482.0457654328975</v>
      </c>
      <c r="BN102" s="521">
        <f>BN94-SUM(BN103:BN107)-BN101</f>
        <v>-6048.2118244860822</v>
      </c>
      <c r="BO102" s="521">
        <f>BO94-SUM(BO103:BO107)-BO101</f>
        <v>4616.966059053183</v>
      </c>
      <c r="BP102" s="266">
        <f>BM102/$AY$94</f>
        <v>-7.1719637002442974E-3</v>
      </c>
      <c r="BQ102" s="113"/>
      <c r="BV102"/>
      <c r="BW102"/>
      <c r="BX102"/>
      <c r="BY102"/>
      <c r="BZ102"/>
    </row>
    <row r="103" spans="1:78" s="52" customFormat="1">
      <c r="A103" s="113"/>
      <c r="B103" s="113"/>
      <c r="C103" s="113"/>
      <c r="D103" s="749" t="s">
        <v>3268</v>
      </c>
      <c r="E103" s="750"/>
      <c r="F103" s="750"/>
      <c r="G103" s="750"/>
      <c r="H103" s="750"/>
      <c r="I103" s="750"/>
      <c r="J103" s="750"/>
      <c r="K103" s="750"/>
      <c r="L103" s="750"/>
      <c r="M103" s="750"/>
      <c r="N103" s="750"/>
      <c r="O103" s="750"/>
      <c r="P103" s="750"/>
      <c r="Q103" s="751">
        <f>Q87+Q84+Q89+Q85</f>
        <v>36042.109000000004</v>
      </c>
      <c r="R103" s="751"/>
      <c r="S103" s="751"/>
      <c r="T103" s="751"/>
      <c r="U103" s="751"/>
      <c r="V103" s="751"/>
      <c r="W103" s="751"/>
      <c r="X103" s="751"/>
      <c r="Y103" s="751"/>
      <c r="Z103" s="751"/>
      <c r="AA103" s="751"/>
      <c r="AB103" s="751"/>
      <c r="AC103" s="751"/>
      <c r="AD103" s="751">
        <f>AD87+AD84+AD89+AD85</f>
        <v>113442.98</v>
      </c>
      <c r="AE103" s="752">
        <f>AE87+AE84+AE89+AE85</f>
        <v>77400.870999999999</v>
      </c>
      <c r="AF103" s="753">
        <f t="shared" ref="AF103:AF108" si="77">AE103/Q103</f>
        <v>2.1475122612830453</v>
      </c>
      <c r="AG103" s="534"/>
      <c r="AI103" s="113"/>
      <c r="AJ103" s="113"/>
      <c r="AK103" s="113"/>
      <c r="AL103" s="204" t="str">
        <f t="shared" ref="AL103:AL106" si="78">D103</f>
        <v>Mise en service 2021</v>
      </c>
      <c r="AM103" s="196"/>
      <c r="AN103" s="196"/>
      <c r="AO103" s="196"/>
      <c r="AP103" s="196"/>
      <c r="AQ103" s="196"/>
      <c r="AR103" s="196"/>
      <c r="AS103" s="196"/>
      <c r="AT103" s="196"/>
      <c r="AU103" s="196"/>
      <c r="AV103" s="196"/>
      <c r="AW103" s="196"/>
      <c r="AX103" s="196"/>
      <c r="AY103" s="197">
        <f>AY87+AY84+AY89+AY85</f>
        <v>2597.1768471584519</v>
      </c>
      <c r="AZ103" s="197"/>
      <c r="BA103" s="197"/>
      <c r="BB103" s="197"/>
      <c r="BC103" s="197"/>
      <c r="BD103" s="197"/>
      <c r="BE103" s="197"/>
      <c r="BF103" s="197"/>
      <c r="BG103" s="197"/>
      <c r="BH103" s="197"/>
      <c r="BI103" s="197"/>
      <c r="BJ103" s="197"/>
      <c r="BK103" s="197"/>
      <c r="BL103" s="197">
        <f>BL87+BL84+BL89+BL85</f>
        <v>7890.8162324310842</v>
      </c>
      <c r="BM103" s="265">
        <f>BM87+BM84+BM89+BM85</f>
        <v>5293.6393852726324</v>
      </c>
      <c r="BN103" s="521">
        <f>BN87+BN84+BN89+BN85</f>
        <v>3540.0672530794927</v>
      </c>
      <c r="BO103" s="521">
        <f>BO87+BO84+BO89+BO85</f>
        <v>-114.81395157486025</v>
      </c>
      <c r="BP103" s="266">
        <f>BM103/$AY$94</f>
        <v>2.5617150562330479E-2</v>
      </c>
      <c r="BQ103" s="52" t="s">
        <v>3460</v>
      </c>
      <c r="BV103"/>
      <c r="BW103"/>
      <c r="BX103"/>
      <c r="BY103"/>
      <c r="BZ103"/>
    </row>
    <row r="104" spans="1:78" s="52" customFormat="1">
      <c r="A104" s="113"/>
      <c r="B104" s="113"/>
      <c r="C104" s="113"/>
      <c r="D104" s="749" t="s">
        <v>3459</v>
      </c>
      <c r="E104" s="750"/>
      <c r="F104" s="750"/>
      <c r="G104" s="750"/>
      <c r="H104" s="750"/>
      <c r="I104" s="750"/>
      <c r="J104" s="750"/>
      <c r="K104" s="750"/>
      <c r="L104" s="750"/>
      <c r="M104" s="750"/>
      <c r="N104" s="750"/>
      <c r="O104" s="750"/>
      <c r="P104" s="750"/>
      <c r="Q104" s="751">
        <f>Q86+Q92+Q90+Q91+Q93</f>
        <v>3081.73</v>
      </c>
      <c r="R104" s="751"/>
      <c r="S104" s="751"/>
      <c r="T104" s="751"/>
      <c r="U104" s="751"/>
      <c r="V104" s="751"/>
      <c r="W104" s="751"/>
      <c r="X104" s="751"/>
      <c r="Y104" s="751"/>
      <c r="Z104" s="751"/>
      <c r="AA104" s="751"/>
      <c r="AB104" s="751"/>
      <c r="AC104" s="751"/>
      <c r="AD104" s="751">
        <f>AD86+AD92+AD90+AD91+AD93</f>
        <v>101192.95599999999</v>
      </c>
      <c r="AE104" s="752">
        <f>AE86+AE92+AE90+AE91+AE93</f>
        <v>98111.225999999981</v>
      </c>
      <c r="AF104" s="753">
        <f t="shared" si="77"/>
        <v>31.836412015329046</v>
      </c>
      <c r="AG104" s="534"/>
      <c r="AI104" s="113"/>
      <c r="AJ104" s="113"/>
      <c r="AK104" s="113"/>
      <c r="AL104" s="204" t="str">
        <f t="shared" si="78"/>
        <v>Mise en service 2022</v>
      </c>
      <c r="AM104" s="196"/>
      <c r="AN104" s="196"/>
      <c r="AO104" s="196"/>
      <c r="AP104" s="196"/>
      <c r="AQ104" s="196"/>
      <c r="AR104" s="196"/>
      <c r="AS104" s="196"/>
      <c r="AT104" s="196"/>
      <c r="AU104" s="196"/>
      <c r="AV104" s="196"/>
      <c r="AW104" s="196"/>
      <c r="AX104" s="196"/>
      <c r="AY104" s="197">
        <f>AY86+AY92+AY90+AY91+AY93</f>
        <v>184.59508955214201</v>
      </c>
      <c r="AZ104" s="196"/>
      <c r="BA104" s="196"/>
      <c r="BB104" s="196"/>
      <c r="BC104" s="196"/>
      <c r="BD104" s="196"/>
      <c r="BE104" s="196"/>
      <c r="BF104" s="196"/>
      <c r="BG104" s="196"/>
      <c r="BH104" s="196"/>
      <c r="BI104" s="196"/>
      <c r="BJ104" s="196"/>
      <c r="BK104" s="196"/>
      <c r="BL104" s="197">
        <f>BL86+BL92+BL90+BL91+BL93</f>
        <v>6953.6264031400005</v>
      </c>
      <c r="BM104" s="265">
        <f>BM86+BM92+BM90+BM91+BM93</f>
        <v>6769.0313135878569</v>
      </c>
      <c r="BN104" s="521">
        <f>BN86+BN92+BN90+BN91+BN93</f>
        <v>1181.0491142802719</v>
      </c>
      <c r="BO104" s="521">
        <f>BO86+BO92+BO90+BO91+BO93</f>
        <v>-23.022812942413871</v>
      </c>
      <c r="BP104" s="266">
        <f>BM104/$AY$94</f>
        <v>3.275691479924623E-2</v>
      </c>
      <c r="BQ104" s="52" t="s">
        <v>3461</v>
      </c>
      <c r="BV104"/>
      <c r="BW104"/>
      <c r="BX104"/>
      <c r="BY104"/>
      <c r="BZ104"/>
    </row>
    <row r="105" spans="1:78" s="52" customFormat="1">
      <c r="A105" s="113"/>
      <c r="B105" s="113"/>
      <c r="C105" s="113"/>
      <c r="D105" s="749" t="s">
        <v>3269</v>
      </c>
      <c r="E105" s="750"/>
      <c r="F105" s="750"/>
      <c r="G105" s="750"/>
      <c r="H105" s="750"/>
      <c r="I105" s="750"/>
      <c r="J105" s="750"/>
      <c r="K105" s="750"/>
      <c r="L105" s="750"/>
      <c r="M105" s="750"/>
      <c r="N105" s="750"/>
      <c r="O105" s="750"/>
      <c r="P105" s="750"/>
      <c r="Q105" s="751">
        <f>Q57+Q58+Q62+Q70</f>
        <v>88094.251000000004</v>
      </c>
      <c r="R105" s="751"/>
      <c r="S105" s="751"/>
      <c r="T105" s="751"/>
      <c r="U105" s="751"/>
      <c r="V105" s="751"/>
      <c r="W105" s="751"/>
      <c r="X105" s="751"/>
      <c r="Y105" s="751"/>
      <c r="Z105" s="751"/>
      <c r="AA105" s="751"/>
      <c r="AB105" s="751"/>
      <c r="AC105" s="751"/>
      <c r="AD105" s="751">
        <f>AD57+AD58+AD62+AD70</f>
        <v>21296.432000000001</v>
      </c>
      <c r="AE105" s="752">
        <f>AE57+AE58+AE62+AE70</f>
        <v>-66797.819000000003</v>
      </c>
      <c r="AF105" s="753">
        <f t="shared" si="77"/>
        <v>-0.75825400910667828</v>
      </c>
      <c r="AG105" s="534"/>
      <c r="AI105" s="113"/>
      <c r="AJ105" s="113"/>
      <c r="AK105" s="113"/>
      <c r="AL105" s="204" t="str">
        <f t="shared" si="78"/>
        <v>Arrêts pour Repowering</v>
      </c>
      <c r="AM105" s="196"/>
      <c r="AN105" s="196"/>
      <c r="AO105" s="196"/>
      <c r="AP105" s="196"/>
      <c r="AQ105" s="196"/>
      <c r="AR105" s="196"/>
      <c r="AS105" s="196"/>
      <c r="AT105" s="196"/>
      <c r="AU105" s="196"/>
      <c r="AV105" s="196"/>
      <c r="AW105" s="196"/>
      <c r="AX105" s="196"/>
      <c r="AY105" s="197">
        <f>AY57+AY58+AY62+AY70</f>
        <v>6381.93882502</v>
      </c>
      <c r="AZ105" s="196"/>
      <c r="BA105" s="196"/>
      <c r="BB105" s="196"/>
      <c r="BC105" s="196"/>
      <c r="BD105" s="196"/>
      <c r="BE105" s="196"/>
      <c r="BF105" s="196"/>
      <c r="BG105" s="196"/>
      <c r="BH105" s="196"/>
      <c r="BI105" s="196"/>
      <c r="BJ105" s="196"/>
      <c r="BK105" s="196"/>
      <c r="BL105" s="197">
        <f>BL57+BL58+BL62+BL70</f>
        <v>1780.8438869239781</v>
      </c>
      <c r="BM105" s="265">
        <f>BM57+BM58+BM62+BM70</f>
        <v>-4601.0949380960219</v>
      </c>
      <c r="BN105" s="521">
        <f>BN57+BN58+BN62+BN70</f>
        <v>-4819.5348431757466</v>
      </c>
      <c r="BO105" s="521">
        <f>BO57+BO58+BO62+BO70</f>
        <v>218.43990507972472</v>
      </c>
      <c r="BP105" s="266">
        <f t="shared" ref="BP105:BP106" si="79">BM105/$AY$94</f>
        <v>-2.2265767122085906E-2</v>
      </c>
      <c r="BQ105" s="52" t="s">
        <v>3462</v>
      </c>
      <c r="BV105"/>
      <c r="BW105"/>
      <c r="BX105"/>
      <c r="BY105"/>
      <c r="BZ105"/>
    </row>
    <row r="106" spans="1:78" s="52" customFormat="1">
      <c r="A106" s="113"/>
      <c r="B106" s="113"/>
      <c r="C106" s="113"/>
      <c r="D106" s="205" t="s">
        <v>3270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97">
        <f t="shared" ref="Q106:AE106" si="80">Q24+Q64+Q68</f>
        <v>55512.201000000001</v>
      </c>
      <c r="R106" s="197">
        <f t="shared" si="80"/>
        <v>5936.1689999999999</v>
      </c>
      <c r="S106" s="197">
        <f t="shared" si="80"/>
        <v>5272.6059999999998</v>
      </c>
      <c r="T106" s="197">
        <f t="shared" si="80"/>
        <v>5338.7560000000003</v>
      </c>
      <c r="U106" s="197">
        <f t="shared" si="80"/>
        <v>4701.0169999999998</v>
      </c>
      <c r="V106" s="197">
        <f t="shared" si="80"/>
        <v>4184.0779999999995</v>
      </c>
      <c r="W106" s="197">
        <f t="shared" si="80"/>
        <v>3507.7780000000002</v>
      </c>
      <c r="X106" s="197">
        <f t="shared" si="80"/>
        <v>3540.1030000000001</v>
      </c>
      <c r="Y106" s="197">
        <f t="shared" si="80"/>
        <v>3250.9089999999997</v>
      </c>
      <c r="Z106" s="197">
        <f t="shared" si="80"/>
        <v>3828.9359999999997</v>
      </c>
      <c r="AA106" s="197">
        <f t="shared" si="80"/>
        <v>4776.01</v>
      </c>
      <c r="AB106" s="197">
        <f t="shared" si="80"/>
        <v>5352.8549999999996</v>
      </c>
      <c r="AC106" s="197">
        <f t="shared" si="80"/>
        <v>5894.1810000000005</v>
      </c>
      <c r="AD106" s="197">
        <f t="shared" si="80"/>
        <v>55583.398000000001</v>
      </c>
      <c r="AE106" s="265">
        <f t="shared" si="80"/>
        <v>71.196999999996478</v>
      </c>
      <c r="AF106" s="266">
        <f t="shared" si="77"/>
        <v>1.2825468764965106E-3</v>
      </c>
      <c r="AG106" s="534"/>
      <c r="AI106" s="113"/>
      <c r="AJ106" s="113"/>
      <c r="AK106" s="113"/>
      <c r="AL106" s="204" t="str">
        <f t="shared" si="78"/>
        <v>Passage tarif EDF à marché ou PPA</v>
      </c>
      <c r="AM106" s="196"/>
      <c r="AN106" s="196"/>
      <c r="AO106" s="196"/>
      <c r="AP106" s="196"/>
      <c r="AQ106" s="196"/>
      <c r="AR106" s="196"/>
      <c r="AS106" s="196"/>
      <c r="AT106" s="196"/>
      <c r="AU106" s="196"/>
      <c r="AV106" s="196"/>
      <c r="AW106" s="196"/>
      <c r="AX106" s="196"/>
      <c r="AY106" s="269">
        <f t="shared" ref="AY106:BO106" si="81">AY24+AY64+AY68</f>
        <v>5364.2217931480009</v>
      </c>
      <c r="AZ106" s="269">
        <f t="shared" si="81"/>
        <v>584.54157082373604</v>
      </c>
      <c r="BA106" s="269">
        <f t="shared" si="81"/>
        <v>519.24434327311803</v>
      </c>
      <c r="BB106" s="269">
        <f t="shared" si="81"/>
        <v>525.77689339057008</v>
      </c>
      <c r="BC106" s="269">
        <f t="shared" si="81"/>
        <v>463.05589371288801</v>
      </c>
      <c r="BD106" s="269">
        <f t="shared" si="81"/>
        <v>412.12075081050597</v>
      </c>
      <c r="BE106" s="269">
        <f t="shared" si="81"/>
        <v>345.52613392292801</v>
      </c>
      <c r="BF106" s="269">
        <f t="shared" si="81"/>
        <v>265.54844976279202</v>
      </c>
      <c r="BG106" s="269">
        <f t="shared" si="81"/>
        <v>239.15118725876999</v>
      </c>
      <c r="BH106" s="269">
        <f t="shared" si="81"/>
        <v>276.427230571748</v>
      </c>
      <c r="BI106" s="269">
        <f t="shared" si="81"/>
        <v>319.41916030639999</v>
      </c>
      <c r="BJ106" s="269">
        <f t="shared" si="81"/>
        <v>377.64342817001</v>
      </c>
      <c r="BK106" s="269">
        <f t="shared" si="81"/>
        <v>364.79512423</v>
      </c>
      <c r="BL106" s="269">
        <f t="shared" si="81"/>
        <v>4693.2501662334662</v>
      </c>
      <c r="BM106" s="265">
        <f t="shared" si="81"/>
        <v>-670.97162691453468</v>
      </c>
      <c r="BN106" s="521">
        <f t="shared" si="81"/>
        <v>6.8961347342775365</v>
      </c>
      <c r="BO106" s="521">
        <f t="shared" si="81"/>
        <v>-677.86776164881212</v>
      </c>
      <c r="BP106" s="266">
        <f t="shared" si="79"/>
        <v>-3.2469875521821618E-3</v>
      </c>
      <c r="BQ106" s="52" t="s">
        <v>3463</v>
      </c>
      <c r="BV106"/>
      <c r="BW106"/>
      <c r="BX106"/>
      <c r="BY106"/>
      <c r="BZ106"/>
    </row>
    <row r="107" spans="1:78" s="52" customFormat="1">
      <c r="A107" s="113"/>
      <c r="B107" s="113"/>
      <c r="C107" s="113"/>
      <c r="D107" s="744" t="s">
        <v>3149</v>
      </c>
      <c r="E107" s="745"/>
      <c r="F107" s="745"/>
      <c r="G107" s="745"/>
      <c r="H107" s="745"/>
      <c r="I107" s="745"/>
      <c r="J107" s="745"/>
      <c r="K107" s="745"/>
      <c r="L107" s="745"/>
      <c r="M107" s="745"/>
      <c r="N107" s="745"/>
      <c r="O107" s="745"/>
      <c r="P107" s="745"/>
      <c r="Q107" s="746">
        <f>Q28+Q22</f>
        <v>108045.19500000001</v>
      </c>
      <c r="R107" s="746"/>
      <c r="S107" s="746"/>
      <c r="T107" s="746"/>
      <c r="U107" s="746"/>
      <c r="V107" s="746"/>
      <c r="W107" s="746"/>
      <c r="X107" s="746"/>
      <c r="Y107" s="746"/>
      <c r="Z107" s="746"/>
      <c r="AA107" s="746"/>
      <c r="AB107" s="746"/>
      <c r="AC107" s="746"/>
      <c r="AD107" s="746">
        <f>AD28+AD22</f>
        <v>107904.356</v>
      </c>
      <c r="AE107" s="747">
        <f>AE28+AE22</f>
        <v>-140.83900000000722</v>
      </c>
      <c r="AF107" s="748">
        <f t="shared" si="77"/>
        <v>-1.3035193281849065E-3</v>
      </c>
      <c r="AG107" s="534"/>
      <c r="AI107" s="113"/>
      <c r="AJ107" s="113"/>
      <c r="AK107" s="113"/>
      <c r="AL107" s="204"/>
      <c r="AM107" s="196"/>
      <c r="AN107" s="196"/>
      <c r="AO107" s="196"/>
      <c r="AP107" s="196"/>
      <c r="AQ107" s="196"/>
      <c r="AR107" s="196"/>
      <c r="AS107" s="196"/>
      <c r="AT107" s="196"/>
      <c r="AU107" s="196"/>
      <c r="AV107" s="196"/>
      <c r="AW107" s="196"/>
      <c r="AX107" s="196"/>
      <c r="AY107" s="197"/>
      <c r="AZ107" s="196"/>
      <c r="BA107" s="196"/>
      <c r="BB107" s="196"/>
      <c r="BC107" s="196"/>
      <c r="BD107" s="196"/>
      <c r="BE107" s="196"/>
      <c r="BF107" s="196"/>
      <c r="BG107" s="196"/>
      <c r="BH107" s="196"/>
      <c r="BI107" s="196"/>
      <c r="BJ107" s="196"/>
      <c r="BK107" s="196"/>
      <c r="BL107" s="197"/>
      <c r="BM107" s="265"/>
      <c r="BN107" s="521"/>
      <c r="BO107" s="521"/>
      <c r="BP107" s="266"/>
      <c r="BV107"/>
      <c r="BW107"/>
      <c r="BX107"/>
      <c r="BY107"/>
      <c r="BZ107"/>
    </row>
    <row r="108" spans="1:78">
      <c r="Q108" s="81">
        <f>SUM(Q101:Q107)</f>
        <v>2425224.7589999996</v>
      </c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>
        <f>SUM(AD101:AD107)</f>
        <v>2427053.148</v>
      </c>
      <c r="AE108" s="81">
        <f>SUM(AE101:AE107)</f>
        <v>1828.3890000004285</v>
      </c>
      <c r="AF108" s="271">
        <f t="shared" si="77"/>
        <v>7.5390497033946406E-4</v>
      </c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197">
        <f>SUM(AY101:AY107)</f>
        <v>206644.34837873135</v>
      </c>
      <c r="AZ108" s="197">
        <f t="shared" ref="AZ108:BK108" si="82">SUM(AZ101:AZ107)</f>
        <v>584.54157082373604</v>
      </c>
      <c r="BA108" s="197">
        <f t="shared" si="82"/>
        <v>519.24434327311803</v>
      </c>
      <c r="BB108" s="197">
        <f t="shared" si="82"/>
        <v>525.77689339057008</v>
      </c>
      <c r="BC108" s="197">
        <f t="shared" si="82"/>
        <v>463.05589371288801</v>
      </c>
      <c r="BD108" s="197">
        <f t="shared" si="82"/>
        <v>412.12075081050597</v>
      </c>
      <c r="BE108" s="197">
        <f t="shared" si="82"/>
        <v>345.52613392292801</v>
      </c>
      <c r="BF108" s="197">
        <f t="shared" si="82"/>
        <v>265.54844976279202</v>
      </c>
      <c r="BG108" s="197">
        <f t="shared" si="82"/>
        <v>239.15118725876999</v>
      </c>
      <c r="BH108" s="197">
        <f t="shared" si="82"/>
        <v>276.427230571748</v>
      </c>
      <c r="BI108" s="197">
        <f t="shared" si="82"/>
        <v>319.41916030639999</v>
      </c>
      <c r="BJ108" s="197">
        <f t="shared" si="82"/>
        <v>377.64342817001</v>
      </c>
      <c r="BK108" s="197">
        <f t="shared" si="82"/>
        <v>364.79512423</v>
      </c>
      <c r="BL108" s="197">
        <f>SUM(BL101:BL107)</f>
        <v>209218.4742471482</v>
      </c>
      <c r="BM108" s="191">
        <f t="shared" ref="BM108" si="83">SUM(BM101:BM107)</f>
        <v>2574.1258684170352</v>
      </c>
      <c r="BN108" s="197">
        <f>SUM(BN101:BN107)</f>
        <v>-8874.1666655677873</v>
      </c>
      <c r="BO108" s="197">
        <f>SUM(BO101:BO107)</f>
        <v>4019.7014379668217</v>
      </c>
      <c r="BP108" s="271">
        <f>BM108/$AY$94</f>
        <v>1.2456792980852579E-2</v>
      </c>
    </row>
    <row r="109" spans="1:78">
      <c r="BL109" s="81"/>
      <c r="BM109" s="81"/>
      <c r="BT109" s="203"/>
      <c r="BU109" s="203"/>
    </row>
    <row r="110" spans="1:78">
      <c r="A110" s="113" t="s">
        <v>832</v>
      </c>
      <c r="C110" s="64" t="s">
        <v>830</v>
      </c>
      <c r="D110" s="113" t="s">
        <v>2740</v>
      </c>
      <c r="E110" s="189">
        <f>_xll.LVCELL($A$110,E$3,$C110,$D$2,$C$4,$C$5,$C$6,$C$7,$C$8,$D$3)/1000</f>
        <v>116.08199999999999</v>
      </c>
      <c r="F110" s="189">
        <f>_xll.LVCELL($A$110,F$3,$C110,$D$2,$C$4,$C$5,$C$6,$C$7,$C$8,$D$3)/1000</f>
        <v>103.021</v>
      </c>
      <c r="G110" s="189">
        <f>_xll.LVCELL($A$110,G$3,$C110,$D$2,$C$4,$C$5,$C$6,$C$7,$C$8,$D$3)/1000</f>
        <v>104.572</v>
      </c>
      <c r="H110" s="189">
        <f>_xll.LVCELL($A$110,H$3,$C110,$D$2,$C$4,$C$5,$C$6,$C$7,$C$8,$D$3)/1000</f>
        <v>63.031999999999996</v>
      </c>
      <c r="I110" s="189">
        <f>_xll.LVCELL($A$110,I$3,$C110,$D$2,$C$4,$C$5,$C$6,$C$7,$C$8,$D$3)/1000</f>
        <v>64.099000000000004</v>
      </c>
      <c r="J110" s="189">
        <f>_xll.LVCELL($A$110,J$3,$C110,$D$2,$C$4,$C$5,$C$6,$C$7,$C$8,$D$3)/1000</f>
        <v>54.564999999999998</v>
      </c>
      <c r="K110" s="189">
        <f>_xll.LVCELL($A$110,K$3,$C110,$D$2,$C$4,$C$5,$C$6,$C$7,$C$8,$D$3)/1000</f>
        <v>60.115000000000002</v>
      </c>
      <c r="L110" s="189">
        <f>_xll.LVCELL($A$110,L$3,$C110,$D$2,$C$4,$C$5,$C$6,$C$7,$C$8,$D$3)/1000</f>
        <v>61.74</v>
      </c>
      <c r="M110" s="189">
        <f>_xll.LVCELL($A$110,M$3,$C110,$D$2,$C$4,$C$5,$C$6,$C$7,$C$8,$D$3)/1000</f>
        <v>58.72</v>
      </c>
      <c r="N110" s="189">
        <f>_xll.LVCELL($A$110,N$3,$C110,$D$2,$C$4,$C$5,$C$6,$C$7,$C$8,$D$3)/1000</f>
        <v>60.036999999999999</v>
      </c>
      <c r="O110" s="189">
        <f>_xll.LVCELL($A$110,O$3,$C110,$D$2,$C$4,$C$5,$C$6,$C$7,$C$8,$D$3)/1000</f>
        <v>112.113</v>
      </c>
      <c r="P110" s="189">
        <f>_xll.LVCELL($A$110,P$3,$C110,$D$2,$C$4,$C$5,$C$6,$C$7,$C$8,$D$3)/1000</f>
        <v>115.104</v>
      </c>
      <c r="Q110" s="189">
        <f>_xll.LVCELL($A$110,Q$2,$C110,$D$2,$C$4,$C$5,$C$6,$C$7,$C$8,$D$3)/1000</f>
        <v>973.2</v>
      </c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  <c r="AB110" s="189"/>
      <c r="AC110" s="189"/>
      <c r="AD110" s="189">
        <f>_xll.LVCELL($A$110,AD$2,$C110,$D$2,$C$4,$C$5,$C$6,$C$7,$C$8,$D$3)/1000</f>
        <v>0</v>
      </c>
      <c r="AE110" s="189">
        <f t="shared" ref="AE110:AE111" si="84">AD110-Q110</f>
        <v>-973.2</v>
      </c>
      <c r="AF110" s="537">
        <f t="shared" ref="AF110:AF111" si="85">AD110/Q110-1</f>
        <v>-1</v>
      </c>
      <c r="AJ110" s="64" t="s">
        <v>2696</v>
      </c>
      <c r="AK110" s="64" t="s">
        <v>830</v>
      </c>
      <c r="AL110" s="527" t="s">
        <v>2703</v>
      </c>
      <c r="AM110" s="172">
        <f>_xll.LVCELL($AJ$110,AM$3,$AK110,$AL$2,$AK$4,$AK$5,$AK$6,$AK$7,$AK$8,$AL$3)/1000</f>
        <v>547.28507999999999</v>
      </c>
      <c r="AN110" s="172">
        <f>_xll.LVCELL($AJ$110,AN$3,$AK110,$AL$2,$AK$4,$AK$5,$AK$6,$AK$7,$AK$8,$AL$3)/1000</f>
        <v>500.296965</v>
      </c>
      <c r="AO110" s="172">
        <f>_xll.LVCELL($AJ$110,AO$3,$AK110,$AL$2,$AK$4,$AK$5,$AK$6,$AK$7,$AK$8,$AL$3)/1000</f>
        <v>541.33295200000009</v>
      </c>
      <c r="AP110" s="172">
        <f>_xll.LVCELL($AJ$110,AP$3,$AK110,$AL$2,$AK$4,$AK$5,$AK$6,$AK$7,$AK$8,$AL$3)/1000</f>
        <v>548.43759599999998</v>
      </c>
      <c r="AQ110" s="172">
        <f>_xll.LVCELL($AJ$110,AQ$3,$AK110,$AL$2,$AK$4,$AK$5,$AK$6,$AK$7,$AK$8,$AL$3)/1000</f>
        <v>561.59581000000003</v>
      </c>
      <c r="AR110" s="172">
        <f>_xll.LVCELL($AJ$110,AR$3,$AK110,$AL$2,$AK$4,$AK$5,$AK$6,$AK$7,$AK$8,$AL$3)/1000</f>
        <v>529.27149600000007</v>
      </c>
      <c r="AS110" s="172">
        <f>_xll.LVCELL($AJ$110,AS$3,$AK110,$AL$2,$AK$4,$AK$5,$AK$6,$AK$7,$AK$8,$AL$3)/1000</f>
        <v>489.76853399999999</v>
      </c>
      <c r="AT110" s="172">
        <f>_xll.LVCELL($AJ$110,AT$3,$AK110,$AL$2,$AK$4,$AK$5,$AK$6,$AK$7,$AK$8,$AL$3)/1000</f>
        <v>503.08426299999996</v>
      </c>
      <c r="AU110" s="172">
        <f>_xll.LVCELL($AJ$110,AU$3,$AK110,$AL$2,$AK$4,$AK$5,$AK$6,$AK$7,$AK$8,$AL$3)/1000</f>
        <v>482.63359300000002</v>
      </c>
      <c r="AV110" s="172">
        <f>_xll.LVCELL($AJ$110,AV$3,$AK110,$AL$2,$AK$4,$AK$5,$AK$6,$AK$7,$AK$8,$AL$3)/1000</f>
        <v>428.11226099999999</v>
      </c>
      <c r="AW110" s="172">
        <f>_xll.LVCELL($AJ$110,AW$3,$AK110,$AL$2,$AK$4,$AK$5,$AK$6,$AK$7,$AK$8,$AL$3)/1000</f>
        <v>512.60737500000005</v>
      </c>
      <c r="AX110" s="172">
        <f>_xll.LVCELL($AJ$110,AX$3,$AK110,$AL$2,$AK$4,$AK$5,$AK$6,$AK$7,$AK$8,$AL$3)/1000</f>
        <v>535.35229200000003</v>
      </c>
      <c r="AY110" s="172">
        <f>_xll.LVCELL($AJ$110,AY$2,$AK110,$AL$2,$AK$4,$AK$5,$AK$6,$AK$7,$AK$8,$AL$3)/1000</f>
        <v>6179.7782170000019</v>
      </c>
      <c r="AZ110" s="172">
        <f>_xll.LVCELL($AJ$110,AZ$3,$AK110,$AL$2,$AK$4,$AK$5,$AK$6,$AK$7,$AK$8,$AL$3)/1000</f>
        <v>0</v>
      </c>
      <c r="BA110" s="172">
        <f>_xll.LVCELL($AJ$110,BA$3,$AK110,$AL$2,$AK$4,$AK$5,$AK$6,$AK$7,$AK$8,$AL$3)/1000</f>
        <v>0</v>
      </c>
      <c r="BB110" s="172">
        <f>_xll.LVCELL($AJ$110,BB$3,$AK110,$AL$2,$AK$4,$AK$5,$AK$6,$AK$7,$AK$8,$AL$3)/1000</f>
        <v>0</v>
      </c>
      <c r="BC110" s="172">
        <f>_xll.LVCELL($AJ$110,BC$3,$AK110,$AL$2,$AK$4,$AK$5,$AK$6,$AK$7,$AK$8,$AL$3)/1000</f>
        <v>0</v>
      </c>
      <c r="BD110" s="172">
        <f>_xll.LVCELL($AJ$110,BD$3,$AK110,$AL$2,$AK$4,$AK$5,$AK$6,$AK$7,$AK$8,$AL$3)/1000</f>
        <v>0</v>
      </c>
      <c r="BE110" s="172">
        <f>_xll.LVCELL($AJ$110,BE$3,$AK110,$AL$2,$AK$4,$AK$5,$AK$6,$AK$7,$AK$8,$AL$3)/1000</f>
        <v>0</v>
      </c>
      <c r="BF110" s="172">
        <f>_xll.LVCELL($AJ$110,BF$3,$AK110,$AL$2,$AK$4,$AK$5,$AK$6,$AK$7,$AK$8,$AL$3)/1000</f>
        <v>0</v>
      </c>
      <c r="BG110" s="172">
        <f>_xll.LVCELL($AJ$110,BG$3,$AK110,$AL$2,$AK$4,$AK$5,$AK$6,$AK$7,$AK$8,$AL$3)/1000</f>
        <v>0</v>
      </c>
      <c r="BH110" s="172">
        <f>_xll.LVCELL($AJ$110,BH$3,$AK110,$AL$2,$AK$4,$AK$5,$AK$6,$AK$7,$AK$8,$AL$3)/1000</f>
        <v>0</v>
      </c>
      <c r="BI110" s="172">
        <f>_xll.LVCELL($AJ$110,BI$3,$AK110,$AL$2,$AK$4,$AK$5,$AK$6,$AK$7,$AK$8,$AL$3)/1000</f>
        <v>0</v>
      </c>
      <c r="BJ110" s="172">
        <f>_xll.LVCELL($AJ$110,BJ$3,$AK110,$AL$2,$AK$4,$AK$5,$AK$6,$AK$7,$AK$8,$AL$3)/1000</f>
        <v>0</v>
      </c>
      <c r="BK110" s="172">
        <f>_xll.LVCELL($AJ$110,BK$3,$AK110,$AL$2,$AK$4,$AK$5,$AK$6,$AK$7,$AK$8,$AL$3)/1000</f>
        <v>0</v>
      </c>
      <c r="BL110" s="172">
        <f>_xll.LVCELL($AJ$110,BL$2,$AK110,$AL$2,$AK$4,$AK$5,$AK$6,$AK$7,$AK$8,$AL$3)/1000</f>
        <v>0</v>
      </c>
      <c r="BM110" s="172">
        <f>BL110-AY110</f>
        <v>-6179.7782170000019</v>
      </c>
      <c r="BN110" s="172"/>
      <c r="BO110" s="172"/>
      <c r="BP110" s="193">
        <f>BL110/AY110-1</f>
        <v>-1</v>
      </c>
    </row>
    <row r="111" spans="1:78">
      <c r="A111" s="113" t="s">
        <v>833</v>
      </c>
      <c r="C111" s="64" t="s">
        <v>830</v>
      </c>
      <c r="D111" s="113" t="s">
        <v>2695</v>
      </c>
      <c r="E111" s="189">
        <f>_xll.LVCELL($A$111,E$3,$C111,$D$2,$C$4,$C$5,$C$6,$C$7,$C$8,$D$3)/1000</f>
        <v>63.124000000000002</v>
      </c>
      <c r="F111" s="189">
        <f>_xll.LVCELL($A$111,F$3,$C111,$D$2,$C$4,$C$5,$C$6,$C$7,$C$8,$D$3)/1000</f>
        <v>56.948999999999998</v>
      </c>
      <c r="G111" s="189">
        <f>_xll.LVCELL($A$111,G$3,$C111,$D$2,$C$4,$C$5,$C$6,$C$7,$C$8,$D$3)/1000</f>
        <v>62.344000000000001</v>
      </c>
      <c r="H111" s="189">
        <f>_xll.LVCELL($A$111,H$3,$C111,$D$2,$C$4,$C$5,$C$6,$C$7,$C$8,$D$3)/1000</f>
        <v>57.021999999999998</v>
      </c>
      <c r="I111" s="189">
        <f>_xll.LVCELL($A$111,I$3,$C111,$D$2,$C$4,$C$5,$C$6,$C$7,$C$8,$D$3)/1000</f>
        <v>58.585000000000001</v>
      </c>
      <c r="J111" s="189">
        <f>_xll.LVCELL($A$111,J$3,$C111,$D$2,$C$4,$C$5,$C$6,$C$7,$C$8,$D$3)/1000</f>
        <v>54.756</v>
      </c>
      <c r="K111" s="189">
        <f>_xll.LVCELL($A$111,K$3,$C111,$D$2,$C$4,$C$5,$C$6,$C$7,$C$8,$D$3)/1000</f>
        <v>53.874000000000002</v>
      </c>
      <c r="L111" s="189">
        <f>_xll.LVCELL($A$111,L$3,$C111,$D$2,$C$4,$C$5,$C$6,$C$7,$C$8,$D$3)/1000</f>
        <v>55.570999999999998</v>
      </c>
      <c r="M111" s="189">
        <f>_xll.LVCELL($A$111,M$3,$C111,$D$2,$C$4,$C$5,$C$6,$C$7,$C$8,$D$3)/1000</f>
        <v>52.960999999999999</v>
      </c>
      <c r="N111" s="189">
        <f>_xll.LVCELL($A$111,N$3,$C111,$D$2,$C$4,$C$5,$C$6,$C$7,$C$8,$D$3)/1000</f>
        <v>46.539000000000001</v>
      </c>
      <c r="O111" s="189">
        <f>_xll.LVCELL($A$111,O$3,$C111,$D$2,$C$4,$C$5,$C$6,$C$7,$C$8,$D$3)/1000</f>
        <v>57.435000000000002</v>
      </c>
      <c r="P111" s="189">
        <f>_xll.LVCELL($A$111,P$3,$C111,$D$2,$C$4,$C$5,$C$6,$C$7,$C$8,$D$3)/1000</f>
        <v>60.369</v>
      </c>
      <c r="Q111" s="189">
        <f>_xll.LVCELL($A$111,Q$2,$C111,$D$2,$C$4,$C$5,$C$6,$C$7,$C$8,$D$3)/1000</f>
        <v>679.529</v>
      </c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  <c r="AB111" s="189"/>
      <c r="AC111" s="189"/>
      <c r="AD111" s="189">
        <f>_xll.LVCELL($A$111,AD$2,$C111,$D$2,$C$4,$C$5,$C$6,$C$7,$C$8,$D$3)/1000</f>
        <v>0</v>
      </c>
      <c r="AE111" s="189">
        <f t="shared" si="84"/>
        <v>-679.529</v>
      </c>
      <c r="AF111" s="537">
        <f t="shared" si="85"/>
        <v>-1</v>
      </c>
      <c r="AJ111" s="64" t="s">
        <v>2697</v>
      </c>
      <c r="AK111" s="64" t="s">
        <v>830</v>
      </c>
      <c r="AL111" s="63" t="s">
        <v>2699</v>
      </c>
      <c r="AM111" s="172">
        <f>_xll.LVCELL($AJ$111,AM$3,$AK111,$AL$2,$AK$4,$AK$5,$AK$6,$AK$7,$AK$8,$AL$3)/1000</f>
        <v>351.517</v>
      </c>
      <c r="AN111" s="172">
        <f>_xll.LVCELL($AJ$111,AN$3,$AK111,$AL$2,$AK$4,$AK$5,$AK$6,$AK$7,$AK$8,$AL$3)/1000</f>
        <v>347.34100000000001</v>
      </c>
      <c r="AO111" s="172">
        <f>_xll.LVCELL($AJ$111,AO$3,$AK111,$AL$2,$AK$4,$AK$5,$AK$6,$AK$7,$AK$8,$AL$3)/1000</f>
        <v>344.73099999999999</v>
      </c>
      <c r="AP111" s="172">
        <f>_xll.LVCELL($AJ$111,AP$3,$AK111,$AL$2,$AK$4,$AK$5,$AK$6,$AK$7,$AK$8,$AL$3)/1000</f>
        <v>0</v>
      </c>
      <c r="AQ111" s="172">
        <f>_xll.LVCELL($AJ$111,AQ$3,$AK111,$AL$2,$AK$4,$AK$5,$AK$6,$AK$7,$AK$8,$AL$3)/1000</f>
        <v>0</v>
      </c>
      <c r="AR111" s="172">
        <f>_xll.LVCELL($AJ$111,AR$3,$AK111,$AL$2,$AK$4,$AK$5,$AK$6,$AK$7,$AK$8,$AL$3)/1000</f>
        <v>0</v>
      </c>
      <c r="AS111" s="172">
        <f>_xll.LVCELL($AJ$111,AS$3,$AK111,$AL$2,$AK$4,$AK$5,$AK$6,$AK$7,$AK$8,$AL$3)/1000</f>
        <v>0</v>
      </c>
      <c r="AT111" s="172">
        <f>_xll.LVCELL($AJ$111,AT$3,$AK111,$AL$2,$AK$4,$AK$5,$AK$6,$AK$7,$AK$8,$AL$3)/1000</f>
        <v>0</v>
      </c>
      <c r="AU111" s="172">
        <f>_xll.LVCELL($AJ$111,AU$3,$AK111,$AL$2,$AK$4,$AK$5,$AK$6,$AK$7,$AK$8,$AL$3)/1000</f>
        <v>0</v>
      </c>
      <c r="AV111" s="172">
        <f>_xll.LVCELL($AJ$111,AV$3,$AK111,$AL$2,$AK$4,$AK$5,$AK$6,$AK$7,$AK$8,$AL$3)/1000</f>
        <v>0</v>
      </c>
      <c r="AW111" s="172">
        <f>_xll.LVCELL($AJ$111,AW$3,$AK111,$AL$2,$AK$4,$AK$5,$AK$6,$AK$7,$AK$8,$AL$3)/1000</f>
        <v>346.29700000000003</v>
      </c>
      <c r="AX111" s="172">
        <f>_xll.LVCELL($AJ$111,AX$3,$AK111,$AL$2,$AK$4,$AK$5,$AK$6,$AK$7,$AK$8,$AL$3)/1000</f>
        <v>344.73099999999999</v>
      </c>
      <c r="AY111" s="172">
        <f>_xll.LVCELL($AJ$111,AY$2,$AK111,$AL$2,$AK$4,$AK$5,$AK$6,$AK$7,$AK$8,$AL$3)/1000</f>
        <v>1734.617</v>
      </c>
      <c r="AZ111" s="172">
        <f>_xll.LVCELL($AJ$111,AZ$3,$AK111,$AL$2,$AK$4,$AK$5,$AK$6,$AK$7,$AK$8,$AL$3)/1000</f>
        <v>0</v>
      </c>
      <c r="BA111" s="172">
        <f>_xll.LVCELL($AJ$111,BA$3,$AK111,$AL$2,$AK$4,$AK$5,$AK$6,$AK$7,$AK$8,$AL$3)/1000</f>
        <v>0</v>
      </c>
      <c r="BB111" s="172">
        <f>_xll.LVCELL($AJ$111,BB$3,$AK111,$AL$2,$AK$4,$AK$5,$AK$6,$AK$7,$AK$8,$AL$3)/1000</f>
        <v>0</v>
      </c>
      <c r="BC111" s="172">
        <f>_xll.LVCELL($AJ$111,BC$3,$AK111,$AL$2,$AK$4,$AK$5,$AK$6,$AK$7,$AK$8,$AL$3)/1000</f>
        <v>0</v>
      </c>
      <c r="BD111" s="172">
        <f>_xll.LVCELL($AJ$111,BD$3,$AK111,$AL$2,$AK$4,$AK$5,$AK$6,$AK$7,$AK$8,$AL$3)/1000</f>
        <v>0</v>
      </c>
      <c r="BE111" s="172">
        <f>_xll.LVCELL($AJ$111,BE$3,$AK111,$AL$2,$AK$4,$AK$5,$AK$6,$AK$7,$AK$8,$AL$3)/1000</f>
        <v>0</v>
      </c>
      <c r="BF111" s="172">
        <f>_xll.LVCELL($AJ$111,BF$3,$AK111,$AL$2,$AK$4,$AK$5,$AK$6,$AK$7,$AK$8,$AL$3)/1000</f>
        <v>0</v>
      </c>
      <c r="BG111" s="172">
        <f>_xll.LVCELL($AJ$111,BG$3,$AK111,$AL$2,$AK$4,$AK$5,$AK$6,$AK$7,$AK$8,$AL$3)/1000</f>
        <v>0</v>
      </c>
      <c r="BH111" s="172">
        <f>_xll.LVCELL($AJ$111,BH$3,$AK111,$AL$2,$AK$4,$AK$5,$AK$6,$AK$7,$AK$8,$AL$3)/1000</f>
        <v>0</v>
      </c>
      <c r="BI111" s="172">
        <f>_xll.LVCELL($AJ$111,BI$3,$AK111,$AL$2,$AK$4,$AK$5,$AK$6,$AK$7,$AK$8,$AL$3)/1000</f>
        <v>0</v>
      </c>
      <c r="BJ111" s="172">
        <f>_xll.LVCELL($AJ$111,BJ$3,$AK111,$AL$2,$AK$4,$AK$5,$AK$6,$AK$7,$AK$8,$AL$3)/1000</f>
        <v>0</v>
      </c>
      <c r="BK111" s="172">
        <f>_xll.LVCELL($AJ$111,BK$3,$AK111,$AL$2,$AK$4,$AK$5,$AK$6,$AK$7,$AK$8,$AL$3)/1000</f>
        <v>0</v>
      </c>
      <c r="BL111" s="172">
        <f>_xll.LVCELL($AJ$111,BL$2,$AK111,$AL$2,$AK$4,$AK$5,$AK$6,$AK$7,$AK$8,$AL$3)/1000</f>
        <v>0</v>
      </c>
      <c r="BM111" s="172">
        <f>BL111-AY111</f>
        <v>-1734.617</v>
      </c>
      <c r="BN111" s="172"/>
      <c r="BO111" s="172"/>
      <c r="BP111" s="193">
        <f>BL111/AY111-1</f>
        <v>-1</v>
      </c>
    </row>
    <row r="112" spans="1:78">
      <c r="AJ112" s="64" t="s">
        <v>2698</v>
      </c>
      <c r="AK112" s="64" t="s">
        <v>830</v>
      </c>
      <c r="AL112" s="63" t="s">
        <v>2700</v>
      </c>
      <c r="AM112" s="172">
        <f>_xll.LVCELL($AJ$112,AM$3,$AK112,$AL$2,$AK$4,$AK$5,$AK$6,$AK$7,$AK$8,$AL$3)/1000</f>
        <v>1.3</v>
      </c>
      <c r="AN112" s="172">
        <f>_xll.LVCELL($AJ$112,AN$3,$AK112,$AL$2,$AK$4,$AK$5,$AK$6,$AK$7,$AK$8,$AL$3)/1000</f>
        <v>1.3</v>
      </c>
      <c r="AO112" s="172">
        <f>_xll.LVCELL($AJ$112,AO$3,$AK112,$AL$2,$AK$4,$AK$5,$AK$6,$AK$7,$AK$8,$AL$3)/1000</f>
        <v>1.3</v>
      </c>
      <c r="AP112" s="172">
        <f>_xll.LVCELL($AJ$112,AP$3,$AK112,$AL$2,$AK$4,$AK$5,$AK$6,$AK$7,$AK$8,$AL$3)/1000</f>
        <v>0.5</v>
      </c>
      <c r="AQ112" s="172">
        <f>_xll.LVCELL($AJ$112,AQ$3,$AK112,$AL$2,$AK$4,$AK$5,$AK$6,$AK$7,$AK$8,$AL$3)/1000</f>
        <v>0.5</v>
      </c>
      <c r="AR112" s="172">
        <f>_xll.LVCELL($AJ$112,AR$3,$AK112,$AL$2,$AK$4,$AK$5,$AK$6,$AK$7,$AK$8,$AL$3)/1000</f>
        <v>0.5</v>
      </c>
      <c r="AS112" s="172">
        <f>_xll.LVCELL($AJ$112,AS$3,$AK112,$AL$2,$AK$4,$AK$5,$AK$6,$AK$7,$AK$8,$AL$3)/1000</f>
        <v>0.5</v>
      </c>
      <c r="AT112" s="172">
        <f>_xll.LVCELL($AJ$112,AT$3,$AK112,$AL$2,$AK$4,$AK$5,$AK$6,$AK$7,$AK$8,$AL$3)/1000</f>
        <v>0.5</v>
      </c>
      <c r="AU112" s="172">
        <f>_xll.LVCELL($AJ$112,AU$3,$AK112,$AL$2,$AK$4,$AK$5,$AK$6,$AK$7,$AK$8,$AL$3)/1000</f>
        <v>0.5</v>
      </c>
      <c r="AV112" s="172">
        <f>_xll.LVCELL($AJ$112,AV$3,$AK112,$AL$2,$AK$4,$AK$5,$AK$6,$AK$7,$AK$8,$AL$3)/1000</f>
        <v>0.5</v>
      </c>
      <c r="AW112" s="172">
        <f>_xll.LVCELL($AJ$112,AW$3,$AK112,$AL$2,$AK$4,$AK$5,$AK$6,$AK$7,$AK$8,$AL$3)/1000</f>
        <v>1.3</v>
      </c>
      <c r="AX112" s="172">
        <f>_xll.LVCELL($AJ$112,AX$3,$AK112,$AL$2,$AK$4,$AK$5,$AK$6,$AK$7,$AK$8,$AL$3)/1000</f>
        <v>1.3</v>
      </c>
      <c r="AY112" s="172">
        <f>_xll.LVCELL($AJ$112,AY$2,$AK112,$AL$2,$AK$4,$AK$5,$AK$6,$AK$7,$AK$8,$AL$3)/1000</f>
        <v>10</v>
      </c>
      <c r="AZ112" s="172">
        <f>_xll.LVCELL($AJ$112,AZ$3,$AK112,$AL$2,$AK$4,$AK$5,$AK$6,$AK$7,$AK$8,$AL$3)/1000</f>
        <v>0</v>
      </c>
      <c r="BA112" s="172">
        <f>_xll.LVCELL($AJ$112,BA$3,$AK112,$AL$2,$AK$4,$AK$5,$AK$6,$AK$7,$AK$8,$AL$3)/1000</f>
        <v>0</v>
      </c>
      <c r="BB112" s="172">
        <f>_xll.LVCELL($AJ$112,BB$3,$AK112,$AL$2,$AK$4,$AK$5,$AK$6,$AK$7,$AK$8,$AL$3)/1000</f>
        <v>0</v>
      </c>
      <c r="BC112" s="172">
        <f>_xll.LVCELL($AJ$112,BC$3,$AK112,$AL$2,$AK$4,$AK$5,$AK$6,$AK$7,$AK$8,$AL$3)/1000</f>
        <v>0</v>
      </c>
      <c r="BD112" s="172">
        <f>_xll.LVCELL($AJ$112,BD$3,$AK112,$AL$2,$AK$4,$AK$5,$AK$6,$AK$7,$AK$8,$AL$3)/1000</f>
        <v>0</v>
      </c>
      <c r="BE112" s="172">
        <f>_xll.LVCELL($AJ$112,BE$3,$AK112,$AL$2,$AK$4,$AK$5,$AK$6,$AK$7,$AK$8,$AL$3)/1000</f>
        <v>0</v>
      </c>
      <c r="BF112" s="172">
        <f>_xll.LVCELL($AJ$112,BF$3,$AK112,$AL$2,$AK$4,$AK$5,$AK$6,$AK$7,$AK$8,$AL$3)/1000</f>
        <v>0</v>
      </c>
      <c r="BG112" s="172">
        <f>_xll.LVCELL($AJ$112,BG$3,$AK112,$AL$2,$AK$4,$AK$5,$AK$6,$AK$7,$AK$8,$AL$3)/1000</f>
        <v>0</v>
      </c>
      <c r="BH112" s="172">
        <f>_xll.LVCELL($AJ$112,BH$3,$AK112,$AL$2,$AK$4,$AK$5,$AK$6,$AK$7,$AK$8,$AL$3)/1000</f>
        <v>0</v>
      </c>
      <c r="BI112" s="172">
        <f>_xll.LVCELL($AJ$112,BI$3,$AK112,$AL$2,$AK$4,$AK$5,$AK$6,$AK$7,$AK$8,$AL$3)/1000</f>
        <v>0</v>
      </c>
      <c r="BJ112" s="172">
        <f>_xll.LVCELL($AJ$112,BJ$3,$AK112,$AL$2,$AK$4,$AK$5,$AK$6,$AK$7,$AK$8,$AL$3)/1000</f>
        <v>0</v>
      </c>
      <c r="BK112" s="172">
        <f>_xll.LVCELL($AJ$112,BK$3,$AK112,$AL$2,$AK$4,$AK$5,$AK$6,$AK$7,$AK$8,$AL$3)/1000</f>
        <v>0</v>
      </c>
      <c r="BL112" s="172">
        <f>_xll.LVCELL($AJ$112,BL$2,$AK112,$AL$2,$AK$4,$AK$5,$AK$6,$AK$7,$AK$8,$AL$3)/1000</f>
        <v>0</v>
      </c>
      <c r="BM112" s="172">
        <f>BL112-AY112</f>
        <v>-10</v>
      </c>
      <c r="BN112" s="172"/>
      <c r="BO112" s="172"/>
      <c r="BP112" s="193">
        <f>BL112/AY112-1</f>
        <v>-1</v>
      </c>
    </row>
    <row r="113" spans="1:68">
      <c r="AJ113" s="64" t="s">
        <v>3276</v>
      </c>
      <c r="AK113" s="64" t="s">
        <v>879</v>
      </c>
      <c r="AL113" s="63" t="s">
        <v>3563</v>
      </c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172">
        <f>_xll.LVCELL($AJ$113,AY$2,$AK113,$AL$2,$AK$4,$AK$5,$AK$6,$AK$7,$AK$8,$AL$3)/1000</f>
        <v>379.32600000000002</v>
      </c>
      <c r="AZ113" s="172">
        <f>_xll.LVCELL($AJ$112,AZ$3,$AK113,$AL$2,$AK$4,$AK$5,$AK$6,$AK$7,$AK$8,$AL$3)/1000</f>
        <v>0</v>
      </c>
      <c r="BA113" s="172">
        <f>_xll.LVCELL($AJ$112,BA$3,$AK113,$AL$2,$AK$4,$AK$5,$AK$6,$AK$7,$AK$8,$AL$3)/1000</f>
        <v>0</v>
      </c>
      <c r="BB113" s="172">
        <f>_xll.LVCELL($AJ$112,BB$3,$AK113,$AL$2,$AK$4,$AK$5,$AK$6,$AK$7,$AK$8,$AL$3)/1000</f>
        <v>0</v>
      </c>
      <c r="BC113" s="172">
        <f>_xll.LVCELL($AJ$112,BC$3,$AK113,$AL$2,$AK$4,$AK$5,$AK$6,$AK$7,$AK$8,$AL$3)/1000</f>
        <v>0</v>
      </c>
      <c r="BD113" s="172">
        <f>_xll.LVCELL($AJ$112,BD$3,$AK113,$AL$2,$AK$4,$AK$5,$AK$6,$AK$7,$AK$8,$AL$3)/1000</f>
        <v>0</v>
      </c>
      <c r="BE113" s="172">
        <f>_xll.LVCELL($AJ$112,BE$3,$AK113,$AL$2,$AK$4,$AK$5,$AK$6,$AK$7,$AK$8,$AL$3)/1000</f>
        <v>0</v>
      </c>
      <c r="BF113" s="172">
        <f>_xll.LVCELL($AJ$112,BF$3,$AK113,$AL$2,$AK$4,$AK$5,$AK$6,$AK$7,$AK$8,$AL$3)/1000</f>
        <v>0</v>
      </c>
      <c r="BG113" s="172">
        <f>_xll.LVCELL($AJ$112,BG$3,$AK113,$AL$2,$AK$4,$AK$5,$AK$6,$AK$7,$AK$8,$AL$3)/1000</f>
        <v>0</v>
      </c>
      <c r="BH113" s="172">
        <f>_xll.LVCELL($AJ$112,BH$3,$AK113,$AL$2,$AK$4,$AK$5,$AK$6,$AK$7,$AK$8,$AL$3)/1000</f>
        <v>0</v>
      </c>
      <c r="BI113" s="172">
        <f>_xll.LVCELL($AJ$112,BI$3,$AK113,$AL$2,$AK$4,$AK$5,$AK$6,$AK$7,$AK$8,$AL$3)/1000</f>
        <v>0</v>
      </c>
      <c r="BJ113" s="172">
        <f>_xll.LVCELL($AJ$112,BJ$3,$AK113,$AL$2,$AK$4,$AK$5,$AK$6,$AK$7,$AK$8,$AL$3)/1000</f>
        <v>0</v>
      </c>
      <c r="BK113" s="172">
        <f>_xll.LVCELL($AJ$112,BK$3,$AK113,$AL$2,$AK$4,$AK$5,$AK$6,$AK$7,$AK$8,$AL$3)/1000</f>
        <v>0</v>
      </c>
      <c r="BL113" s="172">
        <f>_xll.LVCELL($AJ$113,BL$2,$AK113,$AL$2,$AK$4,$AK$5,$AK$6,$AK$7,$AK$8,$AL$3)/1000</f>
        <v>-588.01099999999997</v>
      </c>
      <c r="BM113" s="172">
        <f>BL113-AY113</f>
        <v>-967.33699999999999</v>
      </c>
      <c r="BN113" s="172"/>
      <c r="BO113" s="172"/>
      <c r="BP113" s="193">
        <f>BL113/AY113-1</f>
        <v>-2.5501468393940829</v>
      </c>
    </row>
    <row r="114" spans="1:68">
      <c r="AD114" s="539"/>
      <c r="AJ114" s="64" t="s">
        <v>3275</v>
      </c>
      <c r="AK114" s="64" t="s">
        <v>879</v>
      </c>
      <c r="AL114" s="63" t="s">
        <v>3274</v>
      </c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172">
        <f>_xll.LVCELL($AJ$114,AY$2,$AK114,$AL$2,$AK$4,$AK$5,$AK$6,$AK$7,$AK$8,$AL$3)/1000</f>
        <v>124.157</v>
      </c>
      <c r="AZ114" s="172">
        <f>_xll.LVCELL($AJ$112,AZ$3,$AK114,$AL$2,$AK$4,$AK$5,$AK$6,$AK$7,$AK$8,$AL$3)/1000</f>
        <v>0</v>
      </c>
      <c r="BA114" s="172">
        <f>_xll.LVCELL($AJ$112,BA$3,$AK114,$AL$2,$AK$4,$AK$5,$AK$6,$AK$7,$AK$8,$AL$3)/1000</f>
        <v>0</v>
      </c>
      <c r="BB114" s="172">
        <f>_xll.LVCELL($AJ$112,BB$3,$AK114,$AL$2,$AK$4,$AK$5,$AK$6,$AK$7,$AK$8,$AL$3)/1000</f>
        <v>0</v>
      </c>
      <c r="BC114" s="172">
        <f>_xll.LVCELL($AJ$112,BC$3,$AK114,$AL$2,$AK$4,$AK$5,$AK$6,$AK$7,$AK$8,$AL$3)/1000</f>
        <v>0</v>
      </c>
      <c r="BD114" s="172">
        <f>_xll.LVCELL($AJ$112,BD$3,$AK114,$AL$2,$AK$4,$AK$5,$AK$6,$AK$7,$AK$8,$AL$3)/1000</f>
        <v>0</v>
      </c>
      <c r="BE114" s="172">
        <f>_xll.LVCELL($AJ$112,BE$3,$AK114,$AL$2,$AK$4,$AK$5,$AK$6,$AK$7,$AK$8,$AL$3)/1000</f>
        <v>0</v>
      </c>
      <c r="BF114" s="172">
        <f>_xll.LVCELL($AJ$112,BF$3,$AK114,$AL$2,$AK$4,$AK$5,$AK$6,$AK$7,$AK$8,$AL$3)/1000</f>
        <v>0</v>
      </c>
      <c r="BG114" s="172">
        <f>_xll.LVCELL($AJ$112,BG$3,$AK114,$AL$2,$AK$4,$AK$5,$AK$6,$AK$7,$AK$8,$AL$3)/1000</f>
        <v>0</v>
      </c>
      <c r="BH114" s="172">
        <f>_xll.LVCELL($AJ$112,BH$3,$AK114,$AL$2,$AK$4,$AK$5,$AK$6,$AK$7,$AK$8,$AL$3)/1000</f>
        <v>0</v>
      </c>
      <c r="BI114" s="172">
        <f>_xll.LVCELL($AJ$112,BI$3,$AK114,$AL$2,$AK$4,$AK$5,$AK$6,$AK$7,$AK$8,$AL$3)/1000</f>
        <v>0</v>
      </c>
      <c r="BJ114" s="172">
        <f>_xll.LVCELL($AJ$112,BJ$3,$AK114,$AL$2,$AK$4,$AK$5,$AK$6,$AK$7,$AK$8,$AL$3)/1000</f>
        <v>0</v>
      </c>
      <c r="BK114" s="172">
        <f>_xll.LVCELL($AJ$112,BK$3,$AK114,$AL$2,$AK$4,$AK$5,$AK$6,$AK$7,$AK$8,$AL$3)/1000</f>
        <v>0</v>
      </c>
      <c r="BL114" s="172">
        <f>_xll.LVCELL($AJ$114,BL$2,$AK114,$AL$2,$AK$4,$AK$5,$AK$6,$AK$7,$AK$8,$AL$3)/1000</f>
        <v>26.190999999999999</v>
      </c>
      <c r="BM114" s="172">
        <f>BL114-AY114</f>
        <v>-97.965999999999994</v>
      </c>
      <c r="BN114" s="172"/>
      <c r="BO114" s="172"/>
      <c r="BP114" s="193">
        <f>BL114/AY114-1</f>
        <v>-0.78904934880836364</v>
      </c>
    </row>
    <row r="115" spans="1:68">
      <c r="AD115" s="81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</row>
    <row r="116" spans="1:68" s="52" customFormat="1">
      <c r="A116" s="113"/>
      <c r="B116" s="113"/>
      <c r="C116" s="113"/>
      <c r="D116" s="113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534"/>
      <c r="AI116" s="113"/>
      <c r="AJ116" s="113" t="s">
        <v>2701</v>
      </c>
      <c r="AK116" s="113"/>
      <c r="AL116" s="196" t="s">
        <v>2702</v>
      </c>
      <c r="AM116" s="194">
        <f>_xll.LVCELL($AJ$116,AM$3,$AK2,$AL$2,$AK$4,$AK$5,$AK$6,$AK$7,$AK$8,$AL$3)/1000</f>
        <v>25067.234714926486</v>
      </c>
      <c r="AN116" s="194">
        <f>_xll.LVCELL($AJ$116,AN$3,$AK2,$AL$2,$AK$4,$AK$5,$AK$6,$AK$7,$AK$8,$AL$3)/1000</f>
        <v>21134.497419068095</v>
      </c>
      <c r="AO116" s="194">
        <f>_xll.LVCELL($AJ$116,AO$3,$AK2,$AL$2,$AK$4,$AK$5,$AK$6,$AK$7,$AK$8,$AL$3)/1000</f>
        <v>20807.434703154995</v>
      </c>
      <c r="AP116" s="194">
        <f>_xll.LVCELL($AJ$116,AP$3,$AK2,$AL$2,$AK$4,$AK$5,$AK$6,$AK$7,$AK$8,$AL$3)/1000</f>
        <v>16364.237818623451</v>
      </c>
      <c r="AQ116" s="194">
        <f>_xll.LVCELL($AJ$116,AQ$3,$AK2,$AL$2,$AK$4,$AK$5,$AK$6,$AK$7,$AK$8,$AL$3)/1000</f>
        <v>15147.838693439095</v>
      </c>
      <c r="AR116" s="194">
        <f>_xll.LVCELL($AJ$116,AR$3,$AK2,$AL$2,$AK$4,$AK$5,$AK$6,$AK$7,$AK$8,$AL$3)/1000</f>
        <v>12394.542830697563</v>
      </c>
      <c r="AS116" s="194">
        <f>_xll.LVCELL($AJ$116,AS$3,$AK2,$AL$2,$AK$4,$AK$5,$AK$6,$AK$7,$AK$8,$AL$3)/1000</f>
        <v>12151.580043883429</v>
      </c>
      <c r="AT116" s="194">
        <f>_xll.LVCELL($AJ$116,AT$3,$AK2,$AL$2,$AK$4,$AK$5,$AK$6,$AK$7,$AK$8,$AL$3)/1000</f>
        <v>11650.348571054645</v>
      </c>
      <c r="AU116" s="194">
        <f>_xll.LVCELL($AJ$116,AU$3,$AK2,$AL$2,$AK$4,$AK$5,$AK$6,$AK$7,$AK$8,$AL$3)/1000</f>
        <v>14272.718630876179</v>
      </c>
      <c r="AV116" s="194">
        <f>_xll.LVCELL($AJ$116,AV$3,$AK2,$AL$2,$AK$4,$AK$5,$AK$6,$AK$7,$AK$8,$AL$3)/1000</f>
        <v>19453.616633590984</v>
      </c>
      <c r="AW116" s="194">
        <f>_xll.LVCELL($AJ$116,AW$3,$AK2,$AL$2,$AK$4,$AK$5,$AK$6,$AK$7,$AK$8,$AL$3)/1000</f>
        <v>21586.485775995752</v>
      </c>
      <c r="AX116" s="194">
        <f>_xll.LVCELL($AJ$116,AX$3,$AK2,$AL$2,$AK$4,$AK$5,$AK$6,$AK$7,$AK$8,$AL$3)/1000</f>
        <v>25041.690760420606</v>
      </c>
      <c r="AY116" s="194">
        <f>_xll.LVCELL($AJ$116,AY$2,$AK2,$AL$2,$AK$4,$AK$5,$AK$6,$AK$7,$AK$8,$AL$3)/1000</f>
        <v>215072.22659573128</v>
      </c>
      <c r="AZ116" s="194">
        <f>_xll.LVCELL($AJ$116,AZ$3,$AK2,$AL$2,$AK$4,$AK$5,$AK$6,$AK$7,$AK$8,$AL$3)/1000</f>
        <v>23773.079353365367</v>
      </c>
      <c r="BA116" s="194">
        <f>_xll.LVCELL($AJ$116,BA$3,$AK2,$AL$2,$AK$4,$AK$5,$AK$6,$AK$7,$AK$8,$AL$3)/1000</f>
        <v>19935.947660553189</v>
      </c>
      <c r="BB116" s="194">
        <f>_xll.LVCELL($AJ$116,BB$3,$AK2,$AL$2,$AK$4,$AK$5,$AK$6,$AK$7,$AK$8,$AL$3)/1000</f>
        <v>19679.682105110347</v>
      </c>
      <c r="BC116" s="194">
        <f>_xll.LVCELL($AJ$116,BC$3,$AK2,$AL$2,$AK$4,$AK$5,$AK$6,$AK$7,$AK$8,$AL$3)/1000</f>
        <v>16162.061934108473</v>
      </c>
      <c r="BD116" s="194">
        <f>_xll.LVCELL($AJ$116,BD$3,$AK2,$AL$2,$AK$4,$AK$5,$AK$6,$AK$7,$AK$8,$AL$3)/1000</f>
        <v>14761.852022650473</v>
      </c>
      <c r="BE116" s="194">
        <f>_xll.LVCELL($AJ$116,BE$3,$AK2,$AL$2,$AK$4,$AK$5,$AK$6,$AK$7,$AK$8,$AL$3)/1000</f>
        <v>12218.758004250489</v>
      </c>
      <c r="BF116" s="194">
        <f>_xll.LVCELL($AJ$116,BF$3,$AK2,$AL$2,$AK$4,$AK$5,$AK$6,$AK$7,$AK$8,$AL$3)/1000</f>
        <v>12054.965157956558</v>
      </c>
      <c r="BG116" s="194">
        <f>_xll.LVCELL($AJ$116,BG$3,$AK2,$AL$2,$AK$4,$AK$5,$AK$6,$AK$7,$AK$8,$AL$3)/1000</f>
        <v>11658.088042235018</v>
      </c>
      <c r="BH116" s="194">
        <f>_xll.LVCELL($AJ$116,BH$3,$AK2,$AL$2,$AK$4,$AK$5,$AK$6,$AK$7,$AK$8,$AL$3)/1000</f>
        <v>14217.214907436684</v>
      </c>
      <c r="BI116" s="194">
        <f>_xll.LVCELL($AJ$116,BI$3,$AK2,$AL$2,$AK$4,$AK$5,$AK$6,$AK$7,$AK$8,$AL$3)/1000</f>
        <v>19344.980909263246</v>
      </c>
      <c r="BJ116" s="194">
        <f>_xll.LVCELL($AJ$116,BJ$3,$AK2,$AL$2,$AK$4,$AK$5,$AK$6,$AK$7,$AK$8,$AL$3)/1000</f>
        <v>21066.677085297109</v>
      </c>
      <c r="BK116" s="194">
        <f>_xll.LVCELL($AJ$116,BK$3,$AK2,$AL$2,$AK$4,$AK$5,$AK$6,$AK$7,$AK$8,$AL$3)/1000</f>
        <v>24894.958064921357</v>
      </c>
      <c r="BL116" s="194">
        <f>_xll.LVCELL($AJ$116,BL$2,$AK2,$AL$2,$AK$4,$AK$5,$AK$6,$AK$7,$AK$8,$AL$3)/1000</f>
        <v>209768.26524714837</v>
      </c>
      <c r="BM116" s="194">
        <f>BL116-AY116</f>
        <v>-5303.9613485829032</v>
      </c>
      <c r="BN116" s="194"/>
      <c r="BO116" s="194"/>
      <c r="BP116" s="195">
        <f>BL116/AY116-1</f>
        <v>-2.4661303007536661E-2</v>
      </c>
    </row>
    <row r="117" spans="1:68">
      <c r="AL117" s="528" t="s">
        <v>2628</v>
      </c>
      <c r="AM117" s="528"/>
      <c r="AN117" s="528"/>
      <c r="AO117" s="528"/>
      <c r="AP117" s="528"/>
      <c r="AQ117" s="528"/>
      <c r="AR117" s="528"/>
      <c r="AS117" s="528"/>
      <c r="AT117" s="528"/>
      <c r="AU117" s="528"/>
      <c r="AV117" s="528"/>
      <c r="AW117" s="528"/>
      <c r="AX117" s="528"/>
      <c r="AY117" s="236">
        <f>AY116-AY94-AY110-AY111-AY112-AY113-AY114</f>
        <v>-4.0543568502471317E-11</v>
      </c>
      <c r="AZ117" s="528"/>
      <c r="BA117" s="528"/>
      <c r="BB117" s="528"/>
      <c r="BC117" s="528"/>
      <c r="BD117" s="528"/>
      <c r="BE117" s="528"/>
      <c r="BF117" s="528"/>
      <c r="BG117" s="528"/>
      <c r="BH117" s="528"/>
      <c r="BI117" s="528"/>
      <c r="BJ117" s="528"/>
      <c r="BK117" s="528"/>
      <c r="BL117" s="236">
        <f>BL116-BL94-BL110-BL111-BL112-BL113-BL114</f>
        <v>1111.611000000172</v>
      </c>
      <c r="BM117" s="236"/>
      <c r="BN117" s="63"/>
      <c r="BO117" s="63"/>
      <c r="BP117" s="63"/>
    </row>
    <row r="118" spans="1:68"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</row>
    <row r="119" spans="1:68"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522"/>
      <c r="BN119" s="522"/>
      <c r="BO119" s="63"/>
      <c r="BP119" s="63"/>
    </row>
    <row r="121" spans="1:68">
      <c r="AY121" s="63"/>
      <c r="BL121" s="81"/>
    </row>
    <row r="122" spans="1:68">
      <c r="BL122" s="81"/>
    </row>
    <row r="123" spans="1:68">
      <c r="BL123" s="81"/>
    </row>
    <row r="124" spans="1:68">
      <c r="BL124" s="81"/>
    </row>
    <row r="125" spans="1:68">
      <c r="BL125" s="81"/>
    </row>
    <row r="126" spans="1:68">
      <c r="BL126" s="81"/>
    </row>
    <row r="127" spans="1:68">
      <c r="BL127" s="81"/>
    </row>
    <row r="128" spans="1:68">
      <c r="BL128" s="81"/>
    </row>
    <row r="129" spans="64:64">
      <c r="BL129" s="81"/>
    </row>
    <row r="130" spans="64:64">
      <c r="BL130" s="81"/>
    </row>
    <row r="131" spans="64:64">
      <c r="BL131" s="81"/>
    </row>
    <row r="132" spans="64:64">
      <c r="BL132" s="81"/>
    </row>
    <row r="133" spans="64:64">
      <c r="BL133" s="81"/>
    </row>
  </sheetData>
  <autoFilter ref="A11:AD26" xr:uid="{82ADFE9F-A0F5-444C-B5AA-296AF3DE5452}"/>
  <mergeCells count="6">
    <mergeCell ref="BQ10:BQ11"/>
    <mergeCell ref="AE10:AE11"/>
    <mergeCell ref="AF10:AF11"/>
    <mergeCell ref="AG10:AG11"/>
    <mergeCell ref="BM10:BM11"/>
    <mergeCell ref="BP10:BP11"/>
  </mergeCells>
  <conditionalFormatting sqref="AK12:AK93">
    <cfRule type="duplicateValues" dxfId="91" priority="4"/>
  </conditionalFormatting>
  <conditionalFormatting sqref="C30">
    <cfRule type="duplicateValues" dxfId="90" priority="1"/>
  </conditionalFormatting>
  <conditionalFormatting sqref="C12:C29 C31:C93">
    <cfRule type="duplicateValues" dxfId="89" priority="15"/>
  </conditionalFormatting>
  <pageMargins left="0.7" right="0.7" top="0.75" bottom="0.75" header="0.3" footer="0.3"/>
  <pageSetup paperSize="9" orientation="portrait" r:id="rId1"/>
  <customProperties>
    <customPr name="Longview.RefreshTimestamp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EE33E-0E34-4090-AC93-D7B78E947CB9}">
  <sheetPr>
    <tabColor rgb="FFFF0000"/>
  </sheetPr>
  <dimension ref="A1:CD112"/>
  <sheetViews>
    <sheetView topLeftCell="AJ9" zoomScale="85" zoomScaleNormal="85" workbookViewId="0">
      <selection activeCell="AH105" sqref="AH100:BU105"/>
    </sheetView>
  </sheetViews>
  <sheetFormatPr baseColWidth="10" defaultRowHeight="15" outlineLevelRow="1" outlineLevelCol="1"/>
  <cols>
    <col min="1" max="2" width="11.42578125" style="64" hidden="1" customWidth="1" outlineLevel="1"/>
    <col min="3" max="3" width="17.7109375" style="64" hidden="1" customWidth="1" outlineLevel="1"/>
    <col min="4" max="4" width="36.28515625" style="64" customWidth="1" collapsed="1"/>
    <col min="5" max="5" width="17.42578125" style="64" hidden="1" customWidth="1" outlineLevel="1"/>
    <col min="6" max="16" width="14.140625" style="64" hidden="1" customWidth="1" outlineLevel="1"/>
    <col min="17" max="17" width="15.28515625" style="64" customWidth="1" collapsed="1"/>
    <col min="18" max="18" width="17.42578125" style="64" hidden="1" customWidth="1" outlineLevel="1"/>
    <col min="19" max="29" width="14.140625" style="64" hidden="1" customWidth="1" outlineLevel="1"/>
    <col min="30" max="31" width="15" style="64" customWidth="1" collapsed="1"/>
    <col min="32" max="32" width="15" style="64" customWidth="1"/>
    <col min="33" max="33" width="15.85546875" style="64" customWidth="1"/>
    <col min="34" max="34" width="13.5703125" style="64" customWidth="1"/>
    <col min="35" max="35" width="132.85546875" customWidth="1"/>
    <col min="36" max="36" width="19.140625" customWidth="1"/>
    <col min="37" max="37" width="11.42578125" style="64" hidden="1" customWidth="1" outlineLevel="1"/>
    <col min="38" max="38" width="14.85546875" style="64" hidden="1" customWidth="1" outlineLevel="1"/>
    <col min="39" max="39" width="17.7109375" style="64" hidden="1" customWidth="1" outlineLevel="1"/>
    <col min="40" max="40" width="35.7109375" style="64" customWidth="1" collapsed="1"/>
    <col min="41" max="41" width="17.42578125" style="64" hidden="1" customWidth="1" outlineLevel="1"/>
    <col min="42" max="52" width="14.140625" style="64" hidden="1" customWidth="1" outlineLevel="1"/>
    <col min="53" max="53" width="16.28515625" style="64" customWidth="1" collapsed="1"/>
    <col min="54" max="54" width="17.42578125" style="64" hidden="1" customWidth="1" outlineLevel="1"/>
    <col min="55" max="65" width="14.140625" style="64" hidden="1" customWidth="1" outlineLevel="1"/>
    <col min="66" max="66" width="15.85546875" style="64" customWidth="1" collapsed="1"/>
    <col min="67" max="69" width="15.85546875" style="64" customWidth="1"/>
    <col min="70" max="71" width="11.5703125" style="64" customWidth="1"/>
    <col min="72" max="72" width="14.7109375" style="64" customWidth="1"/>
    <col min="73" max="73" width="81.140625" bestFit="1" customWidth="1"/>
    <col min="74" max="74" width="13.140625" bestFit="1" customWidth="1"/>
    <col min="80" max="80" width="15.28515625" bestFit="1" customWidth="1"/>
    <col min="81" max="81" width="13.5703125" customWidth="1"/>
    <col min="82" max="82" width="15.28515625" bestFit="1" customWidth="1"/>
  </cols>
  <sheetData>
    <row r="1" spans="1:82" hidden="1" outlineLevel="1">
      <c r="A1" s="63"/>
      <c r="B1" s="63"/>
      <c r="C1" s="63" t="s">
        <v>511</v>
      </c>
      <c r="D1" s="63" t="s">
        <v>505</v>
      </c>
      <c r="E1" s="63" t="s">
        <v>233</v>
      </c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K1" s="63"/>
      <c r="AL1" s="63"/>
      <c r="AM1" s="63" t="s">
        <v>2597</v>
      </c>
      <c r="AN1" s="63" t="s">
        <v>505</v>
      </c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</row>
    <row r="2" spans="1:82" hidden="1" outlineLevel="1">
      <c r="A2" s="63"/>
      <c r="B2" s="63"/>
      <c r="C2" s="63" t="s">
        <v>879</v>
      </c>
      <c r="D2" s="63" t="s">
        <v>587</v>
      </c>
      <c r="E2" s="63" t="s">
        <v>513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 t="s">
        <v>2598</v>
      </c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 t="s">
        <v>3043</v>
      </c>
      <c r="AE2" s="63" t="s">
        <v>3043</v>
      </c>
      <c r="AF2" s="63"/>
      <c r="AG2" s="63"/>
      <c r="AH2" s="63"/>
      <c r="AK2" s="63"/>
      <c r="AL2" s="63"/>
      <c r="AM2" s="63" t="s">
        <v>879</v>
      </c>
      <c r="AN2" s="63" t="s">
        <v>2669</v>
      </c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 t="s">
        <v>2598</v>
      </c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 t="s">
        <v>3043</v>
      </c>
      <c r="BO2" s="63" t="s">
        <v>3043</v>
      </c>
      <c r="BP2" s="63"/>
      <c r="BQ2" s="63"/>
      <c r="BR2" s="63"/>
      <c r="BS2" s="63"/>
      <c r="BT2" s="63"/>
    </row>
    <row r="3" spans="1:82" hidden="1" outlineLevel="1">
      <c r="A3" s="63"/>
      <c r="B3" s="63"/>
      <c r="C3" s="161" t="s">
        <v>2651</v>
      </c>
      <c r="D3" s="63" t="s">
        <v>2652</v>
      </c>
      <c r="E3" s="63" t="s">
        <v>590</v>
      </c>
      <c r="F3" s="63" t="s">
        <v>591</v>
      </c>
      <c r="G3" s="63" t="s">
        <v>592</v>
      </c>
      <c r="H3" s="63" t="s">
        <v>593</v>
      </c>
      <c r="I3" s="63" t="s">
        <v>594</v>
      </c>
      <c r="J3" s="63" t="s">
        <v>595</v>
      </c>
      <c r="K3" s="63" t="s">
        <v>596</v>
      </c>
      <c r="L3" s="63" t="s">
        <v>597</v>
      </c>
      <c r="M3" s="63" t="s">
        <v>598</v>
      </c>
      <c r="N3" s="63" t="s">
        <v>599</v>
      </c>
      <c r="O3" s="63" t="s">
        <v>600</v>
      </c>
      <c r="P3" s="63" t="s">
        <v>601</v>
      </c>
      <c r="Q3" s="63" t="s">
        <v>601</v>
      </c>
      <c r="R3" s="63" t="s">
        <v>3032</v>
      </c>
      <c r="S3" s="63" t="s">
        <v>3033</v>
      </c>
      <c r="T3" s="63" t="s">
        <v>3034</v>
      </c>
      <c r="U3" s="63" t="s">
        <v>3035</v>
      </c>
      <c r="V3" s="63" t="s">
        <v>3036</v>
      </c>
      <c r="W3" s="63" t="s">
        <v>3037</v>
      </c>
      <c r="X3" s="63" t="s">
        <v>3038</v>
      </c>
      <c r="Y3" s="63" t="s">
        <v>3039</v>
      </c>
      <c r="Z3" s="63" t="s">
        <v>3040</v>
      </c>
      <c r="AA3" s="63" t="s">
        <v>3041</v>
      </c>
      <c r="AB3" s="63" t="s">
        <v>3042</v>
      </c>
      <c r="AC3" s="63" t="s">
        <v>3031</v>
      </c>
      <c r="AD3" s="63" t="s">
        <v>3031</v>
      </c>
      <c r="AE3" s="63" t="s">
        <v>3031</v>
      </c>
      <c r="AF3" s="63"/>
      <c r="AG3" s="63"/>
      <c r="AH3" s="63"/>
      <c r="AK3" s="63"/>
      <c r="AL3" s="63"/>
      <c r="AM3" s="161" t="s">
        <v>2651</v>
      </c>
      <c r="AN3" s="63" t="s">
        <v>2630</v>
      </c>
      <c r="AO3" s="63" t="s">
        <v>590</v>
      </c>
      <c r="AP3" s="63" t="s">
        <v>591</v>
      </c>
      <c r="AQ3" s="63" t="s">
        <v>592</v>
      </c>
      <c r="AR3" s="63" t="s">
        <v>593</v>
      </c>
      <c r="AS3" s="63" t="s">
        <v>594</v>
      </c>
      <c r="AT3" s="63" t="s">
        <v>595</v>
      </c>
      <c r="AU3" s="63" t="s">
        <v>596</v>
      </c>
      <c r="AV3" s="63" t="s">
        <v>597</v>
      </c>
      <c r="AW3" s="63" t="s">
        <v>598</v>
      </c>
      <c r="AX3" s="63" t="s">
        <v>599</v>
      </c>
      <c r="AY3" s="63" t="s">
        <v>600</v>
      </c>
      <c r="AZ3" s="63" t="s">
        <v>601</v>
      </c>
      <c r="BA3" s="63" t="s">
        <v>601</v>
      </c>
      <c r="BB3" s="63" t="s">
        <v>3032</v>
      </c>
      <c r="BC3" s="63" t="s">
        <v>3033</v>
      </c>
      <c r="BD3" s="63" t="s">
        <v>3034</v>
      </c>
      <c r="BE3" s="63" t="s">
        <v>3035</v>
      </c>
      <c r="BF3" s="63" t="s">
        <v>3036</v>
      </c>
      <c r="BG3" s="63" t="s">
        <v>3037</v>
      </c>
      <c r="BH3" s="63" t="s">
        <v>3038</v>
      </c>
      <c r="BI3" s="63" t="s">
        <v>3039</v>
      </c>
      <c r="BJ3" s="63" t="s">
        <v>3040</v>
      </c>
      <c r="BK3" s="63" t="s">
        <v>3041</v>
      </c>
      <c r="BL3" s="63" t="s">
        <v>3042</v>
      </c>
      <c r="BM3" s="63" t="s">
        <v>3031</v>
      </c>
      <c r="BN3" s="63" t="s">
        <v>3031</v>
      </c>
      <c r="BO3" s="63" t="s">
        <v>3031</v>
      </c>
      <c r="BP3" s="63"/>
      <c r="BQ3" s="63"/>
      <c r="BR3" s="63"/>
      <c r="BS3" s="63"/>
      <c r="BT3" s="63"/>
    </row>
    <row r="4" spans="1:82" hidden="1" outlineLevel="1">
      <c r="A4" s="63"/>
      <c r="B4" s="63" t="s">
        <v>515</v>
      </c>
      <c r="C4" s="63" t="s">
        <v>588</v>
      </c>
      <c r="D4" s="63" t="s">
        <v>516</v>
      </c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K4" s="63"/>
      <c r="AL4" s="63" t="s">
        <v>515</v>
      </c>
      <c r="AM4" s="63" t="s">
        <v>516</v>
      </c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63"/>
      <c r="BT4" s="63"/>
    </row>
    <row r="5" spans="1:82" hidden="1" outlineLevel="1">
      <c r="A5" s="63"/>
      <c r="B5" s="63" t="s">
        <v>517</v>
      </c>
      <c r="C5" s="63" t="s">
        <v>506</v>
      </c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K5" s="63"/>
      <c r="AL5" s="63" t="s">
        <v>517</v>
      </c>
      <c r="AM5" s="63" t="s">
        <v>506</v>
      </c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  <c r="BR5" s="63"/>
      <c r="BS5" s="63"/>
      <c r="BT5" s="63"/>
    </row>
    <row r="6" spans="1:82" hidden="1" outlineLevel="1">
      <c r="A6" s="63"/>
      <c r="B6" s="63" t="s">
        <v>518</v>
      </c>
      <c r="C6" s="63" t="s">
        <v>507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K6" s="63"/>
      <c r="AL6" s="63" t="s">
        <v>518</v>
      </c>
      <c r="AM6" s="63" t="s">
        <v>507</v>
      </c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</row>
    <row r="7" spans="1:82" hidden="1" outlineLevel="1">
      <c r="A7" s="63"/>
      <c r="B7" s="63" t="s">
        <v>519</v>
      </c>
      <c r="C7" s="63" t="s">
        <v>508</v>
      </c>
      <c r="D7" s="63"/>
      <c r="E7" s="24" t="s">
        <v>235</v>
      </c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24" t="s">
        <v>235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K7" s="63"/>
      <c r="AL7" s="63" t="s">
        <v>519</v>
      </c>
      <c r="AM7" s="63" t="s">
        <v>508</v>
      </c>
      <c r="AN7" s="63"/>
      <c r="AO7" s="24" t="s">
        <v>235</v>
      </c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24" t="s">
        <v>235</v>
      </c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</row>
    <row r="8" spans="1:82" hidden="1" outlineLevel="1">
      <c r="A8" s="63"/>
      <c r="B8" s="63" t="s">
        <v>520</v>
      </c>
      <c r="C8" s="63" t="s">
        <v>509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K8" s="63"/>
      <c r="AL8" s="63" t="s">
        <v>520</v>
      </c>
      <c r="AM8" s="63" t="s">
        <v>509</v>
      </c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</row>
    <row r="9" spans="1:82" ht="15.75" collapsed="1" thickBot="1">
      <c r="C9" s="80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289" t="s">
        <v>2806</v>
      </c>
      <c r="AE9" s="290" t="s">
        <v>2807</v>
      </c>
      <c r="AF9" s="63" t="s">
        <v>2808</v>
      </c>
      <c r="AG9" s="63"/>
      <c r="AH9" s="63"/>
      <c r="AM9" s="80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289" t="s">
        <v>2806</v>
      </c>
      <c r="BO9" s="289" t="s">
        <v>2807</v>
      </c>
      <c r="BP9" s="289" t="s">
        <v>2808</v>
      </c>
      <c r="BQ9" s="63"/>
      <c r="BR9" s="63"/>
      <c r="BS9" s="63"/>
      <c r="BT9" s="63"/>
    </row>
    <row r="10" spans="1:82" ht="42" customHeight="1" thickBot="1">
      <c r="A10" s="65"/>
      <c r="B10" s="65"/>
      <c r="C10" s="65"/>
      <c r="D10" s="83" t="s">
        <v>2704</v>
      </c>
      <c r="E10" s="85" t="s">
        <v>2785</v>
      </c>
      <c r="F10" s="85" t="s">
        <v>2786</v>
      </c>
      <c r="G10" s="85" t="s">
        <v>2787</v>
      </c>
      <c r="H10" s="85" t="s">
        <v>2788</v>
      </c>
      <c r="I10" s="85" t="s">
        <v>2789</v>
      </c>
      <c r="J10" s="85" t="s">
        <v>2790</v>
      </c>
      <c r="K10" s="85" t="s">
        <v>2791</v>
      </c>
      <c r="L10" s="85" t="s">
        <v>2792</v>
      </c>
      <c r="M10" s="85" t="s">
        <v>2793</v>
      </c>
      <c r="N10" s="85" t="s">
        <v>2794</v>
      </c>
      <c r="O10" s="85" t="s">
        <v>2795</v>
      </c>
      <c r="P10" s="85" t="s">
        <v>2796</v>
      </c>
      <c r="Q10" s="85" t="s">
        <v>2797</v>
      </c>
      <c r="R10" s="85" t="s">
        <v>3044</v>
      </c>
      <c r="S10" s="85" t="s">
        <v>3045</v>
      </c>
      <c r="T10" s="85" t="s">
        <v>3046</v>
      </c>
      <c r="U10" s="85" t="s">
        <v>3047</v>
      </c>
      <c r="V10" s="85" t="s">
        <v>3048</v>
      </c>
      <c r="W10" s="85" t="s">
        <v>3049</v>
      </c>
      <c r="X10" s="85" t="s">
        <v>3050</v>
      </c>
      <c r="Y10" s="85" t="s">
        <v>3051</v>
      </c>
      <c r="Z10" s="85" t="s">
        <v>3052</v>
      </c>
      <c r="AA10" s="85" t="s">
        <v>3053</v>
      </c>
      <c r="AB10" s="85" t="s">
        <v>3054</v>
      </c>
      <c r="AC10" s="85" t="s">
        <v>3055</v>
      </c>
      <c r="AD10" s="85" t="s">
        <v>3056</v>
      </c>
      <c r="AE10" s="85" t="str">
        <f>_xll.LVDESC("Timeperiods",AE$2,$R$7)</f>
        <v>Déc. 20 YTD Budg</v>
      </c>
      <c r="AF10" s="287" t="s">
        <v>2809</v>
      </c>
      <c r="AG10" s="774" t="s">
        <v>3057</v>
      </c>
      <c r="AH10" s="774" t="s">
        <v>3058</v>
      </c>
      <c r="AI10" s="772" t="s">
        <v>2667</v>
      </c>
      <c r="AK10" s="65"/>
      <c r="AL10" s="65"/>
      <c r="AM10" s="65"/>
      <c r="AN10" s="83" t="s">
        <v>2749</v>
      </c>
      <c r="AO10" s="85" t="s">
        <v>2772</v>
      </c>
      <c r="AP10" s="85" t="s">
        <v>2773</v>
      </c>
      <c r="AQ10" s="85" t="s">
        <v>2774</v>
      </c>
      <c r="AR10" s="85" t="s">
        <v>2775</v>
      </c>
      <c r="AS10" s="85" t="s">
        <v>2776</v>
      </c>
      <c r="AT10" s="85" t="s">
        <v>2777</v>
      </c>
      <c r="AU10" s="85" t="s">
        <v>2778</v>
      </c>
      <c r="AV10" s="85" t="s">
        <v>2779</v>
      </c>
      <c r="AW10" s="85" t="s">
        <v>2780</v>
      </c>
      <c r="AX10" s="85" t="s">
        <v>2781</v>
      </c>
      <c r="AY10" s="85" t="s">
        <v>2782</v>
      </c>
      <c r="AZ10" s="85" t="s">
        <v>2783</v>
      </c>
      <c r="BA10" s="85" t="s">
        <v>2797</v>
      </c>
      <c r="BB10" s="85" t="s">
        <v>2785</v>
      </c>
      <c r="BC10" s="85" t="s">
        <v>2786</v>
      </c>
      <c r="BD10" s="85" t="s">
        <v>2787</v>
      </c>
      <c r="BE10" s="85" t="s">
        <v>2788</v>
      </c>
      <c r="BF10" s="85" t="s">
        <v>2789</v>
      </c>
      <c r="BG10" s="85" t="s">
        <v>2790</v>
      </c>
      <c r="BH10" s="85" t="s">
        <v>2791</v>
      </c>
      <c r="BI10" s="85" t="s">
        <v>2792</v>
      </c>
      <c r="BJ10" s="85" t="s">
        <v>2793</v>
      </c>
      <c r="BK10" s="85" t="s">
        <v>2794</v>
      </c>
      <c r="BL10" s="85" t="s">
        <v>2795</v>
      </c>
      <c r="BM10" s="85" t="s">
        <v>2796</v>
      </c>
      <c r="BN10" s="85" t="s">
        <v>3056</v>
      </c>
      <c r="BO10" s="85" t="str">
        <f>_xll.LVDESC("Timeperiods",BO$2,$R$7)</f>
        <v>Déc. 20 YTD Budg</v>
      </c>
      <c r="BP10" s="287" t="s">
        <v>2809</v>
      </c>
      <c r="BQ10" s="776" t="s">
        <v>3059</v>
      </c>
      <c r="BR10" s="219" t="s">
        <v>2737</v>
      </c>
      <c r="BS10" s="220" t="s">
        <v>2738</v>
      </c>
      <c r="BT10" s="774" t="s">
        <v>3058</v>
      </c>
      <c r="BU10" s="772" t="s">
        <v>2667</v>
      </c>
      <c r="BW10" t="s">
        <v>2707</v>
      </c>
      <c r="BX10" t="s">
        <v>3060</v>
      </c>
      <c r="BY10" t="s">
        <v>2708</v>
      </c>
      <c r="BZ10" t="s">
        <v>2709</v>
      </c>
      <c r="CB10" s="206" t="s">
        <v>2710</v>
      </c>
      <c r="CC10" s="206" t="s">
        <v>2711</v>
      </c>
      <c r="CD10" s="206" t="s">
        <v>2712</v>
      </c>
    </row>
    <row r="11" spans="1:82" ht="39" hidden="1" outlineLevel="1" thickBot="1">
      <c r="A11" s="88" t="s">
        <v>523</v>
      </c>
      <c r="B11" s="88" t="s">
        <v>829</v>
      </c>
      <c r="C11" s="89" t="s">
        <v>524</v>
      </c>
      <c r="D11" s="89" t="s">
        <v>278</v>
      </c>
      <c r="E11" s="85" t="s">
        <v>2798</v>
      </c>
      <c r="F11" s="85" t="s">
        <v>2798</v>
      </c>
      <c r="G11" s="85" t="s">
        <v>2798</v>
      </c>
      <c r="H11" s="85" t="s">
        <v>2798</v>
      </c>
      <c r="I11" s="85" t="s">
        <v>2798</v>
      </c>
      <c r="J11" s="85" t="s">
        <v>2798</v>
      </c>
      <c r="K11" s="85" t="s">
        <v>2798</v>
      </c>
      <c r="L11" s="85" t="s">
        <v>2798</v>
      </c>
      <c r="M11" s="85" t="s">
        <v>2798</v>
      </c>
      <c r="N11" s="85" t="s">
        <v>2798</v>
      </c>
      <c r="O11" s="85" t="s">
        <v>2798</v>
      </c>
      <c r="P11" s="85" t="s">
        <v>2798</v>
      </c>
      <c r="Q11" s="85" t="s">
        <v>2798</v>
      </c>
      <c r="R11" s="85" t="s">
        <v>2798</v>
      </c>
      <c r="S11" s="85" t="s">
        <v>2798</v>
      </c>
      <c r="T11" s="85" t="s">
        <v>2798</v>
      </c>
      <c r="U11" s="85" t="s">
        <v>2798</v>
      </c>
      <c r="V11" s="85" t="s">
        <v>2798</v>
      </c>
      <c r="W11" s="85" t="s">
        <v>2798</v>
      </c>
      <c r="X11" s="85" t="s">
        <v>2798</v>
      </c>
      <c r="Y11" s="85" t="s">
        <v>2798</v>
      </c>
      <c r="Z11" s="85" t="s">
        <v>2798</v>
      </c>
      <c r="AA11" s="85" t="s">
        <v>2798</v>
      </c>
      <c r="AB11" s="85" t="s">
        <v>2798</v>
      </c>
      <c r="AC11" s="85" t="s">
        <v>2798</v>
      </c>
      <c r="AD11" s="85" t="s">
        <v>2798</v>
      </c>
      <c r="AE11" s="85" t="str">
        <f>_xll.LVDESC("accounts",$D$1,$R$7)</f>
        <v>Électricité en KWh vendue - Régulière</v>
      </c>
      <c r="AF11" s="288"/>
      <c r="AG11" s="775"/>
      <c r="AH11" s="775"/>
      <c r="AI11" s="773"/>
      <c r="AK11" s="88" t="s">
        <v>523</v>
      </c>
      <c r="AL11" s="88" t="s">
        <v>829</v>
      </c>
      <c r="AM11" s="89" t="s">
        <v>524</v>
      </c>
      <c r="AN11" s="89" t="s">
        <v>278</v>
      </c>
      <c r="AO11" s="85" t="s">
        <v>2799</v>
      </c>
      <c r="AP11" s="85" t="s">
        <v>2799</v>
      </c>
      <c r="AQ11" s="85" t="s">
        <v>2799</v>
      </c>
      <c r="AR11" s="85" t="s">
        <v>2799</v>
      </c>
      <c r="AS11" s="85" t="s">
        <v>2799</v>
      </c>
      <c r="AT11" s="85" t="s">
        <v>2799</v>
      </c>
      <c r="AU11" s="85" t="s">
        <v>2799</v>
      </c>
      <c r="AV11" s="85" t="s">
        <v>2799</v>
      </c>
      <c r="AW11" s="85" t="s">
        <v>2799</v>
      </c>
      <c r="AX11" s="85" t="s">
        <v>2799</v>
      </c>
      <c r="AY11" s="85" t="s">
        <v>2799</v>
      </c>
      <c r="AZ11" s="85" t="s">
        <v>2799</v>
      </c>
      <c r="BA11" s="85" t="s">
        <v>2799</v>
      </c>
      <c r="BB11" s="85" t="s">
        <v>2799</v>
      </c>
      <c r="BC11" s="85" t="s">
        <v>2799</v>
      </c>
      <c r="BD11" s="85" t="s">
        <v>2799</v>
      </c>
      <c r="BE11" s="85" t="s">
        <v>2799</v>
      </c>
      <c r="BF11" s="85" t="s">
        <v>2799</v>
      </c>
      <c r="BG11" s="85" t="s">
        <v>2799</v>
      </c>
      <c r="BH11" s="85" t="s">
        <v>2799</v>
      </c>
      <c r="BI11" s="85" t="s">
        <v>2799</v>
      </c>
      <c r="BJ11" s="85" t="s">
        <v>2799</v>
      </c>
      <c r="BK11" s="85" t="s">
        <v>2799</v>
      </c>
      <c r="BL11" s="85" t="s">
        <v>2799</v>
      </c>
      <c r="BM11" s="85" t="s">
        <v>2799</v>
      </c>
      <c r="BN11" s="85" t="s">
        <v>2799</v>
      </c>
      <c r="BO11" s="288" t="str">
        <f>_xll.LVDESC("accounts",$AK$1,$R$7)</f>
        <v xml:space="preserve">LVDESC: Symbole non valide </v>
      </c>
      <c r="BP11" s="288"/>
      <c r="BQ11" s="777"/>
      <c r="BR11" s="215"/>
      <c r="BS11" s="216"/>
      <c r="BT11" s="775"/>
      <c r="BU11" s="773"/>
    </row>
    <row r="12" spans="1:82" collapsed="1">
      <c r="B12" s="64" t="s">
        <v>406</v>
      </c>
      <c r="C12" s="64" t="s">
        <v>406</v>
      </c>
      <c r="D12" s="192" t="s">
        <v>526</v>
      </c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2"/>
      <c r="AB12" s="172"/>
      <c r="AC12" s="172"/>
      <c r="AD12" s="172"/>
      <c r="AE12" s="172" t="e">
        <f>_xll.LVCELL($D$1,AE$2,$C12,$D$2,$C$4,$C$5,$C$6,$C$7,$C$8,$D$3)/1000</f>
        <v>#VALUE!</v>
      </c>
      <c r="AF12" s="172" t="e">
        <f>+AE12-AD12</f>
        <v>#VALUE!</v>
      </c>
      <c r="AG12" s="172"/>
      <c r="AH12" s="193"/>
      <c r="AI12" s="172"/>
      <c r="AL12" s="64" t="s">
        <v>406</v>
      </c>
      <c r="AM12" s="64" t="s">
        <v>406</v>
      </c>
      <c r="AN12" s="192" t="s">
        <v>526</v>
      </c>
      <c r="AO12" s="172">
        <v>85.364742079999999</v>
      </c>
      <c r="AP12" s="172">
        <v>78.222727559999996</v>
      </c>
      <c r="AQ12" s="172">
        <v>75.304742450000006</v>
      </c>
      <c r="AR12" s="172">
        <v>50.766101999999997</v>
      </c>
      <c r="AS12" s="172">
        <v>44.431645500000002</v>
      </c>
      <c r="AT12" s="172">
        <v>29.234333700000001</v>
      </c>
      <c r="AU12" s="172">
        <v>28.65680377</v>
      </c>
      <c r="AV12" s="172">
        <v>30.181072879999999</v>
      </c>
      <c r="AW12" s="172">
        <v>36.037038939999995</v>
      </c>
      <c r="AX12" s="172">
        <v>72.204679799999994</v>
      </c>
      <c r="AY12" s="172">
        <v>66.141167760000002</v>
      </c>
      <c r="AZ12" s="172">
        <v>71.829853799999995</v>
      </c>
      <c r="BA12" s="172"/>
      <c r="BB12" s="172"/>
      <c r="BC12" s="172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214" t="e">
        <f>_xll.LVCELL($AM$1,BO$2,$AM12,$AN$2,$AM$4,$AM$5,$AM$6,$AM$7,$AM$8,$AN$3)/1000</f>
        <v>#VALUE!</v>
      </c>
      <c r="BP12" s="282" t="e">
        <f>+BO12-BN12</f>
        <v>#VALUE!</v>
      </c>
      <c r="BQ12" s="214"/>
      <c r="BR12" s="217"/>
      <c r="BS12" s="218"/>
      <c r="BT12" s="193"/>
      <c r="BU12" s="172"/>
      <c r="BV12" s="171">
        <f>AD12*BX12</f>
        <v>0</v>
      </c>
      <c r="BW12" s="198"/>
      <c r="BX12" s="198"/>
      <c r="BY12" s="198"/>
      <c r="BZ12" s="199"/>
      <c r="CB12" s="200"/>
      <c r="CC12" s="200"/>
      <c r="CD12" s="200"/>
    </row>
    <row r="13" spans="1:82">
      <c r="B13" s="64" t="s">
        <v>250</v>
      </c>
      <c r="C13" s="64" t="s">
        <v>250</v>
      </c>
      <c r="D13" s="192" t="s">
        <v>527</v>
      </c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2"/>
      <c r="AB13" s="172"/>
      <c r="AC13" s="172"/>
      <c r="AD13" s="172"/>
      <c r="AE13" s="172" t="e">
        <f>_xll.LVCELL($D$1,AE$2,$C13,$D$2,$C$4,$C$5,$C$6,$C$7,$C$8,$D$3)/1000</f>
        <v>#VALUE!</v>
      </c>
      <c r="AF13" s="172" t="e">
        <f t="shared" ref="AF13:AF76" si="0">+AE13-AD13</f>
        <v>#VALUE!</v>
      </c>
      <c r="AG13" s="172"/>
      <c r="AH13" s="193"/>
      <c r="AI13" s="172"/>
      <c r="AL13" s="64" t="s">
        <v>250</v>
      </c>
      <c r="AM13" s="64" t="s">
        <v>250</v>
      </c>
      <c r="AN13" s="192" t="s">
        <v>527</v>
      </c>
      <c r="AO13" s="172">
        <v>82.434962609999999</v>
      </c>
      <c r="AP13" s="172">
        <v>88.135047</v>
      </c>
      <c r="AQ13" s="172">
        <v>96.78170501999999</v>
      </c>
      <c r="AR13" s="172">
        <v>84.819825089999995</v>
      </c>
      <c r="AS13" s="172">
        <v>89.523604170000013</v>
      </c>
      <c r="AT13" s="172">
        <v>51.456525119999995</v>
      </c>
      <c r="AU13" s="172">
        <v>54.023009039999998</v>
      </c>
      <c r="AV13" s="172">
        <v>51.997875929999999</v>
      </c>
      <c r="AW13" s="172">
        <v>60.33228201</v>
      </c>
      <c r="AX13" s="172">
        <v>94.326211979999997</v>
      </c>
      <c r="AY13" s="172">
        <v>95.065250939999999</v>
      </c>
      <c r="AZ13" s="172">
        <v>102.12233715000001</v>
      </c>
      <c r="BA13" s="172"/>
      <c r="BB13" s="172"/>
      <c r="BC13" s="172"/>
      <c r="BD13" s="172"/>
      <c r="BE13" s="172"/>
      <c r="BF13" s="172"/>
      <c r="BG13" s="172"/>
      <c r="BH13" s="172"/>
      <c r="BI13" s="172"/>
      <c r="BJ13" s="172"/>
      <c r="BK13" s="172"/>
      <c r="BL13" s="172"/>
      <c r="BM13" s="172"/>
      <c r="BN13" s="172"/>
      <c r="BO13" s="214" t="e">
        <f>_xll.LVCELL($AM$1,BO$2,$AM13,$AN$2,$AM$4,$AM$5,$AM$6,$AM$7,$AM$8,$AN$3)/1000</f>
        <v>#VALUE!</v>
      </c>
      <c r="BP13" s="291" t="e">
        <f t="shared" ref="BP13:BP76" si="1">+BO13-BN13</f>
        <v>#VALUE!</v>
      </c>
      <c r="BQ13" s="214"/>
      <c r="BR13" s="217"/>
      <c r="BS13" s="218"/>
      <c r="BT13" s="193"/>
      <c r="BU13" s="172"/>
      <c r="BW13" s="198"/>
      <c r="BX13" s="198"/>
      <c r="BY13" s="198"/>
      <c r="BZ13" s="199"/>
      <c r="CB13" s="200"/>
      <c r="CC13" s="200"/>
      <c r="CD13" s="200"/>
    </row>
    <row r="14" spans="1:82">
      <c r="B14" s="64" t="s">
        <v>409</v>
      </c>
      <c r="C14" s="64" t="s">
        <v>409</v>
      </c>
      <c r="D14" s="192" t="s">
        <v>284</v>
      </c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2"/>
      <c r="AB14" s="172"/>
      <c r="AC14" s="172"/>
      <c r="AD14" s="172"/>
      <c r="AE14" s="172" t="e">
        <f>_xll.LVCELL($D$1,AE$2,$C14,$D$2,$C$4,$C$5,$C$6,$C$7,$C$8,$D$3)/1000</f>
        <v>#VALUE!</v>
      </c>
      <c r="AF14" s="172" t="e">
        <f t="shared" si="0"/>
        <v>#VALUE!</v>
      </c>
      <c r="AG14" s="172"/>
      <c r="AH14" s="193"/>
      <c r="AI14" s="172"/>
      <c r="AL14" s="64" t="s">
        <v>409</v>
      </c>
      <c r="AM14" s="64" t="s">
        <v>409</v>
      </c>
      <c r="AN14" s="192" t="s">
        <v>284</v>
      </c>
      <c r="AO14" s="172">
        <v>86.624655899999993</v>
      </c>
      <c r="AP14" s="172">
        <v>67.255737819999993</v>
      </c>
      <c r="AQ14" s="172">
        <v>64.419010720000003</v>
      </c>
      <c r="AR14" s="172">
        <v>38.113966659999996</v>
      </c>
      <c r="AS14" s="172">
        <v>41.7035464</v>
      </c>
      <c r="AT14" s="172">
        <v>32.140153120000001</v>
      </c>
      <c r="AU14" s="172">
        <v>34.876660219999998</v>
      </c>
      <c r="AV14" s="172">
        <v>35.129314839999999</v>
      </c>
      <c r="AW14" s="172">
        <v>34.986601560000004</v>
      </c>
      <c r="AX14" s="172">
        <v>54.49492566</v>
      </c>
      <c r="AY14" s="172">
        <v>67.325781239999998</v>
      </c>
      <c r="AZ14" s="172">
        <v>32.982300840000001</v>
      </c>
      <c r="BA14" s="172"/>
      <c r="BB14" s="172"/>
      <c r="BC14" s="172"/>
      <c r="BD14" s="172"/>
      <c r="BE14" s="172"/>
      <c r="BF14" s="172"/>
      <c r="BG14" s="172"/>
      <c r="BH14" s="172"/>
      <c r="BI14" s="172"/>
      <c r="BJ14" s="172"/>
      <c r="BK14" s="172"/>
      <c r="BL14" s="172"/>
      <c r="BM14" s="172"/>
      <c r="BN14" s="172"/>
      <c r="BO14" s="214" t="e">
        <f>_xll.LVCELL($AM$1,BO$2,$AM14,$AN$2,$AM$4,$AM$5,$AM$6,$AM$7,$AM$8,$AN$3)/1000</f>
        <v>#VALUE!</v>
      </c>
      <c r="BP14" s="291" t="e">
        <f t="shared" si="1"/>
        <v>#VALUE!</v>
      </c>
      <c r="BQ14" s="214"/>
      <c r="BR14" s="217"/>
      <c r="BS14" s="218"/>
      <c r="BT14" s="193"/>
      <c r="BU14" s="172"/>
      <c r="BW14" s="198"/>
      <c r="BX14" s="198"/>
      <c r="BY14" s="198"/>
      <c r="BZ14" s="199"/>
      <c r="CB14" s="200"/>
      <c r="CC14" s="200"/>
      <c r="CD14" s="200"/>
    </row>
    <row r="15" spans="1:82">
      <c r="B15" s="64" t="s">
        <v>411</v>
      </c>
      <c r="C15" s="64" t="s">
        <v>411</v>
      </c>
      <c r="D15" s="192" t="s">
        <v>285</v>
      </c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172"/>
      <c r="AD15" s="172"/>
      <c r="AE15" s="172" t="e">
        <f>_xll.LVCELL($D$1,AE$2,$C15,$D$2,$C$4,$C$5,$C$6,$C$7,$C$8,$D$3)/1000</f>
        <v>#VALUE!</v>
      </c>
      <c r="AF15" s="172" t="e">
        <f t="shared" si="0"/>
        <v>#VALUE!</v>
      </c>
      <c r="AG15" s="172"/>
      <c r="AH15" s="193"/>
      <c r="AI15" s="172"/>
      <c r="AL15" s="64" t="s">
        <v>411</v>
      </c>
      <c r="AM15" s="64" t="s">
        <v>411</v>
      </c>
      <c r="AN15" s="192" t="s">
        <v>285</v>
      </c>
      <c r="AO15" s="172">
        <v>236.40291171999999</v>
      </c>
      <c r="AP15" s="172">
        <v>194.24648839000002</v>
      </c>
      <c r="AQ15" s="172">
        <v>190.43906221999998</v>
      </c>
      <c r="AR15" s="172">
        <v>107.5629469</v>
      </c>
      <c r="AS15" s="172">
        <v>131.09639868000002</v>
      </c>
      <c r="AT15" s="172">
        <v>95.662084310000012</v>
      </c>
      <c r="AU15" s="172">
        <v>110.86515747</v>
      </c>
      <c r="AV15" s="172">
        <v>108.82020921</v>
      </c>
      <c r="AW15" s="172">
        <v>95.549781539999998</v>
      </c>
      <c r="AX15" s="172">
        <v>136.7969147</v>
      </c>
      <c r="AY15" s="172">
        <v>195.08742550000002</v>
      </c>
      <c r="AZ15" s="172">
        <v>229.04116349999998</v>
      </c>
      <c r="BA15" s="172"/>
      <c r="BB15" s="172"/>
      <c r="BC15" s="172"/>
      <c r="BD15" s="172"/>
      <c r="BE15" s="172"/>
      <c r="BF15" s="172"/>
      <c r="BG15" s="172"/>
      <c r="BH15" s="172"/>
      <c r="BI15" s="172"/>
      <c r="BJ15" s="172"/>
      <c r="BK15" s="172"/>
      <c r="BL15" s="172"/>
      <c r="BM15" s="172"/>
      <c r="BN15" s="172"/>
      <c r="BO15" s="214" t="e">
        <f>_xll.LVCELL($AM$1,BO$2,$AM15,$AN$2,$AM$4,$AM$5,$AM$6,$AM$7,$AM$8,$AN$3)/1000</f>
        <v>#VALUE!</v>
      </c>
      <c r="BP15" s="291" t="e">
        <f t="shared" si="1"/>
        <v>#VALUE!</v>
      </c>
      <c r="BQ15" s="214"/>
      <c r="BR15" s="217"/>
      <c r="BS15" s="218"/>
      <c r="BT15" s="193"/>
      <c r="BU15" s="190"/>
      <c r="BW15" s="198"/>
      <c r="BX15" s="198"/>
      <c r="BY15" s="198"/>
      <c r="BZ15" s="199"/>
      <c r="CB15" s="200"/>
      <c r="CC15" s="200"/>
      <c r="CD15" s="200"/>
    </row>
    <row r="16" spans="1:82">
      <c r="B16" s="64" t="s">
        <v>316</v>
      </c>
      <c r="C16" s="64" t="s">
        <v>316</v>
      </c>
      <c r="D16" s="192" t="s">
        <v>528</v>
      </c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172"/>
      <c r="AD16" s="172"/>
      <c r="AE16" s="172" t="e">
        <f>_xll.LVCELL($D$1,AE$2,$C16,$D$2,$C$4,$C$5,$C$6,$C$7,$C$8,$D$3)/1000</f>
        <v>#VALUE!</v>
      </c>
      <c r="AF16" s="172" t="e">
        <f t="shared" si="0"/>
        <v>#VALUE!</v>
      </c>
      <c r="AG16" s="172"/>
      <c r="AH16" s="193"/>
      <c r="AI16" s="172"/>
      <c r="AL16" s="64" t="s">
        <v>316</v>
      </c>
      <c r="AM16" s="64" t="s">
        <v>316</v>
      </c>
      <c r="AN16" s="192" t="s">
        <v>528</v>
      </c>
      <c r="AO16" s="172">
        <v>165.988</v>
      </c>
      <c r="AP16" s="172">
        <v>165.988</v>
      </c>
      <c r="AQ16" s="172">
        <v>224.572</v>
      </c>
      <c r="AR16" s="172">
        <v>156.22399999999999</v>
      </c>
      <c r="AS16" s="172">
        <v>165.988</v>
      </c>
      <c r="AT16" s="172">
        <v>126.932</v>
      </c>
      <c r="AU16" s="172">
        <v>107.404</v>
      </c>
      <c r="AV16" s="172">
        <v>117.16800000000001</v>
      </c>
      <c r="AW16" s="172">
        <v>126.932</v>
      </c>
      <c r="AX16" s="172">
        <v>185.51599999999999</v>
      </c>
      <c r="AY16" s="172">
        <v>206.28299999999999</v>
      </c>
      <c r="AZ16" s="172">
        <v>225.929</v>
      </c>
      <c r="BA16" s="172"/>
      <c r="BB16" s="172"/>
      <c r="BC16" s="172"/>
      <c r="BD16" s="172"/>
      <c r="BE16" s="172"/>
      <c r="BF16" s="172"/>
      <c r="BG16" s="172"/>
      <c r="BH16" s="172"/>
      <c r="BI16" s="172"/>
      <c r="BJ16" s="172"/>
      <c r="BK16" s="172"/>
      <c r="BL16" s="172"/>
      <c r="BM16" s="172"/>
      <c r="BN16" s="172"/>
      <c r="BO16" s="214" t="e">
        <f>_xll.LVCELL($AM$1,BO$2,$AM16,$AN$2,$AM$4,$AM$5,$AM$6,$AM$7,$AM$8,$AN$3)/1000</f>
        <v>#VALUE!</v>
      </c>
      <c r="BP16" s="291" t="e">
        <f t="shared" si="1"/>
        <v>#VALUE!</v>
      </c>
      <c r="BQ16" s="214"/>
      <c r="BR16" s="217"/>
      <c r="BS16" s="218"/>
      <c r="BT16" s="193"/>
      <c r="BU16" s="190"/>
      <c r="BW16" s="198"/>
      <c r="BX16" s="198"/>
      <c r="BY16" s="198"/>
      <c r="BZ16" s="199"/>
      <c r="CB16" s="200"/>
      <c r="CC16" s="200"/>
      <c r="CD16" s="200"/>
    </row>
    <row r="17" spans="2:82">
      <c r="B17" s="64" t="s">
        <v>317</v>
      </c>
      <c r="C17" s="64" t="s">
        <v>317</v>
      </c>
      <c r="D17" s="192" t="s">
        <v>529</v>
      </c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2"/>
      <c r="AB17" s="172"/>
      <c r="AC17" s="172"/>
      <c r="AD17" s="172"/>
      <c r="AE17" s="172" t="e">
        <f>_xll.LVCELL($D$1,AE$2,$C17,$D$2,$C$4,$C$5,$C$6,$C$7,$C$8,$D$3)/1000</f>
        <v>#VALUE!</v>
      </c>
      <c r="AF17" s="172" t="e">
        <f t="shared" si="0"/>
        <v>#VALUE!</v>
      </c>
      <c r="AG17" s="172"/>
      <c r="AH17" s="193"/>
      <c r="AI17" s="172"/>
      <c r="AL17" s="64" t="s">
        <v>317</v>
      </c>
      <c r="AM17" s="64" t="s">
        <v>317</v>
      </c>
      <c r="AN17" s="192" t="s">
        <v>529</v>
      </c>
      <c r="AO17" s="172">
        <v>107.404</v>
      </c>
      <c r="AP17" s="172">
        <v>107.404</v>
      </c>
      <c r="AQ17" s="172">
        <v>146.46</v>
      </c>
      <c r="AR17" s="172">
        <v>97.64</v>
      </c>
      <c r="AS17" s="172">
        <v>107.404</v>
      </c>
      <c r="AT17" s="172">
        <v>78.111999999999995</v>
      </c>
      <c r="AU17" s="172">
        <v>68.347999999999999</v>
      </c>
      <c r="AV17" s="172">
        <v>78.111999999999995</v>
      </c>
      <c r="AW17" s="172">
        <v>78.111999999999995</v>
      </c>
      <c r="AX17" s="172">
        <v>117.16800000000001</v>
      </c>
      <c r="AY17" s="172">
        <v>137.52199999999999</v>
      </c>
      <c r="AZ17" s="172">
        <v>147.345</v>
      </c>
      <c r="BA17" s="172"/>
      <c r="BB17" s="172"/>
      <c r="BC17" s="172"/>
      <c r="BD17" s="172"/>
      <c r="BE17" s="172"/>
      <c r="BF17" s="172"/>
      <c r="BG17" s="172"/>
      <c r="BH17" s="172"/>
      <c r="BI17" s="172"/>
      <c r="BJ17" s="172"/>
      <c r="BK17" s="172"/>
      <c r="BL17" s="172"/>
      <c r="BM17" s="172"/>
      <c r="BN17" s="172"/>
      <c r="BO17" s="214" t="e">
        <f>_xll.LVCELL($AM$1,BO$2,$AM17,$AN$2,$AM$4,$AM$5,$AM$6,$AM$7,$AM$8,$AN$3)/1000</f>
        <v>#VALUE!</v>
      </c>
      <c r="BP17" s="291" t="e">
        <f t="shared" si="1"/>
        <v>#VALUE!</v>
      </c>
      <c r="BQ17" s="214"/>
      <c r="BR17" s="217"/>
      <c r="BS17" s="218"/>
      <c r="BT17" s="193"/>
      <c r="BU17" s="190"/>
      <c r="BW17" s="198"/>
      <c r="BX17" s="198"/>
      <c r="BY17" s="198"/>
      <c r="BZ17" s="199"/>
      <c r="CB17" s="200"/>
      <c r="CC17" s="200"/>
      <c r="CD17" s="200"/>
    </row>
    <row r="18" spans="2:82">
      <c r="B18" s="64" t="s">
        <v>318</v>
      </c>
      <c r="C18" s="64" t="s">
        <v>318</v>
      </c>
      <c r="D18" s="192" t="s">
        <v>530</v>
      </c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2"/>
      <c r="AB18" s="172"/>
      <c r="AC18" s="172"/>
      <c r="AD18" s="172"/>
      <c r="AE18" s="172" t="e">
        <f>_xll.LVCELL($D$1,AE$2,$C18,$D$2,$C$4,$C$5,$C$6,$C$7,$C$8,$D$3)/1000</f>
        <v>#VALUE!</v>
      </c>
      <c r="AF18" s="172" t="e">
        <f t="shared" si="0"/>
        <v>#VALUE!</v>
      </c>
      <c r="AG18" s="172"/>
      <c r="AH18" s="193"/>
      <c r="AI18" s="172"/>
      <c r="AL18" s="64" t="s">
        <v>318</v>
      </c>
      <c r="AM18" s="64" t="s">
        <v>318</v>
      </c>
      <c r="AN18" s="192" t="s">
        <v>530</v>
      </c>
      <c r="AO18" s="172">
        <v>146.46</v>
      </c>
      <c r="AP18" s="172">
        <v>146.46</v>
      </c>
      <c r="AQ18" s="172">
        <v>195.28</v>
      </c>
      <c r="AR18" s="172">
        <v>136.696</v>
      </c>
      <c r="AS18" s="172">
        <v>146.46</v>
      </c>
      <c r="AT18" s="172">
        <v>107.404</v>
      </c>
      <c r="AU18" s="172">
        <v>97.64</v>
      </c>
      <c r="AV18" s="172">
        <v>97.64</v>
      </c>
      <c r="AW18" s="172">
        <v>107.404</v>
      </c>
      <c r="AX18" s="172">
        <v>165.988</v>
      </c>
      <c r="AY18" s="172">
        <v>186.637</v>
      </c>
      <c r="AZ18" s="172">
        <v>196.46</v>
      </c>
      <c r="BA18" s="172"/>
      <c r="BB18" s="172"/>
      <c r="BC18" s="172"/>
      <c r="BD18" s="172"/>
      <c r="BE18" s="172"/>
      <c r="BF18" s="172"/>
      <c r="BG18" s="172"/>
      <c r="BH18" s="172"/>
      <c r="BI18" s="172"/>
      <c r="BJ18" s="172"/>
      <c r="BK18" s="172"/>
      <c r="BL18" s="172"/>
      <c r="BM18" s="172"/>
      <c r="BN18" s="172"/>
      <c r="BO18" s="214" t="e">
        <f>_xll.LVCELL($AM$1,BO$2,$AM18,$AN$2,$AM$4,$AM$5,$AM$6,$AM$7,$AM$8,$AN$3)/1000</f>
        <v>#VALUE!</v>
      </c>
      <c r="BP18" s="291" t="e">
        <f t="shared" si="1"/>
        <v>#VALUE!</v>
      </c>
      <c r="BQ18" s="214"/>
      <c r="BR18" s="217"/>
      <c r="BS18" s="218"/>
      <c r="BT18" s="193"/>
      <c r="BU18" s="190"/>
      <c r="BW18" s="198"/>
      <c r="BX18" s="198"/>
      <c r="BY18" s="198"/>
      <c r="BZ18" s="199"/>
      <c r="CB18" s="200"/>
      <c r="CC18" s="200"/>
      <c r="CD18" s="200"/>
    </row>
    <row r="19" spans="2:82">
      <c r="B19" s="64" t="s">
        <v>319</v>
      </c>
      <c r="C19" s="64" t="s">
        <v>319</v>
      </c>
      <c r="D19" s="192" t="s">
        <v>531</v>
      </c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2"/>
      <c r="AB19" s="172"/>
      <c r="AC19" s="172"/>
      <c r="AD19" s="172"/>
      <c r="AE19" s="172" t="e">
        <f>_xll.LVCELL($D$1,AE$2,$C19,$D$2,$C$4,$C$5,$C$6,$C$7,$C$8,$D$3)/1000</f>
        <v>#VALUE!</v>
      </c>
      <c r="AF19" s="172" t="e">
        <f t="shared" si="0"/>
        <v>#VALUE!</v>
      </c>
      <c r="AG19" s="172"/>
      <c r="AH19" s="193"/>
      <c r="AI19" s="172"/>
      <c r="AL19" s="64" t="s">
        <v>319</v>
      </c>
      <c r="AM19" s="64" t="s">
        <v>319</v>
      </c>
      <c r="AN19" s="192" t="s">
        <v>531</v>
      </c>
      <c r="AO19" s="172">
        <v>174.90600000000001</v>
      </c>
      <c r="AP19" s="172">
        <v>174.90600000000001</v>
      </c>
      <c r="AQ19" s="172">
        <v>233.208</v>
      </c>
      <c r="AR19" s="172">
        <v>155.47200000000001</v>
      </c>
      <c r="AS19" s="172">
        <v>165.18899999999999</v>
      </c>
      <c r="AT19" s="172">
        <v>126.321</v>
      </c>
      <c r="AU19" s="172">
        <v>106.887</v>
      </c>
      <c r="AV19" s="172">
        <v>116.604</v>
      </c>
      <c r="AW19" s="172">
        <v>126.321</v>
      </c>
      <c r="AX19" s="172">
        <v>194.34</v>
      </c>
      <c r="AY19" s="172">
        <v>215.05</v>
      </c>
      <c r="AZ19" s="172">
        <v>234.6</v>
      </c>
      <c r="BA19" s="172"/>
      <c r="BB19" s="172"/>
      <c r="BC19" s="172"/>
      <c r="BD19" s="172"/>
      <c r="BE19" s="172"/>
      <c r="BF19" s="172"/>
      <c r="BG19" s="172"/>
      <c r="BH19" s="172"/>
      <c r="BI19" s="172"/>
      <c r="BJ19" s="172"/>
      <c r="BK19" s="172"/>
      <c r="BL19" s="172"/>
      <c r="BM19" s="172"/>
      <c r="BN19" s="172"/>
      <c r="BO19" s="214" t="e">
        <f>_xll.LVCELL($AM$1,BO$2,$AM19,$AN$2,$AM$4,$AM$5,$AM$6,$AM$7,$AM$8,$AN$3)/1000</f>
        <v>#VALUE!</v>
      </c>
      <c r="BP19" s="291" t="e">
        <f t="shared" si="1"/>
        <v>#VALUE!</v>
      </c>
      <c r="BQ19" s="214"/>
      <c r="BR19" s="217"/>
      <c r="BS19" s="218"/>
      <c r="BT19" s="193"/>
      <c r="BU19" s="190"/>
      <c r="BW19" s="198"/>
      <c r="BX19" s="198"/>
      <c r="BY19" s="198"/>
      <c r="BZ19" s="199"/>
      <c r="CB19" s="200"/>
      <c r="CC19" s="200"/>
      <c r="CD19" s="200"/>
    </row>
    <row r="20" spans="2:82">
      <c r="B20" s="64" t="s">
        <v>320</v>
      </c>
      <c r="C20" s="64" t="s">
        <v>320</v>
      </c>
      <c r="D20" s="192" t="s">
        <v>532</v>
      </c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 t="e">
        <f>_xll.LVCELL($D$1,AE$2,$C20,$D$2,$C$4,$C$5,$C$6,$C$7,$C$8,$D$3)/1000</f>
        <v>#VALUE!</v>
      </c>
      <c r="AF20" s="172" t="e">
        <f t="shared" si="0"/>
        <v>#VALUE!</v>
      </c>
      <c r="AG20" s="172"/>
      <c r="AH20" s="193"/>
      <c r="AI20" s="172"/>
      <c r="AL20" s="64" t="s">
        <v>320</v>
      </c>
      <c r="AM20" s="64" t="s">
        <v>320</v>
      </c>
      <c r="AN20" s="192" t="s">
        <v>532</v>
      </c>
      <c r="AO20" s="172">
        <v>126.79900000000001</v>
      </c>
      <c r="AP20" s="172">
        <v>104.747</v>
      </c>
      <c r="AQ20" s="172">
        <v>170.90299999999999</v>
      </c>
      <c r="AR20" s="172">
        <v>132.31200000000001</v>
      </c>
      <c r="AS20" s="172">
        <v>137.82499999999999</v>
      </c>
      <c r="AT20" s="172">
        <v>110.26</v>
      </c>
      <c r="AU20" s="172">
        <v>99.233999999999995</v>
      </c>
      <c r="AV20" s="172">
        <v>115.773</v>
      </c>
      <c r="AW20" s="172">
        <v>121.286</v>
      </c>
      <c r="AX20" s="172">
        <v>154.364</v>
      </c>
      <c r="AY20" s="172">
        <v>138.65</v>
      </c>
      <c r="AZ20" s="172">
        <v>133.10400000000001</v>
      </c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214" t="e">
        <f>_xll.LVCELL($AM$1,BO$2,$AM20,$AN$2,$AM$4,$AM$5,$AM$6,$AM$7,$AM$8,$AN$3)/1000</f>
        <v>#VALUE!</v>
      </c>
      <c r="BP20" s="291" t="e">
        <f t="shared" si="1"/>
        <v>#VALUE!</v>
      </c>
      <c r="BQ20" s="214"/>
      <c r="BR20" s="217"/>
      <c r="BS20" s="218"/>
      <c r="BT20" s="193"/>
      <c r="BU20" s="190"/>
      <c r="BW20" s="198"/>
      <c r="BX20" s="198"/>
      <c r="BY20" s="198"/>
      <c r="BZ20" s="199"/>
      <c r="CB20" s="200"/>
      <c r="CC20" s="200"/>
      <c r="CD20" s="200"/>
    </row>
    <row r="21" spans="2:82">
      <c r="B21" s="64" t="s">
        <v>321</v>
      </c>
      <c r="C21" s="64" t="s">
        <v>321</v>
      </c>
      <c r="D21" s="192" t="s">
        <v>841</v>
      </c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2"/>
      <c r="AB21" s="172"/>
      <c r="AC21" s="172"/>
      <c r="AD21" s="172"/>
      <c r="AE21" s="172" t="e">
        <f>_xll.LVCELL($D$1,AE$2,$C21,$D$2,$C$4,$C$5,$C$6,$C$7,$C$8,$D$3)/1000</f>
        <v>#VALUE!</v>
      </c>
      <c r="AF21" s="172" t="e">
        <f t="shared" si="0"/>
        <v>#VALUE!</v>
      </c>
      <c r="AG21" s="172"/>
      <c r="AH21" s="193"/>
      <c r="AI21" s="172"/>
      <c r="AL21" s="64" t="s">
        <v>321</v>
      </c>
      <c r="AM21" s="64" t="s">
        <v>321</v>
      </c>
      <c r="AN21" s="192" t="s">
        <v>841</v>
      </c>
      <c r="AO21" s="172">
        <v>121.902</v>
      </c>
      <c r="AP21" s="172">
        <v>99.738</v>
      </c>
      <c r="AQ21" s="172">
        <v>160.68899999999999</v>
      </c>
      <c r="AR21" s="172">
        <v>121.902</v>
      </c>
      <c r="AS21" s="172">
        <v>132.98400000000001</v>
      </c>
      <c r="AT21" s="172">
        <v>105.279</v>
      </c>
      <c r="AU21" s="172">
        <v>99.738</v>
      </c>
      <c r="AV21" s="172">
        <v>110.82</v>
      </c>
      <c r="AW21" s="172">
        <v>116.361</v>
      </c>
      <c r="AX21" s="172">
        <v>149.607</v>
      </c>
      <c r="AY21" s="172">
        <v>133.77600000000001</v>
      </c>
      <c r="AZ21" s="172">
        <v>122.628</v>
      </c>
      <c r="BA21" s="172"/>
      <c r="BB21" s="172"/>
      <c r="BC21" s="172"/>
      <c r="BD21" s="172"/>
      <c r="BE21" s="172"/>
      <c r="BF21" s="172"/>
      <c r="BG21" s="172"/>
      <c r="BH21" s="172"/>
      <c r="BI21" s="172"/>
      <c r="BJ21" s="172"/>
      <c r="BK21" s="172"/>
      <c r="BL21" s="172"/>
      <c r="BM21" s="172"/>
      <c r="BN21" s="172"/>
      <c r="BO21" s="214" t="e">
        <f>_xll.LVCELL($AM$1,BO$2,$AM21,$AN$2,$AM$4,$AM$5,$AM$6,$AM$7,$AM$8,$AN$3)/1000</f>
        <v>#VALUE!</v>
      </c>
      <c r="BP21" s="291" t="e">
        <f t="shared" si="1"/>
        <v>#VALUE!</v>
      </c>
      <c r="BQ21" s="214"/>
      <c r="BR21" s="217"/>
      <c r="BS21" s="218"/>
      <c r="BT21" s="193"/>
      <c r="BU21" s="190"/>
      <c r="BW21" s="198"/>
      <c r="BX21" s="198"/>
      <c r="BY21" s="198"/>
      <c r="BZ21" s="199"/>
      <c r="CB21" s="200"/>
      <c r="CC21" s="200"/>
      <c r="CD21" s="200"/>
    </row>
    <row r="22" spans="2:82">
      <c r="B22" s="64" t="s">
        <v>419</v>
      </c>
      <c r="C22" s="64" t="s">
        <v>419</v>
      </c>
      <c r="D22" s="192" t="s">
        <v>295</v>
      </c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 t="e">
        <f>_xll.LVCELL($D$1,AE$2,$C22,$D$2,$C$4,$C$5,$C$6,$C$7,$C$8,$D$3)/1000</f>
        <v>#VALUE!</v>
      </c>
      <c r="AF22" s="172" t="e">
        <f t="shared" si="0"/>
        <v>#VALUE!</v>
      </c>
      <c r="AG22" s="172"/>
      <c r="AH22" s="193"/>
      <c r="AI22" s="172"/>
      <c r="AL22" s="64" t="s">
        <v>419</v>
      </c>
      <c r="AM22" s="64" t="s">
        <v>419</v>
      </c>
      <c r="AN22" s="192" t="s">
        <v>295</v>
      </c>
      <c r="AO22" s="172">
        <v>103.14046501</v>
      </c>
      <c r="AP22" s="172">
        <v>111.66393545999999</v>
      </c>
      <c r="AQ22" s="172">
        <v>109.81750637</v>
      </c>
      <c r="AR22" s="172">
        <v>101.85351120999999</v>
      </c>
      <c r="AS22" s="172">
        <v>89.170779939999989</v>
      </c>
      <c r="AT22" s="172">
        <v>85.104875239999998</v>
      </c>
      <c r="AU22" s="172">
        <v>84.209582490000003</v>
      </c>
      <c r="AV22" s="172">
        <v>79.378970219999999</v>
      </c>
      <c r="AW22" s="172">
        <v>86.578257809999997</v>
      </c>
      <c r="AX22" s="172">
        <v>92.714532900000009</v>
      </c>
      <c r="AY22" s="172">
        <v>103.59372632</v>
      </c>
      <c r="AZ22" s="172">
        <v>103.25597814000001</v>
      </c>
      <c r="BA22" s="172"/>
      <c r="BB22" s="172"/>
      <c r="BC22" s="172"/>
      <c r="BD22" s="172"/>
      <c r="BE22" s="172"/>
      <c r="BF22" s="172"/>
      <c r="BG22" s="172"/>
      <c r="BH22" s="172"/>
      <c r="BI22" s="172"/>
      <c r="BJ22" s="172"/>
      <c r="BK22" s="172"/>
      <c r="BL22" s="172"/>
      <c r="BM22" s="172"/>
      <c r="BN22" s="172"/>
      <c r="BO22" s="214" t="e">
        <f>_xll.LVCELL($AM$1,BO$2,$AM22,$AN$2,$AM$4,$AM$5,$AM$6,$AM$7,$AM$8,$AN$3)/1000</f>
        <v>#VALUE!</v>
      </c>
      <c r="BP22" s="291" t="e">
        <f t="shared" si="1"/>
        <v>#VALUE!</v>
      </c>
      <c r="BQ22" s="214"/>
      <c r="BR22" s="217"/>
      <c r="BS22" s="218"/>
      <c r="BT22" s="193"/>
      <c r="BU22" s="190"/>
      <c r="BW22" s="198"/>
      <c r="BX22" s="198"/>
      <c r="BY22" s="198"/>
      <c r="BZ22" s="199"/>
      <c r="CB22" s="200"/>
      <c r="CC22" s="200"/>
      <c r="CD22" s="200"/>
    </row>
    <row r="23" spans="2:82">
      <c r="B23" s="64" t="s">
        <v>421</v>
      </c>
      <c r="C23" s="64" t="s">
        <v>421</v>
      </c>
      <c r="D23" s="192" t="s">
        <v>288</v>
      </c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2"/>
      <c r="AB23" s="172"/>
      <c r="AC23" s="172"/>
      <c r="AD23" s="172"/>
      <c r="AE23" s="172" t="e">
        <f>_xll.LVCELL($D$1,AE$2,$C23,$D$2,$C$4,$C$5,$C$6,$C$7,$C$8,$D$3)/1000</f>
        <v>#VALUE!</v>
      </c>
      <c r="AF23" s="172" t="e">
        <f t="shared" si="0"/>
        <v>#VALUE!</v>
      </c>
      <c r="AG23" s="172"/>
      <c r="AH23" s="193"/>
      <c r="AI23" s="172"/>
      <c r="AL23" s="64" t="s">
        <v>421</v>
      </c>
      <c r="AM23" s="64" t="s">
        <v>421</v>
      </c>
      <c r="AN23" s="192" t="s">
        <v>288</v>
      </c>
      <c r="AO23" s="172">
        <v>184.87095872</v>
      </c>
      <c r="AP23" s="172">
        <v>153.2688076</v>
      </c>
      <c r="AQ23" s="172">
        <v>167.51651818000002</v>
      </c>
      <c r="AR23" s="172">
        <v>112.03446988</v>
      </c>
      <c r="AS23" s="172">
        <v>106.50624658000001</v>
      </c>
      <c r="AT23" s="172">
        <v>90.943525120000004</v>
      </c>
      <c r="AU23" s="172">
        <v>90.204585519999995</v>
      </c>
      <c r="AV23" s="172">
        <v>85.604895959999993</v>
      </c>
      <c r="AW23" s="172">
        <v>86.727715520000004</v>
      </c>
      <c r="AX23" s="172">
        <v>118.2600779</v>
      </c>
      <c r="AY23" s="172">
        <v>165.59460819999998</v>
      </c>
      <c r="AZ23" s="172">
        <v>200.16955111999999</v>
      </c>
      <c r="BA23" s="172"/>
      <c r="BB23" s="172"/>
      <c r="BC23" s="172"/>
      <c r="BD23" s="172"/>
      <c r="BE23" s="172"/>
      <c r="BF23" s="172"/>
      <c r="BG23" s="172"/>
      <c r="BH23" s="172"/>
      <c r="BI23" s="172"/>
      <c r="BJ23" s="172"/>
      <c r="BK23" s="172"/>
      <c r="BL23" s="172"/>
      <c r="BM23" s="172"/>
      <c r="BN23" s="172"/>
      <c r="BO23" s="214" t="e">
        <f>_xll.LVCELL($AM$1,BO$2,$AM23,$AN$2,$AM$4,$AM$5,$AM$6,$AM$7,$AM$8,$AN$3)/1000</f>
        <v>#VALUE!</v>
      </c>
      <c r="BP23" s="291" t="e">
        <f t="shared" si="1"/>
        <v>#VALUE!</v>
      </c>
      <c r="BQ23" s="214"/>
      <c r="BR23" s="217"/>
      <c r="BS23" s="218"/>
      <c r="BT23" s="193"/>
      <c r="BU23" s="190"/>
      <c r="BW23" s="198"/>
      <c r="BX23" s="198"/>
      <c r="BY23" s="198"/>
      <c r="BZ23" s="199"/>
      <c r="CB23" s="200"/>
      <c r="CC23" s="200"/>
      <c r="CD23" s="200"/>
    </row>
    <row r="24" spans="2:82">
      <c r="B24" s="64" t="s">
        <v>423</v>
      </c>
      <c r="C24" s="64" t="s">
        <v>423</v>
      </c>
      <c r="D24" s="284" t="s">
        <v>289</v>
      </c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276" t="e">
        <f>_xll.LVCELL($D$1,AE$2,$C24,$D$2,$C$4,$C$5,$C$6,$C$7,$C$8,$D$3)/1000</f>
        <v>#VALUE!</v>
      </c>
      <c r="AF24" s="276" t="e">
        <f t="shared" si="0"/>
        <v>#VALUE!</v>
      </c>
      <c r="AG24" s="172"/>
      <c r="AH24" s="193"/>
      <c r="AI24" s="285"/>
      <c r="AL24" s="64" t="s">
        <v>423</v>
      </c>
      <c r="AM24" s="64" t="s">
        <v>423</v>
      </c>
      <c r="AN24" s="284" t="s">
        <v>289</v>
      </c>
      <c r="AO24" s="172">
        <v>247.74033679999999</v>
      </c>
      <c r="AP24" s="172">
        <v>259.98065460000004</v>
      </c>
      <c r="AQ24" s="172">
        <v>262.76401692000002</v>
      </c>
      <c r="AR24" s="172">
        <v>234.34947672000001</v>
      </c>
      <c r="AS24" s="172">
        <v>249.75110284000002</v>
      </c>
      <c r="AT24" s="172">
        <v>171.61202716</v>
      </c>
      <c r="AU24" s="172">
        <v>160.19105895999999</v>
      </c>
      <c r="AV24" s="172">
        <v>157.12447044000001</v>
      </c>
      <c r="AW24" s="172">
        <v>192.06357176</v>
      </c>
      <c r="AX24" s="172">
        <v>246.49012876</v>
      </c>
      <c r="AY24" s="172">
        <v>268.03631860000002</v>
      </c>
      <c r="AZ24" s="172">
        <v>287.95925055999999</v>
      </c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214" t="e">
        <f>_xll.LVCELL($AM$1,BO$2,$AM24,$AN$2,$AM$4,$AM$5,$AM$6,$AM$7,$AM$8,$AN$3)/1000</f>
        <v>#VALUE!</v>
      </c>
      <c r="BP24" s="292" t="e">
        <f t="shared" si="1"/>
        <v>#VALUE!</v>
      </c>
      <c r="BQ24" s="214"/>
      <c r="BR24" s="217"/>
      <c r="BS24" s="218"/>
      <c r="BT24" s="193"/>
      <c r="BU24" s="190"/>
      <c r="BW24" s="198"/>
      <c r="BX24" s="198"/>
      <c r="BY24" s="198"/>
      <c r="BZ24" s="199"/>
      <c r="CB24" s="200"/>
      <c r="CC24" s="200"/>
      <c r="CD24" s="200"/>
    </row>
    <row r="25" spans="2:82">
      <c r="B25" s="64" t="s">
        <v>425</v>
      </c>
      <c r="C25" s="64" t="s">
        <v>425</v>
      </c>
      <c r="D25" s="192" t="s">
        <v>296</v>
      </c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2"/>
      <c r="AB25" s="172"/>
      <c r="AC25" s="172"/>
      <c r="AD25" s="172"/>
      <c r="AE25" s="172" t="e">
        <f>_xll.LVCELL($D$1,AE$2,$C25,$D$2,$C$4,$C$5,$C$6,$C$7,$C$8,$D$3)/1000</f>
        <v>#VALUE!</v>
      </c>
      <c r="AF25" s="172" t="e">
        <f t="shared" si="0"/>
        <v>#VALUE!</v>
      </c>
      <c r="AG25" s="172"/>
      <c r="AH25" s="193"/>
      <c r="AI25" s="172"/>
      <c r="AL25" s="64" t="s">
        <v>425</v>
      </c>
      <c r="AM25" s="64" t="s">
        <v>425</v>
      </c>
      <c r="AN25" s="192" t="s">
        <v>296</v>
      </c>
      <c r="AO25" s="172">
        <v>203.41010808999999</v>
      </c>
      <c r="AP25" s="172">
        <v>195.09777335999999</v>
      </c>
      <c r="AQ25" s="172">
        <v>179.50371285</v>
      </c>
      <c r="AR25" s="172">
        <v>157.70407079</v>
      </c>
      <c r="AS25" s="172">
        <v>152.27706787999998</v>
      </c>
      <c r="AT25" s="172">
        <v>142.15573218</v>
      </c>
      <c r="AU25" s="172">
        <v>142.04124080999998</v>
      </c>
      <c r="AV25" s="172">
        <v>139.43080025</v>
      </c>
      <c r="AW25" s="172">
        <v>154.20056022</v>
      </c>
      <c r="AX25" s="172">
        <v>180.83188738999999</v>
      </c>
      <c r="AY25" s="172">
        <v>186.59347182000002</v>
      </c>
      <c r="AZ25" s="172">
        <v>199.58592465000001</v>
      </c>
      <c r="BA25" s="172"/>
      <c r="BB25" s="172"/>
      <c r="BC25" s="172"/>
      <c r="BD25" s="172"/>
      <c r="BE25" s="172"/>
      <c r="BF25" s="172"/>
      <c r="BG25" s="172"/>
      <c r="BH25" s="172"/>
      <c r="BI25" s="172"/>
      <c r="BJ25" s="172"/>
      <c r="BK25" s="172"/>
      <c r="BL25" s="172"/>
      <c r="BM25" s="172"/>
      <c r="BN25" s="172"/>
      <c r="BO25" s="214" t="e">
        <f>_xll.LVCELL($AM$1,BO$2,$AM25,$AN$2,$AM$4,$AM$5,$AM$6,$AM$7,$AM$8,$AN$3)/1000</f>
        <v>#VALUE!</v>
      </c>
      <c r="BP25" s="291" t="e">
        <f t="shared" si="1"/>
        <v>#VALUE!</v>
      </c>
      <c r="BQ25" s="214"/>
      <c r="BR25" s="217"/>
      <c r="BS25" s="218"/>
      <c r="BT25" s="193"/>
      <c r="BU25" s="190"/>
      <c r="BW25" s="198"/>
      <c r="BX25" s="198"/>
      <c r="BY25" s="198"/>
      <c r="BZ25" s="199"/>
      <c r="CB25" s="200"/>
      <c r="CC25" s="200"/>
      <c r="CD25" s="200"/>
    </row>
    <row r="26" spans="2:82">
      <c r="B26" s="64" t="s">
        <v>427</v>
      </c>
      <c r="C26" s="64" t="s">
        <v>427</v>
      </c>
      <c r="D26" s="192" t="s">
        <v>2631</v>
      </c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 t="e">
        <f>_xll.LVCELL($D$1,AE$2,$C26,$D$2,$C$4,$C$5,$C$6,$C$7,$C$8,$D$3)/1000</f>
        <v>#VALUE!</v>
      </c>
      <c r="AF26" s="172" t="e">
        <f t="shared" si="0"/>
        <v>#VALUE!</v>
      </c>
      <c r="AG26" s="172"/>
      <c r="AH26" s="193"/>
      <c r="AI26" s="172"/>
      <c r="AL26" s="64" t="s">
        <v>427</v>
      </c>
      <c r="AM26" s="64" t="s">
        <v>427</v>
      </c>
      <c r="AN26" s="192" t="s">
        <v>2631</v>
      </c>
      <c r="AO26" s="172">
        <v>681.74699999999996</v>
      </c>
      <c r="AP26" s="172">
        <v>579.01800000000003</v>
      </c>
      <c r="AQ26" s="172">
        <v>597.69600000000003</v>
      </c>
      <c r="AR26" s="172">
        <v>448.27199999999999</v>
      </c>
      <c r="AS26" s="172">
        <v>448.27199999999999</v>
      </c>
      <c r="AT26" s="172">
        <v>298.84800000000001</v>
      </c>
      <c r="AU26" s="172">
        <v>326.86500000000001</v>
      </c>
      <c r="AV26" s="172">
        <v>336.20400000000001</v>
      </c>
      <c r="AW26" s="172">
        <v>354.88200000000001</v>
      </c>
      <c r="AX26" s="172">
        <v>485.62799999999999</v>
      </c>
      <c r="AY26" s="172">
        <v>516.72500000000002</v>
      </c>
      <c r="AZ26" s="172">
        <v>638.86</v>
      </c>
      <c r="BA26" s="172"/>
      <c r="BB26" s="172"/>
      <c r="BC26" s="172"/>
      <c r="BD26" s="172"/>
      <c r="BE26" s="172"/>
      <c r="BF26" s="172"/>
      <c r="BG26" s="172"/>
      <c r="BH26" s="172"/>
      <c r="BI26" s="172"/>
      <c r="BJ26" s="172"/>
      <c r="BK26" s="172"/>
      <c r="BL26" s="172"/>
      <c r="BM26" s="172"/>
      <c r="BN26" s="172"/>
      <c r="BO26" s="214" t="e">
        <f>_xll.LVCELL($AM$1,BO$2,$AM26,$AN$2,$AM$4,$AM$5,$AM$6,$AM$7,$AM$8,$AN$3)/1000</f>
        <v>#VALUE!</v>
      </c>
      <c r="BP26" s="291" t="e">
        <f t="shared" si="1"/>
        <v>#VALUE!</v>
      </c>
      <c r="BQ26" s="214"/>
      <c r="BR26" s="217"/>
      <c r="BS26" s="218"/>
      <c r="BT26" s="193"/>
      <c r="BU26" s="190"/>
      <c r="BW26" s="198"/>
      <c r="BX26" s="198"/>
      <c r="BY26" s="198"/>
      <c r="BZ26" s="199"/>
      <c r="CB26" s="200"/>
      <c r="CC26" s="200"/>
      <c r="CD26" s="200"/>
    </row>
    <row r="27" spans="2:82">
      <c r="B27" s="64" t="s">
        <v>429</v>
      </c>
      <c r="C27" s="64" t="s">
        <v>429</v>
      </c>
      <c r="D27" s="284" t="s">
        <v>297</v>
      </c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2"/>
      <c r="AB27" s="172"/>
      <c r="AC27" s="172"/>
      <c r="AD27" s="172"/>
      <c r="AE27" s="276" t="e">
        <f>_xll.LVCELL($D$1,AE$2,$C27,$D$2,$C$4,$C$5,$C$6,$C$7,$C$8,$D$3)/1000</f>
        <v>#VALUE!</v>
      </c>
      <c r="AF27" s="276" t="e">
        <f t="shared" si="0"/>
        <v>#VALUE!</v>
      </c>
      <c r="AG27" s="172"/>
      <c r="AH27" s="193"/>
      <c r="AI27" s="285"/>
      <c r="AL27" s="64" t="s">
        <v>429</v>
      </c>
      <c r="AM27" s="64" t="s">
        <v>429</v>
      </c>
      <c r="AN27" s="284" t="s">
        <v>297</v>
      </c>
      <c r="AO27" s="172">
        <v>231.45676133999999</v>
      </c>
      <c r="AP27" s="172">
        <v>230.32397794000002</v>
      </c>
      <c r="AQ27" s="172">
        <v>215.62979907000002</v>
      </c>
      <c r="AR27" s="172">
        <v>197.38013596000002</v>
      </c>
      <c r="AS27" s="172">
        <v>187.84618671000001</v>
      </c>
      <c r="AT27" s="172">
        <v>178.24934651999999</v>
      </c>
      <c r="AU27" s="172">
        <v>176.83346058000001</v>
      </c>
      <c r="AV27" s="172">
        <v>170.98096407</v>
      </c>
      <c r="AW27" s="172">
        <v>186.96515368999999</v>
      </c>
      <c r="AX27" s="172">
        <v>210.02905293999999</v>
      </c>
      <c r="AY27" s="172">
        <v>213.34707891000002</v>
      </c>
      <c r="AZ27" s="172">
        <v>228.06608265</v>
      </c>
      <c r="BA27" s="172"/>
      <c r="BB27" s="172"/>
      <c r="BC27" s="172"/>
      <c r="BD27" s="172"/>
      <c r="BE27" s="172"/>
      <c r="BF27" s="172"/>
      <c r="BG27" s="172"/>
      <c r="BH27" s="172"/>
      <c r="BI27" s="172"/>
      <c r="BJ27" s="172"/>
      <c r="BK27" s="172"/>
      <c r="BL27" s="172"/>
      <c r="BM27" s="172"/>
      <c r="BN27" s="172"/>
      <c r="BO27" s="214" t="e">
        <f>_xll.LVCELL($AM$1,BO$2,$AM27,$AN$2,$AM$4,$AM$5,$AM$6,$AM$7,$AM$8,$AN$3)/1000</f>
        <v>#VALUE!</v>
      </c>
      <c r="BP27" s="292" t="e">
        <f t="shared" si="1"/>
        <v>#VALUE!</v>
      </c>
      <c r="BQ27" s="214"/>
      <c r="BR27" s="217"/>
      <c r="BS27" s="218"/>
      <c r="BT27" s="193"/>
      <c r="BU27" s="190"/>
      <c r="BW27" s="198"/>
      <c r="BX27" s="198"/>
      <c r="BY27" s="198"/>
      <c r="BZ27" s="199"/>
      <c r="CB27" s="200"/>
      <c r="CC27" s="200"/>
      <c r="CD27" s="200"/>
    </row>
    <row r="28" spans="2:82">
      <c r="B28" s="64" t="s">
        <v>437</v>
      </c>
      <c r="C28" s="64" t="s">
        <v>437</v>
      </c>
      <c r="D28" s="284" t="s">
        <v>2632</v>
      </c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2"/>
      <c r="AB28" s="172"/>
      <c r="AC28" s="172"/>
      <c r="AD28" s="172"/>
      <c r="AE28" s="276" t="e">
        <f>_xll.LVCELL($D$1,AE$2,$C28,$D$2,$C$4,$C$5,$C$6,$C$7,$C$8,$D$3)/1000</f>
        <v>#VALUE!</v>
      </c>
      <c r="AF28" s="276" t="e">
        <f t="shared" si="0"/>
        <v>#VALUE!</v>
      </c>
      <c r="AG28" s="172"/>
      <c r="AH28" s="193"/>
      <c r="AI28" s="285"/>
      <c r="AL28" s="64" t="s">
        <v>437</v>
      </c>
      <c r="AM28" s="64" t="s">
        <v>437</v>
      </c>
      <c r="AN28" s="284" t="s">
        <v>2632</v>
      </c>
      <c r="AO28" s="172">
        <v>848.38878009000007</v>
      </c>
      <c r="AP28" s="172">
        <v>844.23681782999995</v>
      </c>
      <c r="AQ28" s="172">
        <v>790.37636328000008</v>
      </c>
      <c r="AR28" s="172">
        <v>723.48324012</v>
      </c>
      <c r="AS28" s="172">
        <v>688.53738500999998</v>
      </c>
      <c r="AT28" s="172">
        <v>653.36085486000002</v>
      </c>
      <c r="AU28" s="172">
        <v>648.17085492000001</v>
      </c>
      <c r="AV28" s="172">
        <v>626.71892427</v>
      </c>
      <c r="AW28" s="172">
        <v>685.30802868000001</v>
      </c>
      <c r="AX28" s="172">
        <v>769.84703855999999</v>
      </c>
      <c r="AY28" s="172">
        <v>782.04586919999997</v>
      </c>
      <c r="AZ28" s="172">
        <v>836.00005680000004</v>
      </c>
      <c r="BA28" s="172"/>
      <c r="BB28" s="172"/>
      <c r="BC28" s="172"/>
      <c r="BD28" s="172"/>
      <c r="BE28" s="172"/>
      <c r="BF28" s="172"/>
      <c r="BG28" s="172"/>
      <c r="BH28" s="172"/>
      <c r="BI28" s="172"/>
      <c r="BJ28" s="172"/>
      <c r="BK28" s="172"/>
      <c r="BL28" s="172"/>
      <c r="BM28" s="172"/>
      <c r="BN28" s="172"/>
      <c r="BO28" s="214" t="e">
        <f>_xll.LVCELL($AM$1,BO$2,$AM28,$AN$2,$AM$4,$AM$5,$AM$6,$AM$7,$AM$8,$AN$3)/1000</f>
        <v>#VALUE!</v>
      </c>
      <c r="BP28" s="292" t="e">
        <f t="shared" si="1"/>
        <v>#VALUE!</v>
      </c>
      <c r="BQ28" s="214"/>
      <c r="BR28" s="217"/>
      <c r="BS28" s="218"/>
      <c r="BT28" s="193"/>
      <c r="BU28" s="172"/>
      <c r="BW28" s="198"/>
      <c r="BX28" s="198"/>
      <c r="BY28" s="198"/>
      <c r="BZ28" s="199"/>
      <c r="CB28" s="200"/>
      <c r="CC28" s="200"/>
      <c r="CD28" s="200"/>
    </row>
    <row r="29" spans="2:82">
      <c r="B29" s="64" t="s">
        <v>260</v>
      </c>
      <c r="C29" s="64" t="s">
        <v>260</v>
      </c>
      <c r="D29" s="192" t="s">
        <v>537</v>
      </c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 t="e">
        <f>_xll.LVCELL($D$1,AE$2,$C29,$D$2,$C$4,$C$5,$C$6,$C$7,$C$8,$D$3)/1000</f>
        <v>#VALUE!</v>
      </c>
      <c r="AF29" s="172" t="e">
        <f t="shared" si="0"/>
        <v>#VALUE!</v>
      </c>
      <c r="AG29" s="172"/>
      <c r="AH29" s="193"/>
      <c r="AI29" s="172"/>
      <c r="AL29" s="64" t="s">
        <v>260</v>
      </c>
      <c r="AM29" s="64" t="s">
        <v>260</v>
      </c>
      <c r="AN29" s="192" t="s">
        <v>537</v>
      </c>
      <c r="AO29" s="172">
        <v>165.44990903000001</v>
      </c>
      <c r="AP29" s="172">
        <v>159.42834124000001</v>
      </c>
      <c r="AQ29" s="172">
        <v>147.99685733000001</v>
      </c>
      <c r="AR29" s="172">
        <v>130.10424343</v>
      </c>
      <c r="AS29" s="172">
        <v>125.95602719</v>
      </c>
      <c r="AT29" s="172">
        <v>118.74920512</v>
      </c>
      <c r="AU29" s="172">
        <v>119.32272086</v>
      </c>
      <c r="AV29" s="172">
        <v>117.71701578</v>
      </c>
      <c r="AW29" s="172">
        <v>128.65142954999999</v>
      </c>
      <c r="AX29" s="172">
        <v>147.59543106000001</v>
      </c>
      <c r="AY29" s="172">
        <v>150.88276737522</v>
      </c>
      <c r="AZ29" s="172">
        <v>160.78650146999999</v>
      </c>
      <c r="BA29" s="172"/>
      <c r="BB29" s="172"/>
      <c r="BC29" s="172"/>
      <c r="BD29" s="172"/>
      <c r="BE29" s="172"/>
      <c r="BF29" s="172"/>
      <c r="BG29" s="172"/>
      <c r="BH29" s="172"/>
      <c r="BI29" s="172"/>
      <c r="BJ29" s="172"/>
      <c r="BK29" s="172"/>
      <c r="BL29" s="172"/>
      <c r="BM29" s="172"/>
      <c r="BN29" s="172"/>
      <c r="BO29" s="214" t="e">
        <f>_xll.LVCELL($AM$1,BO$2,$AM29,$AN$2,$AM$4,$AM$5,$AM$6,$AM$7,$AM$8,$AN$3)/1000</f>
        <v>#VALUE!</v>
      </c>
      <c r="BP29" s="291" t="e">
        <f t="shared" si="1"/>
        <v>#VALUE!</v>
      </c>
      <c r="BQ29" s="214"/>
      <c r="BR29" s="217"/>
      <c r="BS29" s="218"/>
      <c r="BT29" s="193"/>
      <c r="BU29" s="190"/>
      <c r="BW29" s="198"/>
      <c r="BX29" s="198"/>
      <c r="BY29" s="198"/>
      <c r="BZ29" s="199"/>
      <c r="CB29" s="200"/>
      <c r="CC29" s="200"/>
      <c r="CD29" s="200"/>
    </row>
    <row r="30" spans="2:82">
      <c r="B30" s="64" t="s">
        <v>315</v>
      </c>
      <c r="C30" s="64" t="s">
        <v>315</v>
      </c>
      <c r="D30" s="192" t="s">
        <v>2653</v>
      </c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 t="e">
        <f>_xll.LVCELL($D$1,AE$2,$C30,$D$2,$C$4,$C$5,$C$6,$C$7,$C$8,$D$3)/1000</f>
        <v>#VALUE!</v>
      </c>
      <c r="AF30" s="172" t="e">
        <f t="shared" si="0"/>
        <v>#VALUE!</v>
      </c>
      <c r="AG30" s="172"/>
      <c r="AH30" s="193"/>
      <c r="AI30" s="172"/>
      <c r="AL30" s="64" t="s">
        <v>315</v>
      </c>
      <c r="AM30" s="64" t="s">
        <v>315</v>
      </c>
      <c r="AN30" s="192" t="s">
        <v>2653</v>
      </c>
      <c r="AO30" s="172">
        <v>536.92957272000001</v>
      </c>
      <c r="AP30" s="172">
        <v>484.09414198999997</v>
      </c>
      <c r="AQ30" s="172">
        <v>530.2248891800001</v>
      </c>
      <c r="AR30" s="172">
        <v>418.51326705999998</v>
      </c>
      <c r="AS30" s="172">
        <v>343.56255478000003</v>
      </c>
      <c r="AT30" s="172">
        <v>292.40498773000002</v>
      </c>
      <c r="AU30" s="172">
        <v>375.69006767999997</v>
      </c>
      <c r="AV30" s="172">
        <v>318.10604314</v>
      </c>
      <c r="AW30" s="172">
        <v>292.30402769999995</v>
      </c>
      <c r="AX30" s="172">
        <v>344.28342502000004</v>
      </c>
      <c r="AY30" s="172">
        <v>446.52064790999998</v>
      </c>
      <c r="AZ30" s="172">
        <v>562.31053428000007</v>
      </c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214" t="e">
        <f>_xll.LVCELL($AM$1,BO$2,$AM30,$AN$2,$AM$4,$AM$5,$AM$6,$AM$7,$AM$8,$AN$3)/1000</f>
        <v>#VALUE!</v>
      </c>
      <c r="BP30" s="291" t="e">
        <f t="shared" si="1"/>
        <v>#VALUE!</v>
      </c>
      <c r="BQ30" s="214"/>
      <c r="BR30" s="217"/>
      <c r="BS30" s="218"/>
      <c r="BT30" s="193"/>
      <c r="BU30" s="190"/>
      <c r="BW30" s="198"/>
      <c r="BX30" s="198"/>
      <c r="BY30" s="198"/>
      <c r="BZ30" s="199"/>
      <c r="CB30" s="200"/>
      <c r="CC30" s="200"/>
      <c r="CD30" s="200"/>
    </row>
    <row r="31" spans="2:82">
      <c r="B31" s="64" t="s">
        <v>314</v>
      </c>
      <c r="C31" s="64" t="s">
        <v>314</v>
      </c>
      <c r="D31" s="192" t="s">
        <v>541</v>
      </c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2"/>
      <c r="AB31" s="172"/>
      <c r="AC31" s="172"/>
      <c r="AD31" s="172"/>
      <c r="AE31" s="172" t="e">
        <f>_xll.LVCELL($D$1,AE$2,$C31,$D$2,$C$4,$C$5,$C$6,$C$7,$C$8,$D$3)/1000</f>
        <v>#VALUE!</v>
      </c>
      <c r="AF31" s="172" t="e">
        <f t="shared" si="0"/>
        <v>#VALUE!</v>
      </c>
      <c r="AG31" s="172"/>
      <c r="AH31" s="193"/>
      <c r="AI31" s="172"/>
      <c r="AL31" s="64" t="s">
        <v>314</v>
      </c>
      <c r="AM31" s="64" t="s">
        <v>314</v>
      </c>
      <c r="AN31" s="192" t="s">
        <v>541</v>
      </c>
      <c r="AO31" s="172">
        <v>131.33467537999999</v>
      </c>
      <c r="AP31" s="172">
        <v>118.41092344</v>
      </c>
      <c r="AQ31" s="172">
        <v>129.69466086</v>
      </c>
      <c r="AR31" s="172">
        <v>102.36965078</v>
      </c>
      <c r="AS31" s="172">
        <v>84.036420499999991</v>
      </c>
      <c r="AT31" s="172">
        <v>71.52310623999999</v>
      </c>
      <c r="AU31" s="172">
        <v>91.894895749999989</v>
      </c>
      <c r="AV31" s="172">
        <v>77.809712820000001</v>
      </c>
      <c r="AW31" s="172">
        <v>71.498452200000003</v>
      </c>
      <c r="AX31" s="172">
        <v>84.212731610000006</v>
      </c>
      <c r="AY31" s="172">
        <v>109.22031246</v>
      </c>
      <c r="AZ31" s="172">
        <v>137.54291607000002</v>
      </c>
      <c r="BA31" s="172"/>
      <c r="BB31" s="172"/>
      <c r="BC31" s="172"/>
      <c r="BD31" s="172"/>
      <c r="BE31" s="172"/>
      <c r="BF31" s="172"/>
      <c r="BG31" s="172"/>
      <c r="BH31" s="172"/>
      <c r="BI31" s="172"/>
      <c r="BJ31" s="172"/>
      <c r="BK31" s="172"/>
      <c r="BL31" s="172"/>
      <c r="BM31" s="172"/>
      <c r="BN31" s="172"/>
      <c r="BO31" s="214" t="e">
        <f>_xll.LVCELL($AM$1,BO$2,$AM31,$AN$2,$AM$4,$AM$5,$AM$6,$AM$7,$AM$8,$AN$3)/1000</f>
        <v>#VALUE!</v>
      </c>
      <c r="BP31" s="291" t="e">
        <f t="shared" si="1"/>
        <v>#VALUE!</v>
      </c>
      <c r="BQ31" s="214"/>
      <c r="BR31" s="217"/>
      <c r="BS31" s="218"/>
      <c r="BT31" s="193"/>
      <c r="BU31" s="190"/>
      <c r="BW31" s="198"/>
      <c r="BX31" s="198"/>
      <c r="BY31" s="198"/>
      <c r="BZ31" s="199"/>
      <c r="CB31" s="200"/>
      <c r="CC31" s="200"/>
      <c r="CD31" s="200"/>
    </row>
    <row r="32" spans="2:82">
      <c r="B32" s="64" t="s">
        <v>216</v>
      </c>
      <c r="C32" s="64" t="s">
        <v>216</v>
      </c>
      <c r="D32" s="192" t="s">
        <v>2633</v>
      </c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 t="e">
        <f>_xll.LVCELL($D$1,AE$2,$C32,$D$2,$C$4,$C$5,$C$6,$C$7,$C$8,$D$3)/1000</f>
        <v>#VALUE!</v>
      </c>
      <c r="AF32" s="172" t="e">
        <f t="shared" si="0"/>
        <v>#VALUE!</v>
      </c>
      <c r="AG32" s="172"/>
      <c r="AH32" s="193"/>
      <c r="AI32" s="172"/>
      <c r="AL32" s="64" t="s">
        <v>216</v>
      </c>
      <c r="AM32" s="64" t="s">
        <v>216</v>
      </c>
      <c r="AN32" s="192" t="s">
        <v>2633</v>
      </c>
      <c r="AO32" s="172">
        <v>564.19573543999991</v>
      </c>
      <c r="AP32" s="172">
        <v>446.32542336</v>
      </c>
      <c r="AQ32" s="172">
        <v>529.29752461999999</v>
      </c>
      <c r="AR32" s="172">
        <v>396.08913167999998</v>
      </c>
      <c r="AS32" s="172">
        <v>415.68382964</v>
      </c>
      <c r="AT32" s="172">
        <v>375.23347950000004</v>
      </c>
      <c r="AU32" s="172">
        <v>307.55573057999999</v>
      </c>
      <c r="AV32" s="172">
        <v>361.93949089999995</v>
      </c>
      <c r="AW32" s="172">
        <v>375.10402234000003</v>
      </c>
      <c r="AX32" s="172">
        <v>466.25214696</v>
      </c>
      <c r="AY32" s="172">
        <v>488.70964925999999</v>
      </c>
      <c r="AZ32" s="172">
        <v>455.82111665999997</v>
      </c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214" t="e">
        <f>_xll.LVCELL($AM$1,BO$2,$AM32,$AN$2,$AM$4,$AM$5,$AM$6,$AM$7,$AM$8,$AN$3)/1000</f>
        <v>#VALUE!</v>
      </c>
      <c r="BP32" s="291" t="e">
        <f t="shared" si="1"/>
        <v>#VALUE!</v>
      </c>
      <c r="BQ32" s="214"/>
      <c r="BR32" s="217"/>
      <c r="BS32" s="218"/>
      <c r="BT32" s="193"/>
      <c r="BU32" s="190"/>
      <c r="BW32" s="198"/>
      <c r="BX32" s="198"/>
      <c r="BY32" s="198"/>
      <c r="BZ32" s="199"/>
      <c r="CB32" s="200"/>
      <c r="CC32" s="200"/>
      <c r="CD32" s="200"/>
    </row>
    <row r="33" spans="2:82">
      <c r="B33" s="64" t="s">
        <v>262</v>
      </c>
      <c r="C33" s="64" t="s">
        <v>262</v>
      </c>
      <c r="D33" s="192" t="s">
        <v>2634</v>
      </c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2"/>
      <c r="AB33" s="172"/>
      <c r="AC33" s="172"/>
      <c r="AD33" s="172"/>
      <c r="AE33" s="172" t="e">
        <f>_xll.LVCELL($D$1,AE$2,$C33,$D$2,$C$4,$C$5,$C$6,$C$7,$C$8,$D$3)/1000</f>
        <v>#VALUE!</v>
      </c>
      <c r="AF33" s="172" t="e">
        <f t="shared" si="0"/>
        <v>#VALUE!</v>
      </c>
      <c r="AG33" s="172"/>
      <c r="AH33" s="193"/>
      <c r="AI33" s="172"/>
      <c r="AL33" s="64" t="s">
        <v>262</v>
      </c>
      <c r="AM33" s="64" t="s">
        <v>262</v>
      </c>
      <c r="AN33" s="192" t="s">
        <v>2634</v>
      </c>
      <c r="AO33" s="172">
        <v>568.20324600000004</v>
      </c>
      <c r="AP33" s="172">
        <v>475.930924</v>
      </c>
      <c r="AQ33" s="172">
        <v>495.48347820000004</v>
      </c>
      <c r="AR33" s="172">
        <v>398.32978906</v>
      </c>
      <c r="AS33" s="172">
        <v>383.75676588000005</v>
      </c>
      <c r="AT33" s="172">
        <v>272.03013981999999</v>
      </c>
      <c r="AU33" s="172">
        <v>310.89156371999997</v>
      </c>
      <c r="AV33" s="172">
        <v>310.89156371999997</v>
      </c>
      <c r="AW33" s="172">
        <v>310.89156371999997</v>
      </c>
      <c r="AX33" s="172">
        <v>398.32978906</v>
      </c>
      <c r="AY33" s="172">
        <v>425.16585333999996</v>
      </c>
      <c r="AZ33" s="172">
        <v>522.90521276000004</v>
      </c>
      <c r="BA33" s="172"/>
      <c r="BB33" s="172"/>
      <c r="BC33" s="172"/>
      <c r="BD33" s="172"/>
      <c r="BE33" s="172"/>
      <c r="BF33" s="172"/>
      <c r="BG33" s="172"/>
      <c r="BH33" s="172"/>
      <c r="BI33" s="172"/>
      <c r="BJ33" s="172"/>
      <c r="BK33" s="172"/>
      <c r="BL33" s="172"/>
      <c r="BM33" s="172"/>
      <c r="BN33" s="172"/>
      <c r="BO33" s="214" t="e">
        <f>_xll.LVCELL($AM$1,BO$2,$AM33,$AN$2,$AM$4,$AM$5,$AM$6,$AM$7,$AM$8,$AN$3)/1000</f>
        <v>#VALUE!</v>
      </c>
      <c r="BP33" s="291" t="e">
        <f t="shared" si="1"/>
        <v>#VALUE!</v>
      </c>
      <c r="BQ33" s="214"/>
      <c r="BR33" s="217"/>
      <c r="BS33" s="218"/>
      <c r="BT33" s="193"/>
      <c r="BU33" s="190"/>
      <c r="BW33" s="198"/>
      <c r="BX33" s="198"/>
      <c r="BY33" s="198"/>
      <c r="BZ33" s="199"/>
      <c r="CB33" s="200"/>
      <c r="CC33" s="200"/>
      <c r="CD33" s="200"/>
    </row>
    <row r="34" spans="2:82">
      <c r="B34" s="64" t="s">
        <v>263</v>
      </c>
      <c r="C34" s="64" t="s">
        <v>263</v>
      </c>
      <c r="D34" s="192" t="s">
        <v>546</v>
      </c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2"/>
      <c r="AB34" s="172"/>
      <c r="AC34" s="172"/>
      <c r="AD34" s="172"/>
      <c r="AE34" s="172" t="e">
        <f>_xll.LVCELL($D$1,AE$2,$C34,$D$2,$C$4,$C$5,$C$6,$C$7,$C$8,$D$3)/1000</f>
        <v>#VALUE!</v>
      </c>
      <c r="AF34" s="172" t="e">
        <f t="shared" si="0"/>
        <v>#VALUE!</v>
      </c>
      <c r="AG34" s="172"/>
      <c r="AH34" s="193"/>
      <c r="AI34" s="172"/>
      <c r="AL34" s="64" t="s">
        <v>263</v>
      </c>
      <c r="AM34" s="64" t="s">
        <v>263</v>
      </c>
      <c r="AN34" s="192" t="s">
        <v>546</v>
      </c>
      <c r="AO34" s="172">
        <v>235.73616763000001</v>
      </c>
      <c r="AP34" s="172">
        <v>249.65089745</v>
      </c>
      <c r="AQ34" s="172">
        <v>247.24782091</v>
      </c>
      <c r="AR34" s="172">
        <v>239.84468384000002</v>
      </c>
      <c r="AS34" s="172">
        <v>227.0540153</v>
      </c>
      <c r="AT34" s="172">
        <v>208.60443085</v>
      </c>
      <c r="AU34" s="172">
        <v>203.72071478999999</v>
      </c>
      <c r="AV34" s="172">
        <v>194.844741</v>
      </c>
      <c r="AW34" s="172">
        <v>204.53461014000001</v>
      </c>
      <c r="AX34" s="172">
        <v>232.7904082</v>
      </c>
      <c r="AY34" s="172">
        <v>238.29257359000002</v>
      </c>
      <c r="AZ34" s="172">
        <v>240.59322053</v>
      </c>
      <c r="BA34" s="172"/>
      <c r="BB34" s="172"/>
      <c r="BC34" s="172"/>
      <c r="BD34" s="172"/>
      <c r="BE34" s="172"/>
      <c r="BF34" s="172"/>
      <c r="BG34" s="172"/>
      <c r="BH34" s="172"/>
      <c r="BI34" s="172"/>
      <c r="BJ34" s="172"/>
      <c r="BK34" s="172"/>
      <c r="BL34" s="172"/>
      <c r="BM34" s="172"/>
      <c r="BN34" s="172"/>
      <c r="BO34" s="214" t="e">
        <f>_xll.LVCELL($AM$1,BO$2,$AM34,$AN$2,$AM$4,$AM$5,$AM$6,$AM$7,$AM$8,$AN$3)/1000</f>
        <v>#VALUE!</v>
      </c>
      <c r="BP34" s="291" t="e">
        <f t="shared" si="1"/>
        <v>#VALUE!</v>
      </c>
      <c r="BQ34" s="214"/>
      <c r="BR34" s="217"/>
      <c r="BS34" s="218"/>
      <c r="BT34" s="193"/>
      <c r="BU34" s="190"/>
      <c r="BW34" s="198"/>
      <c r="BX34" s="198"/>
      <c r="BY34" s="198"/>
      <c r="BZ34" s="199"/>
      <c r="CB34" s="200"/>
      <c r="CC34" s="200"/>
      <c r="CD34" s="200"/>
    </row>
    <row r="35" spans="2:82">
      <c r="B35" s="64" t="s">
        <v>440</v>
      </c>
      <c r="C35" s="64" t="s">
        <v>265</v>
      </c>
      <c r="D35" s="284" t="s">
        <v>547</v>
      </c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2"/>
      <c r="AB35" s="172"/>
      <c r="AC35" s="172"/>
      <c r="AD35" s="172"/>
      <c r="AE35" s="276" t="e">
        <f>_xll.LVCELL($D$1,AE$2,$C35,$D$2,$C$4,$C$5,$C$6,$C$7,$C$8,$D$3)/1000</f>
        <v>#VALUE!</v>
      </c>
      <c r="AF35" s="276" t="e">
        <f t="shared" si="0"/>
        <v>#VALUE!</v>
      </c>
      <c r="AG35" s="172"/>
      <c r="AH35" s="193"/>
      <c r="AI35" s="285"/>
      <c r="AL35" s="64" t="s">
        <v>440</v>
      </c>
      <c r="AM35" s="64" t="s">
        <v>265</v>
      </c>
      <c r="AN35" s="284" t="s">
        <v>547</v>
      </c>
      <c r="AO35" s="172">
        <v>115.1721747</v>
      </c>
      <c r="AP35" s="172">
        <v>105.41834196000001</v>
      </c>
      <c r="AQ35" s="172">
        <v>80.33570082</v>
      </c>
      <c r="AR35" s="172">
        <v>86.604724199999993</v>
      </c>
      <c r="AS35" s="172">
        <v>57.916281060000003</v>
      </c>
      <c r="AT35" s="172">
        <v>62.178043919999993</v>
      </c>
      <c r="AU35" s="172">
        <v>43.213000919999999</v>
      </c>
      <c r="AV35" s="172">
        <v>50.022156840000001</v>
      </c>
      <c r="AW35" s="172">
        <v>50.183726280000002</v>
      </c>
      <c r="AX35" s="172">
        <v>80.846322960000009</v>
      </c>
      <c r="AY35" s="172">
        <v>83.780586999999997</v>
      </c>
      <c r="AZ35" s="172">
        <v>119.26019519</v>
      </c>
      <c r="BA35" s="172"/>
      <c r="BB35" s="172"/>
      <c r="BC35" s="172"/>
      <c r="BD35" s="172"/>
      <c r="BE35" s="172"/>
      <c r="BF35" s="172"/>
      <c r="BG35" s="172"/>
      <c r="BH35" s="172"/>
      <c r="BI35" s="172"/>
      <c r="BJ35" s="172"/>
      <c r="BK35" s="172"/>
      <c r="BL35" s="172"/>
      <c r="BM35" s="172"/>
      <c r="BN35" s="172"/>
      <c r="BO35" s="214" t="e">
        <f>_xll.LVCELL($AM$1,BO$2,$AM35,$AN$2,$AM$4,$AM$5,$AM$6,$AM$7,$AM$8,$AN$3)/1000</f>
        <v>#VALUE!</v>
      </c>
      <c r="BP35" s="292" t="e">
        <f t="shared" si="1"/>
        <v>#VALUE!</v>
      </c>
      <c r="BQ35" s="214"/>
      <c r="BR35" s="217"/>
      <c r="BS35" s="218"/>
      <c r="BT35" s="193"/>
      <c r="BU35" s="190"/>
      <c r="BW35" s="198"/>
      <c r="BX35" s="198"/>
      <c r="BY35" s="198"/>
      <c r="BZ35" s="199"/>
      <c r="CB35" s="200"/>
      <c r="CC35" s="200"/>
      <c r="CD35" s="200"/>
    </row>
    <row r="36" spans="2:82">
      <c r="B36" s="64" t="s">
        <v>442</v>
      </c>
      <c r="C36" s="64" t="s">
        <v>266</v>
      </c>
      <c r="D36" s="284" t="s">
        <v>548</v>
      </c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2"/>
      <c r="AB36" s="172"/>
      <c r="AC36" s="172"/>
      <c r="AD36" s="172"/>
      <c r="AE36" s="276" t="e">
        <f>_xll.LVCELL($D$1,AE$2,$C36,$D$2,$C$4,$C$5,$C$6,$C$7,$C$8,$D$3)/1000</f>
        <v>#VALUE!</v>
      </c>
      <c r="AF36" s="276" t="e">
        <f t="shared" si="0"/>
        <v>#VALUE!</v>
      </c>
      <c r="AG36" s="172"/>
      <c r="AH36" s="193"/>
      <c r="AI36" s="285"/>
      <c r="AL36" s="64" t="s">
        <v>442</v>
      </c>
      <c r="AM36" s="64" t="s">
        <v>266</v>
      </c>
      <c r="AN36" s="284" t="s">
        <v>548</v>
      </c>
      <c r="AO36" s="172">
        <v>148.17696893999999</v>
      </c>
      <c r="AP36" s="172">
        <v>147.76435673999998</v>
      </c>
      <c r="AQ36" s="172">
        <v>115.94799216</v>
      </c>
      <c r="AR36" s="172">
        <v>125.81536968</v>
      </c>
      <c r="AS36" s="172">
        <v>91.629457920000007</v>
      </c>
      <c r="AT36" s="172">
        <v>98.627649120000001</v>
      </c>
      <c r="AU36" s="172">
        <v>73.129206150000002</v>
      </c>
      <c r="AV36" s="172">
        <v>72.790557839999991</v>
      </c>
      <c r="AW36" s="172">
        <v>73.069836840000008</v>
      </c>
      <c r="AX36" s="172">
        <v>116.40177549000001</v>
      </c>
      <c r="AY36" s="172">
        <v>117.48656916</v>
      </c>
      <c r="AZ36" s="172">
        <v>161.98626167999998</v>
      </c>
      <c r="BA36" s="172"/>
      <c r="BB36" s="172"/>
      <c r="BC36" s="172"/>
      <c r="BD36" s="172"/>
      <c r="BE36" s="172"/>
      <c r="BF36" s="172"/>
      <c r="BG36" s="172"/>
      <c r="BH36" s="172"/>
      <c r="BI36" s="172"/>
      <c r="BJ36" s="172"/>
      <c r="BK36" s="172"/>
      <c r="BL36" s="172"/>
      <c r="BM36" s="172"/>
      <c r="BN36" s="172"/>
      <c r="BO36" s="214" t="e">
        <f>_xll.LVCELL($AM$1,BO$2,$AM36,$AN$2,$AM$4,$AM$5,$AM$6,$AM$7,$AM$8,$AN$3)/1000</f>
        <v>#VALUE!</v>
      </c>
      <c r="BP36" s="292" t="e">
        <f t="shared" si="1"/>
        <v>#VALUE!</v>
      </c>
      <c r="BQ36" s="214"/>
      <c r="BR36" s="217"/>
      <c r="BS36" s="218"/>
      <c r="BT36" s="193"/>
      <c r="BU36" s="190"/>
      <c r="BW36" s="198"/>
      <c r="BX36" s="198"/>
      <c r="BY36" s="198"/>
      <c r="BZ36" s="199"/>
      <c r="CB36" s="200"/>
      <c r="CC36" s="200"/>
      <c r="CD36" s="200"/>
    </row>
    <row r="37" spans="2:82">
      <c r="B37" s="64" t="s">
        <v>450</v>
      </c>
      <c r="C37" s="64" t="s">
        <v>267</v>
      </c>
      <c r="D37" s="284" t="s">
        <v>280</v>
      </c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2"/>
      <c r="AB37" s="172"/>
      <c r="AC37" s="172"/>
      <c r="AD37" s="172"/>
      <c r="AE37" s="276" t="e">
        <f>_xll.LVCELL($D$1,AE$2,$C37,$D$2,$C$4,$C$5,$C$6,$C$7,$C$8,$D$3)/1000</f>
        <v>#VALUE!</v>
      </c>
      <c r="AF37" s="276" t="e">
        <f t="shared" si="0"/>
        <v>#VALUE!</v>
      </c>
      <c r="AG37" s="172"/>
      <c r="AH37" s="193"/>
      <c r="AI37" s="285"/>
      <c r="AL37" s="64" t="s">
        <v>450</v>
      </c>
      <c r="AM37" s="64" t="s">
        <v>267</v>
      </c>
      <c r="AN37" s="284" t="s">
        <v>280</v>
      </c>
      <c r="AO37" s="172">
        <v>175.37270751</v>
      </c>
      <c r="AP37" s="172">
        <v>175.11982488000001</v>
      </c>
      <c r="AQ37" s="172">
        <v>169.06802913000001</v>
      </c>
      <c r="AR37" s="172">
        <v>137.76833069999998</v>
      </c>
      <c r="AS37" s="172">
        <v>124.68122667</v>
      </c>
      <c r="AT37" s="172">
        <v>109.89223244999999</v>
      </c>
      <c r="AU37" s="172">
        <v>105.25656140999999</v>
      </c>
      <c r="AV37" s="172">
        <v>100.60197147000001</v>
      </c>
      <c r="AW37" s="172">
        <v>123.88978602</v>
      </c>
      <c r="AX37" s="172">
        <v>185.16891393</v>
      </c>
      <c r="AY37" s="172">
        <v>165.48666417000001</v>
      </c>
      <c r="AZ37" s="172">
        <v>235.48646664</v>
      </c>
      <c r="BA37" s="172"/>
      <c r="BB37" s="172"/>
      <c r="BC37" s="172"/>
      <c r="BD37" s="172"/>
      <c r="BE37" s="172"/>
      <c r="BF37" s="172"/>
      <c r="BG37" s="172"/>
      <c r="BH37" s="172"/>
      <c r="BI37" s="172"/>
      <c r="BJ37" s="172"/>
      <c r="BK37" s="172"/>
      <c r="BL37" s="172"/>
      <c r="BM37" s="172"/>
      <c r="BN37" s="172"/>
      <c r="BO37" s="214" t="e">
        <f>_xll.LVCELL($AM$1,BO$2,$AM37,$AN$2,$AM$4,$AM$5,$AM$6,$AM$7,$AM$8,$AN$3)/1000</f>
        <v>#VALUE!</v>
      </c>
      <c r="BP37" s="292" t="e">
        <f t="shared" si="1"/>
        <v>#VALUE!</v>
      </c>
      <c r="BQ37" s="214"/>
      <c r="BR37" s="217"/>
      <c r="BS37" s="218"/>
      <c r="BT37" s="193"/>
      <c r="BU37" s="190"/>
      <c r="BW37" s="198"/>
      <c r="BX37" s="198"/>
      <c r="BY37" s="198"/>
      <c r="BZ37" s="199"/>
      <c r="CB37" s="200"/>
      <c r="CC37" s="200"/>
      <c r="CD37" s="200"/>
    </row>
    <row r="38" spans="2:82">
      <c r="B38" s="64" t="s">
        <v>454</v>
      </c>
      <c r="C38" s="64" t="s">
        <v>268</v>
      </c>
      <c r="D38" s="284" t="s">
        <v>2642</v>
      </c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2"/>
      <c r="AB38" s="172"/>
      <c r="AC38" s="172"/>
      <c r="AD38" s="172"/>
      <c r="AE38" s="172" t="e">
        <f>_xll.LVCELL($D$1,AE$2,$C38,$D$2,$C$4,$C$5,$C$6,$C$7,$C$8,$D$3)/1000</f>
        <v>#VALUE!</v>
      </c>
      <c r="AF38" s="172" t="e">
        <f t="shared" si="0"/>
        <v>#VALUE!</v>
      </c>
      <c r="AG38" s="172"/>
      <c r="AH38" s="193"/>
      <c r="AI38" s="285"/>
      <c r="AL38" s="64" t="s">
        <v>454</v>
      </c>
      <c r="AM38" s="64" t="s">
        <v>268</v>
      </c>
      <c r="AN38" s="284" t="s">
        <v>2642</v>
      </c>
      <c r="AO38" s="172">
        <v>360.79600395</v>
      </c>
      <c r="AP38" s="172">
        <v>364.76183639999999</v>
      </c>
      <c r="AQ38" s="172">
        <v>341.5305831</v>
      </c>
      <c r="AR38" s="172">
        <v>309.91267155000003</v>
      </c>
      <c r="AS38" s="172">
        <v>246.45814515000001</v>
      </c>
      <c r="AT38" s="172">
        <v>256.44443663999999</v>
      </c>
      <c r="AU38" s="172">
        <v>225.08896475</v>
      </c>
      <c r="AV38" s="172">
        <v>217.78812406999998</v>
      </c>
      <c r="AW38" s="172">
        <v>243.64195491999999</v>
      </c>
      <c r="AX38" s="172">
        <v>302.22050475000003</v>
      </c>
      <c r="AY38" s="172">
        <v>334.50557867999999</v>
      </c>
      <c r="AZ38" s="172">
        <v>435.94791155999997</v>
      </c>
      <c r="BA38" s="172"/>
      <c r="BB38" s="172"/>
      <c r="BC38" s="172"/>
      <c r="BD38" s="172"/>
      <c r="BE38" s="172"/>
      <c r="BF38" s="172"/>
      <c r="BG38" s="172"/>
      <c r="BH38" s="172"/>
      <c r="BI38" s="172"/>
      <c r="BJ38" s="172"/>
      <c r="BK38" s="172"/>
      <c r="BL38" s="172"/>
      <c r="BM38" s="172"/>
      <c r="BN38" s="172"/>
      <c r="BO38" s="214" t="e">
        <f>_xll.LVCELL($AM$1,BO$2,$AM38,$AN$2,$AM$4,$AM$5,$AM$6,$AM$7,$AM$8,$AN$3)/1000</f>
        <v>#VALUE!</v>
      </c>
      <c r="BP38" s="292" t="e">
        <f t="shared" si="1"/>
        <v>#VALUE!</v>
      </c>
      <c r="BQ38" s="214"/>
      <c r="BR38" s="217"/>
      <c r="BS38" s="218"/>
      <c r="BT38" s="193"/>
      <c r="BU38" s="190"/>
      <c r="BW38" s="198"/>
      <c r="BX38" s="198"/>
      <c r="BY38" s="198"/>
      <c r="BZ38" s="199"/>
      <c r="CB38" s="200"/>
      <c r="CC38" s="200"/>
      <c r="CD38" s="200"/>
    </row>
    <row r="39" spans="2:82">
      <c r="B39" s="64" t="s">
        <v>444</v>
      </c>
      <c r="C39" s="64" t="s">
        <v>269</v>
      </c>
      <c r="D39" s="284" t="s">
        <v>2643</v>
      </c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276" t="e">
        <f>_xll.LVCELL($D$1,AE$2,$C39,$D$2,$C$4,$C$5,$C$6,$C$7,$C$8,$D$3)/1000</f>
        <v>#VALUE!</v>
      </c>
      <c r="AF39" s="276" t="e">
        <f t="shared" si="0"/>
        <v>#VALUE!</v>
      </c>
      <c r="AG39" s="172"/>
      <c r="AH39" s="193"/>
      <c r="AI39" s="285"/>
      <c r="AL39" s="64" t="s">
        <v>444</v>
      </c>
      <c r="AM39" s="64" t="s">
        <v>269</v>
      </c>
      <c r="AN39" s="284" t="s">
        <v>2643</v>
      </c>
      <c r="AO39" s="172">
        <v>714.18195359000003</v>
      </c>
      <c r="AP39" s="172">
        <v>718.38057788000003</v>
      </c>
      <c r="AQ39" s="172">
        <v>629.96415321000006</v>
      </c>
      <c r="AR39" s="172">
        <v>549.67847886000004</v>
      </c>
      <c r="AS39" s="172">
        <v>503.51886186000002</v>
      </c>
      <c r="AT39" s="172">
        <v>449.57168907000005</v>
      </c>
      <c r="AU39" s="172">
        <v>402.52018240000001</v>
      </c>
      <c r="AV39" s="172">
        <v>393.52789938000001</v>
      </c>
      <c r="AW39" s="172">
        <v>483.20484757999998</v>
      </c>
      <c r="AX39" s="172">
        <v>737.90909374</v>
      </c>
      <c r="AY39" s="172">
        <v>710.45633262000001</v>
      </c>
      <c r="AZ39" s="172">
        <v>951.64879110000004</v>
      </c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214" t="e">
        <f>_xll.LVCELL($AM$1,BO$2,$AM39,$AN$2,$AM$4,$AM$5,$AM$6,$AM$7,$AM$8,$AN$3)/1000</f>
        <v>#VALUE!</v>
      </c>
      <c r="BP39" s="292" t="e">
        <f t="shared" si="1"/>
        <v>#VALUE!</v>
      </c>
      <c r="BQ39" s="214"/>
      <c r="BR39" s="217"/>
      <c r="BS39" s="218"/>
      <c r="BT39" s="193"/>
      <c r="BU39" s="190"/>
      <c r="BW39" s="198"/>
      <c r="BX39" s="198"/>
      <c r="BY39" s="198"/>
      <c r="BZ39" s="199"/>
      <c r="CB39" s="200"/>
      <c r="CC39" s="200"/>
      <c r="CD39" s="200"/>
    </row>
    <row r="40" spans="2:82">
      <c r="B40" s="64" t="s">
        <v>446</v>
      </c>
      <c r="C40" s="64" t="s">
        <v>270</v>
      </c>
      <c r="D40" s="284" t="s">
        <v>304</v>
      </c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2"/>
      <c r="AB40" s="172"/>
      <c r="AC40" s="172"/>
      <c r="AD40" s="172"/>
      <c r="AE40" s="276" t="e">
        <f>_xll.LVCELL($D$1,AE$2,$C40,$D$2,$C$4,$C$5,$C$6,$C$7,$C$8,$D$3)/1000</f>
        <v>#VALUE!</v>
      </c>
      <c r="AF40" s="276" t="e">
        <f t="shared" si="0"/>
        <v>#VALUE!</v>
      </c>
      <c r="AG40" s="172"/>
      <c r="AH40" s="193"/>
      <c r="AI40" s="285"/>
      <c r="AL40" s="64" t="s">
        <v>446</v>
      </c>
      <c r="AM40" s="64" t="s">
        <v>270</v>
      </c>
      <c r="AN40" s="284" t="s">
        <v>304</v>
      </c>
      <c r="AO40" s="172">
        <v>158.76847872000002</v>
      </c>
      <c r="AP40" s="172">
        <v>144.09719136000001</v>
      </c>
      <c r="AQ40" s="172">
        <v>175.51009008</v>
      </c>
      <c r="AR40" s="172">
        <v>157.79377584</v>
      </c>
      <c r="AS40" s="172">
        <v>132.72559487999999</v>
      </c>
      <c r="AT40" s="172">
        <v>104.6343636</v>
      </c>
      <c r="AU40" s="172">
        <v>90.648311039999996</v>
      </c>
      <c r="AV40" s="172">
        <v>77.603289119999999</v>
      </c>
      <c r="AW40" s="172">
        <v>102.50641007999999</v>
      </c>
      <c r="AX40" s="172">
        <v>182.09579543999999</v>
      </c>
      <c r="AY40" s="172">
        <v>175.88203104000002</v>
      </c>
      <c r="AZ40" s="172">
        <v>188.24999364000001</v>
      </c>
      <c r="BA40" s="172"/>
      <c r="BB40" s="172"/>
      <c r="BC40" s="172"/>
      <c r="BD40" s="172"/>
      <c r="BE40" s="172"/>
      <c r="BF40" s="172"/>
      <c r="BG40" s="172"/>
      <c r="BH40" s="172"/>
      <c r="BI40" s="172"/>
      <c r="BJ40" s="172"/>
      <c r="BK40" s="172"/>
      <c r="BL40" s="172"/>
      <c r="BM40" s="172"/>
      <c r="BN40" s="172"/>
      <c r="BO40" s="214" t="e">
        <f>_xll.LVCELL($AM$1,BO$2,$AM40,$AN$2,$AM$4,$AM$5,$AM$6,$AM$7,$AM$8,$AN$3)/1000</f>
        <v>#VALUE!</v>
      </c>
      <c r="BP40" s="292" t="e">
        <f t="shared" si="1"/>
        <v>#VALUE!</v>
      </c>
      <c r="BQ40" s="214"/>
      <c r="BR40" s="217"/>
      <c r="BS40" s="218"/>
      <c r="BT40" s="193"/>
      <c r="BU40" s="190"/>
      <c r="BW40" s="198"/>
      <c r="BX40" s="198"/>
      <c r="BY40" s="198"/>
      <c r="BZ40" s="199"/>
      <c r="CB40" s="200"/>
      <c r="CC40" s="200"/>
      <c r="CD40" s="200"/>
    </row>
    <row r="41" spans="2:82">
      <c r="B41" s="64" t="s">
        <v>448</v>
      </c>
      <c r="C41" s="64" t="s">
        <v>271</v>
      </c>
      <c r="D41" s="284" t="s">
        <v>2635</v>
      </c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276" t="e">
        <f>_xll.LVCELL($D$1,AE$2,$C41,$D$2,$C$4,$C$5,$C$6,$C$7,$C$8,$D$3)/1000</f>
        <v>#VALUE!</v>
      </c>
      <c r="AF41" s="276" t="e">
        <f t="shared" si="0"/>
        <v>#VALUE!</v>
      </c>
      <c r="AG41" s="172"/>
      <c r="AH41" s="193"/>
      <c r="AI41" s="285"/>
      <c r="AL41" s="64" t="s">
        <v>448</v>
      </c>
      <c r="AM41" s="64" t="s">
        <v>271</v>
      </c>
      <c r="AN41" s="284" t="s">
        <v>2635</v>
      </c>
      <c r="AO41" s="172">
        <v>448.28969130000002</v>
      </c>
      <c r="AP41" s="172">
        <v>450.11115360000002</v>
      </c>
      <c r="AQ41" s="172">
        <v>434.9994777</v>
      </c>
      <c r="AR41" s="172">
        <v>394.3194732</v>
      </c>
      <c r="AS41" s="172">
        <v>371.98934100000002</v>
      </c>
      <c r="AT41" s="172">
        <v>348.3774459</v>
      </c>
      <c r="AU41" s="172">
        <v>340.21437660000004</v>
      </c>
      <c r="AV41" s="172">
        <v>327.26159100000001</v>
      </c>
      <c r="AW41" s="172">
        <v>364.97324880000002</v>
      </c>
      <c r="AX41" s="172">
        <v>407.54220120000002</v>
      </c>
      <c r="AY41" s="172">
        <v>415.18564724999999</v>
      </c>
      <c r="AZ41" s="172">
        <v>451.96736375</v>
      </c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214" t="e">
        <f>_xll.LVCELL($AM$1,BO$2,$AM41,$AN$2,$AM$4,$AM$5,$AM$6,$AM$7,$AM$8,$AN$3)/1000</f>
        <v>#VALUE!</v>
      </c>
      <c r="BP41" s="292" t="e">
        <f t="shared" si="1"/>
        <v>#VALUE!</v>
      </c>
      <c r="BQ41" s="214"/>
      <c r="BR41" s="217"/>
      <c r="BS41" s="218"/>
      <c r="BT41" s="193"/>
      <c r="BU41" s="190"/>
      <c r="BW41" s="198"/>
      <c r="BX41" s="198"/>
      <c r="BY41" s="198"/>
      <c r="BZ41" s="199"/>
      <c r="CB41" s="200"/>
      <c r="CC41" s="200"/>
      <c r="CD41" s="200"/>
    </row>
    <row r="42" spans="2:82">
      <c r="B42" s="64" t="s">
        <v>452</v>
      </c>
      <c r="C42" s="64" t="s">
        <v>272</v>
      </c>
      <c r="D42" s="284" t="s">
        <v>305</v>
      </c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276" t="e">
        <f>_xll.LVCELL($D$1,AE$2,$C42,$D$2,$C$4,$C$5,$C$6,$C$7,$C$8,$D$3)/1000</f>
        <v>#VALUE!</v>
      </c>
      <c r="AF42" s="276" t="e">
        <f t="shared" si="0"/>
        <v>#VALUE!</v>
      </c>
      <c r="AG42" s="172"/>
      <c r="AH42" s="193"/>
      <c r="AI42" s="285"/>
      <c r="AL42" s="64" t="s">
        <v>452</v>
      </c>
      <c r="AM42" s="64" t="s">
        <v>272</v>
      </c>
      <c r="AN42" s="284" t="s">
        <v>305</v>
      </c>
      <c r="AO42" s="172">
        <v>220.80366785999999</v>
      </c>
      <c r="AP42" s="172">
        <v>217.01776569</v>
      </c>
      <c r="AQ42" s="172">
        <v>170.99682504</v>
      </c>
      <c r="AR42" s="172">
        <v>177.95365788000001</v>
      </c>
      <c r="AS42" s="172">
        <v>160.05772920000001</v>
      </c>
      <c r="AT42" s="172">
        <v>141.48954636000002</v>
      </c>
      <c r="AU42" s="172">
        <v>140.35653662999999</v>
      </c>
      <c r="AV42" s="172">
        <v>120.39464775</v>
      </c>
      <c r="AW42" s="172">
        <v>136.35681359999998</v>
      </c>
      <c r="AX42" s="172">
        <v>178.93150557000001</v>
      </c>
      <c r="AY42" s="172">
        <v>169.15905454</v>
      </c>
      <c r="AZ42" s="172">
        <v>267.75176919</v>
      </c>
      <c r="BA42" s="172"/>
      <c r="BB42" s="172"/>
      <c r="BC42" s="172"/>
      <c r="BD42" s="172"/>
      <c r="BE42" s="172"/>
      <c r="BF42" s="172"/>
      <c r="BG42" s="172"/>
      <c r="BH42" s="172"/>
      <c r="BI42" s="172"/>
      <c r="BJ42" s="172"/>
      <c r="BK42" s="172"/>
      <c r="BL42" s="172"/>
      <c r="BM42" s="172"/>
      <c r="BN42" s="172"/>
      <c r="BO42" s="214" t="e">
        <f>_xll.LVCELL($AM$1,BO$2,$AM42,$AN$2,$AM$4,$AM$5,$AM$6,$AM$7,$AM$8,$AN$3)/1000</f>
        <v>#VALUE!</v>
      </c>
      <c r="BP42" s="292" t="e">
        <f t="shared" si="1"/>
        <v>#VALUE!</v>
      </c>
      <c r="BQ42" s="214"/>
      <c r="BR42" s="217"/>
      <c r="BS42" s="218"/>
      <c r="BT42" s="193"/>
      <c r="BU42" s="190"/>
      <c r="BW42" s="198"/>
      <c r="BX42" s="198"/>
      <c r="BY42" s="198"/>
      <c r="BZ42" s="199"/>
      <c r="CB42" s="200"/>
      <c r="CC42" s="200"/>
      <c r="CD42" s="200"/>
    </row>
    <row r="43" spans="2:82">
      <c r="B43" s="64" t="s">
        <v>456</v>
      </c>
      <c r="C43" s="64" t="s">
        <v>273</v>
      </c>
      <c r="D43" s="284" t="s">
        <v>2636</v>
      </c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2"/>
      <c r="AB43" s="172"/>
      <c r="AC43" s="172"/>
      <c r="AD43" s="172"/>
      <c r="AE43" s="276" t="e">
        <f>_xll.LVCELL($D$1,AE$2,$C43,$D$2,$C$4,$C$5,$C$6,$C$7,$C$8,$D$3)/1000</f>
        <v>#VALUE!</v>
      </c>
      <c r="AF43" s="276" t="e">
        <f t="shared" si="0"/>
        <v>#VALUE!</v>
      </c>
      <c r="AG43" s="172"/>
      <c r="AH43" s="193"/>
      <c r="AI43" s="285"/>
      <c r="AL43" s="64" t="s">
        <v>456</v>
      </c>
      <c r="AM43" s="64" t="s">
        <v>273</v>
      </c>
      <c r="AN43" s="284" t="s">
        <v>2636</v>
      </c>
      <c r="AO43" s="172">
        <v>678.92101020000007</v>
      </c>
      <c r="AP43" s="172">
        <v>675.60425100000009</v>
      </c>
      <c r="AQ43" s="172">
        <v>632.57855400000005</v>
      </c>
      <c r="AR43" s="172">
        <v>600.88517819999993</v>
      </c>
      <c r="AS43" s="172">
        <v>565.96712490000004</v>
      </c>
      <c r="AT43" s="172">
        <v>538.60395239999991</v>
      </c>
      <c r="AU43" s="172">
        <v>528.56150219999995</v>
      </c>
      <c r="AV43" s="172">
        <v>513.63608580000005</v>
      </c>
      <c r="AW43" s="172">
        <v>555.83259299999997</v>
      </c>
      <c r="AX43" s="172">
        <v>626.7743162999999</v>
      </c>
      <c r="AY43" s="172">
        <v>651.51449149999996</v>
      </c>
      <c r="AZ43" s="172">
        <v>680.89701070000001</v>
      </c>
      <c r="BA43" s="172"/>
      <c r="BB43" s="172"/>
      <c r="BC43" s="172"/>
      <c r="BD43" s="172"/>
      <c r="BE43" s="172"/>
      <c r="BF43" s="172"/>
      <c r="BG43" s="172"/>
      <c r="BH43" s="172"/>
      <c r="BI43" s="172"/>
      <c r="BJ43" s="172"/>
      <c r="BK43" s="172"/>
      <c r="BL43" s="172"/>
      <c r="BM43" s="172"/>
      <c r="BN43" s="172"/>
      <c r="BO43" s="214" t="e">
        <f>_xll.LVCELL($AM$1,BO$2,$AM43,$AN$2,$AM$4,$AM$5,$AM$6,$AM$7,$AM$8,$AN$3)/1000</f>
        <v>#VALUE!</v>
      </c>
      <c r="BP43" s="292" t="e">
        <f t="shared" si="1"/>
        <v>#VALUE!</v>
      </c>
      <c r="BQ43" s="214"/>
      <c r="BR43" s="217"/>
      <c r="BS43" s="218"/>
      <c r="BT43" s="193"/>
      <c r="BU43" s="190"/>
      <c r="BW43" s="198"/>
      <c r="BX43" s="198"/>
      <c r="BY43" s="198"/>
      <c r="BZ43" s="199"/>
      <c r="CB43" s="200"/>
      <c r="CC43" s="200"/>
      <c r="CD43" s="200"/>
    </row>
    <row r="44" spans="2:82">
      <c r="B44" s="64" t="s">
        <v>458</v>
      </c>
      <c r="C44" s="64" t="s">
        <v>274</v>
      </c>
      <c r="D44" s="284" t="s">
        <v>2644</v>
      </c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172"/>
      <c r="AD44" s="172"/>
      <c r="AE44" s="276" t="e">
        <f>_xll.LVCELL($D$1,AE$2,$C44,$D$2,$C$4,$C$5,$C$6,$C$7,$C$8,$D$3)/1000</f>
        <v>#VALUE!</v>
      </c>
      <c r="AF44" s="276" t="e">
        <f t="shared" si="0"/>
        <v>#VALUE!</v>
      </c>
      <c r="AG44" s="172"/>
      <c r="AH44" s="193"/>
      <c r="AI44" s="285"/>
      <c r="AL44" s="64" t="s">
        <v>458</v>
      </c>
      <c r="AM44" s="64" t="s">
        <v>274</v>
      </c>
      <c r="AN44" s="284" t="s">
        <v>2644</v>
      </c>
      <c r="AO44" s="172">
        <v>392.37</v>
      </c>
      <c r="AP44" s="172">
        <v>394.17399999999998</v>
      </c>
      <c r="AQ44" s="172">
        <v>380.64400000000001</v>
      </c>
      <c r="AR44" s="172">
        <v>345.46600000000001</v>
      </c>
      <c r="AS44" s="172">
        <v>325.62200000000001</v>
      </c>
      <c r="AT44" s="172">
        <v>304.87599999999998</v>
      </c>
      <c r="AU44" s="172">
        <v>297.66000000000003</v>
      </c>
      <c r="AV44" s="172">
        <v>286.83600000000001</v>
      </c>
      <c r="AW44" s="172">
        <v>319.30799999999999</v>
      </c>
      <c r="AX44" s="172">
        <v>357.19200000000001</v>
      </c>
      <c r="AY44" s="172">
        <v>362.96</v>
      </c>
      <c r="AZ44" s="172">
        <v>393.8116</v>
      </c>
      <c r="BA44" s="172"/>
      <c r="BB44" s="172"/>
      <c r="BC44" s="172"/>
      <c r="BD44" s="172"/>
      <c r="BE44" s="172"/>
      <c r="BF44" s="172"/>
      <c r="BG44" s="172"/>
      <c r="BH44" s="172"/>
      <c r="BI44" s="172"/>
      <c r="BJ44" s="172"/>
      <c r="BK44" s="172"/>
      <c r="BL44" s="172"/>
      <c r="BM44" s="172"/>
      <c r="BN44" s="172"/>
      <c r="BO44" s="214" t="e">
        <f>_xll.LVCELL($AM$1,BO$2,$AM44,$AN$2,$AM$4,$AM$5,$AM$6,$AM$7,$AM$8,$AN$3)/1000</f>
        <v>#VALUE!</v>
      </c>
      <c r="BP44" s="292" t="e">
        <f t="shared" si="1"/>
        <v>#VALUE!</v>
      </c>
      <c r="BQ44" s="214"/>
      <c r="BR44" s="217"/>
      <c r="BS44" s="218"/>
      <c r="BT44" s="193"/>
      <c r="BU44" s="190"/>
      <c r="BW44" s="198"/>
      <c r="BX44" s="198"/>
      <c r="BY44" s="198"/>
      <c r="BZ44" s="199"/>
      <c r="CB44" s="200"/>
      <c r="CC44" s="200"/>
      <c r="CD44" s="200"/>
    </row>
    <row r="45" spans="2:82">
      <c r="B45" s="64" t="s">
        <v>460</v>
      </c>
      <c r="C45" s="64" t="s">
        <v>275</v>
      </c>
      <c r="D45" s="192" t="s">
        <v>555</v>
      </c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172"/>
      <c r="AD45" s="172"/>
      <c r="AE45" s="172" t="e">
        <f>_xll.LVCELL($D$1,AE$2,$C45,$D$2,$C$4,$C$5,$C$6,$C$7,$C$8,$D$3)/1000</f>
        <v>#VALUE!</v>
      </c>
      <c r="AF45" s="172" t="e">
        <f t="shared" si="0"/>
        <v>#VALUE!</v>
      </c>
      <c r="AG45" s="172"/>
      <c r="AH45" s="193"/>
      <c r="AI45" s="172"/>
      <c r="AL45" s="64" t="s">
        <v>460</v>
      </c>
      <c r="AM45" s="64" t="s">
        <v>275</v>
      </c>
      <c r="AN45" s="192" t="s">
        <v>555</v>
      </c>
      <c r="AO45" s="172">
        <v>161.72996504</v>
      </c>
      <c r="AP45" s="172">
        <v>163.88333205999999</v>
      </c>
      <c r="AQ45" s="172">
        <v>139.56122908</v>
      </c>
      <c r="AR45" s="172">
        <v>122.65458996</v>
      </c>
      <c r="AS45" s="172">
        <v>111.1874722</v>
      </c>
      <c r="AT45" s="172">
        <v>99.484277899999995</v>
      </c>
      <c r="AU45" s="172">
        <v>88.032190260000007</v>
      </c>
      <c r="AV45" s="172">
        <v>90.619875920000013</v>
      </c>
      <c r="AW45" s="172">
        <v>109.65630032</v>
      </c>
      <c r="AX45" s="172">
        <v>167.45903215999999</v>
      </c>
      <c r="AY45" s="172">
        <v>162.19354910000001</v>
      </c>
      <c r="AZ45" s="172">
        <v>216.6595145</v>
      </c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214" t="e">
        <f>_xll.LVCELL($AM$1,BO$2,$AM45,$AN$2,$AM$4,$AM$5,$AM$6,$AM$7,$AM$8,$AN$3)/1000</f>
        <v>#VALUE!</v>
      </c>
      <c r="BP45" s="291" t="e">
        <f t="shared" si="1"/>
        <v>#VALUE!</v>
      </c>
      <c r="BQ45" s="214"/>
      <c r="BR45" s="217"/>
      <c r="BS45" s="218"/>
      <c r="BT45" s="193"/>
      <c r="BU45" s="190"/>
      <c r="BW45" s="198"/>
      <c r="BX45" s="198"/>
      <c r="BY45" s="198"/>
      <c r="BZ45" s="199"/>
      <c r="CB45" s="200"/>
      <c r="CC45" s="200"/>
      <c r="CD45" s="200"/>
    </row>
    <row r="46" spans="2:82">
      <c r="B46" s="64" t="s">
        <v>462</v>
      </c>
      <c r="C46" s="64" t="s">
        <v>276</v>
      </c>
      <c r="D46" s="192" t="s">
        <v>307</v>
      </c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 t="e">
        <f>_xll.LVCELL($D$1,AE$2,$C46,$D$2,$C$4,$C$5,$C$6,$C$7,$C$8,$D$3)/1000</f>
        <v>#VALUE!</v>
      </c>
      <c r="AF46" s="172" t="e">
        <f t="shared" si="0"/>
        <v>#VALUE!</v>
      </c>
      <c r="AG46" s="172"/>
      <c r="AH46" s="193"/>
      <c r="AI46" s="172"/>
      <c r="AL46" s="64" t="s">
        <v>462</v>
      </c>
      <c r="AM46" s="64" t="s">
        <v>276</v>
      </c>
      <c r="AN46" s="192" t="s">
        <v>307</v>
      </c>
      <c r="AO46" s="172">
        <v>229.10897095999999</v>
      </c>
      <c r="AP46" s="172">
        <v>237.28228150999999</v>
      </c>
      <c r="AQ46" s="172">
        <v>170.61847211999998</v>
      </c>
      <c r="AR46" s="172">
        <v>157.33681013999998</v>
      </c>
      <c r="AS46" s="172">
        <v>183.47441659</v>
      </c>
      <c r="AT46" s="172">
        <v>165.93583820000001</v>
      </c>
      <c r="AU46" s="172">
        <v>161.50861754000002</v>
      </c>
      <c r="AV46" s="172">
        <v>139.20220999</v>
      </c>
      <c r="AW46" s="172">
        <v>144.05514816000002</v>
      </c>
      <c r="AX46" s="172">
        <v>223.23437974999999</v>
      </c>
      <c r="AY46" s="172">
        <v>218.58484250000001</v>
      </c>
      <c r="AZ46" s="172">
        <v>300.98250825000002</v>
      </c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  <c r="BM46" s="172"/>
      <c r="BN46" s="172"/>
      <c r="BO46" s="214" t="e">
        <f>_xll.LVCELL($AM$1,BO$2,$AM46,$AN$2,$AM$4,$AM$5,$AM$6,$AM$7,$AM$8,$AN$3)/1000</f>
        <v>#VALUE!</v>
      </c>
      <c r="BP46" s="291" t="e">
        <f t="shared" si="1"/>
        <v>#VALUE!</v>
      </c>
      <c r="BQ46" s="214"/>
      <c r="BR46" s="217"/>
      <c r="BS46" s="218"/>
      <c r="BT46" s="193"/>
      <c r="BU46" s="190"/>
      <c r="BW46" s="198"/>
      <c r="BX46" s="198"/>
      <c r="BY46" s="198"/>
      <c r="BZ46" s="199"/>
      <c r="CB46" s="200"/>
      <c r="CC46" s="200"/>
      <c r="CD46" s="200"/>
    </row>
    <row r="47" spans="2:82">
      <c r="B47" s="64" t="s">
        <v>264</v>
      </c>
      <c r="C47" s="64" t="s">
        <v>264</v>
      </c>
      <c r="D47" s="192" t="s">
        <v>215</v>
      </c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 t="e">
        <f>_xll.LVCELL($D$1,AE$2,$C47,$D$2,$C$4,$C$5,$C$6,$C$7,$C$8,$D$3)/1000</f>
        <v>#VALUE!</v>
      </c>
      <c r="AF47" s="172" t="e">
        <f t="shared" si="0"/>
        <v>#VALUE!</v>
      </c>
      <c r="AG47" s="172"/>
      <c r="AH47" s="193"/>
      <c r="AI47" s="172"/>
      <c r="AL47" s="64" t="s">
        <v>264</v>
      </c>
      <c r="AM47" s="64" t="s">
        <v>264</v>
      </c>
      <c r="AN47" s="192" t="s">
        <v>215</v>
      </c>
      <c r="AO47" s="172">
        <v>281.94867800000003</v>
      </c>
      <c r="AP47" s="172">
        <v>273.644948</v>
      </c>
      <c r="AQ47" s="172">
        <v>255.45242199999998</v>
      </c>
      <c r="AR47" s="172">
        <v>225.99303599999999</v>
      </c>
      <c r="AS47" s="172">
        <v>217.00018800000001</v>
      </c>
      <c r="AT47" s="172">
        <v>204.492864</v>
      </c>
      <c r="AU47" s="172">
        <v>205.18198199999998</v>
      </c>
      <c r="AV47" s="172">
        <v>200.94398800000002</v>
      </c>
      <c r="AW47" s="172">
        <v>220.27351999999999</v>
      </c>
      <c r="AX47" s="172">
        <v>253.212896</v>
      </c>
      <c r="AY47" s="172">
        <v>256.92771551999999</v>
      </c>
      <c r="AZ47" s="172">
        <v>274.15557791999998</v>
      </c>
      <c r="BA47" s="172"/>
      <c r="BB47" s="172"/>
      <c r="BC47" s="172"/>
      <c r="BD47" s="172"/>
      <c r="BE47" s="172"/>
      <c r="BF47" s="172"/>
      <c r="BG47" s="172"/>
      <c r="BH47" s="172"/>
      <c r="BI47" s="172"/>
      <c r="BJ47" s="172"/>
      <c r="BK47" s="172"/>
      <c r="BL47" s="172"/>
      <c r="BM47" s="172"/>
      <c r="BN47" s="172"/>
      <c r="BO47" s="214" t="e">
        <f>_xll.LVCELL($AM$1,BO$2,$AM47,$AN$2,$AM$4,$AM$5,$AM$6,$AM$7,$AM$8,$AN$3)/1000</f>
        <v>#VALUE!</v>
      </c>
      <c r="BP47" s="291" t="e">
        <f t="shared" si="1"/>
        <v>#VALUE!</v>
      </c>
      <c r="BQ47" s="214"/>
      <c r="BR47" s="217"/>
      <c r="BS47" s="218"/>
      <c r="BT47" s="193"/>
      <c r="BU47" s="190"/>
      <c r="BW47" s="198"/>
      <c r="BX47" s="198"/>
      <c r="BY47" s="198"/>
      <c r="BZ47" s="199"/>
      <c r="CB47" s="200"/>
      <c r="CC47" s="200"/>
      <c r="CD47" s="200"/>
    </row>
    <row r="48" spans="2:82">
      <c r="B48" s="64" t="s">
        <v>277</v>
      </c>
      <c r="C48" s="64" t="s">
        <v>277</v>
      </c>
      <c r="D48" s="192" t="s">
        <v>2637</v>
      </c>
      <c r="E48" s="172"/>
      <c r="F48" s="172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 t="e">
        <f>_xll.LVCELL($D$1,AE$2,$C48,$D$2,$C$4,$C$5,$C$6,$C$7,$C$8,$D$3)/1000</f>
        <v>#VALUE!</v>
      </c>
      <c r="AF48" s="172" t="e">
        <f t="shared" si="0"/>
        <v>#VALUE!</v>
      </c>
      <c r="AG48" s="172"/>
      <c r="AH48" s="193"/>
      <c r="AI48" s="172"/>
      <c r="AL48" s="64" t="s">
        <v>277</v>
      </c>
      <c r="AM48" s="64" t="s">
        <v>277</v>
      </c>
      <c r="AN48" s="192" t="s">
        <v>2637</v>
      </c>
      <c r="AO48" s="172">
        <v>414.54944291999999</v>
      </c>
      <c r="AP48" s="172">
        <v>368.37369468000003</v>
      </c>
      <c r="AQ48" s="172">
        <v>244.97177937000001</v>
      </c>
      <c r="AR48" s="172">
        <v>264.91898196</v>
      </c>
      <c r="AS48" s="172">
        <v>255.05213247</v>
      </c>
      <c r="AT48" s="172">
        <v>166.07452443</v>
      </c>
      <c r="AU48" s="172">
        <v>179.51745224999999</v>
      </c>
      <c r="AV48" s="172">
        <v>158.70723566999999</v>
      </c>
      <c r="AW48" s="172">
        <v>178.90351152</v>
      </c>
      <c r="AX48" s="172">
        <v>218.11129389000001</v>
      </c>
      <c r="AY48" s="172">
        <v>276.76913148</v>
      </c>
      <c r="AZ48" s="172">
        <v>532.15828955999996</v>
      </c>
      <c r="BA48" s="172"/>
      <c r="BB48" s="172"/>
      <c r="BC48" s="172"/>
      <c r="BD48" s="172"/>
      <c r="BE48" s="172"/>
      <c r="BF48" s="172"/>
      <c r="BG48" s="172"/>
      <c r="BH48" s="172"/>
      <c r="BI48" s="172"/>
      <c r="BJ48" s="172"/>
      <c r="BK48" s="172"/>
      <c r="BL48" s="172"/>
      <c r="BM48" s="172"/>
      <c r="BN48" s="172"/>
      <c r="BO48" s="214" t="e">
        <f>_xll.LVCELL($AM$1,BO$2,$AM48,$AN$2,$AM$4,$AM$5,$AM$6,$AM$7,$AM$8,$AN$3)/1000</f>
        <v>#VALUE!</v>
      </c>
      <c r="BP48" s="291" t="e">
        <f t="shared" si="1"/>
        <v>#VALUE!</v>
      </c>
      <c r="BQ48" s="214"/>
      <c r="BR48" s="217"/>
      <c r="BS48" s="218"/>
      <c r="BT48" s="193"/>
      <c r="BU48" s="190"/>
      <c r="BW48" s="198"/>
      <c r="BX48" s="198"/>
      <c r="BY48" s="198"/>
      <c r="BZ48" s="199"/>
      <c r="CB48" s="200"/>
      <c r="CC48" s="200"/>
      <c r="CD48" s="200"/>
    </row>
    <row r="49" spans="2:82">
      <c r="B49" s="64" t="s">
        <v>473</v>
      </c>
      <c r="C49" s="64" t="s">
        <v>473</v>
      </c>
      <c r="D49" s="192" t="s">
        <v>558</v>
      </c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 t="e">
        <f>_xll.LVCELL($D$1,AE$2,$C49,$D$2,$C$4,$C$5,$C$6,$C$7,$C$8,$D$3)/1000</f>
        <v>#VALUE!</v>
      </c>
      <c r="AF49" s="172" t="e">
        <f t="shared" si="0"/>
        <v>#VALUE!</v>
      </c>
      <c r="AG49" s="172"/>
      <c r="AH49" s="193"/>
      <c r="AI49" s="172"/>
      <c r="AL49" s="64" t="s">
        <v>473</v>
      </c>
      <c r="AM49" s="64" t="s">
        <v>473</v>
      </c>
      <c r="AN49" s="192" t="s">
        <v>558</v>
      </c>
      <c r="AO49" s="172">
        <v>267.79291803000001</v>
      </c>
      <c r="AP49" s="172">
        <v>261.85969524000001</v>
      </c>
      <c r="AQ49" s="172">
        <v>245.10098481</v>
      </c>
      <c r="AR49" s="172">
        <v>220.11901197</v>
      </c>
      <c r="AS49" s="172">
        <v>210.29971017</v>
      </c>
      <c r="AT49" s="172">
        <v>198.01684748999998</v>
      </c>
      <c r="AU49" s="172">
        <v>196.45549539000001</v>
      </c>
      <c r="AV49" s="172">
        <v>192.18777137999999</v>
      </c>
      <c r="AW49" s="172">
        <v>211.68754100999999</v>
      </c>
      <c r="AX49" s="172">
        <v>241.87413393</v>
      </c>
      <c r="AY49" s="172">
        <v>244.6201188</v>
      </c>
      <c r="AZ49" s="172">
        <v>260.85131028000001</v>
      </c>
      <c r="BA49" s="172"/>
      <c r="BB49" s="172"/>
      <c r="BC49" s="172"/>
      <c r="BD49" s="172"/>
      <c r="BE49" s="172"/>
      <c r="BF49" s="172"/>
      <c r="BG49" s="172"/>
      <c r="BH49" s="172"/>
      <c r="BI49" s="172"/>
      <c r="BJ49" s="172"/>
      <c r="BK49" s="172"/>
      <c r="BL49" s="172"/>
      <c r="BM49" s="172"/>
      <c r="BN49" s="172"/>
      <c r="BO49" s="214" t="e">
        <f>_xll.LVCELL($AM$1,BO$2,$AM49,$AN$2,$AM$4,$AM$5,$AM$6,$AM$7,$AM$8,$AN$3)/1000</f>
        <v>#VALUE!</v>
      </c>
      <c r="BP49" s="291" t="e">
        <f t="shared" si="1"/>
        <v>#VALUE!</v>
      </c>
      <c r="BQ49" s="214"/>
      <c r="BR49" s="217"/>
      <c r="BS49" s="218"/>
      <c r="BT49" s="193"/>
      <c r="BU49" s="190"/>
      <c r="BW49" s="198"/>
      <c r="BX49" s="198"/>
      <c r="BY49" s="198"/>
      <c r="BZ49" s="199"/>
      <c r="CB49" s="200"/>
      <c r="CC49" s="200"/>
      <c r="CD49" s="200"/>
    </row>
    <row r="50" spans="2:82">
      <c r="B50" s="64" t="s">
        <v>467</v>
      </c>
      <c r="C50" s="64" t="s">
        <v>467</v>
      </c>
      <c r="D50" s="192" t="s">
        <v>2645</v>
      </c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 t="e">
        <f>_xll.LVCELL($D$1,AE$2,$C50,$D$2,$C$4,$C$5,$C$6,$C$7,$C$8,$D$3)/1000</f>
        <v>#VALUE!</v>
      </c>
      <c r="AF50" s="172" t="e">
        <f t="shared" si="0"/>
        <v>#VALUE!</v>
      </c>
      <c r="AG50" s="172"/>
      <c r="AH50" s="193"/>
      <c r="AI50" s="172"/>
      <c r="AL50" s="64" t="s">
        <v>467</v>
      </c>
      <c r="AM50" s="64" t="s">
        <v>467</v>
      </c>
      <c r="AN50" s="192" t="s">
        <v>2645</v>
      </c>
      <c r="AO50" s="172">
        <v>596.39872143000002</v>
      </c>
      <c r="AP50" s="172">
        <v>583.18489643999999</v>
      </c>
      <c r="AQ50" s="172">
        <v>545.86170555000001</v>
      </c>
      <c r="AR50" s="172">
        <v>490.22460182999998</v>
      </c>
      <c r="AS50" s="172">
        <v>468.35612388000004</v>
      </c>
      <c r="AT50" s="172">
        <v>441.00126312000003</v>
      </c>
      <c r="AU50" s="172">
        <v>437.52392271000002</v>
      </c>
      <c r="AV50" s="172">
        <v>428.01928368</v>
      </c>
      <c r="AW50" s="172">
        <v>471.44708360999999</v>
      </c>
      <c r="AX50" s="172">
        <v>538.67526488999999</v>
      </c>
      <c r="AY50" s="172">
        <v>544.75666974000001</v>
      </c>
      <c r="AZ50" s="172">
        <v>580.90276656000003</v>
      </c>
      <c r="BA50" s="172"/>
      <c r="BB50" s="172"/>
      <c r="BC50" s="172"/>
      <c r="BD50" s="172"/>
      <c r="BE50" s="172"/>
      <c r="BF50" s="172"/>
      <c r="BG50" s="172"/>
      <c r="BH50" s="172"/>
      <c r="BI50" s="172"/>
      <c r="BJ50" s="172"/>
      <c r="BK50" s="172"/>
      <c r="BL50" s="172"/>
      <c r="BM50" s="172"/>
      <c r="BN50" s="172"/>
      <c r="BO50" s="214" t="e">
        <f>_xll.LVCELL($AM$1,BO$2,$AM50,$AN$2,$AM$4,$AM$5,$AM$6,$AM$7,$AM$8,$AN$3)/1000</f>
        <v>#VALUE!</v>
      </c>
      <c r="BP50" s="291" t="e">
        <f t="shared" si="1"/>
        <v>#VALUE!</v>
      </c>
      <c r="BQ50" s="214"/>
      <c r="BR50" s="217"/>
      <c r="BS50" s="218"/>
      <c r="BT50" s="193"/>
      <c r="BU50" s="190"/>
      <c r="BW50" s="198"/>
      <c r="BX50" s="198"/>
      <c r="BY50" s="198"/>
      <c r="BZ50" s="199"/>
      <c r="CB50" s="200"/>
      <c r="CC50" s="200"/>
      <c r="CD50" s="200"/>
    </row>
    <row r="51" spans="2:82">
      <c r="B51" s="64" t="s">
        <v>470</v>
      </c>
      <c r="C51" s="64" t="s">
        <v>470</v>
      </c>
      <c r="D51" s="192" t="s">
        <v>561</v>
      </c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 t="e">
        <f>_xll.LVCELL($D$1,AE$2,$C51,$D$2,$C$4,$C$5,$C$6,$C$7,$C$8,$D$3)/1000</f>
        <v>#VALUE!</v>
      </c>
      <c r="AF51" s="172" t="e">
        <f t="shared" si="0"/>
        <v>#VALUE!</v>
      </c>
      <c r="AG51" s="172"/>
      <c r="AH51" s="193"/>
      <c r="AI51" s="172"/>
      <c r="AL51" s="64" t="s">
        <v>470</v>
      </c>
      <c r="AM51" s="64" t="s">
        <v>470</v>
      </c>
      <c r="AN51" s="192" t="s">
        <v>2691</v>
      </c>
      <c r="AO51" s="172">
        <v>564.37849182000002</v>
      </c>
      <c r="AP51" s="172">
        <v>551.87419022999995</v>
      </c>
      <c r="AQ51" s="172">
        <v>516.55481129999998</v>
      </c>
      <c r="AR51" s="172">
        <v>463.90484811000005</v>
      </c>
      <c r="AS51" s="172">
        <v>443.21044481999996</v>
      </c>
      <c r="AT51" s="172">
        <v>417.32422775999999</v>
      </c>
      <c r="AU51" s="172">
        <v>414.03359976000002</v>
      </c>
      <c r="AV51" s="172">
        <v>405.03924482999997</v>
      </c>
      <c r="AW51" s="172">
        <v>446.13545691000002</v>
      </c>
      <c r="AX51" s="172">
        <v>509.75415183000001</v>
      </c>
      <c r="AY51" s="172">
        <v>515.54140740000003</v>
      </c>
      <c r="AZ51" s="172">
        <v>549.74901095999996</v>
      </c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214" t="e">
        <f>_xll.LVCELL($AM$1,BO$2,$AM51,$AN$2,$AM$4,$AM$5,$AM$6,$AM$7,$AM$8,$AN$3)/1000</f>
        <v>#VALUE!</v>
      </c>
      <c r="BP51" s="291" t="e">
        <f t="shared" si="1"/>
        <v>#VALUE!</v>
      </c>
      <c r="BQ51" s="214"/>
      <c r="BR51" s="217"/>
      <c r="BS51" s="218"/>
      <c r="BT51" s="193"/>
      <c r="BU51" s="190"/>
      <c r="BW51" s="198"/>
      <c r="BX51" s="198"/>
      <c r="BY51" s="198"/>
      <c r="BZ51" s="199"/>
      <c r="CB51" s="200"/>
      <c r="CC51" s="200"/>
      <c r="CD51" s="200"/>
    </row>
    <row r="52" spans="2:82">
      <c r="B52" s="64" t="s">
        <v>465</v>
      </c>
      <c r="C52" s="64" t="s">
        <v>465</v>
      </c>
      <c r="D52" s="192" t="s">
        <v>563</v>
      </c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 t="e">
        <f>_xll.LVCELL($D$1,AE$2,$C52,$D$2,$C$4,$C$5,$C$6,$C$7,$C$8,$D$3)/1000</f>
        <v>#VALUE!</v>
      </c>
      <c r="AF52" s="172" t="e">
        <f t="shared" si="0"/>
        <v>#VALUE!</v>
      </c>
      <c r="AG52" s="172"/>
      <c r="AH52" s="193"/>
      <c r="AI52" s="172"/>
      <c r="AL52" s="64" t="s">
        <v>465</v>
      </c>
      <c r="AM52" s="64" t="s">
        <v>465</v>
      </c>
      <c r="AN52" s="192" t="s">
        <v>563</v>
      </c>
      <c r="AO52" s="172">
        <v>664.99673658000006</v>
      </c>
      <c r="AP52" s="172">
        <v>650.26311932999999</v>
      </c>
      <c r="AQ52" s="172">
        <v>608.64693714000009</v>
      </c>
      <c r="AR52" s="172">
        <v>546.61045758</v>
      </c>
      <c r="AS52" s="172">
        <v>522.22664967000003</v>
      </c>
      <c r="AT52" s="172">
        <v>491.72541165000001</v>
      </c>
      <c r="AU52" s="172">
        <v>487.84806806999995</v>
      </c>
      <c r="AV52" s="172">
        <v>477.25021047000001</v>
      </c>
      <c r="AW52" s="172">
        <v>525.67315844999996</v>
      </c>
      <c r="AX52" s="172">
        <v>600.63391872</v>
      </c>
      <c r="AY52" s="172">
        <v>607.45288931999994</v>
      </c>
      <c r="AZ52" s="172">
        <v>647.75908115999994</v>
      </c>
      <c r="BA52" s="172"/>
      <c r="BB52" s="172"/>
      <c r="BC52" s="172"/>
      <c r="BD52" s="172"/>
      <c r="BE52" s="172"/>
      <c r="BF52" s="172"/>
      <c r="BG52" s="172"/>
      <c r="BH52" s="172"/>
      <c r="BI52" s="172"/>
      <c r="BJ52" s="172"/>
      <c r="BK52" s="172"/>
      <c r="BL52" s="172"/>
      <c r="BM52" s="172"/>
      <c r="BN52" s="172"/>
      <c r="BO52" s="214" t="e">
        <f>_xll.LVCELL($AM$1,BO$2,$AM52,$AN$2,$AM$4,$AM$5,$AM$6,$AM$7,$AM$8,$AN$3)/1000</f>
        <v>#VALUE!</v>
      </c>
      <c r="BP52" s="291" t="e">
        <f t="shared" si="1"/>
        <v>#VALUE!</v>
      </c>
      <c r="BQ52" s="214"/>
      <c r="BR52" s="217"/>
      <c r="BS52" s="218"/>
      <c r="BT52" s="193"/>
      <c r="BU52" s="190"/>
      <c r="BW52" s="198"/>
      <c r="BX52" s="198"/>
      <c r="BY52" s="198"/>
      <c r="BZ52" s="199"/>
      <c r="CB52" s="200"/>
      <c r="CC52" s="200"/>
      <c r="CD52" s="200"/>
    </row>
    <row r="53" spans="2:82">
      <c r="B53" s="64" t="s">
        <v>471</v>
      </c>
      <c r="C53" s="64" t="s">
        <v>471</v>
      </c>
      <c r="D53" s="192" t="s">
        <v>564</v>
      </c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 t="e">
        <f>_xll.LVCELL($D$1,AE$2,$C53,$D$2,$C$4,$C$5,$C$6,$C$7,$C$8,$D$3)/1000</f>
        <v>#VALUE!</v>
      </c>
      <c r="AF53" s="172" t="e">
        <f t="shared" si="0"/>
        <v>#VALUE!</v>
      </c>
      <c r="AG53" s="172"/>
      <c r="AH53" s="193"/>
      <c r="AI53" s="172"/>
      <c r="AL53" s="64" t="s">
        <v>471</v>
      </c>
      <c r="AM53" s="64" t="s">
        <v>471</v>
      </c>
      <c r="AN53" s="192" t="s">
        <v>564</v>
      </c>
      <c r="AO53" s="172">
        <v>0</v>
      </c>
      <c r="AP53" s="172">
        <v>0</v>
      </c>
      <c r="AQ53" s="172">
        <v>0</v>
      </c>
      <c r="AR53" s="172">
        <v>0</v>
      </c>
      <c r="AS53" s="172">
        <v>0</v>
      </c>
      <c r="AT53" s="172">
        <v>0</v>
      </c>
      <c r="AU53" s="172">
        <v>0</v>
      </c>
      <c r="AV53" s="172">
        <v>0</v>
      </c>
      <c r="AW53" s="172">
        <v>0</v>
      </c>
      <c r="AX53" s="172">
        <v>573.86373000000003</v>
      </c>
      <c r="AY53" s="172">
        <v>644.89456200000006</v>
      </c>
      <c r="AZ53" s="172">
        <v>687.68512899999996</v>
      </c>
      <c r="BA53" s="172"/>
      <c r="BB53" s="172"/>
      <c r="BC53" s="172"/>
      <c r="BD53" s="172"/>
      <c r="BE53" s="172"/>
      <c r="BF53" s="172"/>
      <c r="BG53" s="172"/>
      <c r="BH53" s="172"/>
      <c r="BI53" s="172"/>
      <c r="BJ53" s="172"/>
      <c r="BK53" s="172"/>
      <c r="BL53" s="172"/>
      <c r="BM53" s="172"/>
      <c r="BN53" s="172"/>
      <c r="BO53" s="214" t="e">
        <f>_xll.LVCELL($AM$1,BO$2,$AM53,$AN$2,$AM$4,$AM$5,$AM$6,$AM$7,$AM$8,$AN$3)/1000</f>
        <v>#VALUE!</v>
      </c>
      <c r="BP53" s="291" t="e">
        <f t="shared" si="1"/>
        <v>#VALUE!</v>
      </c>
      <c r="BQ53" s="214"/>
      <c r="BR53" s="217"/>
      <c r="BS53" s="218"/>
      <c r="BT53" s="193"/>
      <c r="BU53" s="172"/>
      <c r="BW53" s="198"/>
      <c r="BX53" s="198"/>
      <c r="BY53" s="198"/>
      <c r="BZ53" s="199"/>
      <c r="CB53" s="200"/>
      <c r="CC53" s="200"/>
      <c r="CD53" s="200"/>
    </row>
    <row r="54" spans="2:82">
      <c r="B54" s="64" t="s">
        <v>468</v>
      </c>
      <c r="C54" s="64" t="s">
        <v>468</v>
      </c>
      <c r="D54" s="192" t="s">
        <v>565</v>
      </c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 t="e">
        <f>_xll.LVCELL($D$1,AE$2,$C54,$D$2,$C$4,$C$5,$C$6,$C$7,$C$8,$D$3)/1000</f>
        <v>#VALUE!</v>
      </c>
      <c r="AF54" s="172" t="e">
        <f t="shared" si="0"/>
        <v>#VALUE!</v>
      </c>
      <c r="AG54" s="172"/>
      <c r="AH54" s="193"/>
      <c r="AI54" s="172"/>
      <c r="AL54" s="64" t="s">
        <v>468</v>
      </c>
      <c r="AM54" s="64" t="s">
        <v>468</v>
      </c>
      <c r="AN54" s="192" t="s">
        <v>565</v>
      </c>
      <c r="AO54" s="172">
        <v>0</v>
      </c>
      <c r="AP54" s="172">
        <v>0</v>
      </c>
      <c r="AQ54" s="172">
        <v>0</v>
      </c>
      <c r="AR54" s="172">
        <v>0</v>
      </c>
      <c r="AS54" s="172">
        <v>0</v>
      </c>
      <c r="AT54" s="172">
        <v>0</v>
      </c>
      <c r="AU54" s="172">
        <v>0</v>
      </c>
      <c r="AV54" s="172">
        <v>0</v>
      </c>
      <c r="AW54" s="172">
        <v>0</v>
      </c>
      <c r="AX54" s="172">
        <v>409.08639750000003</v>
      </c>
      <c r="AY54" s="172">
        <v>459.72239200000001</v>
      </c>
      <c r="AZ54" s="172">
        <v>490.22621999999996</v>
      </c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  <c r="BK54" s="172"/>
      <c r="BL54" s="172"/>
      <c r="BM54" s="172"/>
      <c r="BN54" s="172"/>
      <c r="BO54" s="214" t="e">
        <f>_xll.LVCELL($AM$1,BO$2,$AM54,$AN$2,$AM$4,$AM$5,$AM$6,$AM$7,$AM$8,$AN$3)/1000</f>
        <v>#VALUE!</v>
      </c>
      <c r="BP54" s="291" t="e">
        <f t="shared" si="1"/>
        <v>#VALUE!</v>
      </c>
      <c r="BQ54" s="214"/>
      <c r="BR54" s="217"/>
      <c r="BS54" s="218"/>
      <c r="BT54" s="193"/>
      <c r="BU54" s="172"/>
      <c r="BW54" s="198"/>
      <c r="BX54" s="198"/>
      <c r="BY54" s="198"/>
      <c r="BZ54" s="199"/>
      <c r="CB54" s="200"/>
      <c r="CC54" s="200"/>
      <c r="CD54" s="200"/>
    </row>
    <row r="55" spans="2:82">
      <c r="B55" s="64" t="s">
        <v>474</v>
      </c>
      <c r="C55" s="64" t="s">
        <v>474</v>
      </c>
      <c r="D55" s="192" t="s">
        <v>566</v>
      </c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 t="e">
        <f>_xll.LVCELL($D$1,AE$2,$C55,$D$2,$C$4,$C$5,$C$6,$C$7,$C$8,$D$3)/1000</f>
        <v>#VALUE!</v>
      </c>
      <c r="AF55" s="172" t="e">
        <f t="shared" si="0"/>
        <v>#VALUE!</v>
      </c>
      <c r="AG55" s="172"/>
      <c r="AH55" s="193"/>
      <c r="AI55" s="172"/>
      <c r="AL55" s="64" t="s">
        <v>474</v>
      </c>
      <c r="AM55" s="64" t="s">
        <v>474</v>
      </c>
      <c r="AN55" s="192" t="s">
        <v>566</v>
      </c>
      <c r="AO55" s="172">
        <v>0</v>
      </c>
      <c r="AP55" s="172">
        <v>0</v>
      </c>
      <c r="AQ55" s="172">
        <v>0</v>
      </c>
      <c r="AR55" s="172">
        <v>0</v>
      </c>
      <c r="AS55" s="172">
        <v>0</v>
      </c>
      <c r="AT55" s="172">
        <v>0</v>
      </c>
      <c r="AU55" s="172">
        <v>0</v>
      </c>
      <c r="AV55" s="172">
        <v>0</v>
      </c>
      <c r="AW55" s="172">
        <v>0</v>
      </c>
      <c r="AX55" s="172">
        <v>0</v>
      </c>
      <c r="AY55" s="172">
        <v>0</v>
      </c>
      <c r="AZ55" s="172">
        <v>210.95801999999998</v>
      </c>
      <c r="BA55" s="172"/>
      <c r="BB55" s="172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214" t="e">
        <f>_xll.LVCELL($AM$1,BO$2,$AM55,$AN$2,$AM$4,$AM$5,$AM$6,$AM$7,$AM$8,$AN$3)/1000</f>
        <v>#VALUE!</v>
      </c>
      <c r="BP55" s="291" t="e">
        <f t="shared" si="1"/>
        <v>#VALUE!</v>
      </c>
      <c r="BQ55" s="214"/>
      <c r="BR55" s="217"/>
      <c r="BS55" s="218"/>
      <c r="BT55" s="193"/>
      <c r="BU55" s="172"/>
      <c r="BW55" s="198"/>
      <c r="BX55" s="198"/>
      <c r="BY55" s="198"/>
      <c r="BZ55" s="199"/>
      <c r="CB55" s="200"/>
      <c r="CC55" s="200"/>
      <c r="CD55" s="200"/>
    </row>
    <row r="56" spans="2:82">
      <c r="B56" s="64" t="s">
        <v>481</v>
      </c>
      <c r="C56" s="64" t="s">
        <v>481</v>
      </c>
      <c r="D56" s="192" t="s">
        <v>2646</v>
      </c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 t="e">
        <f>_xll.LVCELL($D$1,AE$2,$C56,$D$2,$C$4,$C$5,$C$6,$C$7,$C$8,$D$3)/1000</f>
        <v>#VALUE!</v>
      </c>
      <c r="AF56" s="172" t="e">
        <f t="shared" si="0"/>
        <v>#VALUE!</v>
      </c>
      <c r="AG56" s="172"/>
      <c r="AH56" s="193"/>
      <c r="AI56" s="172"/>
      <c r="AL56" s="64" t="s">
        <v>481</v>
      </c>
      <c r="AM56" s="64" t="s">
        <v>481</v>
      </c>
      <c r="AN56" s="192" t="s">
        <v>2646</v>
      </c>
      <c r="AO56" s="172">
        <v>0</v>
      </c>
      <c r="AP56" s="172">
        <v>0</v>
      </c>
      <c r="AQ56" s="172">
        <v>0</v>
      </c>
      <c r="AR56" s="172">
        <v>0</v>
      </c>
      <c r="AS56" s="172">
        <v>0</v>
      </c>
      <c r="AT56" s="172">
        <v>0</v>
      </c>
      <c r="AU56" s="172">
        <v>0</v>
      </c>
      <c r="AV56" s="172">
        <v>0</v>
      </c>
      <c r="AW56" s="172">
        <v>0</v>
      </c>
      <c r="AX56" s="172">
        <v>0</v>
      </c>
      <c r="AY56" s="172">
        <v>0</v>
      </c>
      <c r="AZ56" s="172">
        <v>375.48794250000003</v>
      </c>
      <c r="BA56" s="172"/>
      <c r="BB56" s="172"/>
      <c r="BC56" s="172"/>
      <c r="BD56" s="172"/>
      <c r="BE56" s="172"/>
      <c r="BF56" s="172"/>
      <c r="BG56" s="172"/>
      <c r="BH56" s="172"/>
      <c r="BI56" s="172"/>
      <c r="BJ56" s="172"/>
      <c r="BK56" s="172"/>
      <c r="BL56" s="172"/>
      <c r="BM56" s="172"/>
      <c r="BN56" s="172"/>
      <c r="BO56" s="214" t="e">
        <f>_xll.LVCELL($AM$1,BO$2,$AM56,$AN$2,$AM$4,$AM$5,$AM$6,$AM$7,$AM$8,$AN$3)/1000</f>
        <v>#VALUE!</v>
      </c>
      <c r="BP56" s="291" t="e">
        <f t="shared" si="1"/>
        <v>#VALUE!</v>
      </c>
      <c r="BQ56" s="214"/>
      <c r="BR56" s="217"/>
      <c r="BS56" s="218"/>
      <c r="BT56" s="193"/>
      <c r="BU56" s="172"/>
      <c r="BW56" s="198"/>
      <c r="BX56" s="198"/>
      <c r="BY56" s="198"/>
      <c r="BZ56" s="199"/>
      <c r="CB56" s="200"/>
      <c r="CC56" s="200"/>
      <c r="CD56" s="200"/>
    </row>
    <row r="57" spans="2:82">
      <c r="B57" s="64" t="s">
        <v>375</v>
      </c>
      <c r="C57" s="64" t="s">
        <v>375</v>
      </c>
      <c r="D57" s="192" t="s">
        <v>483</v>
      </c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2"/>
      <c r="R57" s="172"/>
      <c r="S57" s="172"/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 t="e">
        <f>_xll.LVCELL($D$1,AE$2,$C57,$D$2,$C$4,$C$5,$C$6,$C$7,$C$8,$D$3)/1000</f>
        <v>#VALUE!</v>
      </c>
      <c r="AF57" s="172" t="e">
        <f t="shared" si="0"/>
        <v>#VALUE!</v>
      </c>
      <c r="AG57" s="172"/>
      <c r="AH57" s="193"/>
      <c r="AI57" s="207"/>
      <c r="AL57" s="64" t="s">
        <v>375</v>
      </c>
      <c r="AM57" s="64" t="s">
        <v>375</v>
      </c>
      <c r="AN57" s="192" t="s">
        <v>483</v>
      </c>
      <c r="AO57" s="172">
        <v>0</v>
      </c>
      <c r="AP57" s="172">
        <v>0</v>
      </c>
      <c r="AQ57" s="172">
        <v>0</v>
      </c>
      <c r="AR57" s="172">
        <v>0</v>
      </c>
      <c r="AS57" s="172">
        <v>0</v>
      </c>
      <c r="AT57" s="172">
        <v>0</v>
      </c>
      <c r="AU57" s="172">
        <v>0</v>
      </c>
      <c r="AV57" s="172">
        <v>0</v>
      </c>
      <c r="AW57" s="172">
        <v>0</v>
      </c>
      <c r="AX57" s="172">
        <v>0</v>
      </c>
      <c r="AY57" s="172">
        <v>0</v>
      </c>
      <c r="AZ57" s="172">
        <v>0</v>
      </c>
      <c r="BA57" s="172"/>
      <c r="BB57" s="172"/>
      <c r="BC57" s="172"/>
      <c r="BD57" s="172"/>
      <c r="BE57" s="172"/>
      <c r="BF57" s="172"/>
      <c r="BG57" s="172"/>
      <c r="BH57" s="172"/>
      <c r="BI57" s="172"/>
      <c r="BJ57" s="172"/>
      <c r="BK57" s="172"/>
      <c r="BL57" s="172"/>
      <c r="BM57" s="172"/>
      <c r="BN57" s="172"/>
      <c r="BO57" s="214" t="e">
        <f>_xll.LVCELL($AM$1,BO$2,$AM57,$AN$2,$AM$4,$AM$5,$AM$6,$AM$7,$AM$8,$AN$3)/1000</f>
        <v>#VALUE!</v>
      </c>
      <c r="BP57" s="291" t="e">
        <f t="shared" si="1"/>
        <v>#VALUE!</v>
      </c>
      <c r="BQ57" s="214"/>
      <c r="BR57" s="217"/>
      <c r="BS57" s="218"/>
      <c r="BT57" s="193"/>
      <c r="BU57" s="172"/>
      <c r="BW57" s="198"/>
      <c r="BX57" s="198"/>
      <c r="BY57" s="198"/>
      <c r="BZ57" s="199"/>
      <c r="CB57" s="200"/>
      <c r="CC57" s="200"/>
      <c r="CD57" s="200"/>
    </row>
    <row r="58" spans="2:82">
      <c r="B58" s="64" t="s">
        <v>380</v>
      </c>
      <c r="C58" s="64" t="s">
        <v>380</v>
      </c>
      <c r="D58" s="192" t="s">
        <v>484</v>
      </c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 t="e">
        <f>_xll.LVCELL($D$1,AE$2,$C58,$D$2,$C$4,$C$5,$C$6,$C$7,$C$8,$D$3)/1000</f>
        <v>#VALUE!</v>
      </c>
      <c r="AF58" s="172" t="e">
        <f t="shared" si="0"/>
        <v>#VALUE!</v>
      </c>
      <c r="AG58" s="172"/>
      <c r="AH58" s="193"/>
      <c r="AI58" s="207"/>
      <c r="AL58" s="64" t="s">
        <v>380</v>
      </c>
      <c r="AM58" s="64" t="s">
        <v>380</v>
      </c>
      <c r="AN58" s="192" t="s">
        <v>484</v>
      </c>
      <c r="AO58" s="172">
        <v>0</v>
      </c>
      <c r="AP58" s="172">
        <v>0</v>
      </c>
      <c r="AQ58" s="172">
        <v>0</v>
      </c>
      <c r="AR58" s="172">
        <v>0</v>
      </c>
      <c r="AS58" s="172">
        <v>0</v>
      </c>
      <c r="AT58" s="172">
        <v>0</v>
      </c>
      <c r="AU58" s="172">
        <v>0</v>
      </c>
      <c r="AV58" s="172">
        <v>0</v>
      </c>
      <c r="AW58" s="172">
        <v>0</v>
      </c>
      <c r="AX58" s="172">
        <v>0</v>
      </c>
      <c r="AY58" s="172">
        <v>0</v>
      </c>
      <c r="AZ58" s="172">
        <v>0</v>
      </c>
      <c r="BA58" s="172"/>
      <c r="BB58" s="172"/>
      <c r="BC58" s="172"/>
      <c r="BD58" s="172"/>
      <c r="BE58" s="172"/>
      <c r="BF58" s="172"/>
      <c r="BG58" s="172"/>
      <c r="BH58" s="172"/>
      <c r="BI58" s="172"/>
      <c r="BJ58" s="172"/>
      <c r="BK58" s="172"/>
      <c r="BL58" s="172"/>
      <c r="BM58" s="172"/>
      <c r="BN58" s="172"/>
      <c r="BO58" s="214" t="e">
        <f>_xll.LVCELL($AM$1,BO$2,$AM58,$AN$2,$AM$4,$AM$5,$AM$6,$AM$7,$AM$8,$AN$3)/1000</f>
        <v>#VALUE!</v>
      </c>
      <c r="BP58" s="291" t="e">
        <f t="shared" si="1"/>
        <v>#VALUE!</v>
      </c>
      <c r="BQ58" s="214"/>
      <c r="BR58" s="217"/>
      <c r="BS58" s="218"/>
      <c r="BT58" s="193"/>
      <c r="BU58" s="172"/>
      <c r="BW58" s="198"/>
      <c r="BX58" s="198"/>
      <c r="BY58" s="198"/>
      <c r="BZ58" s="199"/>
      <c r="CB58" s="200"/>
      <c r="CC58" s="200"/>
      <c r="CD58" s="200"/>
    </row>
    <row r="59" spans="2:82">
      <c r="B59" s="64" t="s">
        <v>376</v>
      </c>
      <c r="C59" s="64" t="s">
        <v>376</v>
      </c>
      <c r="D59" s="192" t="s">
        <v>485</v>
      </c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  <c r="AA59" s="172"/>
      <c r="AB59" s="172"/>
      <c r="AC59" s="172"/>
      <c r="AD59" s="172"/>
      <c r="AE59" s="172" t="e">
        <f>_xll.LVCELL($D$1,AE$2,$C59,$D$2,$C$4,$C$5,$C$6,$C$7,$C$8,$D$3)/1000</f>
        <v>#VALUE!</v>
      </c>
      <c r="AF59" s="172" t="e">
        <f t="shared" si="0"/>
        <v>#VALUE!</v>
      </c>
      <c r="AG59" s="172"/>
      <c r="AH59" s="193"/>
      <c r="AI59" s="207"/>
      <c r="AL59" s="64" t="s">
        <v>376</v>
      </c>
      <c r="AM59" s="64" t="s">
        <v>376</v>
      </c>
      <c r="AN59" s="192" t="s">
        <v>485</v>
      </c>
      <c r="AO59" s="172">
        <v>0</v>
      </c>
      <c r="AP59" s="172">
        <v>0</v>
      </c>
      <c r="AQ59" s="172">
        <v>0</v>
      </c>
      <c r="AR59" s="172">
        <v>0</v>
      </c>
      <c r="AS59" s="172">
        <v>0</v>
      </c>
      <c r="AT59" s="172">
        <v>0</v>
      </c>
      <c r="AU59" s="172">
        <v>0</v>
      </c>
      <c r="AV59" s="172">
        <v>0</v>
      </c>
      <c r="AW59" s="172">
        <v>0</v>
      </c>
      <c r="AX59" s="172">
        <v>0</v>
      </c>
      <c r="AY59" s="172">
        <v>0</v>
      </c>
      <c r="AZ59" s="172">
        <v>0</v>
      </c>
      <c r="BA59" s="172"/>
      <c r="BB59" s="172"/>
      <c r="BC59" s="172"/>
      <c r="BD59" s="172"/>
      <c r="BE59" s="172"/>
      <c r="BF59" s="172"/>
      <c r="BG59" s="172"/>
      <c r="BH59" s="172"/>
      <c r="BI59" s="172"/>
      <c r="BJ59" s="172"/>
      <c r="BK59" s="172"/>
      <c r="BL59" s="172"/>
      <c r="BM59" s="172"/>
      <c r="BN59" s="172"/>
      <c r="BO59" s="214" t="e">
        <f>_xll.LVCELL($AM$1,BO$2,$AM59,$AN$2,$AM$4,$AM$5,$AM$6,$AM$7,$AM$8,$AN$3)/1000</f>
        <v>#VALUE!</v>
      </c>
      <c r="BP59" s="291" t="e">
        <f t="shared" si="1"/>
        <v>#VALUE!</v>
      </c>
      <c r="BQ59" s="214"/>
      <c r="BR59" s="217"/>
      <c r="BS59" s="218"/>
      <c r="BT59" s="193"/>
      <c r="BU59" s="172"/>
      <c r="BW59" s="198"/>
      <c r="BX59" s="198"/>
      <c r="BY59" s="198"/>
      <c r="BZ59" s="199"/>
      <c r="CB59" s="200"/>
      <c r="CC59" s="200"/>
      <c r="CD59" s="200"/>
    </row>
    <row r="60" spans="2:82">
      <c r="B60" s="64" t="s">
        <v>387</v>
      </c>
      <c r="C60" s="64" t="s">
        <v>387</v>
      </c>
      <c r="D60" s="192" t="s">
        <v>486</v>
      </c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  <c r="AA60" s="172"/>
      <c r="AB60" s="172"/>
      <c r="AC60" s="172"/>
      <c r="AD60" s="172"/>
      <c r="AE60" s="172" t="e">
        <f>_xll.LVCELL($D$1,AE$2,$C60,$D$2,$C$4,$C$5,$C$6,$C$7,$C$8,$D$3)/1000</f>
        <v>#VALUE!</v>
      </c>
      <c r="AF60" s="172" t="e">
        <f t="shared" si="0"/>
        <v>#VALUE!</v>
      </c>
      <c r="AG60" s="172"/>
      <c r="AH60" s="193"/>
      <c r="AI60" s="207"/>
      <c r="AL60" s="64" t="s">
        <v>387</v>
      </c>
      <c r="AM60" s="64" t="s">
        <v>387</v>
      </c>
      <c r="AN60" s="192" t="s">
        <v>486</v>
      </c>
      <c r="AO60" s="172">
        <v>0</v>
      </c>
      <c r="AP60" s="172">
        <v>0</v>
      </c>
      <c r="AQ60" s="172">
        <v>0</v>
      </c>
      <c r="AR60" s="172">
        <v>0</v>
      </c>
      <c r="AS60" s="172">
        <v>0</v>
      </c>
      <c r="AT60" s="172">
        <v>0</v>
      </c>
      <c r="AU60" s="172">
        <v>0</v>
      </c>
      <c r="AV60" s="172">
        <v>0</v>
      </c>
      <c r="AW60" s="172">
        <v>0</v>
      </c>
      <c r="AX60" s="172">
        <v>0</v>
      </c>
      <c r="AY60" s="172">
        <v>0</v>
      </c>
      <c r="AZ60" s="172">
        <v>0</v>
      </c>
      <c r="BA60" s="172"/>
      <c r="BB60" s="172"/>
      <c r="BC60" s="172"/>
      <c r="BD60" s="172"/>
      <c r="BE60" s="172"/>
      <c r="BF60" s="172"/>
      <c r="BG60" s="172"/>
      <c r="BH60" s="172"/>
      <c r="BI60" s="172"/>
      <c r="BJ60" s="172"/>
      <c r="BK60" s="172"/>
      <c r="BL60" s="172"/>
      <c r="BM60" s="172"/>
      <c r="BN60" s="172"/>
      <c r="BO60" s="214" t="e">
        <f>_xll.LVCELL($AM$1,BO$2,$AM60,$AN$2,$AM$4,$AM$5,$AM$6,$AM$7,$AM$8,$AN$3)/1000</f>
        <v>#VALUE!</v>
      </c>
      <c r="BP60" s="291" t="e">
        <f t="shared" si="1"/>
        <v>#VALUE!</v>
      </c>
      <c r="BQ60" s="214"/>
      <c r="BR60" s="217"/>
      <c r="BS60" s="218"/>
      <c r="BT60" s="193"/>
      <c r="BU60" s="172"/>
      <c r="BW60" s="198"/>
      <c r="BX60" s="198"/>
      <c r="BY60" s="198"/>
      <c r="BZ60" s="199"/>
      <c r="CB60" s="200"/>
      <c r="CC60" s="200"/>
      <c r="CD60" s="200"/>
    </row>
    <row r="61" spans="2:82">
      <c r="B61" s="64" t="s">
        <v>386</v>
      </c>
      <c r="C61" s="64" t="s">
        <v>386</v>
      </c>
      <c r="D61" s="192" t="s">
        <v>2638</v>
      </c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  <c r="AA61" s="172"/>
      <c r="AB61" s="172"/>
      <c r="AC61" s="172"/>
      <c r="AD61" s="172"/>
      <c r="AE61" s="172" t="e">
        <f>_xll.LVCELL($D$1,AE$2,$C61,$D$2,$C$4,$C$5,$C$6,$C$7,$C$8,$D$3)/1000</f>
        <v>#VALUE!</v>
      </c>
      <c r="AF61" s="172" t="e">
        <f t="shared" si="0"/>
        <v>#VALUE!</v>
      </c>
      <c r="AG61" s="172"/>
      <c r="AH61" s="193"/>
      <c r="AI61" s="207"/>
      <c r="AL61" s="64" t="s">
        <v>386</v>
      </c>
      <c r="AM61" s="64" t="s">
        <v>386</v>
      </c>
      <c r="AN61" s="192" t="s">
        <v>2638</v>
      </c>
      <c r="AO61" s="172">
        <v>0</v>
      </c>
      <c r="AP61" s="172">
        <v>0</v>
      </c>
      <c r="AQ61" s="172">
        <v>0</v>
      </c>
      <c r="AR61" s="172">
        <v>0</v>
      </c>
      <c r="AS61" s="172">
        <v>0</v>
      </c>
      <c r="AT61" s="172">
        <v>0</v>
      </c>
      <c r="AU61" s="172">
        <v>0</v>
      </c>
      <c r="AV61" s="172">
        <v>0</v>
      </c>
      <c r="AW61" s="172">
        <v>0</v>
      </c>
      <c r="AX61" s="172">
        <v>0</v>
      </c>
      <c r="AY61" s="172">
        <v>0</v>
      </c>
      <c r="AZ61" s="172">
        <v>0</v>
      </c>
      <c r="BA61" s="172"/>
      <c r="BB61" s="172"/>
      <c r="BC61" s="172"/>
      <c r="BD61" s="172"/>
      <c r="BE61" s="172"/>
      <c r="BF61" s="172"/>
      <c r="BG61" s="172"/>
      <c r="BH61" s="172"/>
      <c r="BI61" s="172"/>
      <c r="BJ61" s="172"/>
      <c r="BK61" s="172"/>
      <c r="BL61" s="172"/>
      <c r="BM61" s="172"/>
      <c r="BN61" s="172"/>
      <c r="BO61" s="214" t="e">
        <f>_xll.LVCELL($AM$1,BO$2,$AM61,$AN$2,$AM$4,$AM$5,$AM$6,$AM$7,$AM$8,$AN$3)/1000</f>
        <v>#VALUE!</v>
      </c>
      <c r="BP61" s="291" t="e">
        <f t="shared" si="1"/>
        <v>#VALUE!</v>
      </c>
      <c r="BQ61" s="214"/>
      <c r="BR61" s="217"/>
      <c r="BS61" s="218"/>
      <c r="BT61" s="193"/>
      <c r="BU61" s="172"/>
      <c r="BW61" s="198"/>
      <c r="BX61" s="198"/>
      <c r="BY61" s="198"/>
      <c r="BZ61" s="199"/>
      <c r="CB61" s="200"/>
      <c r="CC61" s="200"/>
      <c r="CD61" s="200"/>
    </row>
    <row r="62" spans="2:82">
      <c r="B62" s="64" t="s">
        <v>382</v>
      </c>
      <c r="C62" s="64" t="s">
        <v>382</v>
      </c>
      <c r="D62" s="192" t="s">
        <v>488</v>
      </c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 t="e">
        <f>_xll.LVCELL($D$1,AE$2,$C62,$D$2,$C$4,$C$5,$C$6,$C$7,$C$8,$D$3)/1000</f>
        <v>#VALUE!</v>
      </c>
      <c r="AF62" s="172" t="e">
        <f t="shared" si="0"/>
        <v>#VALUE!</v>
      </c>
      <c r="AG62" s="172"/>
      <c r="AH62" s="193"/>
      <c r="AI62" s="207"/>
      <c r="AL62" s="64" t="s">
        <v>382</v>
      </c>
      <c r="AM62" s="64" t="s">
        <v>382</v>
      </c>
      <c r="AN62" s="192" t="s">
        <v>488</v>
      </c>
      <c r="AO62" s="172">
        <v>0</v>
      </c>
      <c r="AP62" s="172">
        <v>0</v>
      </c>
      <c r="AQ62" s="172">
        <v>0</v>
      </c>
      <c r="AR62" s="172">
        <v>0</v>
      </c>
      <c r="AS62" s="172">
        <v>0</v>
      </c>
      <c r="AT62" s="172">
        <v>0</v>
      </c>
      <c r="AU62" s="172">
        <v>0</v>
      </c>
      <c r="AV62" s="172">
        <v>0</v>
      </c>
      <c r="AW62" s="172">
        <v>0</v>
      </c>
      <c r="AX62" s="172">
        <v>0</v>
      </c>
      <c r="AY62" s="172">
        <v>0</v>
      </c>
      <c r="AZ62" s="172">
        <v>0</v>
      </c>
      <c r="BA62" s="172"/>
      <c r="BB62" s="172"/>
      <c r="BC62" s="172"/>
      <c r="BD62" s="172"/>
      <c r="BE62" s="172"/>
      <c r="BF62" s="172"/>
      <c r="BG62" s="172"/>
      <c r="BH62" s="172"/>
      <c r="BI62" s="172"/>
      <c r="BJ62" s="172"/>
      <c r="BK62" s="172"/>
      <c r="BL62" s="172"/>
      <c r="BM62" s="172"/>
      <c r="BN62" s="172"/>
      <c r="BO62" s="214" t="e">
        <f>_xll.LVCELL($AM$1,BO$2,$AM62,$AN$2,$AM$4,$AM$5,$AM$6,$AM$7,$AM$8,$AN$3)/1000</f>
        <v>#VALUE!</v>
      </c>
      <c r="BP62" s="291" t="e">
        <f t="shared" si="1"/>
        <v>#VALUE!</v>
      </c>
      <c r="BQ62" s="214"/>
      <c r="BR62" s="217"/>
      <c r="BS62" s="218"/>
      <c r="BT62" s="193"/>
      <c r="BU62" s="172"/>
      <c r="BW62" s="198"/>
      <c r="BX62" s="198"/>
      <c r="BY62" s="198"/>
      <c r="BZ62" s="199"/>
      <c r="CB62" s="200"/>
      <c r="CC62" s="200"/>
      <c r="CD62" s="200"/>
    </row>
    <row r="63" spans="2:82">
      <c r="B63" s="64" t="s">
        <v>383</v>
      </c>
      <c r="C63" s="64" t="s">
        <v>383</v>
      </c>
      <c r="D63" s="192" t="s">
        <v>489</v>
      </c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  <c r="AA63" s="172"/>
      <c r="AB63" s="172"/>
      <c r="AC63" s="172"/>
      <c r="AD63" s="172"/>
      <c r="AE63" s="172" t="e">
        <f>_xll.LVCELL($D$1,AE$2,$C63,$D$2,$C$4,$C$5,$C$6,$C$7,$C$8,$D$3)/1000</f>
        <v>#VALUE!</v>
      </c>
      <c r="AF63" s="172" t="e">
        <f t="shared" si="0"/>
        <v>#VALUE!</v>
      </c>
      <c r="AG63" s="172"/>
      <c r="AH63" s="193"/>
      <c r="AI63" s="207"/>
      <c r="AL63" s="64" t="s">
        <v>383</v>
      </c>
      <c r="AM63" s="64" t="s">
        <v>383</v>
      </c>
      <c r="AN63" s="192" t="s">
        <v>489</v>
      </c>
      <c r="AO63" s="172">
        <v>0</v>
      </c>
      <c r="AP63" s="172">
        <v>0</v>
      </c>
      <c r="AQ63" s="172">
        <v>0</v>
      </c>
      <c r="AR63" s="172">
        <v>0</v>
      </c>
      <c r="AS63" s="172">
        <v>0</v>
      </c>
      <c r="AT63" s="172">
        <v>0</v>
      </c>
      <c r="AU63" s="172">
        <v>0</v>
      </c>
      <c r="AV63" s="172">
        <v>0</v>
      </c>
      <c r="AW63" s="172">
        <v>0</v>
      </c>
      <c r="AX63" s="172">
        <v>0</v>
      </c>
      <c r="AY63" s="172">
        <v>0</v>
      </c>
      <c r="AZ63" s="172">
        <v>0</v>
      </c>
      <c r="BA63" s="172"/>
      <c r="BB63" s="172"/>
      <c r="BC63" s="172"/>
      <c r="BD63" s="172"/>
      <c r="BE63" s="172"/>
      <c r="BF63" s="172"/>
      <c r="BG63" s="172"/>
      <c r="BH63" s="172"/>
      <c r="BI63" s="172"/>
      <c r="BJ63" s="172"/>
      <c r="BK63" s="172"/>
      <c r="BL63" s="172"/>
      <c r="BM63" s="172"/>
      <c r="BN63" s="172"/>
      <c r="BO63" s="214" t="e">
        <f>_xll.LVCELL($AM$1,BO$2,$AM63,$AN$2,$AM$4,$AM$5,$AM$6,$AM$7,$AM$8,$AN$3)/1000</f>
        <v>#VALUE!</v>
      </c>
      <c r="BP63" s="291" t="e">
        <f t="shared" si="1"/>
        <v>#VALUE!</v>
      </c>
      <c r="BQ63" s="214"/>
      <c r="BR63" s="217"/>
      <c r="BS63" s="218"/>
      <c r="BT63" s="193"/>
      <c r="BU63" s="172"/>
      <c r="BW63" s="198"/>
      <c r="BX63" s="198"/>
      <c r="BY63" s="198"/>
      <c r="BZ63" s="199"/>
      <c r="CB63" s="200"/>
      <c r="CC63" s="200"/>
      <c r="CD63" s="200"/>
    </row>
    <row r="64" spans="2:82">
      <c r="B64" s="64" t="s">
        <v>378</v>
      </c>
      <c r="C64" s="64" t="s">
        <v>378</v>
      </c>
      <c r="D64" s="192" t="s">
        <v>490</v>
      </c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  <c r="AA64" s="172"/>
      <c r="AB64" s="172"/>
      <c r="AC64" s="172"/>
      <c r="AD64" s="172"/>
      <c r="AE64" s="172" t="e">
        <f>_xll.LVCELL($D$1,AE$2,$C64,$D$2,$C$4,$C$5,$C$6,$C$7,$C$8,$D$3)/1000</f>
        <v>#VALUE!</v>
      </c>
      <c r="AF64" s="172" t="e">
        <f t="shared" si="0"/>
        <v>#VALUE!</v>
      </c>
      <c r="AG64" s="172"/>
      <c r="AH64" s="193"/>
      <c r="AI64" s="207"/>
      <c r="AL64" s="64" t="s">
        <v>378</v>
      </c>
      <c r="AM64" s="64" t="s">
        <v>378</v>
      </c>
      <c r="AN64" s="192" t="s">
        <v>490</v>
      </c>
      <c r="AO64" s="172">
        <v>0</v>
      </c>
      <c r="AP64" s="172">
        <v>0</v>
      </c>
      <c r="AQ64" s="172">
        <v>0</v>
      </c>
      <c r="AR64" s="172">
        <v>0</v>
      </c>
      <c r="AS64" s="172">
        <v>0</v>
      </c>
      <c r="AT64" s="172">
        <v>0</v>
      </c>
      <c r="AU64" s="172">
        <v>0</v>
      </c>
      <c r="AV64" s="172">
        <v>0</v>
      </c>
      <c r="AW64" s="172">
        <v>0</v>
      </c>
      <c r="AX64" s="172">
        <v>0</v>
      </c>
      <c r="AY64" s="172">
        <v>0</v>
      </c>
      <c r="AZ64" s="172">
        <v>0</v>
      </c>
      <c r="BA64" s="172"/>
      <c r="BB64" s="172"/>
      <c r="BC64" s="172"/>
      <c r="BD64" s="172"/>
      <c r="BE64" s="172"/>
      <c r="BF64" s="172"/>
      <c r="BG64" s="172"/>
      <c r="BH64" s="172"/>
      <c r="BI64" s="172"/>
      <c r="BJ64" s="172"/>
      <c r="BK64" s="172"/>
      <c r="BL64" s="172"/>
      <c r="BM64" s="172"/>
      <c r="BN64" s="172"/>
      <c r="BO64" s="214" t="e">
        <f>_xll.LVCELL($AM$1,BO$2,$AM64,$AN$2,$AM$4,$AM$5,$AM$6,$AM$7,$AM$8,$AN$3)/1000</f>
        <v>#VALUE!</v>
      </c>
      <c r="BP64" s="291" t="e">
        <f t="shared" si="1"/>
        <v>#VALUE!</v>
      </c>
      <c r="BQ64" s="214"/>
      <c r="BR64" s="217"/>
      <c r="BS64" s="218"/>
      <c r="BT64" s="193"/>
      <c r="BU64" s="172"/>
      <c r="BW64" s="198"/>
      <c r="BX64" s="198"/>
      <c r="BY64" s="198"/>
      <c r="BZ64" s="199"/>
      <c r="CB64" s="200"/>
      <c r="CC64" s="200"/>
      <c r="CD64" s="200"/>
    </row>
    <row r="65" spans="1:82">
      <c r="B65" s="64" t="s">
        <v>373</v>
      </c>
      <c r="C65" s="64" t="s">
        <v>373</v>
      </c>
      <c r="D65" s="192" t="s">
        <v>491</v>
      </c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  <c r="AA65" s="172"/>
      <c r="AB65" s="172"/>
      <c r="AC65" s="172"/>
      <c r="AD65" s="172"/>
      <c r="AE65" s="172" t="e">
        <f>_xll.LVCELL($D$1,AE$2,$C65,$D$2,$C$4,$C$5,$C$6,$C$7,$C$8,$D$3)/1000</f>
        <v>#VALUE!</v>
      </c>
      <c r="AF65" s="172" t="e">
        <f t="shared" si="0"/>
        <v>#VALUE!</v>
      </c>
      <c r="AG65" s="172"/>
      <c r="AH65" s="193"/>
      <c r="AI65" s="207"/>
      <c r="AL65" s="64" t="s">
        <v>373</v>
      </c>
      <c r="AM65" s="64" t="s">
        <v>373</v>
      </c>
      <c r="AN65" s="192" t="s">
        <v>491</v>
      </c>
      <c r="AO65" s="172">
        <v>0</v>
      </c>
      <c r="AP65" s="172">
        <v>0</v>
      </c>
      <c r="AQ65" s="172">
        <v>0</v>
      </c>
      <c r="AR65" s="172">
        <v>0</v>
      </c>
      <c r="AS65" s="172">
        <v>0</v>
      </c>
      <c r="AT65" s="172">
        <v>0</v>
      </c>
      <c r="AU65" s="172">
        <v>0</v>
      </c>
      <c r="AV65" s="172">
        <v>0</v>
      </c>
      <c r="AW65" s="172">
        <v>0</v>
      </c>
      <c r="AX65" s="172">
        <v>0</v>
      </c>
      <c r="AY65" s="172">
        <v>0</v>
      </c>
      <c r="AZ65" s="172">
        <v>0</v>
      </c>
      <c r="BA65" s="172"/>
      <c r="BB65" s="172"/>
      <c r="BC65" s="172"/>
      <c r="BD65" s="172"/>
      <c r="BE65" s="172"/>
      <c r="BF65" s="172"/>
      <c r="BG65" s="172"/>
      <c r="BH65" s="172"/>
      <c r="BI65" s="172"/>
      <c r="BJ65" s="172"/>
      <c r="BK65" s="172"/>
      <c r="BL65" s="172"/>
      <c r="BM65" s="172"/>
      <c r="BN65" s="172"/>
      <c r="BO65" s="214" t="e">
        <f>_xll.LVCELL($AM$1,BO$2,$AM65,$AN$2,$AM$4,$AM$5,$AM$6,$AM$7,$AM$8,$AN$3)/1000</f>
        <v>#VALUE!</v>
      </c>
      <c r="BP65" s="291" t="e">
        <f t="shared" si="1"/>
        <v>#VALUE!</v>
      </c>
      <c r="BQ65" s="214"/>
      <c r="BR65" s="217"/>
      <c r="BS65" s="218"/>
      <c r="BT65" s="193"/>
      <c r="BU65" s="172"/>
      <c r="BW65" s="198"/>
      <c r="BX65" s="198"/>
      <c r="BY65" s="198"/>
      <c r="BZ65" s="199"/>
      <c r="CB65" s="200"/>
      <c r="CC65" s="200"/>
      <c r="CD65" s="200"/>
    </row>
    <row r="66" spans="1:82">
      <c r="B66" s="64" t="s">
        <v>374</v>
      </c>
      <c r="C66" s="64" t="s">
        <v>374</v>
      </c>
      <c r="D66" s="192" t="s">
        <v>492</v>
      </c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  <c r="AA66" s="172"/>
      <c r="AB66" s="172"/>
      <c r="AC66" s="172"/>
      <c r="AD66" s="172"/>
      <c r="AE66" s="172" t="e">
        <f>_xll.LVCELL($D$1,AE$2,$C66,$D$2,$C$4,$C$5,$C$6,$C$7,$C$8,$D$3)/1000</f>
        <v>#VALUE!</v>
      </c>
      <c r="AF66" s="172" t="e">
        <f t="shared" si="0"/>
        <v>#VALUE!</v>
      </c>
      <c r="AG66" s="172"/>
      <c r="AH66" s="193"/>
      <c r="AI66" s="207"/>
      <c r="AL66" s="64" t="s">
        <v>374</v>
      </c>
      <c r="AM66" s="64" t="s">
        <v>374</v>
      </c>
      <c r="AN66" s="192" t="s">
        <v>492</v>
      </c>
      <c r="AO66" s="172">
        <v>0</v>
      </c>
      <c r="AP66" s="172">
        <v>0</v>
      </c>
      <c r="AQ66" s="172">
        <v>0</v>
      </c>
      <c r="AR66" s="172">
        <v>0</v>
      </c>
      <c r="AS66" s="172">
        <v>0</v>
      </c>
      <c r="AT66" s="172">
        <v>0</v>
      </c>
      <c r="AU66" s="172">
        <v>0</v>
      </c>
      <c r="AV66" s="172">
        <v>0</v>
      </c>
      <c r="AW66" s="172">
        <v>0</v>
      </c>
      <c r="AX66" s="172">
        <v>0</v>
      </c>
      <c r="AY66" s="172">
        <v>0</v>
      </c>
      <c r="AZ66" s="172">
        <v>0</v>
      </c>
      <c r="BA66" s="172"/>
      <c r="BB66" s="172"/>
      <c r="BC66" s="172"/>
      <c r="BD66" s="172"/>
      <c r="BE66" s="172"/>
      <c r="BF66" s="172"/>
      <c r="BG66" s="172"/>
      <c r="BH66" s="172"/>
      <c r="BI66" s="172"/>
      <c r="BJ66" s="172"/>
      <c r="BK66" s="172"/>
      <c r="BL66" s="172"/>
      <c r="BM66" s="172"/>
      <c r="BN66" s="172"/>
      <c r="BO66" s="214" t="e">
        <f>_xll.LVCELL($AM$1,BO$2,$AM66,$AN$2,$AM$4,$AM$5,$AM$6,$AM$7,$AM$8,$AN$3)/1000</f>
        <v>#VALUE!</v>
      </c>
      <c r="BP66" s="291" t="e">
        <f t="shared" si="1"/>
        <v>#VALUE!</v>
      </c>
      <c r="BQ66" s="214"/>
      <c r="BR66" s="217"/>
      <c r="BS66" s="218"/>
      <c r="BT66" s="193"/>
      <c r="BU66" s="172"/>
      <c r="BW66" s="198"/>
      <c r="BX66" s="198"/>
      <c r="BY66" s="198"/>
      <c r="BZ66" s="199"/>
      <c r="CB66" s="200"/>
      <c r="CC66" s="200"/>
      <c r="CD66" s="200"/>
    </row>
    <row r="67" spans="1:82">
      <c r="B67" s="64" t="s">
        <v>377</v>
      </c>
      <c r="C67" s="64" t="s">
        <v>377</v>
      </c>
      <c r="D67" s="192" t="s">
        <v>493</v>
      </c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  <c r="AA67" s="172"/>
      <c r="AB67" s="172"/>
      <c r="AC67" s="172"/>
      <c r="AD67" s="172"/>
      <c r="AE67" s="172" t="e">
        <f>_xll.LVCELL($D$1,AE$2,$C67,$D$2,$C$4,$C$5,$C$6,$C$7,$C$8,$D$3)/1000</f>
        <v>#VALUE!</v>
      </c>
      <c r="AF67" s="172" t="e">
        <f t="shared" si="0"/>
        <v>#VALUE!</v>
      </c>
      <c r="AG67" s="172"/>
      <c r="AH67" s="193"/>
      <c r="AI67" s="207"/>
      <c r="AL67" s="64" t="s">
        <v>377</v>
      </c>
      <c r="AM67" s="64" t="s">
        <v>377</v>
      </c>
      <c r="AN67" s="192" t="s">
        <v>493</v>
      </c>
      <c r="AO67" s="172">
        <v>0</v>
      </c>
      <c r="AP67" s="172">
        <v>0</v>
      </c>
      <c r="AQ67" s="172">
        <v>0</v>
      </c>
      <c r="AR67" s="172">
        <v>0</v>
      </c>
      <c r="AS67" s="172">
        <v>0</v>
      </c>
      <c r="AT67" s="172">
        <v>0</v>
      </c>
      <c r="AU67" s="172">
        <v>0</v>
      </c>
      <c r="AV67" s="172">
        <v>0</v>
      </c>
      <c r="AW67" s="172">
        <v>0</v>
      </c>
      <c r="AX67" s="172">
        <v>0</v>
      </c>
      <c r="AY67" s="172">
        <v>0</v>
      </c>
      <c r="AZ67" s="172">
        <v>0</v>
      </c>
      <c r="BA67" s="172"/>
      <c r="BB67" s="172"/>
      <c r="BC67" s="172"/>
      <c r="BD67" s="172"/>
      <c r="BE67" s="172"/>
      <c r="BF67" s="172"/>
      <c r="BG67" s="172"/>
      <c r="BH67" s="172"/>
      <c r="BI67" s="172"/>
      <c r="BJ67" s="172"/>
      <c r="BK67" s="172"/>
      <c r="BL67" s="172"/>
      <c r="BM67" s="172"/>
      <c r="BN67" s="172"/>
      <c r="BO67" s="214" t="e">
        <f>_xll.LVCELL($AM$1,BO$2,$AM67,$AN$2,$AM$4,$AM$5,$AM$6,$AM$7,$AM$8,$AN$3)/1000</f>
        <v>#VALUE!</v>
      </c>
      <c r="BP67" s="291" t="e">
        <f t="shared" si="1"/>
        <v>#VALUE!</v>
      </c>
      <c r="BQ67" s="214"/>
      <c r="BR67" s="217"/>
      <c r="BS67" s="218"/>
      <c r="BT67" s="193"/>
      <c r="BU67" s="172"/>
      <c r="BW67" s="198"/>
      <c r="BX67" s="198"/>
      <c r="BY67" s="198"/>
      <c r="BZ67" s="199"/>
      <c r="CB67" s="200"/>
      <c r="CC67" s="200"/>
      <c r="CD67" s="200"/>
    </row>
    <row r="68" spans="1:82">
      <c r="B68" s="64" t="s">
        <v>379</v>
      </c>
      <c r="C68" s="64" t="s">
        <v>379</v>
      </c>
      <c r="D68" s="192" t="s">
        <v>494</v>
      </c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  <c r="AA68" s="172"/>
      <c r="AB68" s="172"/>
      <c r="AC68" s="172"/>
      <c r="AD68" s="172"/>
      <c r="AE68" s="172" t="e">
        <f>_xll.LVCELL($D$1,AE$2,$C68,$D$2,$C$4,$C$5,$C$6,$C$7,$C$8,$D$3)/1000</f>
        <v>#VALUE!</v>
      </c>
      <c r="AF68" s="172" t="e">
        <f t="shared" si="0"/>
        <v>#VALUE!</v>
      </c>
      <c r="AG68" s="172"/>
      <c r="AH68" s="193"/>
      <c r="AI68" s="207"/>
      <c r="AL68" s="64" t="s">
        <v>379</v>
      </c>
      <c r="AM68" s="64" t="s">
        <v>379</v>
      </c>
      <c r="AN68" s="192" t="s">
        <v>494</v>
      </c>
      <c r="AO68" s="172">
        <v>0</v>
      </c>
      <c r="AP68" s="172">
        <v>0</v>
      </c>
      <c r="AQ68" s="172">
        <v>0</v>
      </c>
      <c r="AR68" s="172">
        <v>0</v>
      </c>
      <c r="AS68" s="172">
        <v>0</v>
      </c>
      <c r="AT68" s="172">
        <v>0</v>
      </c>
      <c r="AU68" s="172">
        <v>0</v>
      </c>
      <c r="AV68" s="172">
        <v>0</v>
      </c>
      <c r="AW68" s="172">
        <v>0</v>
      </c>
      <c r="AX68" s="172">
        <v>0</v>
      </c>
      <c r="AY68" s="172">
        <v>0</v>
      </c>
      <c r="AZ68" s="172">
        <v>0</v>
      </c>
      <c r="BA68" s="172"/>
      <c r="BB68" s="172"/>
      <c r="BC68" s="172"/>
      <c r="BD68" s="172"/>
      <c r="BE68" s="172"/>
      <c r="BF68" s="172"/>
      <c r="BG68" s="172"/>
      <c r="BH68" s="172"/>
      <c r="BI68" s="172"/>
      <c r="BJ68" s="172"/>
      <c r="BK68" s="172"/>
      <c r="BL68" s="172"/>
      <c r="BM68" s="172"/>
      <c r="BN68" s="172"/>
      <c r="BO68" s="214" t="e">
        <f>_xll.LVCELL($AM$1,BO$2,$AM68,$AN$2,$AM$4,$AM$5,$AM$6,$AM$7,$AM$8,$AN$3)/1000</f>
        <v>#VALUE!</v>
      </c>
      <c r="BP68" s="291" t="e">
        <f t="shared" si="1"/>
        <v>#VALUE!</v>
      </c>
      <c r="BQ68" s="214"/>
      <c r="BR68" s="217"/>
      <c r="BS68" s="218"/>
      <c r="BT68" s="193"/>
      <c r="BU68" s="172"/>
      <c r="BW68" s="198"/>
      <c r="BX68" s="198"/>
      <c r="BY68" s="198"/>
      <c r="BZ68" s="199"/>
      <c r="CB68" s="200"/>
      <c r="CC68" s="200"/>
      <c r="CD68" s="200"/>
    </row>
    <row r="69" spans="1:82">
      <c r="B69" s="64" t="s">
        <v>384</v>
      </c>
      <c r="C69" s="64" t="s">
        <v>384</v>
      </c>
      <c r="D69" s="192" t="s">
        <v>495</v>
      </c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2"/>
      <c r="AA69" s="172"/>
      <c r="AB69" s="172"/>
      <c r="AC69" s="172"/>
      <c r="AD69" s="172"/>
      <c r="AE69" s="172" t="e">
        <f>_xll.LVCELL($D$1,AE$2,$C69,$D$2,$C$4,$C$5,$C$6,$C$7,$C$8,$D$3)/1000</f>
        <v>#VALUE!</v>
      </c>
      <c r="AF69" s="172" t="e">
        <f t="shared" si="0"/>
        <v>#VALUE!</v>
      </c>
      <c r="AG69" s="172"/>
      <c r="AH69" s="193"/>
      <c r="AI69" s="207"/>
      <c r="AL69" s="64" t="s">
        <v>384</v>
      </c>
      <c r="AM69" s="64" t="s">
        <v>384</v>
      </c>
      <c r="AN69" s="192" t="s">
        <v>495</v>
      </c>
      <c r="AO69" s="172">
        <v>0</v>
      </c>
      <c r="AP69" s="172">
        <v>0</v>
      </c>
      <c r="AQ69" s="172">
        <v>0</v>
      </c>
      <c r="AR69" s="172">
        <v>0</v>
      </c>
      <c r="AS69" s="172">
        <v>0</v>
      </c>
      <c r="AT69" s="172">
        <v>0</v>
      </c>
      <c r="AU69" s="172">
        <v>0</v>
      </c>
      <c r="AV69" s="172">
        <v>0</v>
      </c>
      <c r="AW69" s="172">
        <v>0</v>
      </c>
      <c r="AX69" s="172">
        <v>0</v>
      </c>
      <c r="AY69" s="172">
        <v>0</v>
      </c>
      <c r="AZ69" s="172">
        <v>0</v>
      </c>
      <c r="BA69" s="172"/>
      <c r="BB69" s="172"/>
      <c r="BC69" s="172"/>
      <c r="BD69" s="172"/>
      <c r="BE69" s="172"/>
      <c r="BF69" s="172"/>
      <c r="BG69" s="172"/>
      <c r="BH69" s="172"/>
      <c r="BI69" s="172"/>
      <c r="BJ69" s="172"/>
      <c r="BK69" s="172"/>
      <c r="BL69" s="172"/>
      <c r="BM69" s="172"/>
      <c r="BN69" s="172"/>
      <c r="BO69" s="214" t="e">
        <f>_xll.LVCELL($AM$1,BO$2,$AM69,$AN$2,$AM$4,$AM$5,$AM$6,$AM$7,$AM$8,$AN$3)/1000</f>
        <v>#VALUE!</v>
      </c>
      <c r="BP69" s="291" t="e">
        <f t="shared" si="1"/>
        <v>#VALUE!</v>
      </c>
      <c r="BQ69" s="214"/>
      <c r="BR69" s="217"/>
      <c r="BS69" s="218"/>
      <c r="BT69" s="193"/>
      <c r="BU69" s="172"/>
      <c r="BW69" s="198"/>
      <c r="BX69" s="198"/>
      <c r="BY69" s="198"/>
      <c r="BZ69" s="199"/>
      <c r="CB69" s="200"/>
      <c r="CC69" s="200"/>
      <c r="CD69" s="200"/>
    </row>
    <row r="70" spans="1:82">
      <c r="B70" s="64" t="s">
        <v>381</v>
      </c>
      <c r="C70" s="64" t="s">
        <v>381</v>
      </c>
      <c r="D70" s="192" t="s">
        <v>496</v>
      </c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2"/>
      <c r="AA70" s="172"/>
      <c r="AB70" s="172"/>
      <c r="AC70" s="172"/>
      <c r="AD70" s="172"/>
      <c r="AE70" s="172" t="e">
        <f>_xll.LVCELL($D$1,AE$2,$C70,$D$2,$C$4,$C$5,$C$6,$C$7,$C$8,$D$3)/1000</f>
        <v>#VALUE!</v>
      </c>
      <c r="AF70" s="172" t="e">
        <f t="shared" si="0"/>
        <v>#VALUE!</v>
      </c>
      <c r="AG70" s="172"/>
      <c r="AH70" s="193"/>
      <c r="AI70" s="207"/>
      <c r="AL70" s="64" t="s">
        <v>381</v>
      </c>
      <c r="AM70" s="64" t="s">
        <v>381</v>
      </c>
      <c r="AN70" s="192" t="s">
        <v>496</v>
      </c>
      <c r="AO70" s="172">
        <v>0</v>
      </c>
      <c r="AP70" s="172">
        <v>0</v>
      </c>
      <c r="AQ70" s="172">
        <v>0</v>
      </c>
      <c r="AR70" s="172">
        <v>0</v>
      </c>
      <c r="AS70" s="172">
        <v>0</v>
      </c>
      <c r="AT70" s="172">
        <v>0</v>
      </c>
      <c r="AU70" s="172">
        <v>0</v>
      </c>
      <c r="AV70" s="172">
        <v>0</v>
      </c>
      <c r="AW70" s="172">
        <v>0</v>
      </c>
      <c r="AX70" s="172">
        <v>0</v>
      </c>
      <c r="AY70" s="172">
        <v>0</v>
      </c>
      <c r="AZ70" s="172">
        <v>0</v>
      </c>
      <c r="BA70" s="172"/>
      <c r="BB70" s="172"/>
      <c r="BC70" s="172"/>
      <c r="BD70" s="172"/>
      <c r="BE70" s="172"/>
      <c r="BF70" s="172"/>
      <c r="BG70" s="172"/>
      <c r="BH70" s="172"/>
      <c r="BI70" s="172"/>
      <c r="BJ70" s="172"/>
      <c r="BK70" s="172"/>
      <c r="BL70" s="172"/>
      <c r="BM70" s="172"/>
      <c r="BN70" s="172"/>
      <c r="BO70" s="214" t="e">
        <f>_xll.LVCELL($AM$1,BO$2,$AM70,$AN$2,$AM$4,$AM$5,$AM$6,$AM$7,$AM$8,$AN$3)/1000</f>
        <v>#VALUE!</v>
      </c>
      <c r="BP70" s="291" t="e">
        <f t="shared" si="1"/>
        <v>#VALUE!</v>
      </c>
      <c r="BQ70" s="214"/>
      <c r="BR70" s="217"/>
      <c r="BS70" s="218"/>
      <c r="BT70" s="193"/>
      <c r="BU70" s="172"/>
      <c r="BW70" s="198"/>
      <c r="BX70" s="198"/>
      <c r="BY70" s="198"/>
      <c r="BZ70" s="199"/>
      <c r="CB70" s="200"/>
      <c r="CC70" s="200"/>
      <c r="CD70" s="200"/>
    </row>
    <row r="71" spans="1:82">
      <c r="B71" s="64" t="s">
        <v>385</v>
      </c>
      <c r="C71" s="64" t="s">
        <v>385</v>
      </c>
      <c r="D71" s="192" t="s">
        <v>497</v>
      </c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2"/>
      <c r="AA71" s="172"/>
      <c r="AB71" s="172"/>
      <c r="AC71" s="172"/>
      <c r="AD71" s="172"/>
      <c r="AE71" s="172" t="e">
        <f>_xll.LVCELL($D$1,AE$2,$C71,$D$2,$C$4,$C$5,$C$6,$C$7,$C$8,$D$3)/1000</f>
        <v>#VALUE!</v>
      </c>
      <c r="AF71" s="172" t="e">
        <f t="shared" si="0"/>
        <v>#VALUE!</v>
      </c>
      <c r="AG71" s="172"/>
      <c r="AH71" s="193"/>
      <c r="AI71" s="207"/>
      <c r="AL71" s="64" t="s">
        <v>385</v>
      </c>
      <c r="AM71" s="64" t="s">
        <v>385</v>
      </c>
      <c r="AN71" s="192" t="s">
        <v>497</v>
      </c>
      <c r="AO71" s="172">
        <v>0</v>
      </c>
      <c r="AP71" s="172">
        <v>0</v>
      </c>
      <c r="AQ71" s="172">
        <v>0</v>
      </c>
      <c r="AR71" s="172">
        <v>0</v>
      </c>
      <c r="AS71" s="172">
        <v>0</v>
      </c>
      <c r="AT71" s="172">
        <v>0</v>
      </c>
      <c r="AU71" s="172">
        <v>0</v>
      </c>
      <c r="AV71" s="172">
        <v>0</v>
      </c>
      <c r="AW71" s="172">
        <v>0</v>
      </c>
      <c r="AX71" s="172">
        <v>0</v>
      </c>
      <c r="AY71" s="172">
        <v>0</v>
      </c>
      <c r="AZ71" s="172">
        <v>0</v>
      </c>
      <c r="BA71" s="172"/>
      <c r="BB71" s="172"/>
      <c r="BC71" s="172"/>
      <c r="BD71" s="172"/>
      <c r="BE71" s="172"/>
      <c r="BF71" s="172"/>
      <c r="BG71" s="172"/>
      <c r="BH71" s="172"/>
      <c r="BI71" s="172"/>
      <c r="BJ71" s="172"/>
      <c r="BK71" s="172"/>
      <c r="BL71" s="172"/>
      <c r="BM71" s="172"/>
      <c r="BN71" s="172"/>
      <c r="BO71" s="214" t="e">
        <f>_xll.LVCELL($AM$1,BO$2,$AM71,$AN$2,$AM$4,$AM$5,$AM$6,$AM$7,$AM$8,$AN$3)/1000</f>
        <v>#VALUE!</v>
      </c>
      <c r="BP71" s="291" t="e">
        <f t="shared" si="1"/>
        <v>#VALUE!</v>
      </c>
      <c r="BQ71" s="214"/>
      <c r="BR71" s="217"/>
      <c r="BS71" s="218"/>
      <c r="BT71" s="193"/>
      <c r="BU71" s="172"/>
      <c r="BW71" s="198"/>
      <c r="BX71" s="198"/>
      <c r="BY71" s="198"/>
      <c r="BZ71" s="199"/>
      <c r="CB71" s="200"/>
      <c r="CC71" s="200"/>
      <c r="CD71" s="200"/>
    </row>
    <row r="72" spans="1:82">
      <c r="B72" s="64" t="s">
        <v>816</v>
      </c>
      <c r="C72" s="64" t="s">
        <v>816</v>
      </c>
      <c r="D72" s="192" t="s">
        <v>815</v>
      </c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  <c r="AA72" s="172"/>
      <c r="AB72" s="172"/>
      <c r="AC72" s="172"/>
      <c r="AD72" s="172"/>
      <c r="AE72" s="172" t="e">
        <f>_xll.LVCELL($D$1,AE$2,$C72,$D$2,$C$4,$C$5,$C$6,$C$7,$C$8,$D$3)/1000</f>
        <v>#VALUE!</v>
      </c>
      <c r="AF72" s="172" t="e">
        <f t="shared" si="0"/>
        <v>#VALUE!</v>
      </c>
      <c r="AG72" s="172"/>
      <c r="AH72" s="193"/>
      <c r="AI72" s="207"/>
      <c r="AL72" s="64" t="s">
        <v>816</v>
      </c>
      <c r="AM72" s="64" t="s">
        <v>816</v>
      </c>
      <c r="AN72" s="192" t="s">
        <v>815</v>
      </c>
      <c r="AO72" s="172">
        <v>0</v>
      </c>
      <c r="AP72" s="172">
        <v>0</v>
      </c>
      <c r="AQ72" s="172">
        <v>0</v>
      </c>
      <c r="AR72" s="172">
        <v>0</v>
      </c>
      <c r="AS72" s="172">
        <v>0</v>
      </c>
      <c r="AT72" s="172">
        <v>0</v>
      </c>
      <c r="AU72" s="172">
        <v>0</v>
      </c>
      <c r="AV72" s="172">
        <v>0</v>
      </c>
      <c r="AW72" s="172">
        <v>0</v>
      </c>
      <c r="AX72" s="172">
        <v>0</v>
      </c>
      <c r="AY72" s="172">
        <v>0</v>
      </c>
      <c r="AZ72" s="172">
        <v>0</v>
      </c>
      <c r="BA72" s="172"/>
      <c r="BB72" s="172"/>
      <c r="BC72" s="172"/>
      <c r="BD72" s="172"/>
      <c r="BE72" s="172"/>
      <c r="BF72" s="172"/>
      <c r="BG72" s="172"/>
      <c r="BH72" s="172"/>
      <c r="BI72" s="172"/>
      <c r="BJ72" s="172"/>
      <c r="BK72" s="172"/>
      <c r="BL72" s="172"/>
      <c r="BM72" s="172"/>
      <c r="BN72" s="172"/>
      <c r="BO72" s="214" t="e">
        <f>_xll.LVCELL($AM$1,BO$2,$AM72,$AN$2,$AM$4,$AM$5,$AM$6,$AM$7,$AM$8,$AN$3)/1000</f>
        <v>#VALUE!</v>
      </c>
      <c r="BP72" s="291" t="e">
        <f t="shared" si="1"/>
        <v>#VALUE!</v>
      </c>
      <c r="BQ72" s="214"/>
      <c r="BR72" s="217"/>
      <c r="BS72" s="218"/>
      <c r="BT72" s="193"/>
      <c r="BU72" s="172"/>
      <c r="BW72" s="198"/>
      <c r="BX72" s="198"/>
      <c r="BY72" s="198"/>
      <c r="BZ72" s="199"/>
      <c r="CB72" s="200"/>
      <c r="CC72" s="200"/>
      <c r="CD72" s="200"/>
    </row>
    <row r="73" spans="1:82" s="4" customFormat="1">
      <c r="A73" s="63"/>
      <c r="B73" s="63" t="s">
        <v>817</v>
      </c>
      <c r="C73" s="63" t="s">
        <v>817</v>
      </c>
      <c r="D73" s="192" t="s">
        <v>818</v>
      </c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 t="e">
        <f>_xll.LVCELL($D$1,AE$2,$C73,$D$2,$C$4,$C$5,$C$6,$C$7,$C$8,$D$3)/1000</f>
        <v>#VALUE!</v>
      </c>
      <c r="AF73" s="172" t="e">
        <f t="shared" si="0"/>
        <v>#VALUE!</v>
      </c>
      <c r="AG73" s="172"/>
      <c r="AH73" s="193"/>
      <c r="AI73" s="172"/>
      <c r="AK73" s="63"/>
      <c r="AL73" s="63" t="s">
        <v>817</v>
      </c>
      <c r="AM73" s="63" t="s">
        <v>817</v>
      </c>
      <c r="AN73" s="192" t="s">
        <v>818</v>
      </c>
      <c r="AO73" s="172">
        <v>0</v>
      </c>
      <c r="AP73" s="172">
        <v>0</v>
      </c>
      <c r="AQ73" s="172">
        <v>0</v>
      </c>
      <c r="AR73" s="172">
        <v>0</v>
      </c>
      <c r="AS73" s="172">
        <v>0</v>
      </c>
      <c r="AT73" s="172">
        <v>0</v>
      </c>
      <c r="AU73" s="172">
        <v>0</v>
      </c>
      <c r="AV73" s="172">
        <v>0</v>
      </c>
      <c r="AW73" s="172">
        <v>0</v>
      </c>
      <c r="AX73" s="172">
        <v>0</v>
      </c>
      <c r="AY73" s="172">
        <v>0</v>
      </c>
      <c r="AZ73" s="172">
        <v>0</v>
      </c>
      <c r="BA73" s="172"/>
      <c r="BB73" s="172"/>
      <c r="BC73" s="172"/>
      <c r="BD73" s="172"/>
      <c r="BE73" s="172"/>
      <c r="BF73" s="172"/>
      <c r="BG73" s="172"/>
      <c r="BH73" s="172"/>
      <c r="BI73" s="172"/>
      <c r="BJ73" s="172"/>
      <c r="BK73" s="172"/>
      <c r="BL73" s="172"/>
      <c r="BM73" s="172"/>
      <c r="BN73" s="172"/>
      <c r="BO73" s="214" t="e">
        <f>_xll.LVCELL($AM$1,BO$2,$AM73,$AN$2,$AM$4,$AM$5,$AM$6,$AM$7,$AM$8,$AN$3)/1000</f>
        <v>#VALUE!</v>
      </c>
      <c r="BP73" s="291" t="e">
        <f t="shared" si="1"/>
        <v>#VALUE!</v>
      </c>
      <c r="BQ73" s="214"/>
      <c r="BR73" s="217"/>
      <c r="BS73" s="218"/>
      <c r="BT73" s="193"/>
      <c r="BU73" s="172"/>
      <c r="BW73" s="198"/>
      <c r="BX73" s="198"/>
      <c r="BY73" s="198"/>
      <c r="BZ73" s="199"/>
      <c r="CB73" s="200"/>
      <c r="CC73" s="200"/>
      <c r="CD73" s="200"/>
    </row>
    <row r="74" spans="1:82">
      <c r="B74" s="64" t="s">
        <v>820</v>
      </c>
      <c r="C74" s="107" t="s">
        <v>820</v>
      </c>
      <c r="D74" s="192" t="s">
        <v>819</v>
      </c>
      <c r="E74" s="183"/>
      <c r="F74" s="183"/>
      <c r="G74" s="183"/>
      <c r="H74" s="183"/>
      <c r="I74" s="183"/>
      <c r="J74" s="183"/>
      <c r="K74" s="172"/>
      <c r="L74" s="172"/>
      <c r="M74" s="172"/>
      <c r="N74" s="172"/>
      <c r="O74" s="172"/>
      <c r="P74" s="172"/>
      <c r="Q74" s="172"/>
      <c r="R74" s="183"/>
      <c r="S74" s="183"/>
      <c r="T74" s="183"/>
      <c r="U74" s="183"/>
      <c r="V74" s="183"/>
      <c r="W74" s="183"/>
      <c r="X74" s="172"/>
      <c r="Y74" s="172"/>
      <c r="Z74" s="172"/>
      <c r="AA74" s="172"/>
      <c r="AB74" s="172"/>
      <c r="AC74" s="172"/>
      <c r="AD74" s="172"/>
      <c r="AE74" s="172" t="e">
        <f>_xll.LVCELL($D$1,AE$2,$C74,$D$2,$C$4,$C$5,$C$6,$C$7,$C$8,$D$3)/1000</f>
        <v>#VALUE!</v>
      </c>
      <c r="AF74" s="172" t="e">
        <f t="shared" si="0"/>
        <v>#VALUE!</v>
      </c>
      <c r="AG74" s="172"/>
      <c r="AH74" s="193"/>
      <c r="AI74" s="172"/>
      <c r="AL74" s="64" t="s">
        <v>820</v>
      </c>
      <c r="AM74" s="107" t="s">
        <v>820</v>
      </c>
      <c r="AN74" s="192" t="s">
        <v>819</v>
      </c>
      <c r="AO74" s="183">
        <v>0</v>
      </c>
      <c r="AP74" s="183">
        <v>0</v>
      </c>
      <c r="AQ74" s="183">
        <v>0</v>
      </c>
      <c r="AR74" s="183">
        <v>0</v>
      </c>
      <c r="AS74" s="183">
        <v>0</v>
      </c>
      <c r="AT74" s="183">
        <v>0</v>
      </c>
      <c r="AU74" s="172">
        <v>0</v>
      </c>
      <c r="AV74" s="172">
        <v>0</v>
      </c>
      <c r="AW74" s="172">
        <v>0</v>
      </c>
      <c r="AX74" s="172">
        <v>0</v>
      </c>
      <c r="AY74" s="172">
        <v>0</v>
      </c>
      <c r="AZ74" s="172">
        <v>0</v>
      </c>
      <c r="BA74" s="172"/>
      <c r="BB74" s="183"/>
      <c r="BC74" s="183"/>
      <c r="BD74" s="183"/>
      <c r="BE74" s="183"/>
      <c r="BF74" s="183"/>
      <c r="BG74" s="183"/>
      <c r="BH74" s="172"/>
      <c r="BI74" s="172"/>
      <c r="BJ74" s="172"/>
      <c r="BK74" s="172"/>
      <c r="BL74" s="172"/>
      <c r="BM74" s="172"/>
      <c r="BN74" s="172"/>
      <c r="BO74" s="214" t="e">
        <f>_xll.LVCELL($AM$1,BO$2,$AM74,$AN$2,$AM$4,$AM$5,$AM$6,$AM$7,$AM$8,$AN$3)/1000</f>
        <v>#VALUE!</v>
      </c>
      <c r="BP74" s="291" t="e">
        <f t="shared" si="1"/>
        <v>#VALUE!</v>
      </c>
      <c r="BQ74" s="214"/>
      <c r="BR74" s="217"/>
      <c r="BS74" s="218"/>
      <c r="BT74" s="193"/>
      <c r="BU74" s="172"/>
      <c r="BW74" s="198"/>
      <c r="BX74" s="198"/>
      <c r="BY74" s="198"/>
      <c r="BZ74" s="199"/>
      <c r="CB74" s="200"/>
      <c r="CC74" s="200"/>
      <c r="CD74" s="200"/>
    </row>
    <row r="75" spans="1:82">
      <c r="B75" s="64" t="s">
        <v>822</v>
      </c>
      <c r="C75" s="107" t="s">
        <v>822</v>
      </c>
      <c r="D75" s="192" t="s">
        <v>821</v>
      </c>
      <c r="E75" s="183"/>
      <c r="F75" s="183"/>
      <c r="G75" s="183"/>
      <c r="H75" s="183"/>
      <c r="I75" s="183"/>
      <c r="J75" s="183"/>
      <c r="K75" s="183"/>
      <c r="L75" s="183"/>
      <c r="M75" s="172"/>
      <c r="N75" s="172"/>
      <c r="O75" s="172"/>
      <c r="P75" s="172"/>
      <c r="Q75" s="172"/>
      <c r="R75" s="183"/>
      <c r="S75" s="183"/>
      <c r="T75" s="183"/>
      <c r="U75" s="183"/>
      <c r="V75" s="183"/>
      <c r="W75" s="183"/>
      <c r="X75" s="183"/>
      <c r="Y75" s="183"/>
      <c r="Z75" s="172"/>
      <c r="AA75" s="172"/>
      <c r="AB75" s="172"/>
      <c r="AC75" s="172"/>
      <c r="AD75" s="172"/>
      <c r="AE75" s="172" t="e">
        <f>_xll.LVCELL($D$1,AE$2,$C75,$D$2,$C$4,$C$5,$C$6,$C$7,$C$8,$D$3)/1000</f>
        <v>#VALUE!</v>
      </c>
      <c r="AF75" s="172" t="e">
        <f t="shared" si="0"/>
        <v>#VALUE!</v>
      </c>
      <c r="AG75" s="172"/>
      <c r="AH75" s="193"/>
      <c r="AI75" s="172"/>
      <c r="AL75" s="64" t="s">
        <v>822</v>
      </c>
      <c r="AM75" s="107" t="s">
        <v>822</v>
      </c>
      <c r="AN75" s="192" t="s">
        <v>821</v>
      </c>
      <c r="AO75" s="183">
        <v>0</v>
      </c>
      <c r="AP75" s="183">
        <v>0</v>
      </c>
      <c r="AQ75" s="183">
        <v>0</v>
      </c>
      <c r="AR75" s="183">
        <v>0</v>
      </c>
      <c r="AS75" s="183">
        <v>0</v>
      </c>
      <c r="AT75" s="183">
        <v>0</v>
      </c>
      <c r="AU75" s="183">
        <v>0</v>
      </c>
      <c r="AV75" s="183">
        <v>0</v>
      </c>
      <c r="AW75" s="172">
        <v>0</v>
      </c>
      <c r="AX75" s="172">
        <v>0</v>
      </c>
      <c r="AY75" s="172">
        <v>0</v>
      </c>
      <c r="AZ75" s="172">
        <v>0</v>
      </c>
      <c r="BA75" s="172"/>
      <c r="BB75" s="183"/>
      <c r="BC75" s="183"/>
      <c r="BD75" s="183"/>
      <c r="BE75" s="183"/>
      <c r="BF75" s="183"/>
      <c r="BG75" s="183"/>
      <c r="BH75" s="183"/>
      <c r="BI75" s="183"/>
      <c r="BJ75" s="172"/>
      <c r="BK75" s="172"/>
      <c r="BL75" s="172"/>
      <c r="BM75" s="172"/>
      <c r="BN75" s="172"/>
      <c r="BO75" s="214" t="e">
        <f>_xll.LVCELL($AM$1,BO$2,$AM75,$AN$2,$AM$4,$AM$5,$AM$6,$AM$7,$AM$8,$AN$3)/1000</f>
        <v>#VALUE!</v>
      </c>
      <c r="BP75" s="291" t="e">
        <f t="shared" si="1"/>
        <v>#VALUE!</v>
      </c>
      <c r="BQ75" s="214"/>
      <c r="BR75" s="217"/>
      <c r="BS75" s="218"/>
      <c r="BT75" s="193"/>
      <c r="BU75" s="172"/>
      <c r="BW75" s="198"/>
      <c r="BX75" s="198"/>
      <c r="BY75" s="198"/>
      <c r="BZ75" s="199"/>
      <c r="CB75" s="200"/>
      <c r="CC75" s="200"/>
      <c r="CD75" s="200"/>
    </row>
    <row r="76" spans="1:82">
      <c r="B76" s="64" t="s">
        <v>824</v>
      </c>
      <c r="C76" s="107" t="s">
        <v>824</v>
      </c>
      <c r="D76" s="192" t="s">
        <v>2639</v>
      </c>
      <c r="E76" s="183"/>
      <c r="F76" s="183"/>
      <c r="G76" s="183"/>
      <c r="H76" s="183"/>
      <c r="I76" s="183"/>
      <c r="J76" s="183"/>
      <c r="K76" s="172"/>
      <c r="L76" s="172"/>
      <c r="M76" s="172"/>
      <c r="N76" s="172"/>
      <c r="O76" s="172"/>
      <c r="P76" s="172"/>
      <c r="Q76" s="172"/>
      <c r="R76" s="183"/>
      <c r="S76" s="183"/>
      <c r="T76" s="183"/>
      <c r="U76" s="183"/>
      <c r="V76" s="183"/>
      <c r="W76" s="183"/>
      <c r="X76" s="172"/>
      <c r="Y76" s="172"/>
      <c r="Z76" s="172"/>
      <c r="AA76" s="172"/>
      <c r="AB76" s="172"/>
      <c r="AC76" s="172"/>
      <c r="AD76" s="172"/>
      <c r="AE76" s="172" t="e">
        <f>_xll.LVCELL($D$1,AE$2,$C76,$D$2,$C$4,$C$5,$C$6,$C$7,$C$8,$D$3)/1000</f>
        <v>#VALUE!</v>
      </c>
      <c r="AF76" s="172" t="e">
        <f t="shared" si="0"/>
        <v>#VALUE!</v>
      </c>
      <c r="AG76" s="172"/>
      <c r="AH76" s="193"/>
      <c r="AI76" s="172"/>
      <c r="AL76" s="64" t="s">
        <v>824</v>
      </c>
      <c r="AM76" s="107" t="s">
        <v>824</v>
      </c>
      <c r="AN76" s="192" t="s">
        <v>2639</v>
      </c>
      <c r="AO76" s="183">
        <v>0</v>
      </c>
      <c r="AP76" s="183">
        <v>0</v>
      </c>
      <c r="AQ76" s="183">
        <v>0</v>
      </c>
      <c r="AR76" s="183">
        <v>0</v>
      </c>
      <c r="AS76" s="183">
        <v>0</v>
      </c>
      <c r="AT76" s="183">
        <v>0</v>
      </c>
      <c r="AU76" s="172">
        <v>0</v>
      </c>
      <c r="AV76" s="172">
        <v>0</v>
      </c>
      <c r="AW76" s="172">
        <v>0</v>
      </c>
      <c r="AX76" s="172">
        <v>0</v>
      </c>
      <c r="AY76" s="172">
        <v>0</v>
      </c>
      <c r="AZ76" s="172">
        <v>0</v>
      </c>
      <c r="BA76" s="172"/>
      <c r="BB76" s="183"/>
      <c r="BC76" s="183"/>
      <c r="BD76" s="183"/>
      <c r="BE76" s="183"/>
      <c r="BF76" s="183"/>
      <c r="BG76" s="183"/>
      <c r="BH76" s="172"/>
      <c r="BI76" s="172"/>
      <c r="BJ76" s="172"/>
      <c r="BK76" s="172"/>
      <c r="BL76" s="172"/>
      <c r="BM76" s="172"/>
      <c r="BN76" s="172"/>
      <c r="BO76" s="214" t="e">
        <f>_xll.LVCELL($AM$1,BO$2,$AM76,$AN$2,$AM$4,$AM$5,$AM$6,$AM$7,$AM$8,$AN$3)/1000</f>
        <v>#VALUE!</v>
      </c>
      <c r="BP76" s="291" t="e">
        <f t="shared" si="1"/>
        <v>#VALUE!</v>
      </c>
      <c r="BQ76" s="214"/>
      <c r="BR76" s="217"/>
      <c r="BS76" s="218"/>
      <c r="BT76" s="193"/>
      <c r="BU76" s="172"/>
      <c r="BW76" s="198"/>
      <c r="BX76" s="198"/>
      <c r="BY76" s="198"/>
      <c r="BZ76" s="199"/>
      <c r="CB76" s="200"/>
      <c r="CC76" s="200"/>
      <c r="CD76" s="200"/>
    </row>
    <row r="77" spans="1:82">
      <c r="B77" s="64" t="s">
        <v>826</v>
      </c>
      <c r="C77" s="107" t="s">
        <v>826</v>
      </c>
      <c r="D77" s="192" t="s">
        <v>2640</v>
      </c>
      <c r="E77" s="183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2"/>
      <c r="R77" s="183"/>
      <c r="S77" s="172"/>
      <c r="T77" s="172"/>
      <c r="U77" s="172"/>
      <c r="V77" s="172"/>
      <c r="W77" s="172"/>
      <c r="X77" s="172"/>
      <c r="Y77" s="172"/>
      <c r="Z77" s="172"/>
      <c r="AA77" s="172"/>
      <c r="AB77" s="172"/>
      <c r="AC77" s="172"/>
      <c r="AD77" s="172"/>
      <c r="AE77" s="172" t="e">
        <f>_xll.LVCELL($D$1,AE$2,$C77,$D$2,$C$4,$C$5,$C$6,$C$7,$C$8,$D$3)/1000</f>
        <v>#VALUE!</v>
      </c>
      <c r="AF77" s="172" t="e">
        <f>+AE77-AD77</f>
        <v>#VALUE!</v>
      </c>
      <c r="AG77" s="172"/>
      <c r="AH77" s="193"/>
      <c r="AI77" s="172"/>
      <c r="AL77" s="64" t="s">
        <v>826</v>
      </c>
      <c r="AM77" s="107" t="s">
        <v>826</v>
      </c>
      <c r="AN77" s="192" t="s">
        <v>2640</v>
      </c>
      <c r="AO77" s="183">
        <v>0</v>
      </c>
      <c r="AP77" s="172">
        <v>0</v>
      </c>
      <c r="AQ77" s="172">
        <v>0</v>
      </c>
      <c r="AR77" s="172">
        <v>0</v>
      </c>
      <c r="AS77" s="172">
        <v>0</v>
      </c>
      <c r="AT77" s="172">
        <v>0</v>
      </c>
      <c r="AU77" s="172">
        <v>0</v>
      </c>
      <c r="AV77" s="172">
        <v>0</v>
      </c>
      <c r="AW77" s="172">
        <v>0</v>
      </c>
      <c r="AX77" s="172">
        <v>0</v>
      </c>
      <c r="AY77" s="172">
        <v>0</v>
      </c>
      <c r="AZ77" s="172">
        <v>0</v>
      </c>
      <c r="BA77" s="172"/>
      <c r="BB77" s="183"/>
      <c r="BC77" s="172"/>
      <c r="BD77" s="172"/>
      <c r="BE77" s="172"/>
      <c r="BF77" s="172"/>
      <c r="BG77" s="172"/>
      <c r="BH77" s="172"/>
      <c r="BI77" s="172"/>
      <c r="BJ77" s="172"/>
      <c r="BK77" s="172"/>
      <c r="BL77" s="172"/>
      <c r="BM77" s="172"/>
      <c r="BN77" s="172"/>
      <c r="BO77" s="214" t="e">
        <f>_xll.LVCELL($AM$1,BO$2,$AM77,$AN$2,$AM$4,$AM$5,$AM$6,$AM$7,$AM$8,$AN$3)/1000</f>
        <v>#VALUE!</v>
      </c>
      <c r="BP77" s="291" t="e">
        <f>+BO77-BN77</f>
        <v>#VALUE!</v>
      </c>
      <c r="BQ77" s="214"/>
      <c r="BR77" s="217"/>
      <c r="BS77" s="218"/>
      <c r="BT77" s="193"/>
      <c r="BU77" s="172"/>
      <c r="BW77" s="198"/>
      <c r="BX77" s="198"/>
      <c r="BY77" s="198"/>
      <c r="BZ77" s="199"/>
      <c r="CB77" s="200"/>
      <c r="CC77" s="200"/>
      <c r="CD77" s="200"/>
    </row>
    <row r="78" spans="1:82">
      <c r="B78" s="64" t="s">
        <v>499</v>
      </c>
      <c r="C78" s="64" t="s">
        <v>499</v>
      </c>
      <c r="D78" s="192" t="s">
        <v>842</v>
      </c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2"/>
      <c r="R78" s="172"/>
      <c r="S78" s="172"/>
      <c r="T78" s="172"/>
      <c r="U78" s="172"/>
      <c r="V78" s="172"/>
      <c r="W78" s="172"/>
      <c r="X78" s="172"/>
      <c r="Y78" s="172"/>
      <c r="Z78" s="172"/>
      <c r="AA78" s="172"/>
      <c r="AB78" s="172"/>
      <c r="AC78" s="172"/>
      <c r="AD78" s="172"/>
      <c r="AE78" s="172" t="e">
        <f>_xll.LVCELL($D$1,AE$2,$C78,$D$2,$C$4,$C$5,$C$6,$C$7,$C$8,$D$3)/1000</f>
        <v>#VALUE!</v>
      </c>
      <c r="AF78" s="172" t="e">
        <f>+AE78-AD78</f>
        <v>#VALUE!</v>
      </c>
      <c r="AG78" s="172"/>
      <c r="AH78" s="193"/>
      <c r="AI78" s="172"/>
      <c r="AL78" s="64" t="s">
        <v>499</v>
      </c>
      <c r="AM78" s="64" t="s">
        <v>499</v>
      </c>
      <c r="AN78" s="192" t="s">
        <v>842</v>
      </c>
      <c r="AO78" s="172">
        <v>70.855098999999996</v>
      </c>
      <c r="AP78" s="172">
        <v>92.19698600000001</v>
      </c>
      <c r="AQ78" s="172">
        <v>127.197749</v>
      </c>
      <c r="AR78" s="172">
        <v>126.3440052</v>
      </c>
      <c r="AS78" s="172">
        <v>140.85653959999999</v>
      </c>
      <c r="AT78" s="172">
        <v>148.539636</v>
      </c>
      <c r="AU78" s="172">
        <v>157.07639079999998</v>
      </c>
      <c r="AV78" s="172">
        <v>146.83223379999998</v>
      </c>
      <c r="AW78" s="172">
        <v>81.505074559999997</v>
      </c>
      <c r="AX78" s="172">
        <v>95.611705000000001</v>
      </c>
      <c r="AY78" s="172">
        <v>68.186681089999993</v>
      </c>
      <c r="AZ78" s="172">
        <v>56.25395391</v>
      </c>
      <c r="BA78" s="172"/>
      <c r="BB78" s="172"/>
      <c r="BC78" s="172"/>
      <c r="BD78" s="172"/>
      <c r="BE78" s="172"/>
      <c r="BF78" s="172"/>
      <c r="BG78" s="172"/>
      <c r="BH78" s="172"/>
      <c r="BI78" s="172"/>
      <c r="BJ78" s="172"/>
      <c r="BK78" s="172"/>
      <c r="BL78" s="172"/>
      <c r="BM78" s="172"/>
      <c r="BN78" s="172"/>
      <c r="BO78" s="214" t="e">
        <f>_xll.LVCELL($AM$1,BO$2,$AM78,$AN$2,$AM$4,$AM$5,$AM$6,$AM$7,$AM$8,$AN$3)/1000</f>
        <v>#VALUE!</v>
      </c>
      <c r="BP78" s="291" t="e">
        <f>+BO78-BN78</f>
        <v>#VALUE!</v>
      </c>
      <c r="BQ78" s="214"/>
      <c r="BR78" s="217"/>
      <c r="BS78" s="218"/>
      <c r="BT78" s="193"/>
      <c r="BU78" s="172"/>
      <c r="BW78" s="198"/>
      <c r="BX78" s="198"/>
      <c r="BY78" s="198"/>
      <c r="BZ78" s="199"/>
      <c r="CB78" s="200"/>
      <c r="CC78" s="200"/>
      <c r="CD78" s="200"/>
    </row>
    <row r="79" spans="1:82">
      <c r="B79" s="64" t="s">
        <v>501</v>
      </c>
      <c r="C79" s="64" t="s">
        <v>501</v>
      </c>
      <c r="D79" s="192" t="s">
        <v>834</v>
      </c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172"/>
      <c r="V79" s="172"/>
      <c r="W79" s="172"/>
      <c r="X79" s="172"/>
      <c r="Y79" s="172"/>
      <c r="Z79" s="172"/>
      <c r="AA79" s="172"/>
      <c r="AB79" s="172"/>
      <c r="AC79" s="172"/>
      <c r="AD79" s="172"/>
      <c r="AE79" s="172" t="e">
        <f>_xll.LVCELL($D$1,AE$2,$C79,$D$2,$C$4,$C$5,$C$6,$C$7,$C$8,$D$3)/1000</f>
        <v>#VALUE!</v>
      </c>
      <c r="AF79" s="172" t="e">
        <f>+AE79-AD79</f>
        <v>#VALUE!</v>
      </c>
      <c r="AG79" s="172"/>
      <c r="AH79" s="193"/>
      <c r="AI79" s="172"/>
      <c r="AL79" s="64" t="s">
        <v>501</v>
      </c>
      <c r="AM79" s="64" t="s">
        <v>501</v>
      </c>
      <c r="AN79" s="192" t="s">
        <v>834</v>
      </c>
      <c r="AO79" s="172">
        <v>77.933335</v>
      </c>
      <c r="AP79" s="172">
        <v>117.29307875000001</v>
      </c>
      <c r="AQ79" s="172">
        <v>179.48621499999999</v>
      </c>
      <c r="AR79" s="172">
        <v>202.90434625</v>
      </c>
      <c r="AS79" s="172">
        <v>224.31338375000001</v>
      </c>
      <c r="AT79" s="172">
        <v>232.08129641000002</v>
      </c>
      <c r="AU79" s="172">
        <v>233.16849619000001</v>
      </c>
      <c r="AV79" s="172">
        <v>235.76235055000001</v>
      </c>
      <c r="AW79" s="172">
        <v>203.52894051999999</v>
      </c>
      <c r="AX79" s="172">
        <v>165.69445582999998</v>
      </c>
      <c r="AY79" s="172">
        <v>91.937726760000004</v>
      </c>
      <c r="AZ79" s="172">
        <v>95.185457030000009</v>
      </c>
      <c r="BA79" s="172"/>
      <c r="BB79" s="172"/>
      <c r="BC79" s="172"/>
      <c r="BD79" s="172"/>
      <c r="BE79" s="172"/>
      <c r="BF79" s="172"/>
      <c r="BG79" s="172"/>
      <c r="BH79" s="172"/>
      <c r="BI79" s="172"/>
      <c r="BJ79" s="172"/>
      <c r="BK79" s="172"/>
      <c r="BL79" s="172"/>
      <c r="BM79" s="172"/>
      <c r="BN79" s="172"/>
      <c r="BO79" s="214" t="e">
        <f>_xll.LVCELL($AM$1,BO$2,$AM79,$AN$2,$AM$4,$AM$5,$AM$6,$AM$7,$AM$8,$AN$3)/1000</f>
        <v>#VALUE!</v>
      </c>
      <c r="BP79" s="291" t="e">
        <f>+BO79-BN79</f>
        <v>#VALUE!</v>
      </c>
      <c r="BQ79" s="214"/>
      <c r="BR79" s="217"/>
      <c r="BS79" s="218"/>
      <c r="BT79" s="193"/>
      <c r="BU79" s="172"/>
      <c r="BW79" s="198"/>
      <c r="BX79" s="198"/>
      <c r="BY79" s="198"/>
      <c r="BZ79" s="199"/>
      <c r="CB79" s="200"/>
      <c r="CC79" s="200"/>
      <c r="CD79" s="200"/>
    </row>
    <row r="80" spans="1:82" ht="15.75" thickBot="1">
      <c r="B80" s="64" t="s">
        <v>830</v>
      </c>
      <c r="C80" s="64" t="s">
        <v>830</v>
      </c>
      <c r="D80" s="192" t="s">
        <v>831</v>
      </c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172"/>
      <c r="Z80" s="172"/>
      <c r="AA80" s="172"/>
      <c r="AB80" s="172"/>
      <c r="AC80" s="172"/>
      <c r="AD80" s="172"/>
      <c r="AE80" s="172" t="e">
        <f>_xll.LVCELL($D$1,AE$2,$C80,$D$2,$C$4,$C$5,$C$6,$C$7,$C$8,$D$3)/1000</f>
        <v>#VALUE!</v>
      </c>
      <c r="AF80" s="172" t="e">
        <f>+AE80-AD80</f>
        <v>#VALUE!</v>
      </c>
      <c r="AG80" s="172"/>
      <c r="AH80" s="193"/>
      <c r="AI80" s="172"/>
      <c r="AL80" s="64" t="s">
        <v>830</v>
      </c>
      <c r="AM80" s="64" t="s">
        <v>830</v>
      </c>
      <c r="AN80" s="192" t="s">
        <v>831</v>
      </c>
      <c r="AO80" s="172">
        <v>483.33300000000003</v>
      </c>
      <c r="AP80" s="172">
        <v>453.5385</v>
      </c>
      <c r="AQ80" s="172">
        <v>476.71199999999999</v>
      </c>
      <c r="AR80" s="172">
        <v>0</v>
      </c>
      <c r="AS80" s="172">
        <v>0</v>
      </c>
      <c r="AT80" s="172">
        <v>0</v>
      </c>
      <c r="AU80" s="172">
        <v>0</v>
      </c>
      <c r="AV80" s="172">
        <v>0</v>
      </c>
      <c r="AW80" s="172">
        <v>0</v>
      </c>
      <c r="AX80" s="172">
        <v>0</v>
      </c>
      <c r="AY80" s="172">
        <v>463.47</v>
      </c>
      <c r="AZ80" s="172">
        <v>496.57499999999999</v>
      </c>
      <c r="BA80" s="172"/>
      <c r="BB80" s="172"/>
      <c r="BC80" s="172"/>
      <c r="BD80" s="172"/>
      <c r="BE80" s="172"/>
      <c r="BF80" s="172"/>
      <c r="BG80" s="172"/>
      <c r="BH80" s="172"/>
      <c r="BI80" s="172"/>
      <c r="BJ80" s="172"/>
      <c r="BK80" s="172"/>
      <c r="BL80" s="172"/>
      <c r="BM80" s="172"/>
      <c r="BN80" s="172"/>
      <c r="BO80" s="214" t="e">
        <f>_xll.LVCELL($AM$1,BO$2,$AM80,$AN$2,$AM$4,$AM$5,$AM$6,$AM$7,$AM$8,$AN$3)/1000</f>
        <v>#VALUE!</v>
      </c>
      <c r="BP80" s="291" t="e">
        <f>+BO80-BN80</f>
        <v>#VALUE!</v>
      </c>
      <c r="BQ80" s="214"/>
      <c r="BR80" s="217"/>
      <c r="BS80" s="218"/>
      <c r="BT80" s="193"/>
      <c r="BU80" s="172"/>
      <c r="BW80" s="198"/>
      <c r="BX80" s="198"/>
      <c r="BY80" s="198"/>
      <c r="BZ80" s="199"/>
      <c r="CB80" s="200"/>
      <c r="CC80" s="201"/>
      <c r="CD80" s="200"/>
    </row>
    <row r="81" spans="1:82" s="52" customFormat="1" ht="15.75" thickBot="1">
      <c r="A81" s="113"/>
      <c r="B81" s="113"/>
      <c r="C81" s="113"/>
      <c r="D81" s="90" t="s">
        <v>2739</v>
      </c>
      <c r="E81" s="227"/>
      <c r="F81" s="227"/>
      <c r="G81" s="227"/>
      <c r="H81" s="227"/>
      <c r="I81" s="227"/>
      <c r="J81" s="227"/>
      <c r="K81" s="227"/>
      <c r="L81" s="227"/>
      <c r="M81" s="227"/>
      <c r="N81" s="227"/>
      <c r="O81" s="227"/>
      <c r="P81" s="228"/>
      <c r="Q81" s="228"/>
      <c r="R81" s="227"/>
      <c r="S81" s="227"/>
      <c r="T81" s="227"/>
      <c r="U81" s="227"/>
      <c r="V81" s="227"/>
      <c r="W81" s="227"/>
      <c r="X81" s="227"/>
      <c r="Y81" s="227"/>
      <c r="Z81" s="227"/>
      <c r="AA81" s="227"/>
      <c r="AB81" s="227"/>
      <c r="AC81" s="228"/>
      <c r="AD81" s="228"/>
      <c r="AE81" s="228" t="e">
        <f>SUM(AE12:AE80)</f>
        <v>#VALUE!</v>
      </c>
      <c r="AF81" s="228" t="e">
        <f>+AE81-AD81</f>
        <v>#VALUE!</v>
      </c>
      <c r="AG81" s="228"/>
      <c r="AH81" s="229"/>
      <c r="AI81" s="228"/>
      <c r="AK81" s="113"/>
      <c r="AL81" s="113"/>
      <c r="AM81" s="113"/>
      <c r="AN81" s="90" t="s">
        <v>2739</v>
      </c>
      <c r="AO81" s="227">
        <v>13262.768004110001</v>
      </c>
      <c r="AP81" s="227">
        <v>12680.377640790002</v>
      </c>
      <c r="AQ81" s="227">
        <v>12603.045378790002</v>
      </c>
      <c r="AR81" s="227">
        <v>10449.04486029</v>
      </c>
      <c r="AS81" s="227">
        <v>10021.558400790002</v>
      </c>
      <c r="AT81" s="227">
        <v>8800.9923530099986</v>
      </c>
      <c r="AU81" s="227">
        <v>8652.258964229999</v>
      </c>
      <c r="AV81" s="227">
        <v>8474.0237929900013</v>
      </c>
      <c r="AW81" s="227">
        <v>9078.8640495600011</v>
      </c>
      <c r="AX81" s="227">
        <v>12274.364171379997</v>
      </c>
      <c r="AY81" s="227">
        <v>13277.740144095216</v>
      </c>
      <c r="AZ81" s="228">
        <v>15732.495146059999</v>
      </c>
      <c r="BA81" s="228"/>
      <c r="BB81" s="227"/>
      <c r="BC81" s="227"/>
      <c r="BD81" s="227"/>
      <c r="BE81" s="227"/>
      <c r="BF81" s="227"/>
      <c r="BG81" s="227"/>
      <c r="BH81" s="227"/>
      <c r="BI81" s="227"/>
      <c r="BJ81" s="227"/>
      <c r="BK81" s="227"/>
      <c r="BL81" s="227"/>
      <c r="BM81" s="228"/>
      <c r="BN81" s="228"/>
      <c r="BO81" s="230"/>
      <c r="BP81" s="230"/>
      <c r="BQ81" s="230"/>
      <c r="BR81" s="231"/>
      <c r="BS81" s="232"/>
      <c r="BT81" s="229"/>
      <c r="BU81" s="228"/>
      <c r="CB81" s="233"/>
      <c r="CC81" s="233"/>
      <c r="CD81" s="233"/>
    </row>
    <row r="82" spans="1:82" ht="15.75" thickBot="1">
      <c r="C82" s="113"/>
      <c r="D82" s="237"/>
      <c r="E82" s="194"/>
      <c r="AI82" s="64"/>
      <c r="BA82" s="241"/>
      <c r="BB82" s="241"/>
      <c r="BC82" s="241"/>
      <c r="BD82" s="241"/>
      <c r="BE82" s="241"/>
      <c r="BF82" s="241"/>
      <c r="BG82" s="241"/>
      <c r="BH82" s="241"/>
      <c r="BI82" s="241"/>
      <c r="BJ82" s="241"/>
      <c r="BK82" s="241"/>
      <c r="BL82" s="241"/>
      <c r="BM82" s="241"/>
      <c r="BN82" s="241"/>
      <c r="BO82" s="241"/>
      <c r="BP82" s="241"/>
      <c r="BQ82" s="241"/>
      <c r="BR82" s="241"/>
      <c r="BS82" s="241"/>
      <c r="BT82" s="241"/>
      <c r="BU82" s="64"/>
    </row>
    <row r="83" spans="1:82" ht="15.75" hidden="1" outlineLevel="1" thickBot="1">
      <c r="D83" s="95" t="s">
        <v>2675</v>
      </c>
      <c r="E83" s="96">
        <v>0</v>
      </c>
      <c r="F83" s="96">
        <v>0</v>
      </c>
      <c r="G83" s="96">
        <v>0</v>
      </c>
      <c r="H83" s="96">
        <v>0</v>
      </c>
      <c r="I83" s="96">
        <v>0</v>
      </c>
      <c r="J83" s="96">
        <v>0</v>
      </c>
      <c r="K83" s="96">
        <v>0</v>
      </c>
      <c r="L83" s="96">
        <v>0</v>
      </c>
      <c r="M83" s="96">
        <v>0</v>
      </c>
      <c r="N83" s="96">
        <v>0</v>
      </c>
      <c r="O83" s="96">
        <v>0</v>
      </c>
      <c r="P83" s="96">
        <v>0</v>
      </c>
      <c r="Q83" s="96">
        <v>0</v>
      </c>
      <c r="R83" s="96">
        <v>0</v>
      </c>
      <c r="S83" s="96">
        <v>0</v>
      </c>
      <c r="T83" s="96">
        <v>0</v>
      </c>
      <c r="U83" s="96">
        <v>0</v>
      </c>
      <c r="V83" s="96">
        <v>0</v>
      </c>
      <c r="W83" s="96">
        <v>0</v>
      </c>
      <c r="X83" s="96">
        <v>0</v>
      </c>
      <c r="Y83" s="96">
        <v>0</v>
      </c>
      <c r="Z83" s="96">
        <v>0</v>
      </c>
      <c r="AA83" s="96">
        <v>0</v>
      </c>
      <c r="AB83" s="96">
        <v>0</v>
      </c>
      <c r="AC83" s="96">
        <v>0</v>
      </c>
      <c r="AD83" s="96">
        <v>0</v>
      </c>
      <c r="AE83" s="96" t="e">
        <f>_xll.LVCELL($D$1,AE$2,$C2,$D$2,$C$4,$C$5,$C$6,$C$7,$C$8,$D$3)/1000-AE81</f>
        <v>#VALUE!</v>
      </c>
      <c r="AF83" s="96"/>
      <c r="AG83" s="96"/>
      <c r="AH83" s="96"/>
      <c r="AI83" s="96"/>
      <c r="AN83" s="95" t="s">
        <v>2692</v>
      </c>
      <c r="AO83" s="96">
        <v>13262.768004109999</v>
      </c>
      <c r="AP83" s="96">
        <v>12680.377640789997</v>
      </c>
      <c r="AQ83" s="96">
        <v>12603.045378790001</v>
      </c>
      <c r="AR83" s="96">
        <v>10449.04486029</v>
      </c>
      <c r="AS83" s="96">
        <v>10021.558400789998</v>
      </c>
      <c r="AT83" s="96">
        <v>8800.9923530100023</v>
      </c>
      <c r="AU83" s="96">
        <v>8652.258964229999</v>
      </c>
      <c r="AV83" s="96">
        <v>8474.0237929900013</v>
      </c>
      <c r="AW83" s="96">
        <v>9078.8640495600011</v>
      </c>
      <c r="AX83" s="96">
        <v>12274.364171380001</v>
      </c>
      <c r="AY83" s="96">
        <v>13277.74014409522</v>
      </c>
      <c r="AZ83" s="96">
        <v>15732.49514606</v>
      </c>
      <c r="BA83" s="96">
        <v>135307.53290609524</v>
      </c>
      <c r="BB83" s="96">
        <v>19783.864926544</v>
      </c>
      <c r="BC83" s="96">
        <v>19249.058321294</v>
      </c>
      <c r="BD83" s="96">
        <v>17922.743276281999</v>
      </c>
      <c r="BE83" s="96">
        <v>14324.080626283998</v>
      </c>
      <c r="BF83" s="96">
        <v>13543.433395429001</v>
      </c>
      <c r="BG83" s="96">
        <v>11278.256973506997</v>
      </c>
      <c r="BH83" s="96">
        <v>11403.792730942998</v>
      </c>
      <c r="BI83" s="96">
        <v>10996.886109003</v>
      </c>
      <c r="BJ83" s="96">
        <v>12873.543523585004</v>
      </c>
      <c r="BK83" s="96">
        <v>17029.270462849003</v>
      </c>
      <c r="BL83" s="96">
        <v>19535.951865160994</v>
      </c>
      <c r="BM83" s="96">
        <v>22305.385397860005</v>
      </c>
      <c r="BN83" s="96">
        <v>190246.26760874101</v>
      </c>
      <c r="BO83" s="96" t="e">
        <f>_xll.LVCELL($AK$1,BO$2,$AK2,$AL$2,$AK4,$AK$5,$AK$6,$AK$7,$AK$8,$AL$3)/1000</f>
        <v>#VALUE!</v>
      </c>
      <c r="BP83" s="96"/>
      <c r="BQ83" s="96">
        <v>54938.734702645772</v>
      </c>
      <c r="BR83" s="96"/>
      <c r="BS83" s="96"/>
      <c r="BT83" s="96"/>
      <c r="BU83" s="96"/>
    </row>
    <row r="84" spans="1:82" ht="15.75" hidden="1" outlineLevel="1" thickBot="1">
      <c r="C84" s="64" t="s">
        <v>2201</v>
      </c>
      <c r="D84" s="187" t="s">
        <v>2676</v>
      </c>
      <c r="E84" s="189">
        <v>1061.4569999999999</v>
      </c>
      <c r="F84" s="189">
        <v>1428.4169999999999</v>
      </c>
      <c r="G84" s="189">
        <v>2023.223</v>
      </c>
      <c r="H84" s="189">
        <v>2082.8710000000001</v>
      </c>
      <c r="I84" s="189">
        <v>2316.4769999999999</v>
      </c>
      <c r="J84" s="189">
        <v>2425.4229999999998</v>
      </c>
      <c r="K84" s="189">
        <v>2528.5990000000002</v>
      </c>
      <c r="L84" s="189">
        <v>2416.3119999999999</v>
      </c>
      <c r="M84" s="189">
        <v>2001.145</v>
      </c>
      <c r="N84" s="189">
        <v>1609.404</v>
      </c>
      <c r="O84" s="189">
        <v>1065.4870000000001</v>
      </c>
      <c r="P84" s="189">
        <v>936.19</v>
      </c>
      <c r="Q84" s="80">
        <v>21895.005000000001</v>
      </c>
      <c r="R84" s="80">
        <v>1055.3910000000001</v>
      </c>
      <c r="S84" s="80">
        <v>1414.2979999999998</v>
      </c>
      <c r="T84" s="80">
        <v>2005.13</v>
      </c>
      <c r="U84" s="80">
        <v>2071.9009999999998</v>
      </c>
      <c r="V84" s="80">
        <v>2287.5929999999998</v>
      </c>
      <c r="W84" s="80">
        <v>2409.0509999999999</v>
      </c>
      <c r="X84" s="80">
        <v>2541.2709999999997</v>
      </c>
      <c r="Y84" s="80">
        <v>2388.7419999999997</v>
      </c>
      <c r="Z84" s="80">
        <v>1985.038</v>
      </c>
      <c r="AA84" s="80">
        <v>1606.4760000000001</v>
      </c>
      <c r="AB84" s="80">
        <v>1068.2080000000001</v>
      </c>
      <c r="AC84" s="80">
        <v>922.49399999999991</v>
      </c>
      <c r="AD84" s="80">
        <v>21755.593000000001</v>
      </c>
      <c r="AE84" s="80" t="e">
        <f>AE78+AE79</f>
        <v>#VALUE!</v>
      </c>
      <c r="AF84" s="80"/>
      <c r="AG84" s="189"/>
      <c r="AH84" s="189"/>
      <c r="AI84" s="189"/>
      <c r="AM84" s="64" t="s">
        <v>2201</v>
      </c>
      <c r="AN84" s="187" t="s">
        <v>2648</v>
      </c>
      <c r="AO84" s="80">
        <v>148.788434</v>
      </c>
      <c r="AP84" s="80">
        <v>209.49006475000002</v>
      </c>
      <c r="AQ84" s="80">
        <v>306.683964</v>
      </c>
      <c r="AR84" s="80">
        <v>329.24835144999997</v>
      </c>
      <c r="AS84" s="80">
        <v>365.16992334999998</v>
      </c>
      <c r="AT84" s="80">
        <v>380.62093241000002</v>
      </c>
      <c r="AU84" s="80">
        <v>390.24488699</v>
      </c>
      <c r="AV84" s="80">
        <v>382.59458434999999</v>
      </c>
      <c r="AW84" s="80">
        <v>285.03401508000002</v>
      </c>
      <c r="AX84" s="80">
        <v>261.30616082999995</v>
      </c>
      <c r="AY84" s="80">
        <v>160.12440785000001</v>
      </c>
      <c r="AZ84" s="80">
        <v>151.43941094000002</v>
      </c>
      <c r="BA84" s="80">
        <v>3370.7451359999995</v>
      </c>
      <c r="BB84" s="80">
        <v>151.211408334</v>
      </c>
      <c r="BC84" s="80">
        <v>210.728584625</v>
      </c>
      <c r="BD84" s="80">
        <v>309.09443152099999</v>
      </c>
      <c r="BE84" s="80">
        <v>334.34759183899996</v>
      </c>
      <c r="BF84" s="80">
        <v>365.15765902499999</v>
      </c>
      <c r="BG84" s="80">
        <v>383.94432150599994</v>
      </c>
      <c r="BH84" s="80">
        <v>407.05302649600003</v>
      </c>
      <c r="BI84" s="80">
        <v>385.06287990999999</v>
      </c>
      <c r="BJ84" s="80">
        <v>327.47118074499997</v>
      </c>
      <c r="BK84" s="80">
        <v>271.132145702</v>
      </c>
      <c r="BL84" s="80">
        <v>167.82910537499998</v>
      </c>
      <c r="BM84" s="80">
        <v>152.683008183</v>
      </c>
      <c r="BN84" s="80">
        <v>3465.7153432610003</v>
      </c>
      <c r="BO84" s="80" t="e">
        <f>BO78+BO79</f>
        <v>#VALUE!</v>
      </c>
      <c r="BP84" s="80"/>
      <c r="BQ84" s="80">
        <v>94.970207261000724</v>
      </c>
      <c r="BR84" s="80"/>
      <c r="BS84" s="80"/>
      <c r="BT84" s="80"/>
      <c r="BU84" s="189"/>
    </row>
    <row r="85" spans="1:82" ht="15.75" hidden="1" outlineLevel="1" thickBot="1">
      <c r="D85" s="187" t="s">
        <v>2677</v>
      </c>
      <c r="E85" s="189">
        <v>7300</v>
      </c>
      <c r="F85" s="189">
        <v>6850</v>
      </c>
      <c r="G85" s="189">
        <v>7200</v>
      </c>
      <c r="H85" s="189">
        <v>0</v>
      </c>
      <c r="I85" s="189">
        <v>0</v>
      </c>
      <c r="J85" s="189">
        <v>0</v>
      </c>
      <c r="K85" s="189">
        <v>0</v>
      </c>
      <c r="L85" s="189">
        <v>0</v>
      </c>
      <c r="M85" s="189">
        <v>0</v>
      </c>
      <c r="N85" s="189">
        <v>0</v>
      </c>
      <c r="O85" s="189">
        <v>7000</v>
      </c>
      <c r="P85" s="189">
        <v>7500</v>
      </c>
      <c r="Q85" s="80">
        <v>35850</v>
      </c>
      <c r="R85" s="80">
        <v>7300</v>
      </c>
      <c r="S85" s="80">
        <v>6850</v>
      </c>
      <c r="T85" s="80">
        <v>7200</v>
      </c>
      <c r="U85" s="80">
        <v>0</v>
      </c>
      <c r="V85" s="80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7000</v>
      </c>
      <c r="AC85" s="80">
        <v>7500</v>
      </c>
      <c r="AD85" s="80">
        <v>35850</v>
      </c>
      <c r="AE85" s="80" t="e">
        <f>AE80</f>
        <v>#VALUE!</v>
      </c>
      <c r="AF85" s="80"/>
      <c r="AG85" s="189"/>
      <c r="AH85" s="189"/>
      <c r="AI85" s="189"/>
      <c r="AN85" s="187" t="s">
        <v>2668</v>
      </c>
      <c r="AO85" s="80">
        <v>483.33300000000003</v>
      </c>
      <c r="AP85" s="80">
        <v>453.5385</v>
      </c>
      <c r="AQ85" s="80">
        <v>476.71199999999999</v>
      </c>
      <c r="AR85" s="80">
        <v>0</v>
      </c>
      <c r="AS85" s="80">
        <v>0</v>
      </c>
      <c r="AT85" s="80">
        <v>0</v>
      </c>
      <c r="AU85" s="80">
        <v>0</v>
      </c>
      <c r="AV85" s="80">
        <v>0</v>
      </c>
      <c r="AW85" s="80">
        <v>0</v>
      </c>
      <c r="AX85" s="80">
        <v>0</v>
      </c>
      <c r="AY85" s="80">
        <v>463.47</v>
      </c>
      <c r="AZ85" s="80">
        <v>496.57499999999999</v>
      </c>
      <c r="BA85" s="80">
        <v>2373.6285000000007</v>
      </c>
      <c r="BB85" s="80">
        <v>664.51900000000001</v>
      </c>
      <c r="BC85" s="80">
        <v>623.55550000000005</v>
      </c>
      <c r="BD85" s="80">
        <v>655.41600000000005</v>
      </c>
      <c r="BE85" s="80">
        <v>0</v>
      </c>
      <c r="BF85" s="80">
        <v>0</v>
      </c>
      <c r="BG85" s="80">
        <v>0</v>
      </c>
      <c r="BH85" s="80">
        <v>0</v>
      </c>
      <c r="BI85" s="80">
        <v>0</v>
      </c>
      <c r="BJ85" s="80">
        <v>0</v>
      </c>
      <c r="BK85" s="80">
        <v>0</v>
      </c>
      <c r="BL85" s="80">
        <v>643.51002099999994</v>
      </c>
      <c r="BM85" s="80">
        <v>689.47502249999991</v>
      </c>
      <c r="BN85" s="80">
        <v>3276.4755435000002</v>
      </c>
      <c r="BO85" s="80" t="e">
        <f>BO80</f>
        <v>#VALUE!</v>
      </c>
      <c r="BP85" s="80"/>
      <c r="BQ85" s="80">
        <v>902.84704349999947</v>
      </c>
      <c r="BR85" s="80"/>
      <c r="BS85" s="80"/>
      <c r="BT85" s="80"/>
      <c r="BU85" s="189"/>
    </row>
    <row r="86" spans="1:82" ht="15.75" hidden="1" outlineLevel="1" thickBot="1">
      <c r="AI86" s="64"/>
      <c r="BU86" s="64"/>
    </row>
    <row r="87" spans="1:82" ht="15.75" hidden="1" outlineLevel="1" thickBot="1">
      <c r="AI87" s="64"/>
      <c r="BU87" s="64"/>
    </row>
    <row r="88" spans="1:82" ht="15.75" hidden="1" outlineLevel="1" collapsed="1" thickBot="1">
      <c r="AI88" s="64"/>
      <c r="BU88" s="64"/>
    </row>
    <row r="89" spans="1:82" s="52" customFormat="1" collapsed="1">
      <c r="A89" s="113"/>
      <c r="B89" s="113"/>
      <c r="C89" s="113"/>
      <c r="D89" s="204" t="s">
        <v>2694</v>
      </c>
      <c r="E89" s="196"/>
      <c r="F89" s="196"/>
      <c r="G89" s="196"/>
      <c r="H89" s="196"/>
      <c r="I89" s="196"/>
      <c r="J89" s="196"/>
      <c r="K89" s="196"/>
      <c r="L89" s="196"/>
      <c r="M89" s="196"/>
      <c r="N89" s="196"/>
      <c r="O89" s="196"/>
      <c r="P89" s="196"/>
      <c r="Q89" s="197"/>
      <c r="R89" s="196"/>
      <c r="S89" s="196"/>
      <c r="T89" s="196"/>
      <c r="U89" s="196"/>
      <c r="V89" s="196"/>
      <c r="W89" s="196"/>
      <c r="X89" s="196"/>
      <c r="Y89" s="196"/>
      <c r="Z89" s="196"/>
      <c r="AA89" s="196"/>
      <c r="AB89" s="196"/>
      <c r="AC89" s="196"/>
      <c r="AD89" s="197"/>
      <c r="AE89" s="197"/>
      <c r="AF89" s="197"/>
      <c r="AG89" s="238"/>
      <c r="AH89" s="209"/>
      <c r="AI89" s="113"/>
      <c r="AK89" s="113"/>
      <c r="AL89" s="113"/>
      <c r="AM89" s="113"/>
      <c r="AN89" s="204" t="s">
        <v>2694</v>
      </c>
      <c r="AO89" s="196"/>
      <c r="AP89" s="196"/>
      <c r="AQ89" s="196"/>
      <c r="AR89" s="196"/>
      <c r="AS89" s="196"/>
      <c r="AT89" s="196"/>
      <c r="AU89" s="196"/>
      <c r="AV89" s="196"/>
      <c r="AW89" s="196"/>
      <c r="AX89" s="196"/>
      <c r="AY89" s="196"/>
      <c r="AZ89" s="196"/>
      <c r="BA89" s="197"/>
      <c r="BB89" s="196"/>
      <c r="BC89" s="196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97"/>
      <c r="BO89" s="197" t="e">
        <f>BO81-SUM(BO90:BO92)</f>
        <v>#VALUE!</v>
      </c>
      <c r="BP89" s="197"/>
      <c r="BQ89" s="208"/>
      <c r="BR89" s="221"/>
      <c r="BS89" s="224"/>
      <c r="BT89" s="209"/>
      <c r="BU89" s="113"/>
      <c r="CA89" s="204" t="s">
        <v>2694</v>
      </c>
      <c r="CB89" s="202"/>
      <c r="CC89" s="202"/>
      <c r="CD89" s="197"/>
    </row>
    <row r="90" spans="1:82" s="52" customFormat="1">
      <c r="A90" s="113"/>
      <c r="B90" s="113"/>
      <c r="C90" s="113"/>
      <c r="D90" s="205" t="s">
        <v>2672</v>
      </c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239"/>
      <c r="AH90" s="211"/>
      <c r="AK90" s="113"/>
      <c r="AL90" s="113"/>
      <c r="AM90" s="113"/>
      <c r="AN90" s="205" t="s">
        <v>2671</v>
      </c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191"/>
      <c r="BL90" s="191"/>
      <c r="BM90" s="191"/>
      <c r="BN90" s="191"/>
      <c r="BO90" s="191" t="e">
        <f>SUM(BO53:BO56)</f>
        <v>#VALUE!</v>
      </c>
      <c r="BP90" s="191"/>
      <c r="BQ90" s="210"/>
      <c r="BR90" s="222"/>
      <c r="BS90" s="225"/>
      <c r="BT90" s="211"/>
      <c r="CA90" s="205" t="s">
        <v>2672</v>
      </c>
      <c r="CB90" s="191"/>
      <c r="CC90" s="191"/>
      <c r="CD90" s="191"/>
    </row>
    <row r="91" spans="1:82" s="52" customFormat="1">
      <c r="A91" s="113"/>
      <c r="B91" s="113"/>
      <c r="C91" s="113"/>
      <c r="D91" s="205" t="s">
        <v>2673</v>
      </c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239"/>
      <c r="AH91" s="211"/>
      <c r="AK91" s="113"/>
      <c r="AL91" s="113"/>
      <c r="AM91" s="113"/>
      <c r="AN91" s="205" t="s">
        <v>2673</v>
      </c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 t="e">
        <f>SUM(BO57:BO72)</f>
        <v>#VALUE!</v>
      </c>
      <c r="BP91" s="191"/>
      <c r="BQ91" s="210"/>
      <c r="BR91" s="222"/>
      <c r="BS91" s="225"/>
      <c r="BT91" s="211"/>
      <c r="CA91" s="205" t="s">
        <v>2673</v>
      </c>
      <c r="CB91" s="191"/>
      <c r="CC91" s="191"/>
      <c r="CD91" s="191"/>
    </row>
    <row r="92" spans="1:82" s="52" customFormat="1" ht="15.75" thickBot="1">
      <c r="A92" s="113"/>
      <c r="B92" s="113"/>
      <c r="C92" s="113"/>
      <c r="D92" s="205" t="s">
        <v>3061</v>
      </c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91"/>
      <c r="AE92" s="191"/>
      <c r="AF92" s="191"/>
      <c r="AG92" s="240"/>
      <c r="AH92" s="213"/>
      <c r="AK92" s="113"/>
      <c r="AL92" s="113"/>
      <c r="AM92" s="113"/>
      <c r="AN92" s="205" t="s">
        <v>2672</v>
      </c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91"/>
      <c r="BO92" s="191" t="e">
        <f>SUM(BO73:BO77)</f>
        <v>#VALUE!</v>
      </c>
      <c r="BP92" s="191"/>
      <c r="BQ92" s="212"/>
      <c r="BR92" s="223"/>
      <c r="BS92" s="226"/>
      <c r="BT92" s="213"/>
      <c r="CA92" s="205" t="s">
        <v>3061</v>
      </c>
      <c r="CB92" s="191"/>
      <c r="CC92" s="191"/>
      <c r="CD92" s="191"/>
    </row>
    <row r="94" spans="1:82">
      <c r="BN94" s="81"/>
      <c r="BO94" s="81"/>
      <c r="BP94" s="81"/>
      <c r="BQ94" s="81"/>
      <c r="BY94" s="203"/>
    </row>
    <row r="95" spans="1:82">
      <c r="A95" s="113" t="s">
        <v>832</v>
      </c>
      <c r="C95" s="64" t="s">
        <v>830</v>
      </c>
      <c r="D95" s="113" t="s">
        <v>2740</v>
      </c>
      <c r="E95" s="189"/>
      <c r="F95" s="189"/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L95" s="64" t="s">
        <v>2696</v>
      </c>
      <c r="AM95" s="64" t="s">
        <v>830</v>
      </c>
      <c r="AN95" s="187" t="s">
        <v>2703</v>
      </c>
      <c r="AO95" s="172">
        <v>565.7005655349999</v>
      </c>
      <c r="AP95" s="172">
        <v>528.63957711900002</v>
      </c>
      <c r="AQ95" s="172">
        <v>548.75152024600004</v>
      </c>
      <c r="AR95" s="172">
        <v>479.84256030099999</v>
      </c>
      <c r="AS95" s="172">
        <v>487.62178387199998</v>
      </c>
      <c r="AT95" s="172">
        <v>469.605077908</v>
      </c>
      <c r="AU95" s="172">
        <v>469.530123876</v>
      </c>
      <c r="AV95" s="172">
        <v>469.530123876</v>
      </c>
      <c r="AW95" s="172">
        <v>462.22102776399998</v>
      </c>
      <c r="AX95" s="172">
        <v>438.23617458000001</v>
      </c>
      <c r="AY95" s="172">
        <v>494.77846282999997</v>
      </c>
      <c r="AZ95" s="172">
        <v>516.75760145800007</v>
      </c>
      <c r="BA95" s="172"/>
      <c r="BB95" s="172"/>
      <c r="BC95" s="172"/>
      <c r="BD95" s="172"/>
      <c r="BE95" s="172"/>
      <c r="BF95" s="172"/>
      <c r="BG95" s="172"/>
      <c r="BH95" s="172"/>
      <c r="BI95" s="172"/>
      <c r="BJ95" s="172"/>
      <c r="BK95" s="172"/>
      <c r="BL95" s="172"/>
      <c r="BM95" s="172"/>
      <c r="BN95" s="172"/>
      <c r="BO95" s="172" t="e">
        <f>_xll.LVCELL($AJ$95,BO$2,$AK95,$AL$2,$AK$4,$AK$5,$AK$6,$AK$7,$AK$8,$AL$3)/1000</f>
        <v>#VALUE!</v>
      </c>
      <c r="BP95" s="172"/>
      <c r="BQ95" s="172"/>
      <c r="BR95" s="172"/>
      <c r="BS95" s="172"/>
      <c r="BT95" s="193"/>
    </row>
    <row r="96" spans="1:82">
      <c r="A96" s="113" t="s">
        <v>833</v>
      </c>
      <c r="C96" s="64" t="s">
        <v>830</v>
      </c>
      <c r="D96" s="113" t="s">
        <v>2695</v>
      </c>
      <c r="E96" s="189"/>
      <c r="F96" s="189"/>
      <c r="G96" s="189"/>
      <c r="H96" s="189"/>
      <c r="I96" s="189"/>
      <c r="J96" s="189"/>
      <c r="K96" s="189"/>
      <c r="L96" s="189"/>
      <c r="M96" s="189"/>
      <c r="N96" s="189"/>
      <c r="O96" s="189"/>
      <c r="P96" s="189"/>
      <c r="Q96" s="189"/>
      <c r="R96" s="189"/>
      <c r="S96" s="189"/>
      <c r="T96" s="189"/>
      <c r="U96" s="189"/>
      <c r="V96" s="189"/>
      <c r="W96" s="189"/>
      <c r="X96" s="189"/>
      <c r="Y96" s="189"/>
      <c r="Z96" s="189"/>
      <c r="AA96" s="189"/>
      <c r="AB96" s="189"/>
      <c r="AC96" s="189"/>
      <c r="AD96" s="189"/>
      <c r="AE96" s="189"/>
      <c r="AF96" s="189"/>
      <c r="AL96" s="64" t="s">
        <v>2697</v>
      </c>
      <c r="AM96" s="64" t="s">
        <v>830</v>
      </c>
      <c r="AN96" s="64" t="s">
        <v>2699</v>
      </c>
      <c r="AO96" s="172">
        <v>353.99299999999999</v>
      </c>
      <c r="AP96" s="172">
        <v>353.99299999999999</v>
      </c>
      <c r="AQ96" s="172">
        <v>353.99299999999999</v>
      </c>
      <c r="AR96" s="172">
        <v>0</v>
      </c>
      <c r="AS96" s="172">
        <v>0</v>
      </c>
      <c r="AT96" s="172">
        <v>0</v>
      </c>
      <c r="AU96" s="172">
        <v>0</v>
      </c>
      <c r="AV96" s="172">
        <v>0</v>
      </c>
      <c r="AW96" s="172">
        <v>0</v>
      </c>
      <c r="AX96" s="172">
        <v>0</v>
      </c>
      <c r="AY96" s="172">
        <v>353.99299999999999</v>
      </c>
      <c r="AZ96" s="172">
        <v>353.99299999999999</v>
      </c>
      <c r="BA96" s="172"/>
      <c r="BB96" s="172"/>
      <c r="BC96" s="172"/>
      <c r="BD96" s="172"/>
      <c r="BE96" s="172"/>
      <c r="BF96" s="172"/>
      <c r="BG96" s="172"/>
      <c r="BH96" s="172"/>
      <c r="BI96" s="172"/>
      <c r="BJ96" s="172"/>
      <c r="BK96" s="172"/>
      <c r="BL96" s="172"/>
      <c r="BM96" s="172"/>
      <c r="BN96" s="172"/>
      <c r="BO96" s="172" t="e">
        <f>_xll.LVCELL($AJ$96,BO$2,$AK96,$AL$2,$AK$4,$AK$5,$AK$6,$AK$7,$AK$8,$AL$3)/1000</f>
        <v>#VALUE!</v>
      </c>
      <c r="BP96" s="172"/>
      <c r="BQ96" s="172"/>
      <c r="BR96" s="172"/>
      <c r="BS96" s="172"/>
      <c r="BT96" s="193"/>
    </row>
    <row r="97" spans="1:72">
      <c r="AL97" s="64" t="s">
        <v>2698</v>
      </c>
      <c r="AM97" s="64" t="s">
        <v>830</v>
      </c>
      <c r="AN97" s="64" t="s">
        <v>2700</v>
      </c>
      <c r="AO97" s="172">
        <v>1.3</v>
      </c>
      <c r="AP97" s="172">
        <v>1.3</v>
      </c>
      <c r="AQ97" s="172">
        <v>1.3</v>
      </c>
      <c r="AR97" s="172">
        <v>0.5</v>
      </c>
      <c r="AS97" s="172">
        <v>0.5</v>
      </c>
      <c r="AT97" s="172">
        <v>0.5</v>
      </c>
      <c r="AU97" s="172">
        <v>0.5</v>
      </c>
      <c r="AV97" s="172">
        <v>0.5</v>
      </c>
      <c r="AW97" s="172">
        <v>0.5</v>
      </c>
      <c r="AX97" s="172">
        <v>0.5</v>
      </c>
      <c r="AY97" s="172">
        <v>1.3</v>
      </c>
      <c r="AZ97" s="172">
        <v>1.3</v>
      </c>
      <c r="BA97" s="172"/>
      <c r="BB97" s="172"/>
      <c r="BC97" s="172"/>
      <c r="BD97" s="172"/>
      <c r="BE97" s="172"/>
      <c r="BF97" s="172"/>
      <c r="BG97" s="172"/>
      <c r="BH97" s="172"/>
      <c r="BI97" s="172"/>
      <c r="BJ97" s="172"/>
      <c r="BK97" s="172"/>
      <c r="BL97" s="172"/>
      <c r="BM97" s="172"/>
      <c r="BN97" s="172"/>
      <c r="BO97" s="172" t="e">
        <f>_xll.LVCELL($AJ$97,BO$2,$AK97,$AL$2,$AK$4,$AK$5,$AK$6,$AK$7,$AK$8,$AL$3)/1000</f>
        <v>#VALUE!</v>
      </c>
      <c r="BP97" s="172"/>
      <c r="BQ97" s="172">
        <v>0</v>
      </c>
      <c r="BR97" s="172"/>
      <c r="BS97" s="172"/>
      <c r="BT97" s="193"/>
    </row>
    <row r="98" spans="1:72">
      <c r="AM98" s="64" t="s">
        <v>847</v>
      </c>
      <c r="AN98" s="64" t="s">
        <v>2744</v>
      </c>
      <c r="BA98" s="64">
        <v>0</v>
      </c>
    </row>
    <row r="99" spans="1:72" s="52" customFormat="1">
      <c r="A99" s="113"/>
      <c r="B99" s="113"/>
      <c r="C99" s="113"/>
      <c r="D99" s="113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K99" s="113"/>
      <c r="AL99" s="113" t="s">
        <v>2701</v>
      </c>
      <c r="AM99" s="113"/>
      <c r="AN99" s="113" t="s">
        <v>2702</v>
      </c>
      <c r="AO99" s="194">
        <v>14183.761569644999</v>
      </c>
      <c r="AP99" s="194">
        <v>13564.310217908996</v>
      </c>
      <c r="AQ99" s="194">
        <v>13507.089899036</v>
      </c>
      <c r="AR99" s="194">
        <v>10929.387420591</v>
      </c>
      <c r="AS99" s="194">
        <v>10509.680184662</v>
      </c>
      <c r="AT99" s="194">
        <v>9271.0974309180001</v>
      </c>
      <c r="AU99" s="194">
        <v>9122.2890881059975</v>
      </c>
      <c r="AV99" s="194">
        <v>8944.0539168660016</v>
      </c>
      <c r="AW99" s="194">
        <v>9541.5850773240018</v>
      </c>
      <c r="AX99" s="194">
        <v>12713.10034596</v>
      </c>
      <c r="AY99" s="194">
        <v>14127.811606925219</v>
      </c>
      <c r="AZ99" s="194">
        <v>16604.545747518001</v>
      </c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 t="e">
        <f>_xll.LVCELL($AJ$99,BO$2,$AK2,$AL$2,$AK$4,$AK$5,$AK$6,$AK$7,$AK$8,$AL$3)/1000</f>
        <v>#VALUE!</v>
      </c>
      <c r="BP99" s="194"/>
      <c r="BQ99" s="194"/>
      <c r="BR99" s="194"/>
      <c r="BS99" s="194"/>
      <c r="BT99" s="195"/>
    </row>
    <row r="100" spans="1:72">
      <c r="AN100" s="234" t="s">
        <v>2628</v>
      </c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4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5"/>
      <c r="BO100" s="235" t="e">
        <f>BO99-BO81-BO95-BO96-BO97</f>
        <v>#VALUE!</v>
      </c>
      <c r="BP100" s="235"/>
      <c r="BQ100" s="236"/>
    </row>
    <row r="104" spans="1:72">
      <c r="BN104" s="81"/>
      <c r="BO104" s="81"/>
      <c r="BP104" s="81"/>
    </row>
    <row r="107" spans="1:72" ht="45">
      <c r="AJ107" s="249" t="s">
        <v>2742</v>
      </c>
      <c r="AK107" s="242"/>
      <c r="AL107" s="242"/>
      <c r="AM107" s="242"/>
      <c r="AN107" s="242" t="s">
        <v>2741</v>
      </c>
      <c r="AO107" s="242"/>
      <c r="AP107" s="242"/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42"/>
      <c r="BA107" s="250"/>
      <c r="BB107" s="250"/>
      <c r="BC107" s="250"/>
      <c r="BD107" s="250"/>
      <c r="BE107" s="250"/>
      <c r="BF107" s="250"/>
      <c r="BG107" s="250"/>
      <c r="BH107" s="250"/>
      <c r="BI107" s="250"/>
      <c r="BJ107" s="250"/>
      <c r="BK107" s="250"/>
      <c r="BL107" s="250"/>
      <c r="BM107" s="250"/>
      <c r="BN107" s="250"/>
      <c r="BO107" s="250"/>
      <c r="BP107" s="250"/>
      <c r="BQ107" s="250"/>
      <c r="BR107" s="244"/>
    </row>
    <row r="108" spans="1:72">
      <c r="AJ108" s="245"/>
      <c r="AK108" s="246"/>
      <c r="AL108" s="246"/>
      <c r="AM108" s="246"/>
      <c r="AN108" s="246" t="s">
        <v>2695</v>
      </c>
      <c r="AO108" s="246"/>
      <c r="AP108" s="246"/>
      <c r="AQ108" s="246"/>
      <c r="AR108" s="246"/>
      <c r="AS108" s="246"/>
      <c r="AT108" s="246"/>
      <c r="AU108" s="246"/>
      <c r="AV108" s="246"/>
      <c r="AW108" s="246"/>
      <c r="AX108" s="246"/>
      <c r="AY108" s="246"/>
      <c r="AZ108" s="246"/>
      <c r="BA108" s="251"/>
      <c r="BB108" s="251"/>
      <c r="BC108" s="251"/>
      <c r="BD108" s="251"/>
      <c r="BE108" s="251"/>
      <c r="BF108" s="251"/>
      <c r="BG108" s="251"/>
      <c r="BH108" s="251"/>
      <c r="BI108" s="251"/>
      <c r="BJ108" s="251"/>
      <c r="BK108" s="251"/>
      <c r="BL108" s="251"/>
      <c r="BM108" s="251"/>
      <c r="BN108" s="251"/>
      <c r="BO108" s="251"/>
      <c r="BP108" s="251"/>
      <c r="BQ108" s="251"/>
      <c r="BR108" s="248"/>
    </row>
    <row r="111" spans="1:72" ht="45">
      <c r="AJ111" s="249" t="s">
        <v>2743</v>
      </c>
      <c r="AK111" s="242"/>
      <c r="AL111" s="242"/>
      <c r="AM111" s="242"/>
      <c r="AN111" s="242" t="s">
        <v>2741</v>
      </c>
      <c r="AO111" s="242"/>
      <c r="AP111" s="242"/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42"/>
      <c r="BA111" s="243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3"/>
      <c r="BO111" s="243" t="e">
        <f>BO80-BO107</f>
        <v>#VALUE!</v>
      </c>
      <c r="BP111" s="243"/>
      <c r="BQ111" s="243"/>
      <c r="BR111" s="244"/>
    </row>
    <row r="112" spans="1:72">
      <c r="AJ112" s="245"/>
      <c r="AK112" s="246"/>
      <c r="AL112" s="246"/>
      <c r="AM112" s="246"/>
      <c r="AN112" s="246" t="s">
        <v>2695</v>
      </c>
      <c r="AO112" s="246"/>
      <c r="AP112" s="246"/>
      <c r="AQ112" s="246"/>
      <c r="AR112" s="246"/>
      <c r="AS112" s="246"/>
      <c r="AT112" s="246"/>
      <c r="AU112" s="246"/>
      <c r="AV112" s="246"/>
      <c r="AW112" s="246"/>
      <c r="AX112" s="246"/>
      <c r="AY112" s="246"/>
      <c r="AZ112" s="246"/>
      <c r="BA112" s="247"/>
      <c r="BB112" s="246"/>
      <c r="BC112" s="246"/>
      <c r="BD112" s="246"/>
      <c r="BE112" s="246"/>
      <c r="BF112" s="246"/>
      <c r="BG112" s="246"/>
      <c r="BH112" s="246"/>
      <c r="BI112" s="246"/>
      <c r="BJ112" s="246"/>
      <c r="BK112" s="246"/>
      <c r="BL112" s="246"/>
      <c r="BM112" s="246"/>
      <c r="BN112" s="247"/>
      <c r="BO112" s="247" t="e">
        <f>BO95-BO108</f>
        <v>#VALUE!</v>
      </c>
      <c r="BP112" s="247"/>
      <c r="BQ112" s="247"/>
      <c r="BR112" s="248"/>
    </row>
  </sheetData>
  <mergeCells count="6">
    <mergeCell ref="BU10:BU11"/>
    <mergeCell ref="AG10:AG11"/>
    <mergeCell ref="AH10:AH11"/>
    <mergeCell ref="AI10:AI11"/>
    <mergeCell ref="BQ10:BQ11"/>
    <mergeCell ref="BT10:BT11"/>
  </mergeCells>
  <conditionalFormatting sqref="C12:C80">
    <cfRule type="duplicateValues" dxfId="88" priority="2"/>
  </conditionalFormatting>
  <conditionalFormatting sqref="AM12:AM80">
    <cfRule type="duplicateValues" dxfId="87" priority="1"/>
  </conditionalFormatting>
  <pageMargins left="0.7" right="0.7" top="0.75" bottom="0.75" header="0.3" footer="0.3"/>
  <customProperties>
    <customPr name="Longview.RefreshTimestamp" r:id="rId1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E77F-71FA-4F63-ABF2-DAA5783FBA95}">
  <dimension ref="A1:HM110"/>
  <sheetViews>
    <sheetView topLeftCell="A13" zoomScale="90" zoomScaleNormal="90" workbookViewId="0">
      <pane xSplit="5" ySplit="5" topLeftCell="F18" activePane="bottomRight" state="frozen"/>
      <selection activeCell="A13" sqref="A13"/>
      <selection pane="topRight" activeCell="E13" sqref="E13"/>
      <selection pane="bottomLeft" activeCell="A18" sqref="A18"/>
      <selection pane="bottomRight" activeCell="E25" sqref="E25"/>
    </sheetView>
  </sheetViews>
  <sheetFormatPr baseColWidth="10" defaultRowHeight="15"/>
  <cols>
    <col min="1" max="1" width="12.5703125" bestFit="1" customWidth="1"/>
    <col min="2" max="3" width="15.28515625" customWidth="1"/>
    <col min="4" max="4" width="39.5703125" bestFit="1" customWidth="1"/>
    <col min="5" max="5" width="14.28515625" customWidth="1"/>
    <col min="6" max="7" width="15.7109375" bestFit="1" customWidth="1"/>
    <col min="8" max="8" width="18.42578125" bestFit="1" customWidth="1"/>
    <col min="9" max="9" width="16.140625" bestFit="1" customWidth="1"/>
    <col min="10" max="10" width="16.28515625" bestFit="1" customWidth="1"/>
    <col min="11" max="12" width="17" bestFit="1" customWidth="1"/>
    <col min="13" max="13" width="16.28515625" bestFit="1" customWidth="1"/>
    <col min="14" max="14" width="17.140625" bestFit="1" customWidth="1"/>
    <col min="15" max="15" width="16.140625" bestFit="1" customWidth="1"/>
    <col min="16" max="16" width="16.28515625" bestFit="1" customWidth="1"/>
    <col min="17" max="17" width="16" bestFit="1" customWidth="1"/>
    <col min="18" max="19" width="15.7109375" bestFit="1" customWidth="1"/>
    <col min="20" max="20" width="16.28515625" bestFit="1" customWidth="1"/>
    <col min="21" max="21" width="16.140625" bestFit="1" customWidth="1"/>
    <col min="22" max="22" width="16.28515625" bestFit="1" customWidth="1"/>
    <col min="23" max="24" width="17" bestFit="1" customWidth="1"/>
    <col min="25" max="25" width="16.28515625" bestFit="1" customWidth="1"/>
    <col min="26" max="26" width="17.140625" bestFit="1" customWidth="1"/>
    <col min="27" max="27" width="16.140625" bestFit="1" customWidth="1"/>
    <col min="28" max="28" width="19.28515625" bestFit="1" customWidth="1"/>
    <col min="29" max="29" width="16" bestFit="1" customWidth="1"/>
    <col min="30" max="31" width="15.7109375" bestFit="1" customWidth="1"/>
    <col min="32" max="32" width="16.28515625" bestFit="1" customWidth="1"/>
    <col min="33" max="33" width="16.140625" bestFit="1" customWidth="1"/>
    <col min="34" max="34" width="16.28515625" bestFit="1" customWidth="1"/>
    <col min="35" max="36" width="17" bestFit="1" customWidth="1"/>
    <col min="37" max="37" width="16.28515625" bestFit="1" customWidth="1"/>
    <col min="38" max="38" width="17.140625" bestFit="1" customWidth="1"/>
    <col min="39" max="39" width="16.140625" bestFit="1" customWidth="1"/>
    <col min="40" max="40" width="16.28515625" bestFit="1" customWidth="1"/>
    <col min="41" max="41" width="16" bestFit="1" customWidth="1"/>
    <col min="42" max="43" width="15.7109375" bestFit="1" customWidth="1"/>
    <col min="44" max="44" width="16.28515625" bestFit="1" customWidth="1"/>
    <col min="45" max="45" width="16.140625" bestFit="1" customWidth="1"/>
    <col min="46" max="46" width="16.28515625" bestFit="1" customWidth="1"/>
    <col min="47" max="48" width="17" bestFit="1" customWidth="1"/>
    <col min="49" max="49" width="16.28515625" bestFit="1" customWidth="1"/>
    <col min="50" max="50" width="17.140625" bestFit="1" customWidth="1"/>
    <col min="51" max="51" width="16.140625" bestFit="1" customWidth="1"/>
    <col min="52" max="52" width="16.28515625" bestFit="1" customWidth="1"/>
    <col min="53" max="53" width="16" bestFit="1" customWidth="1"/>
    <col min="54" max="54" width="14.28515625" bestFit="1" customWidth="1"/>
    <col min="55" max="55" width="15.28515625" bestFit="1" customWidth="1"/>
    <col min="56" max="67" width="14.28515625" bestFit="1" customWidth="1"/>
    <col min="68" max="68" width="15.28515625" bestFit="1" customWidth="1"/>
    <col min="69" max="87" width="14.28515625" bestFit="1" customWidth="1"/>
    <col min="88" max="88" width="15.28515625" bestFit="1" customWidth="1"/>
    <col min="89" max="112" width="14.28515625" bestFit="1" customWidth="1"/>
    <col min="113" max="113" width="15.28515625" bestFit="1" customWidth="1"/>
    <col min="114" max="124" width="14.28515625" bestFit="1" customWidth="1"/>
    <col min="125" max="125" width="15.28515625" bestFit="1" customWidth="1"/>
    <col min="126" max="136" width="14.28515625" bestFit="1" customWidth="1"/>
    <col min="137" max="139" width="15.28515625" bestFit="1" customWidth="1"/>
    <col min="140" max="140" width="15.85546875" customWidth="1"/>
    <col min="141" max="148" width="14.28515625" bestFit="1" customWidth="1"/>
    <col min="149" max="150" width="15.28515625" bestFit="1" customWidth="1"/>
    <col min="151" max="159" width="14.28515625" bestFit="1" customWidth="1"/>
    <col min="160" max="163" width="15.28515625" bestFit="1" customWidth="1"/>
    <col min="164" max="173" width="14.28515625" bestFit="1" customWidth="1"/>
    <col min="174" max="189" width="13" customWidth="1"/>
    <col min="190" max="190" width="13.140625" customWidth="1"/>
    <col min="191" max="191" width="12.7109375" customWidth="1"/>
    <col min="192" max="193" width="14.5703125" bestFit="1" customWidth="1"/>
    <col min="194" max="194" width="13.28515625" customWidth="1"/>
    <col min="195" max="195" width="15.7109375" bestFit="1" customWidth="1"/>
    <col min="196" max="196" width="16" bestFit="1" customWidth="1"/>
    <col min="197" max="197" width="12.7109375" customWidth="1"/>
    <col min="198" max="199" width="12.140625" bestFit="1" customWidth="1"/>
    <col min="200" max="200" width="13.28515625" bestFit="1" customWidth="1"/>
    <col min="201" max="201" width="12.28515625" customWidth="1"/>
    <col min="202" max="202" width="13.42578125" customWidth="1"/>
    <col min="203" max="203" width="15" customWidth="1"/>
    <col min="204" max="204" width="14.7109375" bestFit="1" customWidth="1"/>
    <col min="205" max="205" width="14.140625" bestFit="1" customWidth="1"/>
    <col min="206" max="206" width="14.7109375" bestFit="1" customWidth="1"/>
    <col min="207" max="208" width="19.7109375" bestFit="1" customWidth="1"/>
    <col min="209" max="209" width="19.28515625" bestFit="1" customWidth="1"/>
    <col min="210" max="212" width="13.85546875" bestFit="1" customWidth="1"/>
    <col min="213" max="214" width="12.7109375" bestFit="1" customWidth="1"/>
    <col min="215" max="215" width="15" customWidth="1"/>
    <col min="216" max="218" width="12.7109375" bestFit="1" customWidth="1"/>
    <col min="219" max="219" width="14.5703125" bestFit="1" customWidth="1"/>
    <col min="220" max="220" width="16" bestFit="1" customWidth="1"/>
    <col min="221" max="221" width="15.5703125" bestFit="1" customWidth="1"/>
  </cols>
  <sheetData>
    <row r="1" spans="1:221">
      <c r="D1" t="s">
        <v>327</v>
      </c>
      <c r="E1" t="s">
        <v>328</v>
      </c>
    </row>
    <row r="2" spans="1:221">
      <c r="A2" s="23">
        <v>1</v>
      </c>
      <c r="B2" s="5" t="s">
        <v>217</v>
      </c>
      <c r="C2" s="5"/>
      <c r="D2" s="26" t="s">
        <v>236</v>
      </c>
      <c r="E2" t="s">
        <v>1</v>
      </c>
    </row>
    <row r="3" spans="1:221">
      <c r="A3" s="23">
        <v>2</v>
      </c>
      <c r="B3" s="5" t="s">
        <v>218</v>
      </c>
      <c r="C3" s="5"/>
      <c r="D3" s="6" t="s">
        <v>330</v>
      </c>
    </row>
    <row r="4" spans="1:221">
      <c r="A4" s="23">
        <v>3</v>
      </c>
      <c r="B4" s="5" t="s">
        <v>219</v>
      </c>
      <c r="C4" s="5"/>
      <c r="D4" s="7" t="s">
        <v>311</v>
      </c>
      <c r="E4" t="s">
        <v>312</v>
      </c>
      <c r="H4" t="s">
        <v>326</v>
      </c>
    </row>
    <row r="5" spans="1:221">
      <c r="A5" s="23">
        <v>4</v>
      </c>
      <c r="B5" s="23" t="s">
        <v>220</v>
      </c>
      <c r="C5" s="23"/>
      <c r="D5" s="23" t="s">
        <v>221</v>
      </c>
      <c r="E5" s="23" t="s">
        <v>221</v>
      </c>
      <c r="H5" s="20" t="s">
        <v>323</v>
      </c>
      <c r="I5" t="s">
        <v>324</v>
      </c>
    </row>
    <row r="6" spans="1:221">
      <c r="A6" s="23">
        <v>5</v>
      </c>
      <c r="B6" s="23" t="s">
        <v>222</v>
      </c>
      <c r="C6" s="23"/>
      <c r="D6" s="23" t="s">
        <v>223</v>
      </c>
      <c r="H6" s="21"/>
    </row>
    <row r="7" spans="1:221">
      <c r="A7" s="23">
        <v>6</v>
      </c>
      <c r="B7" s="23" t="s">
        <v>224</v>
      </c>
      <c r="C7" s="23"/>
      <c r="D7" s="23" t="s">
        <v>225</v>
      </c>
      <c r="I7" s="4"/>
      <c r="J7" s="4"/>
    </row>
    <row r="8" spans="1:221">
      <c r="A8" s="23">
        <v>7</v>
      </c>
      <c r="B8" s="23" t="s">
        <v>226</v>
      </c>
      <c r="C8" s="23"/>
      <c r="D8" s="23" t="s">
        <v>227</v>
      </c>
    </row>
    <row r="9" spans="1:221">
      <c r="A9" s="23">
        <v>8</v>
      </c>
      <c r="B9" s="23" t="s">
        <v>228</v>
      </c>
      <c r="C9" s="23"/>
      <c r="D9" s="23" t="s">
        <v>229</v>
      </c>
    </row>
    <row r="10" spans="1:221">
      <c r="A10" s="23">
        <v>9</v>
      </c>
      <c r="B10" s="23" t="s">
        <v>230</v>
      </c>
      <c r="C10" s="23"/>
      <c r="D10" s="23" t="s">
        <v>231</v>
      </c>
    </row>
    <row r="11" spans="1:221">
      <c r="A11" s="24">
        <v>10</v>
      </c>
      <c r="B11" s="24" t="s">
        <v>232</v>
      </c>
      <c r="C11" s="24"/>
      <c r="D11" s="24" t="s">
        <v>233</v>
      </c>
      <c r="E11" s="24" t="s">
        <v>2</v>
      </c>
    </row>
    <row r="12" spans="1:221">
      <c r="A12" s="8"/>
      <c r="B12" s="24" t="s">
        <v>234</v>
      </c>
      <c r="C12" s="24"/>
      <c r="D12" s="24" t="s">
        <v>235</v>
      </c>
    </row>
    <row r="13" spans="1:221">
      <c r="B13" s="23" t="s">
        <v>313</v>
      </c>
      <c r="C13" s="23"/>
      <c r="E13" s="2" t="s">
        <v>3</v>
      </c>
    </row>
    <row r="14" spans="1:221">
      <c r="B14" s="1" t="s">
        <v>0</v>
      </c>
      <c r="C14" s="1"/>
      <c r="E14" s="2" t="s">
        <v>4</v>
      </c>
      <c r="DV14" s="29">
        <v>1000</v>
      </c>
      <c r="GD14">
        <v>1000</v>
      </c>
    </row>
    <row r="15" spans="1:221">
      <c r="B15" s="1"/>
      <c r="C15" s="1"/>
      <c r="E15" s="2"/>
      <c r="FQ15" s="22" t="s">
        <v>329</v>
      </c>
      <c r="FR15" s="22" t="s">
        <v>237</v>
      </c>
      <c r="FS15" s="22" t="s">
        <v>238</v>
      </c>
      <c r="FT15" s="22" t="s">
        <v>239</v>
      </c>
      <c r="FU15" s="22" t="s">
        <v>240</v>
      </c>
      <c r="FV15" s="22" t="s">
        <v>241</v>
      </c>
      <c r="FW15" s="22" t="s">
        <v>242</v>
      </c>
      <c r="FX15" s="22" t="s">
        <v>243</v>
      </c>
      <c r="FY15" s="22" t="s">
        <v>244</v>
      </c>
      <c r="FZ15" s="22" t="s">
        <v>245</v>
      </c>
      <c r="GA15" s="22" t="s">
        <v>246</v>
      </c>
      <c r="GB15" s="22" t="s">
        <v>247</v>
      </c>
      <c r="GC15" s="22" t="s">
        <v>248</v>
      </c>
      <c r="GD15" s="22" t="s">
        <v>331</v>
      </c>
      <c r="GE15" s="22" t="s">
        <v>332</v>
      </c>
      <c r="GF15" s="22" t="s">
        <v>333</v>
      </c>
      <c r="GG15" s="22" t="s">
        <v>334</v>
      </c>
      <c r="GH15" s="22" t="s">
        <v>335</v>
      </c>
      <c r="GI15" s="22" t="s">
        <v>336</v>
      </c>
      <c r="GJ15" s="22" t="s">
        <v>337</v>
      </c>
      <c r="GK15" s="22" t="s">
        <v>338</v>
      </c>
      <c r="GL15" s="22" t="s">
        <v>339</v>
      </c>
      <c r="GM15" s="22" t="s">
        <v>340</v>
      </c>
      <c r="GN15" s="22" t="s">
        <v>341</v>
      </c>
      <c r="GO15" s="22" t="s">
        <v>342</v>
      </c>
      <c r="GP15" s="22" t="s">
        <v>3014</v>
      </c>
      <c r="GQ15" s="22" t="s">
        <v>3015</v>
      </c>
      <c r="GR15" s="22" t="s">
        <v>3016</v>
      </c>
      <c r="GS15" s="22" t="s">
        <v>3017</v>
      </c>
      <c r="GT15" s="22" t="s">
        <v>3018</v>
      </c>
      <c r="GU15" s="22" t="s">
        <v>3019</v>
      </c>
      <c r="GV15" s="22" t="s">
        <v>3020</v>
      </c>
      <c r="GW15" s="22" t="s">
        <v>3021</v>
      </c>
      <c r="GX15" s="22" t="s">
        <v>3022</v>
      </c>
      <c r="GY15" s="22" t="s">
        <v>3023</v>
      </c>
      <c r="GZ15" s="22" t="s">
        <v>3024</v>
      </c>
      <c r="HA15" s="22" t="s">
        <v>3025</v>
      </c>
      <c r="HB15" s="22" t="s">
        <v>3118</v>
      </c>
      <c r="HC15" s="22" t="s">
        <v>3119</v>
      </c>
      <c r="HD15" s="22" t="s">
        <v>3120</v>
      </c>
      <c r="HE15" s="22" t="s">
        <v>3121</v>
      </c>
      <c r="HF15" s="22" t="s">
        <v>3122</v>
      </c>
      <c r="HG15" s="22" t="s">
        <v>3123</v>
      </c>
      <c r="HH15" s="22" t="s">
        <v>3124</v>
      </c>
      <c r="HI15" s="22" t="s">
        <v>3125</v>
      </c>
      <c r="HJ15" s="22" t="s">
        <v>3126</v>
      </c>
      <c r="HK15" s="22" t="s">
        <v>3127</v>
      </c>
      <c r="HL15" s="22" t="s">
        <v>3128</v>
      </c>
      <c r="HM15" s="22" t="s">
        <v>3129</v>
      </c>
    </row>
    <row r="16" spans="1:221" ht="15.75" thickBot="1">
      <c r="D16" s="11" t="s">
        <v>281</v>
      </c>
      <c r="E16" s="15"/>
      <c r="F16" s="15" t="s">
        <v>164</v>
      </c>
      <c r="G16" s="15" t="s">
        <v>165</v>
      </c>
      <c r="H16" s="15" t="s">
        <v>166</v>
      </c>
      <c r="I16" s="15" t="s">
        <v>167</v>
      </c>
      <c r="J16" s="15" t="s">
        <v>168</v>
      </c>
      <c r="K16" s="15" t="s">
        <v>169</v>
      </c>
      <c r="L16" s="15" t="s">
        <v>170</v>
      </c>
      <c r="M16" s="15" t="s">
        <v>171</v>
      </c>
      <c r="N16" s="15" t="s">
        <v>172</v>
      </c>
      <c r="O16" s="15" t="s">
        <v>173</v>
      </c>
      <c r="P16" s="15" t="s">
        <v>174</v>
      </c>
      <c r="Q16" s="15" t="s">
        <v>175</v>
      </c>
      <c r="R16" s="15" t="s">
        <v>176</v>
      </c>
      <c r="S16" s="15" t="s">
        <v>177</v>
      </c>
      <c r="T16" s="15" t="s">
        <v>178</v>
      </c>
      <c r="U16" s="15" t="s">
        <v>179</v>
      </c>
      <c r="V16" s="15" t="s">
        <v>180</v>
      </c>
      <c r="W16" s="15" t="s">
        <v>181</v>
      </c>
      <c r="X16" s="15" t="s">
        <v>182</v>
      </c>
      <c r="Y16" s="15" t="s">
        <v>183</v>
      </c>
      <c r="Z16" s="15" t="s">
        <v>184</v>
      </c>
      <c r="AA16" s="15" t="s">
        <v>185</v>
      </c>
      <c r="AB16" s="15" t="s">
        <v>186</v>
      </c>
      <c r="AC16" s="15" t="s">
        <v>187</v>
      </c>
      <c r="AD16" s="15" t="s">
        <v>139</v>
      </c>
      <c r="AE16" s="15" t="s">
        <v>140</v>
      </c>
      <c r="AF16" s="15" t="s">
        <v>141</v>
      </c>
      <c r="AG16" s="15" t="s">
        <v>142</v>
      </c>
      <c r="AH16" s="15" t="s">
        <v>143</v>
      </c>
      <c r="AI16" s="15" t="s">
        <v>144</v>
      </c>
      <c r="AJ16" s="15" t="s">
        <v>145</v>
      </c>
      <c r="AK16" s="15" t="s">
        <v>146</v>
      </c>
      <c r="AL16" s="15" t="s">
        <v>147</v>
      </c>
      <c r="AM16" s="15" t="s">
        <v>148</v>
      </c>
      <c r="AN16" s="15" t="s">
        <v>149</v>
      </c>
      <c r="AO16" s="15" t="s">
        <v>150</v>
      </c>
      <c r="AP16" s="15" t="s">
        <v>127</v>
      </c>
      <c r="AQ16" s="15" t="s">
        <v>128</v>
      </c>
      <c r="AR16" s="15" t="s">
        <v>129</v>
      </c>
      <c r="AS16" s="15" t="s">
        <v>130</v>
      </c>
      <c r="AT16" s="15" t="s">
        <v>131</v>
      </c>
      <c r="AU16" s="15" t="s">
        <v>132</v>
      </c>
      <c r="AV16" s="15" t="s">
        <v>133</v>
      </c>
      <c r="AW16" s="15" t="s">
        <v>134</v>
      </c>
      <c r="AX16" s="15" t="s">
        <v>135</v>
      </c>
      <c r="AY16" s="15" t="s">
        <v>136</v>
      </c>
      <c r="AZ16" s="15" t="s">
        <v>137</v>
      </c>
      <c r="BA16" s="15" t="s">
        <v>138</v>
      </c>
      <c r="BB16" s="15" t="s">
        <v>115</v>
      </c>
      <c r="BC16" s="15" t="s">
        <v>116</v>
      </c>
      <c r="BD16" s="15" t="s">
        <v>117</v>
      </c>
      <c r="BE16" s="15" t="s">
        <v>118</v>
      </c>
      <c r="BF16" s="15" t="s">
        <v>119</v>
      </c>
      <c r="BG16" s="15" t="s">
        <v>120</v>
      </c>
      <c r="BH16" s="15" t="s">
        <v>121</v>
      </c>
      <c r="BI16" s="15" t="s">
        <v>122</v>
      </c>
      <c r="BJ16" s="15" t="s">
        <v>123</v>
      </c>
      <c r="BK16" s="15" t="s">
        <v>124</v>
      </c>
      <c r="BL16" s="15" t="s">
        <v>125</v>
      </c>
      <c r="BM16" s="15" t="s">
        <v>126</v>
      </c>
      <c r="BN16" s="15" t="s">
        <v>103</v>
      </c>
      <c r="BO16" s="15" t="s">
        <v>104</v>
      </c>
      <c r="BP16" s="15" t="s">
        <v>105</v>
      </c>
      <c r="BQ16" s="15" t="s">
        <v>106</v>
      </c>
      <c r="BR16" s="15" t="s">
        <v>107</v>
      </c>
      <c r="BS16" s="15" t="s">
        <v>108</v>
      </c>
      <c r="BT16" s="15" t="s">
        <v>109</v>
      </c>
      <c r="BU16" s="15" t="s">
        <v>110</v>
      </c>
      <c r="BV16" s="15" t="s">
        <v>111</v>
      </c>
      <c r="BW16" s="15" t="s">
        <v>112</v>
      </c>
      <c r="BX16" s="15" t="s">
        <v>113</v>
      </c>
      <c r="BY16" s="15" t="s">
        <v>114</v>
      </c>
      <c r="BZ16" s="15" t="s">
        <v>91</v>
      </c>
      <c r="CA16" s="15" t="s">
        <v>92</v>
      </c>
      <c r="CB16" s="15" t="s">
        <v>93</v>
      </c>
      <c r="CC16" s="15" t="s">
        <v>94</v>
      </c>
      <c r="CD16" s="15" t="s">
        <v>95</v>
      </c>
      <c r="CE16" s="15" t="s">
        <v>96</v>
      </c>
      <c r="CF16" s="15" t="s">
        <v>97</v>
      </c>
      <c r="CG16" s="15" t="s">
        <v>98</v>
      </c>
      <c r="CH16" s="15" t="s">
        <v>99</v>
      </c>
      <c r="CI16" s="15" t="s">
        <v>100</v>
      </c>
      <c r="CJ16" s="15" t="s">
        <v>101</v>
      </c>
      <c r="CK16" s="15" t="s">
        <v>102</v>
      </c>
      <c r="CL16" s="15" t="s">
        <v>5</v>
      </c>
      <c r="CM16" s="15" t="s">
        <v>12</v>
      </c>
      <c r="CN16" s="15" t="s">
        <v>19</v>
      </c>
      <c r="CO16" s="15" t="s">
        <v>26</v>
      </c>
      <c r="CP16" s="15" t="s">
        <v>33</v>
      </c>
      <c r="CQ16" s="15" t="s">
        <v>40</v>
      </c>
      <c r="CR16" s="15" t="s">
        <v>47</v>
      </c>
      <c r="CS16" s="15" t="s">
        <v>54</v>
      </c>
      <c r="CT16" s="15" t="s">
        <v>61</v>
      </c>
      <c r="CU16" s="15" t="s">
        <v>68</v>
      </c>
      <c r="CV16" s="15" t="s">
        <v>75</v>
      </c>
      <c r="CW16" s="15" t="s">
        <v>82</v>
      </c>
      <c r="CX16" s="15" t="s">
        <v>6</v>
      </c>
      <c r="CY16" s="15" t="s">
        <v>13</v>
      </c>
      <c r="CZ16" s="15" t="s">
        <v>20</v>
      </c>
      <c r="DA16" s="15" t="s">
        <v>27</v>
      </c>
      <c r="DB16" s="15" t="s">
        <v>34</v>
      </c>
      <c r="DC16" s="15" t="s">
        <v>41</v>
      </c>
      <c r="DD16" s="15" t="s">
        <v>48</v>
      </c>
      <c r="DE16" s="15" t="s">
        <v>55</v>
      </c>
      <c r="DF16" s="15" t="s">
        <v>62</v>
      </c>
      <c r="DG16" s="15" t="s">
        <v>69</v>
      </c>
      <c r="DH16" s="15" t="s">
        <v>76</v>
      </c>
      <c r="DI16" s="15" t="s">
        <v>83</v>
      </c>
      <c r="DJ16" s="15" t="s">
        <v>7</v>
      </c>
      <c r="DK16" s="15" t="s">
        <v>14</v>
      </c>
      <c r="DL16" s="15" t="s">
        <v>21</v>
      </c>
      <c r="DM16" s="15" t="s">
        <v>28</v>
      </c>
      <c r="DN16" s="15" t="s">
        <v>35</v>
      </c>
      <c r="DO16" s="15" t="s">
        <v>42</v>
      </c>
      <c r="DP16" s="15" t="s">
        <v>49</v>
      </c>
      <c r="DQ16" s="15" t="s">
        <v>56</v>
      </c>
      <c r="DR16" s="15" t="s">
        <v>63</v>
      </c>
      <c r="DS16" s="15" t="s">
        <v>70</v>
      </c>
      <c r="DT16" s="15" t="s">
        <v>77</v>
      </c>
      <c r="DU16" s="15" t="s">
        <v>84</v>
      </c>
      <c r="DV16" s="15" t="s">
        <v>8</v>
      </c>
      <c r="DW16" s="15" t="s">
        <v>15</v>
      </c>
      <c r="DX16" s="15" t="s">
        <v>22</v>
      </c>
      <c r="DY16" s="15" t="s">
        <v>29</v>
      </c>
      <c r="DZ16" s="15" t="s">
        <v>36</v>
      </c>
      <c r="EA16" s="15" t="s">
        <v>43</v>
      </c>
      <c r="EB16" s="15" t="s">
        <v>50</v>
      </c>
      <c r="EC16" s="15" t="s">
        <v>57</v>
      </c>
      <c r="ED16" s="15" t="s">
        <v>64</v>
      </c>
      <c r="EE16" s="15" t="s">
        <v>71</v>
      </c>
      <c r="EF16" s="15" t="s">
        <v>78</v>
      </c>
      <c r="EG16" s="15" t="s">
        <v>85</v>
      </c>
      <c r="EH16" s="15" t="s">
        <v>9</v>
      </c>
      <c r="EI16" s="15" t="s">
        <v>16</v>
      </c>
      <c r="EJ16" s="15" t="s">
        <v>23</v>
      </c>
      <c r="EK16" s="15" t="s">
        <v>30</v>
      </c>
      <c r="EL16" s="15" t="s">
        <v>37</v>
      </c>
      <c r="EM16" s="15" t="s">
        <v>44</v>
      </c>
      <c r="EN16" s="15" t="s">
        <v>51</v>
      </c>
      <c r="EO16" s="15" t="s">
        <v>58</v>
      </c>
      <c r="EP16" s="15" t="s">
        <v>65</v>
      </c>
      <c r="EQ16" s="15" t="s">
        <v>72</v>
      </c>
      <c r="ER16" s="15" t="s">
        <v>79</v>
      </c>
      <c r="ES16" s="15" t="s">
        <v>86</v>
      </c>
      <c r="ET16" s="15" t="s">
        <v>10</v>
      </c>
      <c r="EU16" s="15" t="s">
        <v>17</v>
      </c>
      <c r="EV16" s="15" t="s">
        <v>24</v>
      </c>
      <c r="EW16" s="15" t="s">
        <v>31</v>
      </c>
      <c r="EX16" s="15" t="s">
        <v>38</v>
      </c>
      <c r="EY16" s="15" t="s">
        <v>45</v>
      </c>
      <c r="EZ16" s="15" t="s">
        <v>52</v>
      </c>
      <c r="FA16" s="15" t="s">
        <v>59</v>
      </c>
      <c r="FB16" s="15" t="s">
        <v>66</v>
      </c>
      <c r="FC16" s="15" t="s">
        <v>73</v>
      </c>
      <c r="FD16" s="15" t="s">
        <v>80</v>
      </c>
      <c r="FE16" s="15" t="s">
        <v>87</v>
      </c>
      <c r="FF16" s="15" t="s">
        <v>11</v>
      </c>
      <c r="FG16" s="15" t="s">
        <v>18</v>
      </c>
      <c r="FH16" s="15" t="s">
        <v>25</v>
      </c>
      <c r="FI16" s="15" t="s">
        <v>32</v>
      </c>
      <c r="FJ16" s="15" t="s">
        <v>39</v>
      </c>
      <c r="FK16" s="15" t="s">
        <v>46</v>
      </c>
      <c r="FL16" s="15" t="s">
        <v>53</v>
      </c>
      <c r="FM16" s="15" t="s">
        <v>60</v>
      </c>
      <c r="FN16" s="15" t="s">
        <v>67</v>
      </c>
      <c r="FO16" s="15" t="s">
        <v>74</v>
      </c>
      <c r="FP16" s="15" t="s">
        <v>81</v>
      </c>
      <c r="FQ16" s="15" t="s">
        <v>88</v>
      </c>
      <c r="FR16" t="str">
        <f>MID(FR15,1,3)</f>
        <v>A17</v>
      </c>
      <c r="GI16">
        <v>1000</v>
      </c>
    </row>
    <row r="17" spans="1:221" ht="24.75" thickBot="1">
      <c r="A17" t="s">
        <v>310</v>
      </c>
      <c r="B17" t="s">
        <v>309</v>
      </c>
      <c r="D17" s="9" t="s">
        <v>278</v>
      </c>
      <c r="E17" s="13" t="s">
        <v>322</v>
      </c>
      <c r="F17" s="12" t="s">
        <v>2810</v>
      </c>
      <c r="G17" s="13" t="s">
        <v>2811</v>
      </c>
      <c r="H17" s="13" t="s">
        <v>2812</v>
      </c>
      <c r="I17" s="13" t="s">
        <v>2813</v>
      </c>
      <c r="J17" s="13" t="s">
        <v>2814</v>
      </c>
      <c r="K17" s="13" t="s">
        <v>2815</v>
      </c>
      <c r="L17" s="13" t="s">
        <v>2816</v>
      </c>
      <c r="M17" s="13" t="s">
        <v>2817</v>
      </c>
      <c r="N17" s="13" t="s">
        <v>2818</v>
      </c>
      <c r="O17" s="13" t="s">
        <v>2819</v>
      </c>
      <c r="P17" s="13" t="s">
        <v>2820</v>
      </c>
      <c r="Q17" s="14" t="s">
        <v>2821</v>
      </c>
      <c r="R17" s="12" t="s">
        <v>2822</v>
      </c>
      <c r="S17" s="13" t="s">
        <v>2823</v>
      </c>
      <c r="T17" s="13" t="s">
        <v>2824</v>
      </c>
      <c r="U17" s="13" t="s">
        <v>2825</v>
      </c>
      <c r="V17" s="13" t="s">
        <v>2826</v>
      </c>
      <c r="W17" s="13" t="s">
        <v>2827</v>
      </c>
      <c r="X17" s="13" t="s">
        <v>2828</v>
      </c>
      <c r="Y17" s="13" t="s">
        <v>2829</v>
      </c>
      <c r="Z17" s="13" t="s">
        <v>2830</v>
      </c>
      <c r="AA17" s="13" t="s">
        <v>2831</v>
      </c>
      <c r="AB17" s="13" t="s">
        <v>2832</v>
      </c>
      <c r="AC17" s="14" t="s">
        <v>2833</v>
      </c>
      <c r="AD17" s="12" t="s">
        <v>2834</v>
      </c>
      <c r="AE17" s="13" t="s">
        <v>2835</v>
      </c>
      <c r="AF17" s="13" t="s">
        <v>2836</v>
      </c>
      <c r="AG17" s="13" t="s">
        <v>2837</v>
      </c>
      <c r="AH17" s="13" t="s">
        <v>2838</v>
      </c>
      <c r="AI17" s="13" t="s">
        <v>2839</v>
      </c>
      <c r="AJ17" s="13" t="s">
        <v>2840</v>
      </c>
      <c r="AK17" s="13" t="s">
        <v>2841</v>
      </c>
      <c r="AL17" s="13" t="s">
        <v>2842</v>
      </c>
      <c r="AM17" s="13" t="s">
        <v>2843</v>
      </c>
      <c r="AN17" s="13" t="s">
        <v>2844</v>
      </c>
      <c r="AO17" s="14" t="s">
        <v>2845</v>
      </c>
      <c r="AP17" s="12" t="s">
        <v>2846</v>
      </c>
      <c r="AQ17" s="13" t="s">
        <v>2847</v>
      </c>
      <c r="AR17" s="13" t="s">
        <v>2848</v>
      </c>
      <c r="AS17" s="13" t="s">
        <v>2849</v>
      </c>
      <c r="AT17" s="13" t="s">
        <v>2850</v>
      </c>
      <c r="AU17" s="13" t="s">
        <v>2851</v>
      </c>
      <c r="AV17" s="13" t="s">
        <v>2852</v>
      </c>
      <c r="AW17" s="13" t="s">
        <v>2853</v>
      </c>
      <c r="AX17" s="13" t="s">
        <v>2854</v>
      </c>
      <c r="AY17" s="13" t="s">
        <v>2855</v>
      </c>
      <c r="AZ17" s="13" t="s">
        <v>2856</v>
      </c>
      <c r="BA17" s="14" t="s">
        <v>2857</v>
      </c>
      <c r="BB17" s="12" t="s">
        <v>2858</v>
      </c>
      <c r="BC17" s="13" t="s">
        <v>2859</v>
      </c>
      <c r="BD17" s="13" t="s">
        <v>2860</v>
      </c>
      <c r="BE17" s="13" t="s">
        <v>2861</v>
      </c>
      <c r="BF17" s="13" t="s">
        <v>2862</v>
      </c>
      <c r="BG17" s="13" t="s">
        <v>2863</v>
      </c>
      <c r="BH17" s="13" t="s">
        <v>2864</v>
      </c>
      <c r="BI17" s="13" t="s">
        <v>2865</v>
      </c>
      <c r="BJ17" s="13" t="s">
        <v>2866</v>
      </c>
      <c r="BK17" s="13" t="s">
        <v>2867</v>
      </c>
      <c r="BL17" s="13" t="s">
        <v>2868</v>
      </c>
      <c r="BM17" s="14" t="s">
        <v>2869</v>
      </c>
      <c r="BN17" s="12" t="s">
        <v>2870</v>
      </c>
      <c r="BO17" s="13" t="s">
        <v>2871</v>
      </c>
      <c r="BP17" s="13" t="s">
        <v>2872</v>
      </c>
      <c r="BQ17" s="13" t="s">
        <v>2873</v>
      </c>
      <c r="BR17" s="13" t="s">
        <v>2874</v>
      </c>
      <c r="BS17" s="13" t="s">
        <v>2875</v>
      </c>
      <c r="BT17" s="13" t="s">
        <v>2876</v>
      </c>
      <c r="BU17" s="13" t="s">
        <v>2877</v>
      </c>
      <c r="BV17" s="13" t="s">
        <v>2878</v>
      </c>
      <c r="BW17" s="13" t="s">
        <v>2879</v>
      </c>
      <c r="BX17" s="13" t="s">
        <v>2880</v>
      </c>
      <c r="BY17" s="14" t="s">
        <v>2881</v>
      </c>
      <c r="BZ17" s="12" t="s">
        <v>2882</v>
      </c>
      <c r="CA17" s="13" t="s">
        <v>2883</v>
      </c>
      <c r="CB17" s="13" t="s">
        <v>2884</v>
      </c>
      <c r="CC17" s="13" t="s">
        <v>2885</v>
      </c>
      <c r="CD17" s="13" t="s">
        <v>2886</v>
      </c>
      <c r="CE17" s="13" t="s">
        <v>2887</v>
      </c>
      <c r="CF17" s="13" t="s">
        <v>2888</v>
      </c>
      <c r="CG17" s="13" t="s">
        <v>2889</v>
      </c>
      <c r="CH17" s="13" t="s">
        <v>2890</v>
      </c>
      <c r="CI17" s="13" t="s">
        <v>2891</v>
      </c>
      <c r="CJ17" s="13" t="s">
        <v>2892</v>
      </c>
      <c r="CK17" s="14" t="s">
        <v>2893</v>
      </c>
      <c r="CL17" s="12" t="s">
        <v>2894</v>
      </c>
      <c r="CM17" s="13" t="s">
        <v>2895</v>
      </c>
      <c r="CN17" s="13" t="s">
        <v>2896</v>
      </c>
      <c r="CO17" s="13" t="s">
        <v>2897</v>
      </c>
      <c r="CP17" s="13" t="s">
        <v>2898</v>
      </c>
      <c r="CQ17" s="13" t="s">
        <v>2899</v>
      </c>
      <c r="CR17" s="13" t="s">
        <v>2900</v>
      </c>
      <c r="CS17" s="13" t="s">
        <v>2901</v>
      </c>
      <c r="CT17" s="13" t="s">
        <v>2902</v>
      </c>
      <c r="CU17" s="13" t="s">
        <v>2903</v>
      </c>
      <c r="CV17" s="13" t="s">
        <v>2904</v>
      </c>
      <c r="CW17" s="14" t="s">
        <v>2905</v>
      </c>
      <c r="CX17" s="12" t="s">
        <v>2906</v>
      </c>
      <c r="CY17" s="13" t="s">
        <v>2907</v>
      </c>
      <c r="CZ17" s="13" t="s">
        <v>2908</v>
      </c>
      <c r="DA17" s="13" t="s">
        <v>2909</v>
      </c>
      <c r="DB17" s="13" t="s">
        <v>2910</v>
      </c>
      <c r="DC17" s="13" t="s">
        <v>2911</v>
      </c>
      <c r="DD17" s="13" t="s">
        <v>2912</v>
      </c>
      <c r="DE17" s="13" t="s">
        <v>2913</v>
      </c>
      <c r="DF17" s="13" t="s">
        <v>2914</v>
      </c>
      <c r="DG17" s="13" t="s">
        <v>2915</v>
      </c>
      <c r="DH17" s="13" t="s">
        <v>2916</v>
      </c>
      <c r="DI17" s="14" t="s">
        <v>2917</v>
      </c>
      <c r="DJ17" s="12" t="s">
        <v>2918</v>
      </c>
      <c r="DK17" s="13" t="s">
        <v>2919</v>
      </c>
      <c r="DL17" s="13" t="s">
        <v>2920</v>
      </c>
      <c r="DM17" s="13" t="s">
        <v>2921</v>
      </c>
      <c r="DN17" s="13" t="s">
        <v>2922</v>
      </c>
      <c r="DO17" s="13" t="s">
        <v>2923</v>
      </c>
      <c r="DP17" s="13" t="s">
        <v>2924</v>
      </c>
      <c r="DQ17" s="13" t="s">
        <v>2925</v>
      </c>
      <c r="DR17" s="13" t="s">
        <v>2926</v>
      </c>
      <c r="DS17" s="13" t="s">
        <v>2927</v>
      </c>
      <c r="DT17" s="13" t="s">
        <v>2928</v>
      </c>
      <c r="DU17" s="14" t="s">
        <v>2929</v>
      </c>
      <c r="DV17" s="12" t="s">
        <v>2930</v>
      </c>
      <c r="DW17" s="13" t="s">
        <v>2931</v>
      </c>
      <c r="DX17" s="13" t="s">
        <v>2932</v>
      </c>
      <c r="DY17" s="13" t="s">
        <v>2933</v>
      </c>
      <c r="DZ17" s="13" t="s">
        <v>2934</v>
      </c>
      <c r="EA17" s="13" t="s">
        <v>2935</v>
      </c>
      <c r="EB17" s="13" t="s">
        <v>2936</v>
      </c>
      <c r="EC17" s="13" t="s">
        <v>2937</v>
      </c>
      <c r="ED17" s="13" t="s">
        <v>2938</v>
      </c>
      <c r="EE17" s="13" t="s">
        <v>2939</v>
      </c>
      <c r="EF17" s="13" t="s">
        <v>2940</v>
      </c>
      <c r="EG17" s="14" t="s">
        <v>2941</v>
      </c>
      <c r="EH17" s="12" t="s">
        <v>2942</v>
      </c>
      <c r="EI17" s="13" t="s">
        <v>2943</v>
      </c>
      <c r="EJ17" s="13" t="s">
        <v>2944</v>
      </c>
      <c r="EK17" s="13" t="s">
        <v>2945</v>
      </c>
      <c r="EL17" s="13" t="s">
        <v>2946</v>
      </c>
      <c r="EM17" s="13" t="s">
        <v>2947</v>
      </c>
      <c r="EN17" s="13" t="s">
        <v>2948</v>
      </c>
      <c r="EO17" s="13" t="s">
        <v>2949</v>
      </c>
      <c r="EP17" s="13" t="s">
        <v>2950</v>
      </c>
      <c r="EQ17" s="13" t="s">
        <v>2951</v>
      </c>
      <c r="ER17" s="13" t="s">
        <v>2952</v>
      </c>
      <c r="ES17" s="14" t="s">
        <v>2953</v>
      </c>
      <c r="ET17" s="12" t="s">
        <v>2954</v>
      </c>
      <c r="EU17" s="13" t="s">
        <v>2955</v>
      </c>
      <c r="EV17" s="13" t="s">
        <v>2956</v>
      </c>
      <c r="EW17" s="13" t="s">
        <v>2957</v>
      </c>
      <c r="EX17" s="13" t="s">
        <v>2958</v>
      </c>
      <c r="EY17" s="13" t="s">
        <v>2959</v>
      </c>
      <c r="EZ17" s="13" t="s">
        <v>2960</v>
      </c>
      <c r="FA17" s="13" t="s">
        <v>2961</v>
      </c>
      <c r="FB17" s="13" t="s">
        <v>2962</v>
      </c>
      <c r="FC17" s="13" t="s">
        <v>2963</v>
      </c>
      <c r="FD17" s="13" t="s">
        <v>2964</v>
      </c>
      <c r="FE17" s="14" t="s">
        <v>2965</v>
      </c>
      <c r="FF17" s="12" t="s">
        <v>2966</v>
      </c>
      <c r="FG17" s="13" t="s">
        <v>2967</v>
      </c>
      <c r="FH17" s="13" t="s">
        <v>2968</v>
      </c>
      <c r="FI17" s="13" t="s">
        <v>2969</v>
      </c>
      <c r="FJ17" s="13" t="s">
        <v>2970</v>
      </c>
      <c r="FK17" s="13" t="s">
        <v>2971</v>
      </c>
      <c r="FL17" s="13" t="s">
        <v>2972</v>
      </c>
      <c r="FM17" s="13" t="s">
        <v>2973</v>
      </c>
      <c r="FN17" s="13" t="s">
        <v>2974</v>
      </c>
      <c r="FO17" s="13" t="s">
        <v>2975</v>
      </c>
      <c r="FP17" s="13" t="s">
        <v>2976</v>
      </c>
      <c r="FQ17" s="14" t="s">
        <v>2977</v>
      </c>
      <c r="FR17" s="12" t="s">
        <v>2978</v>
      </c>
      <c r="FS17" s="13" t="s">
        <v>2979</v>
      </c>
      <c r="FT17" s="13" t="s">
        <v>2980</v>
      </c>
      <c r="FU17" s="13" t="s">
        <v>2981</v>
      </c>
      <c r="FV17" s="13" t="s">
        <v>2982</v>
      </c>
      <c r="FW17" s="13" t="s">
        <v>2983</v>
      </c>
      <c r="FX17" s="13" t="s">
        <v>2984</v>
      </c>
      <c r="FY17" s="13" t="s">
        <v>2985</v>
      </c>
      <c r="FZ17" s="13" t="s">
        <v>2986</v>
      </c>
      <c r="GA17" s="13" t="s">
        <v>2987</v>
      </c>
      <c r="GB17" s="13" t="s">
        <v>2988</v>
      </c>
      <c r="GC17" s="14" t="s">
        <v>2989</v>
      </c>
      <c r="GD17" s="12" t="s">
        <v>2990</v>
      </c>
      <c r="GE17" s="13" t="s">
        <v>2991</v>
      </c>
      <c r="GF17" s="13" t="s">
        <v>2992</v>
      </c>
      <c r="GG17" s="13" t="s">
        <v>2993</v>
      </c>
      <c r="GH17" s="13" t="s">
        <v>2994</v>
      </c>
      <c r="GI17" s="13" t="s">
        <v>2995</v>
      </c>
      <c r="GJ17" s="13" t="s">
        <v>2996</v>
      </c>
      <c r="GK17" s="13" t="s">
        <v>2997</v>
      </c>
      <c r="GL17" s="13" t="s">
        <v>2998</v>
      </c>
      <c r="GM17" s="13" t="s">
        <v>2999</v>
      </c>
      <c r="GN17" s="13" t="s">
        <v>3000</v>
      </c>
      <c r="GO17" s="14" t="s">
        <v>3001</v>
      </c>
      <c r="GP17" s="12" t="s">
        <v>3002</v>
      </c>
      <c r="GQ17" s="13" t="s">
        <v>3003</v>
      </c>
      <c r="GR17" s="13" t="s">
        <v>3004</v>
      </c>
      <c r="GS17" s="13" t="s">
        <v>3005</v>
      </c>
      <c r="GT17" s="13" t="s">
        <v>3006</v>
      </c>
      <c r="GU17" s="13" t="s">
        <v>3007</v>
      </c>
      <c r="GV17" s="13" t="s">
        <v>3008</v>
      </c>
      <c r="GW17" s="13" t="s">
        <v>3009</v>
      </c>
      <c r="GX17" s="13" t="s">
        <v>3010</v>
      </c>
      <c r="GY17" s="13" t="s">
        <v>3011</v>
      </c>
      <c r="GZ17" s="13" t="s">
        <v>3012</v>
      </c>
      <c r="HA17" s="14" t="s">
        <v>3013</v>
      </c>
      <c r="HB17" s="12" t="s">
        <v>3341</v>
      </c>
      <c r="HC17" s="13" t="s">
        <v>3342</v>
      </c>
      <c r="HD17" s="13" t="s">
        <v>3343</v>
      </c>
      <c r="HE17" s="13" t="s">
        <v>3344</v>
      </c>
      <c r="HF17" s="13" t="s">
        <v>3345</v>
      </c>
      <c r="HG17" s="13" t="s">
        <v>3346</v>
      </c>
      <c r="HH17" s="13" t="s">
        <v>3347</v>
      </c>
      <c r="HI17" s="13" t="s">
        <v>3348</v>
      </c>
      <c r="HJ17" s="13" t="s">
        <v>3349</v>
      </c>
      <c r="HK17" s="13" t="s">
        <v>3350</v>
      </c>
      <c r="HL17" s="13" t="s">
        <v>3351</v>
      </c>
      <c r="HM17" s="14" t="s">
        <v>3352</v>
      </c>
    </row>
    <row r="18" spans="1:221">
      <c r="A18" t="s">
        <v>203</v>
      </c>
      <c r="B18" t="s">
        <v>249</v>
      </c>
      <c r="C18" t="s">
        <v>3340</v>
      </c>
      <c r="D18" s="10" t="s">
        <v>282</v>
      </c>
      <c r="E18" s="19">
        <v>37561</v>
      </c>
      <c r="F18" s="16">
        <v>1792924</v>
      </c>
      <c r="G18" s="16">
        <v>1561822</v>
      </c>
      <c r="H18" s="16">
        <v>2611652</v>
      </c>
      <c r="I18" s="16">
        <v>2064698</v>
      </c>
      <c r="J18" s="16">
        <v>1086318</v>
      </c>
      <c r="K18" s="16">
        <v>1254877</v>
      </c>
      <c r="L18" s="16">
        <v>699545</v>
      </c>
      <c r="M18" s="16">
        <v>618165</v>
      </c>
      <c r="N18" s="16">
        <v>1630918</v>
      </c>
      <c r="O18" s="16">
        <v>2045130</v>
      </c>
      <c r="P18" s="16">
        <v>2155844</v>
      </c>
      <c r="Q18" s="16">
        <v>2126339</v>
      </c>
      <c r="R18" s="16">
        <v>1882625</v>
      </c>
      <c r="S18" s="16">
        <v>1072098</v>
      </c>
      <c r="T18" s="16">
        <v>1728406</v>
      </c>
      <c r="U18" s="16">
        <v>1463369</v>
      </c>
      <c r="V18" s="16">
        <v>1114826</v>
      </c>
      <c r="W18" s="16">
        <v>1205330</v>
      </c>
      <c r="X18" s="16">
        <v>1157172</v>
      </c>
      <c r="Y18" s="16">
        <v>1111594</v>
      </c>
      <c r="Z18" s="16">
        <v>1633166</v>
      </c>
      <c r="AA18" s="16">
        <v>1775520</v>
      </c>
      <c r="AB18" s="16">
        <v>1003271</v>
      </c>
      <c r="AC18" s="16">
        <v>1596738</v>
      </c>
      <c r="AD18" s="16">
        <v>2158684</v>
      </c>
      <c r="AE18" s="16">
        <v>1923957</v>
      </c>
      <c r="AF18" s="16">
        <v>2070751</v>
      </c>
      <c r="AG18" s="16">
        <v>2064192</v>
      </c>
      <c r="AH18" s="16">
        <v>1626251</v>
      </c>
      <c r="AI18" s="16">
        <v>1150410</v>
      </c>
      <c r="AJ18" s="16">
        <v>1002161</v>
      </c>
      <c r="AK18" s="16">
        <v>1327329</v>
      </c>
      <c r="AL18" s="16">
        <v>616357</v>
      </c>
      <c r="AM18" s="16">
        <v>2814757</v>
      </c>
      <c r="AN18" s="16">
        <v>1165828</v>
      </c>
      <c r="AO18" s="16">
        <v>1114954</v>
      </c>
      <c r="AP18" s="16">
        <v>1789404</v>
      </c>
      <c r="AQ18" s="16">
        <v>775965</v>
      </c>
      <c r="AR18" s="16">
        <v>2151107</v>
      </c>
      <c r="AS18" s="16">
        <v>1398045</v>
      </c>
      <c r="AT18" s="16">
        <v>1510875</v>
      </c>
      <c r="AU18" s="16">
        <v>1140679</v>
      </c>
      <c r="AV18" s="16">
        <v>735702</v>
      </c>
      <c r="AW18" s="16">
        <v>1255489</v>
      </c>
      <c r="AX18" s="16">
        <v>1924625</v>
      </c>
      <c r="AY18" s="16">
        <v>2200116</v>
      </c>
      <c r="AZ18" s="16">
        <v>1624683</v>
      </c>
      <c r="BA18" s="16">
        <v>1131107</v>
      </c>
      <c r="BB18" s="27">
        <v>894720</v>
      </c>
      <c r="BC18" s="16">
        <v>1281015</v>
      </c>
      <c r="BD18" s="16">
        <v>1653481</v>
      </c>
      <c r="BE18" s="16">
        <v>1139482</v>
      </c>
      <c r="BF18" s="16">
        <v>1448960</v>
      </c>
      <c r="BG18" s="16">
        <v>903824</v>
      </c>
      <c r="BH18" s="16">
        <v>1311624</v>
      </c>
      <c r="BI18" s="16">
        <v>1094665</v>
      </c>
      <c r="BJ18" s="16">
        <v>1129250</v>
      </c>
      <c r="BK18" s="16">
        <v>1239901</v>
      </c>
      <c r="BL18" s="16">
        <v>1162023</v>
      </c>
      <c r="BM18" s="16">
        <v>1687748</v>
      </c>
      <c r="BN18" s="16">
        <v>1576691</v>
      </c>
      <c r="BO18" s="16">
        <v>2370593</v>
      </c>
      <c r="BP18" s="16">
        <v>2233372</v>
      </c>
      <c r="BQ18" s="16">
        <v>1740714</v>
      </c>
      <c r="BR18" s="16">
        <v>1593610</v>
      </c>
      <c r="BS18" s="16">
        <v>879670</v>
      </c>
      <c r="BT18" s="16">
        <v>617450</v>
      </c>
      <c r="BU18" s="16">
        <v>661981</v>
      </c>
      <c r="BV18" s="16">
        <v>1062400</v>
      </c>
      <c r="BW18" s="16">
        <v>1103352</v>
      </c>
      <c r="BX18" s="16">
        <v>1152675</v>
      </c>
      <c r="BY18" s="16">
        <v>1682878</v>
      </c>
      <c r="BZ18" s="16">
        <v>1131665</v>
      </c>
      <c r="CA18" s="16">
        <v>1452814</v>
      </c>
      <c r="CB18" s="16">
        <v>1166327</v>
      </c>
      <c r="CC18" s="16">
        <v>1442818</v>
      </c>
      <c r="CD18" s="16">
        <v>1597127</v>
      </c>
      <c r="CE18" s="16">
        <v>499191</v>
      </c>
      <c r="CF18" s="16">
        <v>1013246</v>
      </c>
      <c r="CG18" s="16">
        <v>717588</v>
      </c>
      <c r="CH18" s="16">
        <v>689400</v>
      </c>
      <c r="CI18" s="16">
        <v>1425304</v>
      </c>
      <c r="CJ18" s="16">
        <v>2239525</v>
      </c>
      <c r="CK18" s="16">
        <v>1471552</v>
      </c>
      <c r="CL18" s="16">
        <v>1779195</v>
      </c>
      <c r="CM18" s="16">
        <v>1685068</v>
      </c>
      <c r="CN18" s="16">
        <v>2120015</v>
      </c>
      <c r="CO18" s="16">
        <v>1115294</v>
      </c>
      <c r="CP18" s="16">
        <v>1050483</v>
      </c>
      <c r="CQ18" s="16">
        <v>828179</v>
      </c>
      <c r="CR18" s="16">
        <v>843702</v>
      </c>
      <c r="CS18" s="16">
        <v>664946</v>
      </c>
      <c r="CT18" s="16">
        <v>982566</v>
      </c>
      <c r="CU18" s="16">
        <v>2336040</v>
      </c>
      <c r="CV18" s="16">
        <v>1100635</v>
      </c>
      <c r="CW18" s="16">
        <v>2394515</v>
      </c>
      <c r="CX18" s="16">
        <v>1710663</v>
      </c>
      <c r="CY18" s="16">
        <v>1311778</v>
      </c>
      <c r="CZ18" s="16">
        <v>2123241</v>
      </c>
      <c r="DA18" s="16">
        <v>1874891</v>
      </c>
      <c r="DB18" s="16">
        <v>1327450</v>
      </c>
      <c r="DC18" s="16">
        <v>817360</v>
      </c>
      <c r="DD18" s="16">
        <v>825186</v>
      </c>
      <c r="DE18" s="16">
        <v>1119442</v>
      </c>
      <c r="DF18" s="16">
        <v>1138592</v>
      </c>
      <c r="DG18" s="16">
        <v>1527492</v>
      </c>
      <c r="DH18" s="16">
        <v>2159233</v>
      </c>
      <c r="DI18" s="16">
        <v>1821741</v>
      </c>
      <c r="DJ18" s="16">
        <v>1108767</v>
      </c>
      <c r="DK18" s="16">
        <v>1382101</v>
      </c>
      <c r="DL18" s="16">
        <v>1505988</v>
      </c>
      <c r="DM18" s="16">
        <v>1834810</v>
      </c>
      <c r="DN18" s="16">
        <v>1795319</v>
      </c>
      <c r="DO18" s="16">
        <v>1110665</v>
      </c>
      <c r="DP18" s="16">
        <v>685481</v>
      </c>
      <c r="DQ18" s="16">
        <v>1140210</v>
      </c>
      <c r="DR18" s="16">
        <v>1341593</v>
      </c>
      <c r="DS18" s="16">
        <v>1538206</v>
      </c>
      <c r="DT18" s="16">
        <v>1921004</v>
      </c>
      <c r="DU18" s="16">
        <v>1855551</v>
      </c>
      <c r="DV18" s="16">
        <v>1117627</v>
      </c>
      <c r="DW18" s="16">
        <v>1882103</v>
      </c>
      <c r="DX18" s="16">
        <v>1825775</v>
      </c>
      <c r="DY18" s="16">
        <v>1491878</v>
      </c>
      <c r="DZ18" s="16">
        <v>1318088</v>
      </c>
      <c r="EA18" s="16">
        <v>1234441</v>
      </c>
      <c r="EB18" s="16">
        <v>773638</v>
      </c>
      <c r="EC18" s="16">
        <v>814016</v>
      </c>
      <c r="ED18" s="16">
        <v>1386439</v>
      </c>
      <c r="EE18" s="16">
        <v>1767476</v>
      </c>
      <c r="EF18" s="16">
        <v>1600947</v>
      </c>
      <c r="EG18" s="16">
        <v>1954382</v>
      </c>
      <c r="EH18" s="16">
        <v>2290700</v>
      </c>
      <c r="EI18" s="16">
        <v>1860151</v>
      </c>
      <c r="EJ18" s="16">
        <v>2207103</v>
      </c>
      <c r="EK18" s="16">
        <v>1280175</v>
      </c>
      <c r="EL18" s="16">
        <v>1359524</v>
      </c>
      <c r="EM18" s="16">
        <v>1048035.0000000001</v>
      </c>
      <c r="EN18" s="16">
        <v>1307982</v>
      </c>
      <c r="EO18" s="16">
        <v>498202</v>
      </c>
      <c r="EP18" s="16">
        <v>973703</v>
      </c>
      <c r="EQ18" s="16">
        <v>1615918</v>
      </c>
      <c r="ER18" s="16">
        <v>1954279</v>
      </c>
      <c r="ES18" s="16">
        <v>1352651</v>
      </c>
      <c r="ET18" s="16">
        <v>1449854</v>
      </c>
      <c r="EU18" s="16">
        <v>1541635</v>
      </c>
      <c r="EV18" s="16">
        <v>1960814</v>
      </c>
      <c r="EW18" s="16">
        <v>1686039</v>
      </c>
      <c r="EX18" s="16">
        <v>1707008</v>
      </c>
      <c r="EY18" s="16">
        <v>813418</v>
      </c>
      <c r="EZ18" s="16">
        <v>887834</v>
      </c>
      <c r="FA18" s="16">
        <v>1554628</v>
      </c>
      <c r="FB18" s="16">
        <v>882876</v>
      </c>
      <c r="FC18" s="16">
        <v>1650498</v>
      </c>
      <c r="FD18" s="16">
        <v>1396722</v>
      </c>
      <c r="FE18" s="16">
        <v>2534702.6669999999</v>
      </c>
      <c r="FF18" s="16">
        <v>1680604</v>
      </c>
      <c r="FG18" s="16">
        <v>1515181</v>
      </c>
      <c r="FH18" s="16">
        <v>1718887</v>
      </c>
      <c r="FI18" s="16">
        <v>1639909</v>
      </c>
      <c r="FJ18" s="16">
        <v>2322927</v>
      </c>
      <c r="FK18" s="16">
        <v>903840</v>
      </c>
      <c r="FL18" s="16">
        <v>806200</v>
      </c>
      <c r="FM18" s="16">
        <v>1123480</v>
      </c>
      <c r="FN18" s="16">
        <v>1101040</v>
      </c>
      <c r="FO18" s="16">
        <v>1089550</v>
      </c>
      <c r="FP18" s="16">
        <v>1481490</v>
      </c>
      <c r="FQ18" s="16">
        <v>1287030</v>
      </c>
      <c r="FR18" s="40">
        <f>_xll.LVCELL($D$2,FR$15,$C18,$D$5,$D$6,$D$7,$D$8,$D$9,$D$10,$D$11)</f>
        <v>1383490</v>
      </c>
      <c r="FS18" s="40">
        <f>_xll.LVCELL($D$2,FS$15,$C18,$D$5,$D$6,$D$7,$D$8,$D$9,$D$10,$D$11)</f>
        <v>1682780</v>
      </c>
      <c r="FT18" s="40">
        <f>_xll.LVCELL($D$2,FT$15,$C18,$D$5,$D$6,$D$7,$D$8,$D$9,$D$10,$D$11)</f>
        <v>1483670</v>
      </c>
      <c r="FU18" s="40">
        <f>_xll.LVCELL($D$2,FU$15,$C18,$D$5,$D$6,$D$7,$D$8,$D$9,$D$10,$D$11)</f>
        <v>1266510</v>
      </c>
      <c r="FV18" s="40">
        <f>_xll.LVCELL($D$2,FV$15,$C18,$D$5,$D$6,$D$7,$D$8,$D$9,$D$10,$D$11)</f>
        <v>1581458</v>
      </c>
      <c r="FW18" s="40">
        <f>_xll.LVCELL($D$2,FW$15,$C18,$D$5,$D$6,$D$7,$D$8,$D$9,$D$10,$D$11)</f>
        <v>974890</v>
      </c>
      <c r="FX18" s="40">
        <f>_xll.LVCELL($D$2,FX$15,$C18,$D$5,$D$6,$D$7,$D$8,$D$9,$D$10,$D$11)</f>
        <v>1385119.83</v>
      </c>
      <c r="FY18" s="40">
        <f>_xll.LVCELL($D$2,FY$15,$C18,$D$5,$D$6,$D$7,$D$8,$D$9,$D$10,$D$11)</f>
        <v>1097749</v>
      </c>
      <c r="FZ18" s="40">
        <f>_xll.LVCELL($D$2,FZ$15,$C18,$D$5,$D$6,$D$7,$D$8,$D$9,$D$10,$D$11)</f>
        <v>781844.33</v>
      </c>
      <c r="GA18" s="40">
        <f>_xll.LVCELL($D$2,GA$15,$C18,$D$5,$D$6,$D$7,$D$8,$D$9,$D$10,$D$11)</f>
        <v>1447550</v>
      </c>
      <c r="GB18" s="40">
        <f>_xll.LVCELL($D$2,GB$15,$C18,$D$5,$D$6,$D$7,$D$8,$D$9,$D$10,$D$11)</f>
        <v>1686285</v>
      </c>
      <c r="GC18" s="40">
        <f>_xll.LVCELL($D$2,GC$15,$C18,$D$5,$D$6,$D$7,$D$8,$D$9,$D$10,$D$11)</f>
        <v>1466061</v>
      </c>
      <c r="GD18" s="25">
        <f>_xll.LVCELL($D$2,GD$15,$C18,$D$5,$D$6,$D$7,$D$8,$D$9,$D$10,$D$11)</f>
        <v>1803967</v>
      </c>
      <c r="GE18" s="25">
        <f>_xll.LVCELL($D$2,GE$15,$C18,$D$5,$D$6,$D$7,$D$8,$D$9,$D$10,$D$11)</f>
        <v>925472</v>
      </c>
      <c r="GF18" s="25">
        <f>_xll.LVCELL($D$2,GF$15,$C18,$D$5,$D$6,$D$7,$D$8,$D$9,$D$10,$D$11)</f>
        <v>1887419</v>
      </c>
      <c r="GG18" s="25">
        <f>_xll.LVCELL($D$2,GG$15,$C18,$D$5,$D$6,$D$7,$D$8,$D$9,$D$10,$D$11)</f>
        <v>1834801</v>
      </c>
      <c r="GH18" s="25">
        <f>_xll.LVCELL($D$2,GH$15,$C18,$D$5,$D$6,$D$7,$D$8,$D$9,$D$10,$D$11)</f>
        <v>842284</v>
      </c>
      <c r="GI18" s="25">
        <f>_xll.LVCELL($D$2,GI$15,$C18,$D$5,$D$6,$D$7,$D$8,$D$9,$D$10,$D$11)</f>
        <v>569602</v>
      </c>
      <c r="GJ18" s="25">
        <f>_xll.LVCELL($D$2,GJ$15,$C18,$D$5,$D$6,$D$7,$D$8,$D$9,$D$10,$D$11)</f>
        <v>390883</v>
      </c>
      <c r="GK18" s="25">
        <f>_xll.LVCELL($D$2,GK$15,$C18,$D$5,$D$6,$D$7,$D$8,$D$9,$D$10,$D$11)</f>
        <v>637534</v>
      </c>
      <c r="GL18" s="25">
        <f>_xll.LVCELL($D$2,GL$15,$C18,$D$5,$D$6,$D$7,$D$8,$D$9,$D$10,$D$11)</f>
        <v>838023</v>
      </c>
      <c r="GM18" s="25">
        <f>_xll.LVCELL($D$2,GM$15,$C18,$D$5,$D$6,$D$7,$D$8,$D$9,$D$10,$D$11)</f>
        <v>1827403</v>
      </c>
      <c r="GN18" s="25">
        <f>_xll.LVCELL($D$2,GN$15,$C18,$D$5,$D$6,$D$7,$D$8,$D$9,$D$10,$D$11)</f>
        <v>2052259</v>
      </c>
      <c r="GO18" s="25">
        <f>_xll.LVCELL($D$2,GO$15,$C18,$D$5,$D$6,$D$7,$D$8,$D$9,$D$10,$D$11)</f>
        <v>988829</v>
      </c>
      <c r="GP18" s="25">
        <f>_xll.LVCELL($D$2,GP$15,$C18,$D$5,$D$6,$D$7,$D$8,$D$9,$D$10,$D$11)</f>
        <v>1617105</v>
      </c>
      <c r="GQ18" s="25">
        <f>_xll.LVCELL($D$2,GQ$15,$C18,$D$5,$D$6,$D$7,$D$8,$D$9,$D$10,$D$11)</f>
        <v>1729720</v>
      </c>
      <c r="GR18" s="25">
        <f>_xll.LVCELL($D$2,GR$15,$C18,$D$5,$D$6,$D$7,$D$8,$D$9,$D$10,$D$11)</f>
        <v>1595960</v>
      </c>
      <c r="GS18" s="25">
        <f>_xll.LVCELL($D$2,GS$15,$C18,$D$5,$D$6,$D$7,$D$8,$D$9,$D$10,$D$11)</f>
        <v>1657471</v>
      </c>
      <c r="GT18" s="25">
        <f>_xll.LVCELL($D$2,GT$15,$C18,$D$5,$D$6,$D$7,$D$8,$D$9,$D$10,$D$11)</f>
        <v>1185236</v>
      </c>
      <c r="GU18" s="25">
        <f>_xll.LVCELL($D$2,GU$15,$C18,$D$5,$D$6,$D$7,$D$8,$D$9,$D$10,$D$11)</f>
        <v>1574306</v>
      </c>
      <c r="GV18" s="25">
        <f>_xll.LVCELL($D$2,GV$15,$C18,$D$5,$D$6,$D$7,$D$8,$D$9,$D$10,$D$11)</f>
        <v>926325</v>
      </c>
      <c r="GW18" s="25">
        <f>_xll.LVCELL($D$2,GW$15,$C18,$D$5,$D$6,$D$7,$D$8,$D$9,$D$10,$D$11)</f>
        <v>560789</v>
      </c>
      <c r="GX18" s="25">
        <f>_xll.LVCELL($D$2,GX$15,$C18,$D$5,$D$6,$D$7,$D$8,$D$9,$D$10,$D$11)</f>
        <v>909546</v>
      </c>
      <c r="GY18" s="25">
        <f>_xll.LVCELL($D$2,GY$15,$C18,$D$5,$D$6,$D$7,$D$8,$D$9,$D$10,$D$11)</f>
        <v>1431342</v>
      </c>
      <c r="GZ18" s="25">
        <f>_xll.LVCELL($D$2,GZ$15,$C18,$D$5,$D$6,$D$7,$D$8,$D$9,$D$10,$D$11)</f>
        <v>1133381</v>
      </c>
      <c r="HA18" s="25">
        <f>_xll.LVCELL($D$2,HA$15,$C18,$D$5,$D$6,$D$7,$D$8,$D$9,$D$10,$D$11)</f>
        <v>1749626</v>
      </c>
      <c r="HB18" s="25">
        <f>_xll.LVCELL($D$2,HB$15,$C18,$D$5,$D$6,$D$7,$D$8,$D$9,$D$10,$D$11)</f>
        <v>1657574</v>
      </c>
      <c r="HC18" s="25">
        <f>_xll.LVCELL($D$2,HC$15,$C18,$D$5,$D$6,$D$7,$D$8,$D$9,$D$10,$D$11)</f>
        <v>1536266</v>
      </c>
      <c r="HD18" s="25">
        <f>_xll.LVCELL($D$2,HD$15,$C18,$D$5,$D$6,$D$7,$D$8,$D$9,$D$10,$D$11)</f>
        <v>2021907</v>
      </c>
      <c r="HE18" s="25">
        <f>_xll.LVCELL($D$2,HE$15,$C18,$D$5,$D$6,$D$7,$D$8,$D$9,$D$10,$D$11)</f>
        <v>1971488</v>
      </c>
      <c r="HF18" s="25">
        <f>_xll.LVCELL($D$2,HF$15,$C18,$D$5,$D$6,$D$7,$D$8,$D$9,$D$10,$D$11)</f>
        <v>1362931</v>
      </c>
      <c r="HG18" s="25">
        <f>_xll.LVCELL($D$2,HG$15,$C18,$D$5,$D$6,$D$7,$D$8,$D$9,$D$10,$D$11)</f>
        <v>782305</v>
      </c>
      <c r="HH18" s="25">
        <f>_xll.LVCELL($D$2,HH$15,$C18,$D$5,$D$6,$D$7,$D$8,$D$9,$D$10,$D$11)</f>
        <v>731675</v>
      </c>
      <c r="HI18" s="25">
        <f>_xll.LVCELL($D$2,HI$15,$C18,$D$5,$D$6,$D$7,$D$8,$D$9,$D$10,$D$11)</f>
        <v>1040000</v>
      </c>
      <c r="HJ18" s="25">
        <f>_xll.LVCELL($D$2,HJ$15,$C18,$D$5,$D$6,$D$7,$D$8,$D$9,$D$10,$D$11)</f>
        <v>1045315</v>
      </c>
      <c r="HK18" s="25">
        <f>_xll.LVCELL($D$2,HK$15,$C18,$D$5,$D$6,$D$7,$D$8,$D$9,$D$10,$D$11)</f>
        <v>1393647</v>
      </c>
      <c r="HL18" s="25">
        <f>_xll.LVCELL($D$2,HL$15,$C18,$D$5,$D$6,$D$7,$D$8,$D$9,$D$10,$D$11)</f>
        <v>1970000</v>
      </c>
      <c r="HM18" s="25">
        <f>_xll.LVCELL($D$2,HM$15,$C18,$D$5,$D$6,$D$7,$D$8,$D$9,$D$10,$D$11)</f>
        <v>1823704</v>
      </c>
    </row>
    <row r="19" spans="1:221">
      <c r="A19" t="s">
        <v>208</v>
      </c>
      <c r="B19" t="s">
        <v>250</v>
      </c>
      <c r="D19" s="10" t="s">
        <v>283</v>
      </c>
      <c r="E19" s="19">
        <v>39811</v>
      </c>
      <c r="F19" s="16" t="s">
        <v>845</v>
      </c>
      <c r="G19" s="16" t="s">
        <v>845</v>
      </c>
      <c r="H19" s="16" t="s">
        <v>845</v>
      </c>
      <c r="I19" s="16" t="s">
        <v>845</v>
      </c>
      <c r="J19" s="16" t="s">
        <v>845</v>
      </c>
      <c r="K19" s="16" t="s">
        <v>845</v>
      </c>
      <c r="L19" s="16" t="s">
        <v>845</v>
      </c>
      <c r="M19" s="16" t="s">
        <v>845</v>
      </c>
      <c r="N19" s="16" t="s">
        <v>845</v>
      </c>
      <c r="O19" s="16" t="s">
        <v>845</v>
      </c>
      <c r="P19" s="16" t="s">
        <v>845</v>
      </c>
      <c r="Q19" s="16" t="s">
        <v>845</v>
      </c>
      <c r="R19" s="16" t="s">
        <v>845</v>
      </c>
      <c r="S19" s="16" t="s">
        <v>845</v>
      </c>
      <c r="T19" s="16" t="s">
        <v>845</v>
      </c>
      <c r="U19" s="16" t="s">
        <v>845</v>
      </c>
      <c r="V19" s="16" t="s">
        <v>845</v>
      </c>
      <c r="W19" s="16" t="s">
        <v>845</v>
      </c>
      <c r="X19" s="16" t="s">
        <v>845</v>
      </c>
      <c r="Y19" s="16" t="s">
        <v>845</v>
      </c>
      <c r="Z19" s="16" t="s">
        <v>845</v>
      </c>
      <c r="AA19" s="16" t="s">
        <v>845</v>
      </c>
      <c r="AB19" s="16" t="s">
        <v>845</v>
      </c>
      <c r="AC19" s="16" t="s">
        <v>845</v>
      </c>
      <c r="AD19" s="16" t="s">
        <v>845</v>
      </c>
      <c r="AE19" s="16" t="s">
        <v>845</v>
      </c>
      <c r="AF19" s="16" t="s">
        <v>845</v>
      </c>
      <c r="AG19" s="16" t="s">
        <v>845</v>
      </c>
      <c r="AH19" s="16" t="s">
        <v>845</v>
      </c>
      <c r="AI19" s="16" t="s">
        <v>845</v>
      </c>
      <c r="AJ19" s="16" t="s">
        <v>845</v>
      </c>
      <c r="AK19" s="16" t="s">
        <v>845</v>
      </c>
      <c r="AL19" s="16" t="s">
        <v>845</v>
      </c>
      <c r="AM19" s="16" t="s">
        <v>845</v>
      </c>
      <c r="AN19" s="16" t="s">
        <v>845</v>
      </c>
      <c r="AO19" s="16" t="s">
        <v>845</v>
      </c>
      <c r="AP19" s="16" t="s">
        <v>845</v>
      </c>
      <c r="AQ19" s="16" t="s">
        <v>845</v>
      </c>
      <c r="AR19" s="16" t="s">
        <v>845</v>
      </c>
      <c r="AS19" s="16" t="s">
        <v>845</v>
      </c>
      <c r="AT19" s="16" t="s">
        <v>845</v>
      </c>
      <c r="AU19" s="16" t="s">
        <v>845</v>
      </c>
      <c r="AV19" s="16" t="s">
        <v>845</v>
      </c>
      <c r="AW19" s="16" t="s">
        <v>845</v>
      </c>
      <c r="AX19" s="16" t="s">
        <v>845</v>
      </c>
      <c r="AY19" s="16" t="s">
        <v>845</v>
      </c>
      <c r="AZ19" s="16" t="s">
        <v>845</v>
      </c>
      <c r="BA19" s="16" t="s">
        <v>845</v>
      </c>
      <c r="BB19" s="27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0</v>
      </c>
      <c r="BI19" s="16">
        <v>0</v>
      </c>
      <c r="BJ19" s="16">
        <v>0</v>
      </c>
      <c r="BK19" s="16">
        <v>0</v>
      </c>
      <c r="BL19" s="16">
        <v>0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970918</v>
      </c>
      <c r="BZ19" s="16">
        <v>762682</v>
      </c>
      <c r="CA19" s="16">
        <v>873203</v>
      </c>
      <c r="CB19" s="16">
        <v>705350</v>
      </c>
      <c r="CC19" s="16">
        <v>1086235</v>
      </c>
      <c r="CD19" s="16">
        <v>922847</v>
      </c>
      <c r="CE19" s="16">
        <v>317038</v>
      </c>
      <c r="CF19" s="16">
        <v>596233</v>
      </c>
      <c r="CG19" s="16">
        <v>471959</v>
      </c>
      <c r="CH19" s="16">
        <v>458515</v>
      </c>
      <c r="CI19" s="16">
        <v>903633</v>
      </c>
      <c r="CJ19" s="16">
        <v>1361931</v>
      </c>
      <c r="CK19" s="16">
        <v>973195</v>
      </c>
      <c r="CL19" s="16">
        <v>1126428</v>
      </c>
      <c r="CM19" s="16">
        <v>1053990</v>
      </c>
      <c r="CN19" s="16">
        <v>1276207</v>
      </c>
      <c r="CO19" s="16">
        <v>699186</v>
      </c>
      <c r="CP19" s="16">
        <v>861768</v>
      </c>
      <c r="CQ19" s="16">
        <v>532196</v>
      </c>
      <c r="CR19" s="16">
        <v>529606</v>
      </c>
      <c r="CS19" s="16">
        <v>464233</v>
      </c>
      <c r="CT19" s="16">
        <v>584910</v>
      </c>
      <c r="CU19" s="16">
        <v>1453442</v>
      </c>
      <c r="CV19" s="16">
        <v>698520</v>
      </c>
      <c r="CW19" s="16">
        <v>1500705</v>
      </c>
      <c r="CX19" s="16">
        <v>1010837</v>
      </c>
      <c r="CY19" s="16">
        <v>812517</v>
      </c>
      <c r="CZ19" s="16">
        <v>1355899</v>
      </c>
      <c r="DA19" s="16">
        <v>1200767</v>
      </c>
      <c r="DB19" s="16">
        <v>956630</v>
      </c>
      <c r="DC19" s="16">
        <v>438977</v>
      </c>
      <c r="DD19" s="16">
        <v>497897</v>
      </c>
      <c r="DE19" s="16">
        <v>597225</v>
      </c>
      <c r="DF19" s="16">
        <v>715013</v>
      </c>
      <c r="DG19" s="16">
        <v>952133</v>
      </c>
      <c r="DH19" s="16">
        <v>1297542</v>
      </c>
      <c r="DI19" s="16">
        <v>1101670</v>
      </c>
      <c r="DJ19" s="16">
        <v>676461</v>
      </c>
      <c r="DK19" s="16">
        <v>811913</v>
      </c>
      <c r="DL19" s="16">
        <v>941855</v>
      </c>
      <c r="DM19" s="16">
        <v>1052740</v>
      </c>
      <c r="DN19" s="16">
        <v>925506</v>
      </c>
      <c r="DO19" s="16">
        <v>680202</v>
      </c>
      <c r="DP19" s="16">
        <v>435263</v>
      </c>
      <c r="DQ19" s="16">
        <v>607312</v>
      </c>
      <c r="DR19" s="16">
        <v>824363</v>
      </c>
      <c r="DS19" s="16">
        <v>1105941</v>
      </c>
      <c r="DT19" s="16">
        <v>1229140</v>
      </c>
      <c r="DU19" s="16">
        <v>1131893</v>
      </c>
      <c r="DV19" s="16">
        <v>678123</v>
      </c>
      <c r="DW19" s="16">
        <v>1135706</v>
      </c>
      <c r="DX19" s="16">
        <v>978824</v>
      </c>
      <c r="DY19" s="16">
        <v>866651</v>
      </c>
      <c r="DZ19" s="16">
        <v>756469</v>
      </c>
      <c r="EA19" s="16">
        <v>737228</v>
      </c>
      <c r="EB19" s="16">
        <v>441028</v>
      </c>
      <c r="EC19" s="16">
        <v>521254</v>
      </c>
      <c r="ED19" s="16">
        <v>895304</v>
      </c>
      <c r="EE19" s="16">
        <v>1132644</v>
      </c>
      <c r="EF19" s="16">
        <v>989169</v>
      </c>
      <c r="EG19" s="16">
        <v>1097668</v>
      </c>
      <c r="EH19" s="16">
        <v>1355872</v>
      </c>
      <c r="EI19" s="16">
        <v>1136238</v>
      </c>
      <c r="EJ19" s="16">
        <v>1333587</v>
      </c>
      <c r="EK19" s="16">
        <v>712334</v>
      </c>
      <c r="EL19" s="16">
        <v>1006794</v>
      </c>
      <c r="EM19" s="16">
        <v>755166</v>
      </c>
      <c r="EN19" s="16">
        <v>827814</v>
      </c>
      <c r="EO19" s="16">
        <v>335004</v>
      </c>
      <c r="EP19" s="16">
        <v>663169</v>
      </c>
      <c r="EQ19" s="16">
        <v>1093482</v>
      </c>
      <c r="ER19" s="16">
        <v>1189128</v>
      </c>
      <c r="ES19" s="16">
        <v>781055</v>
      </c>
      <c r="ET19" s="16">
        <v>809728</v>
      </c>
      <c r="EU19" s="16">
        <v>898927</v>
      </c>
      <c r="EV19" s="16">
        <v>1137435</v>
      </c>
      <c r="EW19" s="16">
        <v>1072164</v>
      </c>
      <c r="EX19" s="16">
        <v>1042439.0000000001</v>
      </c>
      <c r="EY19" s="16">
        <v>564558</v>
      </c>
      <c r="EZ19" s="16">
        <v>694737</v>
      </c>
      <c r="FA19" s="16">
        <v>780019</v>
      </c>
      <c r="FB19" s="16">
        <v>492634</v>
      </c>
      <c r="FC19" s="16">
        <v>1035534.0000000001</v>
      </c>
      <c r="FD19" s="16">
        <v>717301</v>
      </c>
      <c r="FE19" s="16">
        <v>1592301.6666999999</v>
      </c>
      <c r="FF19" s="16">
        <v>1018806</v>
      </c>
      <c r="FG19" s="16">
        <v>889738</v>
      </c>
      <c r="FH19" s="16">
        <v>1035438.0000000001</v>
      </c>
      <c r="FI19" s="16">
        <v>1046368.9999999999</v>
      </c>
      <c r="FJ19" s="16">
        <v>1476156</v>
      </c>
      <c r="FK19" s="16">
        <v>521345</v>
      </c>
      <c r="FL19" s="16">
        <v>516370</v>
      </c>
      <c r="FM19" s="16">
        <v>720520</v>
      </c>
      <c r="FN19" s="16">
        <v>723600</v>
      </c>
      <c r="FO19" s="16">
        <v>699370</v>
      </c>
      <c r="FP19" s="16">
        <v>908770</v>
      </c>
      <c r="FQ19" s="16">
        <v>835950</v>
      </c>
      <c r="FR19" s="40">
        <f>_xll.LVCELL($D$2,FR$15,$B19,$D$5,$D$6,$D$7,$D$8,$D$9,$D$10,$D$11)</f>
        <v>796970</v>
      </c>
      <c r="FS19" s="40">
        <f>_xll.LVCELL($D$2,FS$15,$B19,$D$5,$D$6,$D$7,$D$8,$D$9,$D$10,$D$11)</f>
        <v>1192890</v>
      </c>
      <c r="FT19" s="40">
        <f>_xll.LVCELL($D$2,FT$15,$B19,$D$5,$D$6,$D$7,$D$8,$D$9,$D$10,$D$11)</f>
        <v>904130</v>
      </c>
      <c r="FU19" s="40">
        <f>_xll.LVCELL($D$2,FU$15,$B19,$D$5,$D$6,$D$7,$D$8,$D$9,$D$10,$D$11)</f>
        <v>737060</v>
      </c>
      <c r="FV19" s="40">
        <f>_xll.LVCELL($D$2,FV$15,$B19,$D$5,$D$6,$D$7,$D$8,$D$9,$D$10,$D$11)</f>
        <v>994809</v>
      </c>
      <c r="FW19" s="40">
        <f>_xll.LVCELL($D$2,FW$15,$B19,$D$5,$D$6,$D$7,$D$8,$D$9,$D$10,$D$11)</f>
        <v>593800</v>
      </c>
      <c r="FX19" s="40">
        <f>_xll.LVCELL($D$2,FX$15,$B19,$D$5,$D$6,$D$7,$D$8,$D$9,$D$10,$D$11)</f>
        <v>857953.83</v>
      </c>
      <c r="FY19" s="40">
        <f>_xll.LVCELL($D$2,FY$15,$B19,$D$5,$D$6,$D$7,$D$8,$D$9,$D$10,$D$11)</f>
        <v>697071</v>
      </c>
      <c r="FZ19" s="40">
        <f>_xll.LVCELL($D$2,FZ$15,$B19,$D$5,$D$6,$D$7,$D$8,$D$9,$D$10,$D$11)</f>
        <v>480740.67</v>
      </c>
      <c r="GA19" s="40">
        <f>_xll.LVCELL($D$2,GA$15,$B19,$D$5,$D$6,$D$7,$D$8,$D$9,$D$10,$D$11)</f>
        <v>899570</v>
      </c>
      <c r="GB19" s="40">
        <f>_xll.LVCELL($D$2,GB$15,$B19,$D$5,$D$6,$D$7,$D$8,$D$9,$D$10,$D$11)</f>
        <v>1021480</v>
      </c>
      <c r="GC19" s="40">
        <f>_xll.LVCELL($D$2,GC$15,$B19,$D$5,$D$6,$D$7,$D$8,$D$9,$D$10,$D$11)</f>
        <v>847924</v>
      </c>
      <c r="GD19" s="25">
        <f>_xll.LVCELL($D$2,GD$15,$B19,$D$5,$D$6,$D$7,$D$8,$D$9,$D$10,$D$11)</f>
        <v>1118641</v>
      </c>
      <c r="GE19" s="25">
        <f>_xll.LVCELL($D$2,GE$15,$B19,$D$5,$D$6,$D$7,$D$8,$D$9,$D$10,$D$11)</f>
        <v>507893</v>
      </c>
      <c r="GF19" s="25">
        <f>_xll.LVCELL($D$2,GF$15,$B19,$D$5,$D$6,$D$7,$D$8,$D$9,$D$10,$D$11)</f>
        <v>1192257</v>
      </c>
      <c r="GG19" s="25">
        <f>_xll.LVCELL($D$2,GG$15,$B19,$D$5,$D$6,$D$7,$D$8,$D$9,$D$10,$D$11)</f>
        <v>1272051</v>
      </c>
      <c r="GH19" s="25">
        <f>_xll.LVCELL($D$2,GH$15,$B19,$D$5,$D$6,$D$7,$D$8,$D$9,$D$10,$D$11)</f>
        <v>697181</v>
      </c>
      <c r="GI19" s="25">
        <f>_xll.LVCELL($D$2,GI$15,$B19,$D$5,$D$6,$D$7,$D$8,$D$9,$D$10,$D$11)</f>
        <v>443945</v>
      </c>
      <c r="GJ19" s="25">
        <f>_xll.LVCELL($D$2,GJ$15,$B19,$D$5,$D$6,$D$7,$D$8,$D$9,$D$10,$D$11)</f>
        <v>267468</v>
      </c>
      <c r="GK19" s="25">
        <f>_xll.LVCELL($D$2,GK$15,$B19,$D$5,$D$6,$D$7,$D$8,$D$9,$D$10,$D$11)</f>
        <v>262949</v>
      </c>
      <c r="GL19" s="25">
        <f>_xll.LVCELL($D$2,GL$15,$B19,$D$5,$D$6,$D$7,$D$8,$D$9,$D$10,$D$11)</f>
        <v>710771</v>
      </c>
      <c r="GM19" s="25">
        <f>_xll.LVCELL($D$2,GM$15,$B19,$D$5,$D$6,$D$7,$D$8,$D$9,$D$10,$D$11)</f>
        <v>1189454</v>
      </c>
      <c r="GN19" s="25">
        <f>_xll.LVCELL($D$2,GN$15,$B19,$D$5,$D$6,$D$7,$D$8,$D$9,$D$10,$D$11)</f>
        <v>1294031</v>
      </c>
      <c r="GO19" s="25">
        <f>_xll.LVCELL($D$2,GO$15,$B19,$D$5,$D$6,$D$7,$D$8,$D$9,$D$10,$D$11)</f>
        <v>619067</v>
      </c>
      <c r="GP19" s="25">
        <f>_xll.LVCELL($D$2,GP$15,$B19,$D$5,$D$6,$D$7,$D$8,$D$9,$D$10,$D$11)</f>
        <v>912777</v>
      </c>
      <c r="GQ19" s="25">
        <f>_xll.LVCELL($D$2,GQ$15,$B19,$D$5,$D$6,$D$7,$D$8,$D$9,$D$10,$D$11)</f>
        <v>1119158</v>
      </c>
      <c r="GR19" s="25">
        <f>_xll.LVCELL($D$2,GR$15,$B19,$D$5,$D$6,$D$7,$D$8,$D$9,$D$10,$D$11)</f>
        <v>983649</v>
      </c>
      <c r="GS19" s="25">
        <f>_xll.LVCELL($D$2,GS$15,$B19,$D$5,$D$6,$D$7,$D$8,$D$9,$D$10,$D$11)</f>
        <v>1109517</v>
      </c>
      <c r="GT19" s="25">
        <f>_xll.LVCELL($D$2,GT$15,$B19,$D$5,$D$6,$D$7,$D$8,$D$9,$D$10,$D$11)</f>
        <v>707461</v>
      </c>
      <c r="GU19" s="25">
        <f>_xll.LVCELL($D$2,GU$15,$B19,$D$5,$D$6,$D$7,$D$8,$D$9,$D$10,$D$11)</f>
        <v>1069917</v>
      </c>
      <c r="GV19" s="25">
        <f>_xll.LVCELL($D$2,GV$15,$B19,$D$5,$D$6,$D$7,$D$8,$D$9,$D$10,$D$11)</f>
        <v>647292</v>
      </c>
      <c r="GW19" s="25">
        <f>_xll.LVCELL($D$2,GW$15,$B19,$D$5,$D$6,$D$7,$D$8,$D$9,$D$10,$D$11)</f>
        <v>371517</v>
      </c>
      <c r="GX19" s="25">
        <f>_xll.LVCELL($D$2,GX$15,$B19,$D$5,$D$6,$D$7,$D$8,$D$9,$D$10,$D$11)</f>
        <v>313900</v>
      </c>
      <c r="GY19" s="25">
        <f>_xll.LVCELL($D$2,GY$15,$B19,$D$5,$D$6,$D$7,$D$8,$D$9,$D$10,$D$11)</f>
        <v>476614</v>
      </c>
      <c r="GZ19" s="25">
        <f>_xll.LVCELL($D$2,GZ$15,$B19,$D$5,$D$6,$D$7,$D$8,$D$9,$D$10,$D$11)</f>
        <v>376029</v>
      </c>
      <c r="HA19" s="25">
        <f>_xll.LVCELL($D$2,HA$15,$B19,$D$5,$D$6,$D$7,$D$8,$D$9,$D$10,$D$11)</f>
        <v>1132388</v>
      </c>
      <c r="HB19" s="25">
        <f>_xll.LVCELL($D$2,HB$15,$B19,$D$5,$D$6,$D$7,$D$8,$D$9,$D$10,$D$11)</f>
        <v>1079544</v>
      </c>
      <c r="HC19" s="25">
        <f>_xll.LVCELL($D$2,HC$15,$B19,$D$5,$D$6,$D$7,$D$8,$D$9,$D$10,$D$11)</f>
        <v>1011475</v>
      </c>
      <c r="HD19" s="25">
        <f>_xll.LVCELL($D$2,HD$15,$B19,$D$5,$D$6,$D$7,$D$8,$D$9,$D$10,$D$11)</f>
        <v>713826</v>
      </c>
      <c r="HE19" s="25">
        <f>_xll.LVCELL($D$2,HE$15,$B19,$D$5,$D$6,$D$7,$D$8,$D$9,$D$10,$D$11)</f>
        <v>714120</v>
      </c>
      <c r="HF19" s="25">
        <f>_xll.LVCELL($D$2,HF$15,$B19,$D$5,$D$6,$D$7,$D$8,$D$9,$D$10,$D$11)</f>
        <v>941497</v>
      </c>
      <c r="HG19" s="25">
        <f>_xll.LVCELL($D$2,HG$15,$B19,$D$5,$D$6,$D$7,$D$8,$D$9,$D$10,$D$11)</f>
        <v>510086</v>
      </c>
      <c r="HH19" s="25">
        <f>_xll.LVCELL($D$2,HH$15,$B19,$D$5,$D$6,$D$7,$D$8,$D$9,$D$10,$D$11)</f>
        <v>454827</v>
      </c>
      <c r="HI19" s="25">
        <f>_xll.LVCELL($D$2,HI$15,$B19,$D$5,$D$6,$D$7,$D$8,$D$9,$D$10,$D$11)</f>
        <v>663425</v>
      </c>
      <c r="HJ19" s="25">
        <f>_xll.LVCELL($D$2,HJ$15,$B19,$D$5,$D$6,$D$7,$D$8,$D$9,$D$10,$D$11)</f>
        <v>733796</v>
      </c>
      <c r="HK19" s="25">
        <f>_xll.LVCELL($D$2,HK$15,$B19,$D$5,$D$6,$D$7,$D$8,$D$9,$D$10,$D$11)</f>
        <v>862088</v>
      </c>
      <c r="HL19" s="25">
        <f>_xll.LVCELL($D$2,HL$15,$B19,$D$5,$D$6,$D$7,$D$8,$D$9,$D$10,$D$11)</f>
        <v>1252071</v>
      </c>
      <c r="HM19" s="25">
        <f>_xll.LVCELL($D$2,HM$15,$B19,$D$5,$D$6,$D$7,$D$8,$D$9,$D$10,$D$11)</f>
        <v>1078758</v>
      </c>
    </row>
    <row r="20" spans="1:221">
      <c r="A20" t="s">
        <v>204</v>
      </c>
      <c r="B20" t="s">
        <v>204</v>
      </c>
      <c r="D20" s="10" t="s">
        <v>284</v>
      </c>
      <c r="E20" s="19">
        <v>37926</v>
      </c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30"/>
      <c r="Q20" s="30"/>
      <c r="R20" s="16">
        <v>1045174</v>
      </c>
      <c r="S20" s="16">
        <v>708827</v>
      </c>
      <c r="T20" s="16">
        <v>652257</v>
      </c>
      <c r="U20" s="16">
        <v>467310</v>
      </c>
      <c r="V20" s="16">
        <v>293581</v>
      </c>
      <c r="W20" s="16">
        <v>423885</v>
      </c>
      <c r="X20" s="16">
        <v>379573</v>
      </c>
      <c r="Y20" s="16">
        <v>422651</v>
      </c>
      <c r="Z20" s="16">
        <v>588119</v>
      </c>
      <c r="AA20" s="16">
        <v>802236</v>
      </c>
      <c r="AB20" s="16">
        <v>391628</v>
      </c>
      <c r="AC20" s="16">
        <v>587875</v>
      </c>
      <c r="AD20" s="16">
        <v>1038574</v>
      </c>
      <c r="AE20" s="16">
        <v>502254</v>
      </c>
      <c r="AF20" s="16">
        <v>534399</v>
      </c>
      <c r="AG20" s="16">
        <v>386038</v>
      </c>
      <c r="AH20" s="16">
        <v>467902</v>
      </c>
      <c r="AI20" s="16">
        <v>265524</v>
      </c>
      <c r="AJ20" s="16">
        <v>387513</v>
      </c>
      <c r="AK20" s="16">
        <v>279632</v>
      </c>
      <c r="AL20" s="16">
        <v>249609</v>
      </c>
      <c r="AM20" s="16">
        <v>545113</v>
      </c>
      <c r="AN20" s="16">
        <v>622939</v>
      </c>
      <c r="AO20" s="16">
        <v>622374</v>
      </c>
      <c r="AP20" s="16">
        <v>484627</v>
      </c>
      <c r="AQ20" s="16">
        <v>571531</v>
      </c>
      <c r="AR20" s="16">
        <v>824043</v>
      </c>
      <c r="AS20" s="16">
        <v>552844</v>
      </c>
      <c r="AT20" s="16">
        <v>626716</v>
      </c>
      <c r="AU20" s="16">
        <v>182766</v>
      </c>
      <c r="AV20" s="16">
        <v>222547</v>
      </c>
      <c r="AW20" s="16">
        <v>545010</v>
      </c>
      <c r="AX20" s="16">
        <v>371535</v>
      </c>
      <c r="AY20" s="16">
        <v>729274</v>
      </c>
      <c r="AZ20" s="16">
        <v>879371</v>
      </c>
      <c r="BA20" s="16">
        <v>954371</v>
      </c>
      <c r="BB20" s="16">
        <v>1187040</v>
      </c>
      <c r="BC20" s="16">
        <v>856511</v>
      </c>
      <c r="BD20" s="16">
        <v>736700</v>
      </c>
      <c r="BE20" s="16">
        <v>207721</v>
      </c>
      <c r="BF20" s="16">
        <v>630996</v>
      </c>
      <c r="BG20" s="16">
        <v>324527</v>
      </c>
      <c r="BH20" s="16">
        <v>589503</v>
      </c>
      <c r="BI20" s="16">
        <v>391776</v>
      </c>
      <c r="BJ20" s="16">
        <v>321024</v>
      </c>
      <c r="BK20" s="16">
        <v>184753</v>
      </c>
      <c r="BL20" s="16">
        <v>677928</v>
      </c>
      <c r="BM20" s="16">
        <v>1003285</v>
      </c>
      <c r="BN20" s="16">
        <v>1241448</v>
      </c>
      <c r="BO20" s="16">
        <v>700469</v>
      </c>
      <c r="BP20" s="16">
        <v>1135335</v>
      </c>
      <c r="BQ20" s="16">
        <v>414485</v>
      </c>
      <c r="BR20" s="16">
        <v>251675</v>
      </c>
      <c r="BS20" s="16">
        <v>291397</v>
      </c>
      <c r="BT20" s="16">
        <v>418840</v>
      </c>
      <c r="BU20" s="16">
        <v>411129</v>
      </c>
      <c r="BV20" s="16">
        <v>414327</v>
      </c>
      <c r="BW20" s="16">
        <v>513277.00000000006</v>
      </c>
      <c r="BX20" s="16">
        <v>714757</v>
      </c>
      <c r="BY20" s="16">
        <v>513888.00000000006</v>
      </c>
      <c r="BZ20" s="16">
        <v>796346</v>
      </c>
      <c r="CA20" s="16">
        <v>413320</v>
      </c>
      <c r="CB20" s="16">
        <v>731474</v>
      </c>
      <c r="CC20" s="16">
        <v>286767</v>
      </c>
      <c r="CD20" s="16">
        <v>442008</v>
      </c>
      <c r="CE20" s="16">
        <v>237994</v>
      </c>
      <c r="CF20" s="16">
        <v>434543</v>
      </c>
      <c r="CG20" s="16">
        <v>296004</v>
      </c>
      <c r="CH20" s="16">
        <v>397097</v>
      </c>
      <c r="CI20" s="16">
        <v>416268</v>
      </c>
      <c r="CJ20" s="16">
        <v>1296130</v>
      </c>
      <c r="CK20" s="16">
        <v>711639</v>
      </c>
      <c r="CL20" s="16">
        <v>430489</v>
      </c>
      <c r="CM20" s="16">
        <v>715370</v>
      </c>
      <c r="CN20" s="16">
        <v>730198</v>
      </c>
      <c r="CO20" s="16">
        <v>384561</v>
      </c>
      <c r="CP20" s="16">
        <v>357288</v>
      </c>
      <c r="CQ20" s="16">
        <v>248115</v>
      </c>
      <c r="CR20" s="16">
        <v>240474</v>
      </c>
      <c r="CS20" s="16">
        <v>445639</v>
      </c>
      <c r="CT20" s="16">
        <v>343348</v>
      </c>
      <c r="CU20" s="16">
        <v>514909.99999999994</v>
      </c>
      <c r="CV20" s="16">
        <v>542243</v>
      </c>
      <c r="CW20" s="16">
        <v>492847</v>
      </c>
      <c r="CX20" s="16">
        <v>623005</v>
      </c>
      <c r="CY20" s="16">
        <v>526724</v>
      </c>
      <c r="CZ20" s="16">
        <v>371994</v>
      </c>
      <c r="DA20" s="16">
        <v>248240</v>
      </c>
      <c r="DB20" s="16">
        <v>435943</v>
      </c>
      <c r="DC20" s="16">
        <v>464948</v>
      </c>
      <c r="DD20" s="16">
        <v>331942</v>
      </c>
      <c r="DE20" s="16">
        <v>304002</v>
      </c>
      <c r="DF20" s="16">
        <v>449379</v>
      </c>
      <c r="DG20" s="16">
        <v>687415</v>
      </c>
      <c r="DH20" s="16">
        <v>477386</v>
      </c>
      <c r="DI20" s="16">
        <v>1180348</v>
      </c>
      <c r="DJ20" s="16">
        <v>914035</v>
      </c>
      <c r="DK20" s="16">
        <v>431259</v>
      </c>
      <c r="DL20" s="16">
        <v>301162</v>
      </c>
      <c r="DM20" s="16">
        <v>623596</v>
      </c>
      <c r="DN20" s="16">
        <v>313549</v>
      </c>
      <c r="DO20" s="16">
        <v>421062</v>
      </c>
      <c r="DP20" s="16">
        <v>351345</v>
      </c>
      <c r="DQ20" s="16">
        <v>369351</v>
      </c>
      <c r="DR20" s="16">
        <v>320129</v>
      </c>
      <c r="DS20" s="16">
        <v>514856</v>
      </c>
      <c r="DT20" s="16">
        <v>641154</v>
      </c>
      <c r="DU20" s="16">
        <v>1074486</v>
      </c>
      <c r="DV20" s="16">
        <v>636863</v>
      </c>
      <c r="DW20" s="16">
        <v>580655</v>
      </c>
      <c r="DX20" s="16">
        <v>404919</v>
      </c>
      <c r="DY20" s="16">
        <v>478878</v>
      </c>
      <c r="DZ20" s="16">
        <v>421582</v>
      </c>
      <c r="EA20" s="16">
        <v>384177</v>
      </c>
      <c r="EB20" s="16">
        <v>217066</v>
      </c>
      <c r="EC20" s="16">
        <v>239573</v>
      </c>
      <c r="ED20" s="16">
        <v>297133</v>
      </c>
      <c r="EE20" s="16">
        <v>771701</v>
      </c>
      <c r="EF20" s="16">
        <v>614883</v>
      </c>
      <c r="EG20" s="16">
        <v>980166</v>
      </c>
      <c r="EH20" s="16">
        <v>1125427</v>
      </c>
      <c r="EI20" s="16">
        <v>1168482</v>
      </c>
      <c r="EJ20" s="16">
        <v>468748</v>
      </c>
      <c r="EK20" s="16">
        <v>305161</v>
      </c>
      <c r="EL20" s="16">
        <v>488314</v>
      </c>
      <c r="EM20" s="16">
        <v>161117</v>
      </c>
      <c r="EN20" s="16">
        <v>225903</v>
      </c>
      <c r="EO20" s="16">
        <v>361064</v>
      </c>
      <c r="EP20" s="16">
        <v>137366</v>
      </c>
      <c r="EQ20" s="16">
        <v>553377</v>
      </c>
      <c r="ER20" s="16">
        <v>541689</v>
      </c>
      <c r="ES20" s="16">
        <v>889377</v>
      </c>
      <c r="ET20" s="16">
        <v>1001588</v>
      </c>
      <c r="EU20" s="16">
        <v>607516</v>
      </c>
      <c r="EV20" s="16">
        <v>716751</v>
      </c>
      <c r="EW20" s="16">
        <v>363203</v>
      </c>
      <c r="EX20" s="16">
        <v>478410</v>
      </c>
      <c r="EY20" s="16">
        <v>418590</v>
      </c>
      <c r="EZ20" s="16">
        <v>451331</v>
      </c>
      <c r="FA20" s="16">
        <v>274368</v>
      </c>
      <c r="FB20" s="16">
        <v>384900</v>
      </c>
      <c r="FC20" s="16">
        <v>314461</v>
      </c>
      <c r="FD20" s="16">
        <v>1015422</v>
      </c>
      <c r="FE20" s="16">
        <v>1061995.6669999999</v>
      </c>
      <c r="FF20" s="16">
        <v>1154295</v>
      </c>
      <c r="FG20" s="16">
        <v>871060</v>
      </c>
      <c r="FH20" s="16">
        <v>634098</v>
      </c>
      <c r="FI20" s="16">
        <v>357528</v>
      </c>
      <c r="FJ20" s="16">
        <v>340201</v>
      </c>
      <c r="FK20" s="16">
        <v>254821</v>
      </c>
      <c r="FL20" s="16">
        <v>280130</v>
      </c>
      <c r="FM20" s="16">
        <v>324500</v>
      </c>
      <c r="FN20" s="16">
        <v>264310</v>
      </c>
      <c r="FO20" s="16">
        <v>272520</v>
      </c>
      <c r="FP20" s="16">
        <v>604760</v>
      </c>
      <c r="FQ20" s="16">
        <v>408250</v>
      </c>
      <c r="FR20" s="40">
        <f>_xll.LVCELL($D$2,FR$15,$B20,$D$5,$D$6,$D$7,$D$8,$D$9,$D$10,$D$11)</f>
        <v>423300</v>
      </c>
      <c r="FS20" s="40">
        <f>_xll.LVCELL($D$2,FS$15,$B20,$D$5,$D$6,$D$7,$D$8,$D$9,$D$10,$D$11)</f>
        <v>741180</v>
      </c>
      <c r="FT20" s="40">
        <f>_xll.LVCELL($D$2,FT$15,$B20,$D$5,$D$6,$D$7,$D$8,$D$9,$D$10,$D$11)</f>
        <v>756780</v>
      </c>
      <c r="FU20" s="40">
        <f>_xll.LVCELL($D$2,FU$15,$B20,$D$5,$D$6,$D$7,$D$8,$D$9,$D$10,$D$11)</f>
        <v>247910</v>
      </c>
      <c r="FV20" s="40">
        <f>_xll.LVCELL($D$2,FV$15,$B20,$D$5,$D$6,$D$7,$D$8,$D$9,$D$10,$D$11)</f>
        <v>277508</v>
      </c>
      <c r="FW20" s="40">
        <f>_xll.LVCELL($D$2,FW$15,$B20,$D$5,$D$6,$D$7,$D$8,$D$9,$D$10,$D$11)</f>
        <v>410820</v>
      </c>
      <c r="FX20" s="40">
        <f>_xll.LVCELL($D$2,FX$15,$B20,$D$5,$D$6,$D$7,$D$8,$D$9,$D$10,$D$11)</f>
        <v>341302.83</v>
      </c>
      <c r="FY20" s="40">
        <f>_xll.LVCELL($D$2,FY$15,$B20,$D$5,$D$6,$D$7,$D$8,$D$9,$D$10,$D$11)</f>
        <v>242603</v>
      </c>
      <c r="FZ20" s="40">
        <f>_xll.LVCELL($D$2,FZ$15,$B20,$D$5,$D$6,$D$7,$D$8,$D$9,$D$10,$D$11)</f>
        <v>336284.67</v>
      </c>
      <c r="GA20" s="40">
        <f>_xll.LVCELL($D$2,GA$15,$B20,$D$5,$D$6,$D$7,$D$8,$D$9,$D$10,$D$11)</f>
        <v>572120</v>
      </c>
      <c r="GB20" s="40">
        <f>_xll.LVCELL($D$2,GB$15,$B20,$D$5,$D$6,$D$7,$D$8,$D$9,$D$10,$D$11)</f>
        <v>507792</v>
      </c>
      <c r="GC20" s="40">
        <f>_xll.LVCELL($D$2,GC$15,$B20,$D$5,$D$6,$D$7,$D$8,$D$9,$D$10,$D$11)</f>
        <v>934264</v>
      </c>
      <c r="GD20" s="25">
        <f>_xll.LVCELL($D$2,GD$15,$B20,$D$5,$D$6,$D$7,$D$8,$D$9,$D$10,$D$11)</f>
        <v>996853</v>
      </c>
      <c r="GE20" s="25">
        <f>_xll.LVCELL($D$2,GE$15,$B20,$D$5,$D$6,$D$7,$D$8,$D$9,$D$10,$D$11)</f>
        <v>600247</v>
      </c>
      <c r="GF20" s="25">
        <f>_xll.LVCELL($D$2,GF$15,$B20,$D$5,$D$6,$D$7,$D$8,$D$9,$D$10,$D$11)</f>
        <v>670946</v>
      </c>
      <c r="GG20" s="25">
        <f>_xll.LVCELL($D$2,GG$15,$B20,$D$5,$D$6,$D$7,$D$8,$D$9,$D$10,$D$11)</f>
        <v>480225</v>
      </c>
      <c r="GH20" s="25">
        <f>_xll.LVCELL($D$2,GH$15,$B20,$D$5,$D$6,$D$7,$D$8,$D$9,$D$10,$D$11)</f>
        <v>219613</v>
      </c>
      <c r="GI20" s="25">
        <f>_xll.LVCELL($D$2,GI$15,$B20,$D$5,$D$6,$D$7,$D$8,$D$9,$D$10,$D$11)</f>
        <v>210366</v>
      </c>
      <c r="GJ20" s="25">
        <f>_xll.LVCELL($D$2,GJ$15,$B20,$D$5,$D$6,$D$7,$D$8,$D$9,$D$10,$D$11)</f>
        <v>167282</v>
      </c>
      <c r="GK20" s="25">
        <f>_xll.LVCELL($D$2,GK$15,$B20,$D$5,$D$6,$D$7,$D$8,$D$9,$D$10,$D$11)</f>
        <v>278554</v>
      </c>
      <c r="GL20" s="25">
        <f>_xll.LVCELL($D$2,GL$15,$B20,$D$5,$D$6,$D$7,$D$8,$D$9,$D$10,$D$11)</f>
        <v>283134</v>
      </c>
      <c r="GM20" s="25">
        <f>_xll.LVCELL($D$2,GM$15,$B20,$D$5,$D$6,$D$7,$D$8,$D$9,$D$10,$D$11)</f>
        <v>424816</v>
      </c>
      <c r="GN20" s="25">
        <f>_xll.LVCELL($D$2,GN$15,$B20,$D$5,$D$6,$D$7,$D$8,$D$9,$D$10,$D$11)</f>
        <v>623479</v>
      </c>
      <c r="GO20" s="25">
        <f>_xll.LVCELL($D$2,GO$15,$B20,$D$5,$D$6,$D$7,$D$8,$D$9,$D$10,$D$11)</f>
        <v>876018</v>
      </c>
      <c r="GP20" s="25">
        <f>_xll.LVCELL($D$2,GP$15,$B20,$D$5,$D$6,$D$7,$D$8,$D$9,$D$10,$D$11)</f>
        <v>614701</v>
      </c>
      <c r="GQ20" s="25">
        <f>_xll.LVCELL($D$2,GQ$15,$B20,$D$5,$D$6,$D$7,$D$8,$D$9,$D$10,$D$11)</f>
        <v>529975</v>
      </c>
      <c r="GR20" s="25">
        <f>_xll.LVCELL($D$2,GR$15,$B20,$D$5,$D$6,$D$7,$D$8,$D$9,$D$10,$D$11)</f>
        <v>940000</v>
      </c>
      <c r="GS20" s="25">
        <f>_xll.LVCELL($D$2,GS$15,$B20,$D$5,$D$6,$D$7,$D$8,$D$9,$D$10,$D$11)</f>
        <v>354211</v>
      </c>
      <c r="GT20" s="25">
        <f>_xll.LVCELL($D$2,GT$15,$B20,$D$5,$D$6,$D$7,$D$8,$D$9,$D$10,$D$11)</f>
        <v>276265</v>
      </c>
      <c r="GU20" s="25">
        <f>_xll.LVCELL($D$2,GU$15,$B20,$D$5,$D$6,$D$7,$D$8,$D$9,$D$10,$D$11)</f>
        <v>286861</v>
      </c>
      <c r="GV20" s="25">
        <f>_xll.LVCELL($D$2,GV$15,$B20,$D$5,$D$6,$D$7,$D$8,$D$9,$D$10,$D$11)</f>
        <v>239195</v>
      </c>
      <c r="GW20" s="25">
        <f>_xll.LVCELL($D$2,GW$15,$B20,$D$5,$D$6,$D$7,$D$8,$D$9,$D$10,$D$11)</f>
        <v>287912</v>
      </c>
      <c r="GX20" s="25">
        <f>_xll.LVCELL($D$2,GX$15,$B20,$D$5,$D$6,$D$7,$D$8,$D$9,$D$10,$D$11)</f>
        <v>428186</v>
      </c>
      <c r="GY20" s="25">
        <f>_xll.LVCELL($D$2,GY$15,$B20,$D$5,$D$6,$D$7,$D$8,$D$9,$D$10,$D$11)</f>
        <v>582482</v>
      </c>
      <c r="GZ20" s="25">
        <f>_xll.LVCELL($D$2,GZ$15,$B20,$D$5,$D$6,$D$7,$D$8,$D$9,$D$10,$D$11)</f>
        <v>482247</v>
      </c>
      <c r="HA20" s="25">
        <f>_xll.LVCELL($D$2,HA$15,$B20,$D$5,$D$6,$D$7,$D$8,$D$9,$D$10,$D$11)</f>
        <v>997845</v>
      </c>
      <c r="HB20" s="25">
        <f>_xll.LVCELL($D$2,HB$15,$B20,$D$5,$D$6,$D$7,$D$8,$D$9,$D$10,$D$11)</f>
        <v>752434</v>
      </c>
      <c r="HC20" s="25">
        <f>_xll.LVCELL($D$2,HC$15,$B20,$D$5,$D$6,$D$7,$D$8,$D$9,$D$10,$D$11)</f>
        <v>1457963</v>
      </c>
      <c r="HD20" s="25">
        <f>_xll.LVCELL($D$2,HD$15,$B20,$D$5,$D$6,$D$7,$D$8,$D$9,$D$10,$D$11)</f>
        <v>809905</v>
      </c>
      <c r="HE20" s="25">
        <f>_xll.LVCELL($D$2,HE$15,$B20,$D$5,$D$6,$D$7,$D$8,$D$9,$D$10,$D$11)</f>
        <v>229799</v>
      </c>
      <c r="HF20" s="25">
        <f>_xll.LVCELL($D$2,HF$15,$B20,$D$5,$D$6,$D$7,$D$8,$D$9,$D$10,$D$11)</f>
        <v>372150</v>
      </c>
      <c r="HG20" s="25">
        <f>_xll.LVCELL($D$2,HG$15,$B20,$D$5,$D$6,$D$7,$D$8,$D$9,$D$10,$D$11)</f>
        <v>295283</v>
      </c>
      <c r="HH20" s="25">
        <f>_xll.LVCELL($D$2,HH$15,$B20,$D$5,$D$6,$D$7,$D$8,$D$9,$D$10,$D$11)</f>
        <v>381280</v>
      </c>
      <c r="HI20" s="25">
        <f>_xll.LVCELL($D$2,HI$15,$B20,$D$5,$D$6,$D$7,$D$8,$D$9,$D$10,$D$11)</f>
        <v>322618</v>
      </c>
      <c r="HJ20" s="25">
        <f>_xll.LVCELL($D$2,HJ$15,$B20,$D$5,$D$6,$D$7,$D$8,$D$9,$D$10,$D$11)</f>
        <v>400150</v>
      </c>
      <c r="HK20" s="25">
        <f>_xll.LVCELL($D$2,HK$15,$B20,$D$5,$D$6,$D$7,$D$8,$D$9,$D$10,$D$11)</f>
        <v>733265</v>
      </c>
      <c r="HL20" s="25">
        <f>_xll.LVCELL($D$2,HL$15,$B20,$D$5,$D$6,$D$7,$D$8,$D$9,$D$10,$D$11)</f>
        <v>583035</v>
      </c>
      <c r="HM20" s="25">
        <f>_xll.LVCELL($D$2,HM$15,$B20,$D$5,$D$6,$D$7,$D$8,$D$9,$D$10,$D$11)</f>
        <v>774818</v>
      </c>
    </row>
    <row r="21" spans="1:221">
      <c r="A21" t="s">
        <v>205</v>
      </c>
      <c r="B21" t="s">
        <v>205</v>
      </c>
      <c r="D21" s="10" t="s">
        <v>285</v>
      </c>
      <c r="E21" s="19">
        <v>38344</v>
      </c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30"/>
      <c r="AD21" s="16">
        <v>3151316</v>
      </c>
      <c r="AE21" s="16">
        <v>2159772</v>
      </c>
      <c r="AF21" s="16">
        <v>1477575</v>
      </c>
      <c r="AG21" s="16">
        <v>1190829</v>
      </c>
      <c r="AH21" s="16">
        <v>1433066</v>
      </c>
      <c r="AI21" s="16">
        <v>879126</v>
      </c>
      <c r="AJ21" s="16">
        <v>1419404</v>
      </c>
      <c r="AK21" s="16">
        <v>1034573</v>
      </c>
      <c r="AL21" s="16">
        <v>814974</v>
      </c>
      <c r="AM21" s="16">
        <v>1448051</v>
      </c>
      <c r="AN21" s="16">
        <v>1681383</v>
      </c>
      <c r="AO21" s="16">
        <v>1936101</v>
      </c>
      <c r="AP21" s="16">
        <v>1299960</v>
      </c>
      <c r="AQ21" s="16">
        <v>1738357</v>
      </c>
      <c r="AR21" s="16">
        <v>2579546</v>
      </c>
      <c r="AS21" s="16">
        <v>1890847</v>
      </c>
      <c r="AT21" s="16">
        <v>2300852</v>
      </c>
      <c r="AU21" s="16">
        <v>566412</v>
      </c>
      <c r="AV21" s="16">
        <v>628703</v>
      </c>
      <c r="AW21" s="16">
        <v>1910102</v>
      </c>
      <c r="AX21" s="16">
        <v>1057874</v>
      </c>
      <c r="AY21" s="16">
        <v>1952392</v>
      </c>
      <c r="AZ21" s="16">
        <v>2352006</v>
      </c>
      <c r="BA21" s="16">
        <v>2638869</v>
      </c>
      <c r="BB21" s="27">
        <v>3763661</v>
      </c>
      <c r="BC21" s="16">
        <v>2514976</v>
      </c>
      <c r="BD21" s="16">
        <v>2263104</v>
      </c>
      <c r="BE21" s="16">
        <v>419311</v>
      </c>
      <c r="BF21" s="16">
        <v>2028133</v>
      </c>
      <c r="BG21" s="16">
        <v>970588</v>
      </c>
      <c r="BH21" s="16">
        <v>1996603</v>
      </c>
      <c r="BI21" s="16">
        <v>1118628</v>
      </c>
      <c r="BJ21" s="16">
        <v>902765</v>
      </c>
      <c r="BK21" s="16">
        <v>481819</v>
      </c>
      <c r="BL21" s="16">
        <v>2005510</v>
      </c>
      <c r="BM21" s="16">
        <v>2919968</v>
      </c>
      <c r="BN21" s="16">
        <v>3572955</v>
      </c>
      <c r="BO21" s="16">
        <v>2122227</v>
      </c>
      <c r="BP21" s="16">
        <v>3349890</v>
      </c>
      <c r="BQ21" s="16">
        <v>1188797</v>
      </c>
      <c r="BR21" s="16">
        <v>608339</v>
      </c>
      <c r="BS21" s="16">
        <v>1040365</v>
      </c>
      <c r="BT21" s="16">
        <v>1338480</v>
      </c>
      <c r="BU21" s="16">
        <v>1352405</v>
      </c>
      <c r="BV21" s="16">
        <v>1116304</v>
      </c>
      <c r="BW21" s="16">
        <v>1449925</v>
      </c>
      <c r="BX21" s="16">
        <v>1941539</v>
      </c>
      <c r="BY21" s="16">
        <v>1744561</v>
      </c>
      <c r="BZ21" s="16">
        <v>2029142</v>
      </c>
      <c r="CA21" s="16">
        <v>1253416</v>
      </c>
      <c r="CB21" s="16">
        <v>2402650</v>
      </c>
      <c r="CC21" s="16">
        <v>706028</v>
      </c>
      <c r="CD21" s="16">
        <v>1362117</v>
      </c>
      <c r="CE21" s="16">
        <v>659453</v>
      </c>
      <c r="CF21" s="16">
        <v>1532409</v>
      </c>
      <c r="CG21" s="16">
        <v>995180</v>
      </c>
      <c r="CH21" s="16">
        <v>1048209.0000000001</v>
      </c>
      <c r="CI21" s="16">
        <v>1294342</v>
      </c>
      <c r="CJ21" s="16">
        <v>3326958</v>
      </c>
      <c r="CK21" s="16">
        <v>1902068</v>
      </c>
      <c r="CL21" s="16">
        <v>1235521</v>
      </c>
      <c r="CM21" s="16">
        <v>1835294</v>
      </c>
      <c r="CN21" s="16">
        <v>1977276</v>
      </c>
      <c r="CO21" s="16">
        <v>1039828</v>
      </c>
      <c r="CP21" s="16">
        <v>962969</v>
      </c>
      <c r="CQ21" s="16">
        <v>670839</v>
      </c>
      <c r="CR21" s="16">
        <v>715900</v>
      </c>
      <c r="CS21" s="16">
        <v>1400832</v>
      </c>
      <c r="CT21" s="16">
        <v>1151609</v>
      </c>
      <c r="CU21" s="16">
        <v>1295063</v>
      </c>
      <c r="CV21" s="16">
        <v>1855086</v>
      </c>
      <c r="CW21" s="16">
        <v>1062682</v>
      </c>
      <c r="CX21" s="16">
        <v>1791620</v>
      </c>
      <c r="CY21" s="16">
        <v>1694658</v>
      </c>
      <c r="CZ21" s="16">
        <v>1180348</v>
      </c>
      <c r="DA21" s="16">
        <v>712583</v>
      </c>
      <c r="DB21" s="16">
        <v>1532843</v>
      </c>
      <c r="DC21" s="16">
        <v>1533822</v>
      </c>
      <c r="DD21" s="16">
        <v>1038332.0000000001</v>
      </c>
      <c r="DE21" s="16">
        <v>1026272.9999999999</v>
      </c>
      <c r="DF21" s="16">
        <v>1507585</v>
      </c>
      <c r="DG21" s="16">
        <v>2278659</v>
      </c>
      <c r="DH21" s="16">
        <v>1248467</v>
      </c>
      <c r="DI21" s="16">
        <v>3903297</v>
      </c>
      <c r="DJ21" s="16">
        <v>2573826</v>
      </c>
      <c r="DK21" s="16">
        <v>1384591</v>
      </c>
      <c r="DL21" s="16">
        <v>890465</v>
      </c>
      <c r="DM21" s="16">
        <v>1708992</v>
      </c>
      <c r="DN21" s="16">
        <v>965377</v>
      </c>
      <c r="DO21" s="16">
        <v>1369914</v>
      </c>
      <c r="DP21" s="16">
        <v>1056618</v>
      </c>
      <c r="DQ21" s="16">
        <v>1066381</v>
      </c>
      <c r="DR21" s="16">
        <v>993483</v>
      </c>
      <c r="DS21" s="16">
        <v>1393862</v>
      </c>
      <c r="DT21" s="16">
        <v>1746113</v>
      </c>
      <c r="DU21" s="16">
        <v>2958815</v>
      </c>
      <c r="DV21" s="16">
        <v>1933188</v>
      </c>
      <c r="DW21" s="16">
        <v>1694780</v>
      </c>
      <c r="DX21" s="16">
        <v>1443936</v>
      </c>
      <c r="DY21" s="16">
        <v>1464301</v>
      </c>
      <c r="DZ21" s="16">
        <v>1502620</v>
      </c>
      <c r="EA21" s="16">
        <v>1086397</v>
      </c>
      <c r="EB21" s="16">
        <v>670566</v>
      </c>
      <c r="EC21" s="16">
        <v>808006</v>
      </c>
      <c r="ED21" s="16">
        <v>989186</v>
      </c>
      <c r="EE21" s="16">
        <v>2099412</v>
      </c>
      <c r="EF21" s="16">
        <v>1801151</v>
      </c>
      <c r="EG21" s="16">
        <v>2545658</v>
      </c>
      <c r="EH21" s="16">
        <v>2804351</v>
      </c>
      <c r="EI21" s="16">
        <v>3121096</v>
      </c>
      <c r="EJ21" s="16">
        <v>1342092</v>
      </c>
      <c r="EK21" s="16">
        <v>832915</v>
      </c>
      <c r="EL21" s="16">
        <v>1538421</v>
      </c>
      <c r="EM21" s="16">
        <v>481000</v>
      </c>
      <c r="EN21" s="16">
        <v>739009</v>
      </c>
      <c r="EO21" s="16">
        <v>1210974</v>
      </c>
      <c r="EP21" s="16">
        <v>338473</v>
      </c>
      <c r="EQ21" s="16">
        <v>1443306</v>
      </c>
      <c r="ER21" s="16">
        <v>1300682</v>
      </c>
      <c r="ES21" s="16">
        <v>2733233</v>
      </c>
      <c r="ET21" s="16">
        <v>2912197</v>
      </c>
      <c r="EU21" s="16">
        <v>1608360</v>
      </c>
      <c r="EV21" s="16">
        <v>2090833.9999999998</v>
      </c>
      <c r="EW21" s="16">
        <v>1120370</v>
      </c>
      <c r="EX21" s="16">
        <v>1517948</v>
      </c>
      <c r="EY21" s="16">
        <v>1206744</v>
      </c>
      <c r="EZ21" s="16">
        <v>1563361</v>
      </c>
      <c r="FA21" s="16">
        <v>732325</v>
      </c>
      <c r="FB21" s="16">
        <v>1023106</v>
      </c>
      <c r="FC21" s="16">
        <v>830228</v>
      </c>
      <c r="FD21" s="16">
        <v>2895446</v>
      </c>
      <c r="FE21" s="16">
        <v>2525426.8333330001</v>
      </c>
      <c r="FF21" s="16">
        <v>3134376</v>
      </c>
      <c r="FG21" s="16">
        <v>2521746</v>
      </c>
      <c r="FH21" s="16">
        <v>1841498</v>
      </c>
      <c r="FI21" s="16">
        <v>1260611</v>
      </c>
      <c r="FJ21" s="16">
        <v>906594</v>
      </c>
      <c r="FK21" s="16">
        <v>835095</v>
      </c>
      <c r="FL21" s="16">
        <v>950990</v>
      </c>
      <c r="FM21" s="16">
        <v>1032810</v>
      </c>
      <c r="FN21" s="16">
        <v>767160</v>
      </c>
      <c r="FO21" s="16">
        <v>806770</v>
      </c>
      <c r="FP21" s="16">
        <v>1604870</v>
      </c>
      <c r="FQ21" s="16">
        <v>1032810</v>
      </c>
      <c r="FR21" s="40">
        <f>_xll.LVCELL($D$2,FR$15,$B21,$D$5,$D$6,$D$7,$D$8,$D$9,$D$10,$D$11)</f>
        <v>1193210</v>
      </c>
      <c r="FS21" s="40">
        <f>_xll.LVCELL($D$2,FS$15,$B21,$D$5,$D$6,$D$7,$D$8,$D$9,$D$10,$D$11)</f>
        <v>2141800</v>
      </c>
      <c r="FT21" s="40">
        <f>_xll.LVCELL($D$2,FT$15,$B21,$D$5,$D$6,$D$7,$D$8,$D$9,$D$10,$D$11)</f>
        <v>2446330</v>
      </c>
      <c r="FU21" s="40">
        <f>_xll.LVCELL($D$2,FU$15,$B21,$D$5,$D$6,$D$7,$D$8,$D$9,$D$10,$D$11)</f>
        <v>746260</v>
      </c>
      <c r="FV21" s="40">
        <f>_xll.LVCELL($D$2,FV$15,$B21,$D$5,$D$6,$D$7,$D$8,$D$9,$D$10,$D$11)</f>
        <v>747046</v>
      </c>
      <c r="FW21" s="40">
        <f>_xll.LVCELL($D$2,FW$15,$B21,$D$5,$D$6,$D$7,$D$8,$D$9,$D$10,$D$11)</f>
        <v>1401780</v>
      </c>
      <c r="FX21" s="40">
        <f>_xll.LVCELL($D$2,FX$15,$B21,$D$5,$D$6,$D$7,$D$8,$D$9,$D$10,$D$11)</f>
        <v>1069742.33</v>
      </c>
      <c r="FY21" s="40">
        <f>_xll.LVCELL($D$2,FY$15,$B21,$D$5,$D$6,$D$7,$D$8,$D$9,$D$10,$D$11)</f>
        <v>760116</v>
      </c>
      <c r="FZ21" s="40">
        <f>_xll.LVCELL($D$2,FZ$15,$B21,$D$5,$D$6,$D$7,$D$8,$D$9,$D$10,$D$11)</f>
        <v>968238</v>
      </c>
      <c r="GA21" s="40">
        <f>_xll.LVCELL($D$2,GA$15,$B21,$D$5,$D$6,$D$7,$D$8,$D$9,$D$10,$D$11)</f>
        <v>1505311</v>
      </c>
      <c r="GB21" s="40">
        <f>_xll.LVCELL($D$2,GB$15,$B21,$D$5,$D$6,$D$7,$D$8,$D$9,$D$10,$D$11)</f>
        <v>1522162</v>
      </c>
      <c r="GC21" s="40">
        <f>_xll.LVCELL($D$2,GC$15,$B21,$D$5,$D$6,$D$7,$D$8,$D$9,$D$10,$D$11)</f>
        <v>2513630</v>
      </c>
      <c r="GD21" s="25">
        <f>_xll.LVCELL($D$2,GD$15,$B21,$D$5,$D$6,$D$7,$D$8,$D$9,$D$10,$D$11)</f>
        <v>2494262</v>
      </c>
      <c r="GE21" s="25">
        <f>_xll.LVCELL($D$2,GE$15,$B21,$D$5,$D$6,$D$7,$D$8,$D$9,$D$10,$D$11)</f>
        <v>1470942</v>
      </c>
      <c r="GF21" s="25">
        <f>_xll.LVCELL($D$2,GF$15,$B21,$D$5,$D$6,$D$7,$D$8,$D$9,$D$10,$D$11)</f>
        <v>1530964</v>
      </c>
      <c r="GG21" s="25">
        <f>_xll.LVCELL($D$2,GG$15,$B21,$D$5,$D$6,$D$7,$D$8,$D$9,$D$10,$D$11)</f>
        <v>1100000</v>
      </c>
      <c r="GH21" s="25">
        <f>_xll.LVCELL($D$2,GH$15,$B21,$D$5,$D$6,$D$7,$D$8,$D$9,$D$10,$D$11)</f>
        <v>457949</v>
      </c>
      <c r="GI21" s="25">
        <f>_xll.LVCELL($D$2,GI$15,$B21,$D$5,$D$6,$D$7,$D$8,$D$9,$D$10,$D$11)</f>
        <v>464445</v>
      </c>
      <c r="GJ21" s="25">
        <f>_xll.LVCELL($D$2,GJ$15,$B21,$D$5,$D$6,$D$7,$D$8,$D$9,$D$10,$D$11)</f>
        <v>375189</v>
      </c>
      <c r="GK21" s="25">
        <f>_xll.LVCELL($D$2,GK$15,$B21,$D$5,$D$6,$D$7,$D$8,$D$9,$D$10,$D$11)</f>
        <v>728134</v>
      </c>
      <c r="GL21" s="25">
        <f>_xll.LVCELL($D$2,GL$15,$B21,$D$5,$D$6,$D$7,$D$8,$D$9,$D$10,$D$11)</f>
        <v>673040</v>
      </c>
      <c r="GM21" s="25">
        <f>_xll.LVCELL($D$2,GM$15,$B21,$D$5,$D$6,$D$7,$D$8,$D$9,$D$10,$D$11)</f>
        <v>886741</v>
      </c>
      <c r="GN21" s="25">
        <f>_xll.LVCELL($D$2,GN$15,$B21,$D$5,$D$6,$D$7,$D$8,$D$9,$D$10,$D$11)</f>
        <v>1189260</v>
      </c>
      <c r="GO21" s="25">
        <f>_xll.LVCELL($D$2,GO$15,$B21,$D$5,$D$6,$D$7,$D$8,$D$9,$D$10,$D$11)</f>
        <v>1812938</v>
      </c>
      <c r="GP21" s="25">
        <f>_xll.LVCELL($D$2,GP$15,$B21,$D$5,$D$6,$D$7,$D$8,$D$9,$D$10,$D$11)</f>
        <v>1220287</v>
      </c>
      <c r="GQ21" s="25">
        <f>_xll.LVCELL($D$2,GQ$15,$B21,$D$5,$D$6,$D$7,$D$8,$D$9,$D$10,$D$11)</f>
        <v>905583</v>
      </c>
      <c r="GR21" s="25">
        <f>_xll.LVCELL($D$2,GR$15,$B21,$D$5,$D$6,$D$7,$D$8,$D$9,$D$10,$D$11)</f>
        <v>2010000</v>
      </c>
      <c r="GS21" s="25">
        <f>_xll.LVCELL($D$2,GS$15,$B21,$D$5,$D$6,$D$7,$D$8,$D$9,$D$10,$D$11)</f>
        <v>584633</v>
      </c>
      <c r="GT21" s="25">
        <f>_xll.LVCELL($D$2,GT$15,$B21,$D$5,$D$6,$D$7,$D$8,$D$9,$D$10,$D$11)</f>
        <v>723066</v>
      </c>
      <c r="GU21" s="25">
        <f>_xll.LVCELL($D$2,GU$15,$B21,$D$5,$D$6,$D$7,$D$8,$D$9,$D$10,$D$11)</f>
        <v>689302</v>
      </c>
      <c r="GV21" s="25">
        <f>_xll.LVCELL($D$2,GV$15,$B21,$D$5,$D$6,$D$7,$D$8,$D$9,$D$10,$D$11)</f>
        <v>659723</v>
      </c>
      <c r="GW21" s="25">
        <f>_xll.LVCELL($D$2,GW$15,$B21,$D$5,$D$6,$D$7,$D$8,$D$9,$D$10,$D$11)</f>
        <v>813858</v>
      </c>
      <c r="GX21" s="25">
        <f>_xll.LVCELL($D$2,GX$15,$B21,$D$5,$D$6,$D$7,$D$8,$D$9,$D$10,$D$11)</f>
        <v>1250632</v>
      </c>
      <c r="GY21" s="25">
        <f>_xll.LVCELL($D$2,GY$15,$B21,$D$5,$D$6,$D$7,$D$8,$D$9,$D$10,$D$11)</f>
        <v>1421737</v>
      </c>
      <c r="GZ21" s="25">
        <f>_xll.LVCELL($D$2,GZ$15,$B21,$D$5,$D$6,$D$7,$D$8,$D$9,$D$10,$D$11)</f>
        <v>1391145</v>
      </c>
      <c r="HA21" s="25">
        <f>_xll.LVCELL($D$2,HA$15,$B21,$D$5,$D$6,$D$7,$D$8,$D$9,$D$10,$D$11)</f>
        <v>2342797</v>
      </c>
      <c r="HB21" s="25">
        <f>_xll.LVCELL($D$2,HB$15,$B21,$D$5,$D$6,$D$7,$D$8,$D$9,$D$10,$D$11)</f>
        <v>1935888</v>
      </c>
      <c r="HC21" s="25">
        <f>_xll.LVCELL($D$2,HC$15,$B21,$D$5,$D$6,$D$7,$D$8,$D$9,$D$10,$D$11)</f>
        <v>3666282</v>
      </c>
      <c r="HD21" s="25">
        <f>_xll.LVCELL($D$2,HD$15,$B21,$D$5,$D$6,$D$7,$D$8,$D$9,$D$10,$D$11)</f>
        <v>2349786</v>
      </c>
      <c r="HE21" s="25">
        <f>_xll.LVCELL($D$2,HE$15,$B21,$D$5,$D$6,$D$7,$D$8,$D$9,$D$10,$D$11)</f>
        <v>731611</v>
      </c>
      <c r="HF21" s="25">
        <f>_xll.LVCELL($D$2,HF$15,$B21,$D$5,$D$6,$D$7,$D$8,$D$9,$D$10,$D$11)</f>
        <v>1137460</v>
      </c>
      <c r="HG21" s="25">
        <f>_xll.LVCELL($D$2,HG$15,$B21,$D$5,$D$6,$D$7,$D$8,$D$9,$D$10,$D$11)</f>
        <v>941467</v>
      </c>
      <c r="HH21" s="25">
        <f>_xll.LVCELL($D$2,HH$15,$B21,$D$5,$D$6,$D$7,$D$8,$D$9,$D$10,$D$11)</f>
        <v>1329598</v>
      </c>
      <c r="HI21" s="25">
        <f>_xll.LVCELL($D$2,HI$15,$B21,$D$5,$D$6,$D$7,$D$8,$D$9,$D$10,$D$11)</f>
        <v>1110492</v>
      </c>
      <c r="HJ21" s="25">
        <f>_xll.LVCELL($D$2,HJ$15,$B21,$D$5,$D$6,$D$7,$D$8,$D$9,$D$10,$D$11)</f>
        <v>1138460</v>
      </c>
      <c r="HK21" s="25">
        <f>_xll.LVCELL($D$2,HK$15,$B21,$D$5,$D$6,$D$7,$D$8,$D$9,$D$10,$D$11)</f>
        <v>1974266</v>
      </c>
      <c r="HL21" s="25">
        <f>_xll.LVCELL($D$2,HL$15,$B21,$D$5,$D$6,$D$7,$D$8,$D$9,$D$10,$D$11)</f>
        <v>1558316</v>
      </c>
      <c r="HM21" s="25">
        <f>_xll.LVCELL($D$2,HM$15,$B21,$D$5,$D$6,$D$7,$D$8,$D$9,$D$10,$D$11)</f>
        <v>1903914</v>
      </c>
    </row>
    <row r="22" spans="1:221">
      <c r="A22" t="s">
        <v>159</v>
      </c>
      <c r="B22" t="s">
        <v>320</v>
      </c>
      <c r="D22" s="10" t="s">
        <v>286</v>
      </c>
      <c r="E22" s="19">
        <v>38687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295">
        <v>392049</v>
      </c>
      <c r="AP22" s="295">
        <v>1723618</v>
      </c>
      <c r="AQ22" s="295">
        <v>1473667</v>
      </c>
      <c r="AR22" s="295">
        <v>2600267</v>
      </c>
      <c r="AS22" s="295">
        <v>2847056</v>
      </c>
      <c r="AT22" s="295">
        <v>2721033</v>
      </c>
      <c r="AU22" s="295">
        <v>2046618</v>
      </c>
      <c r="AV22" s="295">
        <v>1082726</v>
      </c>
      <c r="AW22" s="295">
        <v>3517276</v>
      </c>
      <c r="AX22" s="295">
        <v>2350340</v>
      </c>
      <c r="AY22" s="295">
        <v>3018858</v>
      </c>
      <c r="AZ22" s="295">
        <v>3240889</v>
      </c>
      <c r="BA22" s="296">
        <v>2176448</v>
      </c>
      <c r="BB22" s="27">
        <v>2394196</v>
      </c>
      <c r="BC22" s="16">
        <v>1703979</v>
      </c>
      <c r="BD22" s="16">
        <v>2454243</v>
      </c>
      <c r="BE22" s="16">
        <v>1201927</v>
      </c>
      <c r="BF22" s="16">
        <v>3106216</v>
      </c>
      <c r="BG22" s="16">
        <v>1098273</v>
      </c>
      <c r="BH22" s="16">
        <v>1779259</v>
      </c>
      <c r="BI22" s="16">
        <v>2021632</v>
      </c>
      <c r="BJ22" s="16">
        <v>3026106</v>
      </c>
      <c r="BK22" s="16">
        <v>2817601</v>
      </c>
      <c r="BL22" s="16">
        <v>2869850</v>
      </c>
      <c r="BM22" s="16">
        <v>2174830</v>
      </c>
      <c r="BN22" s="16">
        <v>2654928</v>
      </c>
      <c r="BO22" s="16">
        <v>1518741</v>
      </c>
      <c r="BP22" s="16">
        <v>3556876</v>
      </c>
      <c r="BQ22" s="16">
        <v>2838924</v>
      </c>
      <c r="BR22" s="16">
        <v>2208428</v>
      </c>
      <c r="BS22" s="16">
        <v>2219113</v>
      </c>
      <c r="BT22" s="16">
        <v>1725480</v>
      </c>
      <c r="BU22" s="16">
        <v>1893215</v>
      </c>
      <c r="BV22" s="16">
        <v>2143648</v>
      </c>
      <c r="BW22" s="16">
        <v>1793045</v>
      </c>
      <c r="BX22" s="16">
        <v>2190940</v>
      </c>
      <c r="BY22" s="16">
        <v>1423601</v>
      </c>
      <c r="BZ22" s="16">
        <v>1641683</v>
      </c>
      <c r="CA22" s="16">
        <v>1918582</v>
      </c>
      <c r="CB22" s="16">
        <v>4080114</v>
      </c>
      <c r="CC22" s="16">
        <v>2644161</v>
      </c>
      <c r="CD22" s="16">
        <v>3049118</v>
      </c>
      <c r="CE22" s="16">
        <v>2284879</v>
      </c>
      <c r="CF22" s="16">
        <v>2039969</v>
      </c>
      <c r="CG22" s="16">
        <v>1763094</v>
      </c>
      <c r="CH22" s="16">
        <v>1709825</v>
      </c>
      <c r="CI22" s="16">
        <v>3572652</v>
      </c>
      <c r="CJ22" s="16">
        <v>2323227</v>
      </c>
      <c r="CK22" s="16">
        <v>2232728</v>
      </c>
      <c r="CL22" s="16">
        <v>1478058</v>
      </c>
      <c r="CM22" s="16">
        <v>1202095</v>
      </c>
      <c r="CN22" s="16">
        <v>2973957</v>
      </c>
      <c r="CO22" s="16">
        <v>1757700</v>
      </c>
      <c r="CP22" s="16">
        <v>2458833</v>
      </c>
      <c r="CQ22" s="16">
        <v>2577442</v>
      </c>
      <c r="CR22" s="16">
        <v>2298538</v>
      </c>
      <c r="CS22" s="16">
        <v>2258757</v>
      </c>
      <c r="CT22" s="16">
        <v>2109929</v>
      </c>
      <c r="CU22" s="16">
        <v>2341928</v>
      </c>
      <c r="CV22" s="16">
        <v>1575587</v>
      </c>
      <c r="CW22" s="16">
        <v>1844601</v>
      </c>
      <c r="CX22" s="16">
        <v>2094607</v>
      </c>
      <c r="CY22" s="16">
        <v>1879976</v>
      </c>
      <c r="CZ22" s="16">
        <v>2106666</v>
      </c>
      <c r="DA22" s="16">
        <v>2624270</v>
      </c>
      <c r="DB22" s="16">
        <v>1990460</v>
      </c>
      <c r="DC22" s="16">
        <v>2028352</v>
      </c>
      <c r="DD22" s="16">
        <v>2492022</v>
      </c>
      <c r="DE22" s="16">
        <v>1701739</v>
      </c>
      <c r="DF22" s="16">
        <v>1736445</v>
      </c>
      <c r="DG22" s="16">
        <v>2947858</v>
      </c>
      <c r="DH22" s="16">
        <v>2688405</v>
      </c>
      <c r="DI22" s="16">
        <v>3522263</v>
      </c>
      <c r="DJ22" s="16">
        <v>3214236</v>
      </c>
      <c r="DK22" s="16">
        <v>2825926</v>
      </c>
      <c r="DL22" s="16">
        <v>2738953</v>
      </c>
      <c r="DM22" s="16">
        <v>2716790</v>
      </c>
      <c r="DN22" s="16">
        <v>1999180</v>
      </c>
      <c r="DO22" s="16">
        <v>1761914</v>
      </c>
      <c r="DP22" s="16">
        <v>1739875</v>
      </c>
      <c r="DQ22" s="16">
        <v>1588240</v>
      </c>
      <c r="DR22" s="16">
        <v>2475367</v>
      </c>
      <c r="DS22" s="16">
        <v>2578693</v>
      </c>
      <c r="DT22" s="16">
        <v>1893792</v>
      </c>
      <c r="DU22" s="16">
        <v>2677920</v>
      </c>
      <c r="DV22" s="16">
        <v>2127660</v>
      </c>
      <c r="DW22" s="16">
        <v>2232130</v>
      </c>
      <c r="DX22" s="16">
        <v>1880309</v>
      </c>
      <c r="DY22" s="16">
        <v>1592182</v>
      </c>
      <c r="DZ22" s="16">
        <v>2733202</v>
      </c>
      <c r="EA22" s="16">
        <v>3120190</v>
      </c>
      <c r="EB22" s="16">
        <v>1483995</v>
      </c>
      <c r="EC22" s="16">
        <v>2154832</v>
      </c>
      <c r="ED22" s="16">
        <v>2441273</v>
      </c>
      <c r="EE22" s="16">
        <v>3152555</v>
      </c>
      <c r="EF22" s="16">
        <v>2011253</v>
      </c>
      <c r="EG22" s="16">
        <v>2573383</v>
      </c>
      <c r="EH22" s="16">
        <v>2378227</v>
      </c>
      <c r="EI22" s="16">
        <v>2373499</v>
      </c>
      <c r="EJ22" s="16">
        <v>3006333</v>
      </c>
      <c r="EK22" s="16">
        <v>2790203</v>
      </c>
      <c r="EL22" s="16">
        <v>3447633</v>
      </c>
      <c r="EM22" s="16">
        <v>1999028</v>
      </c>
      <c r="EN22" s="16">
        <v>2872110</v>
      </c>
      <c r="EO22" s="16">
        <v>1726569</v>
      </c>
      <c r="EP22" s="16">
        <v>2134235</v>
      </c>
      <c r="EQ22" s="16">
        <v>2082408</v>
      </c>
      <c r="ER22" s="16">
        <v>2620499</v>
      </c>
      <c r="ES22" s="16">
        <v>2642088</v>
      </c>
      <c r="ET22" s="16">
        <v>2303624</v>
      </c>
      <c r="EU22" s="16">
        <v>1232721</v>
      </c>
      <c r="EV22" s="16">
        <v>3305707</v>
      </c>
      <c r="EW22" s="16">
        <v>2390393</v>
      </c>
      <c r="EX22" s="16">
        <v>2989854</v>
      </c>
      <c r="EY22" s="16">
        <v>1823158</v>
      </c>
      <c r="EZ22" s="16">
        <v>1819884</v>
      </c>
      <c r="FA22" s="16">
        <v>2011302</v>
      </c>
      <c r="FB22" s="16">
        <v>2609767</v>
      </c>
      <c r="FC22" s="16">
        <v>2243428</v>
      </c>
      <c r="FD22" s="16">
        <v>3044194</v>
      </c>
      <c r="FE22" s="16">
        <v>2217895.3330000001</v>
      </c>
      <c r="FF22" s="16">
        <v>2032816</v>
      </c>
      <c r="FG22" s="16">
        <v>2307344</v>
      </c>
      <c r="FH22" s="16">
        <v>2196726</v>
      </c>
      <c r="FI22" s="16">
        <v>2962935</v>
      </c>
      <c r="FJ22" s="16">
        <v>3556591</v>
      </c>
      <c r="FK22" s="16">
        <v>1753532</v>
      </c>
      <c r="FL22" s="16">
        <v>2263550</v>
      </c>
      <c r="FM22" s="16">
        <v>2040000</v>
      </c>
      <c r="FN22" s="16">
        <v>171190</v>
      </c>
      <c r="FO22" s="16">
        <v>1998260</v>
      </c>
      <c r="FP22" s="16">
        <v>1992070</v>
      </c>
      <c r="FQ22" s="16">
        <v>2754500</v>
      </c>
      <c r="FR22" s="40">
        <f>_xll.LVCELL($D$2,FR$15,$B22,$D$5,$D$6,$D$7,$D$8,$D$9,$D$10,$D$11)</f>
        <v>2134700</v>
      </c>
      <c r="FS22" s="40">
        <f>_xll.LVCELL($D$2,FS$15,$B22,$D$5,$D$6,$D$7,$D$8,$D$9,$D$10,$D$11)</f>
        <v>2819000</v>
      </c>
      <c r="FT22" s="40">
        <f>_xll.LVCELL($D$2,FT$15,$B22,$D$5,$D$6,$D$7,$D$8,$D$9,$D$10,$D$11)</f>
        <v>2623710</v>
      </c>
      <c r="FU22" s="40">
        <f>_xll.LVCELL($D$2,FU$15,$B22,$D$5,$D$6,$D$7,$D$8,$D$9,$D$10,$D$11)</f>
        <v>2581300</v>
      </c>
      <c r="FV22" s="40">
        <f>_xll.LVCELL($D$2,FV$15,$B22,$D$5,$D$6,$D$7,$D$8,$D$9,$D$10,$D$11)</f>
        <v>2205246</v>
      </c>
      <c r="FW22" s="40">
        <f>_xll.LVCELL($D$2,FW$15,$B22,$D$5,$D$6,$D$7,$D$8,$D$9,$D$10,$D$11)</f>
        <v>1032630</v>
      </c>
      <c r="FX22" s="40">
        <f>_xll.LVCELL($D$2,FX$15,$B22,$D$5,$D$6,$D$7,$D$8,$D$9,$D$10,$D$11)</f>
        <v>2141372.17</v>
      </c>
      <c r="FY22" s="40">
        <f>_xll.LVCELL($D$2,FY$15,$B22,$D$5,$D$6,$D$7,$D$8,$D$9,$D$10,$D$11)</f>
        <v>1788477</v>
      </c>
      <c r="FZ22" s="40">
        <f>_xll.LVCELL($D$2,FZ$15,$B22,$D$5,$D$6,$D$7,$D$8,$D$9,$D$10,$D$11)</f>
        <v>2006893</v>
      </c>
      <c r="GA22" s="40">
        <f>_xll.LVCELL($D$2,GA$15,$B22,$D$5,$D$6,$D$7,$D$8,$D$9,$D$10,$D$11)</f>
        <v>2763248</v>
      </c>
      <c r="GB22" s="40">
        <f>_xll.LVCELL($D$2,GB$15,$B22,$D$5,$D$6,$D$7,$D$8,$D$9,$D$10,$D$11)</f>
        <v>2998169</v>
      </c>
      <c r="GC22" s="40">
        <f>_xll.LVCELL($D$2,GC$15,$B22,$D$5,$D$6,$D$7,$D$8,$D$9,$D$10,$D$11)</f>
        <v>2341847</v>
      </c>
      <c r="GD22" s="25">
        <f>_xll.LVCELL($D$2,GD$15,$B22,$D$5,$D$6,$D$7,$D$8,$D$9,$D$10,$D$11)</f>
        <v>3406110</v>
      </c>
      <c r="GE22" s="25">
        <f>_xll.LVCELL($D$2,GE$15,$B22,$D$5,$D$6,$D$7,$D$8,$D$9,$D$10,$D$11)</f>
        <v>1661444</v>
      </c>
      <c r="GF22" s="25">
        <f>_xll.LVCELL($D$2,GF$15,$B22,$D$5,$D$6,$D$7,$D$8,$D$9,$D$10,$D$11)</f>
        <v>2569529</v>
      </c>
      <c r="GG22" s="25">
        <f>_xll.LVCELL($D$2,GG$15,$B22,$D$5,$D$6,$D$7,$D$8,$D$9,$D$10,$D$11)</f>
        <v>2000000</v>
      </c>
      <c r="GH22" s="25">
        <f>_xll.LVCELL($D$2,GH$15,$B22,$D$5,$D$6,$D$7,$D$8,$D$9,$D$10,$D$11)</f>
        <v>1590236</v>
      </c>
      <c r="GI22" s="25">
        <f>_xll.LVCELL($D$2,GI$15,$B22,$D$5,$D$6,$D$7,$D$8,$D$9,$D$10,$D$11)</f>
        <v>1295613</v>
      </c>
      <c r="GJ22" s="25">
        <f>_xll.LVCELL($D$2,GJ$15,$B22,$D$5,$D$6,$D$7,$D$8,$D$9,$D$10,$D$11)</f>
        <v>1176094</v>
      </c>
      <c r="GK22" s="25">
        <f>_xll.LVCELL($D$2,GK$15,$B22,$D$5,$D$6,$D$7,$D$8,$D$9,$D$10,$D$11)</f>
        <v>1844509</v>
      </c>
      <c r="GL22" s="25">
        <f>_xll.LVCELL($D$2,GL$15,$B22,$D$5,$D$6,$D$7,$D$8,$D$9,$D$10,$D$11)</f>
        <v>1480858</v>
      </c>
      <c r="GM22" s="25">
        <f>_xll.LVCELL($D$2,GM$15,$B22,$D$5,$D$6,$D$7,$D$8,$D$9,$D$10,$D$11)</f>
        <v>3189319</v>
      </c>
      <c r="GN22" s="25">
        <f>_xll.LVCELL($D$2,GN$15,$B22,$D$5,$D$6,$D$7,$D$8,$D$9,$D$10,$D$11)</f>
        <v>2556998</v>
      </c>
      <c r="GO22" s="25">
        <f>_xll.LVCELL($D$2,GO$15,$B22,$D$5,$D$6,$D$7,$D$8,$D$9,$D$10,$D$11)</f>
        <v>2885794</v>
      </c>
      <c r="GP22" s="25">
        <f>_xll.LVCELL($D$2,GP$15,$B22,$D$5,$D$6,$D$7,$D$8,$D$9,$D$10,$D$11)</f>
        <v>1763202</v>
      </c>
      <c r="GQ22" s="25">
        <f>_xll.LVCELL($D$2,GQ$15,$B22,$D$5,$D$6,$D$7,$D$8,$D$9,$D$10,$D$11)</f>
        <v>2293915</v>
      </c>
      <c r="GR22" s="25">
        <f>_xll.LVCELL($D$2,GR$15,$B22,$D$5,$D$6,$D$7,$D$8,$D$9,$D$10,$D$11)</f>
        <v>3361034</v>
      </c>
      <c r="GS22" s="25">
        <f>_xll.LVCELL($D$2,GS$15,$B22,$D$5,$D$6,$D$7,$D$8,$D$9,$D$10,$D$11)</f>
        <v>2886443</v>
      </c>
      <c r="GT22" s="25">
        <f>_xll.LVCELL($D$2,GT$15,$B22,$D$5,$D$6,$D$7,$D$8,$D$9,$D$10,$D$11)</f>
        <v>3475446</v>
      </c>
      <c r="GU22" s="25">
        <f>_xll.LVCELL($D$2,GU$15,$B22,$D$5,$D$6,$D$7,$D$8,$D$9,$D$10,$D$11)</f>
        <v>1616043</v>
      </c>
      <c r="GV22" s="25">
        <f>_xll.LVCELL($D$2,GV$15,$B22,$D$5,$D$6,$D$7,$D$8,$D$9,$D$10,$D$11)</f>
        <v>1508660</v>
      </c>
      <c r="GW22" s="25">
        <f>_xll.LVCELL($D$2,GW$15,$B22,$D$5,$D$6,$D$7,$D$8,$D$9,$D$10,$D$11)</f>
        <v>1417433</v>
      </c>
      <c r="GX22" s="25">
        <f>_xll.LVCELL($D$2,GX$15,$B22,$D$5,$D$6,$D$7,$D$8,$D$9,$D$10,$D$11)</f>
        <v>1277911</v>
      </c>
      <c r="GY22" s="25">
        <f>_xll.LVCELL($D$2,GY$15,$B22,$D$5,$D$6,$D$7,$D$8,$D$9,$D$10,$D$11)</f>
        <v>3748609</v>
      </c>
      <c r="GZ22" s="25">
        <f>_xll.LVCELL($D$2,GZ$15,$B22,$D$5,$D$6,$D$7,$D$8,$D$9,$D$10,$D$11)</f>
        <v>2222818</v>
      </c>
      <c r="HA22" s="25">
        <f>_xll.LVCELL($D$2,HA$15,$B22,$D$5,$D$6,$D$7,$D$8,$D$9,$D$10,$D$11)</f>
        <v>2810471</v>
      </c>
      <c r="HB22" s="25">
        <f>_xll.LVCELL($D$2,HB$15,$B22,$D$5,$D$6,$D$7,$D$8,$D$9,$D$10,$D$11)</f>
        <v>2543106</v>
      </c>
      <c r="HC22" s="25">
        <f>_xll.LVCELL($D$2,HC$15,$B22,$D$5,$D$6,$D$7,$D$8,$D$9,$D$10,$D$11)</f>
        <v>3341151</v>
      </c>
      <c r="HD22" s="25">
        <f>_xll.LVCELL($D$2,HD$15,$B22,$D$5,$D$6,$D$7,$D$8,$D$9,$D$10,$D$11)</f>
        <v>2212806</v>
      </c>
      <c r="HE22" s="25">
        <f>_xll.LVCELL($D$2,HE$15,$B22,$D$5,$D$6,$D$7,$D$8,$D$9,$D$10,$D$11)</f>
        <v>1501632</v>
      </c>
      <c r="HF22" s="25">
        <f>_xll.LVCELL($D$2,HF$15,$B22,$D$5,$D$6,$D$7,$D$8,$D$9,$D$10,$D$11)</f>
        <v>270090</v>
      </c>
      <c r="HG22" s="25">
        <f>_xll.LVCELL($D$2,HG$15,$B22,$D$5,$D$6,$D$7,$D$8,$D$9,$D$10,$D$11)</f>
        <v>-10708</v>
      </c>
      <c r="HH22" s="25">
        <f>_xll.LVCELL($D$2,HH$15,$B22,$D$5,$D$6,$D$7,$D$8,$D$9,$D$10,$D$11)</f>
        <v>0</v>
      </c>
      <c r="HI22" s="25">
        <f>_xll.LVCELL($D$2,HI$15,$B22,$D$5,$D$6,$D$7,$D$8,$D$9,$D$10,$D$11)</f>
        <v>0</v>
      </c>
      <c r="HJ22" s="25">
        <f>_xll.LVCELL($D$2,HJ$15,$B22,$D$5,$D$6,$D$7,$D$8,$D$9,$D$10,$D$11)</f>
        <v>0</v>
      </c>
      <c r="HK22" s="25">
        <f>_xll.LVCELL($D$2,HK$15,$B22,$D$5,$D$6,$D$7,$D$8,$D$9,$D$10,$D$11)</f>
        <v>0</v>
      </c>
      <c r="HL22" s="25">
        <f>_xll.LVCELL($D$2,HL$15,$B22,$D$5,$D$6,$D$7,$D$8,$D$9,$D$10,$D$11)</f>
        <v>0</v>
      </c>
      <c r="HM22" s="25">
        <f>_xll.LVCELL($D$2,HM$15,$B22,$D$5,$D$6,$D$7,$D$8,$D$9,$D$10,$D$11)</f>
        <v>0</v>
      </c>
    </row>
    <row r="23" spans="1:221">
      <c r="A23" t="s">
        <v>161</v>
      </c>
      <c r="B23" t="s">
        <v>321</v>
      </c>
      <c r="D23" s="10" t="s">
        <v>287</v>
      </c>
      <c r="E23" s="19">
        <v>38687</v>
      </c>
      <c r="F23" s="16" t="s">
        <v>845</v>
      </c>
      <c r="G23" s="16" t="s">
        <v>845</v>
      </c>
      <c r="H23" s="16" t="s">
        <v>845</v>
      </c>
      <c r="I23" s="16" t="s">
        <v>845</v>
      </c>
      <c r="J23" s="16" t="s">
        <v>845</v>
      </c>
      <c r="K23" s="16" t="s">
        <v>845</v>
      </c>
      <c r="L23" s="16" t="s">
        <v>845</v>
      </c>
      <c r="M23" s="16" t="s">
        <v>845</v>
      </c>
      <c r="N23" s="16" t="s">
        <v>845</v>
      </c>
      <c r="O23" s="16" t="s">
        <v>845</v>
      </c>
      <c r="P23" s="16" t="s">
        <v>845</v>
      </c>
      <c r="Q23" s="16" t="s">
        <v>845</v>
      </c>
      <c r="R23" s="16" t="s">
        <v>845</v>
      </c>
      <c r="S23" s="16" t="s">
        <v>845</v>
      </c>
      <c r="T23" s="16" t="s">
        <v>845</v>
      </c>
      <c r="U23" s="16" t="s">
        <v>845</v>
      </c>
      <c r="V23" s="16" t="s">
        <v>845</v>
      </c>
      <c r="W23" s="16" t="s">
        <v>845</v>
      </c>
      <c r="X23" s="16" t="s">
        <v>845</v>
      </c>
      <c r="Y23" s="16" t="s">
        <v>845</v>
      </c>
      <c r="Z23" s="16" t="s">
        <v>845</v>
      </c>
      <c r="AA23" s="16" t="s">
        <v>845</v>
      </c>
      <c r="AB23" s="16" t="s">
        <v>845</v>
      </c>
      <c r="AC23" s="16" t="s">
        <v>845</v>
      </c>
      <c r="AD23" s="16" t="s">
        <v>845</v>
      </c>
      <c r="AE23" s="16" t="s">
        <v>845</v>
      </c>
      <c r="AF23" s="16" t="s">
        <v>845</v>
      </c>
      <c r="AG23" s="16" t="s">
        <v>845</v>
      </c>
      <c r="AH23" s="16" t="s">
        <v>845</v>
      </c>
      <c r="AI23" s="16" t="s">
        <v>845</v>
      </c>
      <c r="AJ23" s="16" t="s">
        <v>845</v>
      </c>
      <c r="AK23" s="16" t="s">
        <v>845</v>
      </c>
      <c r="AL23" s="16" t="s">
        <v>845</v>
      </c>
      <c r="AM23" s="16" t="s">
        <v>845</v>
      </c>
      <c r="AN23" s="16" t="s">
        <v>845</v>
      </c>
      <c r="AO23" s="297">
        <v>274517</v>
      </c>
      <c r="AP23" s="297">
        <v>1684727</v>
      </c>
      <c r="AQ23" s="297">
        <v>1485419</v>
      </c>
      <c r="AR23" s="297">
        <v>2680866</v>
      </c>
      <c r="AS23" s="297">
        <v>2730366</v>
      </c>
      <c r="AT23" s="297">
        <v>2691537</v>
      </c>
      <c r="AU23" s="297">
        <v>2106391</v>
      </c>
      <c r="AV23" s="297">
        <v>1031406</v>
      </c>
      <c r="AW23" s="297">
        <v>3352811</v>
      </c>
      <c r="AX23" s="297">
        <v>2381383</v>
      </c>
      <c r="AY23" s="297">
        <v>3106395</v>
      </c>
      <c r="AZ23" s="297">
        <v>3078229</v>
      </c>
      <c r="BA23" s="296">
        <v>2344799</v>
      </c>
      <c r="BB23" s="27">
        <v>2957573</v>
      </c>
      <c r="BC23" s="16">
        <v>1959992</v>
      </c>
      <c r="BD23" s="16">
        <v>2846481</v>
      </c>
      <c r="BE23" s="16">
        <v>1238430</v>
      </c>
      <c r="BF23" s="16">
        <v>2924570</v>
      </c>
      <c r="BG23" s="16">
        <v>1107805</v>
      </c>
      <c r="BH23" s="16">
        <v>1521291</v>
      </c>
      <c r="BI23" s="16">
        <v>1574813</v>
      </c>
      <c r="BJ23" s="16">
        <v>2335925</v>
      </c>
      <c r="BK23" s="16">
        <v>2814527</v>
      </c>
      <c r="BL23" s="16">
        <v>3447823</v>
      </c>
      <c r="BM23" s="16">
        <v>2192179</v>
      </c>
      <c r="BN23" s="16">
        <v>2608350</v>
      </c>
      <c r="BO23" s="16">
        <v>1536497</v>
      </c>
      <c r="BP23" s="16">
        <v>3277055</v>
      </c>
      <c r="BQ23" s="16">
        <v>3061680</v>
      </c>
      <c r="BR23" s="16">
        <v>2258927</v>
      </c>
      <c r="BS23" s="16">
        <v>2080667</v>
      </c>
      <c r="BT23" s="16">
        <v>1770040</v>
      </c>
      <c r="BU23" s="16">
        <v>1709035</v>
      </c>
      <c r="BV23" s="16">
        <v>2116328</v>
      </c>
      <c r="BW23" s="16">
        <v>1710435</v>
      </c>
      <c r="BX23" s="16">
        <v>2351081</v>
      </c>
      <c r="BY23" s="16">
        <v>1449799</v>
      </c>
      <c r="BZ23" s="16">
        <v>1590420</v>
      </c>
      <c r="CA23" s="16">
        <v>1859293</v>
      </c>
      <c r="CB23" s="16">
        <v>3816962</v>
      </c>
      <c r="CC23" s="16">
        <v>2663267</v>
      </c>
      <c r="CD23" s="16">
        <v>3275282</v>
      </c>
      <c r="CE23" s="16">
        <v>2256698</v>
      </c>
      <c r="CF23" s="16">
        <v>2030907</v>
      </c>
      <c r="CG23" s="16">
        <v>1683027</v>
      </c>
      <c r="CH23" s="16">
        <v>1776016</v>
      </c>
      <c r="CI23" s="16">
        <v>3653244</v>
      </c>
      <c r="CJ23" s="16">
        <v>2390841</v>
      </c>
      <c r="CK23" s="16">
        <v>2114222</v>
      </c>
      <c r="CL23" s="16">
        <v>1320624</v>
      </c>
      <c r="CM23" s="16">
        <v>1075603</v>
      </c>
      <c r="CN23" s="16">
        <v>2918562</v>
      </c>
      <c r="CO23" s="16">
        <v>1774149</v>
      </c>
      <c r="CP23" s="16">
        <v>2462883</v>
      </c>
      <c r="CQ23" s="16">
        <v>2611044</v>
      </c>
      <c r="CR23" s="16">
        <v>1898573</v>
      </c>
      <c r="CS23" s="16">
        <v>2007936</v>
      </c>
      <c r="CT23" s="16">
        <v>2063935</v>
      </c>
      <c r="CU23" s="16">
        <v>2957636</v>
      </c>
      <c r="CV23" s="16">
        <v>1516616</v>
      </c>
      <c r="CW23" s="16">
        <v>1882060</v>
      </c>
      <c r="CX23" s="16">
        <v>1991570</v>
      </c>
      <c r="CY23" s="16">
        <v>1907058</v>
      </c>
      <c r="CZ23" s="16">
        <v>2118781</v>
      </c>
      <c r="DA23" s="16">
        <v>2338849</v>
      </c>
      <c r="DB23" s="16">
        <v>1551972</v>
      </c>
      <c r="DC23" s="16">
        <v>1548846</v>
      </c>
      <c r="DD23" s="16">
        <v>2272635</v>
      </c>
      <c r="DE23" s="16">
        <v>1671782</v>
      </c>
      <c r="DF23" s="16">
        <v>1739042</v>
      </c>
      <c r="DG23" s="16">
        <v>2817143</v>
      </c>
      <c r="DH23" s="16">
        <v>2571864</v>
      </c>
      <c r="DI23" s="16">
        <v>3094089</v>
      </c>
      <c r="DJ23" s="16">
        <v>2830948</v>
      </c>
      <c r="DK23" s="16">
        <v>2846020</v>
      </c>
      <c r="DL23" s="16">
        <v>2662391</v>
      </c>
      <c r="DM23" s="16">
        <v>2715951</v>
      </c>
      <c r="DN23" s="16">
        <v>2036121</v>
      </c>
      <c r="DO23" s="16">
        <v>1396001</v>
      </c>
      <c r="DP23" s="16">
        <v>1258641</v>
      </c>
      <c r="DQ23" s="16">
        <v>1342070</v>
      </c>
      <c r="DR23" s="16">
        <v>2523675</v>
      </c>
      <c r="DS23" s="16">
        <v>2569201</v>
      </c>
      <c r="DT23" s="16">
        <v>2048000</v>
      </c>
      <c r="DU23" s="16">
        <v>2639396</v>
      </c>
      <c r="DV23" s="16">
        <v>1917065</v>
      </c>
      <c r="DW23" s="16">
        <v>2001601</v>
      </c>
      <c r="DX23" s="16">
        <v>1886017</v>
      </c>
      <c r="DY23" s="16">
        <v>1566233</v>
      </c>
      <c r="DZ23" s="16">
        <v>2536665</v>
      </c>
      <c r="EA23" s="16">
        <v>2738826</v>
      </c>
      <c r="EB23" s="16">
        <v>1371161</v>
      </c>
      <c r="EC23" s="16">
        <v>2050572</v>
      </c>
      <c r="ED23" s="16">
        <v>2211573</v>
      </c>
      <c r="EE23" s="16">
        <v>2986157</v>
      </c>
      <c r="EF23" s="16">
        <v>1927685</v>
      </c>
      <c r="EG23" s="16">
        <v>2500171</v>
      </c>
      <c r="EH23" s="16">
        <v>2203646</v>
      </c>
      <c r="EI23" s="16">
        <v>2237513</v>
      </c>
      <c r="EJ23" s="16">
        <v>2941918</v>
      </c>
      <c r="EK23" s="16">
        <v>2640513</v>
      </c>
      <c r="EL23" s="16">
        <v>3503735</v>
      </c>
      <c r="EM23" s="16">
        <v>1956756</v>
      </c>
      <c r="EN23" s="16">
        <v>2517074</v>
      </c>
      <c r="EO23" s="16">
        <v>1535232</v>
      </c>
      <c r="EP23" s="16">
        <v>2157605</v>
      </c>
      <c r="EQ23" s="16">
        <v>2126817</v>
      </c>
      <c r="ER23" s="16">
        <v>2495580</v>
      </c>
      <c r="ES23" s="16">
        <v>2348055</v>
      </c>
      <c r="ET23" s="16">
        <v>2128517</v>
      </c>
      <c r="EU23" s="16">
        <v>1058300</v>
      </c>
      <c r="EV23" s="16">
        <v>3213446</v>
      </c>
      <c r="EW23" s="16">
        <v>2465672</v>
      </c>
      <c r="EX23" s="16">
        <v>2863367</v>
      </c>
      <c r="EY23" s="16">
        <v>1729578</v>
      </c>
      <c r="EZ23" s="16">
        <v>1832857</v>
      </c>
      <c r="FA23" s="16">
        <v>2055072</v>
      </c>
      <c r="FB23" s="16">
        <v>2462754</v>
      </c>
      <c r="FC23" s="16">
        <v>2149557</v>
      </c>
      <c r="FD23" s="16">
        <v>2527094</v>
      </c>
      <c r="FE23" s="16">
        <v>2424334.6669999999</v>
      </c>
      <c r="FF23" s="16">
        <v>1925064</v>
      </c>
      <c r="FG23" s="16">
        <v>2158025</v>
      </c>
      <c r="FH23" s="16">
        <v>2627612</v>
      </c>
      <c r="FI23" s="16">
        <v>2945367</v>
      </c>
      <c r="FJ23" s="16">
        <v>3505479</v>
      </c>
      <c r="FK23" s="16">
        <v>1548419</v>
      </c>
      <c r="FL23" s="16">
        <v>2179260</v>
      </c>
      <c r="FM23" s="16">
        <v>1897950</v>
      </c>
      <c r="FN23" s="16">
        <v>191040</v>
      </c>
      <c r="FO23" s="16">
        <v>1898990</v>
      </c>
      <c r="FP23" s="16">
        <v>1908460</v>
      </c>
      <c r="FQ23" s="16">
        <v>2983160</v>
      </c>
      <c r="FR23" s="40">
        <f>_xll.LVCELL($D$2,FR$15,$B23,$D$5,$D$6,$D$7,$D$8,$D$9,$D$10,$D$11)</f>
        <v>2227340</v>
      </c>
      <c r="FS23" s="40">
        <f>_xll.LVCELL($D$2,FS$15,$B23,$D$5,$D$6,$D$7,$D$8,$D$9,$D$10,$D$11)</f>
        <v>2839000</v>
      </c>
      <c r="FT23" s="40">
        <f>_xll.LVCELL($D$2,FT$15,$B23,$D$5,$D$6,$D$7,$D$8,$D$9,$D$10,$D$11)</f>
        <v>2771870</v>
      </c>
      <c r="FU23" s="40">
        <f>_xll.LVCELL($D$2,FU$15,$B23,$D$5,$D$6,$D$7,$D$8,$D$9,$D$10,$D$11)</f>
        <v>3087500</v>
      </c>
      <c r="FV23" s="40">
        <f>_xll.LVCELL($D$2,FV$15,$B23,$D$5,$D$6,$D$7,$D$8,$D$9,$D$10,$D$11)</f>
        <v>2064430</v>
      </c>
      <c r="FW23" s="40">
        <f>_xll.LVCELL($D$2,FW$15,$B23,$D$5,$D$6,$D$7,$D$8,$D$9,$D$10,$D$11)</f>
        <v>954090</v>
      </c>
      <c r="FX23" s="40">
        <f>_xll.LVCELL($D$2,FX$15,$B23,$D$5,$D$6,$D$7,$D$8,$D$9,$D$10,$D$11)</f>
        <v>2169105.67</v>
      </c>
      <c r="FY23" s="40">
        <f>_xll.LVCELL($D$2,FY$15,$B23,$D$5,$D$6,$D$7,$D$8,$D$9,$D$10,$D$11)</f>
        <v>1806769</v>
      </c>
      <c r="FZ23" s="40">
        <f>_xll.LVCELL($D$2,FZ$15,$B23,$D$5,$D$6,$D$7,$D$8,$D$9,$D$10,$D$11)</f>
        <v>1843670.67</v>
      </c>
      <c r="GA23" s="40">
        <f>_xll.LVCELL($D$2,GA$15,$B23,$D$5,$D$6,$D$7,$D$8,$D$9,$D$10,$D$11)</f>
        <v>2933928</v>
      </c>
      <c r="GB23" s="40">
        <f>_xll.LVCELL($D$2,GB$15,$B23,$D$5,$D$6,$D$7,$D$8,$D$9,$D$10,$D$11)</f>
        <v>3159412</v>
      </c>
      <c r="GC23" s="40">
        <f>_xll.LVCELL($D$2,GC$15,$B23,$D$5,$D$6,$D$7,$D$8,$D$9,$D$10,$D$11)</f>
        <v>2149852</v>
      </c>
      <c r="GD23" s="25">
        <f>_xll.LVCELL($D$2,GD$15,$B23,$D$5,$D$6,$D$7,$D$8,$D$9,$D$10,$D$11)</f>
        <v>3286310</v>
      </c>
      <c r="GE23" s="25">
        <f>_xll.LVCELL($D$2,GE$15,$B23,$D$5,$D$6,$D$7,$D$8,$D$9,$D$10,$D$11)</f>
        <v>1322276</v>
      </c>
      <c r="GF23" s="25">
        <f>_xll.LVCELL($D$2,GF$15,$B23,$D$5,$D$6,$D$7,$D$8,$D$9,$D$10,$D$11)</f>
        <v>2513064</v>
      </c>
      <c r="GG23" s="25">
        <f>_xll.LVCELL($D$2,GG$15,$B23,$D$5,$D$6,$D$7,$D$8,$D$9,$D$10,$D$11)</f>
        <v>2300000</v>
      </c>
      <c r="GH23" s="25">
        <f>_xll.LVCELL($D$2,GH$15,$B23,$D$5,$D$6,$D$7,$D$8,$D$9,$D$10,$D$11)</f>
        <v>1803081</v>
      </c>
      <c r="GI23" s="25">
        <f>_xll.LVCELL($D$2,GI$15,$B23,$D$5,$D$6,$D$7,$D$8,$D$9,$D$10,$D$11)</f>
        <v>1348679</v>
      </c>
      <c r="GJ23" s="25">
        <f>_xll.LVCELL($D$2,GJ$15,$B23,$D$5,$D$6,$D$7,$D$8,$D$9,$D$10,$D$11)</f>
        <v>1247976</v>
      </c>
      <c r="GK23" s="25">
        <f>_xll.LVCELL($D$2,GK$15,$B23,$D$5,$D$6,$D$7,$D$8,$D$9,$D$10,$D$11)</f>
        <v>1750672</v>
      </c>
      <c r="GL23" s="25">
        <f>_xll.LVCELL($D$2,GL$15,$B23,$D$5,$D$6,$D$7,$D$8,$D$9,$D$10,$D$11)</f>
        <v>1420644</v>
      </c>
      <c r="GM23" s="25">
        <f>_xll.LVCELL($D$2,GM$15,$B23,$D$5,$D$6,$D$7,$D$8,$D$9,$D$10,$D$11)</f>
        <v>3109647</v>
      </c>
      <c r="GN23" s="25">
        <f>_xll.LVCELL($D$2,GN$15,$B23,$D$5,$D$6,$D$7,$D$8,$D$9,$D$10,$D$11)</f>
        <v>2596683</v>
      </c>
      <c r="GO23" s="25">
        <f>_xll.LVCELL($D$2,GO$15,$B23,$D$5,$D$6,$D$7,$D$8,$D$9,$D$10,$D$11)</f>
        <v>2470005</v>
      </c>
      <c r="GP23" s="25">
        <f>_xll.LVCELL($D$2,GP$15,$B23,$D$5,$D$6,$D$7,$D$8,$D$9,$D$10,$D$11)</f>
        <v>1688480</v>
      </c>
      <c r="GQ23" s="25">
        <f>_xll.LVCELL($D$2,GQ$15,$B23,$D$5,$D$6,$D$7,$D$8,$D$9,$D$10,$D$11)</f>
        <v>2258692</v>
      </c>
      <c r="GR23" s="25">
        <f>_xll.LVCELL($D$2,GR$15,$B23,$D$5,$D$6,$D$7,$D$8,$D$9,$D$10,$D$11)</f>
        <v>3253584</v>
      </c>
      <c r="GS23" s="25">
        <f>_xll.LVCELL($D$2,GS$15,$B23,$D$5,$D$6,$D$7,$D$8,$D$9,$D$10,$D$11)</f>
        <v>2866396</v>
      </c>
      <c r="GT23" s="25">
        <f>_xll.LVCELL($D$2,GT$15,$B23,$D$5,$D$6,$D$7,$D$8,$D$9,$D$10,$D$11)</f>
        <v>3286162</v>
      </c>
      <c r="GU23" s="25">
        <f>_xll.LVCELL($D$2,GU$15,$B23,$D$5,$D$6,$D$7,$D$8,$D$9,$D$10,$D$11)</f>
        <v>1601491</v>
      </c>
      <c r="GV23" s="25">
        <f>_xll.LVCELL($D$2,GV$15,$B23,$D$5,$D$6,$D$7,$D$8,$D$9,$D$10,$D$11)</f>
        <v>1511865</v>
      </c>
      <c r="GW23" s="25">
        <f>_xll.LVCELL($D$2,GW$15,$B23,$D$5,$D$6,$D$7,$D$8,$D$9,$D$10,$D$11)</f>
        <v>1348829</v>
      </c>
      <c r="GX23" s="25">
        <f>_xll.LVCELL($D$2,GX$15,$B23,$D$5,$D$6,$D$7,$D$8,$D$9,$D$10,$D$11)</f>
        <v>1639292</v>
      </c>
      <c r="GY23" s="25">
        <f>_xll.LVCELL($D$2,GY$15,$B23,$D$5,$D$6,$D$7,$D$8,$D$9,$D$10,$D$11)</f>
        <v>3031402</v>
      </c>
      <c r="GZ23" s="25">
        <f>_xll.LVCELL($D$2,GZ$15,$B23,$D$5,$D$6,$D$7,$D$8,$D$9,$D$10,$D$11)</f>
        <v>2076865</v>
      </c>
      <c r="HA23" s="25">
        <f>_xll.LVCELL($D$2,HA$15,$B23,$D$5,$D$6,$D$7,$D$8,$D$9,$D$10,$D$11)</f>
        <v>2962740</v>
      </c>
      <c r="HB23" s="25">
        <f>_xll.LVCELL($D$2,HB$15,$B23,$D$5,$D$6,$D$7,$D$8,$D$9,$D$10,$D$11)</f>
        <v>2771630</v>
      </c>
      <c r="HC23" s="25">
        <f>_xll.LVCELL($D$2,HC$15,$B23,$D$5,$D$6,$D$7,$D$8,$D$9,$D$10,$D$11)</f>
        <v>3279936</v>
      </c>
      <c r="HD23" s="25">
        <f>_xll.LVCELL($D$2,HD$15,$B23,$D$5,$D$6,$D$7,$D$8,$D$9,$D$10,$D$11)</f>
        <v>2055130</v>
      </c>
      <c r="HE23" s="25">
        <f>_xll.LVCELL($D$2,HE$15,$B23,$D$5,$D$6,$D$7,$D$8,$D$9,$D$10,$D$11)</f>
        <v>1198934</v>
      </c>
      <c r="HF23" s="25">
        <f>_xll.LVCELL($D$2,HF$15,$B23,$D$5,$D$6,$D$7,$D$8,$D$9,$D$10,$D$11)</f>
        <v>0</v>
      </c>
      <c r="HG23" s="25">
        <f>_xll.LVCELL($D$2,HG$15,$B23,$D$5,$D$6,$D$7,$D$8,$D$9,$D$10,$D$11)</f>
        <v>0</v>
      </c>
      <c r="HH23" s="25">
        <f>_xll.LVCELL($D$2,HH$15,$B23,$D$5,$D$6,$D$7,$D$8,$D$9,$D$10,$D$11)</f>
        <v>0</v>
      </c>
      <c r="HI23" s="25">
        <f>_xll.LVCELL($D$2,HI$15,$B23,$D$5,$D$6,$D$7,$D$8,$D$9,$D$10,$D$11)</f>
        <v>0</v>
      </c>
      <c r="HJ23" s="25">
        <f>_xll.LVCELL($D$2,HJ$15,$B23,$D$5,$D$6,$D$7,$D$8,$D$9,$D$10,$D$11)</f>
        <v>0</v>
      </c>
      <c r="HK23" s="25">
        <f>_xll.LVCELL($D$2,HK$15,$B23,$D$5,$D$6,$D$7,$D$8,$D$9,$D$10,$D$11)</f>
        <v>0</v>
      </c>
      <c r="HL23" s="25">
        <f>_xll.LVCELL($D$2,HL$15,$B23,$D$5,$D$6,$D$7,$D$8,$D$9,$D$10,$D$11)</f>
        <v>0</v>
      </c>
      <c r="HM23" s="25">
        <f>_xll.LVCELL($D$2,HM$15,$B23,$D$5,$D$6,$D$7,$D$8,$D$9,$D$10,$D$11)</f>
        <v>0</v>
      </c>
    </row>
    <row r="24" spans="1:221">
      <c r="A24" t="s">
        <v>90</v>
      </c>
      <c r="B24" t="s">
        <v>254</v>
      </c>
      <c r="D24" s="10" t="s">
        <v>811</v>
      </c>
      <c r="E24" s="19"/>
      <c r="F24" s="16" t="s">
        <v>845</v>
      </c>
      <c r="G24" s="16" t="s">
        <v>845</v>
      </c>
      <c r="H24" s="16" t="s">
        <v>845</v>
      </c>
      <c r="I24" s="16" t="s">
        <v>845</v>
      </c>
      <c r="J24" s="16" t="s">
        <v>845</v>
      </c>
      <c r="K24" s="16" t="s">
        <v>845</v>
      </c>
      <c r="L24" s="16" t="s">
        <v>845</v>
      </c>
      <c r="M24" s="16" t="s">
        <v>845</v>
      </c>
      <c r="N24" s="16" t="s">
        <v>845</v>
      </c>
      <c r="O24" s="16" t="s">
        <v>845</v>
      </c>
      <c r="P24" s="16" t="s">
        <v>845</v>
      </c>
      <c r="Q24" s="16" t="s">
        <v>845</v>
      </c>
      <c r="R24" s="16" t="s">
        <v>845</v>
      </c>
      <c r="S24" s="16" t="s">
        <v>845</v>
      </c>
      <c r="T24" s="16" t="s">
        <v>845</v>
      </c>
      <c r="U24" s="16" t="s">
        <v>845</v>
      </c>
      <c r="V24" s="16" t="s">
        <v>845</v>
      </c>
      <c r="W24" s="16" t="s">
        <v>845</v>
      </c>
      <c r="X24" s="16" t="s">
        <v>845</v>
      </c>
      <c r="Y24" s="16" t="s">
        <v>845</v>
      </c>
      <c r="Z24" s="16" t="s">
        <v>845</v>
      </c>
      <c r="AA24" s="16" t="s">
        <v>845</v>
      </c>
      <c r="AB24" s="16" t="s">
        <v>845</v>
      </c>
      <c r="AC24" s="16" t="s">
        <v>845</v>
      </c>
      <c r="AD24" s="16" t="s">
        <v>845</v>
      </c>
      <c r="AE24" s="16" t="s">
        <v>845</v>
      </c>
      <c r="AF24" s="16" t="s">
        <v>845</v>
      </c>
      <c r="AG24" s="16" t="s">
        <v>845</v>
      </c>
      <c r="AH24" s="16" t="s">
        <v>845</v>
      </c>
      <c r="AI24" s="16" t="s">
        <v>845</v>
      </c>
      <c r="AJ24" s="16" t="s">
        <v>845</v>
      </c>
      <c r="AK24" s="16" t="s">
        <v>845</v>
      </c>
      <c r="AL24" s="16" t="s">
        <v>845</v>
      </c>
      <c r="AM24" s="16" t="s">
        <v>845</v>
      </c>
      <c r="AN24" s="16" t="s">
        <v>845</v>
      </c>
      <c r="AO24" s="16" t="s">
        <v>845</v>
      </c>
      <c r="AP24" s="16" t="s">
        <v>845</v>
      </c>
      <c r="AQ24" s="16" t="s">
        <v>845</v>
      </c>
      <c r="AR24" s="16" t="s">
        <v>845</v>
      </c>
      <c r="AS24" s="16" t="s">
        <v>845</v>
      </c>
      <c r="AT24" s="16" t="s">
        <v>845</v>
      </c>
      <c r="AU24" s="16" t="s">
        <v>845</v>
      </c>
      <c r="AV24" s="16" t="s">
        <v>845</v>
      </c>
      <c r="AW24" s="16" t="s">
        <v>845</v>
      </c>
      <c r="AX24" s="16" t="s">
        <v>845</v>
      </c>
      <c r="AY24" s="16" t="s">
        <v>845</v>
      </c>
      <c r="AZ24" s="16" t="s">
        <v>845</v>
      </c>
      <c r="BA24" s="16" t="s">
        <v>845</v>
      </c>
      <c r="BB24" s="27">
        <v>5351769</v>
      </c>
      <c r="BC24" s="16">
        <v>3663971</v>
      </c>
      <c r="BD24" s="16">
        <v>5300724</v>
      </c>
      <c r="BE24" s="16">
        <v>2440357</v>
      </c>
      <c r="BF24" s="16">
        <v>6030786</v>
      </c>
      <c r="BG24" s="16">
        <v>2206078</v>
      </c>
      <c r="BH24" s="16">
        <v>3300550</v>
      </c>
      <c r="BI24" s="16">
        <v>3596445</v>
      </c>
      <c r="BJ24" s="16">
        <v>5362031</v>
      </c>
      <c r="BK24" s="16">
        <v>5632128</v>
      </c>
      <c r="BL24" s="16">
        <v>6317673</v>
      </c>
      <c r="BM24" s="16">
        <v>4367009</v>
      </c>
      <c r="BN24" s="16">
        <v>5263278</v>
      </c>
      <c r="BO24" s="16">
        <v>3055238</v>
      </c>
      <c r="BP24" s="16">
        <v>6833931</v>
      </c>
      <c r="BQ24" s="16">
        <v>5900604</v>
      </c>
      <c r="BR24" s="16">
        <v>4467355</v>
      </c>
      <c r="BS24" s="16">
        <v>4299780</v>
      </c>
      <c r="BT24" s="16">
        <v>3495520</v>
      </c>
      <c r="BU24" s="16">
        <v>3602250</v>
      </c>
      <c r="BV24" s="16">
        <v>4259976</v>
      </c>
      <c r="BW24" s="16">
        <v>3503480</v>
      </c>
      <c r="BX24" s="16">
        <v>4542021</v>
      </c>
      <c r="BY24" s="16">
        <v>2873400</v>
      </c>
      <c r="BZ24" s="16">
        <v>3232103</v>
      </c>
      <c r="CA24" s="16">
        <v>3777875</v>
      </c>
      <c r="CB24" s="16">
        <v>7897076</v>
      </c>
      <c r="CC24" s="16">
        <v>5307428</v>
      </c>
      <c r="CD24" s="16">
        <v>6324400</v>
      </c>
      <c r="CE24" s="16">
        <v>4541577</v>
      </c>
      <c r="CF24" s="16">
        <v>4070876</v>
      </c>
      <c r="CG24" s="16">
        <v>3446121</v>
      </c>
      <c r="CH24" s="16">
        <v>3485841</v>
      </c>
      <c r="CI24" s="16">
        <v>7225896</v>
      </c>
      <c r="CJ24" s="16">
        <v>4714068</v>
      </c>
      <c r="CK24" s="16">
        <v>4346950</v>
      </c>
      <c r="CL24" s="16">
        <v>2798682</v>
      </c>
      <c r="CM24" s="16">
        <v>2277698</v>
      </c>
      <c r="CN24" s="16">
        <v>5892519</v>
      </c>
      <c r="CO24" s="16">
        <v>3531849</v>
      </c>
      <c r="CP24" s="16">
        <v>4921716</v>
      </c>
      <c r="CQ24" s="16">
        <v>5188486</v>
      </c>
      <c r="CR24" s="16">
        <v>4197111</v>
      </c>
      <c r="CS24" s="16">
        <v>4266693</v>
      </c>
      <c r="CT24" s="16">
        <v>4173863.9999999995</v>
      </c>
      <c r="CU24" s="16">
        <v>5299564</v>
      </c>
      <c r="CV24" s="16">
        <v>3092203</v>
      </c>
      <c r="CW24" s="16">
        <v>3726661</v>
      </c>
      <c r="CX24" s="16">
        <v>4086177</v>
      </c>
      <c r="CY24" s="16">
        <v>3787034</v>
      </c>
      <c r="CZ24" s="16">
        <v>4225447</v>
      </c>
      <c r="DA24" s="16">
        <v>4963119</v>
      </c>
      <c r="DB24" s="16">
        <v>3542432</v>
      </c>
      <c r="DC24" s="16">
        <v>3577198</v>
      </c>
      <c r="DD24" s="16">
        <v>4764657</v>
      </c>
      <c r="DE24" s="16">
        <v>3373521</v>
      </c>
      <c r="DF24" s="16">
        <v>3475487</v>
      </c>
      <c r="DG24" s="16">
        <v>5765001</v>
      </c>
      <c r="DH24" s="16">
        <v>5260269</v>
      </c>
      <c r="DI24" s="16">
        <v>6616352</v>
      </c>
      <c r="DJ24" s="16">
        <v>6045184</v>
      </c>
      <c r="DK24" s="16">
        <v>5671946</v>
      </c>
      <c r="DL24" s="16">
        <v>5401344</v>
      </c>
      <c r="DM24" s="16">
        <v>5432741</v>
      </c>
      <c r="DN24" s="16">
        <v>4035301</v>
      </c>
      <c r="DO24" s="16">
        <v>3157915</v>
      </c>
      <c r="DP24" s="16">
        <v>2998516</v>
      </c>
      <c r="DQ24" s="16">
        <v>2930310</v>
      </c>
      <c r="DR24" s="16">
        <v>4999042</v>
      </c>
      <c r="DS24" s="16">
        <v>5147894</v>
      </c>
      <c r="DT24" s="16">
        <v>3941792</v>
      </c>
      <c r="DU24" s="16">
        <v>5317316</v>
      </c>
      <c r="DV24" s="16">
        <v>4044725</v>
      </c>
      <c r="DW24" s="16">
        <v>4233731</v>
      </c>
      <c r="DX24" s="16">
        <v>3766326</v>
      </c>
      <c r="DY24" s="16">
        <v>3158415</v>
      </c>
      <c r="DZ24" s="16">
        <v>5269867</v>
      </c>
      <c r="EA24" s="16">
        <v>5859016</v>
      </c>
      <c r="EB24" s="16">
        <v>2855156</v>
      </c>
      <c r="EC24" s="16">
        <v>4205404</v>
      </c>
      <c r="ED24" s="16">
        <v>4652846</v>
      </c>
      <c r="EE24" s="16">
        <v>6138712</v>
      </c>
      <c r="EF24" s="16">
        <v>3938938</v>
      </c>
      <c r="EG24" s="16">
        <v>5073554</v>
      </c>
      <c r="EH24" s="16">
        <v>4581873</v>
      </c>
      <c r="EI24" s="16">
        <v>4611012</v>
      </c>
      <c r="EJ24" s="16">
        <v>5948251</v>
      </c>
      <c r="EK24" s="16">
        <v>5430716</v>
      </c>
      <c r="EL24" s="16">
        <v>6951368</v>
      </c>
      <c r="EM24" s="16">
        <v>3955784</v>
      </c>
      <c r="EN24" s="16">
        <v>5389184</v>
      </c>
      <c r="EO24" s="16">
        <v>3261801</v>
      </c>
      <c r="EP24" s="16">
        <v>4291840</v>
      </c>
      <c r="EQ24" s="16">
        <v>4209225</v>
      </c>
      <c r="ER24" s="16">
        <v>5116079</v>
      </c>
      <c r="ES24" s="16">
        <v>4990143</v>
      </c>
      <c r="ET24" s="16">
        <v>4432141</v>
      </c>
      <c r="EU24" s="16">
        <v>2291021</v>
      </c>
      <c r="EV24" s="16">
        <v>6519153</v>
      </c>
      <c r="EW24" s="16">
        <v>4856065</v>
      </c>
      <c r="EX24" s="16">
        <v>5853221</v>
      </c>
      <c r="EY24" s="16">
        <v>3552736</v>
      </c>
      <c r="EZ24" s="16">
        <v>3652741</v>
      </c>
      <c r="FA24" s="16">
        <v>4066374</v>
      </c>
      <c r="FB24" s="16">
        <v>5072521</v>
      </c>
      <c r="FC24" s="16">
        <v>4392985</v>
      </c>
      <c r="FD24" s="16">
        <v>5571288</v>
      </c>
      <c r="FE24" s="16">
        <v>4642230</v>
      </c>
      <c r="FF24" s="16">
        <v>3957880</v>
      </c>
      <c r="FG24" s="16">
        <v>4465369</v>
      </c>
      <c r="FH24" s="16">
        <v>4824338</v>
      </c>
      <c r="FI24" s="16">
        <v>5908302</v>
      </c>
      <c r="FJ24" s="16">
        <v>7062070</v>
      </c>
      <c r="FK24" s="16">
        <v>3301951</v>
      </c>
      <c r="FL24" s="16">
        <v>4442810</v>
      </c>
      <c r="FM24" s="16">
        <v>3937950</v>
      </c>
      <c r="FN24" s="16">
        <v>362230</v>
      </c>
      <c r="FO24" s="16">
        <v>3897250</v>
      </c>
      <c r="FP24" s="16">
        <v>3900530</v>
      </c>
      <c r="FQ24" s="16">
        <v>5737660</v>
      </c>
      <c r="FR24" s="40">
        <f>_xll.LVCELL($D$2,FR$15,$B24,$D$5,$D$6,$D$7,$D$8,$D$9,$D$10,$D$11)</f>
        <v>0</v>
      </c>
      <c r="FS24" s="40">
        <f>_xll.LVCELL($D$2,FS$15,$B24,$D$5,$D$6,$D$7,$D$8,$D$9,$D$10,$D$11)</f>
        <v>0</v>
      </c>
      <c r="FT24" s="40">
        <f>_xll.LVCELL($D$2,FT$15,$B24,$D$5,$D$6,$D$7,$D$8,$D$9,$D$10,$D$11)</f>
        <v>0</v>
      </c>
      <c r="FU24" s="40">
        <f>_xll.LVCELL($D$2,FU$15,$B24,$D$5,$D$6,$D$7,$D$8,$D$9,$D$10,$D$11)</f>
        <v>0</v>
      </c>
      <c r="FV24" s="40">
        <f>_xll.LVCELL($D$2,FV$15,$B24,$D$5,$D$6,$D$7,$D$8,$D$9,$D$10,$D$11)</f>
        <v>0</v>
      </c>
      <c r="FW24" s="40">
        <f>_xll.LVCELL($D$2,FW$15,$B24,$D$5,$D$6,$D$7,$D$8,$D$9,$D$10,$D$11)</f>
        <v>0</v>
      </c>
      <c r="FX24" s="40">
        <f>_xll.LVCELL($D$2,FX$15,$B24,$D$5,$D$6,$D$7,$D$8,$D$9,$D$10,$D$11)</f>
        <v>0</v>
      </c>
      <c r="FY24" s="40">
        <f>_xll.LVCELL($D$2,FY$15,$B24,$D$5,$D$6,$D$7,$D$8,$D$9,$D$10,$D$11)</f>
        <v>0</v>
      </c>
      <c r="FZ24" s="40">
        <f>_xll.LVCELL($D$2,FZ$15,$B24,$D$5,$D$6,$D$7,$D$8,$D$9,$D$10,$D$11)</f>
        <v>0</v>
      </c>
      <c r="GA24" s="40">
        <f>_xll.LVCELL($D$2,GA$15,$B24,$D$5,$D$6,$D$7,$D$8,$D$9,$D$10,$D$11)</f>
        <v>0</v>
      </c>
      <c r="GB24" s="40">
        <f>_xll.LVCELL($D$2,GB$15,$B24,$D$5,$D$6,$D$7,$D$8,$D$9,$D$10,$D$11)</f>
        <v>0</v>
      </c>
      <c r="GC24" s="40">
        <f>_xll.LVCELL($D$2,GC$15,$B24,$D$5,$D$6,$D$7,$D$8,$D$9,$D$10,$D$11)</f>
        <v>0</v>
      </c>
      <c r="GD24" s="25">
        <f>_xll.LVCELL($D$2,GD$15,$B24,$D$5,$D$6,$D$7,$D$8,$D$9,$D$10,$D$11)</f>
        <v>0</v>
      </c>
      <c r="GE24" s="25">
        <f>_xll.LVCELL($D$2,GE$15,$B24,$D$5,$D$6,$D$7,$D$8,$D$9,$D$10,$D$11)</f>
        <v>0</v>
      </c>
      <c r="GF24" s="25">
        <f>_xll.LVCELL($D$2,GF$15,$B24,$D$5,$D$6,$D$7,$D$8,$D$9,$D$10,$D$11)</f>
        <v>0</v>
      </c>
      <c r="GG24" s="25">
        <f>_xll.LVCELL($D$2,GG$15,$B24,$D$5,$D$6,$D$7,$D$8,$D$9,$D$10,$D$11)</f>
        <v>0</v>
      </c>
      <c r="GH24" s="25">
        <f>_xll.LVCELL($D$2,GH$15,$B24,$D$5,$D$6,$D$7,$D$8,$D$9,$D$10,$D$11)</f>
        <v>0</v>
      </c>
      <c r="GI24" s="25">
        <f>_xll.LVCELL($D$2,GI$15,$B24,$D$5,$D$6,$D$7,$D$8,$D$9,$D$10,$D$11)</f>
        <v>0</v>
      </c>
      <c r="GJ24" s="25">
        <f>_xll.LVCELL($D$2,GJ$15,$B24,$D$5,$D$6,$D$7,$D$8,$D$9,$D$10,$D$11)</f>
        <v>0</v>
      </c>
      <c r="GK24" s="25">
        <f>_xll.LVCELL($D$2,GK$15,$B24,$D$5,$D$6,$D$7,$D$8,$D$9,$D$10,$D$11)</f>
        <v>0</v>
      </c>
      <c r="GL24" s="25">
        <f>_xll.LVCELL($D$2,GL$15,$B24,$D$5,$D$6,$D$7,$D$8,$D$9,$D$10,$D$11)</f>
        <v>0</v>
      </c>
      <c r="GM24" s="25">
        <f>_xll.LVCELL($D$2,GM$15,$B24,$D$5,$D$6,$D$7,$D$8,$D$9,$D$10,$D$11)</f>
        <v>0</v>
      </c>
      <c r="GN24" s="25">
        <f>_xll.LVCELL($D$2,GN$15,$B24,$D$5,$D$6,$D$7,$D$8,$D$9,$D$10,$D$11)</f>
        <v>0</v>
      </c>
      <c r="GO24" s="25">
        <f>_xll.LVCELL($D$2,GO$15,$B24,$D$5,$D$6,$D$7,$D$8,$D$9,$D$10,$D$11)</f>
        <v>0</v>
      </c>
      <c r="GP24" s="25">
        <f>_xll.LVCELL($D$2,GP$15,$B24,$D$5,$D$6,$D$7,$D$8,$D$9,$D$10,$D$11)</f>
        <v>0</v>
      </c>
      <c r="GQ24" s="25">
        <f>_xll.LVCELL($D$2,GQ$15,$B24,$D$5,$D$6,$D$7,$D$8,$D$9,$D$10,$D$11)</f>
        <v>0</v>
      </c>
      <c r="GR24" s="25">
        <f>_xll.LVCELL($D$2,GR$15,$B24,$D$5,$D$6,$D$7,$D$8,$D$9,$D$10,$D$11)</f>
        <v>0</v>
      </c>
      <c r="GS24" s="25">
        <f>_xll.LVCELL($D$2,GS$15,$B24,$D$5,$D$6,$D$7,$D$8,$D$9,$D$10,$D$11)</f>
        <v>0</v>
      </c>
      <c r="GT24" s="25">
        <f>_xll.LVCELL($D$2,GT$15,$B24,$D$5,$D$6,$D$7,$D$8,$D$9,$D$10,$D$11)</f>
        <v>0</v>
      </c>
      <c r="GU24" s="25">
        <f>_xll.LVCELL($D$2,GU$15,$B24,$D$5,$D$6,$D$7,$D$8,$D$9,$D$10,$D$11)</f>
        <v>0</v>
      </c>
      <c r="GV24" s="25">
        <f>_xll.LVCELL($D$2,GV$15,$B24,$D$5,$D$6,$D$7,$D$8,$D$9,$D$10,$D$11)</f>
        <v>0</v>
      </c>
      <c r="GW24" s="25">
        <f>_xll.LVCELL($D$2,GW$15,$B24,$D$5,$D$6,$D$7,$D$8,$D$9,$D$10,$D$11)</f>
        <v>0</v>
      </c>
      <c r="GX24" s="25">
        <f>_xll.LVCELL($D$2,GX$15,$B24,$D$5,$D$6,$D$7,$D$8,$D$9,$D$10,$D$11)</f>
        <v>0</v>
      </c>
      <c r="GY24" s="25">
        <f>_xll.LVCELL($D$2,GY$15,$B24,$D$5,$D$6,$D$7,$D$8,$D$9,$D$10,$D$11)</f>
        <v>0</v>
      </c>
      <c r="GZ24" s="25">
        <f>_xll.LVCELL($D$2,GZ$15,$B24,$D$5,$D$6,$D$7,$D$8,$D$9,$D$10,$D$11)</f>
        <v>0</v>
      </c>
      <c r="HA24" s="25">
        <f>_xll.LVCELL($D$2,HA$15,$B24,$D$5,$D$6,$D$7,$D$8,$D$9,$D$10,$D$11)</f>
        <v>0</v>
      </c>
      <c r="HB24" s="25">
        <f>_xll.LVCELL($D$2,HB$15,$B24,$D$5,$D$6,$D$7,$D$8,$D$9,$D$10,$D$11)</f>
        <v>0</v>
      </c>
      <c r="HC24" s="25">
        <f>_xll.LVCELL($D$2,HC$15,$B24,$D$5,$D$6,$D$7,$D$8,$D$9,$D$10,$D$11)</f>
        <v>0</v>
      </c>
      <c r="HD24" s="25">
        <f>_xll.LVCELL($D$2,HD$15,$B24,$D$5,$D$6,$D$7,$D$8,$D$9,$D$10,$D$11)</f>
        <v>0</v>
      </c>
      <c r="HE24" s="25">
        <f>_xll.LVCELL($D$2,HE$15,$B24,$D$5,$D$6,$D$7,$D$8,$D$9,$D$10,$D$11)</f>
        <v>0</v>
      </c>
      <c r="HF24" s="25">
        <f>_xll.LVCELL($D$2,HF$15,$B24,$D$5,$D$6,$D$7,$D$8,$D$9,$D$10,$D$11)</f>
        <v>0</v>
      </c>
      <c r="HG24" s="25">
        <f>_xll.LVCELL($D$2,HG$15,$B24,$D$5,$D$6,$D$7,$D$8,$D$9,$D$10,$D$11)</f>
        <v>0</v>
      </c>
      <c r="HH24" s="25">
        <f>_xll.LVCELL($D$2,HH$15,$B24,$D$5,$D$6,$D$7,$D$8,$D$9,$D$10,$D$11)</f>
        <v>0</v>
      </c>
      <c r="HI24" s="25">
        <f>_xll.LVCELL($D$2,HI$15,$B24,$D$5,$D$6,$D$7,$D$8,$D$9,$D$10,$D$11)</f>
        <v>0</v>
      </c>
      <c r="HJ24" s="25">
        <f>_xll.LVCELL($D$2,HJ$15,$B24,$D$5,$D$6,$D$7,$D$8,$D$9,$D$10,$D$11)</f>
        <v>0</v>
      </c>
      <c r="HK24" s="25">
        <f>_xll.LVCELL($D$2,HK$15,$B24,$D$5,$D$6,$D$7,$D$8,$D$9,$D$10,$D$11)</f>
        <v>0</v>
      </c>
      <c r="HL24" s="25">
        <f>_xll.LVCELL($D$2,HL$15,$B24,$D$5,$D$6,$D$7,$D$8,$D$9,$D$10,$D$11)</f>
        <v>0</v>
      </c>
      <c r="HM24" s="25">
        <f>_xll.LVCELL($D$2,HM$15,$B24,$D$5,$D$6,$D$7,$D$8,$D$9,$D$10,$D$11)</f>
        <v>0</v>
      </c>
    </row>
    <row r="25" spans="1:221">
      <c r="A25" t="s">
        <v>206</v>
      </c>
      <c r="B25" t="s">
        <v>251</v>
      </c>
      <c r="D25" s="10" t="s">
        <v>288</v>
      </c>
      <c r="E25" s="19">
        <v>38748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>
        <v>1518376</v>
      </c>
      <c r="AQ25" s="16">
        <v>1466477</v>
      </c>
      <c r="AR25" s="16">
        <v>2699230</v>
      </c>
      <c r="AS25" s="16">
        <v>1120590</v>
      </c>
      <c r="AT25" s="16">
        <v>1497800</v>
      </c>
      <c r="AU25" s="16">
        <v>746975</v>
      </c>
      <c r="AV25" s="16">
        <v>793374</v>
      </c>
      <c r="AW25" s="16">
        <v>823769</v>
      </c>
      <c r="AX25" s="16">
        <v>1324409</v>
      </c>
      <c r="AY25" s="16">
        <v>1807503</v>
      </c>
      <c r="AZ25" s="16">
        <v>2343124</v>
      </c>
      <c r="BA25" s="16">
        <v>2814804</v>
      </c>
      <c r="BB25" s="27">
        <v>2867286</v>
      </c>
      <c r="BC25" s="16">
        <v>2322728</v>
      </c>
      <c r="BD25" s="16">
        <v>2020789</v>
      </c>
      <c r="BE25" s="16">
        <v>1070177</v>
      </c>
      <c r="BF25" s="16">
        <v>2036347</v>
      </c>
      <c r="BG25" s="16">
        <v>1338074</v>
      </c>
      <c r="BH25" s="16">
        <v>1583537</v>
      </c>
      <c r="BI25" s="16">
        <v>1379175</v>
      </c>
      <c r="BJ25" s="16">
        <v>842674</v>
      </c>
      <c r="BK25" s="16">
        <v>837499</v>
      </c>
      <c r="BL25" s="16">
        <v>985010</v>
      </c>
      <c r="BM25" s="16">
        <v>2597457</v>
      </c>
      <c r="BN25" s="16">
        <v>2388554</v>
      </c>
      <c r="BO25" s="16">
        <v>1536291</v>
      </c>
      <c r="BP25" s="16">
        <v>2751072</v>
      </c>
      <c r="BQ25" s="16">
        <v>870244</v>
      </c>
      <c r="BR25" s="16">
        <v>589102</v>
      </c>
      <c r="BS25" s="16">
        <v>765014</v>
      </c>
      <c r="BT25" s="16">
        <v>1504490</v>
      </c>
      <c r="BU25" s="16">
        <v>1454344</v>
      </c>
      <c r="BV25" s="16">
        <v>1502617</v>
      </c>
      <c r="BW25" s="16">
        <v>1447217</v>
      </c>
      <c r="BX25" s="16">
        <v>1837697</v>
      </c>
      <c r="BY25" s="16">
        <v>1758644</v>
      </c>
      <c r="BZ25" s="16">
        <v>1501627</v>
      </c>
      <c r="CA25" s="16">
        <v>950483</v>
      </c>
      <c r="CB25" s="16">
        <v>1687579</v>
      </c>
      <c r="CC25" s="16">
        <v>952239</v>
      </c>
      <c r="CD25" s="16">
        <v>1401968</v>
      </c>
      <c r="CE25" s="16">
        <v>696896</v>
      </c>
      <c r="CF25" s="16">
        <v>1576847</v>
      </c>
      <c r="CG25" s="16">
        <v>776733</v>
      </c>
      <c r="CH25" s="16">
        <v>1361316</v>
      </c>
      <c r="CI25" s="16">
        <v>1106448</v>
      </c>
      <c r="CJ25" s="16">
        <v>3494116</v>
      </c>
      <c r="CK25" s="16">
        <v>2067117.0000000002</v>
      </c>
      <c r="CL25" s="16">
        <v>1731665</v>
      </c>
      <c r="CM25" s="16">
        <v>1689516</v>
      </c>
      <c r="CN25" s="16">
        <v>2388715</v>
      </c>
      <c r="CO25" s="16">
        <v>1651973</v>
      </c>
      <c r="CP25" s="16">
        <v>1164652</v>
      </c>
      <c r="CQ25" s="16">
        <v>910891</v>
      </c>
      <c r="CR25" s="16">
        <v>880950</v>
      </c>
      <c r="CS25" s="16">
        <v>1152453</v>
      </c>
      <c r="CT25" s="16">
        <v>735789</v>
      </c>
      <c r="CU25" s="16">
        <v>1648452</v>
      </c>
      <c r="CV25" s="16">
        <v>1778402</v>
      </c>
      <c r="CW25" s="16">
        <v>1636252</v>
      </c>
      <c r="CX25" s="16">
        <v>2345437</v>
      </c>
      <c r="CY25" s="16">
        <v>1959606</v>
      </c>
      <c r="CZ25" s="16">
        <v>1319453</v>
      </c>
      <c r="DA25" s="16">
        <v>885975</v>
      </c>
      <c r="DB25" s="16">
        <v>973216</v>
      </c>
      <c r="DC25" s="16">
        <v>1509341</v>
      </c>
      <c r="DD25" s="16">
        <v>888497</v>
      </c>
      <c r="DE25" s="16">
        <v>612396</v>
      </c>
      <c r="DF25" s="16">
        <v>1376704</v>
      </c>
      <c r="DG25" s="16">
        <v>1090807</v>
      </c>
      <c r="DH25" s="16">
        <v>1236912</v>
      </c>
      <c r="DI25" s="16">
        <v>3019106</v>
      </c>
      <c r="DJ25" s="16">
        <v>1775318</v>
      </c>
      <c r="DK25" s="16">
        <v>845331</v>
      </c>
      <c r="DL25" s="16">
        <v>1077580</v>
      </c>
      <c r="DM25" s="16">
        <v>2294898</v>
      </c>
      <c r="DN25" s="16">
        <v>1157111</v>
      </c>
      <c r="DO25" s="16">
        <v>1715533</v>
      </c>
      <c r="DP25" s="16">
        <v>1079322</v>
      </c>
      <c r="DQ25" s="16">
        <v>1497936</v>
      </c>
      <c r="DR25" s="16">
        <v>806562</v>
      </c>
      <c r="DS25" s="16">
        <v>1546552</v>
      </c>
      <c r="DT25" s="16">
        <v>1735353</v>
      </c>
      <c r="DU25" s="16">
        <v>3195809</v>
      </c>
      <c r="DV25" s="16">
        <v>1985439</v>
      </c>
      <c r="DW25" s="16">
        <v>1872063</v>
      </c>
      <c r="DX25" s="16">
        <v>1809360</v>
      </c>
      <c r="DY25" s="16">
        <v>2290836</v>
      </c>
      <c r="DZ25" s="16">
        <v>1752885</v>
      </c>
      <c r="EA25" s="16">
        <v>1438387</v>
      </c>
      <c r="EB25" s="16">
        <v>1157218</v>
      </c>
      <c r="EC25" s="16">
        <v>681891</v>
      </c>
      <c r="ED25" s="16">
        <v>835194</v>
      </c>
      <c r="EE25" s="16">
        <v>2030181</v>
      </c>
      <c r="EF25" s="16">
        <v>2062413</v>
      </c>
      <c r="EG25" s="16">
        <v>2289693</v>
      </c>
      <c r="EH25" s="16">
        <v>2842746</v>
      </c>
      <c r="EI25" s="16">
        <v>2866427</v>
      </c>
      <c r="EJ25" s="16">
        <v>1535680</v>
      </c>
      <c r="EK25" s="16">
        <v>1324759</v>
      </c>
      <c r="EL25" s="16">
        <v>1307618</v>
      </c>
      <c r="EM25" s="16">
        <v>998056</v>
      </c>
      <c r="EN25" s="16">
        <v>612923</v>
      </c>
      <c r="EO25" s="16">
        <v>878113</v>
      </c>
      <c r="EP25" s="16">
        <v>517191.00000000006</v>
      </c>
      <c r="EQ25" s="16">
        <v>1693816</v>
      </c>
      <c r="ER25" s="16">
        <v>1572075</v>
      </c>
      <c r="ES25" s="16">
        <v>2189167</v>
      </c>
      <c r="ET25" s="16">
        <v>2685106</v>
      </c>
      <c r="EU25" s="16">
        <v>2065534.9999999998</v>
      </c>
      <c r="EV25" s="16">
        <v>2113200</v>
      </c>
      <c r="EW25" s="16">
        <v>1214565</v>
      </c>
      <c r="EX25" s="16">
        <v>1426506</v>
      </c>
      <c r="EY25" s="16">
        <v>1059999</v>
      </c>
      <c r="EZ25" s="16">
        <v>1096240</v>
      </c>
      <c r="FA25" s="16">
        <v>1066283</v>
      </c>
      <c r="FB25" s="16">
        <v>1204433</v>
      </c>
      <c r="FC25" s="16">
        <v>1404324</v>
      </c>
      <c r="FD25" s="16">
        <v>2695850</v>
      </c>
      <c r="FE25" s="16">
        <v>3423666</v>
      </c>
      <c r="FF25" s="16">
        <v>3251102</v>
      </c>
      <c r="FG25" s="16">
        <v>2344601</v>
      </c>
      <c r="FH25" s="16">
        <v>2376645</v>
      </c>
      <c r="FI25" s="16">
        <v>1396087</v>
      </c>
      <c r="FJ25" s="16">
        <v>861870</v>
      </c>
      <c r="FK25" s="16">
        <v>721216</v>
      </c>
      <c r="FL25" s="16">
        <v>709850</v>
      </c>
      <c r="FM25" s="16">
        <v>1019170</v>
      </c>
      <c r="FN25" s="16">
        <v>880130</v>
      </c>
      <c r="FO25" s="16">
        <v>919160</v>
      </c>
      <c r="FP25" s="16">
        <v>1871600</v>
      </c>
      <c r="FQ25" s="16">
        <v>1133880</v>
      </c>
      <c r="FR25" s="40">
        <f>_xll.LVCELL($D$2,FR$15,$B25,$D$5,$D$6,$D$7,$D$8,$D$9,$D$10,$D$11)</f>
        <v>0</v>
      </c>
      <c r="FS25" s="40">
        <f>_xll.LVCELL($D$2,FS$15,$B25,$D$5,$D$6,$D$7,$D$8,$D$9,$D$10,$D$11)</f>
        <v>0</v>
      </c>
      <c r="FT25" s="40">
        <f>_xll.LVCELL($D$2,FT$15,$B25,$D$5,$D$6,$D$7,$D$8,$D$9,$D$10,$D$11)</f>
        <v>0</v>
      </c>
      <c r="FU25" s="40">
        <f>_xll.LVCELL($D$2,FU$15,$B25,$D$5,$D$6,$D$7,$D$8,$D$9,$D$10,$D$11)</f>
        <v>0</v>
      </c>
      <c r="FV25" s="40">
        <f>_xll.LVCELL($D$2,FV$15,$B25,$D$5,$D$6,$D$7,$D$8,$D$9,$D$10,$D$11)</f>
        <v>0</v>
      </c>
      <c r="FW25" s="40">
        <f>_xll.LVCELL($D$2,FW$15,$B25,$D$5,$D$6,$D$7,$D$8,$D$9,$D$10,$D$11)</f>
        <v>0</v>
      </c>
      <c r="FX25" s="40">
        <f>_xll.LVCELL($D$2,FX$15,$B25,$D$5,$D$6,$D$7,$D$8,$D$9,$D$10,$D$11)</f>
        <v>0</v>
      </c>
      <c r="FY25" s="40">
        <f>_xll.LVCELL($D$2,FY$15,$B25,$D$5,$D$6,$D$7,$D$8,$D$9,$D$10,$D$11)</f>
        <v>0</v>
      </c>
      <c r="FZ25" s="40">
        <f>_xll.LVCELL($D$2,FZ$15,$B25,$D$5,$D$6,$D$7,$D$8,$D$9,$D$10,$D$11)</f>
        <v>0</v>
      </c>
      <c r="GA25" s="40">
        <f>_xll.LVCELL($D$2,GA$15,$B25,$D$5,$D$6,$D$7,$D$8,$D$9,$D$10,$D$11)</f>
        <v>0</v>
      </c>
      <c r="GB25" s="40">
        <f>_xll.LVCELL($D$2,GB$15,$B25,$D$5,$D$6,$D$7,$D$8,$D$9,$D$10,$D$11)</f>
        <v>0</v>
      </c>
      <c r="GC25" s="40">
        <f>_xll.LVCELL($D$2,GC$15,$B25,$D$5,$D$6,$D$7,$D$8,$D$9,$D$10,$D$11)</f>
        <v>0</v>
      </c>
      <c r="GD25" s="25">
        <f>_xll.LVCELL($D$2,GD$15,$B25,$D$5,$D$6,$D$7,$D$8,$D$9,$D$10,$D$11)</f>
        <v>0</v>
      </c>
      <c r="GE25" s="25">
        <f>_xll.LVCELL($D$2,GE$15,$B25,$D$5,$D$6,$D$7,$D$8,$D$9,$D$10,$D$11)</f>
        <v>0</v>
      </c>
      <c r="GF25" s="25">
        <f>_xll.LVCELL($D$2,GF$15,$B25,$D$5,$D$6,$D$7,$D$8,$D$9,$D$10,$D$11)</f>
        <v>0</v>
      </c>
      <c r="GG25" s="25">
        <f>_xll.LVCELL($D$2,GG$15,$B25,$D$5,$D$6,$D$7,$D$8,$D$9,$D$10,$D$11)</f>
        <v>0</v>
      </c>
      <c r="GH25" s="25">
        <f>_xll.LVCELL($D$2,GH$15,$B25,$D$5,$D$6,$D$7,$D$8,$D$9,$D$10,$D$11)</f>
        <v>0</v>
      </c>
      <c r="GI25" s="25">
        <f>_xll.LVCELL($D$2,GI$15,$B25,$D$5,$D$6,$D$7,$D$8,$D$9,$D$10,$D$11)</f>
        <v>0</v>
      </c>
      <c r="GJ25" s="25">
        <f>_xll.LVCELL($D$2,GJ$15,$B25,$D$5,$D$6,$D$7,$D$8,$D$9,$D$10,$D$11)</f>
        <v>0</v>
      </c>
      <c r="GK25" s="25">
        <f>_xll.LVCELL($D$2,GK$15,$B25,$D$5,$D$6,$D$7,$D$8,$D$9,$D$10,$D$11)</f>
        <v>0</v>
      </c>
      <c r="GL25" s="25">
        <f>_xll.LVCELL($D$2,GL$15,$B25,$D$5,$D$6,$D$7,$D$8,$D$9,$D$10,$D$11)</f>
        <v>0</v>
      </c>
      <c r="GM25" s="25">
        <f>_xll.LVCELL($D$2,GM$15,$B25,$D$5,$D$6,$D$7,$D$8,$D$9,$D$10,$D$11)</f>
        <v>0</v>
      </c>
      <c r="GN25" s="25">
        <f>_xll.LVCELL($D$2,GN$15,$B25,$D$5,$D$6,$D$7,$D$8,$D$9,$D$10,$D$11)</f>
        <v>0</v>
      </c>
      <c r="GO25" s="25">
        <f>_xll.LVCELL($D$2,GO$15,$B25,$D$5,$D$6,$D$7,$D$8,$D$9,$D$10,$D$11)</f>
        <v>0</v>
      </c>
      <c r="GP25" s="25">
        <f>_xll.LVCELL($D$2,GP$15,$B25,$D$5,$D$6,$D$7,$D$8,$D$9,$D$10,$D$11)</f>
        <v>0</v>
      </c>
      <c r="GQ25" s="25">
        <f>_xll.LVCELL($D$2,GQ$15,$B25,$D$5,$D$6,$D$7,$D$8,$D$9,$D$10,$D$11)</f>
        <v>0</v>
      </c>
      <c r="GR25" s="25">
        <f>_xll.LVCELL($D$2,GR$15,$B25,$D$5,$D$6,$D$7,$D$8,$D$9,$D$10,$D$11)</f>
        <v>0</v>
      </c>
      <c r="GS25" s="25">
        <f>_xll.LVCELL($D$2,GS$15,$B25,$D$5,$D$6,$D$7,$D$8,$D$9,$D$10,$D$11)</f>
        <v>0</v>
      </c>
      <c r="GT25" s="25">
        <f>_xll.LVCELL($D$2,GT$15,$B25,$D$5,$D$6,$D$7,$D$8,$D$9,$D$10,$D$11)</f>
        <v>0</v>
      </c>
      <c r="GU25" s="25">
        <f>_xll.LVCELL($D$2,GU$15,$B25,$D$5,$D$6,$D$7,$D$8,$D$9,$D$10,$D$11)</f>
        <v>0</v>
      </c>
      <c r="GV25" s="25">
        <f>_xll.LVCELL($D$2,GV$15,$B25,$D$5,$D$6,$D$7,$D$8,$D$9,$D$10,$D$11)</f>
        <v>0</v>
      </c>
      <c r="GW25" s="25">
        <f>_xll.LVCELL($D$2,GW$15,$B25,$D$5,$D$6,$D$7,$D$8,$D$9,$D$10,$D$11)</f>
        <v>0</v>
      </c>
      <c r="GX25" s="25">
        <f>_xll.LVCELL($D$2,GX$15,$B25,$D$5,$D$6,$D$7,$D$8,$D$9,$D$10,$D$11)</f>
        <v>0</v>
      </c>
      <c r="GY25" s="25">
        <f>_xll.LVCELL($D$2,GY$15,$B25,$D$5,$D$6,$D$7,$D$8,$D$9,$D$10,$D$11)</f>
        <v>0</v>
      </c>
      <c r="GZ25" s="25">
        <f>_xll.LVCELL($D$2,GZ$15,$B25,$D$5,$D$6,$D$7,$D$8,$D$9,$D$10,$D$11)</f>
        <v>0</v>
      </c>
      <c r="HA25" s="25">
        <f>_xll.LVCELL($D$2,HA$15,$B25,$D$5,$D$6,$D$7,$D$8,$D$9,$D$10,$D$11)</f>
        <v>0</v>
      </c>
      <c r="HB25" s="25">
        <f>_xll.LVCELL($D$2,HB$15,$B25,$D$5,$D$6,$D$7,$D$8,$D$9,$D$10,$D$11)</f>
        <v>0</v>
      </c>
      <c r="HC25" s="25">
        <f>_xll.LVCELL($D$2,HC$15,$B25,$D$5,$D$6,$D$7,$D$8,$D$9,$D$10,$D$11)</f>
        <v>0</v>
      </c>
      <c r="HD25" s="25">
        <f>_xll.LVCELL($D$2,HD$15,$B25,$D$5,$D$6,$D$7,$D$8,$D$9,$D$10,$D$11)</f>
        <v>0</v>
      </c>
      <c r="HE25" s="25">
        <f>_xll.LVCELL($D$2,HE$15,$B25,$D$5,$D$6,$D$7,$D$8,$D$9,$D$10,$D$11)</f>
        <v>0</v>
      </c>
      <c r="HF25" s="25">
        <f>_xll.LVCELL($D$2,HF$15,$B25,$D$5,$D$6,$D$7,$D$8,$D$9,$D$10,$D$11)</f>
        <v>0</v>
      </c>
      <c r="HG25" s="25">
        <f>_xll.LVCELL($D$2,HG$15,$B25,$D$5,$D$6,$D$7,$D$8,$D$9,$D$10,$D$11)</f>
        <v>0</v>
      </c>
      <c r="HH25" s="25">
        <f>_xll.LVCELL($D$2,HH$15,$B25,$D$5,$D$6,$D$7,$D$8,$D$9,$D$10,$D$11)</f>
        <v>0</v>
      </c>
      <c r="HI25" s="25">
        <f>_xll.LVCELL($D$2,HI$15,$B25,$D$5,$D$6,$D$7,$D$8,$D$9,$D$10,$D$11)</f>
        <v>0</v>
      </c>
      <c r="HJ25" s="25">
        <f>_xll.LVCELL($D$2,HJ$15,$B25,$D$5,$D$6,$D$7,$D$8,$D$9,$D$10,$D$11)</f>
        <v>0</v>
      </c>
      <c r="HK25" s="25">
        <f>_xll.LVCELL($D$2,HK$15,$B25,$D$5,$D$6,$D$7,$D$8,$D$9,$D$10,$D$11)</f>
        <v>0</v>
      </c>
      <c r="HL25" s="25">
        <f>_xll.LVCELL($D$2,HL$15,$B25,$D$5,$D$6,$D$7,$D$8,$D$9,$D$10,$D$11)</f>
        <v>0</v>
      </c>
      <c r="HM25" s="25">
        <f>_xll.LVCELL($D$2,HM$15,$B25,$D$5,$D$6,$D$7,$D$8,$D$9,$D$10,$D$11)</f>
        <v>0</v>
      </c>
    </row>
    <row r="26" spans="1:221">
      <c r="A26" t="s">
        <v>207</v>
      </c>
      <c r="B26" t="s">
        <v>252</v>
      </c>
      <c r="D26" s="10" t="s">
        <v>289</v>
      </c>
      <c r="E26" s="19">
        <v>39276</v>
      </c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12"/>
      <c r="BC26" s="16"/>
      <c r="BD26" s="16"/>
      <c r="BE26" s="16"/>
      <c r="BF26" s="16"/>
      <c r="BG26" s="16"/>
      <c r="BH26" s="16">
        <v>1171160</v>
      </c>
      <c r="BI26" s="16">
        <v>2075096</v>
      </c>
      <c r="BJ26" s="16">
        <v>3044925</v>
      </c>
      <c r="BK26" s="16">
        <v>2627069</v>
      </c>
      <c r="BL26" s="16">
        <v>4502356</v>
      </c>
      <c r="BM26" s="16">
        <v>2996534</v>
      </c>
      <c r="BN26" s="16">
        <v>3549606</v>
      </c>
      <c r="BO26" s="16">
        <v>1824917</v>
      </c>
      <c r="BP26" s="16">
        <v>3971688</v>
      </c>
      <c r="BQ26" s="16">
        <v>3274391</v>
      </c>
      <c r="BR26" s="16">
        <v>1865797</v>
      </c>
      <c r="BS26" s="16">
        <v>1491712</v>
      </c>
      <c r="BT26" s="16">
        <v>1517130</v>
      </c>
      <c r="BU26" s="16">
        <v>1320517</v>
      </c>
      <c r="BV26" s="16">
        <v>1971165</v>
      </c>
      <c r="BW26" s="16">
        <v>2040580</v>
      </c>
      <c r="BX26" s="16">
        <v>3001768</v>
      </c>
      <c r="BY26" s="16">
        <v>3160463</v>
      </c>
      <c r="BZ26" s="16">
        <v>2108369</v>
      </c>
      <c r="CA26" s="16">
        <v>3033748</v>
      </c>
      <c r="CB26" s="16">
        <v>3507078</v>
      </c>
      <c r="CC26" s="16">
        <v>2585067</v>
      </c>
      <c r="CD26" s="16">
        <v>3007163</v>
      </c>
      <c r="CE26" s="16">
        <v>1931220</v>
      </c>
      <c r="CF26" s="16">
        <v>1877171</v>
      </c>
      <c r="CG26" s="16">
        <v>1212148</v>
      </c>
      <c r="CH26" s="16">
        <v>1578098</v>
      </c>
      <c r="CI26" s="16">
        <v>3421210</v>
      </c>
      <c r="CJ26" s="16">
        <v>2874836</v>
      </c>
      <c r="CK26" s="16">
        <v>2489754</v>
      </c>
      <c r="CL26" s="16">
        <v>2035885</v>
      </c>
      <c r="CM26" s="16">
        <v>3122632</v>
      </c>
      <c r="CN26" s="16">
        <v>3392429</v>
      </c>
      <c r="CO26" s="16">
        <v>1447819</v>
      </c>
      <c r="CP26" s="16">
        <v>2736060</v>
      </c>
      <c r="CQ26" s="16">
        <v>2531309</v>
      </c>
      <c r="CR26" s="16">
        <v>1840410</v>
      </c>
      <c r="CS26" s="16">
        <v>2010979</v>
      </c>
      <c r="CT26" s="16">
        <v>1882247</v>
      </c>
      <c r="CU26" s="16">
        <v>3789331</v>
      </c>
      <c r="CV26" s="16">
        <v>2369421</v>
      </c>
      <c r="CW26" s="16">
        <v>3194425</v>
      </c>
      <c r="CX26" s="16">
        <v>2587395</v>
      </c>
      <c r="CY26" s="16">
        <v>2028490</v>
      </c>
      <c r="CZ26" s="16">
        <v>1971352</v>
      </c>
      <c r="DA26" s="16">
        <v>2093634</v>
      </c>
      <c r="DB26" s="16">
        <v>2067786</v>
      </c>
      <c r="DC26" s="16">
        <v>1720917</v>
      </c>
      <c r="DD26" s="16">
        <v>1823381</v>
      </c>
      <c r="DE26" s="16">
        <v>1809192</v>
      </c>
      <c r="DF26" s="16">
        <v>1415677</v>
      </c>
      <c r="DG26" s="16">
        <v>2602565</v>
      </c>
      <c r="DH26" s="16">
        <v>2389491</v>
      </c>
      <c r="DI26" s="16">
        <v>3830134</v>
      </c>
      <c r="DJ26" s="16">
        <v>3194007</v>
      </c>
      <c r="DK26" s="16">
        <v>3629823</v>
      </c>
      <c r="DL26" s="16">
        <v>2516345</v>
      </c>
      <c r="DM26" s="16">
        <v>3257702</v>
      </c>
      <c r="DN26" s="16">
        <v>2401574</v>
      </c>
      <c r="DO26" s="16">
        <v>2065503.0000000002</v>
      </c>
      <c r="DP26" s="16">
        <v>1480375</v>
      </c>
      <c r="DQ26" s="16">
        <v>1553123</v>
      </c>
      <c r="DR26" s="16">
        <v>2914083</v>
      </c>
      <c r="DS26" s="16">
        <v>2871704</v>
      </c>
      <c r="DT26" s="16">
        <v>3070698</v>
      </c>
      <c r="DU26" s="16">
        <v>4054935</v>
      </c>
      <c r="DV26" s="16">
        <v>2668971</v>
      </c>
      <c r="DW26" s="16">
        <v>2739408</v>
      </c>
      <c r="DX26" s="16">
        <v>2291429</v>
      </c>
      <c r="DY26" s="16">
        <v>2048831.0000000002</v>
      </c>
      <c r="DZ26" s="16">
        <v>2521664</v>
      </c>
      <c r="EA26" s="16">
        <v>2780852</v>
      </c>
      <c r="EB26" s="16">
        <v>1259864</v>
      </c>
      <c r="EC26" s="16">
        <v>1871030</v>
      </c>
      <c r="ED26" s="16">
        <v>1799475</v>
      </c>
      <c r="EE26" s="16">
        <v>3218949</v>
      </c>
      <c r="EF26" s="16">
        <v>2657827</v>
      </c>
      <c r="EG26" s="16">
        <v>3361022</v>
      </c>
      <c r="EH26" s="16">
        <v>2663057</v>
      </c>
      <c r="EI26" s="16">
        <v>3253080</v>
      </c>
      <c r="EJ26" s="16">
        <v>2831113</v>
      </c>
      <c r="EK26" s="16">
        <v>2204140</v>
      </c>
      <c r="EL26" s="16">
        <v>3324721</v>
      </c>
      <c r="EM26" s="16">
        <v>1651094</v>
      </c>
      <c r="EN26" s="16">
        <v>2497900</v>
      </c>
      <c r="EO26" s="16">
        <v>1321342</v>
      </c>
      <c r="EP26" s="16">
        <v>1897794</v>
      </c>
      <c r="EQ26" s="16">
        <v>1629490</v>
      </c>
      <c r="ER26" s="16">
        <v>2580273</v>
      </c>
      <c r="ES26" s="16">
        <v>3014831</v>
      </c>
      <c r="ET26" s="16">
        <v>2145660</v>
      </c>
      <c r="EU26" s="16">
        <v>2026671</v>
      </c>
      <c r="EV26" s="16">
        <v>2296233</v>
      </c>
      <c r="EW26" s="16">
        <v>2395524</v>
      </c>
      <c r="EX26" s="16">
        <v>3052022</v>
      </c>
      <c r="EY26" s="16">
        <v>1569053</v>
      </c>
      <c r="EZ26" s="16">
        <v>1676956</v>
      </c>
      <c r="FA26" s="16">
        <v>2035961</v>
      </c>
      <c r="FB26" s="16">
        <v>2263942.3000000003</v>
      </c>
      <c r="FC26" s="16">
        <v>2233076</v>
      </c>
      <c r="FD26" s="16">
        <v>2641111</v>
      </c>
      <c r="FE26" s="16">
        <v>2528702.8333330001</v>
      </c>
      <c r="FF26" s="16">
        <v>2260610</v>
      </c>
      <c r="FG26" s="16">
        <v>2845282</v>
      </c>
      <c r="FH26" s="16">
        <v>2799153</v>
      </c>
      <c r="FI26" s="16">
        <v>3060999</v>
      </c>
      <c r="FJ26" s="16">
        <v>3691582</v>
      </c>
      <c r="FK26" s="16">
        <v>1412619</v>
      </c>
      <c r="FL26" s="16">
        <v>1470610</v>
      </c>
      <c r="FM26" s="16">
        <v>1584790</v>
      </c>
      <c r="FN26" s="16">
        <v>1813770</v>
      </c>
      <c r="FO26" s="16">
        <v>1979460</v>
      </c>
      <c r="FP26" s="16">
        <v>2463170</v>
      </c>
      <c r="FQ26" s="16">
        <v>2042320</v>
      </c>
      <c r="FR26" s="40">
        <f>_xll.LVCELL($D$2,FR$15,$B26,$D$5,$D$6,$D$7,$D$8,$D$9,$D$10,$D$11)</f>
        <v>0</v>
      </c>
      <c r="FS26" s="40">
        <f>_xll.LVCELL($D$2,FS$15,$B26,$D$5,$D$6,$D$7,$D$8,$D$9,$D$10,$D$11)</f>
        <v>0</v>
      </c>
      <c r="FT26" s="40">
        <f>_xll.LVCELL($D$2,FT$15,$B26,$D$5,$D$6,$D$7,$D$8,$D$9,$D$10,$D$11)</f>
        <v>0</v>
      </c>
      <c r="FU26" s="40">
        <f>_xll.LVCELL($D$2,FU$15,$B26,$D$5,$D$6,$D$7,$D$8,$D$9,$D$10,$D$11)</f>
        <v>0</v>
      </c>
      <c r="FV26" s="40">
        <f>_xll.LVCELL($D$2,FV$15,$B26,$D$5,$D$6,$D$7,$D$8,$D$9,$D$10,$D$11)</f>
        <v>0</v>
      </c>
      <c r="FW26" s="40">
        <f>_xll.LVCELL($D$2,FW$15,$B26,$D$5,$D$6,$D$7,$D$8,$D$9,$D$10,$D$11)</f>
        <v>0</v>
      </c>
      <c r="FX26" s="40">
        <f>_xll.LVCELL($D$2,FX$15,$B26,$D$5,$D$6,$D$7,$D$8,$D$9,$D$10,$D$11)</f>
        <v>0</v>
      </c>
      <c r="FY26" s="40">
        <f>_xll.LVCELL($D$2,FY$15,$B26,$D$5,$D$6,$D$7,$D$8,$D$9,$D$10,$D$11)</f>
        <v>0</v>
      </c>
      <c r="FZ26" s="40">
        <f>_xll.LVCELL($D$2,FZ$15,$B26,$D$5,$D$6,$D$7,$D$8,$D$9,$D$10,$D$11)</f>
        <v>0</v>
      </c>
      <c r="GA26" s="40">
        <f>_xll.LVCELL($D$2,GA$15,$B26,$D$5,$D$6,$D$7,$D$8,$D$9,$D$10,$D$11)</f>
        <v>0</v>
      </c>
      <c r="GB26" s="40">
        <f>_xll.LVCELL($D$2,GB$15,$B26,$D$5,$D$6,$D$7,$D$8,$D$9,$D$10,$D$11)</f>
        <v>0</v>
      </c>
      <c r="GC26" s="40">
        <f>_xll.LVCELL($D$2,GC$15,$B26,$D$5,$D$6,$D$7,$D$8,$D$9,$D$10,$D$11)</f>
        <v>0</v>
      </c>
      <c r="GD26" s="25">
        <f>_xll.LVCELL($D$2,GD$15,$B26,$D$5,$D$6,$D$7,$D$8,$D$9,$D$10,$D$11)</f>
        <v>0</v>
      </c>
      <c r="GE26" s="25">
        <f>_xll.LVCELL($D$2,GE$15,$B26,$D$5,$D$6,$D$7,$D$8,$D$9,$D$10,$D$11)</f>
        <v>0</v>
      </c>
      <c r="GF26" s="25">
        <f>_xll.LVCELL($D$2,GF$15,$B26,$D$5,$D$6,$D$7,$D$8,$D$9,$D$10,$D$11)</f>
        <v>0</v>
      </c>
      <c r="GG26" s="25">
        <f>_xll.LVCELL($D$2,GG$15,$B26,$D$5,$D$6,$D$7,$D$8,$D$9,$D$10,$D$11)</f>
        <v>0</v>
      </c>
      <c r="GH26" s="25">
        <f>_xll.LVCELL($D$2,GH$15,$B26,$D$5,$D$6,$D$7,$D$8,$D$9,$D$10,$D$11)</f>
        <v>0</v>
      </c>
      <c r="GI26" s="25">
        <f>_xll.LVCELL($D$2,GI$15,$B26,$D$5,$D$6,$D$7,$D$8,$D$9,$D$10,$D$11)</f>
        <v>0</v>
      </c>
      <c r="GJ26" s="25">
        <f>_xll.LVCELL($D$2,GJ$15,$B26,$D$5,$D$6,$D$7,$D$8,$D$9,$D$10,$D$11)</f>
        <v>0</v>
      </c>
      <c r="GK26" s="25">
        <f>_xll.LVCELL($D$2,GK$15,$B26,$D$5,$D$6,$D$7,$D$8,$D$9,$D$10,$D$11)</f>
        <v>0</v>
      </c>
      <c r="GL26" s="25">
        <f>_xll.LVCELL($D$2,GL$15,$B26,$D$5,$D$6,$D$7,$D$8,$D$9,$D$10,$D$11)</f>
        <v>0</v>
      </c>
      <c r="GM26" s="25">
        <f>_xll.LVCELL($D$2,GM$15,$B26,$D$5,$D$6,$D$7,$D$8,$D$9,$D$10,$D$11)</f>
        <v>0</v>
      </c>
      <c r="GN26" s="25">
        <f>_xll.LVCELL($D$2,GN$15,$B26,$D$5,$D$6,$D$7,$D$8,$D$9,$D$10,$D$11)</f>
        <v>0</v>
      </c>
      <c r="GO26" s="25">
        <f>_xll.LVCELL($D$2,GO$15,$B26,$D$5,$D$6,$D$7,$D$8,$D$9,$D$10,$D$11)</f>
        <v>0</v>
      </c>
      <c r="GP26" s="25">
        <f>_xll.LVCELL($D$2,GP$15,$B26,$D$5,$D$6,$D$7,$D$8,$D$9,$D$10,$D$11)</f>
        <v>0</v>
      </c>
      <c r="GQ26" s="25">
        <f>_xll.LVCELL($D$2,GQ$15,$B26,$D$5,$D$6,$D$7,$D$8,$D$9,$D$10,$D$11)</f>
        <v>0</v>
      </c>
      <c r="GR26" s="25">
        <f>_xll.LVCELL($D$2,GR$15,$B26,$D$5,$D$6,$D$7,$D$8,$D$9,$D$10,$D$11)</f>
        <v>0</v>
      </c>
      <c r="GS26" s="25">
        <f>_xll.LVCELL($D$2,GS$15,$B26,$D$5,$D$6,$D$7,$D$8,$D$9,$D$10,$D$11)</f>
        <v>0</v>
      </c>
      <c r="GT26" s="25">
        <f>_xll.LVCELL($D$2,GT$15,$B26,$D$5,$D$6,$D$7,$D$8,$D$9,$D$10,$D$11)</f>
        <v>0</v>
      </c>
      <c r="GU26" s="25">
        <f>_xll.LVCELL($D$2,GU$15,$B26,$D$5,$D$6,$D$7,$D$8,$D$9,$D$10,$D$11)</f>
        <v>0</v>
      </c>
      <c r="GV26" s="25">
        <f>_xll.LVCELL($D$2,GV$15,$B26,$D$5,$D$6,$D$7,$D$8,$D$9,$D$10,$D$11)</f>
        <v>0</v>
      </c>
      <c r="GW26" s="25">
        <f>_xll.LVCELL($D$2,GW$15,$B26,$D$5,$D$6,$D$7,$D$8,$D$9,$D$10,$D$11)</f>
        <v>0</v>
      </c>
      <c r="GX26" s="25">
        <f>_xll.LVCELL($D$2,GX$15,$B26,$D$5,$D$6,$D$7,$D$8,$D$9,$D$10,$D$11)</f>
        <v>0</v>
      </c>
      <c r="GY26" s="25">
        <f>_xll.LVCELL($D$2,GY$15,$B26,$D$5,$D$6,$D$7,$D$8,$D$9,$D$10,$D$11)</f>
        <v>0</v>
      </c>
      <c r="GZ26" s="25">
        <f>_xll.LVCELL($D$2,GZ$15,$B26,$D$5,$D$6,$D$7,$D$8,$D$9,$D$10,$D$11)</f>
        <v>0</v>
      </c>
      <c r="HA26" s="25">
        <f>_xll.LVCELL($D$2,HA$15,$B26,$D$5,$D$6,$D$7,$D$8,$D$9,$D$10,$D$11)</f>
        <v>0</v>
      </c>
      <c r="HB26" s="25">
        <f>_xll.LVCELL($D$2,HB$15,$B26,$D$5,$D$6,$D$7,$D$8,$D$9,$D$10,$D$11)</f>
        <v>0</v>
      </c>
      <c r="HC26" s="25">
        <f>_xll.LVCELL($D$2,HC$15,$B26,$D$5,$D$6,$D$7,$D$8,$D$9,$D$10,$D$11)</f>
        <v>0</v>
      </c>
      <c r="HD26" s="25">
        <f>_xll.LVCELL($D$2,HD$15,$B26,$D$5,$D$6,$D$7,$D$8,$D$9,$D$10,$D$11)</f>
        <v>0</v>
      </c>
      <c r="HE26" s="25">
        <f>_xll.LVCELL($D$2,HE$15,$B26,$D$5,$D$6,$D$7,$D$8,$D$9,$D$10,$D$11)</f>
        <v>0</v>
      </c>
      <c r="HF26" s="25">
        <f>_xll.LVCELL($D$2,HF$15,$B26,$D$5,$D$6,$D$7,$D$8,$D$9,$D$10,$D$11)</f>
        <v>0</v>
      </c>
      <c r="HG26" s="25">
        <f>_xll.LVCELL($D$2,HG$15,$B26,$D$5,$D$6,$D$7,$D$8,$D$9,$D$10,$D$11)</f>
        <v>0</v>
      </c>
      <c r="HH26" s="25">
        <f>_xll.LVCELL($D$2,HH$15,$B26,$D$5,$D$6,$D$7,$D$8,$D$9,$D$10,$D$11)</f>
        <v>0</v>
      </c>
      <c r="HI26" s="25">
        <f>_xll.LVCELL($D$2,HI$15,$B26,$D$5,$D$6,$D$7,$D$8,$D$9,$D$10,$D$11)</f>
        <v>0</v>
      </c>
      <c r="HJ26" s="25">
        <f>_xll.LVCELL($D$2,HJ$15,$B26,$D$5,$D$6,$D$7,$D$8,$D$9,$D$10,$D$11)</f>
        <v>0</v>
      </c>
      <c r="HK26" s="25">
        <f>_xll.LVCELL($D$2,HK$15,$B26,$D$5,$D$6,$D$7,$D$8,$D$9,$D$10,$D$11)</f>
        <v>0</v>
      </c>
      <c r="HL26" s="25">
        <f>_xll.LVCELL($D$2,HL$15,$B26,$D$5,$D$6,$D$7,$D$8,$D$9,$D$10,$D$11)</f>
        <v>0</v>
      </c>
      <c r="HM26" s="25">
        <f>_xll.LVCELL($D$2,HM$15,$B26,$D$5,$D$6,$D$7,$D$8,$D$9,$D$10,$D$11)</f>
        <v>0</v>
      </c>
    </row>
    <row r="27" spans="1:221">
      <c r="A27" t="s">
        <v>163</v>
      </c>
      <c r="B27" t="s">
        <v>316</v>
      </c>
      <c r="D27" s="10" t="s">
        <v>290</v>
      </c>
      <c r="E27" s="19">
        <v>38687</v>
      </c>
      <c r="F27" s="16" t="s">
        <v>845</v>
      </c>
      <c r="G27" s="16" t="s">
        <v>845</v>
      </c>
      <c r="H27" s="16" t="s">
        <v>845</v>
      </c>
      <c r="I27" s="16" t="s">
        <v>845</v>
      </c>
      <c r="J27" s="16" t="s">
        <v>845</v>
      </c>
      <c r="K27" s="16" t="s">
        <v>845</v>
      </c>
      <c r="L27" s="16" t="s">
        <v>845</v>
      </c>
      <c r="M27" s="16" t="s">
        <v>845</v>
      </c>
      <c r="N27" s="16" t="s">
        <v>845</v>
      </c>
      <c r="O27" s="16" t="s">
        <v>845</v>
      </c>
      <c r="P27" s="16" t="s">
        <v>845</v>
      </c>
      <c r="Q27" s="16" t="s">
        <v>845</v>
      </c>
      <c r="R27" s="16" t="s">
        <v>845</v>
      </c>
      <c r="S27" s="16" t="s">
        <v>845</v>
      </c>
      <c r="T27" s="16" t="s">
        <v>845</v>
      </c>
      <c r="U27" s="16" t="s">
        <v>845</v>
      </c>
      <c r="V27" s="16" t="s">
        <v>845</v>
      </c>
      <c r="W27" s="16" t="s">
        <v>845</v>
      </c>
      <c r="X27" s="16" t="s">
        <v>845</v>
      </c>
      <c r="Y27" s="16" t="s">
        <v>845</v>
      </c>
      <c r="Z27" s="16" t="s">
        <v>845</v>
      </c>
      <c r="AA27" s="16" t="s">
        <v>845</v>
      </c>
      <c r="AB27" s="16" t="s">
        <v>845</v>
      </c>
      <c r="AC27" s="16" t="s">
        <v>845</v>
      </c>
      <c r="AD27" s="16" t="s">
        <v>845</v>
      </c>
      <c r="AE27" s="16" t="s">
        <v>845</v>
      </c>
      <c r="AF27" s="16" t="s">
        <v>845</v>
      </c>
      <c r="AG27" s="16" t="s">
        <v>845</v>
      </c>
      <c r="AH27" s="16" t="s">
        <v>845</v>
      </c>
      <c r="AI27" s="16" t="s">
        <v>845</v>
      </c>
      <c r="AJ27" s="16" t="s">
        <v>845</v>
      </c>
      <c r="AK27" s="16" t="s">
        <v>845</v>
      </c>
      <c r="AL27" s="16" t="s">
        <v>845</v>
      </c>
      <c r="AM27" s="16" t="s">
        <v>845</v>
      </c>
      <c r="AN27" s="16" t="s">
        <v>845</v>
      </c>
      <c r="AO27" s="30" t="s">
        <v>845</v>
      </c>
      <c r="AP27" s="30" t="s">
        <v>845</v>
      </c>
      <c r="AQ27" s="30" t="s">
        <v>845</v>
      </c>
      <c r="AR27" s="30" t="s">
        <v>845</v>
      </c>
      <c r="AS27" s="30" t="s">
        <v>845</v>
      </c>
      <c r="AT27" s="30" t="s">
        <v>845</v>
      </c>
      <c r="AU27" s="30" t="s">
        <v>845</v>
      </c>
      <c r="AV27" s="30" t="s">
        <v>845</v>
      </c>
      <c r="AW27" s="30" t="s">
        <v>845</v>
      </c>
      <c r="AX27" s="30" t="s">
        <v>845</v>
      </c>
      <c r="AY27" s="30" t="s">
        <v>845</v>
      </c>
      <c r="AZ27" s="30" t="s">
        <v>845</v>
      </c>
      <c r="BA27" s="30" t="s">
        <v>845</v>
      </c>
      <c r="BB27" s="27">
        <v>1649362</v>
      </c>
      <c r="BC27" s="16">
        <v>2634041</v>
      </c>
      <c r="BD27" s="16">
        <v>2384239</v>
      </c>
      <c r="BE27" s="16">
        <v>705520</v>
      </c>
      <c r="BF27" s="16">
        <v>2253260</v>
      </c>
      <c r="BG27" s="16">
        <v>1329356</v>
      </c>
      <c r="BH27" s="16">
        <v>1824658</v>
      </c>
      <c r="BI27" s="16">
        <v>1249722</v>
      </c>
      <c r="BJ27" s="16">
        <v>1570773</v>
      </c>
      <c r="BK27" s="16">
        <v>1318866</v>
      </c>
      <c r="BL27" s="16">
        <v>1569756</v>
      </c>
      <c r="BM27" s="16">
        <v>2000742</v>
      </c>
      <c r="BN27" s="16">
        <v>2778002</v>
      </c>
      <c r="BO27" s="16">
        <v>1470573</v>
      </c>
      <c r="BP27" s="16">
        <v>3280768</v>
      </c>
      <c r="BQ27" s="16">
        <v>1859570</v>
      </c>
      <c r="BR27" s="16">
        <v>1136952</v>
      </c>
      <c r="BS27" s="16">
        <v>845434</v>
      </c>
      <c r="BT27" s="16">
        <v>819690</v>
      </c>
      <c r="BU27" s="16">
        <v>955545</v>
      </c>
      <c r="BV27" s="16">
        <v>1202618</v>
      </c>
      <c r="BW27" s="16">
        <v>1856090</v>
      </c>
      <c r="BX27" s="16">
        <v>2020055</v>
      </c>
      <c r="BY27" s="16">
        <v>1622342</v>
      </c>
      <c r="BZ27" s="16">
        <v>1587329</v>
      </c>
      <c r="CA27" s="16">
        <v>1454386</v>
      </c>
      <c r="CB27" s="16">
        <v>2268822</v>
      </c>
      <c r="CC27" s="16">
        <v>1686279</v>
      </c>
      <c r="CD27" s="16">
        <v>1866885</v>
      </c>
      <c r="CE27" s="16">
        <v>1651154</v>
      </c>
      <c r="CF27" s="16">
        <v>1391202</v>
      </c>
      <c r="CG27" s="16">
        <v>834651</v>
      </c>
      <c r="CH27" s="16">
        <v>1057482</v>
      </c>
      <c r="CI27" s="16">
        <v>1904187</v>
      </c>
      <c r="CJ27" s="16">
        <v>2827914</v>
      </c>
      <c r="CK27" s="16">
        <v>2182442</v>
      </c>
      <c r="CL27" s="16">
        <v>1023722</v>
      </c>
      <c r="CM27" s="16">
        <v>2081018</v>
      </c>
      <c r="CN27" s="16">
        <v>2240933</v>
      </c>
      <c r="CO27" s="16">
        <v>1079441</v>
      </c>
      <c r="CP27" s="16">
        <v>1598236</v>
      </c>
      <c r="CQ27" s="16">
        <v>1429432</v>
      </c>
      <c r="CR27" s="16">
        <v>807261</v>
      </c>
      <c r="CS27" s="16">
        <v>1204168</v>
      </c>
      <c r="CT27" s="16">
        <v>1016623</v>
      </c>
      <c r="CU27" s="16">
        <v>1986443</v>
      </c>
      <c r="CV27" s="16">
        <v>2017668</v>
      </c>
      <c r="CW27" s="16">
        <v>1327538</v>
      </c>
      <c r="CX27" s="16">
        <v>1246453</v>
      </c>
      <c r="CY27" s="16">
        <v>841183</v>
      </c>
      <c r="CZ27" s="16">
        <v>1270884</v>
      </c>
      <c r="DA27" s="16">
        <v>1100814</v>
      </c>
      <c r="DB27" s="16">
        <v>1094881</v>
      </c>
      <c r="DC27" s="16">
        <v>853923</v>
      </c>
      <c r="DD27" s="16">
        <v>1195920</v>
      </c>
      <c r="DE27" s="16">
        <v>1254228</v>
      </c>
      <c r="DF27" s="16">
        <v>1012225</v>
      </c>
      <c r="DG27" s="16">
        <v>1438127</v>
      </c>
      <c r="DH27" s="16">
        <v>1384240</v>
      </c>
      <c r="DI27" s="16">
        <v>3399439</v>
      </c>
      <c r="DJ27" s="16">
        <v>1836150</v>
      </c>
      <c r="DK27" s="16">
        <v>1212538</v>
      </c>
      <c r="DL27" s="16">
        <v>1670495</v>
      </c>
      <c r="DM27" s="16">
        <v>2528917</v>
      </c>
      <c r="DN27" s="16">
        <v>1458112</v>
      </c>
      <c r="DO27" s="16">
        <v>1444811</v>
      </c>
      <c r="DP27" s="16">
        <v>1118668</v>
      </c>
      <c r="DQ27" s="16">
        <v>1004674</v>
      </c>
      <c r="DR27" s="16">
        <v>1675837</v>
      </c>
      <c r="DS27" s="16">
        <v>2093002</v>
      </c>
      <c r="DT27" s="16">
        <v>1633310</v>
      </c>
      <c r="DU27" s="16">
        <v>3088802</v>
      </c>
      <c r="DV27" s="16">
        <v>1474148</v>
      </c>
      <c r="DW27" s="16">
        <v>1636636</v>
      </c>
      <c r="DX27" s="16">
        <v>1762362</v>
      </c>
      <c r="DY27" s="16">
        <v>1625295</v>
      </c>
      <c r="DZ27" s="16">
        <v>1484352</v>
      </c>
      <c r="EA27" s="16">
        <v>1691946</v>
      </c>
      <c r="EB27" s="16">
        <v>774432</v>
      </c>
      <c r="EC27" s="16">
        <v>956532</v>
      </c>
      <c r="ED27" s="16">
        <v>1228987</v>
      </c>
      <c r="EE27" s="16">
        <v>2507389</v>
      </c>
      <c r="EF27" s="16">
        <v>1792175</v>
      </c>
      <c r="EG27" s="16">
        <v>2175442</v>
      </c>
      <c r="EH27" s="16">
        <v>2455176</v>
      </c>
      <c r="EI27" s="16">
        <v>2666582</v>
      </c>
      <c r="EJ27" s="16">
        <v>1686085</v>
      </c>
      <c r="EK27" s="16">
        <v>1073363</v>
      </c>
      <c r="EL27" s="16">
        <v>2423783</v>
      </c>
      <c r="EM27" s="16">
        <v>1392093</v>
      </c>
      <c r="EN27" s="16">
        <v>1093965</v>
      </c>
      <c r="EO27" s="16">
        <v>898929</v>
      </c>
      <c r="EP27" s="16">
        <v>815333</v>
      </c>
      <c r="EQ27" s="16">
        <v>1526081</v>
      </c>
      <c r="ER27" s="16">
        <v>1954804</v>
      </c>
      <c r="ES27" s="16">
        <v>1546124</v>
      </c>
      <c r="ET27" s="16">
        <v>1684562</v>
      </c>
      <c r="EU27" s="16">
        <v>1492969</v>
      </c>
      <c r="EV27" s="16">
        <v>1803894</v>
      </c>
      <c r="EW27" s="16">
        <v>1503635</v>
      </c>
      <c r="EX27" s="16">
        <v>2203922</v>
      </c>
      <c r="EY27" s="16">
        <v>759722</v>
      </c>
      <c r="EZ27" s="16">
        <v>1166107</v>
      </c>
      <c r="FA27" s="16">
        <v>1346914</v>
      </c>
      <c r="FB27" s="16">
        <v>1374772</v>
      </c>
      <c r="FC27" s="16">
        <v>1043491</v>
      </c>
      <c r="FD27" s="16">
        <v>1686308</v>
      </c>
      <c r="FE27" s="16">
        <v>1850260</v>
      </c>
      <c r="FF27" s="16">
        <v>3052634</v>
      </c>
      <c r="FG27" s="16">
        <v>2321083</v>
      </c>
      <c r="FH27" s="16">
        <v>2226547</v>
      </c>
      <c r="FI27" s="16">
        <v>1613645</v>
      </c>
      <c r="FJ27" s="16">
        <v>2151162</v>
      </c>
      <c r="FK27" s="16">
        <v>887301</v>
      </c>
      <c r="FL27" s="16">
        <v>780960</v>
      </c>
      <c r="FM27" s="16">
        <v>744810</v>
      </c>
      <c r="FN27" s="16">
        <v>1159890</v>
      </c>
      <c r="FO27" s="16">
        <v>939340</v>
      </c>
      <c r="FP27" s="16">
        <v>2132220</v>
      </c>
      <c r="FQ27" s="16">
        <v>653720</v>
      </c>
      <c r="FR27" s="40">
        <f>_xll.LVCELL($D$2,FR$15,$B27,$D$5,$D$6,$D$7,$D$8,$D$9,$D$10,$D$11)</f>
        <v>1400150</v>
      </c>
      <c r="FS27" s="40">
        <f>_xll.LVCELL($D$2,FS$15,$B27,$D$5,$D$6,$D$7,$D$8,$D$9,$D$10,$D$11)</f>
        <v>2620160</v>
      </c>
      <c r="FT27" s="40">
        <f>_xll.LVCELL($D$2,FT$15,$B27,$D$5,$D$6,$D$7,$D$8,$D$9,$D$10,$D$11)</f>
        <v>1796450</v>
      </c>
      <c r="FU27" s="40">
        <f>_xll.LVCELL($D$2,FU$15,$B27,$D$5,$D$6,$D$7,$D$8,$D$9,$D$10,$D$11)</f>
        <v>1370690</v>
      </c>
      <c r="FV27" s="40">
        <f>_xll.LVCELL($D$2,FV$15,$B27,$D$5,$D$6,$D$7,$D$8,$D$9,$D$10,$D$11)</f>
        <v>1419043</v>
      </c>
      <c r="FW27" s="40">
        <f>_xll.LVCELL($D$2,FW$15,$B27,$D$5,$D$6,$D$7,$D$8,$D$9,$D$10,$D$11)</f>
        <v>1139480</v>
      </c>
      <c r="FX27" s="40">
        <f>_xll.LVCELL($D$2,FX$15,$B27,$D$5,$D$6,$D$7,$D$8,$D$9,$D$10,$D$11)</f>
        <v>1015067.67</v>
      </c>
      <c r="FY27" s="40">
        <f>_xll.LVCELL($D$2,FY$15,$B27,$D$5,$D$6,$D$7,$D$8,$D$9,$D$10,$D$11)</f>
        <v>835253</v>
      </c>
      <c r="FZ27" s="40">
        <f>_xll.LVCELL($D$2,FZ$15,$B27,$D$5,$D$6,$D$7,$D$8,$D$9,$D$10,$D$11)</f>
        <v>1135635</v>
      </c>
      <c r="GA27" s="40">
        <f>_xll.LVCELL($D$2,GA$15,$B27,$D$5,$D$6,$D$7,$D$8,$D$9,$D$10,$D$11)</f>
        <v>1278324</v>
      </c>
      <c r="GB27" s="40">
        <f>_xll.LVCELL($D$2,GB$15,$B27,$D$5,$D$6,$D$7,$D$8,$D$9,$D$10,$D$11)</f>
        <v>1948325</v>
      </c>
      <c r="GC27" s="40">
        <f>_xll.LVCELL($D$2,GC$15,$B27,$D$5,$D$6,$D$7,$D$8,$D$9,$D$10,$D$11)</f>
        <v>2805095</v>
      </c>
      <c r="GD27" s="25">
        <f>_xll.LVCELL($D$2,GD$15,$B27,$D$5,$D$6,$D$7,$D$8,$D$9,$D$10,$D$11)</f>
        <v>2999839</v>
      </c>
      <c r="GE27" s="25">
        <f>_xll.LVCELL($D$2,GE$15,$B27,$D$5,$D$6,$D$7,$D$8,$D$9,$D$10,$D$11)</f>
        <v>1332901</v>
      </c>
      <c r="GF27" s="25">
        <f>_xll.LVCELL($D$2,GF$15,$B27,$D$5,$D$6,$D$7,$D$8,$D$9,$D$10,$D$11)</f>
        <v>2391194</v>
      </c>
      <c r="GG27" s="25">
        <f>_xll.LVCELL($D$2,GG$15,$B27,$D$5,$D$6,$D$7,$D$8,$D$9,$D$10,$D$11)</f>
        <v>1898629</v>
      </c>
      <c r="GH27" s="25">
        <f>_xll.LVCELL($D$2,GH$15,$B27,$D$5,$D$6,$D$7,$D$8,$D$9,$D$10,$D$11)</f>
        <v>921955</v>
      </c>
      <c r="GI27" s="25">
        <f>_xll.LVCELL($D$2,GI$15,$B27,$D$5,$D$6,$D$7,$D$8,$D$9,$D$10,$D$11)</f>
        <v>706435</v>
      </c>
      <c r="GJ27" s="25">
        <f>_xll.LVCELL($D$2,GJ$15,$B27,$D$5,$D$6,$D$7,$D$8,$D$9,$D$10,$D$11)</f>
        <v>541721</v>
      </c>
      <c r="GK27" s="25">
        <f>_xll.LVCELL($D$2,GK$15,$B27,$D$5,$D$6,$D$7,$D$8,$D$9,$D$10,$D$11)</f>
        <v>836917</v>
      </c>
      <c r="GL27" s="25">
        <f>_xll.LVCELL($D$2,GL$15,$B27,$D$5,$D$6,$D$7,$D$8,$D$9,$D$10,$D$11)</f>
        <v>706644</v>
      </c>
      <c r="GM27" s="25">
        <f>_xll.LVCELL($D$2,GM$15,$B27,$D$5,$D$6,$D$7,$D$8,$D$9,$D$10,$D$11)</f>
        <v>1652596</v>
      </c>
      <c r="GN27" s="25">
        <f>_xll.LVCELL($D$2,GN$15,$B27,$D$5,$D$6,$D$7,$D$8,$D$9,$D$10,$D$11)</f>
        <v>1744604</v>
      </c>
      <c r="GO27" s="25">
        <f>_xll.LVCELL($D$2,GO$15,$B27,$D$5,$D$6,$D$7,$D$8,$D$9,$D$10,$D$11)</f>
        <v>2296107</v>
      </c>
      <c r="GP27" s="25">
        <f>_xll.LVCELL($D$2,GP$15,$B27,$D$5,$D$6,$D$7,$D$8,$D$9,$D$10,$D$11)</f>
        <v>1686400</v>
      </c>
      <c r="GQ27" s="25">
        <f>_xll.LVCELL($D$2,GQ$15,$B27,$D$5,$D$6,$D$7,$D$8,$D$9,$D$10,$D$11)</f>
        <v>1393079</v>
      </c>
      <c r="GR27" s="25">
        <f>_xll.LVCELL($D$2,GR$15,$B27,$D$5,$D$6,$D$7,$D$8,$D$9,$D$10,$D$11)</f>
        <v>2881677</v>
      </c>
      <c r="GS27" s="25">
        <f>_xll.LVCELL($D$2,GS$15,$B27,$D$5,$D$6,$D$7,$D$8,$D$9,$D$10,$D$11)</f>
        <v>1645979</v>
      </c>
      <c r="GT27" s="25">
        <f>_xll.LVCELL($D$2,GT$15,$B27,$D$5,$D$6,$D$7,$D$8,$D$9,$D$10,$D$11)</f>
        <v>1780450</v>
      </c>
      <c r="GU27" s="25">
        <f>_xll.LVCELL($D$2,GU$15,$B27,$D$5,$D$6,$D$7,$D$8,$D$9,$D$10,$D$11)</f>
        <v>1097976</v>
      </c>
      <c r="GV27" s="25">
        <f>_xll.LVCELL($D$2,GV$15,$B27,$D$5,$D$6,$D$7,$D$8,$D$9,$D$10,$D$11)</f>
        <v>720973</v>
      </c>
      <c r="GW27" s="25">
        <f>_xll.LVCELL($D$2,GW$15,$B27,$D$5,$D$6,$D$7,$D$8,$D$9,$D$10,$D$11)</f>
        <v>773870</v>
      </c>
      <c r="GX27" s="25">
        <f>_xll.LVCELL($D$2,GX$15,$B27,$D$5,$D$6,$D$7,$D$8,$D$9,$D$10,$D$11)</f>
        <v>1267728</v>
      </c>
      <c r="GY27" s="25">
        <f>_xll.LVCELL($D$2,GY$15,$B27,$D$5,$D$6,$D$7,$D$8,$D$9,$D$10,$D$11)</f>
        <v>2176374</v>
      </c>
      <c r="GZ27" s="25">
        <f>_xll.LVCELL($D$2,GZ$15,$B27,$D$5,$D$6,$D$7,$D$8,$D$9,$D$10,$D$11)</f>
        <v>2370254</v>
      </c>
      <c r="HA27" s="25">
        <f>_xll.LVCELL($D$2,HA$15,$B27,$D$5,$D$6,$D$7,$D$8,$D$9,$D$10,$D$11)</f>
        <v>2987677</v>
      </c>
      <c r="HB27" s="25">
        <f>_xll.LVCELL($D$2,HB$15,$B27,$D$5,$D$6,$D$7,$D$8,$D$9,$D$10,$D$11)</f>
        <v>2110759</v>
      </c>
      <c r="HC27" s="25">
        <f>_xll.LVCELL($D$2,HC$15,$B27,$D$5,$D$6,$D$7,$D$8,$D$9,$D$10,$D$11)</f>
        <v>3066859</v>
      </c>
      <c r="HD27" s="25">
        <f>_xll.LVCELL($D$2,HD$15,$B27,$D$5,$D$6,$D$7,$D$8,$D$9,$D$10,$D$11)</f>
        <v>1510622</v>
      </c>
      <c r="HE27" s="25">
        <f>_xll.LVCELL($D$2,HE$15,$B27,$D$5,$D$6,$D$7,$D$8,$D$9,$D$10,$D$11)</f>
        <v>1100904</v>
      </c>
      <c r="HF27" s="25">
        <f>_xll.LVCELL($D$2,HF$15,$B27,$D$5,$D$6,$D$7,$D$8,$D$9,$D$10,$D$11)</f>
        <v>1420772</v>
      </c>
      <c r="HG27" s="25">
        <f>_xll.LVCELL($D$2,HG$15,$B27,$D$5,$D$6,$D$7,$D$8,$D$9,$D$10,$D$11)</f>
        <v>936734</v>
      </c>
      <c r="HH27" s="25">
        <f>_xll.LVCELL($D$2,HH$15,$B27,$D$5,$D$6,$D$7,$D$8,$D$9,$D$10,$D$11)</f>
        <v>753169</v>
      </c>
      <c r="HI27" s="25">
        <f>_xll.LVCELL($D$2,HI$15,$B27,$D$5,$D$6,$D$7,$D$8,$D$9,$D$10,$D$11)</f>
        <v>1001821</v>
      </c>
      <c r="HJ27" s="25">
        <f>_xll.LVCELL($D$2,HJ$15,$B27,$D$5,$D$6,$D$7,$D$8,$D$9,$D$10,$D$11)</f>
        <v>1270230</v>
      </c>
      <c r="HK27" s="25">
        <f>_xll.LVCELL($D$2,HK$15,$B27,$D$5,$D$6,$D$7,$D$8,$D$9,$D$10,$D$11)</f>
        <v>2275876</v>
      </c>
      <c r="HL27" s="25">
        <f>_xll.LVCELL($D$2,HL$15,$B27,$D$5,$D$6,$D$7,$D$8,$D$9,$D$10,$D$11)</f>
        <v>1418183</v>
      </c>
      <c r="HM27" s="25">
        <f>_xll.LVCELL($D$2,HM$15,$B27,$D$5,$D$6,$D$7,$D$8,$D$9,$D$10,$D$11)</f>
        <v>3363422</v>
      </c>
    </row>
    <row r="28" spans="1:221">
      <c r="A28" t="s">
        <v>160</v>
      </c>
      <c r="B28" t="s">
        <v>317</v>
      </c>
      <c r="D28" s="10" t="s">
        <v>291</v>
      </c>
      <c r="E28" s="19">
        <v>38687</v>
      </c>
      <c r="F28" s="16" t="s">
        <v>845</v>
      </c>
      <c r="G28" s="16" t="s">
        <v>845</v>
      </c>
      <c r="H28" s="16" t="s">
        <v>845</v>
      </c>
      <c r="I28" s="16" t="s">
        <v>845</v>
      </c>
      <c r="J28" s="16" t="s">
        <v>845</v>
      </c>
      <c r="K28" s="16" t="s">
        <v>845</v>
      </c>
      <c r="L28" s="16" t="s">
        <v>845</v>
      </c>
      <c r="M28" s="16" t="s">
        <v>845</v>
      </c>
      <c r="N28" s="16" t="s">
        <v>845</v>
      </c>
      <c r="O28" s="16" t="s">
        <v>845</v>
      </c>
      <c r="P28" s="16" t="s">
        <v>845</v>
      </c>
      <c r="Q28" s="16" t="s">
        <v>845</v>
      </c>
      <c r="R28" s="16" t="s">
        <v>845</v>
      </c>
      <c r="S28" s="16" t="s">
        <v>845</v>
      </c>
      <c r="T28" s="16" t="s">
        <v>845</v>
      </c>
      <c r="U28" s="16" t="s">
        <v>845</v>
      </c>
      <c r="V28" s="16" t="s">
        <v>845</v>
      </c>
      <c r="W28" s="16" t="s">
        <v>845</v>
      </c>
      <c r="X28" s="16" t="s">
        <v>845</v>
      </c>
      <c r="Y28" s="16" t="s">
        <v>845</v>
      </c>
      <c r="Z28" s="16" t="s">
        <v>845</v>
      </c>
      <c r="AA28" s="16" t="s">
        <v>845</v>
      </c>
      <c r="AB28" s="16" t="s">
        <v>845</v>
      </c>
      <c r="AC28" s="16" t="s">
        <v>845</v>
      </c>
      <c r="AD28" s="16" t="s">
        <v>845</v>
      </c>
      <c r="AE28" s="16" t="s">
        <v>845</v>
      </c>
      <c r="AF28" s="16" t="s">
        <v>845</v>
      </c>
      <c r="AG28" s="16" t="s">
        <v>845</v>
      </c>
      <c r="AH28" s="16" t="s">
        <v>845</v>
      </c>
      <c r="AI28" s="16" t="s">
        <v>845</v>
      </c>
      <c r="AJ28" s="16" t="s">
        <v>845</v>
      </c>
      <c r="AK28" s="16" t="s">
        <v>845</v>
      </c>
      <c r="AL28" s="16" t="s">
        <v>845</v>
      </c>
      <c r="AM28" s="16" t="s">
        <v>845</v>
      </c>
      <c r="AN28" s="16" t="s">
        <v>845</v>
      </c>
      <c r="AO28" s="30" t="s">
        <v>845</v>
      </c>
      <c r="AP28" s="30" t="s">
        <v>845</v>
      </c>
      <c r="AQ28" s="30" t="s">
        <v>845</v>
      </c>
      <c r="AR28" s="30" t="s">
        <v>845</v>
      </c>
      <c r="AS28" s="30" t="s">
        <v>845</v>
      </c>
      <c r="AT28" s="30" t="s">
        <v>845</v>
      </c>
      <c r="AU28" s="30" t="s">
        <v>845</v>
      </c>
      <c r="AV28" s="30" t="s">
        <v>845</v>
      </c>
      <c r="AW28" s="30" t="s">
        <v>845</v>
      </c>
      <c r="AX28" s="30" t="s">
        <v>845</v>
      </c>
      <c r="AY28" s="30" t="s">
        <v>845</v>
      </c>
      <c r="AZ28" s="30" t="s">
        <v>845</v>
      </c>
      <c r="BA28" s="30" t="s">
        <v>845</v>
      </c>
      <c r="BB28" s="27">
        <v>1287269</v>
      </c>
      <c r="BC28" s="16">
        <v>2018415</v>
      </c>
      <c r="BD28" s="16">
        <v>1531607</v>
      </c>
      <c r="BE28" s="16">
        <v>472374</v>
      </c>
      <c r="BF28" s="16">
        <v>1533027</v>
      </c>
      <c r="BG28" s="16">
        <v>899101</v>
      </c>
      <c r="BH28" s="16">
        <v>1184833</v>
      </c>
      <c r="BI28" s="16">
        <v>803804</v>
      </c>
      <c r="BJ28" s="16">
        <v>923638</v>
      </c>
      <c r="BK28" s="16">
        <v>900808</v>
      </c>
      <c r="BL28" s="16">
        <v>1177274</v>
      </c>
      <c r="BM28" s="16">
        <v>1366724</v>
      </c>
      <c r="BN28" s="16">
        <v>1840815</v>
      </c>
      <c r="BO28" s="16">
        <v>993085</v>
      </c>
      <c r="BP28" s="16">
        <v>2238558</v>
      </c>
      <c r="BQ28" s="16">
        <v>1436794</v>
      </c>
      <c r="BR28" s="16">
        <v>743383</v>
      </c>
      <c r="BS28" s="16">
        <v>510760</v>
      </c>
      <c r="BT28" s="16">
        <v>495630</v>
      </c>
      <c r="BU28" s="16">
        <v>618078</v>
      </c>
      <c r="BV28" s="16">
        <v>807609</v>
      </c>
      <c r="BW28" s="16">
        <v>1206467</v>
      </c>
      <c r="BX28" s="16">
        <v>1352046</v>
      </c>
      <c r="BY28" s="16">
        <v>955253</v>
      </c>
      <c r="BZ28" s="16">
        <v>1113595</v>
      </c>
      <c r="CA28" s="16">
        <v>999432</v>
      </c>
      <c r="CB28" s="16">
        <v>1479079</v>
      </c>
      <c r="CC28" s="16">
        <v>1114412</v>
      </c>
      <c r="CD28" s="16">
        <v>1238979</v>
      </c>
      <c r="CE28" s="16">
        <v>1095866</v>
      </c>
      <c r="CF28" s="16">
        <v>953468</v>
      </c>
      <c r="CG28" s="16">
        <v>580539</v>
      </c>
      <c r="CH28" s="16">
        <v>674967</v>
      </c>
      <c r="CI28" s="16">
        <v>1257545</v>
      </c>
      <c r="CJ28" s="16">
        <v>2012523</v>
      </c>
      <c r="CK28" s="16">
        <v>1577442</v>
      </c>
      <c r="CL28" s="16">
        <v>598145</v>
      </c>
      <c r="CM28" s="16">
        <v>1446935</v>
      </c>
      <c r="CN28" s="16">
        <v>1639613</v>
      </c>
      <c r="CO28" s="16">
        <v>745787</v>
      </c>
      <c r="CP28" s="16">
        <v>1018702</v>
      </c>
      <c r="CQ28" s="16">
        <v>867277</v>
      </c>
      <c r="CR28" s="16">
        <v>445246</v>
      </c>
      <c r="CS28" s="16">
        <v>732390</v>
      </c>
      <c r="CT28" s="16">
        <v>622755</v>
      </c>
      <c r="CU28" s="16">
        <v>1458317</v>
      </c>
      <c r="CV28" s="16">
        <v>1397506</v>
      </c>
      <c r="CW28" s="16">
        <v>1077992</v>
      </c>
      <c r="CX28" s="16">
        <v>905805</v>
      </c>
      <c r="CY28" s="16">
        <v>452428</v>
      </c>
      <c r="CZ28" s="16">
        <v>811087</v>
      </c>
      <c r="DA28" s="16">
        <v>675216</v>
      </c>
      <c r="DB28" s="16">
        <v>756631</v>
      </c>
      <c r="DC28" s="16">
        <v>623969</v>
      </c>
      <c r="DD28" s="16">
        <v>696601</v>
      </c>
      <c r="DE28" s="16">
        <v>848315</v>
      </c>
      <c r="DF28" s="16">
        <v>596940</v>
      </c>
      <c r="DG28" s="16">
        <v>833953</v>
      </c>
      <c r="DH28" s="16">
        <v>864840</v>
      </c>
      <c r="DI28" s="16">
        <v>2235065</v>
      </c>
      <c r="DJ28" s="16">
        <v>1171051</v>
      </c>
      <c r="DK28" s="16">
        <v>861783</v>
      </c>
      <c r="DL28" s="16">
        <v>1122861</v>
      </c>
      <c r="DM28" s="16">
        <v>1860707</v>
      </c>
      <c r="DN28" s="16">
        <v>984543</v>
      </c>
      <c r="DO28" s="16">
        <v>1015745</v>
      </c>
      <c r="DP28" s="16">
        <v>727901</v>
      </c>
      <c r="DQ28" s="16">
        <v>596750</v>
      </c>
      <c r="DR28" s="16">
        <v>1018344</v>
      </c>
      <c r="DS28" s="16">
        <v>1475512</v>
      </c>
      <c r="DT28" s="16">
        <v>1423290</v>
      </c>
      <c r="DU28" s="16">
        <v>2154771</v>
      </c>
      <c r="DV28" s="16">
        <v>978161</v>
      </c>
      <c r="DW28" s="16">
        <v>1087029</v>
      </c>
      <c r="DX28" s="16">
        <v>1201733</v>
      </c>
      <c r="DY28" s="16">
        <v>1113550</v>
      </c>
      <c r="DZ28" s="16">
        <v>931204</v>
      </c>
      <c r="EA28" s="16">
        <v>1029890.0000000001</v>
      </c>
      <c r="EB28" s="16">
        <v>571432</v>
      </c>
      <c r="EC28" s="16">
        <v>580147</v>
      </c>
      <c r="ED28" s="16">
        <v>766366</v>
      </c>
      <c r="EE28" s="16">
        <v>1816552</v>
      </c>
      <c r="EF28" s="16">
        <v>1288263</v>
      </c>
      <c r="EG28" s="16">
        <v>1443458</v>
      </c>
      <c r="EH28" s="16">
        <v>1767633</v>
      </c>
      <c r="EI28" s="16">
        <v>1886128</v>
      </c>
      <c r="EJ28" s="16">
        <v>997400</v>
      </c>
      <c r="EK28" s="16">
        <v>656665</v>
      </c>
      <c r="EL28" s="16">
        <v>1598432</v>
      </c>
      <c r="EM28" s="16">
        <v>893692</v>
      </c>
      <c r="EN28" s="16">
        <v>645745</v>
      </c>
      <c r="EO28" s="16">
        <v>721990</v>
      </c>
      <c r="EP28" s="16">
        <v>541619</v>
      </c>
      <c r="EQ28" s="16">
        <v>1076440</v>
      </c>
      <c r="ER28" s="16">
        <v>1187891</v>
      </c>
      <c r="ES28" s="16">
        <v>1170725</v>
      </c>
      <c r="ET28" s="16">
        <v>1194694</v>
      </c>
      <c r="EU28" s="16">
        <v>932583</v>
      </c>
      <c r="EV28" s="16">
        <v>1319789</v>
      </c>
      <c r="EW28" s="16">
        <v>1004460</v>
      </c>
      <c r="EX28" s="16">
        <v>1489908</v>
      </c>
      <c r="EY28" s="16">
        <v>547485</v>
      </c>
      <c r="EZ28" s="16">
        <v>851371</v>
      </c>
      <c r="FA28" s="16">
        <v>1006319</v>
      </c>
      <c r="FB28" s="16">
        <v>951034</v>
      </c>
      <c r="FC28" s="16">
        <v>666696</v>
      </c>
      <c r="FD28" s="16">
        <v>1112765</v>
      </c>
      <c r="FE28" s="16">
        <v>1049195</v>
      </c>
      <c r="FF28" s="16">
        <v>2045370</v>
      </c>
      <c r="FG28" s="16">
        <v>1592489</v>
      </c>
      <c r="FH28" s="16">
        <v>1522060</v>
      </c>
      <c r="FI28" s="16">
        <v>1183449</v>
      </c>
      <c r="FJ28" s="16">
        <v>1402285</v>
      </c>
      <c r="FK28" s="16">
        <v>552144</v>
      </c>
      <c r="FL28" s="16">
        <v>434990</v>
      </c>
      <c r="FM28" s="16">
        <v>421070</v>
      </c>
      <c r="FN28" s="16">
        <v>777990</v>
      </c>
      <c r="FO28" s="16">
        <v>516340.00000000006</v>
      </c>
      <c r="FP28" s="16">
        <v>1565000</v>
      </c>
      <c r="FQ28" s="16">
        <v>306510</v>
      </c>
      <c r="FR28" s="40">
        <f>_xll.LVCELL($D$2,FR$15,$B28,$D$5,$D$6,$D$7,$D$8,$D$9,$D$10,$D$11)</f>
        <v>867420</v>
      </c>
      <c r="FS28" s="40">
        <f>_xll.LVCELL($D$2,FS$15,$B28,$D$5,$D$6,$D$7,$D$8,$D$9,$D$10,$D$11)</f>
        <v>1776850</v>
      </c>
      <c r="FT28" s="40">
        <f>_xll.LVCELL($D$2,FT$15,$B28,$D$5,$D$6,$D$7,$D$8,$D$9,$D$10,$D$11)</f>
        <v>1215450</v>
      </c>
      <c r="FU28" s="40">
        <f>_xll.LVCELL($D$2,FU$15,$B28,$D$5,$D$6,$D$7,$D$8,$D$9,$D$10,$D$11)</f>
        <v>813810</v>
      </c>
      <c r="FV28" s="40">
        <f>_xll.LVCELL($D$2,FV$15,$B28,$D$5,$D$6,$D$7,$D$8,$D$9,$D$10,$D$11)</f>
        <v>910959</v>
      </c>
      <c r="FW28" s="40">
        <f>_xll.LVCELL($D$2,FW$15,$B28,$D$5,$D$6,$D$7,$D$8,$D$9,$D$10,$D$11)</f>
        <v>801600</v>
      </c>
      <c r="FX28" s="40">
        <f>_xll.LVCELL($D$2,FX$15,$B28,$D$5,$D$6,$D$7,$D$8,$D$9,$D$10,$D$11)</f>
        <v>728100</v>
      </c>
      <c r="FY28" s="40">
        <f>_xll.LVCELL($D$2,FY$15,$B28,$D$5,$D$6,$D$7,$D$8,$D$9,$D$10,$D$11)</f>
        <v>486735</v>
      </c>
      <c r="FZ28" s="40">
        <f>_xll.LVCELL($D$2,FZ$15,$B28,$D$5,$D$6,$D$7,$D$8,$D$9,$D$10,$D$11)</f>
        <v>682057.83</v>
      </c>
      <c r="GA28" s="40">
        <f>_xll.LVCELL($D$2,GA$15,$B28,$D$5,$D$6,$D$7,$D$8,$D$9,$D$10,$D$11)</f>
        <v>776845</v>
      </c>
      <c r="GB28" s="40">
        <f>_xll.LVCELL($D$2,GB$15,$B28,$D$5,$D$6,$D$7,$D$8,$D$9,$D$10,$D$11)</f>
        <v>1249031</v>
      </c>
      <c r="GC28" s="40">
        <f>_xll.LVCELL($D$2,GC$15,$B28,$D$5,$D$6,$D$7,$D$8,$D$9,$D$10,$D$11)</f>
        <v>1711575</v>
      </c>
      <c r="GD28" s="25">
        <f>_xll.LVCELL($D$2,GD$15,$B28,$D$5,$D$6,$D$7,$D$8,$D$9,$D$10,$D$11)</f>
        <v>1857453</v>
      </c>
      <c r="GE28" s="25">
        <f>_xll.LVCELL($D$2,GE$15,$B28,$D$5,$D$6,$D$7,$D$8,$D$9,$D$10,$D$11)</f>
        <v>882460</v>
      </c>
      <c r="GF28" s="25">
        <f>_xll.LVCELL($D$2,GF$15,$B28,$D$5,$D$6,$D$7,$D$8,$D$9,$D$10,$D$11)</f>
        <v>1558047</v>
      </c>
      <c r="GG28" s="25">
        <f>_xll.LVCELL($D$2,GG$15,$B28,$D$5,$D$6,$D$7,$D$8,$D$9,$D$10,$D$11)</f>
        <v>1185102</v>
      </c>
      <c r="GH28" s="25">
        <f>_xll.LVCELL($D$2,GH$15,$B28,$D$5,$D$6,$D$7,$D$8,$D$9,$D$10,$D$11)</f>
        <v>494924</v>
      </c>
      <c r="GI28" s="25">
        <f>_xll.LVCELL($D$2,GI$15,$B28,$D$5,$D$6,$D$7,$D$8,$D$9,$D$10,$D$11)</f>
        <v>323947</v>
      </c>
      <c r="GJ28" s="25">
        <f>_xll.LVCELL($D$2,GJ$15,$B28,$D$5,$D$6,$D$7,$D$8,$D$9,$D$10,$D$11)</f>
        <v>331758</v>
      </c>
      <c r="GK28" s="25">
        <f>_xll.LVCELL($D$2,GK$15,$B28,$D$5,$D$6,$D$7,$D$8,$D$9,$D$10,$D$11)</f>
        <v>563638</v>
      </c>
      <c r="GL28" s="25">
        <f>_xll.LVCELL($D$2,GL$15,$B28,$D$5,$D$6,$D$7,$D$8,$D$9,$D$10,$D$11)</f>
        <v>450525</v>
      </c>
      <c r="GM28" s="25">
        <f>_xll.LVCELL($D$2,GM$15,$B28,$D$5,$D$6,$D$7,$D$8,$D$9,$D$10,$D$11)</f>
        <v>1217768</v>
      </c>
      <c r="GN28" s="25">
        <f>_xll.LVCELL($D$2,GN$15,$B28,$D$5,$D$6,$D$7,$D$8,$D$9,$D$10,$D$11)</f>
        <v>1144704</v>
      </c>
      <c r="GO28" s="25">
        <f>_xll.LVCELL($D$2,GO$15,$B28,$D$5,$D$6,$D$7,$D$8,$D$9,$D$10,$D$11)</f>
        <v>1522757</v>
      </c>
      <c r="GP28" s="25">
        <f>_xll.LVCELL($D$2,GP$15,$B28,$D$5,$D$6,$D$7,$D$8,$D$9,$D$10,$D$11)</f>
        <v>1183447</v>
      </c>
      <c r="GQ28" s="25">
        <f>_xll.LVCELL($D$2,GQ$15,$B28,$D$5,$D$6,$D$7,$D$8,$D$9,$D$10,$D$11)</f>
        <v>933388</v>
      </c>
      <c r="GR28" s="25">
        <f>_xll.LVCELL($D$2,GR$15,$B28,$D$5,$D$6,$D$7,$D$8,$D$9,$D$10,$D$11)</f>
        <v>1980332</v>
      </c>
      <c r="GS28" s="25">
        <f>_xll.LVCELL($D$2,GS$15,$B28,$D$5,$D$6,$D$7,$D$8,$D$9,$D$10,$D$11)</f>
        <v>1139987</v>
      </c>
      <c r="GT28" s="25">
        <f>_xll.LVCELL($D$2,GT$15,$B28,$D$5,$D$6,$D$7,$D$8,$D$9,$D$10,$D$11)</f>
        <v>1211402</v>
      </c>
      <c r="GU28" s="25">
        <f>_xll.LVCELL($D$2,GU$15,$B28,$D$5,$D$6,$D$7,$D$8,$D$9,$D$10,$D$11)</f>
        <v>727116</v>
      </c>
      <c r="GV28" s="25">
        <f>_xll.LVCELL($D$2,GV$15,$B28,$D$5,$D$6,$D$7,$D$8,$D$9,$D$10,$D$11)</f>
        <v>433353</v>
      </c>
      <c r="GW28" s="25">
        <f>_xll.LVCELL($D$2,GW$15,$B28,$D$5,$D$6,$D$7,$D$8,$D$9,$D$10,$D$11)</f>
        <v>545012</v>
      </c>
      <c r="GX28" s="25">
        <f>_xll.LVCELL($D$2,GX$15,$B28,$D$5,$D$6,$D$7,$D$8,$D$9,$D$10,$D$11)</f>
        <v>753195</v>
      </c>
      <c r="GY28" s="25">
        <f>_xll.LVCELL($D$2,GY$15,$B28,$D$5,$D$6,$D$7,$D$8,$D$9,$D$10,$D$11)</f>
        <v>1408176</v>
      </c>
      <c r="GZ28" s="25">
        <f>_xll.LVCELL($D$2,GZ$15,$B28,$D$5,$D$6,$D$7,$D$8,$D$9,$D$10,$D$11)</f>
        <v>1789700</v>
      </c>
      <c r="HA28" s="25">
        <f>_xll.LVCELL($D$2,HA$15,$B28,$D$5,$D$6,$D$7,$D$8,$D$9,$D$10,$D$11)</f>
        <v>2072478</v>
      </c>
      <c r="HB28" s="25">
        <f>_xll.LVCELL($D$2,HB$15,$B28,$D$5,$D$6,$D$7,$D$8,$D$9,$D$10,$D$11)</f>
        <v>1333003</v>
      </c>
      <c r="HC28" s="25">
        <f>_xll.LVCELL($D$2,HC$15,$B28,$D$5,$D$6,$D$7,$D$8,$D$9,$D$10,$D$11)</f>
        <v>2070531</v>
      </c>
      <c r="HD28" s="25">
        <f>_xll.LVCELL($D$2,HD$15,$B28,$D$5,$D$6,$D$7,$D$8,$D$9,$D$10,$D$11)</f>
        <v>1009001</v>
      </c>
      <c r="HE28" s="25">
        <f>_xll.LVCELL($D$2,HE$15,$B28,$D$5,$D$6,$D$7,$D$8,$D$9,$D$10,$D$11)</f>
        <v>656992</v>
      </c>
      <c r="HF28" s="25">
        <f>_xll.LVCELL($D$2,HF$15,$B28,$D$5,$D$6,$D$7,$D$8,$D$9,$D$10,$D$11)</f>
        <v>823441</v>
      </c>
      <c r="HG28" s="25">
        <f>_xll.LVCELL($D$2,HG$15,$B28,$D$5,$D$6,$D$7,$D$8,$D$9,$D$10,$D$11)</f>
        <v>593569</v>
      </c>
      <c r="HH28" s="25">
        <f>_xll.LVCELL($D$2,HH$15,$B28,$D$5,$D$6,$D$7,$D$8,$D$9,$D$10,$D$11)</f>
        <v>440102</v>
      </c>
      <c r="HI28" s="25">
        <f>_xll.LVCELL($D$2,HI$15,$B28,$D$5,$D$6,$D$7,$D$8,$D$9,$D$10,$D$11)</f>
        <v>676720</v>
      </c>
      <c r="HJ28" s="25">
        <f>_xll.LVCELL($D$2,HJ$15,$B28,$D$5,$D$6,$D$7,$D$8,$D$9,$D$10,$D$11)</f>
        <v>819845</v>
      </c>
      <c r="HK28" s="25">
        <f>_xll.LVCELL($D$2,HK$15,$B28,$D$5,$D$6,$D$7,$D$8,$D$9,$D$10,$D$11)</f>
        <v>1763636</v>
      </c>
      <c r="HL28" s="25">
        <f>_xll.LVCELL($D$2,HL$15,$B28,$D$5,$D$6,$D$7,$D$8,$D$9,$D$10,$D$11)</f>
        <v>762152</v>
      </c>
      <c r="HM28" s="25">
        <f>_xll.LVCELL($D$2,HM$15,$B28,$D$5,$D$6,$D$7,$D$8,$D$9,$D$10,$D$11)</f>
        <v>2283128</v>
      </c>
    </row>
    <row r="29" spans="1:221">
      <c r="A29" t="s">
        <v>162</v>
      </c>
      <c r="B29" t="s">
        <v>318</v>
      </c>
      <c r="D29" s="10" t="s">
        <v>292</v>
      </c>
      <c r="E29" s="19">
        <v>38687</v>
      </c>
      <c r="F29" s="16" t="s">
        <v>845</v>
      </c>
      <c r="G29" s="16" t="s">
        <v>845</v>
      </c>
      <c r="H29" s="16" t="s">
        <v>845</v>
      </c>
      <c r="I29" s="16" t="s">
        <v>845</v>
      </c>
      <c r="J29" s="16" t="s">
        <v>845</v>
      </c>
      <c r="K29" s="16" t="s">
        <v>845</v>
      </c>
      <c r="L29" s="16" t="s">
        <v>845</v>
      </c>
      <c r="M29" s="16" t="s">
        <v>845</v>
      </c>
      <c r="N29" s="16" t="s">
        <v>845</v>
      </c>
      <c r="O29" s="16" t="s">
        <v>845</v>
      </c>
      <c r="P29" s="16" t="s">
        <v>845</v>
      </c>
      <c r="Q29" s="16" t="s">
        <v>845</v>
      </c>
      <c r="R29" s="16" t="s">
        <v>845</v>
      </c>
      <c r="S29" s="16" t="s">
        <v>845</v>
      </c>
      <c r="T29" s="16" t="s">
        <v>845</v>
      </c>
      <c r="U29" s="16" t="s">
        <v>845</v>
      </c>
      <c r="V29" s="16" t="s">
        <v>845</v>
      </c>
      <c r="W29" s="16" t="s">
        <v>845</v>
      </c>
      <c r="X29" s="16" t="s">
        <v>845</v>
      </c>
      <c r="Y29" s="16" t="s">
        <v>845</v>
      </c>
      <c r="Z29" s="16" t="s">
        <v>845</v>
      </c>
      <c r="AA29" s="16" t="s">
        <v>845</v>
      </c>
      <c r="AB29" s="16" t="s">
        <v>845</v>
      </c>
      <c r="AC29" s="16" t="s">
        <v>845</v>
      </c>
      <c r="AD29" s="16" t="s">
        <v>845</v>
      </c>
      <c r="AE29" s="16" t="s">
        <v>845</v>
      </c>
      <c r="AF29" s="16" t="s">
        <v>845</v>
      </c>
      <c r="AG29" s="16" t="s">
        <v>845</v>
      </c>
      <c r="AH29" s="16" t="s">
        <v>845</v>
      </c>
      <c r="AI29" s="16" t="s">
        <v>845</v>
      </c>
      <c r="AJ29" s="16" t="s">
        <v>845</v>
      </c>
      <c r="AK29" s="16" t="s">
        <v>845</v>
      </c>
      <c r="AL29" s="16" t="s">
        <v>845</v>
      </c>
      <c r="AM29" s="16" t="s">
        <v>845</v>
      </c>
      <c r="AN29" s="16" t="s">
        <v>845</v>
      </c>
      <c r="AO29" s="30" t="s">
        <v>845</v>
      </c>
      <c r="AP29" s="30" t="s">
        <v>845</v>
      </c>
      <c r="AQ29" s="30" t="s">
        <v>845</v>
      </c>
      <c r="AR29" s="30" t="s">
        <v>845</v>
      </c>
      <c r="AS29" s="30" t="s">
        <v>845</v>
      </c>
      <c r="AT29" s="30" t="s">
        <v>845</v>
      </c>
      <c r="AU29" s="30" t="s">
        <v>845</v>
      </c>
      <c r="AV29" s="30" t="s">
        <v>845</v>
      </c>
      <c r="AW29" s="30" t="s">
        <v>845</v>
      </c>
      <c r="AX29" s="30" t="s">
        <v>845</v>
      </c>
      <c r="AY29" s="30" t="s">
        <v>845</v>
      </c>
      <c r="AZ29" s="30" t="s">
        <v>845</v>
      </c>
      <c r="BA29" s="30" t="s">
        <v>845</v>
      </c>
      <c r="BB29" s="27">
        <v>1571561</v>
      </c>
      <c r="BC29" s="16">
        <v>2408712</v>
      </c>
      <c r="BD29" s="16">
        <v>2062121</v>
      </c>
      <c r="BE29" s="16">
        <v>689435</v>
      </c>
      <c r="BF29" s="16">
        <v>1950317</v>
      </c>
      <c r="BG29" s="16">
        <v>1131986</v>
      </c>
      <c r="BH29" s="16">
        <v>1495704</v>
      </c>
      <c r="BI29" s="16">
        <v>1036215.9999999999</v>
      </c>
      <c r="BJ29" s="16">
        <v>1313619</v>
      </c>
      <c r="BK29" s="16">
        <v>1203889</v>
      </c>
      <c r="BL29" s="16">
        <v>1647376</v>
      </c>
      <c r="BM29" s="16">
        <v>1819122</v>
      </c>
      <c r="BN29" s="16">
        <v>2197285</v>
      </c>
      <c r="BO29" s="16">
        <v>1085431</v>
      </c>
      <c r="BP29" s="16">
        <v>2829646</v>
      </c>
      <c r="BQ29" s="16">
        <v>1543321</v>
      </c>
      <c r="BR29" s="16">
        <v>955903</v>
      </c>
      <c r="BS29" s="16">
        <v>686371</v>
      </c>
      <c r="BT29" s="16">
        <v>631820</v>
      </c>
      <c r="BU29" s="16">
        <v>776892</v>
      </c>
      <c r="BV29" s="16">
        <v>1069976</v>
      </c>
      <c r="BW29" s="16">
        <v>1472633</v>
      </c>
      <c r="BX29" s="16">
        <v>1859336</v>
      </c>
      <c r="BY29" s="16">
        <v>1227155</v>
      </c>
      <c r="BZ29" s="16">
        <v>1296577</v>
      </c>
      <c r="CA29" s="16">
        <v>1483398</v>
      </c>
      <c r="CB29" s="16">
        <v>2099151</v>
      </c>
      <c r="CC29" s="16">
        <v>1661660</v>
      </c>
      <c r="CD29" s="16">
        <v>1592393</v>
      </c>
      <c r="CE29" s="16">
        <v>1443023</v>
      </c>
      <c r="CF29" s="16">
        <v>1125780</v>
      </c>
      <c r="CG29" s="16">
        <v>753010</v>
      </c>
      <c r="CH29" s="16">
        <v>913825</v>
      </c>
      <c r="CI29" s="16">
        <v>1599062</v>
      </c>
      <c r="CJ29" s="16">
        <v>2317187</v>
      </c>
      <c r="CK29" s="16">
        <v>1951919</v>
      </c>
      <c r="CL29" s="16">
        <v>778115</v>
      </c>
      <c r="CM29" s="16">
        <v>1790959</v>
      </c>
      <c r="CN29" s="16">
        <v>2021705</v>
      </c>
      <c r="CO29" s="16">
        <v>1023837</v>
      </c>
      <c r="CP29" s="16">
        <v>1509128</v>
      </c>
      <c r="CQ29" s="16">
        <v>1274634</v>
      </c>
      <c r="CR29" s="16">
        <v>685209</v>
      </c>
      <c r="CS29" s="16">
        <v>1012033</v>
      </c>
      <c r="CT29" s="16">
        <v>784349</v>
      </c>
      <c r="CU29" s="16">
        <v>1839466</v>
      </c>
      <c r="CV29" s="16">
        <v>1877593</v>
      </c>
      <c r="CW29" s="16">
        <v>1252646</v>
      </c>
      <c r="CX29" s="16">
        <v>1185113</v>
      </c>
      <c r="CY29" s="16">
        <v>716533</v>
      </c>
      <c r="CZ29" s="16">
        <v>1111156</v>
      </c>
      <c r="DA29" s="16">
        <v>954474</v>
      </c>
      <c r="DB29" s="16">
        <v>987415</v>
      </c>
      <c r="DC29" s="16">
        <v>790421</v>
      </c>
      <c r="DD29" s="16">
        <v>1114073</v>
      </c>
      <c r="DE29" s="16">
        <v>1055611</v>
      </c>
      <c r="DF29" s="16">
        <v>790940</v>
      </c>
      <c r="DG29" s="16">
        <v>1187843</v>
      </c>
      <c r="DH29" s="16">
        <v>1082439</v>
      </c>
      <c r="DI29" s="16">
        <v>2908380</v>
      </c>
      <c r="DJ29" s="16">
        <v>1578875</v>
      </c>
      <c r="DK29" s="16">
        <v>1170521</v>
      </c>
      <c r="DL29" s="16">
        <v>1517354</v>
      </c>
      <c r="DM29" s="16">
        <v>2441565</v>
      </c>
      <c r="DN29" s="16">
        <v>1282706</v>
      </c>
      <c r="DO29" s="16">
        <v>1218562</v>
      </c>
      <c r="DP29" s="16">
        <v>917813</v>
      </c>
      <c r="DQ29" s="16">
        <v>821137</v>
      </c>
      <c r="DR29" s="16">
        <v>1346481</v>
      </c>
      <c r="DS29" s="16">
        <v>1984718</v>
      </c>
      <c r="DT29" s="16">
        <v>1770305</v>
      </c>
      <c r="DU29" s="16">
        <v>2775659</v>
      </c>
      <c r="DV29" s="16">
        <v>1256741</v>
      </c>
      <c r="DW29" s="16">
        <v>1614320</v>
      </c>
      <c r="DX29" s="16">
        <v>1575310</v>
      </c>
      <c r="DY29" s="16">
        <v>1333168</v>
      </c>
      <c r="DZ29" s="16">
        <v>1289699</v>
      </c>
      <c r="EA29" s="16">
        <v>1442415</v>
      </c>
      <c r="EB29" s="16">
        <v>768043</v>
      </c>
      <c r="EC29" s="16">
        <v>801099</v>
      </c>
      <c r="ED29" s="16">
        <v>936906</v>
      </c>
      <c r="EE29" s="16">
        <v>2201217</v>
      </c>
      <c r="EF29" s="16">
        <v>1605560</v>
      </c>
      <c r="EG29" s="16">
        <v>1751113</v>
      </c>
      <c r="EH29" s="16">
        <v>2013375</v>
      </c>
      <c r="EI29" s="16">
        <v>2345656</v>
      </c>
      <c r="EJ29" s="16">
        <v>1400097</v>
      </c>
      <c r="EK29" s="16">
        <v>906126</v>
      </c>
      <c r="EL29" s="16">
        <v>2155923</v>
      </c>
      <c r="EM29" s="16">
        <v>1159442</v>
      </c>
      <c r="EN29" s="16">
        <v>910302</v>
      </c>
      <c r="EO29" s="16">
        <v>851179</v>
      </c>
      <c r="EP29" s="16">
        <v>648760</v>
      </c>
      <c r="EQ29" s="16">
        <v>1288610</v>
      </c>
      <c r="ER29" s="16">
        <v>1597957</v>
      </c>
      <c r="ES29" s="16">
        <v>1331701</v>
      </c>
      <c r="ET29" s="16">
        <v>1504944</v>
      </c>
      <c r="EU29" s="16">
        <v>1213229</v>
      </c>
      <c r="EV29" s="16">
        <v>1667693</v>
      </c>
      <c r="EW29" s="16">
        <v>1302373</v>
      </c>
      <c r="EX29" s="16">
        <v>1980355</v>
      </c>
      <c r="EY29" s="16">
        <v>751646</v>
      </c>
      <c r="EZ29" s="16">
        <v>1024265.0000000001</v>
      </c>
      <c r="FA29" s="16">
        <v>1238039</v>
      </c>
      <c r="FB29" s="16">
        <v>1249805</v>
      </c>
      <c r="FC29" s="16">
        <v>760331</v>
      </c>
      <c r="FD29" s="16">
        <v>1592086</v>
      </c>
      <c r="FE29" s="16">
        <v>709570</v>
      </c>
      <c r="FF29" s="16">
        <v>2476112</v>
      </c>
      <c r="FG29" s="16">
        <v>2077592.9999999998</v>
      </c>
      <c r="FH29" s="16">
        <v>1937915</v>
      </c>
      <c r="FI29" s="16">
        <v>1571457</v>
      </c>
      <c r="FJ29" s="16">
        <v>1836019</v>
      </c>
      <c r="FK29" s="16">
        <v>734289</v>
      </c>
      <c r="FL29" s="16">
        <v>564490</v>
      </c>
      <c r="FM29" s="16">
        <v>558000</v>
      </c>
      <c r="FN29" s="16">
        <v>1016760</v>
      </c>
      <c r="FO29" s="16">
        <v>587910</v>
      </c>
      <c r="FP29" s="16">
        <v>2000890</v>
      </c>
      <c r="FQ29" s="16">
        <v>353930</v>
      </c>
      <c r="FR29" s="40">
        <f>_xll.LVCELL($D$2,FR$15,$B29,$D$5,$D$6,$D$7,$D$8,$D$9,$D$10,$D$11)</f>
        <v>1195400</v>
      </c>
      <c r="FS29" s="40">
        <f>_xll.LVCELL($D$2,FS$15,$B29,$D$5,$D$6,$D$7,$D$8,$D$9,$D$10,$D$11)</f>
        <v>2285860</v>
      </c>
      <c r="FT29" s="40">
        <f>_xll.LVCELL($D$2,FT$15,$B29,$D$5,$D$6,$D$7,$D$8,$D$9,$D$10,$D$11)</f>
        <v>1611790</v>
      </c>
      <c r="FU29" s="40">
        <f>_xll.LVCELL($D$2,FU$15,$B29,$D$5,$D$6,$D$7,$D$8,$D$9,$D$10,$D$11)</f>
        <v>1193620</v>
      </c>
      <c r="FV29" s="40">
        <f>_xll.LVCELL($D$2,FV$15,$B29,$D$5,$D$6,$D$7,$D$8,$D$9,$D$10,$D$11)</f>
        <v>208378</v>
      </c>
      <c r="FW29" s="40">
        <f>_xll.LVCELL($D$2,FW$15,$B29,$D$5,$D$6,$D$7,$D$8,$D$9,$D$10,$D$11)</f>
        <v>1844960</v>
      </c>
      <c r="FX29" s="40">
        <f>_xll.LVCELL($D$2,FX$15,$B29,$D$5,$D$6,$D$7,$D$8,$D$9,$D$10,$D$11)</f>
        <v>840653</v>
      </c>
      <c r="FY29" s="40">
        <f>_xll.LVCELL($D$2,FY$15,$B29,$D$5,$D$6,$D$7,$D$8,$D$9,$D$10,$D$11)</f>
        <v>586161</v>
      </c>
      <c r="FZ29" s="40">
        <f>_xll.LVCELL($D$2,FZ$15,$B29,$D$5,$D$6,$D$7,$D$8,$D$9,$D$10,$D$11)</f>
        <v>913916</v>
      </c>
      <c r="GA29" s="40">
        <f>_xll.LVCELL($D$2,GA$15,$B29,$D$5,$D$6,$D$7,$D$8,$D$9,$D$10,$D$11)</f>
        <v>1106598</v>
      </c>
      <c r="GB29" s="40">
        <f>_xll.LVCELL($D$2,GB$15,$B29,$D$5,$D$6,$D$7,$D$8,$D$9,$D$10,$D$11)</f>
        <v>1722992</v>
      </c>
      <c r="GC29" s="40">
        <f>_xll.LVCELL($D$2,GC$15,$B29,$D$5,$D$6,$D$7,$D$8,$D$9,$D$10,$D$11)</f>
        <v>2508209</v>
      </c>
      <c r="GD29" s="25">
        <f>_xll.LVCELL($D$2,GD$15,$B29,$D$5,$D$6,$D$7,$D$8,$D$9,$D$10,$D$11)</f>
        <v>2642601</v>
      </c>
      <c r="GE29" s="25">
        <f>_xll.LVCELL($D$2,GE$15,$B29,$D$5,$D$6,$D$7,$D$8,$D$9,$D$10,$D$11)</f>
        <v>1366261</v>
      </c>
      <c r="GF29" s="25">
        <f>_xll.LVCELL($D$2,GF$15,$B29,$D$5,$D$6,$D$7,$D$8,$D$9,$D$10,$D$11)</f>
        <v>2095639</v>
      </c>
      <c r="GG29" s="25">
        <f>_xll.LVCELL($D$2,GG$15,$B29,$D$5,$D$6,$D$7,$D$8,$D$9,$D$10,$D$11)</f>
        <v>1582408</v>
      </c>
      <c r="GH29" s="25">
        <f>_xll.LVCELL($D$2,GH$15,$B29,$D$5,$D$6,$D$7,$D$8,$D$9,$D$10,$D$11)</f>
        <v>809275</v>
      </c>
      <c r="GI29" s="25">
        <f>_xll.LVCELL($D$2,GI$15,$B29,$D$5,$D$6,$D$7,$D$8,$D$9,$D$10,$D$11)</f>
        <v>678717</v>
      </c>
      <c r="GJ29" s="25">
        <f>_xll.LVCELL($D$2,GJ$15,$B29,$D$5,$D$6,$D$7,$D$8,$D$9,$D$10,$D$11)</f>
        <v>554073</v>
      </c>
      <c r="GK29" s="25">
        <f>_xll.LVCELL($D$2,GK$15,$B29,$D$5,$D$6,$D$7,$D$8,$D$9,$D$10,$D$11)</f>
        <v>733959</v>
      </c>
      <c r="GL29" s="25">
        <f>_xll.LVCELL($D$2,GL$15,$B29,$D$5,$D$6,$D$7,$D$8,$D$9,$D$10,$D$11)</f>
        <v>578839</v>
      </c>
      <c r="GM29" s="25">
        <f>_xll.LVCELL($D$2,GM$15,$B29,$D$5,$D$6,$D$7,$D$8,$D$9,$D$10,$D$11)</f>
        <v>1738275</v>
      </c>
      <c r="GN29" s="25">
        <f>_xll.LVCELL($D$2,GN$15,$B29,$D$5,$D$6,$D$7,$D$8,$D$9,$D$10,$D$11)</f>
        <v>1512461</v>
      </c>
      <c r="GO29" s="25">
        <f>_xll.LVCELL($D$2,GO$15,$B29,$D$5,$D$6,$D$7,$D$8,$D$9,$D$10,$D$11)</f>
        <v>1915947</v>
      </c>
      <c r="GP29" s="25">
        <f>_xll.LVCELL($D$2,GP$15,$B29,$D$5,$D$6,$D$7,$D$8,$D$9,$D$10,$D$11)</f>
        <v>1546076</v>
      </c>
      <c r="GQ29" s="25">
        <f>_xll.LVCELL($D$2,GQ$15,$B29,$D$5,$D$6,$D$7,$D$8,$D$9,$D$10,$D$11)</f>
        <v>1167516</v>
      </c>
      <c r="GR29" s="25">
        <f>_xll.LVCELL($D$2,GR$15,$B29,$D$5,$D$6,$D$7,$D$8,$D$9,$D$10,$D$11)</f>
        <v>2664106</v>
      </c>
      <c r="GS29" s="25">
        <f>_xll.LVCELL($D$2,GS$15,$B29,$D$5,$D$6,$D$7,$D$8,$D$9,$D$10,$D$11)</f>
        <v>1607844</v>
      </c>
      <c r="GT29" s="25">
        <f>_xll.LVCELL($D$2,GT$15,$B29,$D$5,$D$6,$D$7,$D$8,$D$9,$D$10,$D$11)</f>
        <v>1730921</v>
      </c>
      <c r="GU29" s="25">
        <f>_xll.LVCELL($D$2,GU$15,$B29,$D$5,$D$6,$D$7,$D$8,$D$9,$D$10,$D$11)</f>
        <v>878121</v>
      </c>
      <c r="GV29" s="25">
        <f>_xll.LVCELL($D$2,GV$15,$B29,$D$5,$D$6,$D$7,$D$8,$D$9,$D$10,$D$11)</f>
        <v>640418</v>
      </c>
      <c r="GW29" s="25">
        <f>_xll.LVCELL($D$2,GW$15,$B29,$D$5,$D$6,$D$7,$D$8,$D$9,$D$10,$D$11)</f>
        <v>681091</v>
      </c>
      <c r="GX29" s="25">
        <f>_xll.LVCELL($D$2,GX$15,$B29,$D$5,$D$6,$D$7,$D$8,$D$9,$D$10,$D$11)</f>
        <v>937466</v>
      </c>
      <c r="GY29" s="25">
        <f>_xll.LVCELL($D$2,GY$15,$B29,$D$5,$D$6,$D$7,$D$8,$D$9,$D$10,$D$11)</f>
        <v>1769180</v>
      </c>
      <c r="GZ29" s="25">
        <f>_xll.LVCELL($D$2,GZ$15,$B29,$D$5,$D$6,$D$7,$D$8,$D$9,$D$10,$D$11)</f>
        <v>2086266</v>
      </c>
      <c r="HA29" s="25">
        <f>_xll.LVCELL($D$2,HA$15,$B29,$D$5,$D$6,$D$7,$D$8,$D$9,$D$10,$D$11)</f>
        <v>2819300</v>
      </c>
      <c r="HB29" s="25">
        <f>_xll.LVCELL($D$2,HB$15,$B29,$D$5,$D$6,$D$7,$D$8,$D$9,$D$10,$D$11)</f>
        <v>1668176</v>
      </c>
      <c r="HC29" s="25">
        <f>_xll.LVCELL($D$2,HC$15,$B29,$D$5,$D$6,$D$7,$D$8,$D$9,$D$10,$D$11)</f>
        <v>2651163</v>
      </c>
      <c r="HD29" s="25">
        <f>_xll.LVCELL($D$2,HD$15,$B29,$D$5,$D$6,$D$7,$D$8,$D$9,$D$10,$D$11)</f>
        <v>1365463</v>
      </c>
      <c r="HE29" s="25">
        <f>_xll.LVCELL($D$2,HE$15,$B29,$D$5,$D$6,$D$7,$D$8,$D$9,$D$10,$D$11)</f>
        <v>866952</v>
      </c>
      <c r="HF29" s="25">
        <f>_xll.LVCELL($D$2,HF$15,$B29,$D$5,$D$6,$D$7,$D$8,$D$9,$D$10,$D$11)</f>
        <v>1226443</v>
      </c>
      <c r="HG29" s="25">
        <f>_xll.LVCELL($D$2,HG$15,$B29,$D$5,$D$6,$D$7,$D$8,$D$9,$D$10,$D$11)</f>
        <v>850783</v>
      </c>
      <c r="HH29" s="25">
        <f>_xll.LVCELL($D$2,HH$15,$B29,$D$5,$D$6,$D$7,$D$8,$D$9,$D$10,$D$11)</f>
        <v>652842</v>
      </c>
      <c r="HI29" s="25">
        <f>_xll.LVCELL($D$2,HI$15,$B29,$D$5,$D$6,$D$7,$D$8,$D$9,$D$10,$D$11)</f>
        <v>880666</v>
      </c>
      <c r="HJ29" s="25">
        <f>_xll.LVCELL($D$2,HJ$15,$B29,$D$5,$D$6,$D$7,$D$8,$D$9,$D$10,$D$11)</f>
        <v>1124198</v>
      </c>
      <c r="HK29" s="25">
        <f>_xll.LVCELL($D$2,HK$15,$B29,$D$5,$D$6,$D$7,$D$8,$D$9,$D$10,$D$11)</f>
        <v>2337951</v>
      </c>
      <c r="HL29" s="25">
        <f>_xll.LVCELL($D$2,HL$15,$B29,$D$5,$D$6,$D$7,$D$8,$D$9,$D$10,$D$11)</f>
        <v>911458</v>
      </c>
      <c r="HM29" s="25">
        <f>_xll.LVCELL($D$2,HM$15,$B29,$D$5,$D$6,$D$7,$D$8,$D$9,$D$10,$D$11)</f>
        <v>2892727</v>
      </c>
    </row>
    <row r="30" spans="1:221">
      <c r="A30" t="s">
        <v>158</v>
      </c>
      <c r="B30" t="s">
        <v>319</v>
      </c>
      <c r="D30" s="10" t="s">
        <v>293</v>
      </c>
      <c r="E30" s="19">
        <v>38687</v>
      </c>
      <c r="F30" s="16" t="s">
        <v>845</v>
      </c>
      <c r="G30" s="16" t="s">
        <v>845</v>
      </c>
      <c r="H30" s="16" t="s">
        <v>845</v>
      </c>
      <c r="I30" s="16" t="s">
        <v>845</v>
      </c>
      <c r="J30" s="16" t="s">
        <v>845</v>
      </c>
      <c r="K30" s="16" t="s">
        <v>845</v>
      </c>
      <c r="L30" s="16" t="s">
        <v>845</v>
      </c>
      <c r="M30" s="16" t="s">
        <v>845</v>
      </c>
      <c r="N30" s="16" t="s">
        <v>845</v>
      </c>
      <c r="O30" s="16" t="s">
        <v>845</v>
      </c>
      <c r="P30" s="16" t="s">
        <v>845</v>
      </c>
      <c r="Q30" s="16" t="s">
        <v>845</v>
      </c>
      <c r="R30" s="16" t="s">
        <v>845</v>
      </c>
      <c r="S30" s="16" t="s">
        <v>845</v>
      </c>
      <c r="T30" s="16" t="s">
        <v>845</v>
      </c>
      <c r="U30" s="16" t="s">
        <v>845</v>
      </c>
      <c r="V30" s="16" t="s">
        <v>845</v>
      </c>
      <c r="W30" s="16" t="s">
        <v>845</v>
      </c>
      <c r="X30" s="16" t="s">
        <v>845</v>
      </c>
      <c r="Y30" s="16" t="s">
        <v>845</v>
      </c>
      <c r="Z30" s="16" t="s">
        <v>845</v>
      </c>
      <c r="AA30" s="16" t="s">
        <v>845</v>
      </c>
      <c r="AB30" s="16" t="s">
        <v>845</v>
      </c>
      <c r="AC30" s="16" t="s">
        <v>845</v>
      </c>
      <c r="AD30" s="16" t="s">
        <v>845</v>
      </c>
      <c r="AE30" s="16" t="s">
        <v>845</v>
      </c>
      <c r="AF30" s="16" t="s">
        <v>845</v>
      </c>
      <c r="AG30" s="16" t="s">
        <v>845</v>
      </c>
      <c r="AH30" s="16" t="s">
        <v>845</v>
      </c>
      <c r="AI30" s="16" t="s">
        <v>845</v>
      </c>
      <c r="AJ30" s="16" t="s">
        <v>845</v>
      </c>
      <c r="AK30" s="16" t="s">
        <v>845</v>
      </c>
      <c r="AL30" s="16" t="s">
        <v>845</v>
      </c>
      <c r="AM30" s="16" t="s">
        <v>845</v>
      </c>
      <c r="AN30" s="16" t="s">
        <v>845</v>
      </c>
      <c r="AO30" s="30" t="s">
        <v>845</v>
      </c>
      <c r="AP30" s="30" t="s">
        <v>845</v>
      </c>
      <c r="AQ30" s="30" t="s">
        <v>845</v>
      </c>
      <c r="AR30" s="30" t="s">
        <v>845</v>
      </c>
      <c r="AS30" s="30" t="s">
        <v>845</v>
      </c>
      <c r="AT30" s="30" t="s">
        <v>845</v>
      </c>
      <c r="AU30" s="30" t="s">
        <v>845</v>
      </c>
      <c r="AV30" s="30" t="s">
        <v>845</v>
      </c>
      <c r="AW30" s="30" t="s">
        <v>845</v>
      </c>
      <c r="AX30" s="30" t="s">
        <v>845</v>
      </c>
      <c r="AY30" s="30" t="s">
        <v>845</v>
      </c>
      <c r="AZ30" s="30" t="s">
        <v>845</v>
      </c>
      <c r="BA30" s="30" t="s">
        <v>845</v>
      </c>
      <c r="BB30" s="27">
        <v>2122204</v>
      </c>
      <c r="BC30" s="16">
        <v>3159206</v>
      </c>
      <c r="BD30" s="16">
        <v>2469028</v>
      </c>
      <c r="BE30" s="16">
        <v>717623</v>
      </c>
      <c r="BF30" s="16">
        <v>2382531</v>
      </c>
      <c r="BG30" s="16">
        <v>1468962</v>
      </c>
      <c r="BH30" s="16">
        <v>1834486</v>
      </c>
      <c r="BI30" s="16">
        <v>1329310</v>
      </c>
      <c r="BJ30" s="16">
        <v>1634396</v>
      </c>
      <c r="BK30" s="16">
        <v>1449232</v>
      </c>
      <c r="BL30" s="16">
        <v>1726538</v>
      </c>
      <c r="BM30" s="16">
        <v>2186055</v>
      </c>
      <c r="BN30" s="16">
        <v>2730060</v>
      </c>
      <c r="BO30" s="16">
        <v>1558548</v>
      </c>
      <c r="BP30" s="16">
        <v>3341763</v>
      </c>
      <c r="BQ30" s="16">
        <v>2228788</v>
      </c>
      <c r="BR30" s="16">
        <v>1214044</v>
      </c>
      <c r="BS30" s="16">
        <v>851279</v>
      </c>
      <c r="BT30" s="16">
        <v>825270</v>
      </c>
      <c r="BU30" s="16">
        <v>1026039</v>
      </c>
      <c r="BV30" s="16">
        <v>1293418</v>
      </c>
      <c r="BW30" s="16">
        <v>1952934</v>
      </c>
      <c r="BX30" s="16">
        <v>2069215.0000000002</v>
      </c>
      <c r="BY30" s="16">
        <v>1673084</v>
      </c>
      <c r="BZ30" s="16">
        <v>1746032</v>
      </c>
      <c r="CA30" s="16">
        <v>1507011</v>
      </c>
      <c r="CB30" s="16">
        <v>2312281</v>
      </c>
      <c r="CC30" s="16">
        <v>1716357</v>
      </c>
      <c r="CD30" s="16">
        <v>2036170</v>
      </c>
      <c r="CE30" s="16">
        <v>1746438</v>
      </c>
      <c r="CF30" s="16">
        <v>1420508</v>
      </c>
      <c r="CG30" s="16">
        <v>944656</v>
      </c>
      <c r="CH30" s="16">
        <v>1072643</v>
      </c>
      <c r="CI30" s="16">
        <v>1994003</v>
      </c>
      <c r="CJ30" s="16">
        <v>3123794</v>
      </c>
      <c r="CK30" s="16">
        <v>2302198</v>
      </c>
      <c r="CL30" s="16">
        <v>967468</v>
      </c>
      <c r="CM30" s="16">
        <v>2206058</v>
      </c>
      <c r="CN30" s="16">
        <v>2604439</v>
      </c>
      <c r="CO30" s="16">
        <v>1099111</v>
      </c>
      <c r="CP30" s="16">
        <v>1662697</v>
      </c>
      <c r="CQ30" s="16">
        <v>1472249</v>
      </c>
      <c r="CR30" s="16">
        <v>806461</v>
      </c>
      <c r="CS30" s="16">
        <v>1228407</v>
      </c>
      <c r="CT30" s="16">
        <v>1061617</v>
      </c>
      <c r="CU30" s="16">
        <v>2153443</v>
      </c>
      <c r="CV30" s="16">
        <v>2045442</v>
      </c>
      <c r="CW30" s="16">
        <v>1590615</v>
      </c>
      <c r="CX30" s="16">
        <v>1386484</v>
      </c>
      <c r="CY30" s="16">
        <v>806611</v>
      </c>
      <c r="CZ30" s="16">
        <v>1267515</v>
      </c>
      <c r="DA30" s="16">
        <v>1125519</v>
      </c>
      <c r="DB30" s="16">
        <v>1261351</v>
      </c>
      <c r="DC30" s="16">
        <v>960357</v>
      </c>
      <c r="DD30" s="16">
        <v>1300116</v>
      </c>
      <c r="DE30" s="16">
        <v>1360098</v>
      </c>
      <c r="DF30" s="16">
        <v>1030856</v>
      </c>
      <c r="DG30" s="16">
        <v>1480046</v>
      </c>
      <c r="DH30" s="16">
        <v>1390031</v>
      </c>
      <c r="DI30" s="16">
        <v>3309209</v>
      </c>
      <c r="DJ30" s="16">
        <v>1767793</v>
      </c>
      <c r="DK30" s="16">
        <v>1141498</v>
      </c>
      <c r="DL30" s="16">
        <v>1749555</v>
      </c>
      <c r="DM30" s="16">
        <v>2878634</v>
      </c>
      <c r="DN30" s="16">
        <v>1527931</v>
      </c>
      <c r="DO30" s="16">
        <v>1594253</v>
      </c>
      <c r="DP30" s="16">
        <v>1179361</v>
      </c>
      <c r="DQ30" s="16">
        <v>995546</v>
      </c>
      <c r="DR30" s="16">
        <v>1695908</v>
      </c>
      <c r="DS30" s="16">
        <v>2276065</v>
      </c>
      <c r="DT30" s="16">
        <v>1931941</v>
      </c>
      <c r="DU30" s="16">
        <v>3207683</v>
      </c>
      <c r="DV30" s="16">
        <v>1514693</v>
      </c>
      <c r="DW30" s="16">
        <v>1594126</v>
      </c>
      <c r="DX30" s="16">
        <v>1840587</v>
      </c>
      <c r="DY30" s="16">
        <v>1793001</v>
      </c>
      <c r="DZ30" s="16">
        <v>1548027</v>
      </c>
      <c r="EA30" s="16">
        <v>1708290</v>
      </c>
      <c r="EB30" s="16">
        <v>845158</v>
      </c>
      <c r="EC30" s="16">
        <v>983935</v>
      </c>
      <c r="ED30" s="16">
        <v>1215199</v>
      </c>
      <c r="EE30" s="16">
        <v>2758140</v>
      </c>
      <c r="EF30" s="16">
        <v>1900535</v>
      </c>
      <c r="EG30" s="16">
        <v>2274330</v>
      </c>
      <c r="EH30" s="16">
        <v>2727329</v>
      </c>
      <c r="EI30" s="16">
        <v>2885441</v>
      </c>
      <c r="EJ30" s="16">
        <v>1659542</v>
      </c>
      <c r="EK30" s="16">
        <v>1080964</v>
      </c>
      <c r="EL30" s="16">
        <v>2494052</v>
      </c>
      <c r="EM30" s="16">
        <v>1501712</v>
      </c>
      <c r="EN30" s="16">
        <v>1044694.9999999999</v>
      </c>
      <c r="EO30" s="16">
        <v>1073840</v>
      </c>
      <c r="EP30" s="16">
        <v>872761</v>
      </c>
      <c r="EQ30" s="16">
        <v>1556127</v>
      </c>
      <c r="ER30" s="16">
        <v>2053569</v>
      </c>
      <c r="ES30" s="16">
        <v>1440571</v>
      </c>
      <c r="ET30" s="16">
        <v>1789440</v>
      </c>
      <c r="EU30" s="16">
        <v>1516147</v>
      </c>
      <c r="EV30" s="16">
        <v>1798584</v>
      </c>
      <c r="EW30" s="16">
        <v>1508631</v>
      </c>
      <c r="EX30" s="16">
        <v>2333042</v>
      </c>
      <c r="EY30" s="16">
        <v>887120</v>
      </c>
      <c r="EZ30" s="16">
        <v>1392292</v>
      </c>
      <c r="FA30" s="16">
        <v>1574538</v>
      </c>
      <c r="FB30" s="16">
        <v>1492634</v>
      </c>
      <c r="FC30" s="16">
        <v>1051307</v>
      </c>
      <c r="FD30" s="16">
        <v>1687946</v>
      </c>
      <c r="FE30" s="16">
        <v>1923586.1666670002</v>
      </c>
      <c r="FF30" s="16">
        <v>3211313</v>
      </c>
      <c r="FG30" s="16">
        <v>2321498</v>
      </c>
      <c r="FH30" s="16">
        <v>2373509</v>
      </c>
      <c r="FI30" s="16">
        <v>1775876</v>
      </c>
      <c r="FJ30" s="16">
        <v>2274279</v>
      </c>
      <c r="FK30" s="16">
        <v>916047</v>
      </c>
      <c r="FL30" s="16">
        <v>735630</v>
      </c>
      <c r="FM30" s="16">
        <v>731520</v>
      </c>
      <c r="FN30" s="16">
        <v>1273220</v>
      </c>
      <c r="FO30" s="16">
        <v>936330</v>
      </c>
      <c r="FP30" s="16">
        <v>2240000</v>
      </c>
      <c r="FQ30" s="16">
        <v>575860</v>
      </c>
      <c r="FR30" s="40">
        <f>_xll.LVCELL($D$2,FR$15,$B30,$D$5,$D$6,$D$7,$D$8,$D$9,$D$10,$D$11)</f>
        <v>1376060</v>
      </c>
      <c r="FS30" s="40">
        <f>_xll.LVCELL($D$2,FS$15,$B30,$D$5,$D$6,$D$7,$D$8,$D$9,$D$10,$D$11)</f>
        <v>2740010</v>
      </c>
      <c r="FT30" s="40">
        <f>_xll.LVCELL($D$2,FT$15,$B30,$D$5,$D$6,$D$7,$D$8,$D$9,$D$10,$D$11)</f>
        <v>1920290</v>
      </c>
      <c r="FU30" s="40">
        <f>_xll.LVCELL($D$2,FU$15,$B30,$D$5,$D$6,$D$7,$D$8,$D$9,$D$10,$D$11)</f>
        <v>1458220</v>
      </c>
      <c r="FV30" s="40">
        <f>_xll.LVCELL($D$2,FV$15,$B30,$D$5,$D$6,$D$7,$D$8,$D$9,$D$10,$D$11)</f>
        <v>1513923</v>
      </c>
      <c r="FW30" s="40">
        <f>_xll.LVCELL($D$2,FW$15,$B30,$D$5,$D$6,$D$7,$D$8,$D$9,$D$10,$D$11)</f>
        <v>1312000</v>
      </c>
      <c r="FX30" s="40">
        <f>_xll.LVCELL($D$2,FX$15,$B30,$D$5,$D$6,$D$7,$D$8,$D$9,$D$10,$D$11)</f>
        <v>1274486.5</v>
      </c>
      <c r="FY30" s="40">
        <f>_xll.LVCELL($D$2,FY$15,$B30,$D$5,$D$6,$D$7,$D$8,$D$9,$D$10,$D$11)</f>
        <v>864364</v>
      </c>
      <c r="FZ30" s="40">
        <f>_xll.LVCELL($D$2,FZ$15,$B30,$D$5,$D$6,$D$7,$D$8,$D$9,$D$10,$D$11)</f>
        <v>1109166.67</v>
      </c>
      <c r="GA30" s="40">
        <f>_xll.LVCELL($D$2,GA$15,$B30,$D$5,$D$6,$D$7,$D$8,$D$9,$D$10,$D$11)</f>
        <v>1467017</v>
      </c>
      <c r="GB30" s="40">
        <f>_xll.LVCELL($D$2,GB$15,$B30,$D$5,$D$6,$D$7,$D$8,$D$9,$D$10,$D$11)</f>
        <v>1928799</v>
      </c>
      <c r="GC30" s="40">
        <f>_xll.LVCELL($D$2,GC$15,$B30,$D$5,$D$6,$D$7,$D$8,$D$9,$D$10,$D$11)</f>
        <v>2696004</v>
      </c>
      <c r="GD30" s="25">
        <f>_xll.LVCELL($D$2,GD$15,$B30,$D$5,$D$6,$D$7,$D$8,$D$9,$D$10,$D$11)</f>
        <v>2972414</v>
      </c>
      <c r="GE30" s="25">
        <f>_xll.LVCELL($D$2,GE$15,$B30,$D$5,$D$6,$D$7,$D$8,$D$9,$D$10,$D$11)</f>
        <v>1355785</v>
      </c>
      <c r="GF30" s="25">
        <f>_xll.LVCELL($D$2,GF$15,$B30,$D$5,$D$6,$D$7,$D$8,$D$9,$D$10,$D$11)</f>
        <v>2514690</v>
      </c>
      <c r="GG30" s="25">
        <f>_xll.LVCELL($D$2,GG$15,$B30,$D$5,$D$6,$D$7,$D$8,$D$9,$D$10,$D$11)</f>
        <v>1701841</v>
      </c>
      <c r="GH30" s="25">
        <f>_xll.LVCELL($D$2,GH$15,$B30,$D$5,$D$6,$D$7,$D$8,$D$9,$D$10,$D$11)</f>
        <v>810353</v>
      </c>
      <c r="GI30" s="25">
        <f>_xll.LVCELL($D$2,GI$15,$B30,$D$5,$D$6,$D$7,$D$8,$D$9,$D$10,$D$11)</f>
        <v>731878</v>
      </c>
      <c r="GJ30" s="25">
        <f>_xll.LVCELL($D$2,GJ$15,$B30,$D$5,$D$6,$D$7,$D$8,$D$9,$D$10,$D$11)</f>
        <v>567543</v>
      </c>
      <c r="GK30" s="25">
        <f>_xll.LVCELL($D$2,GK$15,$B30,$D$5,$D$6,$D$7,$D$8,$D$9,$D$10,$D$11)</f>
        <v>927401</v>
      </c>
      <c r="GL30" s="25">
        <f>_xll.LVCELL($D$2,GL$15,$B30,$D$5,$D$6,$D$7,$D$8,$D$9,$D$10,$D$11)</f>
        <v>795285</v>
      </c>
      <c r="GM30" s="25">
        <f>_xll.LVCELL($D$2,GM$15,$B30,$D$5,$D$6,$D$7,$D$8,$D$9,$D$10,$D$11)</f>
        <v>1841540</v>
      </c>
      <c r="GN30" s="25">
        <f>_xll.LVCELL($D$2,GN$15,$B30,$D$5,$D$6,$D$7,$D$8,$D$9,$D$10,$D$11)</f>
        <v>1844809</v>
      </c>
      <c r="GO30" s="25">
        <f>_xll.LVCELL($D$2,GO$15,$B30,$D$5,$D$6,$D$7,$D$8,$D$9,$D$10,$D$11)</f>
        <v>2379941</v>
      </c>
      <c r="GP30" s="25">
        <f>_xll.LVCELL($D$2,GP$15,$B30,$D$5,$D$6,$D$7,$D$8,$D$9,$D$10,$D$11)</f>
        <v>1780254</v>
      </c>
      <c r="GQ30" s="25">
        <f>_xll.LVCELL($D$2,GQ$15,$B30,$D$5,$D$6,$D$7,$D$8,$D$9,$D$10,$D$11)</f>
        <v>1491203</v>
      </c>
      <c r="GR30" s="25">
        <f>_xll.LVCELL($D$2,GR$15,$B30,$D$5,$D$6,$D$7,$D$8,$D$9,$D$10,$D$11)</f>
        <v>2693798</v>
      </c>
      <c r="GS30" s="25">
        <f>_xll.LVCELL($D$2,GS$15,$B30,$D$5,$D$6,$D$7,$D$8,$D$9,$D$10,$D$11)</f>
        <v>1834639</v>
      </c>
      <c r="GT30" s="25">
        <f>_xll.LVCELL($D$2,GT$15,$B30,$D$5,$D$6,$D$7,$D$8,$D$9,$D$10,$D$11)</f>
        <v>1889602</v>
      </c>
      <c r="GU30" s="25">
        <f>_xll.LVCELL($D$2,GU$15,$B30,$D$5,$D$6,$D$7,$D$8,$D$9,$D$10,$D$11)</f>
        <v>1191865</v>
      </c>
      <c r="GV30" s="25">
        <f>_xll.LVCELL($D$2,GV$15,$B30,$D$5,$D$6,$D$7,$D$8,$D$9,$D$10,$D$11)</f>
        <v>749628</v>
      </c>
      <c r="GW30" s="25">
        <f>_xll.LVCELL($D$2,GW$15,$B30,$D$5,$D$6,$D$7,$D$8,$D$9,$D$10,$D$11)</f>
        <v>872815</v>
      </c>
      <c r="GX30" s="25">
        <f>_xll.LVCELL($D$2,GX$15,$B30,$D$5,$D$6,$D$7,$D$8,$D$9,$D$10,$D$11)</f>
        <v>1284448</v>
      </c>
      <c r="GY30" s="25">
        <f>_xll.LVCELL($D$2,GY$15,$B30,$D$5,$D$6,$D$7,$D$8,$D$9,$D$10,$D$11)</f>
        <v>2336754</v>
      </c>
      <c r="GZ30" s="25">
        <f>_xll.LVCELL($D$2,GZ$15,$B30,$D$5,$D$6,$D$7,$D$8,$D$9,$D$10,$D$11)</f>
        <v>2700383</v>
      </c>
      <c r="HA30" s="25">
        <f>_xll.LVCELL($D$2,HA$15,$B30,$D$5,$D$6,$D$7,$D$8,$D$9,$D$10,$D$11)</f>
        <v>2935857</v>
      </c>
      <c r="HB30" s="25">
        <f>_xll.LVCELL($D$2,HB$15,$B30,$D$5,$D$6,$D$7,$D$8,$D$9,$D$10,$D$11)</f>
        <v>2186162</v>
      </c>
      <c r="HC30" s="25">
        <f>_xll.LVCELL($D$2,HC$15,$B30,$D$5,$D$6,$D$7,$D$8,$D$9,$D$10,$D$11)</f>
        <v>3130563</v>
      </c>
      <c r="HD30" s="25">
        <f>_xll.LVCELL($D$2,HD$15,$B30,$D$5,$D$6,$D$7,$D$8,$D$9,$D$10,$D$11)</f>
        <v>1607875</v>
      </c>
      <c r="HE30" s="25">
        <f>_xll.LVCELL($D$2,HE$15,$B30,$D$5,$D$6,$D$7,$D$8,$D$9,$D$10,$D$11)</f>
        <v>1185870</v>
      </c>
      <c r="HF30" s="25">
        <f>_xll.LVCELL($D$2,HF$15,$B30,$D$5,$D$6,$D$7,$D$8,$D$9,$D$10,$D$11)</f>
        <v>1420110</v>
      </c>
      <c r="HG30" s="25">
        <f>_xll.LVCELL($D$2,HG$15,$B30,$D$5,$D$6,$D$7,$D$8,$D$9,$D$10,$D$11)</f>
        <v>1028274</v>
      </c>
      <c r="HH30" s="25">
        <f>_xll.LVCELL($D$2,HH$15,$B30,$D$5,$D$6,$D$7,$D$8,$D$9,$D$10,$D$11)</f>
        <v>788691</v>
      </c>
      <c r="HI30" s="25">
        <f>_xll.LVCELL($D$2,HI$15,$B30,$D$5,$D$6,$D$7,$D$8,$D$9,$D$10,$D$11)</f>
        <v>1098206</v>
      </c>
      <c r="HJ30" s="25">
        <f>_xll.LVCELL($D$2,HJ$15,$B30,$D$5,$D$6,$D$7,$D$8,$D$9,$D$10,$D$11)</f>
        <v>1298395</v>
      </c>
      <c r="HK30" s="25">
        <f>_xll.LVCELL($D$2,HK$15,$B30,$D$5,$D$6,$D$7,$D$8,$D$9,$D$10,$D$11)</f>
        <v>2702825</v>
      </c>
      <c r="HL30" s="25">
        <f>_xll.LVCELL($D$2,HL$15,$B30,$D$5,$D$6,$D$7,$D$8,$D$9,$D$10,$D$11)</f>
        <v>1370408</v>
      </c>
      <c r="HM30" s="25">
        <f>_xll.LVCELL($D$2,HM$15,$B30,$D$5,$D$6,$D$7,$D$8,$D$9,$D$10,$D$11)</f>
        <v>3502691</v>
      </c>
    </row>
    <row r="31" spans="1:221">
      <c r="A31" t="s">
        <v>151</v>
      </c>
      <c r="B31" t="s">
        <v>253</v>
      </c>
      <c r="D31" s="10" t="s">
        <v>294</v>
      </c>
      <c r="E31" s="19"/>
      <c r="F31" s="16" t="s">
        <v>845</v>
      </c>
      <c r="G31" s="16" t="s">
        <v>845</v>
      </c>
      <c r="H31" s="16" t="s">
        <v>845</v>
      </c>
      <c r="I31" s="16" t="s">
        <v>845</v>
      </c>
      <c r="J31" s="16" t="s">
        <v>845</v>
      </c>
      <c r="K31" s="16" t="s">
        <v>845</v>
      </c>
      <c r="L31" s="16" t="s">
        <v>845</v>
      </c>
      <c r="M31" s="16" t="s">
        <v>845</v>
      </c>
      <c r="N31" s="16" t="s">
        <v>845</v>
      </c>
      <c r="O31" s="16" t="s">
        <v>845</v>
      </c>
      <c r="P31" s="16" t="s">
        <v>845</v>
      </c>
      <c r="Q31" s="16" t="s">
        <v>845</v>
      </c>
      <c r="R31" s="16" t="s">
        <v>845</v>
      </c>
      <c r="S31" s="16" t="s">
        <v>845</v>
      </c>
      <c r="T31" s="16" t="s">
        <v>845</v>
      </c>
      <c r="U31" s="16" t="s">
        <v>845</v>
      </c>
      <c r="V31" s="16" t="s">
        <v>845</v>
      </c>
      <c r="W31" s="16" t="s">
        <v>845</v>
      </c>
      <c r="X31" s="16" t="s">
        <v>845</v>
      </c>
      <c r="Y31" s="16" t="s">
        <v>845</v>
      </c>
      <c r="Z31" s="16" t="s">
        <v>845</v>
      </c>
      <c r="AA31" s="16" t="s">
        <v>845</v>
      </c>
      <c r="AB31" s="16" t="s">
        <v>845</v>
      </c>
      <c r="AC31" s="16" t="s">
        <v>845</v>
      </c>
      <c r="AD31" s="16" t="s">
        <v>845</v>
      </c>
      <c r="AE31" s="16" t="s">
        <v>845</v>
      </c>
      <c r="AF31" s="16" t="s">
        <v>845</v>
      </c>
      <c r="AG31" s="16" t="s">
        <v>845</v>
      </c>
      <c r="AH31" s="16" t="s">
        <v>845</v>
      </c>
      <c r="AI31" s="16" t="s">
        <v>845</v>
      </c>
      <c r="AJ31" s="16" t="s">
        <v>845</v>
      </c>
      <c r="AK31" s="16" t="s">
        <v>845</v>
      </c>
      <c r="AL31" s="16" t="s">
        <v>845</v>
      </c>
      <c r="AM31" s="16" t="s">
        <v>845</v>
      </c>
      <c r="AN31" s="16" t="s">
        <v>845</v>
      </c>
      <c r="AO31" s="16" t="s">
        <v>845</v>
      </c>
      <c r="AP31" s="16" t="s">
        <v>845</v>
      </c>
      <c r="AQ31" s="16" t="s">
        <v>845</v>
      </c>
      <c r="AR31" s="16" t="s">
        <v>845</v>
      </c>
      <c r="AS31" s="16" t="s">
        <v>845</v>
      </c>
      <c r="AT31" s="16" t="s">
        <v>845</v>
      </c>
      <c r="AU31" s="16" t="s">
        <v>845</v>
      </c>
      <c r="AV31" s="16" t="s">
        <v>845</v>
      </c>
      <c r="AW31" s="16" t="s">
        <v>845</v>
      </c>
      <c r="AX31" s="16" t="s">
        <v>845</v>
      </c>
      <c r="AY31" s="16" t="s">
        <v>845</v>
      </c>
      <c r="AZ31" s="16" t="s">
        <v>845</v>
      </c>
      <c r="BA31" s="16" t="s">
        <v>845</v>
      </c>
      <c r="BB31" s="27">
        <v>6630396</v>
      </c>
      <c r="BC31" s="16">
        <v>10220374</v>
      </c>
      <c r="BD31" s="16">
        <v>8446995</v>
      </c>
      <c r="BE31" s="16">
        <v>2584952</v>
      </c>
      <c r="BF31" s="16">
        <v>8119135</v>
      </c>
      <c r="BG31" s="16">
        <v>4829405</v>
      </c>
      <c r="BH31" s="16">
        <v>6339681</v>
      </c>
      <c r="BI31" s="16">
        <v>4419052</v>
      </c>
      <c r="BJ31" s="16">
        <v>5442426</v>
      </c>
      <c r="BK31" s="16">
        <v>4872795</v>
      </c>
      <c r="BL31" s="16">
        <v>6120944</v>
      </c>
      <c r="BM31" s="16">
        <v>7372643</v>
      </c>
      <c r="BN31" s="16">
        <v>9546162</v>
      </c>
      <c r="BO31" s="16">
        <v>5107637</v>
      </c>
      <c r="BP31" s="16">
        <v>11690735</v>
      </c>
      <c r="BQ31" s="16">
        <v>7068473</v>
      </c>
      <c r="BR31" s="16">
        <v>4050282</v>
      </c>
      <c r="BS31" s="16">
        <v>2893844</v>
      </c>
      <c r="BT31" s="16">
        <v>2772410</v>
      </c>
      <c r="BU31" s="16">
        <v>3376554</v>
      </c>
      <c r="BV31" s="16">
        <v>4373621</v>
      </c>
      <c r="BW31" s="16">
        <v>6488124</v>
      </c>
      <c r="BX31" s="16">
        <v>7300652</v>
      </c>
      <c r="BY31" s="16">
        <v>5477834</v>
      </c>
      <c r="BZ31" s="16">
        <v>5743533</v>
      </c>
      <c r="CA31" s="16">
        <v>5444227</v>
      </c>
      <c r="CB31" s="16">
        <v>8159333</v>
      </c>
      <c r="CC31" s="16">
        <v>6178708</v>
      </c>
      <c r="CD31" s="16">
        <v>6734427</v>
      </c>
      <c r="CE31" s="16">
        <v>5936481</v>
      </c>
      <c r="CF31" s="16">
        <v>4890958</v>
      </c>
      <c r="CG31" s="16">
        <v>3112856</v>
      </c>
      <c r="CH31" s="16">
        <v>3718917</v>
      </c>
      <c r="CI31" s="16">
        <v>6754797</v>
      </c>
      <c r="CJ31" s="16">
        <v>10281418</v>
      </c>
      <c r="CK31" s="16">
        <v>8014001</v>
      </c>
      <c r="CL31" s="16">
        <v>3367450</v>
      </c>
      <c r="CM31" s="16">
        <v>7524970</v>
      </c>
      <c r="CN31" s="16">
        <v>8506690</v>
      </c>
      <c r="CO31" s="16">
        <v>3948176</v>
      </c>
      <c r="CP31" s="16">
        <v>5788763</v>
      </c>
      <c r="CQ31" s="16">
        <v>5043592</v>
      </c>
      <c r="CR31" s="16">
        <v>2744177</v>
      </c>
      <c r="CS31" s="16">
        <v>4176997.9999999995</v>
      </c>
      <c r="CT31" s="16">
        <v>3485344</v>
      </c>
      <c r="CU31" s="16">
        <v>7437669</v>
      </c>
      <c r="CV31" s="16">
        <v>7338209</v>
      </c>
      <c r="CW31" s="16">
        <v>5248791</v>
      </c>
      <c r="CX31" s="16">
        <v>4723855</v>
      </c>
      <c r="CY31" s="16">
        <v>2816755</v>
      </c>
      <c r="CZ31" s="16">
        <v>4460642</v>
      </c>
      <c r="DA31" s="16">
        <v>3856023</v>
      </c>
      <c r="DB31" s="16">
        <v>4100278.0000000005</v>
      </c>
      <c r="DC31" s="16">
        <v>3228670</v>
      </c>
      <c r="DD31" s="16">
        <v>4306710</v>
      </c>
      <c r="DE31" s="16">
        <v>4518252</v>
      </c>
      <c r="DF31" s="16">
        <v>3430961</v>
      </c>
      <c r="DG31" s="16">
        <v>4939969</v>
      </c>
      <c r="DH31" s="16">
        <v>4721550</v>
      </c>
      <c r="DI31" s="16">
        <v>11852093</v>
      </c>
      <c r="DJ31" s="16">
        <v>6353869</v>
      </c>
      <c r="DK31" s="16">
        <v>4386340</v>
      </c>
      <c r="DL31" s="16">
        <v>6060265</v>
      </c>
      <c r="DM31" s="16">
        <v>9709823</v>
      </c>
      <c r="DN31" s="16">
        <v>5253292</v>
      </c>
      <c r="DO31" s="16">
        <v>5273371</v>
      </c>
      <c r="DP31" s="16">
        <v>3943743</v>
      </c>
      <c r="DQ31" s="16">
        <v>3418107</v>
      </c>
      <c r="DR31" s="16">
        <v>5736570</v>
      </c>
      <c r="DS31" s="16">
        <v>7829297</v>
      </c>
      <c r="DT31" s="16">
        <v>6758846</v>
      </c>
      <c r="DU31" s="16">
        <v>11226915</v>
      </c>
      <c r="DV31" s="16">
        <v>5223743</v>
      </c>
      <c r="DW31" s="16">
        <v>5932111</v>
      </c>
      <c r="DX31" s="16">
        <v>6379992</v>
      </c>
      <c r="DY31" s="16">
        <v>5865014</v>
      </c>
      <c r="DZ31" s="16">
        <v>5253282</v>
      </c>
      <c r="EA31" s="16">
        <v>5872541</v>
      </c>
      <c r="EB31" s="16">
        <v>2959065</v>
      </c>
      <c r="EC31" s="16">
        <v>3321713</v>
      </c>
      <c r="ED31" s="16">
        <v>4147457.9999999995</v>
      </c>
      <c r="EE31" s="16">
        <v>9283298</v>
      </c>
      <c r="EF31" s="16">
        <v>6586533</v>
      </c>
      <c r="EG31" s="16">
        <v>7644343</v>
      </c>
      <c r="EH31" s="16">
        <v>8963513</v>
      </c>
      <c r="EI31" s="16">
        <v>9783807</v>
      </c>
      <c r="EJ31" s="16">
        <v>5743124</v>
      </c>
      <c r="EK31" s="16">
        <v>3717118</v>
      </c>
      <c r="EL31" s="16">
        <v>8672190</v>
      </c>
      <c r="EM31" s="16">
        <v>4946939</v>
      </c>
      <c r="EN31" s="16">
        <v>3694707</v>
      </c>
      <c r="EO31" s="16">
        <v>3545938</v>
      </c>
      <c r="EP31" s="16">
        <v>2878473</v>
      </c>
      <c r="EQ31" s="16">
        <v>5447258</v>
      </c>
      <c r="ER31" s="16">
        <v>6794221</v>
      </c>
      <c r="ES31" s="16">
        <v>5489121</v>
      </c>
      <c r="ET31" s="16">
        <v>6173640</v>
      </c>
      <c r="EU31" s="16">
        <v>5154928</v>
      </c>
      <c r="EV31" s="16">
        <v>6589960</v>
      </c>
      <c r="EW31" s="16">
        <v>5319099</v>
      </c>
      <c r="EX31" s="16">
        <v>8007227</v>
      </c>
      <c r="EY31" s="16">
        <v>2945973</v>
      </c>
      <c r="EZ31" s="16">
        <v>4434035</v>
      </c>
      <c r="FA31" s="16">
        <v>5165810</v>
      </c>
      <c r="FB31" s="16">
        <v>5068245</v>
      </c>
      <c r="FC31" s="16">
        <v>3521825</v>
      </c>
      <c r="FD31" s="16">
        <v>6079105</v>
      </c>
      <c r="FE31" s="16">
        <v>5532611.1666670004</v>
      </c>
      <c r="FF31" s="16">
        <v>10785429</v>
      </c>
      <c r="FG31" s="16">
        <v>8312663</v>
      </c>
      <c r="FH31" s="16">
        <v>8060031</v>
      </c>
      <c r="FI31" s="16">
        <v>6144427</v>
      </c>
      <c r="FJ31" s="16">
        <v>7663745</v>
      </c>
      <c r="FK31" s="16">
        <v>3089781</v>
      </c>
      <c r="FL31" s="16">
        <v>2516070</v>
      </c>
      <c r="FM31" s="16">
        <v>2455400</v>
      </c>
      <c r="FN31" s="16">
        <v>4227860</v>
      </c>
      <c r="FO31" s="16">
        <v>2979920</v>
      </c>
      <c r="FP31" s="16">
        <v>7938110</v>
      </c>
      <c r="FQ31" s="16">
        <v>1890020</v>
      </c>
      <c r="FR31" s="40">
        <f>_xll.LVCELL($D$2,FR$15,$B31,$D$5,$D$6,$D$7,$D$8,$D$9,$D$10,$D$11)</f>
        <v>0</v>
      </c>
      <c r="FS31" s="40">
        <f>_xll.LVCELL($D$2,FS$15,$B31,$D$5,$D$6,$D$7,$D$8,$D$9,$D$10,$D$11)</f>
        <v>0</v>
      </c>
      <c r="FT31" s="40">
        <f>_xll.LVCELL($D$2,FT$15,$B31,$D$5,$D$6,$D$7,$D$8,$D$9,$D$10,$D$11)</f>
        <v>0</v>
      </c>
      <c r="FU31" s="40">
        <f>_xll.LVCELL($D$2,FU$15,$B31,$D$5,$D$6,$D$7,$D$8,$D$9,$D$10,$D$11)</f>
        <v>0</v>
      </c>
      <c r="FV31" s="40">
        <f>_xll.LVCELL($D$2,FV$15,$B31,$D$5,$D$6,$D$7,$D$8,$D$9,$D$10,$D$11)</f>
        <v>0</v>
      </c>
      <c r="FW31" s="40">
        <f>_xll.LVCELL($D$2,FW$15,$B31,$D$5,$D$6,$D$7,$D$8,$D$9,$D$10,$D$11)</f>
        <v>0</v>
      </c>
      <c r="FX31" s="40">
        <f>_xll.LVCELL($D$2,FX$15,$B31,$D$5,$D$6,$D$7,$D$8,$D$9,$D$10,$D$11)</f>
        <v>0</v>
      </c>
      <c r="FY31" s="40">
        <f>_xll.LVCELL($D$2,FY$15,$B31,$D$5,$D$6,$D$7,$D$8,$D$9,$D$10,$D$11)</f>
        <v>0</v>
      </c>
      <c r="FZ31" s="40">
        <f>_xll.LVCELL($D$2,FZ$15,$B31,$D$5,$D$6,$D$7,$D$8,$D$9,$D$10,$D$11)</f>
        <v>0</v>
      </c>
      <c r="GA31" s="40">
        <f>_xll.LVCELL($D$2,GA$15,$B31,$D$5,$D$6,$D$7,$D$8,$D$9,$D$10,$D$11)</f>
        <v>0</v>
      </c>
      <c r="GB31" s="40">
        <f>_xll.LVCELL($D$2,GB$15,$B31,$D$5,$D$6,$D$7,$D$8,$D$9,$D$10,$D$11)</f>
        <v>0</v>
      </c>
      <c r="GC31" s="40">
        <f>_xll.LVCELL($D$2,GC$15,$B31,$D$5,$D$6,$D$7,$D$8,$D$9,$D$10,$D$11)</f>
        <v>0</v>
      </c>
      <c r="GD31" s="25">
        <f>_xll.LVCELL($D$2,GD$15,$B31,$D$5,$D$6,$D$7,$D$8,$D$9,$D$10,$D$11)</f>
        <v>0</v>
      </c>
      <c r="GE31" s="25">
        <f>_xll.LVCELL($D$2,GE$15,$B31,$D$5,$D$6,$D$7,$D$8,$D$9,$D$10,$D$11)</f>
        <v>0</v>
      </c>
      <c r="GF31" s="25">
        <f>_xll.LVCELL($D$2,GF$15,$B31,$D$5,$D$6,$D$7,$D$8,$D$9,$D$10,$D$11)</f>
        <v>0</v>
      </c>
      <c r="GG31" s="25">
        <f>_xll.LVCELL($D$2,GG$15,$B31,$D$5,$D$6,$D$7,$D$8,$D$9,$D$10,$D$11)</f>
        <v>0</v>
      </c>
      <c r="GH31" s="25">
        <f>_xll.LVCELL($D$2,GH$15,$B31,$D$5,$D$6,$D$7,$D$8,$D$9,$D$10,$D$11)</f>
        <v>0</v>
      </c>
      <c r="GI31" s="25">
        <f>_xll.LVCELL($D$2,GI$15,$B31,$D$5,$D$6,$D$7,$D$8,$D$9,$D$10,$D$11)</f>
        <v>0</v>
      </c>
      <c r="GJ31" s="25">
        <f>_xll.LVCELL($D$2,GJ$15,$B31,$D$5,$D$6,$D$7,$D$8,$D$9,$D$10,$D$11)</f>
        <v>0</v>
      </c>
      <c r="GK31" s="25">
        <f>_xll.LVCELL($D$2,GK$15,$B31,$D$5,$D$6,$D$7,$D$8,$D$9,$D$10,$D$11)</f>
        <v>0</v>
      </c>
      <c r="GL31" s="25">
        <f>_xll.LVCELL($D$2,GL$15,$B31,$D$5,$D$6,$D$7,$D$8,$D$9,$D$10,$D$11)</f>
        <v>0</v>
      </c>
      <c r="GM31" s="25">
        <f>_xll.LVCELL($D$2,GM$15,$B31,$D$5,$D$6,$D$7,$D$8,$D$9,$D$10,$D$11)</f>
        <v>0</v>
      </c>
      <c r="GN31" s="25">
        <f>_xll.LVCELL($D$2,GN$15,$B31,$D$5,$D$6,$D$7,$D$8,$D$9,$D$10,$D$11)</f>
        <v>0</v>
      </c>
      <c r="GO31" s="25">
        <f>_xll.LVCELL($D$2,GO$15,$B31,$D$5,$D$6,$D$7,$D$8,$D$9,$D$10,$D$11)</f>
        <v>0</v>
      </c>
      <c r="GP31" s="25">
        <f>_xll.LVCELL($D$2,GP$15,$B31,$D$5,$D$6,$D$7,$D$8,$D$9,$D$10,$D$11)</f>
        <v>0</v>
      </c>
      <c r="GQ31" s="25">
        <f>_xll.LVCELL($D$2,GQ$15,$B31,$D$5,$D$6,$D$7,$D$8,$D$9,$D$10,$D$11)</f>
        <v>0</v>
      </c>
      <c r="GR31" s="25">
        <f>_xll.LVCELL($D$2,GR$15,$B31,$D$5,$D$6,$D$7,$D$8,$D$9,$D$10,$D$11)</f>
        <v>0</v>
      </c>
      <c r="GS31" s="25">
        <f>_xll.LVCELL($D$2,GS$15,$B31,$D$5,$D$6,$D$7,$D$8,$D$9,$D$10,$D$11)</f>
        <v>0</v>
      </c>
      <c r="GT31" s="25">
        <f>_xll.LVCELL($D$2,GT$15,$B31,$D$5,$D$6,$D$7,$D$8,$D$9,$D$10,$D$11)</f>
        <v>0</v>
      </c>
      <c r="GU31" s="25">
        <f>_xll.LVCELL($D$2,GU$15,$B31,$D$5,$D$6,$D$7,$D$8,$D$9,$D$10,$D$11)</f>
        <v>0</v>
      </c>
      <c r="GV31" s="25">
        <f>_xll.LVCELL($D$2,GV$15,$B31,$D$5,$D$6,$D$7,$D$8,$D$9,$D$10,$D$11)</f>
        <v>0</v>
      </c>
      <c r="GW31" s="25">
        <f>_xll.LVCELL($D$2,GW$15,$B31,$D$5,$D$6,$D$7,$D$8,$D$9,$D$10,$D$11)</f>
        <v>0</v>
      </c>
      <c r="GX31" s="25">
        <f>_xll.LVCELL($D$2,GX$15,$B31,$D$5,$D$6,$D$7,$D$8,$D$9,$D$10,$D$11)</f>
        <v>0</v>
      </c>
      <c r="GY31" s="25">
        <f>_xll.LVCELL($D$2,GY$15,$B31,$D$5,$D$6,$D$7,$D$8,$D$9,$D$10,$D$11)</f>
        <v>0</v>
      </c>
      <c r="GZ31" s="25">
        <f>_xll.LVCELL($D$2,GZ$15,$B31,$D$5,$D$6,$D$7,$D$8,$D$9,$D$10,$D$11)</f>
        <v>0</v>
      </c>
      <c r="HA31" s="25">
        <f>_xll.LVCELL($D$2,HA$15,$B31,$D$5,$D$6,$D$7,$D$8,$D$9,$D$10,$D$11)</f>
        <v>0</v>
      </c>
      <c r="HB31" s="25">
        <f>_xll.LVCELL($D$2,HB$15,$B31,$D$5,$D$6,$D$7,$D$8,$D$9,$D$10,$D$11)</f>
        <v>0</v>
      </c>
      <c r="HC31" s="25">
        <f>_xll.LVCELL($D$2,HC$15,$B31,$D$5,$D$6,$D$7,$D$8,$D$9,$D$10,$D$11)</f>
        <v>0</v>
      </c>
      <c r="HD31" s="25">
        <f>_xll.LVCELL($D$2,HD$15,$B31,$D$5,$D$6,$D$7,$D$8,$D$9,$D$10,$D$11)</f>
        <v>0</v>
      </c>
      <c r="HE31" s="25">
        <f>_xll.LVCELL($D$2,HE$15,$B31,$D$5,$D$6,$D$7,$D$8,$D$9,$D$10,$D$11)</f>
        <v>0</v>
      </c>
      <c r="HF31" s="25">
        <f>_xll.LVCELL($D$2,HF$15,$B31,$D$5,$D$6,$D$7,$D$8,$D$9,$D$10,$D$11)</f>
        <v>0</v>
      </c>
      <c r="HG31" s="25">
        <f>_xll.LVCELL($D$2,HG$15,$B31,$D$5,$D$6,$D$7,$D$8,$D$9,$D$10,$D$11)</f>
        <v>0</v>
      </c>
      <c r="HH31" s="25">
        <f>_xll.LVCELL($D$2,HH$15,$B31,$D$5,$D$6,$D$7,$D$8,$D$9,$D$10,$D$11)</f>
        <v>0</v>
      </c>
      <c r="HI31" s="25">
        <f>_xll.LVCELL($D$2,HI$15,$B31,$D$5,$D$6,$D$7,$D$8,$D$9,$D$10,$D$11)</f>
        <v>0</v>
      </c>
      <c r="HJ31" s="25">
        <f>_xll.LVCELL($D$2,HJ$15,$B31,$D$5,$D$6,$D$7,$D$8,$D$9,$D$10,$D$11)</f>
        <v>0</v>
      </c>
      <c r="HK31" s="25">
        <f>_xll.LVCELL($D$2,HK$15,$B31,$D$5,$D$6,$D$7,$D$8,$D$9,$D$10,$D$11)</f>
        <v>0</v>
      </c>
      <c r="HL31" s="25">
        <f>_xll.LVCELL($D$2,HL$15,$B31,$D$5,$D$6,$D$7,$D$8,$D$9,$D$10,$D$11)</f>
        <v>0</v>
      </c>
      <c r="HM31" s="25">
        <f>_xll.LVCELL($D$2,HM$15,$B31,$D$5,$D$6,$D$7,$D$8,$D$9,$D$10,$D$11)</f>
        <v>0</v>
      </c>
    </row>
    <row r="32" spans="1:221">
      <c r="A32" t="s">
        <v>152</v>
      </c>
      <c r="B32" t="s">
        <v>255</v>
      </c>
      <c r="D32" s="10" t="s">
        <v>295</v>
      </c>
      <c r="E32" s="19">
        <v>40210</v>
      </c>
      <c r="F32" s="16" t="s">
        <v>845</v>
      </c>
      <c r="G32" s="16" t="s">
        <v>845</v>
      </c>
      <c r="H32" s="16" t="s">
        <v>845</v>
      </c>
      <c r="I32" s="16" t="s">
        <v>845</v>
      </c>
      <c r="J32" s="16" t="s">
        <v>845</v>
      </c>
      <c r="K32" s="16" t="s">
        <v>845</v>
      </c>
      <c r="L32" s="16" t="s">
        <v>845</v>
      </c>
      <c r="M32" s="16" t="s">
        <v>845</v>
      </c>
      <c r="N32" s="16" t="s">
        <v>845</v>
      </c>
      <c r="O32" s="16" t="s">
        <v>845</v>
      </c>
      <c r="P32" s="16" t="s">
        <v>845</v>
      </c>
      <c r="Q32" s="16" t="s">
        <v>845</v>
      </c>
      <c r="R32" s="16" t="s">
        <v>845</v>
      </c>
      <c r="S32" s="16" t="s">
        <v>845</v>
      </c>
      <c r="T32" s="16" t="s">
        <v>845</v>
      </c>
      <c r="U32" s="16" t="s">
        <v>845</v>
      </c>
      <c r="V32" s="16" t="s">
        <v>845</v>
      </c>
      <c r="W32" s="16" t="s">
        <v>845</v>
      </c>
      <c r="X32" s="16" t="s">
        <v>845</v>
      </c>
      <c r="Y32" s="16" t="s">
        <v>845</v>
      </c>
      <c r="Z32" s="16" t="s">
        <v>845</v>
      </c>
      <c r="AA32" s="16" t="s">
        <v>845</v>
      </c>
      <c r="AB32" s="16" t="s">
        <v>845</v>
      </c>
      <c r="AC32" s="16" t="s">
        <v>845</v>
      </c>
      <c r="AD32" s="16" t="s">
        <v>845</v>
      </c>
      <c r="AE32" s="16" t="s">
        <v>845</v>
      </c>
      <c r="AF32" s="16" t="s">
        <v>845</v>
      </c>
      <c r="AG32" s="16" t="s">
        <v>845</v>
      </c>
      <c r="AH32" s="16" t="s">
        <v>845</v>
      </c>
      <c r="AI32" s="16" t="s">
        <v>845</v>
      </c>
      <c r="AJ32" s="16" t="s">
        <v>845</v>
      </c>
      <c r="AK32" s="16" t="s">
        <v>845</v>
      </c>
      <c r="AL32" s="16" t="s">
        <v>845</v>
      </c>
      <c r="AM32" s="16" t="s">
        <v>845</v>
      </c>
      <c r="AN32" s="16" t="s">
        <v>845</v>
      </c>
      <c r="AO32" s="16" t="s">
        <v>845</v>
      </c>
      <c r="AP32" s="16" t="s">
        <v>845</v>
      </c>
      <c r="AQ32" s="16" t="s">
        <v>845</v>
      </c>
      <c r="AR32" s="16" t="s">
        <v>845</v>
      </c>
      <c r="AS32" s="16" t="s">
        <v>845</v>
      </c>
      <c r="AT32" s="16" t="s">
        <v>845</v>
      </c>
      <c r="AU32" s="16" t="s">
        <v>845</v>
      </c>
      <c r="AV32" s="16" t="s">
        <v>845</v>
      </c>
      <c r="AW32" s="16" t="s">
        <v>845</v>
      </c>
      <c r="AX32" s="16" t="s">
        <v>845</v>
      </c>
      <c r="AY32" s="16" t="s">
        <v>845</v>
      </c>
      <c r="AZ32" s="16" t="s">
        <v>845</v>
      </c>
      <c r="BA32" s="16" t="s">
        <v>845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0</v>
      </c>
      <c r="BH32" s="16">
        <v>0</v>
      </c>
      <c r="BI32" s="16">
        <v>0</v>
      </c>
      <c r="BJ32" s="16">
        <v>0</v>
      </c>
      <c r="BK32" s="16">
        <v>0</v>
      </c>
      <c r="BL32" s="16">
        <v>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</v>
      </c>
      <c r="BY32" s="16">
        <v>0</v>
      </c>
      <c r="BZ32" s="16">
        <v>0</v>
      </c>
      <c r="CA32" s="16">
        <v>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928754</v>
      </c>
      <c r="CN32" s="16">
        <v>1264505</v>
      </c>
      <c r="CO32" s="16">
        <v>750643</v>
      </c>
      <c r="CP32" s="16">
        <v>1096648</v>
      </c>
      <c r="CQ32" s="16">
        <v>1026007.0000000001</v>
      </c>
      <c r="CR32" s="16">
        <v>857887</v>
      </c>
      <c r="CS32" s="16">
        <v>858167</v>
      </c>
      <c r="CT32" s="16">
        <v>781080</v>
      </c>
      <c r="CU32" s="16">
        <v>1517629</v>
      </c>
      <c r="CV32" s="16">
        <v>929977</v>
      </c>
      <c r="CW32" s="16">
        <v>1441595</v>
      </c>
      <c r="CX32" s="16">
        <v>1044772.9999999999</v>
      </c>
      <c r="CY32" s="16">
        <v>927018</v>
      </c>
      <c r="CZ32" s="16">
        <v>927483</v>
      </c>
      <c r="DA32" s="16">
        <v>959011</v>
      </c>
      <c r="DB32" s="16">
        <v>676224</v>
      </c>
      <c r="DC32" s="16">
        <v>701775</v>
      </c>
      <c r="DD32" s="16">
        <v>866188</v>
      </c>
      <c r="DE32" s="16">
        <v>742259</v>
      </c>
      <c r="DF32" s="16">
        <v>704642</v>
      </c>
      <c r="DG32" s="16">
        <v>1187914</v>
      </c>
      <c r="DH32" s="16">
        <v>1114456</v>
      </c>
      <c r="DI32" s="16">
        <v>1248780</v>
      </c>
      <c r="DJ32" s="16">
        <v>1461405</v>
      </c>
      <c r="DK32" s="16">
        <v>1642715</v>
      </c>
      <c r="DL32" s="16">
        <v>960541</v>
      </c>
      <c r="DM32" s="16">
        <v>1277407</v>
      </c>
      <c r="DN32" s="16">
        <v>960510</v>
      </c>
      <c r="DO32" s="16">
        <v>778771</v>
      </c>
      <c r="DP32" s="16">
        <v>688407</v>
      </c>
      <c r="DQ32" s="16">
        <v>669972</v>
      </c>
      <c r="DR32" s="16">
        <v>1141240</v>
      </c>
      <c r="DS32" s="16">
        <v>1120765</v>
      </c>
      <c r="DT32" s="16">
        <v>971156</v>
      </c>
      <c r="DU32" s="16">
        <v>1375057</v>
      </c>
      <c r="DV32" s="16">
        <v>1239561</v>
      </c>
      <c r="DW32" s="16">
        <v>1117735</v>
      </c>
      <c r="DX32" s="16">
        <v>976236</v>
      </c>
      <c r="DY32" s="16">
        <v>724883</v>
      </c>
      <c r="DZ32" s="16">
        <v>1021447</v>
      </c>
      <c r="EA32" s="16">
        <v>1229520</v>
      </c>
      <c r="EB32" s="16">
        <v>606882</v>
      </c>
      <c r="EC32" s="16">
        <v>855297</v>
      </c>
      <c r="ED32" s="16">
        <v>901741</v>
      </c>
      <c r="EE32" s="16">
        <v>1135384</v>
      </c>
      <c r="EF32" s="16">
        <v>1066526</v>
      </c>
      <c r="EG32" s="16">
        <v>1328537</v>
      </c>
      <c r="EH32" s="16">
        <v>1121272</v>
      </c>
      <c r="EI32" s="16">
        <v>1109904</v>
      </c>
      <c r="EJ32" s="16">
        <v>1169211</v>
      </c>
      <c r="EK32" s="16">
        <v>987952</v>
      </c>
      <c r="EL32" s="16">
        <v>1441317</v>
      </c>
      <c r="EM32" s="16">
        <v>795043</v>
      </c>
      <c r="EN32" s="16">
        <v>1058799</v>
      </c>
      <c r="EO32" s="16">
        <v>555456</v>
      </c>
      <c r="EP32" s="16">
        <v>828931</v>
      </c>
      <c r="EQ32" s="16">
        <v>866014</v>
      </c>
      <c r="ER32" s="16">
        <v>1104374</v>
      </c>
      <c r="ES32" s="16">
        <v>1334153</v>
      </c>
      <c r="ET32" s="16">
        <v>1202193</v>
      </c>
      <c r="EU32" s="16">
        <v>1073578</v>
      </c>
      <c r="EV32" s="16">
        <v>1377270</v>
      </c>
      <c r="EW32" s="16">
        <v>1028593.0000000001</v>
      </c>
      <c r="EX32" s="16">
        <v>1178905</v>
      </c>
      <c r="EY32" s="16">
        <v>708535</v>
      </c>
      <c r="EZ32" s="16">
        <v>828692</v>
      </c>
      <c r="FA32" s="16">
        <v>812235</v>
      </c>
      <c r="FB32" s="16">
        <v>918627</v>
      </c>
      <c r="FC32" s="16">
        <v>920575</v>
      </c>
      <c r="FD32" s="16">
        <v>1263328</v>
      </c>
      <c r="FE32" s="16">
        <v>943001</v>
      </c>
      <c r="FF32" s="16">
        <v>817781</v>
      </c>
      <c r="FG32" s="16">
        <v>1089465</v>
      </c>
      <c r="FH32" s="16">
        <v>1165922</v>
      </c>
      <c r="FI32" s="16">
        <v>1235079</v>
      </c>
      <c r="FJ32" s="16">
        <v>1384731</v>
      </c>
      <c r="FK32" s="16">
        <v>573266</v>
      </c>
      <c r="FL32" s="16">
        <v>828130</v>
      </c>
      <c r="FM32" s="16">
        <v>815230</v>
      </c>
      <c r="FN32" s="16">
        <v>60820</v>
      </c>
      <c r="FO32" s="16">
        <v>719940</v>
      </c>
      <c r="FP32" s="16">
        <v>1011370</v>
      </c>
      <c r="FQ32" s="16">
        <v>1145540</v>
      </c>
      <c r="FR32" s="40">
        <f>_xll.LVCELL($D$2,FR$15,$B32,$D$5,$D$6,$D$7,$D$8,$D$9,$D$10,$D$11)</f>
        <v>0</v>
      </c>
      <c r="FS32" s="40">
        <f>_xll.LVCELL($D$2,FS$15,$B32,$D$5,$D$6,$D$7,$D$8,$D$9,$D$10,$D$11)</f>
        <v>0</v>
      </c>
      <c r="FT32" s="40">
        <f>_xll.LVCELL($D$2,FT$15,$B32,$D$5,$D$6,$D$7,$D$8,$D$9,$D$10,$D$11)</f>
        <v>0</v>
      </c>
      <c r="FU32" s="40">
        <f>_xll.LVCELL($D$2,FU$15,$B32,$D$5,$D$6,$D$7,$D$8,$D$9,$D$10,$D$11)</f>
        <v>0</v>
      </c>
      <c r="FV32" s="40">
        <f>_xll.LVCELL($D$2,FV$15,$B32,$D$5,$D$6,$D$7,$D$8,$D$9,$D$10,$D$11)</f>
        <v>0</v>
      </c>
      <c r="FW32" s="40">
        <f>_xll.LVCELL($D$2,FW$15,$B32,$D$5,$D$6,$D$7,$D$8,$D$9,$D$10,$D$11)</f>
        <v>0</v>
      </c>
      <c r="FX32" s="40">
        <f>_xll.LVCELL($D$2,FX$15,$B32,$D$5,$D$6,$D$7,$D$8,$D$9,$D$10,$D$11)</f>
        <v>0</v>
      </c>
      <c r="FY32" s="40">
        <f>_xll.LVCELL($D$2,FY$15,$B32,$D$5,$D$6,$D$7,$D$8,$D$9,$D$10,$D$11)</f>
        <v>0</v>
      </c>
      <c r="FZ32" s="40">
        <f>_xll.LVCELL($D$2,FZ$15,$B32,$D$5,$D$6,$D$7,$D$8,$D$9,$D$10,$D$11)</f>
        <v>0</v>
      </c>
      <c r="GA32" s="40">
        <f>_xll.LVCELL($D$2,GA$15,$B32,$D$5,$D$6,$D$7,$D$8,$D$9,$D$10,$D$11)</f>
        <v>0</v>
      </c>
      <c r="GB32" s="40">
        <f>_xll.LVCELL($D$2,GB$15,$B32,$D$5,$D$6,$D$7,$D$8,$D$9,$D$10,$D$11)</f>
        <v>0</v>
      </c>
      <c r="GC32" s="40">
        <f>_xll.LVCELL($D$2,GC$15,$B32,$D$5,$D$6,$D$7,$D$8,$D$9,$D$10,$D$11)</f>
        <v>0</v>
      </c>
      <c r="GD32" s="25">
        <f>_xll.LVCELL($D$2,GD$15,$B32,$D$5,$D$6,$D$7,$D$8,$D$9,$D$10,$D$11)</f>
        <v>0</v>
      </c>
      <c r="GE32" s="25">
        <f>_xll.LVCELL($D$2,GE$15,$B32,$D$5,$D$6,$D$7,$D$8,$D$9,$D$10,$D$11)</f>
        <v>0</v>
      </c>
      <c r="GF32" s="25">
        <f>_xll.LVCELL($D$2,GF$15,$B32,$D$5,$D$6,$D$7,$D$8,$D$9,$D$10,$D$11)</f>
        <v>0</v>
      </c>
      <c r="GG32" s="25">
        <f>_xll.LVCELL($D$2,GG$15,$B32,$D$5,$D$6,$D$7,$D$8,$D$9,$D$10,$D$11)</f>
        <v>0</v>
      </c>
      <c r="GH32" s="25">
        <f>_xll.LVCELL($D$2,GH$15,$B32,$D$5,$D$6,$D$7,$D$8,$D$9,$D$10,$D$11)</f>
        <v>0</v>
      </c>
      <c r="GI32" s="25">
        <f>_xll.LVCELL($D$2,GI$15,$B32,$D$5,$D$6,$D$7,$D$8,$D$9,$D$10,$D$11)</f>
        <v>0</v>
      </c>
      <c r="GJ32" s="25">
        <f>_xll.LVCELL($D$2,GJ$15,$B32,$D$5,$D$6,$D$7,$D$8,$D$9,$D$10,$D$11)</f>
        <v>0</v>
      </c>
      <c r="GK32" s="25">
        <f>_xll.LVCELL($D$2,GK$15,$B32,$D$5,$D$6,$D$7,$D$8,$D$9,$D$10,$D$11)</f>
        <v>0</v>
      </c>
      <c r="GL32" s="25">
        <f>_xll.LVCELL($D$2,GL$15,$B32,$D$5,$D$6,$D$7,$D$8,$D$9,$D$10,$D$11)</f>
        <v>0</v>
      </c>
      <c r="GM32" s="40">
        <f>_xll.LVCELL($D$2,GM$15,$B32,$D$5,$D$6,$D$7,$D$8,$D$9,$D$10,$D$11)</f>
        <v>0</v>
      </c>
      <c r="GN32" s="40">
        <f>_xll.LVCELL($D$2,GN$15,$B32,$D$5,$D$6,$D$7,$D$8,$D$9,$D$10,$D$11)</f>
        <v>0</v>
      </c>
      <c r="GO32" s="40">
        <f>_xll.LVCELL($D$2,GO$15,$B32,$D$5,$D$6,$D$7,$D$8,$D$9,$D$10,$D$11)</f>
        <v>0</v>
      </c>
      <c r="GP32" s="25">
        <f>_xll.LVCELL($D$2,GP$15,$B32,$D$5,$D$6,$D$7,$D$8,$D$9,$D$10,$D$11)</f>
        <v>0</v>
      </c>
      <c r="GQ32" s="25">
        <f>_xll.LVCELL($D$2,GQ$15,$B32,$D$5,$D$6,$D$7,$D$8,$D$9,$D$10,$D$11)</f>
        <v>0</v>
      </c>
      <c r="GR32" s="25">
        <f>_xll.LVCELL($D$2,GR$15,$B32,$D$5,$D$6,$D$7,$D$8,$D$9,$D$10,$D$11)</f>
        <v>0</v>
      </c>
      <c r="GS32" s="25">
        <f>_xll.LVCELL($D$2,GS$15,$B32,$D$5,$D$6,$D$7,$D$8,$D$9,$D$10,$D$11)</f>
        <v>0</v>
      </c>
      <c r="GT32" s="25">
        <f>_xll.LVCELL($D$2,GT$15,$B32,$D$5,$D$6,$D$7,$D$8,$D$9,$D$10,$D$11)</f>
        <v>0</v>
      </c>
      <c r="GU32" s="25">
        <f>_xll.LVCELL($D$2,GU$15,$B32,$D$5,$D$6,$D$7,$D$8,$D$9,$D$10,$D$11)</f>
        <v>0</v>
      </c>
      <c r="GV32" s="25">
        <f>_xll.LVCELL($D$2,GV$15,$B32,$D$5,$D$6,$D$7,$D$8,$D$9,$D$10,$D$11)</f>
        <v>0</v>
      </c>
      <c r="GW32" s="25">
        <f>_xll.LVCELL($D$2,GW$15,$B32,$D$5,$D$6,$D$7,$D$8,$D$9,$D$10,$D$11)</f>
        <v>0</v>
      </c>
      <c r="GX32" s="25">
        <f>_xll.LVCELL($D$2,GX$15,$B32,$D$5,$D$6,$D$7,$D$8,$D$9,$D$10,$D$11)</f>
        <v>0</v>
      </c>
      <c r="GY32" s="25">
        <f>_xll.LVCELL($D$2,GY$15,$B32,$D$5,$D$6,$D$7,$D$8,$D$9,$D$10,$D$11)</f>
        <v>0</v>
      </c>
      <c r="GZ32" s="25">
        <f>_xll.LVCELL($D$2,GZ$15,$B32,$D$5,$D$6,$D$7,$D$8,$D$9,$D$10,$D$11)</f>
        <v>0</v>
      </c>
      <c r="HA32" s="25">
        <f>_xll.LVCELL($D$2,HA$15,$B32,$D$5,$D$6,$D$7,$D$8,$D$9,$D$10,$D$11)</f>
        <v>0</v>
      </c>
      <c r="HB32" s="25">
        <f>_xll.LVCELL($D$2,HB$15,$B32,$D$5,$D$6,$D$7,$D$8,$D$9,$D$10,$D$11)</f>
        <v>0</v>
      </c>
      <c r="HC32" s="25">
        <f>_xll.LVCELL($D$2,HC$15,$B32,$D$5,$D$6,$D$7,$D$8,$D$9,$D$10,$D$11)</f>
        <v>0</v>
      </c>
      <c r="HD32" s="25">
        <f>_xll.LVCELL($D$2,HD$15,$B32,$D$5,$D$6,$D$7,$D$8,$D$9,$D$10,$D$11)</f>
        <v>0</v>
      </c>
      <c r="HE32" s="25">
        <f>_xll.LVCELL($D$2,HE$15,$B32,$D$5,$D$6,$D$7,$D$8,$D$9,$D$10,$D$11)</f>
        <v>0</v>
      </c>
      <c r="HF32" s="25">
        <f>_xll.LVCELL($D$2,HF$15,$B32,$D$5,$D$6,$D$7,$D$8,$D$9,$D$10,$D$11)</f>
        <v>0</v>
      </c>
      <c r="HG32" s="25">
        <f>_xll.LVCELL($D$2,HG$15,$B32,$D$5,$D$6,$D$7,$D$8,$D$9,$D$10,$D$11)</f>
        <v>0</v>
      </c>
      <c r="HH32" s="25">
        <f>_xll.LVCELL($D$2,HH$15,$B32,$D$5,$D$6,$D$7,$D$8,$D$9,$D$10,$D$11)</f>
        <v>0</v>
      </c>
      <c r="HI32" s="25">
        <f>_xll.LVCELL($D$2,HI$15,$B32,$D$5,$D$6,$D$7,$D$8,$D$9,$D$10,$D$11)</f>
        <v>0</v>
      </c>
      <c r="HJ32" s="25">
        <f>_xll.LVCELL($D$2,HJ$15,$B32,$D$5,$D$6,$D$7,$D$8,$D$9,$D$10,$D$11)</f>
        <v>0</v>
      </c>
      <c r="HK32" s="25">
        <f>_xll.LVCELL($D$2,HK$15,$B32,$D$5,$D$6,$D$7,$D$8,$D$9,$D$10,$D$11)</f>
        <v>0</v>
      </c>
      <c r="HL32" s="25">
        <f>_xll.LVCELL($D$2,HL$15,$B32,$D$5,$D$6,$D$7,$D$8,$D$9,$D$10,$D$11)</f>
        <v>0</v>
      </c>
      <c r="HM32" s="25">
        <f>_xll.LVCELL($D$2,HM$15,$B32,$D$5,$D$6,$D$7,$D$8,$D$9,$D$10,$D$11)</f>
        <v>0</v>
      </c>
    </row>
    <row r="33" spans="1:221">
      <c r="A33" t="s">
        <v>153</v>
      </c>
      <c r="B33" t="s">
        <v>256</v>
      </c>
      <c r="D33" s="10" t="s">
        <v>296</v>
      </c>
      <c r="E33" s="19">
        <v>40452</v>
      </c>
      <c r="F33" s="16" t="s">
        <v>845</v>
      </c>
      <c r="G33" s="16" t="s">
        <v>845</v>
      </c>
      <c r="H33" s="16" t="s">
        <v>845</v>
      </c>
      <c r="I33" s="16" t="s">
        <v>845</v>
      </c>
      <c r="J33" s="16" t="s">
        <v>845</v>
      </c>
      <c r="K33" s="16" t="s">
        <v>845</v>
      </c>
      <c r="L33" s="16" t="s">
        <v>845</v>
      </c>
      <c r="M33" s="16" t="s">
        <v>845</v>
      </c>
      <c r="N33" s="16" t="s">
        <v>845</v>
      </c>
      <c r="O33" s="16" t="s">
        <v>845</v>
      </c>
      <c r="P33" s="16" t="s">
        <v>845</v>
      </c>
      <c r="Q33" s="16" t="s">
        <v>845</v>
      </c>
      <c r="R33" s="16" t="s">
        <v>845</v>
      </c>
      <c r="S33" s="16" t="s">
        <v>845</v>
      </c>
      <c r="T33" s="16" t="s">
        <v>845</v>
      </c>
      <c r="U33" s="16" t="s">
        <v>845</v>
      </c>
      <c r="V33" s="16" t="s">
        <v>845</v>
      </c>
      <c r="W33" s="16" t="s">
        <v>845</v>
      </c>
      <c r="X33" s="16" t="s">
        <v>845</v>
      </c>
      <c r="Y33" s="16" t="s">
        <v>845</v>
      </c>
      <c r="Z33" s="16" t="s">
        <v>845</v>
      </c>
      <c r="AA33" s="16" t="s">
        <v>845</v>
      </c>
      <c r="AB33" s="16" t="s">
        <v>845</v>
      </c>
      <c r="AC33" s="16" t="s">
        <v>845</v>
      </c>
      <c r="AD33" s="16" t="s">
        <v>845</v>
      </c>
      <c r="AE33" s="16" t="s">
        <v>845</v>
      </c>
      <c r="AF33" s="16" t="s">
        <v>845</v>
      </c>
      <c r="AG33" s="16" t="s">
        <v>845</v>
      </c>
      <c r="AH33" s="16" t="s">
        <v>845</v>
      </c>
      <c r="AI33" s="16" t="s">
        <v>845</v>
      </c>
      <c r="AJ33" s="16" t="s">
        <v>845</v>
      </c>
      <c r="AK33" s="16" t="s">
        <v>845</v>
      </c>
      <c r="AL33" s="16" t="s">
        <v>845</v>
      </c>
      <c r="AM33" s="16" t="s">
        <v>845</v>
      </c>
      <c r="AN33" s="16" t="s">
        <v>845</v>
      </c>
      <c r="AO33" s="16" t="s">
        <v>845</v>
      </c>
      <c r="AP33" s="16" t="s">
        <v>845</v>
      </c>
      <c r="AQ33" s="16" t="s">
        <v>845</v>
      </c>
      <c r="AR33" s="16" t="s">
        <v>845</v>
      </c>
      <c r="AS33" s="16" t="s">
        <v>845</v>
      </c>
      <c r="AT33" s="16" t="s">
        <v>845</v>
      </c>
      <c r="AU33" s="16" t="s">
        <v>845</v>
      </c>
      <c r="AV33" s="16" t="s">
        <v>845</v>
      </c>
      <c r="AW33" s="16" t="s">
        <v>845</v>
      </c>
      <c r="AX33" s="16" t="s">
        <v>845</v>
      </c>
      <c r="AY33" s="16" t="s">
        <v>845</v>
      </c>
      <c r="AZ33" s="16" t="s">
        <v>845</v>
      </c>
      <c r="BA33" s="16" t="s">
        <v>845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0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57780</v>
      </c>
      <c r="CT33" s="16">
        <v>775950</v>
      </c>
      <c r="CU33" s="16">
        <v>1806893</v>
      </c>
      <c r="CV33" s="16">
        <v>1849124</v>
      </c>
      <c r="CW33" s="16">
        <v>1643830</v>
      </c>
      <c r="CX33" s="16">
        <v>2055284.9999999998</v>
      </c>
      <c r="CY33" s="16">
        <v>1844767</v>
      </c>
      <c r="CZ33" s="16">
        <v>1533034</v>
      </c>
      <c r="DA33" s="16">
        <v>989175</v>
      </c>
      <c r="DB33" s="16">
        <v>1577276</v>
      </c>
      <c r="DC33" s="16">
        <v>1533343</v>
      </c>
      <c r="DD33" s="16">
        <v>1214880</v>
      </c>
      <c r="DE33" s="16">
        <v>1250024</v>
      </c>
      <c r="DF33" s="16">
        <v>1664485</v>
      </c>
      <c r="DG33" s="16">
        <v>2400220</v>
      </c>
      <c r="DH33" s="16">
        <v>1748876</v>
      </c>
      <c r="DI33" s="16">
        <v>3908795</v>
      </c>
      <c r="DJ33" s="16">
        <v>2616652</v>
      </c>
      <c r="DK33" s="16">
        <v>1755856</v>
      </c>
      <c r="DL33" s="16">
        <v>1190016</v>
      </c>
      <c r="DM33" s="16">
        <v>2112777</v>
      </c>
      <c r="DN33" s="16">
        <v>1306972</v>
      </c>
      <c r="DO33" s="16">
        <v>1646001</v>
      </c>
      <c r="DP33" s="16">
        <v>1443245</v>
      </c>
      <c r="DQ33" s="16">
        <v>1399518</v>
      </c>
      <c r="DR33" s="16">
        <v>1262093</v>
      </c>
      <c r="DS33" s="16">
        <v>1888269</v>
      </c>
      <c r="DT33" s="16">
        <v>2003760</v>
      </c>
      <c r="DU33" s="16">
        <v>3354416</v>
      </c>
      <c r="DV33" s="16">
        <v>2148021</v>
      </c>
      <c r="DW33" s="16">
        <v>2023381</v>
      </c>
      <c r="DX33" s="16">
        <v>1882868</v>
      </c>
      <c r="DY33" s="16">
        <v>1859020</v>
      </c>
      <c r="DZ33" s="16">
        <v>1736418</v>
      </c>
      <c r="EA33" s="16">
        <v>1466525</v>
      </c>
      <c r="EB33" s="16">
        <v>990251</v>
      </c>
      <c r="EC33" s="16">
        <v>973460</v>
      </c>
      <c r="ED33" s="16">
        <v>1182802</v>
      </c>
      <c r="EE33" s="16">
        <v>2562779</v>
      </c>
      <c r="EF33" s="16">
        <v>2139163</v>
      </c>
      <c r="EG33" s="16">
        <v>2859702</v>
      </c>
      <c r="EH33" s="16">
        <v>3235362</v>
      </c>
      <c r="EI33" s="16">
        <v>3380000</v>
      </c>
      <c r="EJ33" s="16">
        <v>1416199</v>
      </c>
      <c r="EK33" s="16">
        <v>1274063</v>
      </c>
      <c r="EL33" s="16">
        <v>1736313</v>
      </c>
      <c r="EM33" s="16">
        <v>758466</v>
      </c>
      <c r="EN33" s="16">
        <v>1030861.0000000001</v>
      </c>
      <c r="EO33" s="16">
        <v>1377671</v>
      </c>
      <c r="EP33" s="16">
        <v>634081</v>
      </c>
      <c r="EQ33" s="16">
        <v>1879317</v>
      </c>
      <c r="ER33" s="16">
        <v>1809384</v>
      </c>
      <c r="ES33" s="16">
        <v>2937191</v>
      </c>
      <c r="ET33" s="16">
        <v>3012201</v>
      </c>
      <c r="EU33" s="16">
        <v>2130223</v>
      </c>
      <c r="EV33" s="16">
        <v>2374810</v>
      </c>
      <c r="EW33" s="16">
        <v>1365347</v>
      </c>
      <c r="EX33" s="16">
        <v>1808257</v>
      </c>
      <c r="EY33" s="16">
        <v>1542871</v>
      </c>
      <c r="EZ33" s="16">
        <v>1734831</v>
      </c>
      <c r="FA33" s="16">
        <v>1002116</v>
      </c>
      <c r="FB33" s="16">
        <v>1484713</v>
      </c>
      <c r="FC33" s="16">
        <v>1245831</v>
      </c>
      <c r="FD33" s="16">
        <v>3236916</v>
      </c>
      <c r="FE33" s="16">
        <v>3092074.3330000001</v>
      </c>
      <c r="FF33" s="16">
        <v>3467131</v>
      </c>
      <c r="FG33" s="16">
        <v>2872835</v>
      </c>
      <c r="FH33" s="16">
        <v>2166033</v>
      </c>
      <c r="FI33" s="16">
        <v>1519793</v>
      </c>
      <c r="FJ33" s="16">
        <v>1338422</v>
      </c>
      <c r="FK33" s="16">
        <v>1114875</v>
      </c>
      <c r="FL33" s="16">
        <v>1120980</v>
      </c>
      <c r="FM33" s="16">
        <v>1303730</v>
      </c>
      <c r="FN33" s="16">
        <v>1046800</v>
      </c>
      <c r="FO33" s="16">
        <v>1179320</v>
      </c>
      <c r="FP33" s="16">
        <v>1929980</v>
      </c>
      <c r="FQ33" s="16">
        <v>1360700</v>
      </c>
      <c r="FR33" s="40">
        <f>_xll.LVCELL($D$2,FR$15,$B33,$D$5,$D$6,$D$7,$D$8,$D$9,$D$10,$D$11)</f>
        <v>0</v>
      </c>
      <c r="FS33" s="40">
        <f>_xll.LVCELL($D$2,FS$15,$B33,$D$5,$D$6,$D$7,$D$8,$D$9,$D$10,$D$11)</f>
        <v>0</v>
      </c>
      <c r="FT33" s="40">
        <f>_xll.LVCELL($D$2,FT$15,$B33,$D$5,$D$6,$D$7,$D$8,$D$9,$D$10,$D$11)</f>
        <v>0</v>
      </c>
      <c r="FU33" s="40">
        <f>_xll.LVCELL($D$2,FU$15,$B33,$D$5,$D$6,$D$7,$D$8,$D$9,$D$10,$D$11)</f>
        <v>0</v>
      </c>
      <c r="FV33" s="40">
        <f>_xll.LVCELL($D$2,FV$15,$B33,$D$5,$D$6,$D$7,$D$8,$D$9,$D$10,$D$11)</f>
        <v>0</v>
      </c>
      <c r="FW33" s="40">
        <f>_xll.LVCELL($D$2,FW$15,$B33,$D$5,$D$6,$D$7,$D$8,$D$9,$D$10,$D$11)</f>
        <v>0</v>
      </c>
      <c r="FX33" s="40">
        <f>_xll.LVCELL($D$2,FX$15,$B33,$D$5,$D$6,$D$7,$D$8,$D$9,$D$10,$D$11)</f>
        <v>0</v>
      </c>
      <c r="FY33" s="40">
        <f>_xll.LVCELL($D$2,FY$15,$B33,$D$5,$D$6,$D$7,$D$8,$D$9,$D$10,$D$11)</f>
        <v>0</v>
      </c>
      <c r="FZ33" s="40">
        <f>_xll.LVCELL($D$2,FZ$15,$B33,$D$5,$D$6,$D$7,$D$8,$D$9,$D$10,$D$11)</f>
        <v>0</v>
      </c>
      <c r="GA33" s="40">
        <f>_xll.LVCELL($D$2,GA$15,$B33,$D$5,$D$6,$D$7,$D$8,$D$9,$D$10,$D$11)</f>
        <v>0</v>
      </c>
      <c r="GB33" s="40">
        <f>_xll.LVCELL($D$2,GB$15,$B33,$D$5,$D$6,$D$7,$D$8,$D$9,$D$10,$D$11)</f>
        <v>0</v>
      </c>
      <c r="GC33" s="40">
        <f>_xll.LVCELL($D$2,GC$15,$B33,$D$5,$D$6,$D$7,$D$8,$D$9,$D$10,$D$11)</f>
        <v>0</v>
      </c>
      <c r="GD33" s="25">
        <f>_xll.LVCELL($D$2,GD$15,$B33,$D$5,$D$6,$D$7,$D$8,$D$9,$D$10,$D$11)</f>
        <v>0</v>
      </c>
      <c r="GE33" s="25">
        <f>_xll.LVCELL($D$2,GE$15,$B33,$D$5,$D$6,$D$7,$D$8,$D$9,$D$10,$D$11)</f>
        <v>0</v>
      </c>
      <c r="GF33" s="25">
        <f>_xll.LVCELL($D$2,GF$15,$B33,$D$5,$D$6,$D$7,$D$8,$D$9,$D$10,$D$11)</f>
        <v>0</v>
      </c>
      <c r="GG33" s="25">
        <f>_xll.LVCELL($D$2,GG$15,$B33,$D$5,$D$6,$D$7,$D$8,$D$9,$D$10,$D$11)</f>
        <v>0</v>
      </c>
      <c r="GH33" s="25">
        <f>_xll.LVCELL($D$2,GH$15,$B33,$D$5,$D$6,$D$7,$D$8,$D$9,$D$10,$D$11)</f>
        <v>0</v>
      </c>
      <c r="GI33" s="25">
        <f>_xll.LVCELL($D$2,GI$15,$B33,$D$5,$D$6,$D$7,$D$8,$D$9,$D$10,$D$11)</f>
        <v>0</v>
      </c>
      <c r="GJ33" s="25">
        <f>_xll.LVCELL($D$2,GJ$15,$B33,$D$5,$D$6,$D$7,$D$8,$D$9,$D$10,$D$11)</f>
        <v>0</v>
      </c>
      <c r="GK33" s="25">
        <f>_xll.LVCELL($D$2,GK$15,$B33,$D$5,$D$6,$D$7,$D$8,$D$9,$D$10,$D$11)</f>
        <v>0</v>
      </c>
      <c r="GL33" s="25">
        <f>_xll.LVCELL($D$2,GL$15,$B33,$D$5,$D$6,$D$7,$D$8,$D$9,$D$10,$D$11)</f>
        <v>0</v>
      </c>
      <c r="GM33" s="40">
        <f>_xll.LVCELL($D$2,GM$15,$B33,$D$5,$D$6,$D$7,$D$8,$D$9,$D$10,$D$11)</f>
        <v>0</v>
      </c>
      <c r="GN33" s="40">
        <f>_xll.LVCELL($D$2,GN$15,$B33,$D$5,$D$6,$D$7,$D$8,$D$9,$D$10,$D$11)</f>
        <v>0</v>
      </c>
      <c r="GO33" s="40">
        <f>_xll.LVCELL($D$2,GO$15,$B33,$D$5,$D$6,$D$7,$D$8,$D$9,$D$10,$D$11)</f>
        <v>0</v>
      </c>
      <c r="GP33" s="25">
        <f>_xll.LVCELL($D$2,GP$15,$B33,$D$5,$D$6,$D$7,$D$8,$D$9,$D$10,$D$11)</f>
        <v>0</v>
      </c>
      <c r="GQ33" s="25">
        <f>_xll.LVCELL($D$2,GQ$15,$B33,$D$5,$D$6,$D$7,$D$8,$D$9,$D$10,$D$11)</f>
        <v>0</v>
      </c>
      <c r="GR33" s="25">
        <f>_xll.LVCELL($D$2,GR$15,$B33,$D$5,$D$6,$D$7,$D$8,$D$9,$D$10,$D$11)</f>
        <v>0</v>
      </c>
      <c r="GS33" s="25">
        <f>_xll.LVCELL($D$2,GS$15,$B33,$D$5,$D$6,$D$7,$D$8,$D$9,$D$10,$D$11)</f>
        <v>0</v>
      </c>
      <c r="GT33" s="25">
        <f>_xll.LVCELL($D$2,GT$15,$B33,$D$5,$D$6,$D$7,$D$8,$D$9,$D$10,$D$11)</f>
        <v>0</v>
      </c>
      <c r="GU33" s="25">
        <f>_xll.LVCELL($D$2,GU$15,$B33,$D$5,$D$6,$D$7,$D$8,$D$9,$D$10,$D$11)</f>
        <v>0</v>
      </c>
      <c r="GV33" s="25">
        <f>_xll.LVCELL($D$2,GV$15,$B33,$D$5,$D$6,$D$7,$D$8,$D$9,$D$10,$D$11)</f>
        <v>0</v>
      </c>
      <c r="GW33" s="25">
        <f>_xll.LVCELL($D$2,GW$15,$B33,$D$5,$D$6,$D$7,$D$8,$D$9,$D$10,$D$11)</f>
        <v>0</v>
      </c>
      <c r="GX33" s="25">
        <f>_xll.LVCELL($D$2,GX$15,$B33,$D$5,$D$6,$D$7,$D$8,$D$9,$D$10,$D$11)</f>
        <v>0</v>
      </c>
      <c r="GY33" s="25">
        <f>_xll.LVCELL($D$2,GY$15,$B33,$D$5,$D$6,$D$7,$D$8,$D$9,$D$10,$D$11)</f>
        <v>0</v>
      </c>
      <c r="GZ33" s="25">
        <f>_xll.LVCELL($D$2,GZ$15,$B33,$D$5,$D$6,$D$7,$D$8,$D$9,$D$10,$D$11)</f>
        <v>0</v>
      </c>
      <c r="HA33" s="25">
        <f>_xll.LVCELL($D$2,HA$15,$B33,$D$5,$D$6,$D$7,$D$8,$D$9,$D$10,$D$11)</f>
        <v>0</v>
      </c>
      <c r="HB33" s="25">
        <f>_xll.LVCELL($D$2,HB$15,$B33,$D$5,$D$6,$D$7,$D$8,$D$9,$D$10,$D$11)</f>
        <v>0</v>
      </c>
      <c r="HC33" s="25">
        <f>_xll.LVCELL($D$2,HC$15,$B33,$D$5,$D$6,$D$7,$D$8,$D$9,$D$10,$D$11)</f>
        <v>0</v>
      </c>
      <c r="HD33" s="25">
        <f>_xll.LVCELL($D$2,HD$15,$B33,$D$5,$D$6,$D$7,$D$8,$D$9,$D$10,$D$11)</f>
        <v>0</v>
      </c>
      <c r="HE33" s="25">
        <f>_xll.LVCELL($D$2,HE$15,$B33,$D$5,$D$6,$D$7,$D$8,$D$9,$D$10,$D$11)</f>
        <v>0</v>
      </c>
      <c r="HF33" s="25">
        <f>_xll.LVCELL($D$2,HF$15,$B33,$D$5,$D$6,$D$7,$D$8,$D$9,$D$10,$D$11)</f>
        <v>0</v>
      </c>
      <c r="HG33" s="25">
        <f>_xll.LVCELL($D$2,HG$15,$B33,$D$5,$D$6,$D$7,$D$8,$D$9,$D$10,$D$11)</f>
        <v>0</v>
      </c>
      <c r="HH33" s="25">
        <f>_xll.LVCELL($D$2,HH$15,$B33,$D$5,$D$6,$D$7,$D$8,$D$9,$D$10,$D$11)</f>
        <v>0</v>
      </c>
      <c r="HI33" s="25">
        <f>_xll.LVCELL($D$2,HI$15,$B33,$D$5,$D$6,$D$7,$D$8,$D$9,$D$10,$D$11)</f>
        <v>0</v>
      </c>
      <c r="HJ33" s="25">
        <f>_xll.LVCELL($D$2,HJ$15,$B33,$D$5,$D$6,$D$7,$D$8,$D$9,$D$10,$D$11)</f>
        <v>0</v>
      </c>
      <c r="HK33" s="25">
        <f>_xll.LVCELL($D$2,HK$15,$B33,$D$5,$D$6,$D$7,$D$8,$D$9,$D$10,$D$11)</f>
        <v>0</v>
      </c>
      <c r="HL33" s="25">
        <f>_xll.LVCELL($D$2,HL$15,$B33,$D$5,$D$6,$D$7,$D$8,$D$9,$D$10,$D$11)</f>
        <v>0</v>
      </c>
      <c r="HM33" s="25">
        <f>_xll.LVCELL($D$2,HM$15,$B33,$D$5,$D$6,$D$7,$D$8,$D$9,$D$10,$D$11)</f>
        <v>0</v>
      </c>
    </row>
    <row r="34" spans="1:221">
      <c r="A34" t="s">
        <v>89</v>
      </c>
      <c r="B34" t="s">
        <v>257</v>
      </c>
      <c r="D34" s="41" t="s">
        <v>347</v>
      </c>
      <c r="E34" s="19">
        <v>40391</v>
      </c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112"/>
      <c r="BS34" s="112"/>
      <c r="BT34" s="112"/>
      <c r="BU34" s="112"/>
      <c r="BV34" s="112"/>
      <c r="BW34" s="112"/>
      <c r="BX34" s="112"/>
      <c r="BY34" s="112"/>
      <c r="BZ34" s="112"/>
      <c r="CA34" s="112"/>
      <c r="CB34" s="112"/>
      <c r="CC34" s="112"/>
      <c r="CD34" s="112"/>
      <c r="CE34" s="112"/>
      <c r="CF34" s="112"/>
      <c r="CG34" s="112"/>
      <c r="CH34" s="112"/>
      <c r="CI34" s="112"/>
      <c r="CJ34" s="112"/>
      <c r="CK34" s="112"/>
      <c r="CL34" s="112"/>
      <c r="CM34" s="112"/>
      <c r="CN34" s="112"/>
      <c r="CO34" s="112"/>
      <c r="CP34" s="112"/>
      <c r="CQ34" s="30">
        <v>887872</v>
      </c>
      <c r="CR34" s="30">
        <v>1331337</v>
      </c>
      <c r="CS34" s="30">
        <v>2380060</v>
      </c>
      <c r="CT34" s="30">
        <v>2407651</v>
      </c>
      <c r="CU34" s="30">
        <v>5485591</v>
      </c>
      <c r="CV34" s="30">
        <v>5273829</v>
      </c>
      <c r="CW34" s="30">
        <v>3848812</v>
      </c>
      <c r="CX34" s="30">
        <v>6826641</v>
      </c>
      <c r="CY34" s="30">
        <v>5764908</v>
      </c>
      <c r="CZ34" s="30">
        <v>5610133</v>
      </c>
      <c r="DA34" s="30">
        <v>2872972</v>
      </c>
      <c r="DB34" s="30">
        <v>3984047</v>
      </c>
      <c r="DC34" s="30">
        <v>4080730</v>
      </c>
      <c r="DD34" s="30">
        <v>3434877</v>
      </c>
      <c r="DE34" s="30">
        <v>2888081</v>
      </c>
      <c r="DF34" s="30">
        <v>4178220.0000000005</v>
      </c>
      <c r="DG34" s="30">
        <v>5175616</v>
      </c>
      <c r="DH34" s="30">
        <v>4233438</v>
      </c>
      <c r="DI34" s="30">
        <v>9698284</v>
      </c>
      <c r="DJ34" s="30">
        <v>7757729</v>
      </c>
      <c r="DK34" s="30">
        <v>4578614</v>
      </c>
      <c r="DL34" s="30">
        <v>3487474</v>
      </c>
      <c r="DM34" s="30">
        <v>6627680</v>
      </c>
      <c r="DN34" s="30">
        <v>4084100</v>
      </c>
      <c r="DO34" s="30">
        <v>4464006</v>
      </c>
      <c r="DP34" s="30">
        <v>3732561</v>
      </c>
      <c r="DQ34" s="30">
        <v>3686130</v>
      </c>
      <c r="DR34" s="30">
        <v>3138635</v>
      </c>
      <c r="DS34" s="30">
        <v>5956500</v>
      </c>
      <c r="DT34" s="30">
        <v>5875331</v>
      </c>
      <c r="DU34" s="30">
        <v>9384131</v>
      </c>
      <c r="DV34" s="30">
        <v>5454082</v>
      </c>
      <c r="DW34" s="30">
        <v>5349208</v>
      </c>
      <c r="DX34" s="30">
        <v>5631499</v>
      </c>
      <c r="DY34" s="30">
        <v>5918581</v>
      </c>
      <c r="DZ34" s="30">
        <v>4286991</v>
      </c>
      <c r="EA34" s="30">
        <v>4522680</v>
      </c>
      <c r="EB34" s="30">
        <v>3222703</v>
      </c>
      <c r="EC34" s="30">
        <v>2759363</v>
      </c>
      <c r="ED34" s="30">
        <v>2994669</v>
      </c>
      <c r="EE34" s="30">
        <v>6628092</v>
      </c>
      <c r="EF34" s="30">
        <v>6083605</v>
      </c>
      <c r="EG34" s="30">
        <v>8485116</v>
      </c>
      <c r="EH34" s="30">
        <v>9735906</v>
      </c>
      <c r="EI34" s="30">
        <v>10204239</v>
      </c>
      <c r="EJ34" s="30">
        <v>5003435</v>
      </c>
      <c r="EK34" s="30">
        <v>3235871</v>
      </c>
      <c r="EL34" s="30">
        <v>5024617</v>
      </c>
      <c r="EM34" s="30">
        <v>2498948</v>
      </c>
      <c r="EN34" s="30">
        <v>2980954</v>
      </c>
      <c r="EO34" s="30">
        <v>3794776</v>
      </c>
      <c r="EP34" s="30">
        <v>1850982</v>
      </c>
      <c r="EQ34" s="30">
        <v>5377612</v>
      </c>
      <c r="ER34" s="30">
        <v>5266763</v>
      </c>
      <c r="ES34" s="30">
        <v>7531133</v>
      </c>
      <c r="ET34" s="29">
        <v>3343421</v>
      </c>
      <c r="EU34" s="29">
        <v>2377177</v>
      </c>
      <c r="EV34" s="29">
        <v>2717295</v>
      </c>
      <c r="EW34" s="29">
        <v>1559725</v>
      </c>
      <c r="EX34" s="29">
        <v>1846167</v>
      </c>
      <c r="EY34" s="29">
        <v>1620454</v>
      </c>
      <c r="EZ34" s="29">
        <v>1625665</v>
      </c>
      <c r="FA34" s="29">
        <v>1245853.5</v>
      </c>
      <c r="FB34" s="29">
        <v>1827276</v>
      </c>
      <c r="FC34" s="29">
        <v>1213040</v>
      </c>
      <c r="FD34" s="29">
        <v>3455188.8330000001</v>
      </c>
      <c r="FE34" s="29">
        <v>4107067.1666666665</v>
      </c>
      <c r="FF34" s="29">
        <v>3902409.1666666665</v>
      </c>
      <c r="FG34" s="29">
        <v>3548520.166666666</v>
      </c>
      <c r="FH34" s="29">
        <v>2619913.5000000005</v>
      </c>
      <c r="FI34" s="29">
        <v>1784469.4999999998</v>
      </c>
      <c r="FJ34" s="29">
        <v>1310368.3333333333</v>
      </c>
      <c r="FK34" s="29">
        <v>1164917.6666666667</v>
      </c>
      <c r="FL34" s="29">
        <v>1035923.9999999998</v>
      </c>
      <c r="FM34" s="29">
        <v>1325141</v>
      </c>
      <c r="FN34" s="29">
        <v>1073706.9999999998</v>
      </c>
      <c r="FO34" s="29">
        <v>1150438.666666667</v>
      </c>
      <c r="FP34" s="29">
        <v>2406400.833333333</v>
      </c>
      <c r="FQ34" s="29">
        <v>1706824.333333334</v>
      </c>
      <c r="FR34" s="40">
        <v>1590789</v>
      </c>
      <c r="FS34" s="40">
        <v>2665431.833333333</v>
      </c>
      <c r="FT34" s="40">
        <v>2905297.333333334</v>
      </c>
      <c r="FU34" s="40">
        <v>982601.16666666674</v>
      </c>
      <c r="FV34" s="40">
        <v>1262395.5</v>
      </c>
      <c r="FW34" s="40">
        <v>1385310.8333333333</v>
      </c>
      <c r="FX34" s="40">
        <v>1512535.3333333333</v>
      </c>
      <c r="FY34" s="40">
        <v>1034380.9999999999</v>
      </c>
      <c r="FZ34" s="40">
        <v>1737799.6666666667</v>
      </c>
      <c r="GA34" s="40">
        <v>2319091.5</v>
      </c>
      <c r="GB34" s="40">
        <v>1978201.8333333337</v>
      </c>
      <c r="GC34" s="40">
        <v>3152428</v>
      </c>
      <c r="GD34" s="40">
        <v>3853779.8333333335</v>
      </c>
      <c r="GE34" s="40">
        <v>2603455.8333333335</v>
      </c>
      <c r="GF34" s="40">
        <v>2621344</v>
      </c>
      <c r="GG34" s="40">
        <v>1721605</v>
      </c>
      <c r="GH34" s="40">
        <v>1228086</v>
      </c>
      <c r="GI34" s="40">
        <v>971210</v>
      </c>
      <c r="GJ34" s="40">
        <v>754761.33333333337</v>
      </c>
      <c r="GK34" s="40">
        <v>1177563.9999999998</v>
      </c>
      <c r="GL34" s="40">
        <v>1422054.3333333335</v>
      </c>
      <c r="GM34" s="40">
        <v>1847742</v>
      </c>
      <c r="GN34" s="40">
        <v>2523963.333333333</v>
      </c>
      <c r="GO34" s="40">
        <v>3263890.8333333335</v>
      </c>
      <c r="GP34" s="28">
        <v>2194226.5</v>
      </c>
      <c r="GQ34" s="28">
        <v>2295289.8333333335</v>
      </c>
      <c r="GR34" s="28">
        <v>3722566.6666666665</v>
      </c>
      <c r="GS34" s="25">
        <f>1455.30733333333*1000</f>
        <v>1455307.33333333</v>
      </c>
      <c r="GT34" s="25">
        <f>1251.09183333333*1000</f>
        <v>1251091.83333333</v>
      </c>
      <c r="GU34" s="25">
        <f>1410.95883333333*1000</f>
        <v>1410958.83333333</v>
      </c>
      <c r="GV34" s="25"/>
      <c r="GW34" s="25"/>
      <c r="GX34" s="25"/>
      <c r="GY34" s="25"/>
      <c r="GZ34" s="25"/>
      <c r="HA34" s="25"/>
      <c r="HB34" s="28">
        <v>2194226.5</v>
      </c>
      <c r="HC34" s="28">
        <v>2295289.8333333335</v>
      </c>
      <c r="HD34" s="28">
        <v>3722566.6666666665</v>
      </c>
      <c r="HE34" s="25">
        <f>1455.30733333333*1000</f>
        <v>1455307.33333333</v>
      </c>
      <c r="HF34" s="25">
        <f>1251.09183333333*1000</f>
        <v>1251091.83333333</v>
      </c>
      <c r="HG34" s="25">
        <f>1410.95883333333*1000</f>
        <v>1410958.83333333</v>
      </c>
      <c r="HH34" s="25"/>
      <c r="HI34" s="25"/>
      <c r="HJ34" s="25"/>
      <c r="HK34" s="25"/>
      <c r="HL34" s="25"/>
      <c r="HM34" s="25"/>
    </row>
    <row r="35" spans="1:221">
      <c r="D35" s="41" t="s">
        <v>348</v>
      </c>
      <c r="E35" s="19">
        <v>40391</v>
      </c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112"/>
      <c r="BS35" s="112"/>
      <c r="BT35" s="112"/>
      <c r="BU35" s="112"/>
      <c r="BV35" s="112"/>
      <c r="BW35" s="112"/>
      <c r="BX35" s="112"/>
      <c r="BY35" s="112"/>
      <c r="BZ35" s="112"/>
      <c r="CA35" s="112"/>
      <c r="CB35" s="112"/>
      <c r="CC35" s="112"/>
      <c r="CD35" s="112"/>
      <c r="CE35" s="112"/>
      <c r="CF35" s="112"/>
      <c r="CG35" s="112"/>
      <c r="CH35" s="112"/>
      <c r="CI35" s="112"/>
      <c r="CJ35" s="112"/>
      <c r="CK35" s="112"/>
      <c r="CL35" s="112"/>
      <c r="CM35" s="112"/>
      <c r="CN35" s="112"/>
      <c r="CO35" s="112"/>
      <c r="CP35" s="112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29">
        <v>1664197</v>
      </c>
      <c r="EU35" s="29">
        <v>1281785</v>
      </c>
      <c r="EV35" s="29">
        <v>1402434</v>
      </c>
      <c r="EW35" s="29">
        <v>902901</v>
      </c>
      <c r="EX35" s="29">
        <v>969386</v>
      </c>
      <c r="EY35" s="29">
        <v>926861</v>
      </c>
      <c r="EZ35" s="29">
        <v>874344</v>
      </c>
      <c r="FA35" s="29">
        <v>671052</v>
      </c>
      <c r="FB35" s="29">
        <v>975701</v>
      </c>
      <c r="FC35" s="29">
        <v>706453</v>
      </c>
      <c r="FD35" s="29">
        <v>1788786.5</v>
      </c>
      <c r="FE35" s="29">
        <v>2046701.8333333333</v>
      </c>
      <c r="FF35" s="29">
        <v>1966640.8333333335</v>
      </c>
      <c r="FG35" s="29">
        <v>1801483.3333333333</v>
      </c>
      <c r="FH35" s="29">
        <v>1259349.1666666667</v>
      </c>
      <c r="FI35" s="29">
        <v>949200.00000000023</v>
      </c>
      <c r="FJ35" s="29">
        <v>783903.99999999988</v>
      </c>
      <c r="FK35" s="29">
        <v>633430.16666666651</v>
      </c>
      <c r="FL35" s="29">
        <v>564653.99999999988</v>
      </c>
      <c r="FM35" s="29">
        <v>725591.5</v>
      </c>
      <c r="FN35" s="29">
        <v>605680.99999999988</v>
      </c>
      <c r="FO35" s="29">
        <v>672066.66666666663</v>
      </c>
      <c r="FP35" s="29">
        <v>1344815.8333333333</v>
      </c>
      <c r="FQ35" s="29">
        <v>995400.50000000047</v>
      </c>
      <c r="FR35" s="40">
        <v>860102</v>
      </c>
      <c r="FS35" s="40">
        <v>1423564</v>
      </c>
      <c r="FT35" s="40">
        <v>1545162.6666666667</v>
      </c>
      <c r="FU35" s="40">
        <v>457171.33333333308</v>
      </c>
      <c r="FV35" s="40">
        <v>747375.5</v>
      </c>
      <c r="FW35" s="40">
        <v>789774.33333333337</v>
      </c>
      <c r="FX35" s="40">
        <v>799521.5</v>
      </c>
      <c r="FY35" s="40">
        <v>565002</v>
      </c>
      <c r="FZ35" s="40">
        <v>846526</v>
      </c>
      <c r="GA35" s="40">
        <v>1206630</v>
      </c>
      <c r="GB35" s="40">
        <v>999814.5</v>
      </c>
      <c r="GC35" s="40">
        <v>1606934</v>
      </c>
      <c r="GD35" s="40">
        <v>1943813.5000000002</v>
      </c>
      <c r="GE35" s="40">
        <v>1462047.6666666665</v>
      </c>
      <c r="GF35" s="40">
        <v>1411360.333333333</v>
      </c>
      <c r="GG35" s="40">
        <v>953572.00000000012</v>
      </c>
      <c r="GH35" s="40">
        <v>721512</v>
      </c>
      <c r="GI35" s="40">
        <v>456379</v>
      </c>
      <c r="GJ35" s="40">
        <v>447203.66666666669</v>
      </c>
      <c r="GK35" s="40">
        <v>577036.66666666663</v>
      </c>
      <c r="GL35" s="40">
        <v>786377.83333333337</v>
      </c>
      <c r="GM35" s="40">
        <v>1069243</v>
      </c>
      <c r="GN35" s="40">
        <v>1349534.666666667</v>
      </c>
      <c r="GO35" s="40">
        <v>1681093.5</v>
      </c>
      <c r="GP35" s="28">
        <v>1171650.5</v>
      </c>
      <c r="GQ35" s="28">
        <v>1208029.1666666667</v>
      </c>
      <c r="GR35" s="28">
        <v>1887942.3333333335</v>
      </c>
      <c r="GS35" s="25">
        <f>859.7345*1000</f>
        <v>859734.5</v>
      </c>
      <c r="GT35" s="25">
        <f>738.4635*1000</f>
        <v>738463.5</v>
      </c>
      <c r="GU35" s="25">
        <f>815.372*1000</f>
        <v>815372</v>
      </c>
      <c r="GV35" s="25"/>
      <c r="GW35" s="25"/>
      <c r="GX35" s="25"/>
      <c r="GY35" s="25"/>
      <c r="GZ35" s="25"/>
      <c r="HA35" s="25"/>
      <c r="HB35" s="28">
        <v>1171650.5</v>
      </c>
      <c r="HC35" s="28">
        <v>1208029.1666666667</v>
      </c>
      <c r="HD35" s="28">
        <v>1887942.3333333335</v>
      </c>
      <c r="HE35" s="25">
        <f>859.7345*1000</f>
        <v>859734.5</v>
      </c>
      <c r="HF35" s="25">
        <f>738.4635*1000</f>
        <v>738463.5</v>
      </c>
      <c r="HG35" s="25">
        <f>815.372*1000</f>
        <v>815372</v>
      </c>
      <c r="HH35" s="25"/>
      <c r="HI35" s="25"/>
      <c r="HJ35" s="25"/>
      <c r="HK35" s="25"/>
      <c r="HL35" s="25"/>
      <c r="HM35" s="25"/>
    </row>
    <row r="36" spans="1:221">
      <c r="D36" s="41" t="s">
        <v>349</v>
      </c>
      <c r="E36" s="19">
        <v>40452</v>
      </c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112"/>
      <c r="BL36" s="112"/>
      <c r="BM36" s="112"/>
      <c r="BN36" s="112"/>
      <c r="BO36" s="112"/>
      <c r="BP36" s="112"/>
      <c r="BQ36" s="112"/>
      <c r="BR36" s="112"/>
      <c r="BS36" s="112"/>
      <c r="BT36" s="112"/>
      <c r="BU36" s="112"/>
      <c r="BV36" s="112"/>
      <c r="BW36" s="112"/>
      <c r="BX36" s="112"/>
      <c r="BY36" s="112"/>
      <c r="BZ36" s="112"/>
      <c r="CA36" s="112"/>
      <c r="CB36" s="112"/>
      <c r="CC36" s="112"/>
      <c r="CD36" s="112"/>
      <c r="CE36" s="112"/>
      <c r="CF36" s="112"/>
      <c r="CG36" s="112"/>
      <c r="CH36" s="112"/>
      <c r="CI36" s="112"/>
      <c r="CJ36" s="112"/>
      <c r="CK36" s="112"/>
      <c r="CL36" s="112"/>
      <c r="CM36" s="112"/>
      <c r="CN36" s="112"/>
      <c r="CO36" s="112"/>
      <c r="CP36" s="112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29">
        <v>3268835</v>
      </c>
      <c r="EU36" s="29">
        <v>2535523</v>
      </c>
      <c r="EV36" s="29">
        <v>2912953</v>
      </c>
      <c r="EW36" s="29">
        <v>1935846</v>
      </c>
      <c r="EX36" s="29">
        <v>1925753</v>
      </c>
      <c r="EY36" s="29">
        <v>1826230</v>
      </c>
      <c r="EZ36" s="29">
        <v>1653466</v>
      </c>
      <c r="FA36" s="29">
        <v>1407064.8333333333</v>
      </c>
      <c r="FB36" s="29">
        <v>2037590</v>
      </c>
      <c r="FC36" s="29">
        <v>1497103</v>
      </c>
      <c r="FD36" s="29">
        <v>3412117.6669999999</v>
      </c>
      <c r="FE36" s="29">
        <v>3796491.1666666665</v>
      </c>
      <c r="FF36" s="29">
        <v>3898359.1666666665</v>
      </c>
      <c r="FG36" s="29">
        <v>3525823.4999999995</v>
      </c>
      <c r="FH36" s="29">
        <v>2611863.5</v>
      </c>
      <c r="FI36" s="29">
        <v>1895354.8333333333</v>
      </c>
      <c r="FJ36" s="29">
        <v>1554481.3333333333</v>
      </c>
      <c r="FK36" s="29">
        <v>1150347.1669999999</v>
      </c>
      <c r="FL36" s="29">
        <v>1135505</v>
      </c>
      <c r="FM36" s="29">
        <v>1440909.9999999998</v>
      </c>
      <c r="FN36" s="29">
        <v>1156883.9999999995</v>
      </c>
      <c r="FO36" s="29">
        <v>1485186.3333333333</v>
      </c>
      <c r="FP36" s="29">
        <v>2734473.666666667</v>
      </c>
      <c r="FQ36" s="29">
        <v>1994421.0000000002</v>
      </c>
      <c r="FR36" s="40">
        <v>1771103</v>
      </c>
      <c r="FS36" s="40">
        <v>2886822.166666667</v>
      </c>
      <c r="FT36" s="40">
        <v>3017431.8333333335</v>
      </c>
      <c r="FU36" s="40">
        <v>1082033.1666666663</v>
      </c>
      <c r="FV36" s="40">
        <v>1577585.1666666667</v>
      </c>
      <c r="FW36" s="40">
        <v>1563860.333333333</v>
      </c>
      <c r="FX36" s="40">
        <v>1631150.5000000002</v>
      </c>
      <c r="FY36" s="40">
        <v>960456.99999999988</v>
      </c>
      <c r="FZ36" s="40">
        <v>1607572.1666666667</v>
      </c>
      <c r="GA36" s="40">
        <v>2255751.3330000001</v>
      </c>
      <c r="GB36" s="40">
        <v>1510145.5</v>
      </c>
      <c r="GC36" s="40">
        <v>2944363.0000000005</v>
      </c>
      <c r="GD36" s="40">
        <v>3525298.1666666665</v>
      </c>
      <c r="GE36" s="40">
        <v>3048825.0000000005</v>
      </c>
      <c r="GF36" s="40">
        <v>2939897.166666666</v>
      </c>
      <c r="GG36" s="40">
        <v>2012610.0000000005</v>
      </c>
      <c r="GH36" s="40">
        <v>1316938</v>
      </c>
      <c r="GI36" s="40">
        <v>1287675</v>
      </c>
      <c r="GJ36" s="40">
        <v>953416.33333333349</v>
      </c>
      <c r="GK36" s="40">
        <v>1245396.8333333333</v>
      </c>
      <c r="GL36" s="40">
        <v>1489261.5</v>
      </c>
      <c r="GM36" s="40">
        <v>2165770.333333333</v>
      </c>
      <c r="GN36" s="40">
        <v>2717387.3333333335</v>
      </c>
      <c r="GO36" s="40">
        <v>2943897.5</v>
      </c>
      <c r="GP36" s="28">
        <v>2169727.8333333335</v>
      </c>
      <c r="GQ36" s="28">
        <v>2324559.1666666665</v>
      </c>
      <c r="GR36" s="28">
        <v>3525505.166666667</v>
      </c>
      <c r="GS36" s="25">
        <f>1808.36633333333*1000</f>
        <v>1808366.33333333</v>
      </c>
      <c r="GT36" s="25">
        <f>1432.8675*1000</f>
        <v>1432867.5</v>
      </c>
      <c r="GU36" s="25">
        <f>1724.4345*1000</f>
        <v>1724434.5</v>
      </c>
      <c r="GV36" s="25"/>
      <c r="GW36" s="25"/>
      <c r="GX36" s="25"/>
      <c r="GY36" s="25"/>
      <c r="GZ36" s="25"/>
      <c r="HA36" s="25"/>
      <c r="HB36" s="28">
        <v>2169727.8333333335</v>
      </c>
      <c r="HC36" s="28">
        <v>2324559.1666666665</v>
      </c>
      <c r="HD36" s="28">
        <v>3525505.166666667</v>
      </c>
      <c r="HE36" s="25">
        <f>1808.36633333333*1000</f>
        <v>1808366.33333333</v>
      </c>
      <c r="HF36" s="25">
        <f>1432.8675*1000</f>
        <v>1432867.5</v>
      </c>
      <c r="HG36" s="25">
        <f>1724.4345*1000</f>
        <v>1724434.5</v>
      </c>
      <c r="HH36" s="25"/>
      <c r="HI36" s="25"/>
      <c r="HJ36" s="25"/>
      <c r="HK36" s="25"/>
      <c r="HL36" s="25"/>
      <c r="HM36" s="25"/>
    </row>
    <row r="37" spans="1:221">
      <c r="A37" t="s">
        <v>89</v>
      </c>
      <c r="B37" t="s">
        <v>257</v>
      </c>
      <c r="D37" s="41" t="s">
        <v>2626</v>
      </c>
      <c r="E37" s="19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2"/>
      <c r="BP37" s="112"/>
      <c r="BQ37" s="112"/>
      <c r="BR37" s="112"/>
      <c r="BS37" s="112"/>
      <c r="BT37" s="112"/>
      <c r="BU37" s="112"/>
      <c r="BV37" s="112"/>
      <c r="BW37" s="112"/>
      <c r="BX37" s="112"/>
      <c r="BY37" s="112"/>
      <c r="BZ37" s="112"/>
      <c r="CA37" s="112"/>
      <c r="CB37" s="112"/>
      <c r="CC37" s="112"/>
      <c r="CD37" s="112"/>
      <c r="CE37" s="112"/>
      <c r="CF37" s="112"/>
      <c r="CG37" s="112"/>
      <c r="CH37" s="112"/>
      <c r="CI37" s="112"/>
      <c r="CJ37" s="112"/>
      <c r="CK37" s="112"/>
      <c r="CL37" s="112"/>
      <c r="CM37" s="112"/>
      <c r="CN37" s="112"/>
      <c r="CO37" s="112"/>
      <c r="CP37" s="112"/>
      <c r="CQ37" s="112">
        <f>CQ34+CQ35+CQ36</f>
        <v>887872</v>
      </c>
      <c r="CR37" s="112">
        <f t="shared" ref="CR37:FC37" si="0">CR34+CR35+CR36</f>
        <v>1331337</v>
      </c>
      <c r="CS37" s="112">
        <f t="shared" si="0"/>
        <v>2380060</v>
      </c>
      <c r="CT37" s="112">
        <f t="shared" si="0"/>
        <v>2407651</v>
      </c>
      <c r="CU37" s="112">
        <f t="shared" si="0"/>
        <v>5485591</v>
      </c>
      <c r="CV37" s="112">
        <f t="shared" si="0"/>
        <v>5273829</v>
      </c>
      <c r="CW37" s="112">
        <f t="shared" si="0"/>
        <v>3848812</v>
      </c>
      <c r="CX37" s="112">
        <f t="shared" si="0"/>
        <v>6826641</v>
      </c>
      <c r="CY37" s="112">
        <f t="shared" si="0"/>
        <v>5764908</v>
      </c>
      <c r="CZ37" s="112">
        <f t="shared" si="0"/>
        <v>5610133</v>
      </c>
      <c r="DA37" s="112">
        <f t="shared" si="0"/>
        <v>2872972</v>
      </c>
      <c r="DB37" s="112">
        <f t="shared" si="0"/>
        <v>3984047</v>
      </c>
      <c r="DC37" s="112">
        <f t="shared" si="0"/>
        <v>4080730</v>
      </c>
      <c r="DD37" s="112">
        <f t="shared" si="0"/>
        <v>3434877</v>
      </c>
      <c r="DE37" s="112">
        <f t="shared" si="0"/>
        <v>2888081</v>
      </c>
      <c r="DF37" s="112">
        <f t="shared" si="0"/>
        <v>4178220.0000000005</v>
      </c>
      <c r="DG37" s="112">
        <f t="shared" si="0"/>
        <v>5175616</v>
      </c>
      <c r="DH37" s="112">
        <f t="shared" si="0"/>
        <v>4233438</v>
      </c>
      <c r="DI37" s="112">
        <f t="shared" si="0"/>
        <v>9698284</v>
      </c>
      <c r="DJ37" s="112">
        <f t="shared" si="0"/>
        <v>7757729</v>
      </c>
      <c r="DK37" s="112">
        <f t="shared" si="0"/>
        <v>4578614</v>
      </c>
      <c r="DL37" s="112">
        <f t="shared" si="0"/>
        <v>3487474</v>
      </c>
      <c r="DM37" s="112">
        <f t="shared" si="0"/>
        <v>6627680</v>
      </c>
      <c r="DN37" s="112">
        <f t="shared" si="0"/>
        <v>4084100</v>
      </c>
      <c r="DO37" s="112">
        <f t="shared" si="0"/>
        <v>4464006</v>
      </c>
      <c r="DP37" s="112">
        <f t="shared" si="0"/>
        <v>3732561</v>
      </c>
      <c r="DQ37" s="112">
        <f t="shared" si="0"/>
        <v>3686130</v>
      </c>
      <c r="DR37" s="112">
        <f t="shared" si="0"/>
        <v>3138635</v>
      </c>
      <c r="DS37" s="112">
        <f t="shared" si="0"/>
        <v>5956500</v>
      </c>
      <c r="DT37" s="112">
        <f t="shared" si="0"/>
        <v>5875331</v>
      </c>
      <c r="DU37" s="112">
        <f t="shared" si="0"/>
        <v>9384131</v>
      </c>
      <c r="DV37" s="112">
        <f t="shared" si="0"/>
        <v>5454082</v>
      </c>
      <c r="DW37" s="112">
        <f t="shared" si="0"/>
        <v>5349208</v>
      </c>
      <c r="DX37" s="112">
        <f t="shared" si="0"/>
        <v>5631499</v>
      </c>
      <c r="DY37" s="112">
        <f t="shared" si="0"/>
        <v>5918581</v>
      </c>
      <c r="DZ37" s="112">
        <f t="shared" si="0"/>
        <v>4286991</v>
      </c>
      <c r="EA37" s="112">
        <f t="shared" si="0"/>
        <v>4522680</v>
      </c>
      <c r="EB37" s="112">
        <f t="shared" si="0"/>
        <v>3222703</v>
      </c>
      <c r="EC37" s="112">
        <f t="shared" si="0"/>
        <v>2759363</v>
      </c>
      <c r="ED37" s="112">
        <f t="shared" si="0"/>
        <v>2994669</v>
      </c>
      <c r="EE37" s="112">
        <f t="shared" si="0"/>
        <v>6628092</v>
      </c>
      <c r="EF37" s="112">
        <f t="shared" si="0"/>
        <v>6083605</v>
      </c>
      <c r="EG37" s="112">
        <f t="shared" si="0"/>
        <v>8485116</v>
      </c>
      <c r="EH37" s="112">
        <f t="shared" si="0"/>
        <v>9735906</v>
      </c>
      <c r="EI37" s="112">
        <f t="shared" si="0"/>
        <v>10204239</v>
      </c>
      <c r="EJ37" s="112">
        <f t="shared" si="0"/>
        <v>5003435</v>
      </c>
      <c r="EK37" s="112">
        <f t="shared" si="0"/>
        <v>3235871</v>
      </c>
      <c r="EL37" s="112">
        <f t="shared" si="0"/>
        <v>5024617</v>
      </c>
      <c r="EM37" s="112">
        <f t="shared" si="0"/>
        <v>2498948</v>
      </c>
      <c r="EN37" s="112">
        <f t="shared" si="0"/>
        <v>2980954</v>
      </c>
      <c r="EO37" s="112">
        <f t="shared" si="0"/>
        <v>3794776</v>
      </c>
      <c r="EP37" s="112">
        <f t="shared" si="0"/>
        <v>1850982</v>
      </c>
      <c r="EQ37" s="112">
        <f t="shared" si="0"/>
        <v>5377612</v>
      </c>
      <c r="ER37" s="112">
        <f t="shared" si="0"/>
        <v>5266763</v>
      </c>
      <c r="ES37" s="112">
        <f t="shared" si="0"/>
        <v>7531133</v>
      </c>
      <c r="ET37" s="112">
        <f t="shared" si="0"/>
        <v>8276453</v>
      </c>
      <c r="EU37" s="112">
        <f t="shared" si="0"/>
        <v>6194485</v>
      </c>
      <c r="EV37" s="112">
        <f t="shared" si="0"/>
        <v>7032682</v>
      </c>
      <c r="EW37" s="112">
        <f t="shared" si="0"/>
        <v>4398472</v>
      </c>
      <c r="EX37" s="112">
        <f t="shared" si="0"/>
        <v>4741306</v>
      </c>
      <c r="EY37" s="112">
        <f t="shared" si="0"/>
        <v>4373545</v>
      </c>
      <c r="EZ37" s="112">
        <f t="shared" si="0"/>
        <v>4153475</v>
      </c>
      <c r="FA37" s="112">
        <f t="shared" si="0"/>
        <v>3323970.333333333</v>
      </c>
      <c r="FB37" s="112">
        <f t="shared" si="0"/>
        <v>4840567</v>
      </c>
      <c r="FC37" s="112">
        <f t="shared" si="0"/>
        <v>3416596</v>
      </c>
      <c r="FD37" s="112">
        <f t="shared" ref="FD37:FT37" si="1">FD34+FD35+FD36</f>
        <v>8656093</v>
      </c>
      <c r="FE37" s="112">
        <f t="shared" si="1"/>
        <v>9950260.166666666</v>
      </c>
      <c r="FF37" s="112">
        <f t="shared" si="1"/>
        <v>9767409.166666666</v>
      </c>
      <c r="FG37" s="112">
        <f t="shared" si="1"/>
        <v>8875826.9999999981</v>
      </c>
      <c r="FH37" s="112">
        <f t="shared" si="1"/>
        <v>6491126.166666667</v>
      </c>
      <c r="FI37" s="112">
        <f t="shared" si="1"/>
        <v>4629024.333333333</v>
      </c>
      <c r="FJ37" s="112">
        <f t="shared" si="1"/>
        <v>3648753.666666666</v>
      </c>
      <c r="FK37" s="112">
        <f t="shared" si="1"/>
        <v>2948695.0003333334</v>
      </c>
      <c r="FL37" s="112">
        <f t="shared" si="1"/>
        <v>2736082.9999999995</v>
      </c>
      <c r="FM37" s="112">
        <f t="shared" si="1"/>
        <v>3491642.5</v>
      </c>
      <c r="FN37" s="112">
        <f t="shared" si="1"/>
        <v>2836271.9999999991</v>
      </c>
      <c r="FO37" s="112">
        <f t="shared" si="1"/>
        <v>3307691.666666667</v>
      </c>
      <c r="FP37" s="112">
        <f t="shared" si="1"/>
        <v>6485690.333333333</v>
      </c>
      <c r="FQ37" s="112">
        <f t="shared" si="1"/>
        <v>4696645.8333333349</v>
      </c>
      <c r="FR37" s="112">
        <f t="shared" si="1"/>
        <v>4221994</v>
      </c>
      <c r="FS37" s="112">
        <f t="shared" si="1"/>
        <v>6975818</v>
      </c>
      <c r="FT37" s="112">
        <f t="shared" si="1"/>
        <v>7467891.833333334</v>
      </c>
      <c r="FU37" s="112">
        <f>_xll.LVCELL($D$2,FU$15,$B37,$D$5,$D$6,$D$7,$D$8,$D$9,$D$10,$D$11)</f>
        <v>0</v>
      </c>
      <c r="FV37" s="112">
        <f>_xll.LVCELL($D$2,FV$15,$B37,$D$5,$D$6,$D$7,$D$8,$D$9,$D$10,$D$11)</f>
        <v>0</v>
      </c>
      <c r="FW37" s="112">
        <f>_xll.LVCELL($D$2,FW$15,$B37,$D$5,$D$6,$D$7,$D$8,$D$9,$D$10,$D$11)</f>
        <v>0</v>
      </c>
      <c r="FX37" s="112">
        <f>_xll.LVCELL($D$2,FX$15,$B37,$D$5,$D$6,$D$7,$D$8,$D$9,$D$10,$D$11)</f>
        <v>0</v>
      </c>
      <c r="FY37" s="112">
        <f>_xll.LVCELL($D$2,FY$15,$B37,$D$5,$D$6,$D$7,$D$8,$D$9,$D$10,$D$11)</f>
        <v>0</v>
      </c>
      <c r="FZ37" s="112">
        <f>_xll.LVCELL($D$2,FZ$15,$B37,$D$5,$D$6,$D$7,$D$8,$D$9,$D$10,$D$11)</f>
        <v>0</v>
      </c>
      <c r="GA37" s="112">
        <f>_xll.LVCELL($D$2,GA$15,$B37,$D$5,$D$6,$D$7,$D$8,$D$9,$D$10,$D$11)</f>
        <v>0</v>
      </c>
      <c r="GB37" s="112">
        <f>_xll.LVCELL($D$2,GB$15,$B37,$D$5,$D$6,$D$7,$D$8,$D$9,$D$10,$D$11)</f>
        <v>0</v>
      </c>
      <c r="GC37" s="112">
        <f>_xll.LVCELL($D$2,GC$15,$B37,$D$5,$D$6,$D$7,$D$8,$D$9,$D$10,$D$11)</f>
        <v>0</v>
      </c>
      <c r="GD37" s="112">
        <f>_xll.LVCELL($D$2,GD$15,$B37,$D$5,$D$6,$D$7,$D$8,$D$9,$D$10,$D$11)</f>
        <v>0</v>
      </c>
      <c r="GE37" s="112">
        <f>_xll.LVCELL($D$2,GE$15,$B37,$D$5,$D$6,$D$7,$D$8,$D$9,$D$10,$D$11)</f>
        <v>0</v>
      </c>
      <c r="GF37" s="112">
        <f>_xll.LVCELL($D$2,GF$15,$B37,$D$5,$D$6,$D$7,$D$8,$D$9,$D$10,$D$11)</f>
        <v>0</v>
      </c>
      <c r="GG37" s="112">
        <f>_xll.LVCELL($D$2,GG$15,$B37,$D$5,$D$6,$D$7,$D$8,$D$9,$D$10,$D$11)</f>
        <v>0</v>
      </c>
      <c r="GH37" s="112">
        <f>_xll.LVCELL($D$2,GH$15,$B37,$D$5,$D$6,$D$7,$D$8,$D$9,$D$10,$D$11)</f>
        <v>0</v>
      </c>
      <c r="GI37" s="112">
        <f>_xll.LVCELL($D$2,GI$15,$B37,$D$5,$D$6,$D$7,$D$8,$D$9,$D$10,$D$11)</f>
        <v>0</v>
      </c>
      <c r="GJ37" s="112">
        <f>_xll.LVCELL($D$2,GJ$15,$B37,$D$5,$D$6,$D$7,$D$8,$D$9,$D$10,$D$11)</f>
        <v>0</v>
      </c>
      <c r="GK37" s="112">
        <f>_xll.LVCELL($D$2,GK$15,$B37,$D$5,$D$6,$D$7,$D$8,$D$9,$D$10,$D$11)</f>
        <v>0</v>
      </c>
      <c r="GL37" s="112">
        <f>_xll.LVCELL($D$2,GL$15,$B37,$D$5,$D$6,$D$7,$D$8,$D$9,$D$10,$D$11)</f>
        <v>0</v>
      </c>
      <c r="GM37" s="112">
        <f>_xll.LVCELL($D$2,GM$15,$B37,$D$5,$D$6,$D$7,$D$8,$D$9,$D$10,$D$11)</f>
        <v>0</v>
      </c>
      <c r="GN37" s="112">
        <f>_xll.LVCELL($D$2,GN$15,$B37,$D$5,$D$6,$D$7,$D$8,$D$9,$D$10,$D$11)</f>
        <v>0</v>
      </c>
      <c r="GO37" s="112">
        <f>_xll.LVCELL($D$2,GO$15,$B37,$D$5,$D$6,$D$7,$D$8,$D$9,$D$10,$D$11)</f>
        <v>0</v>
      </c>
      <c r="GP37" s="112">
        <f>_xll.LVCELL($D$2,GP$15,$B37,$D$5,$D$6,$D$7,$D$8,$D$9,$D$10,$D$11)</f>
        <v>0</v>
      </c>
      <c r="GQ37" s="112">
        <f>_xll.LVCELL($D$2,GQ$15,$B37,$D$5,$D$6,$D$7,$D$8,$D$9,$D$10,$D$11)</f>
        <v>0</v>
      </c>
      <c r="GR37" s="112">
        <f>_xll.LVCELL($D$2,GR$15,$B37,$D$5,$D$6,$D$7,$D$8,$D$9,$D$10,$D$11)</f>
        <v>0</v>
      </c>
      <c r="GS37" s="112">
        <f t="shared" ref="GS37:HA37" si="2">GS34+GS35+GS36</f>
        <v>4123408.1666666605</v>
      </c>
      <c r="GT37" s="112">
        <f t="shared" si="2"/>
        <v>3422422.8333333302</v>
      </c>
      <c r="GU37" s="112">
        <f t="shared" si="2"/>
        <v>3950765.3333333302</v>
      </c>
      <c r="GV37" s="112">
        <f t="shared" si="2"/>
        <v>0</v>
      </c>
      <c r="GW37" s="112">
        <f t="shared" si="2"/>
        <v>0</v>
      </c>
      <c r="GX37" s="112">
        <f t="shared" si="2"/>
        <v>0</v>
      </c>
      <c r="GY37" s="112">
        <f t="shared" si="2"/>
        <v>0</v>
      </c>
      <c r="GZ37" s="112">
        <f t="shared" si="2"/>
        <v>0</v>
      </c>
      <c r="HA37" s="112">
        <f t="shared" si="2"/>
        <v>0</v>
      </c>
      <c r="HB37" s="112">
        <f>_xll.LVCELL($D$2,HB$15,$B37,$D$5,$D$6,$D$7,$D$8,$D$9,$D$10,$D$11)</f>
        <v>0</v>
      </c>
      <c r="HC37" s="112">
        <f>_xll.LVCELL($D$2,HC$15,$B37,$D$5,$D$6,$D$7,$D$8,$D$9,$D$10,$D$11)</f>
        <v>0</v>
      </c>
      <c r="HD37" s="112">
        <f>_xll.LVCELL($D$2,HD$15,$B37,$D$5,$D$6,$D$7,$D$8,$D$9,$D$10,$D$11)</f>
        <v>0</v>
      </c>
      <c r="HE37" s="112">
        <f t="shared" ref="HE37:HM37" si="3">HE34+HE35+HE36</f>
        <v>4123408.1666666605</v>
      </c>
      <c r="HF37" s="112">
        <f t="shared" si="3"/>
        <v>3422422.8333333302</v>
      </c>
      <c r="HG37" s="112">
        <f t="shared" si="3"/>
        <v>3950765.3333333302</v>
      </c>
      <c r="HH37" s="112">
        <f t="shared" si="3"/>
        <v>0</v>
      </c>
      <c r="HI37" s="112">
        <f t="shared" si="3"/>
        <v>0</v>
      </c>
      <c r="HJ37" s="112">
        <f t="shared" si="3"/>
        <v>0</v>
      </c>
      <c r="HK37" s="112">
        <f t="shared" si="3"/>
        <v>0</v>
      </c>
      <c r="HL37" s="112">
        <f t="shared" si="3"/>
        <v>0</v>
      </c>
      <c r="HM37" s="112">
        <f t="shared" si="3"/>
        <v>0</v>
      </c>
    </row>
    <row r="38" spans="1:221">
      <c r="A38" t="s">
        <v>154</v>
      </c>
      <c r="B38" t="s">
        <v>258</v>
      </c>
      <c r="D38" s="10" t="s">
        <v>297</v>
      </c>
      <c r="E38" s="19">
        <v>40452</v>
      </c>
      <c r="F38" s="16" t="s">
        <v>845</v>
      </c>
      <c r="G38" s="16" t="s">
        <v>845</v>
      </c>
      <c r="H38" s="16" t="s">
        <v>845</v>
      </c>
      <c r="I38" s="16" t="s">
        <v>845</v>
      </c>
      <c r="J38" s="16" t="s">
        <v>845</v>
      </c>
      <c r="K38" s="16" t="s">
        <v>845</v>
      </c>
      <c r="L38" s="16" t="s">
        <v>845</v>
      </c>
      <c r="M38" s="16" t="s">
        <v>845</v>
      </c>
      <c r="N38" s="16" t="s">
        <v>845</v>
      </c>
      <c r="O38" s="16" t="s">
        <v>845</v>
      </c>
      <c r="P38" s="16" t="s">
        <v>845</v>
      </c>
      <c r="Q38" s="16" t="s">
        <v>845</v>
      </c>
      <c r="R38" s="16" t="s">
        <v>845</v>
      </c>
      <c r="S38" s="16" t="s">
        <v>845</v>
      </c>
      <c r="T38" s="16" t="s">
        <v>845</v>
      </c>
      <c r="U38" s="16" t="s">
        <v>845</v>
      </c>
      <c r="V38" s="16" t="s">
        <v>845</v>
      </c>
      <c r="W38" s="16" t="s">
        <v>845</v>
      </c>
      <c r="X38" s="16" t="s">
        <v>845</v>
      </c>
      <c r="Y38" s="16" t="s">
        <v>845</v>
      </c>
      <c r="Z38" s="16" t="s">
        <v>845</v>
      </c>
      <c r="AA38" s="16" t="s">
        <v>845</v>
      </c>
      <c r="AB38" s="16" t="s">
        <v>845</v>
      </c>
      <c r="AC38" s="16" t="s">
        <v>845</v>
      </c>
      <c r="AD38" s="16" t="s">
        <v>845</v>
      </c>
      <c r="AE38" s="16" t="s">
        <v>845</v>
      </c>
      <c r="AF38" s="16" t="s">
        <v>845</v>
      </c>
      <c r="AG38" s="16" t="s">
        <v>845</v>
      </c>
      <c r="AH38" s="16" t="s">
        <v>845</v>
      </c>
      <c r="AI38" s="16" t="s">
        <v>845</v>
      </c>
      <c r="AJ38" s="16" t="s">
        <v>845</v>
      </c>
      <c r="AK38" s="16" t="s">
        <v>845</v>
      </c>
      <c r="AL38" s="16" t="s">
        <v>845</v>
      </c>
      <c r="AM38" s="16" t="s">
        <v>845</v>
      </c>
      <c r="AN38" s="16" t="s">
        <v>845</v>
      </c>
      <c r="AO38" s="16" t="s">
        <v>845</v>
      </c>
      <c r="AP38" s="16" t="s">
        <v>845</v>
      </c>
      <c r="AQ38" s="16" t="s">
        <v>845</v>
      </c>
      <c r="AR38" s="16" t="s">
        <v>845</v>
      </c>
      <c r="AS38" s="16" t="s">
        <v>845</v>
      </c>
      <c r="AT38" s="16" t="s">
        <v>845</v>
      </c>
      <c r="AU38" s="16" t="s">
        <v>845</v>
      </c>
      <c r="AV38" s="16" t="s">
        <v>845</v>
      </c>
      <c r="AW38" s="16" t="s">
        <v>845</v>
      </c>
      <c r="AX38" s="16" t="s">
        <v>845</v>
      </c>
      <c r="AY38" s="16" t="s">
        <v>845</v>
      </c>
      <c r="AZ38" s="16" t="s">
        <v>845</v>
      </c>
      <c r="BA38" s="16" t="s">
        <v>845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0</v>
      </c>
      <c r="BI38" s="16">
        <v>0</v>
      </c>
      <c r="BJ38" s="16">
        <v>0</v>
      </c>
      <c r="BK38" s="16">
        <v>0</v>
      </c>
      <c r="BL38" s="16">
        <v>0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490550</v>
      </c>
      <c r="CT38" s="16">
        <v>886235</v>
      </c>
      <c r="CU38" s="16">
        <v>1650447</v>
      </c>
      <c r="CV38" s="16">
        <v>1817542</v>
      </c>
      <c r="CW38" s="16">
        <v>2414458</v>
      </c>
      <c r="CX38" s="16">
        <v>2450502</v>
      </c>
      <c r="CY38" s="16">
        <v>1694658</v>
      </c>
      <c r="CZ38" s="16">
        <v>2552926</v>
      </c>
      <c r="DA38" s="16">
        <v>1238599</v>
      </c>
      <c r="DB38" s="16">
        <v>1407553</v>
      </c>
      <c r="DC38" s="16">
        <v>1583020</v>
      </c>
      <c r="DD38" s="16">
        <v>1841255</v>
      </c>
      <c r="DE38" s="16">
        <v>1546706</v>
      </c>
      <c r="DF38" s="16">
        <v>1716354</v>
      </c>
      <c r="DG38" s="16">
        <v>1714383</v>
      </c>
      <c r="DH38" s="16">
        <v>1334358</v>
      </c>
      <c r="DI38" s="16">
        <v>3917976</v>
      </c>
      <c r="DJ38" s="16">
        <v>2660555</v>
      </c>
      <c r="DK38" s="16">
        <v>1673429</v>
      </c>
      <c r="DL38" s="16">
        <v>1768019</v>
      </c>
      <c r="DM38" s="16">
        <v>2865283</v>
      </c>
      <c r="DN38" s="16">
        <v>1736921</v>
      </c>
      <c r="DO38" s="16">
        <v>1874917</v>
      </c>
      <c r="DP38" s="16">
        <v>1591821</v>
      </c>
      <c r="DQ38" s="16">
        <v>1774032</v>
      </c>
      <c r="DR38" s="16">
        <v>1727177</v>
      </c>
      <c r="DS38" s="16">
        <v>2319108</v>
      </c>
      <c r="DT38" s="16">
        <v>2153362</v>
      </c>
      <c r="DU38" s="16">
        <v>4225327</v>
      </c>
      <c r="DV38" s="16">
        <v>1980988</v>
      </c>
      <c r="DW38" s="16">
        <v>2480564</v>
      </c>
      <c r="DX38" s="16">
        <v>1913913</v>
      </c>
      <c r="DY38" s="16">
        <v>2269862</v>
      </c>
      <c r="DZ38" s="16">
        <v>1809511</v>
      </c>
      <c r="EA38" s="16">
        <v>1762964</v>
      </c>
      <c r="EB38" s="16">
        <v>1535907</v>
      </c>
      <c r="EC38" s="16">
        <v>1061950</v>
      </c>
      <c r="ED38" s="16">
        <v>1541377</v>
      </c>
      <c r="EE38" s="16">
        <v>2292778</v>
      </c>
      <c r="EF38" s="16">
        <v>3019620</v>
      </c>
      <c r="EG38" s="16">
        <v>2837785</v>
      </c>
      <c r="EH38" s="16">
        <v>3367060</v>
      </c>
      <c r="EI38" s="16">
        <v>4007545</v>
      </c>
      <c r="EJ38" s="16">
        <v>1763402</v>
      </c>
      <c r="EK38" s="16">
        <v>1358004</v>
      </c>
      <c r="EL38" s="16">
        <v>2368150</v>
      </c>
      <c r="EM38" s="16">
        <v>1333310</v>
      </c>
      <c r="EN38" s="16">
        <v>1310388</v>
      </c>
      <c r="EO38" s="16">
        <v>1400964</v>
      </c>
      <c r="EP38" s="16">
        <v>949659</v>
      </c>
      <c r="EQ38" s="16">
        <v>1597327</v>
      </c>
      <c r="ER38" s="16">
        <v>1779440</v>
      </c>
      <c r="ES38" s="16">
        <v>2641866</v>
      </c>
      <c r="ET38" s="16">
        <v>3067447</v>
      </c>
      <c r="EU38" s="16">
        <v>2642420</v>
      </c>
      <c r="EV38" s="16">
        <v>2472169</v>
      </c>
      <c r="EW38" s="16">
        <v>1977565</v>
      </c>
      <c r="EX38" s="16">
        <v>1899947</v>
      </c>
      <c r="EY38" s="16">
        <v>1647830</v>
      </c>
      <c r="EZ38" s="16">
        <v>1731840</v>
      </c>
      <c r="FA38" s="16">
        <v>1429696</v>
      </c>
      <c r="FB38" s="16">
        <v>2360111</v>
      </c>
      <c r="FC38" s="16">
        <v>1415597</v>
      </c>
      <c r="FD38" s="16">
        <v>3077268</v>
      </c>
      <c r="FE38" s="16">
        <v>2769622.1669999999</v>
      </c>
      <c r="FF38" s="16">
        <v>3470542</v>
      </c>
      <c r="FG38" s="16">
        <v>3674391</v>
      </c>
      <c r="FH38" s="16">
        <v>2921424</v>
      </c>
      <c r="FI38" s="16">
        <v>1891627</v>
      </c>
      <c r="FJ38" s="16">
        <v>1578846</v>
      </c>
      <c r="FK38" s="16">
        <v>1072150</v>
      </c>
      <c r="FL38" s="16">
        <v>1231930</v>
      </c>
      <c r="FM38" s="16">
        <v>1304670</v>
      </c>
      <c r="FN38" s="16">
        <v>952700</v>
      </c>
      <c r="FO38" s="16">
        <v>1662830</v>
      </c>
      <c r="FP38" s="16">
        <v>2627140</v>
      </c>
      <c r="FQ38" s="16">
        <v>1185000</v>
      </c>
      <c r="FR38" s="40">
        <f>_xll.LVCELL($D$2,FR$15,$B38,$D$5,$D$6,$D$7,$D$8,$D$9,$D$10,$D$11)</f>
        <v>0</v>
      </c>
      <c r="FS38" s="40">
        <f>_xll.LVCELL($D$2,FS$15,$B38,$D$5,$D$6,$D$7,$D$8,$D$9,$D$10,$D$11)</f>
        <v>0</v>
      </c>
      <c r="FT38" s="40">
        <f>_xll.LVCELL($D$2,FT$15,$B38,$D$5,$D$6,$D$7,$D$8,$D$9,$D$10,$D$11)</f>
        <v>0</v>
      </c>
      <c r="FU38" s="40">
        <f>_xll.LVCELL($D$2,FU$15,$B38,$D$5,$D$6,$D$7,$D$8,$D$9,$D$10,$D$11)</f>
        <v>0</v>
      </c>
      <c r="FV38" s="40">
        <f>_xll.LVCELL($D$2,FV$15,$B38,$D$5,$D$6,$D$7,$D$8,$D$9,$D$10,$D$11)</f>
        <v>0</v>
      </c>
      <c r="FW38" s="40">
        <f>_xll.LVCELL($D$2,FW$15,$B38,$D$5,$D$6,$D$7,$D$8,$D$9,$D$10,$D$11)</f>
        <v>0</v>
      </c>
      <c r="FX38" s="40">
        <f>_xll.LVCELL($D$2,FX$15,$B38,$D$5,$D$6,$D$7,$D$8,$D$9,$D$10,$D$11)</f>
        <v>0</v>
      </c>
      <c r="FY38" s="40">
        <f>_xll.LVCELL($D$2,FY$15,$B38,$D$5,$D$6,$D$7,$D$8,$D$9,$D$10,$D$11)</f>
        <v>0</v>
      </c>
      <c r="FZ38" s="40">
        <f>_xll.LVCELL($D$2,FZ$15,$B38,$D$5,$D$6,$D$7,$D$8,$D$9,$D$10,$D$11)</f>
        <v>0</v>
      </c>
      <c r="GA38" s="40">
        <f>_xll.LVCELL($D$2,GA$15,$B38,$D$5,$D$6,$D$7,$D$8,$D$9,$D$10,$D$11)</f>
        <v>0</v>
      </c>
      <c r="GB38" s="40">
        <f>_xll.LVCELL($D$2,GB$15,$B38,$D$5,$D$6,$D$7,$D$8,$D$9,$D$10,$D$11)</f>
        <v>0</v>
      </c>
      <c r="GC38" s="40">
        <f>_xll.LVCELL($D$2,GC$15,$B38,$D$5,$D$6,$D$7,$D$8,$D$9,$D$10,$D$11)</f>
        <v>0</v>
      </c>
      <c r="GD38" s="25">
        <f>_xll.LVCELL($D$2,GD$15,$B38,$D$5,$D$6,$D$7,$D$8,$D$9,$D$10,$D$11)</f>
        <v>0</v>
      </c>
      <c r="GE38" s="25">
        <f>_xll.LVCELL($D$2,GE$15,$B38,$D$5,$D$6,$D$7,$D$8,$D$9,$D$10,$D$11)</f>
        <v>0</v>
      </c>
      <c r="GF38" s="25">
        <f>_xll.LVCELL($D$2,GF$15,$B38,$D$5,$D$6,$D$7,$D$8,$D$9,$D$10,$D$11)</f>
        <v>0</v>
      </c>
      <c r="GG38" s="25">
        <f>_xll.LVCELL($D$2,GG$15,$B38,$D$5,$D$6,$D$7,$D$8,$D$9,$D$10,$D$11)</f>
        <v>0</v>
      </c>
      <c r="GH38" s="25">
        <f>_xll.LVCELL($D$2,GH$15,$B38,$D$5,$D$6,$D$7,$D$8,$D$9,$D$10,$D$11)</f>
        <v>0</v>
      </c>
      <c r="GI38" s="25">
        <f>_xll.LVCELL($D$2,GI$15,$B38,$D$5,$D$6,$D$7,$D$8,$D$9,$D$10,$D$11)</f>
        <v>0</v>
      </c>
      <c r="GJ38" s="40">
        <f>_xll.LVCELL($D$2,GJ$15,$B38,$D$5,$D$6,$D$7,$D$8,$D$9,$D$10,$D$11)</f>
        <v>0</v>
      </c>
      <c r="GK38" s="40">
        <f>_xll.LVCELL($D$2,GK$15,$B38,$D$5,$D$6,$D$7,$D$8,$D$9,$D$10,$D$11)</f>
        <v>0</v>
      </c>
      <c r="GL38" s="40">
        <f>_xll.LVCELL($D$2,GL$15,$B38,$D$5,$D$6,$D$7,$D$8,$D$9,$D$10,$D$11)</f>
        <v>0</v>
      </c>
      <c r="GM38" s="40">
        <f>_xll.LVCELL($D$2,GM$15,$B38,$D$5,$D$6,$D$7,$D$8,$D$9,$D$10,$D$11)</f>
        <v>0</v>
      </c>
      <c r="GN38" s="40">
        <f>_xll.LVCELL($D$2,GN$15,$B38,$D$5,$D$6,$D$7,$D$8,$D$9,$D$10,$D$11)</f>
        <v>0</v>
      </c>
      <c r="GO38" s="40">
        <f>_xll.LVCELL($D$2,GO$15,$B38,$D$5,$D$6,$D$7,$D$8,$D$9,$D$10,$D$11)</f>
        <v>0</v>
      </c>
      <c r="GP38" s="25">
        <f>_xll.LVCELL($D$2,GP$15,$B38,$D$5,$D$6,$D$7,$D$8,$D$9,$D$10,$D$11)</f>
        <v>0</v>
      </c>
      <c r="GQ38" s="25">
        <f>_xll.LVCELL($D$2,GQ$15,$B38,$D$5,$D$6,$D$7,$D$8,$D$9,$D$10,$D$11)</f>
        <v>0</v>
      </c>
      <c r="GR38" s="25">
        <f>_xll.LVCELL($D$2,GR$15,$B38,$D$5,$D$6,$D$7,$D$8,$D$9,$D$10,$D$11)</f>
        <v>0</v>
      </c>
      <c r="GS38" s="25">
        <f>_xll.LVCELL($D$2,GS$15,$B38,$D$5,$D$6,$D$7,$D$8,$D$9,$D$10,$D$11)</f>
        <v>0</v>
      </c>
      <c r="GT38" s="25">
        <f>_xll.LVCELL($D$2,GT$15,$B38,$D$5,$D$6,$D$7,$D$8,$D$9,$D$10,$D$11)</f>
        <v>0</v>
      </c>
      <c r="GU38" s="25">
        <f>_xll.LVCELL($D$2,GU$15,$B38,$D$5,$D$6,$D$7,$D$8,$D$9,$D$10,$D$11)</f>
        <v>0</v>
      </c>
      <c r="GV38" s="25">
        <f>_xll.LVCELL($D$2,GV$15,$B38,$D$5,$D$6,$D$7,$D$8,$D$9,$D$10,$D$11)</f>
        <v>0</v>
      </c>
      <c r="GW38" s="25">
        <f>_xll.LVCELL($D$2,GW$15,$B38,$D$5,$D$6,$D$7,$D$8,$D$9,$D$10,$D$11)</f>
        <v>0</v>
      </c>
      <c r="GX38" s="25">
        <f>_xll.LVCELL($D$2,GX$15,$B38,$D$5,$D$6,$D$7,$D$8,$D$9,$D$10,$D$11)</f>
        <v>0</v>
      </c>
      <c r="GY38" s="25">
        <f>_xll.LVCELL($D$2,GY$15,$B38,$D$5,$D$6,$D$7,$D$8,$D$9,$D$10,$D$11)</f>
        <v>0</v>
      </c>
      <c r="GZ38" s="25">
        <f>_xll.LVCELL($D$2,GZ$15,$B38,$D$5,$D$6,$D$7,$D$8,$D$9,$D$10,$D$11)</f>
        <v>0</v>
      </c>
      <c r="HA38" s="25">
        <f>_xll.LVCELL($D$2,HA$15,$B38,$D$5,$D$6,$D$7,$D$8,$D$9,$D$10,$D$11)</f>
        <v>0</v>
      </c>
      <c r="HB38" s="25">
        <f>_xll.LVCELL($D$2,HB$15,$B38,$D$5,$D$6,$D$7,$D$8,$D$9,$D$10,$D$11)</f>
        <v>0</v>
      </c>
      <c r="HC38" s="25">
        <f>_xll.LVCELL($D$2,HC$15,$B38,$D$5,$D$6,$D$7,$D$8,$D$9,$D$10,$D$11)</f>
        <v>0</v>
      </c>
      <c r="HD38" s="25">
        <f>_xll.LVCELL($D$2,HD$15,$B38,$D$5,$D$6,$D$7,$D$8,$D$9,$D$10,$D$11)</f>
        <v>0</v>
      </c>
      <c r="HE38" s="25">
        <f>_xll.LVCELL($D$2,HE$15,$B38,$D$5,$D$6,$D$7,$D$8,$D$9,$D$10,$D$11)</f>
        <v>0</v>
      </c>
      <c r="HF38" s="25">
        <f>_xll.LVCELL($D$2,HF$15,$B38,$D$5,$D$6,$D$7,$D$8,$D$9,$D$10,$D$11)</f>
        <v>0</v>
      </c>
      <c r="HG38" s="25">
        <f>_xll.LVCELL($D$2,HG$15,$B38,$D$5,$D$6,$D$7,$D$8,$D$9,$D$10,$D$11)</f>
        <v>0</v>
      </c>
      <c r="HH38" s="25">
        <f>_xll.LVCELL($D$2,HH$15,$B38,$D$5,$D$6,$D$7,$D$8,$D$9,$D$10,$D$11)</f>
        <v>0</v>
      </c>
      <c r="HI38" s="25">
        <f>_xll.LVCELL($D$2,HI$15,$B38,$D$5,$D$6,$D$7,$D$8,$D$9,$D$10,$D$11)</f>
        <v>0</v>
      </c>
      <c r="HJ38" s="25">
        <f>_xll.LVCELL($D$2,HJ$15,$B38,$D$5,$D$6,$D$7,$D$8,$D$9,$D$10,$D$11)</f>
        <v>0</v>
      </c>
      <c r="HK38" s="25">
        <f>_xll.LVCELL($D$2,HK$15,$B38,$D$5,$D$6,$D$7,$D$8,$D$9,$D$10,$D$11)</f>
        <v>0</v>
      </c>
      <c r="HL38" s="25">
        <f>_xll.LVCELL($D$2,HL$15,$B38,$D$5,$D$6,$D$7,$D$8,$D$9,$D$10,$D$11)</f>
        <v>0</v>
      </c>
      <c r="HM38" s="25">
        <f>_xll.LVCELL($D$2,HM$15,$B38,$D$5,$D$6,$D$7,$D$8,$D$9,$D$10,$D$11)</f>
        <v>0</v>
      </c>
    </row>
    <row r="39" spans="1:221" s="17" customFormat="1">
      <c r="A39" s="17">
        <v>9.1999999999999993</v>
      </c>
      <c r="B39" s="104"/>
      <c r="C39" s="104"/>
      <c r="D39" s="99" t="s">
        <v>533</v>
      </c>
      <c r="E39" s="19">
        <v>39995</v>
      </c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B39" s="100"/>
      <c r="CC39" s="100"/>
      <c r="CD39" s="100"/>
      <c r="CE39" s="100"/>
      <c r="CF39" s="16">
        <v>2109</v>
      </c>
      <c r="CG39" s="16">
        <v>6721</v>
      </c>
      <c r="CH39" s="16">
        <v>432129</v>
      </c>
      <c r="CI39" s="16">
        <v>1520375</v>
      </c>
      <c r="CJ39" s="16">
        <v>2968166</v>
      </c>
      <c r="CK39" s="16">
        <v>2290138</v>
      </c>
      <c r="CL39" s="16">
        <v>1363096</v>
      </c>
      <c r="CM39" s="16">
        <v>1767514</v>
      </c>
      <c r="CN39" s="16">
        <v>2180122</v>
      </c>
      <c r="CO39" s="16">
        <v>1688487</v>
      </c>
      <c r="CP39" s="16">
        <v>1565665</v>
      </c>
      <c r="CQ39" s="16">
        <v>996372</v>
      </c>
      <c r="CR39" s="16">
        <v>1037016</v>
      </c>
      <c r="CS39" s="16">
        <v>1578818</v>
      </c>
      <c r="CT39" s="16">
        <v>1255354</v>
      </c>
      <c r="CU39" s="100">
        <v>1882077</v>
      </c>
      <c r="CV39" s="100">
        <v>1647827</v>
      </c>
      <c r="CW39" s="100">
        <v>1671897</v>
      </c>
      <c r="CX39" s="100">
        <v>2818887</v>
      </c>
      <c r="CY39" s="100">
        <v>2137341</v>
      </c>
      <c r="CZ39" s="100">
        <v>2274551</v>
      </c>
      <c r="DA39" s="100">
        <v>1562836</v>
      </c>
      <c r="DB39" s="100">
        <v>1881641</v>
      </c>
      <c r="DC39" s="100">
        <v>1961270</v>
      </c>
      <c r="DD39" s="100">
        <v>1393198</v>
      </c>
      <c r="DE39" s="100">
        <v>1602759</v>
      </c>
      <c r="DF39" s="100">
        <v>2031063</v>
      </c>
      <c r="DG39" s="100">
        <v>2220167</v>
      </c>
      <c r="DH39" s="100">
        <v>1680900</v>
      </c>
      <c r="DI39" s="100">
        <v>3526058</v>
      </c>
      <c r="DJ39" s="100">
        <v>2533712</v>
      </c>
      <c r="DK39" s="100">
        <v>2099524</v>
      </c>
      <c r="DL39" s="100">
        <v>1289445</v>
      </c>
      <c r="DM39" s="100">
        <v>2484508</v>
      </c>
      <c r="DN39" s="100">
        <v>1471871</v>
      </c>
      <c r="DO39" s="100">
        <v>1856276</v>
      </c>
      <c r="DP39" s="100">
        <v>1748361</v>
      </c>
      <c r="DQ39" s="100">
        <v>1516352</v>
      </c>
      <c r="DR39" s="100">
        <v>949553</v>
      </c>
      <c r="DS39" s="100">
        <v>2148222</v>
      </c>
      <c r="DT39" s="100">
        <v>2147558</v>
      </c>
      <c r="DU39" s="100">
        <v>3201562</v>
      </c>
      <c r="DV39" s="103">
        <v>2166729</v>
      </c>
      <c r="DW39" s="103">
        <v>2163972</v>
      </c>
      <c r="DX39" s="103">
        <v>2130133</v>
      </c>
      <c r="DY39" s="103">
        <v>2467289</v>
      </c>
      <c r="DZ39" s="103">
        <v>1936875</v>
      </c>
      <c r="EA39" s="103">
        <v>2144452</v>
      </c>
      <c r="EB39" s="103">
        <v>1566395</v>
      </c>
      <c r="EC39" s="103">
        <v>1135765</v>
      </c>
      <c r="ED39" s="103">
        <v>1180032</v>
      </c>
      <c r="EE39" s="103">
        <v>2529039</v>
      </c>
      <c r="EF39" s="103">
        <v>2125853</v>
      </c>
      <c r="EG39" s="103">
        <v>2971353</v>
      </c>
      <c r="EH39" s="167">
        <v>3414696</v>
      </c>
      <c r="EI39" s="167">
        <v>3674080</v>
      </c>
      <c r="EJ39" s="167">
        <v>1789520</v>
      </c>
      <c r="EK39" s="167">
        <v>1258792</v>
      </c>
      <c r="EL39" s="167">
        <v>1950920</v>
      </c>
      <c r="EM39" s="167">
        <v>912736</v>
      </c>
      <c r="EN39" s="167">
        <v>1139360</v>
      </c>
      <c r="EO39" s="167">
        <v>1672240</v>
      </c>
      <c r="EP39" s="167">
        <v>764728</v>
      </c>
      <c r="EQ39" s="167">
        <v>2230600</v>
      </c>
      <c r="ER39" s="167">
        <v>1794872</v>
      </c>
      <c r="ES39" s="167">
        <v>2750952</v>
      </c>
      <c r="ET39" s="40">
        <v>2876996</v>
      </c>
      <c r="EU39" s="40">
        <v>2142059</v>
      </c>
      <c r="EV39" s="40">
        <v>2455923</v>
      </c>
      <c r="EW39" s="40">
        <v>1861191</v>
      </c>
      <c r="EX39" s="40">
        <v>2128825</v>
      </c>
      <c r="EY39" s="40">
        <v>1833303</v>
      </c>
      <c r="EZ39" s="40">
        <v>2216382</v>
      </c>
      <c r="FA39" s="40">
        <v>1164281.6666666667</v>
      </c>
      <c r="FB39" s="40">
        <v>1538281</v>
      </c>
      <c r="FC39" s="40">
        <v>1115401</v>
      </c>
      <c r="FD39" s="40">
        <v>3292192.8330000001</v>
      </c>
      <c r="FE39" s="40">
        <v>4063581.1666666665</v>
      </c>
      <c r="FF39" s="40">
        <v>3318626.3333333335</v>
      </c>
      <c r="FG39" s="40">
        <v>2939856.8333333335</v>
      </c>
      <c r="FH39" s="40">
        <v>2325778.5</v>
      </c>
      <c r="FI39" s="40">
        <v>1857396.3333333333</v>
      </c>
      <c r="FJ39" s="40">
        <v>1539023.6669999999</v>
      </c>
      <c r="FK39" s="40">
        <v>1571047</v>
      </c>
      <c r="FL39" s="40">
        <v>1594147.3333333333</v>
      </c>
      <c r="FM39" s="40">
        <v>1654660</v>
      </c>
      <c r="FN39" s="40">
        <v>1249565.1666666667</v>
      </c>
      <c r="FO39" s="40">
        <v>1208353.1666666667</v>
      </c>
      <c r="FP39" s="40">
        <v>2327686.5</v>
      </c>
      <c r="FQ39" s="40">
        <v>1618839</v>
      </c>
      <c r="FR39" s="40">
        <v>1556666</v>
      </c>
      <c r="FS39" s="40">
        <v>2420835.3333333335</v>
      </c>
      <c r="FT39" s="40">
        <v>2879812.1666666665</v>
      </c>
      <c r="FU39" s="40">
        <v>1043930.0000000001</v>
      </c>
      <c r="FV39" s="40">
        <v>1345047.6666666665</v>
      </c>
      <c r="FW39" s="40">
        <v>1928725.333333333</v>
      </c>
      <c r="FX39" s="40">
        <v>1668470.166666667</v>
      </c>
      <c r="FY39" s="40">
        <v>1189592</v>
      </c>
      <c r="FZ39" s="40">
        <v>1230722.6666666665</v>
      </c>
      <c r="GA39" s="40">
        <v>2401153.1666666665</v>
      </c>
      <c r="GB39" s="40">
        <v>1642828.5000000002</v>
      </c>
      <c r="GC39" s="40">
        <v>2756191</v>
      </c>
      <c r="GD39" s="25">
        <v>3278420.333333334</v>
      </c>
      <c r="GE39" s="25">
        <v>2035101</v>
      </c>
      <c r="GF39" s="25">
        <v>1916274.8333333333</v>
      </c>
      <c r="GG39" s="25">
        <v>1342863</v>
      </c>
      <c r="GH39" s="25">
        <v>1163880</v>
      </c>
      <c r="GI39" s="25">
        <v>1443812</v>
      </c>
      <c r="GJ39" s="40">
        <v>831086</v>
      </c>
      <c r="GK39" s="40">
        <v>1329357.5</v>
      </c>
      <c r="GL39" s="40">
        <v>1429804.666666667</v>
      </c>
      <c r="GM39" s="40">
        <v>1825826</v>
      </c>
      <c r="GN39" s="40">
        <v>2358663.8333333335</v>
      </c>
      <c r="GO39" s="40">
        <v>2845260.9999999995</v>
      </c>
      <c r="GP39" s="28">
        <v>1568722</v>
      </c>
      <c r="GQ39" s="28">
        <v>2374488.833333333</v>
      </c>
      <c r="GR39" s="28">
        <v>3302957.1666666665</v>
      </c>
      <c r="GS39" s="312">
        <f>1498.50866666667*1000</f>
        <v>1498508.66666667</v>
      </c>
      <c r="GT39" s="312">
        <f>1472.7945*1000</f>
        <v>1472794.5</v>
      </c>
      <c r="GU39" s="312">
        <f>1614.04966666667*1000</f>
        <v>1614049.66666667</v>
      </c>
      <c r="GV39" s="101"/>
      <c r="GW39" s="101"/>
      <c r="GX39" s="101"/>
      <c r="GY39" s="101"/>
      <c r="GZ39" s="101"/>
      <c r="HA39" s="101"/>
      <c r="HB39" s="28">
        <v>1568722</v>
      </c>
      <c r="HC39" s="28">
        <v>2374488.833333333</v>
      </c>
      <c r="HD39" s="28">
        <v>3302957.1666666665</v>
      </c>
      <c r="HE39" s="312">
        <f>1498.50866666667*1000</f>
        <v>1498508.66666667</v>
      </c>
      <c r="HF39" s="312">
        <f>1472.7945*1000</f>
        <v>1472794.5</v>
      </c>
      <c r="HG39" s="312">
        <f>1614.04966666667*1000</f>
        <v>1614049.66666667</v>
      </c>
      <c r="HH39" s="101"/>
      <c r="HI39" s="101"/>
      <c r="HJ39" s="101"/>
      <c r="HK39" s="101"/>
      <c r="HL39" s="101"/>
      <c r="HM39" s="101"/>
    </row>
    <row r="40" spans="1:221" s="17" customFormat="1">
      <c r="A40" s="17">
        <v>9.1999999999999993</v>
      </c>
      <c r="B40" s="104"/>
      <c r="C40" s="104"/>
      <c r="D40" s="99" t="s">
        <v>534</v>
      </c>
      <c r="E40" s="19">
        <v>40050</v>
      </c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6"/>
      <c r="CG40" s="16"/>
      <c r="CH40" s="16">
        <v>107864</v>
      </c>
      <c r="CI40" s="16">
        <v>1612558</v>
      </c>
      <c r="CJ40" s="16">
        <v>2985126</v>
      </c>
      <c r="CK40" s="16">
        <v>2376735</v>
      </c>
      <c r="CL40" s="16">
        <v>1420914</v>
      </c>
      <c r="CM40" s="16">
        <v>1898240</v>
      </c>
      <c r="CN40" s="16">
        <v>2242870</v>
      </c>
      <c r="CO40" s="16">
        <v>1708631</v>
      </c>
      <c r="CP40" s="16">
        <v>1527256</v>
      </c>
      <c r="CQ40" s="16">
        <v>1002109</v>
      </c>
      <c r="CR40" s="16">
        <v>1053384</v>
      </c>
      <c r="CS40" s="16">
        <v>1601652</v>
      </c>
      <c r="CT40" s="16">
        <v>1272756</v>
      </c>
      <c r="CU40" s="16">
        <v>1954068</v>
      </c>
      <c r="CV40" s="16">
        <v>1617592</v>
      </c>
      <c r="CW40" s="16">
        <v>1650578</v>
      </c>
      <c r="CX40" s="16">
        <v>2865778</v>
      </c>
      <c r="CY40" s="16">
        <v>2265306</v>
      </c>
      <c r="CZ40" s="16">
        <v>2293178</v>
      </c>
      <c r="DA40" s="16">
        <v>1549550</v>
      </c>
      <c r="DB40" s="16">
        <v>1976804</v>
      </c>
      <c r="DC40" s="16">
        <v>1980996</v>
      </c>
      <c r="DD40" s="16">
        <v>1424392</v>
      </c>
      <c r="DE40" s="16">
        <v>1677828</v>
      </c>
      <c r="DF40" s="16">
        <v>1987896</v>
      </c>
      <c r="DG40" s="16">
        <v>2375664</v>
      </c>
      <c r="DH40" s="16">
        <v>1714416</v>
      </c>
      <c r="DI40" s="16">
        <v>3734468</v>
      </c>
      <c r="DJ40" s="16">
        <v>2629504</v>
      </c>
      <c r="DK40" s="16">
        <v>2023960</v>
      </c>
      <c r="DL40" s="16">
        <v>1310404</v>
      </c>
      <c r="DM40" s="16">
        <v>1819968</v>
      </c>
      <c r="DN40" s="16">
        <v>1061392</v>
      </c>
      <c r="DO40" s="16">
        <v>1410752</v>
      </c>
      <c r="DP40" s="16">
        <v>1562844</v>
      </c>
      <c r="DQ40" s="16">
        <v>1437576</v>
      </c>
      <c r="DR40" s="16">
        <v>1487628</v>
      </c>
      <c r="DS40" s="16">
        <v>2290712</v>
      </c>
      <c r="DT40" s="16">
        <v>2323544</v>
      </c>
      <c r="DU40" s="16">
        <v>3392664</v>
      </c>
      <c r="DV40" s="16">
        <v>2323544</v>
      </c>
      <c r="DW40" s="16">
        <v>3392664</v>
      </c>
      <c r="DX40" s="103">
        <v>2062381</v>
      </c>
      <c r="DY40" s="103">
        <v>2418634</v>
      </c>
      <c r="DZ40" s="103">
        <v>1910706</v>
      </c>
      <c r="EA40" s="103">
        <v>1940993</v>
      </c>
      <c r="EB40" s="103">
        <v>1156098</v>
      </c>
      <c r="EC40" s="103">
        <v>848695</v>
      </c>
      <c r="ED40" s="103">
        <v>1213018</v>
      </c>
      <c r="EE40" s="103">
        <v>2679033</v>
      </c>
      <c r="EF40" s="103">
        <v>2115697</v>
      </c>
      <c r="EG40" s="103">
        <v>3175934</v>
      </c>
      <c r="EH40" s="167">
        <v>3414696</v>
      </c>
      <c r="EI40" s="167">
        <v>3674080</v>
      </c>
      <c r="EJ40" s="167">
        <v>1789520</v>
      </c>
      <c r="EK40" s="167">
        <v>1258792</v>
      </c>
      <c r="EL40" s="167">
        <v>1950920</v>
      </c>
      <c r="EM40" s="167">
        <v>912736</v>
      </c>
      <c r="EN40" s="167">
        <v>1139360</v>
      </c>
      <c r="EO40" s="167">
        <v>1672240</v>
      </c>
      <c r="EP40" s="167">
        <v>764728</v>
      </c>
      <c r="EQ40" s="167">
        <v>2230600</v>
      </c>
      <c r="ER40" s="167">
        <v>1794872</v>
      </c>
      <c r="ES40" s="167">
        <v>2750952</v>
      </c>
      <c r="ET40" s="40">
        <v>2631782</v>
      </c>
      <c r="EU40" s="40">
        <v>2183032</v>
      </c>
      <c r="EV40" s="40">
        <v>2525478</v>
      </c>
      <c r="EW40" s="40">
        <v>1853140</v>
      </c>
      <c r="EX40" s="40">
        <v>2205512</v>
      </c>
      <c r="EY40" s="40">
        <v>1845779</v>
      </c>
      <c r="EZ40" s="40">
        <v>2064605</v>
      </c>
      <c r="FA40" s="40">
        <v>1207038.3333333333</v>
      </c>
      <c r="FB40" s="40">
        <v>1542949</v>
      </c>
      <c r="FC40" s="40">
        <v>1215779</v>
      </c>
      <c r="FD40" s="40">
        <v>3455183.6669999999</v>
      </c>
      <c r="FE40" s="40">
        <v>4370626.666666667</v>
      </c>
      <c r="FF40" s="40">
        <v>3566082.5</v>
      </c>
      <c r="FG40" s="40">
        <v>3000953.1666666665</v>
      </c>
      <c r="FH40" s="40">
        <v>2470244.8330000001</v>
      </c>
      <c r="FI40" s="40">
        <v>1865874</v>
      </c>
      <c r="FJ40" s="40">
        <v>1558242.8330000001</v>
      </c>
      <c r="FK40" s="40">
        <v>1561776</v>
      </c>
      <c r="FL40" s="40">
        <v>1428052</v>
      </c>
      <c r="FM40" s="40">
        <v>1840046</v>
      </c>
      <c r="FN40" s="40">
        <v>1350777.3333333333</v>
      </c>
      <c r="FO40" s="40">
        <v>1197807.5</v>
      </c>
      <c r="FP40" s="40">
        <v>2397556.5</v>
      </c>
      <c r="FQ40" s="40">
        <v>1556339</v>
      </c>
      <c r="FR40" s="40">
        <v>1570835</v>
      </c>
      <c r="FS40" s="40">
        <v>2521568.166666667</v>
      </c>
      <c r="FT40" s="40">
        <v>2976163.6666666665</v>
      </c>
      <c r="FU40" s="40">
        <v>998148</v>
      </c>
      <c r="FV40" s="40">
        <v>1356700.3333333335</v>
      </c>
      <c r="FW40" s="40">
        <v>1954684</v>
      </c>
      <c r="FX40" s="40">
        <v>1718084</v>
      </c>
      <c r="FY40" s="40">
        <v>1159758</v>
      </c>
      <c r="FZ40" s="40">
        <v>1416413</v>
      </c>
      <c r="GA40" s="40">
        <v>2488760.8333333335</v>
      </c>
      <c r="GB40" s="40">
        <v>1715705.1666666665</v>
      </c>
      <c r="GC40" s="40">
        <v>2894685</v>
      </c>
      <c r="GD40" s="25">
        <v>3449434.5</v>
      </c>
      <c r="GE40" s="25">
        <v>2600022.6666666665</v>
      </c>
      <c r="GF40" s="25">
        <v>2662648.833333333</v>
      </c>
      <c r="GG40" s="25">
        <v>1929386</v>
      </c>
      <c r="GH40" s="25">
        <v>1171401</v>
      </c>
      <c r="GI40" s="25">
        <v>1511411</v>
      </c>
      <c r="GJ40" s="40">
        <v>828545.99999999988</v>
      </c>
      <c r="GK40" s="40">
        <v>1414251</v>
      </c>
      <c r="GL40" s="40">
        <v>1431580.5</v>
      </c>
      <c r="GM40" s="40">
        <v>1942486</v>
      </c>
      <c r="GN40" s="40">
        <v>2527333</v>
      </c>
      <c r="GO40" s="40">
        <v>2930698</v>
      </c>
      <c r="GP40" s="28">
        <v>1939829.3333333333</v>
      </c>
      <c r="GQ40" s="28">
        <v>2217056</v>
      </c>
      <c r="GR40" s="28">
        <v>3318644.8333333335</v>
      </c>
      <c r="GS40" s="312">
        <f>1553.55566666667*1000</f>
        <v>1553555.66666667</v>
      </c>
      <c r="GT40" s="312">
        <f>1477.48766666667*1000</f>
        <v>1477487.66666667</v>
      </c>
      <c r="GU40" s="312">
        <f>1647.7695*1000</f>
        <v>1647769.5</v>
      </c>
      <c r="GV40" s="101"/>
      <c r="GW40" s="101"/>
      <c r="GX40" s="101"/>
      <c r="GY40" s="101"/>
      <c r="GZ40" s="101"/>
      <c r="HA40" s="101"/>
      <c r="HB40" s="28">
        <v>1939829.3333333333</v>
      </c>
      <c r="HC40" s="28">
        <v>2217056</v>
      </c>
      <c r="HD40" s="28">
        <v>3318644.8333333335</v>
      </c>
      <c r="HE40" s="312">
        <f>1553.55566666667*1000</f>
        <v>1553555.66666667</v>
      </c>
      <c r="HF40" s="312">
        <f>1477.48766666667*1000</f>
        <v>1477487.66666667</v>
      </c>
      <c r="HG40" s="312">
        <f>1647.7695*1000</f>
        <v>1647769.5</v>
      </c>
      <c r="HH40" s="101"/>
      <c r="HI40" s="101"/>
      <c r="HJ40" s="101"/>
      <c r="HK40" s="101"/>
      <c r="HL40" s="101"/>
      <c r="HM40" s="101"/>
    </row>
    <row r="41" spans="1:221" s="17" customFormat="1">
      <c r="A41" s="17">
        <v>4.5999999999999996</v>
      </c>
      <c r="B41" s="104"/>
      <c r="C41" s="104"/>
      <c r="D41" s="99" t="s">
        <v>535</v>
      </c>
      <c r="E41" s="19">
        <v>40074</v>
      </c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0"/>
      <c r="CC41" s="100"/>
      <c r="CD41" s="100"/>
      <c r="CE41" s="100"/>
      <c r="CF41" s="16"/>
      <c r="CG41" s="16"/>
      <c r="CH41" s="16">
        <v>29488</v>
      </c>
      <c r="CI41" s="16">
        <v>355493</v>
      </c>
      <c r="CJ41" s="16">
        <v>743926</v>
      </c>
      <c r="CK41" s="16">
        <v>564549</v>
      </c>
      <c r="CL41" s="16">
        <v>206081</v>
      </c>
      <c r="CM41" s="16">
        <v>322492</v>
      </c>
      <c r="CN41" s="16">
        <v>1213765</v>
      </c>
      <c r="CO41" s="16">
        <v>862189</v>
      </c>
      <c r="CP41" s="16">
        <v>800677</v>
      </c>
      <c r="CQ41" s="16">
        <v>531647</v>
      </c>
      <c r="CR41" s="16">
        <v>480427</v>
      </c>
      <c r="CS41" s="16">
        <v>733131</v>
      </c>
      <c r="CT41" s="16">
        <v>573617</v>
      </c>
      <c r="CU41" s="16">
        <v>962950</v>
      </c>
      <c r="CV41" s="16">
        <v>822234</v>
      </c>
      <c r="CW41" s="16">
        <v>854890</v>
      </c>
      <c r="CX41" s="16">
        <v>1414854</v>
      </c>
      <c r="CY41" s="16">
        <v>1094880</v>
      </c>
      <c r="CZ41" s="16">
        <v>1153323</v>
      </c>
      <c r="DA41" s="16">
        <v>802849</v>
      </c>
      <c r="DB41" s="16">
        <v>933893</v>
      </c>
      <c r="DC41" s="16">
        <v>982193</v>
      </c>
      <c r="DD41" s="16">
        <v>655449</v>
      </c>
      <c r="DE41" s="16">
        <v>785826</v>
      </c>
      <c r="DF41" s="16">
        <v>994992</v>
      </c>
      <c r="DG41" s="16">
        <v>1117984</v>
      </c>
      <c r="DH41" s="16">
        <v>923852</v>
      </c>
      <c r="DI41" s="16">
        <v>1733798</v>
      </c>
      <c r="DJ41" s="16">
        <v>1294136</v>
      </c>
      <c r="DK41" s="16">
        <v>1005218</v>
      </c>
      <c r="DL41" s="16">
        <v>626370</v>
      </c>
      <c r="DM41" s="16">
        <v>914412</v>
      </c>
      <c r="DN41" s="16">
        <v>481070</v>
      </c>
      <c r="DO41" s="16">
        <v>648708</v>
      </c>
      <c r="DP41" s="16">
        <v>788470</v>
      </c>
      <c r="DQ41" s="16">
        <v>713014</v>
      </c>
      <c r="DR41" s="16">
        <v>449018</v>
      </c>
      <c r="DS41" s="16">
        <v>1080560</v>
      </c>
      <c r="DT41" s="16">
        <v>1140230</v>
      </c>
      <c r="DU41" s="16">
        <v>1608552</v>
      </c>
      <c r="DV41" s="103">
        <v>1092753</v>
      </c>
      <c r="DW41" s="103">
        <v>1115309</v>
      </c>
      <c r="DX41" s="103">
        <v>1089306</v>
      </c>
      <c r="DY41" s="103">
        <v>1076092</v>
      </c>
      <c r="DZ41" s="103">
        <v>968789</v>
      </c>
      <c r="EA41" s="103">
        <v>1093851</v>
      </c>
      <c r="EB41" s="103">
        <v>793298</v>
      </c>
      <c r="EC41" s="103">
        <v>540609</v>
      </c>
      <c r="ED41" s="103">
        <v>577176</v>
      </c>
      <c r="EE41" s="103">
        <v>1267892</v>
      </c>
      <c r="EF41" s="103">
        <v>1077701</v>
      </c>
      <c r="EG41" s="103">
        <v>1500293</v>
      </c>
      <c r="EH41" s="135">
        <f t="shared" ref="EH41:ES41" si="4">(EH43-EH39-EH40)/16.1*4.6</f>
        <v>1945169.7142857139</v>
      </c>
      <c r="EI41" s="135">
        <f t="shared" si="4"/>
        <v>1945105.7142857139</v>
      </c>
      <c r="EJ41" s="135">
        <f t="shared" si="4"/>
        <v>1044022.2857142856</v>
      </c>
      <c r="EK41" s="135">
        <f t="shared" si="4"/>
        <v>666465.42857142852</v>
      </c>
      <c r="EL41" s="135">
        <f t="shared" si="4"/>
        <v>1002365.1428571426</v>
      </c>
      <c r="EM41" s="135">
        <f t="shared" si="4"/>
        <v>455759.14285714278</v>
      </c>
      <c r="EN41" s="135">
        <f t="shared" si="4"/>
        <v>571522.85714285704</v>
      </c>
      <c r="EO41" s="135">
        <f t="shared" si="4"/>
        <v>870903.14285714272</v>
      </c>
      <c r="EP41" s="135">
        <f t="shared" si="4"/>
        <v>345722.57142857136</v>
      </c>
      <c r="EQ41" s="135">
        <f t="shared" si="4"/>
        <v>1193433.9999999998</v>
      </c>
      <c r="ER41" s="135">
        <f t="shared" si="4"/>
        <v>1040243.1428571427</v>
      </c>
      <c r="ES41" s="135">
        <f t="shared" si="4"/>
        <v>1422237.4285714284</v>
      </c>
      <c r="ET41" s="40">
        <v>1427149</v>
      </c>
      <c r="EU41" s="40">
        <v>1082536</v>
      </c>
      <c r="EV41" s="40">
        <v>1244004</v>
      </c>
      <c r="EW41" s="40">
        <v>956555</v>
      </c>
      <c r="EX41" s="40">
        <v>994518</v>
      </c>
      <c r="EY41" s="40">
        <v>897468</v>
      </c>
      <c r="EZ41" s="40">
        <v>1067487</v>
      </c>
      <c r="FA41" s="40">
        <v>602183</v>
      </c>
      <c r="FB41" s="40">
        <v>778995</v>
      </c>
      <c r="FC41" s="40">
        <v>617648</v>
      </c>
      <c r="FD41" s="40">
        <v>1503183.5</v>
      </c>
      <c r="FE41" s="40">
        <v>2036413.1666666667</v>
      </c>
      <c r="FF41" s="40">
        <v>1722905</v>
      </c>
      <c r="FG41" s="40">
        <v>1492795</v>
      </c>
      <c r="FH41" s="40">
        <v>1243138.5</v>
      </c>
      <c r="FI41" s="40">
        <v>934312</v>
      </c>
      <c r="FJ41" s="40">
        <v>807252.33330000006</v>
      </c>
      <c r="FK41" s="40">
        <v>761538</v>
      </c>
      <c r="FL41" s="40">
        <v>708822.66666666663</v>
      </c>
      <c r="FM41" s="40">
        <v>806919</v>
      </c>
      <c r="FN41" s="40">
        <v>637329.33333333337</v>
      </c>
      <c r="FO41" s="40">
        <v>592154.66666666663</v>
      </c>
      <c r="FP41" s="40">
        <v>1183826.8333333333</v>
      </c>
      <c r="FQ41" s="40">
        <v>860857</v>
      </c>
      <c r="FR41" s="40">
        <v>800513</v>
      </c>
      <c r="FS41" s="40">
        <v>1221969.8333333333</v>
      </c>
      <c r="FT41" s="40">
        <v>1458360.5</v>
      </c>
      <c r="FU41" s="40">
        <v>515838.83333333314</v>
      </c>
      <c r="FV41" s="40">
        <v>671317.16666666663</v>
      </c>
      <c r="FW41" s="40">
        <v>918109.83333333337</v>
      </c>
      <c r="FX41" s="40">
        <v>808030.16666666651</v>
      </c>
      <c r="FY41" s="40">
        <v>577229</v>
      </c>
      <c r="FZ41" s="40">
        <v>632227.5</v>
      </c>
      <c r="GA41" s="40">
        <v>1145010.3333333335</v>
      </c>
      <c r="GB41" s="40">
        <v>850482</v>
      </c>
      <c r="GC41" s="40">
        <v>1388231</v>
      </c>
      <c r="GD41" s="25">
        <v>1647419.5</v>
      </c>
      <c r="GE41" s="25">
        <v>1346771.4999999998</v>
      </c>
      <c r="GF41" s="25">
        <v>1337919.3333333335</v>
      </c>
      <c r="GG41" s="25">
        <v>941835</v>
      </c>
      <c r="GH41" s="25">
        <v>690585</v>
      </c>
      <c r="GI41" s="25">
        <v>822459</v>
      </c>
      <c r="GJ41" s="40">
        <v>471964.00000000006</v>
      </c>
      <c r="GK41" s="40">
        <v>677697.16666666674</v>
      </c>
      <c r="GL41" s="40">
        <v>747375.5</v>
      </c>
      <c r="GM41" s="40">
        <v>986630.5</v>
      </c>
      <c r="GN41" s="40">
        <v>1251090.3333333335</v>
      </c>
      <c r="GO41" s="40">
        <v>1436520.8333333333</v>
      </c>
      <c r="GP41" s="28">
        <v>946388.33333333349</v>
      </c>
      <c r="GQ41" s="28">
        <v>1057656.1666666667</v>
      </c>
      <c r="GR41" s="28">
        <v>1615992.5</v>
      </c>
      <c r="GS41" s="312">
        <f>773.9395*1000</f>
        <v>773939.5</v>
      </c>
      <c r="GT41" s="312">
        <f>746.898833333333*1000</f>
        <v>746898.83333333291</v>
      </c>
      <c r="GU41" s="312">
        <f>815.700833333333*1000</f>
        <v>815700.83333333302</v>
      </c>
      <c r="GV41" s="101"/>
      <c r="GW41" s="101"/>
      <c r="GX41" s="101"/>
      <c r="GY41" s="101"/>
      <c r="GZ41" s="101"/>
      <c r="HA41" s="101"/>
      <c r="HB41" s="28">
        <v>946388.33333333349</v>
      </c>
      <c r="HC41" s="28">
        <v>1057656.1666666667</v>
      </c>
      <c r="HD41" s="28">
        <v>1615992.5</v>
      </c>
      <c r="HE41" s="312">
        <f>773.9395*1000</f>
        <v>773939.5</v>
      </c>
      <c r="HF41" s="312">
        <f>746.898833333333*1000</f>
        <v>746898.83333333291</v>
      </c>
      <c r="HG41" s="312">
        <f>815.700833333333*1000</f>
        <v>815700.83333333302</v>
      </c>
      <c r="HH41" s="101"/>
      <c r="HI41" s="101"/>
      <c r="HJ41" s="101"/>
      <c r="HK41" s="101"/>
      <c r="HL41" s="101"/>
      <c r="HM41" s="101"/>
    </row>
    <row r="42" spans="1:221" s="17" customFormat="1">
      <c r="A42" s="17">
        <f>34.5-A39-A40-A41</f>
        <v>11.500000000000002</v>
      </c>
      <c r="B42" s="104"/>
      <c r="C42" s="104"/>
      <c r="D42" s="99" t="s">
        <v>536</v>
      </c>
      <c r="E42" s="19">
        <v>40211</v>
      </c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00"/>
      <c r="BP42" s="100"/>
      <c r="BQ42" s="100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B42" s="100"/>
      <c r="CC42" s="100"/>
      <c r="CD42" s="100"/>
      <c r="CE42" s="100"/>
      <c r="CF42" s="16">
        <v>0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2842</v>
      </c>
      <c r="CM42" s="16">
        <v>1593508</v>
      </c>
      <c r="CN42" s="16">
        <v>3335746</v>
      </c>
      <c r="CO42" s="16">
        <v>2269396</v>
      </c>
      <c r="CP42" s="16">
        <v>1947638</v>
      </c>
      <c r="CQ42" s="16">
        <v>1420494</v>
      </c>
      <c r="CR42" s="16">
        <v>1469790</v>
      </c>
      <c r="CS42" s="16">
        <v>2166204</v>
      </c>
      <c r="CT42" s="16">
        <v>1711403</v>
      </c>
      <c r="CU42" s="16">
        <v>2521730</v>
      </c>
      <c r="CV42" s="16">
        <v>2685896</v>
      </c>
      <c r="CW42" s="16">
        <v>2089534</v>
      </c>
      <c r="CX42" s="16">
        <v>3422890</v>
      </c>
      <c r="CY42" s="16">
        <v>2800102</v>
      </c>
      <c r="CZ42" s="16">
        <v>2221304</v>
      </c>
      <c r="DA42" s="16">
        <v>1774954</v>
      </c>
      <c r="DB42" s="16">
        <v>2381148</v>
      </c>
      <c r="DC42" s="16">
        <v>2184460</v>
      </c>
      <c r="DD42" s="16">
        <v>1784528</v>
      </c>
      <c r="DE42" s="16">
        <v>1934920</v>
      </c>
      <c r="DF42" s="16">
        <v>2291496</v>
      </c>
      <c r="DG42" s="16">
        <v>2881400</v>
      </c>
      <c r="DH42" s="16">
        <v>2317192</v>
      </c>
      <c r="DI42" s="16">
        <v>4639768</v>
      </c>
      <c r="DJ42" s="16">
        <v>3589512</v>
      </c>
      <c r="DK42" s="16">
        <v>2314264</v>
      </c>
      <c r="DL42" s="16">
        <v>1375632</v>
      </c>
      <c r="DM42" s="16">
        <v>3042764</v>
      </c>
      <c r="DN42" s="16">
        <v>1923836</v>
      </c>
      <c r="DO42" s="16">
        <v>2218304</v>
      </c>
      <c r="DP42" s="16">
        <v>2156776</v>
      </c>
      <c r="DQ42" s="16">
        <v>2072288</v>
      </c>
      <c r="DR42" s="16">
        <v>1787416</v>
      </c>
      <c r="DS42" s="16">
        <v>2581912</v>
      </c>
      <c r="DT42" s="16">
        <v>3084776</v>
      </c>
      <c r="DU42" s="16">
        <v>4310704</v>
      </c>
      <c r="DV42" s="103">
        <v>2721403</v>
      </c>
      <c r="DW42" s="103">
        <v>2508298</v>
      </c>
      <c r="DX42" s="103">
        <v>2308447</v>
      </c>
      <c r="DY42" s="103">
        <v>2885918</v>
      </c>
      <c r="DZ42" s="103">
        <v>2409665</v>
      </c>
      <c r="EA42" s="103">
        <v>2481507</v>
      </c>
      <c r="EB42" s="103">
        <v>1551354</v>
      </c>
      <c r="EC42" s="103">
        <v>1391464</v>
      </c>
      <c r="ED42" s="103">
        <v>1474542</v>
      </c>
      <c r="EE42" s="103">
        <v>3375081</v>
      </c>
      <c r="EF42" s="103">
        <v>2759432</v>
      </c>
      <c r="EG42" s="103">
        <v>4151270</v>
      </c>
      <c r="EH42" s="135">
        <f t="shared" ref="EH42:ES42" si="5">(EH43-EH39-EH40)/16.1*11.5</f>
        <v>4862924.2857142854</v>
      </c>
      <c r="EI42" s="135">
        <f t="shared" si="5"/>
        <v>4862764.2857142845</v>
      </c>
      <c r="EJ42" s="135">
        <f t="shared" si="5"/>
        <v>2610055.7142857141</v>
      </c>
      <c r="EK42" s="135">
        <f t="shared" si="5"/>
        <v>1666163.5714285714</v>
      </c>
      <c r="EL42" s="135">
        <f t="shared" si="5"/>
        <v>2505912.8571428568</v>
      </c>
      <c r="EM42" s="135">
        <f t="shared" si="5"/>
        <v>1139397.857142857</v>
      </c>
      <c r="EN42" s="135">
        <f t="shared" si="5"/>
        <v>1428807.1428571427</v>
      </c>
      <c r="EO42" s="135">
        <f t="shared" si="5"/>
        <v>2177257.8571428573</v>
      </c>
      <c r="EP42" s="135">
        <f t="shared" si="5"/>
        <v>864306.42857142841</v>
      </c>
      <c r="EQ42" s="135">
        <f t="shared" si="5"/>
        <v>2983585</v>
      </c>
      <c r="ER42" s="135">
        <f t="shared" si="5"/>
        <v>2600607.8571428573</v>
      </c>
      <c r="ES42" s="135">
        <f t="shared" si="5"/>
        <v>3555593.5714285714</v>
      </c>
      <c r="ET42" s="40">
        <v>3858704</v>
      </c>
      <c r="EU42" s="40">
        <v>2599900</v>
      </c>
      <c r="EV42" s="40">
        <v>2853702</v>
      </c>
      <c r="EW42" s="40">
        <v>1868696</v>
      </c>
      <c r="EX42" s="40">
        <v>2628886</v>
      </c>
      <c r="EY42" s="40">
        <v>2131752</v>
      </c>
      <c r="EZ42" s="40">
        <v>2587680</v>
      </c>
      <c r="FA42" s="40">
        <v>1434402</v>
      </c>
      <c r="FB42" s="40">
        <v>1975962</v>
      </c>
      <c r="FC42" s="40">
        <v>1464558</v>
      </c>
      <c r="FD42" s="40">
        <v>4091390</v>
      </c>
      <c r="FE42" s="40">
        <v>5425706.833333333</v>
      </c>
      <c r="FF42" s="40">
        <v>4602343.5</v>
      </c>
      <c r="FG42" s="40">
        <v>3287850</v>
      </c>
      <c r="FH42" s="40">
        <v>2788988</v>
      </c>
      <c r="FI42" s="40">
        <v>2275750.8333333335</v>
      </c>
      <c r="FJ42" s="40">
        <v>1780892</v>
      </c>
      <c r="FK42" s="40">
        <v>1920105</v>
      </c>
      <c r="FL42" s="40">
        <v>1943461.1666666667</v>
      </c>
      <c r="FM42" s="40">
        <v>2173044</v>
      </c>
      <c r="FN42" s="40">
        <v>1623569.6666666667</v>
      </c>
      <c r="FO42" s="40">
        <v>1192945.1666666667</v>
      </c>
      <c r="FP42" s="40">
        <v>2604845.5</v>
      </c>
      <c r="FQ42" s="40">
        <v>2466003</v>
      </c>
      <c r="FR42" s="40">
        <v>2041842</v>
      </c>
      <c r="FS42" s="40">
        <v>3107908.5</v>
      </c>
      <c r="FT42" s="40">
        <v>3450450</v>
      </c>
      <c r="FU42" s="40">
        <v>1421869.8333333335</v>
      </c>
      <c r="FV42" s="40">
        <v>1509661.8333333333</v>
      </c>
      <c r="FW42" s="40">
        <v>2358939.5</v>
      </c>
      <c r="FX42" s="40">
        <v>2129851.4999999995</v>
      </c>
      <c r="FY42" s="40">
        <v>1482252.0000000002</v>
      </c>
      <c r="FZ42" s="40">
        <v>1571747.8333333333</v>
      </c>
      <c r="GA42" s="40">
        <v>3101468.333333333</v>
      </c>
      <c r="GB42" s="40">
        <v>2446214.0000000005</v>
      </c>
      <c r="GC42" s="40">
        <v>3850245</v>
      </c>
      <c r="GD42" s="25">
        <v>4014718.1666666665</v>
      </c>
      <c r="GE42" s="25">
        <v>2992792.6666666665</v>
      </c>
      <c r="GF42" s="25">
        <v>3195295.6666666665</v>
      </c>
      <c r="GG42" s="25">
        <v>2322041</v>
      </c>
      <c r="GH42" s="25">
        <v>1688678.9999999998</v>
      </c>
      <c r="GI42" s="25">
        <v>1813019</v>
      </c>
      <c r="GJ42" s="40">
        <v>1008029.1666666667</v>
      </c>
      <c r="GK42" s="40">
        <v>1651481.1666666665</v>
      </c>
      <c r="GL42" s="40">
        <v>1738357.166666667</v>
      </c>
      <c r="GM42" s="40">
        <v>2382969.5</v>
      </c>
      <c r="GN42" s="40">
        <v>3034773</v>
      </c>
      <c r="GO42" s="40">
        <v>3752043.6666666665</v>
      </c>
      <c r="GP42" s="28">
        <v>2681299.666666667</v>
      </c>
      <c r="GQ42" s="28">
        <v>2932185.3333333335</v>
      </c>
      <c r="GR42" s="28">
        <v>3907845.8333333335</v>
      </c>
      <c r="GS42" s="312">
        <f>1625.92066666667*1000</f>
        <v>1625920.66666667</v>
      </c>
      <c r="GT42" s="312">
        <f>1859.76466666667*1000</f>
        <v>1859764.66666667</v>
      </c>
      <c r="GU42" s="312">
        <f>1706.93183333333*1000</f>
        <v>1706931.83333333</v>
      </c>
      <c r="GV42" s="101"/>
      <c r="GW42" s="101"/>
      <c r="GX42" s="101"/>
      <c r="GY42" s="101"/>
      <c r="GZ42" s="101"/>
      <c r="HA42" s="101"/>
      <c r="HB42" s="28">
        <v>2681299.666666667</v>
      </c>
      <c r="HC42" s="28">
        <v>2932185.3333333335</v>
      </c>
      <c r="HD42" s="28">
        <v>3907845.8333333335</v>
      </c>
      <c r="HE42" s="312">
        <f>1625.92066666667*1000</f>
        <v>1625920.66666667</v>
      </c>
      <c r="HF42" s="312">
        <f>1859.76466666667*1000</f>
        <v>1859764.66666667</v>
      </c>
      <c r="HG42" s="312">
        <f>1706.93183333333*1000</f>
        <v>1706931.83333333</v>
      </c>
      <c r="HH42" s="101"/>
      <c r="HI42" s="101"/>
      <c r="HJ42" s="101"/>
      <c r="HK42" s="101"/>
      <c r="HL42" s="101"/>
      <c r="HM42" s="101"/>
    </row>
    <row r="43" spans="1:221" s="102" customFormat="1">
      <c r="A43" s="102" t="s">
        <v>211</v>
      </c>
      <c r="B43" s="105" t="s">
        <v>259</v>
      </c>
      <c r="C43" s="105"/>
      <c r="D43" s="10" t="s">
        <v>2622</v>
      </c>
      <c r="E43" s="19"/>
      <c r="F43" s="103" t="s">
        <v>845</v>
      </c>
      <c r="G43" s="103" t="s">
        <v>845</v>
      </c>
      <c r="H43" s="103" t="s">
        <v>845</v>
      </c>
      <c r="I43" s="103" t="s">
        <v>845</v>
      </c>
      <c r="J43" s="103" t="s">
        <v>845</v>
      </c>
      <c r="K43" s="103" t="s">
        <v>845</v>
      </c>
      <c r="L43" s="103" t="s">
        <v>845</v>
      </c>
      <c r="M43" s="103" t="s">
        <v>845</v>
      </c>
      <c r="N43" s="103" t="s">
        <v>845</v>
      </c>
      <c r="O43" s="103" t="s">
        <v>845</v>
      </c>
      <c r="P43" s="103" t="s">
        <v>845</v>
      </c>
      <c r="Q43" s="103" t="s">
        <v>845</v>
      </c>
      <c r="R43" s="103" t="s">
        <v>845</v>
      </c>
      <c r="S43" s="103" t="s">
        <v>845</v>
      </c>
      <c r="T43" s="103" t="s">
        <v>845</v>
      </c>
      <c r="U43" s="103" t="s">
        <v>845</v>
      </c>
      <c r="V43" s="103" t="s">
        <v>845</v>
      </c>
      <c r="W43" s="103" t="s">
        <v>845</v>
      </c>
      <c r="X43" s="103" t="s">
        <v>845</v>
      </c>
      <c r="Y43" s="103" t="s">
        <v>845</v>
      </c>
      <c r="Z43" s="103" t="s">
        <v>845</v>
      </c>
      <c r="AA43" s="103" t="s">
        <v>845</v>
      </c>
      <c r="AB43" s="103" t="s">
        <v>845</v>
      </c>
      <c r="AC43" s="103" t="s">
        <v>845</v>
      </c>
      <c r="AD43" s="103" t="s">
        <v>845</v>
      </c>
      <c r="AE43" s="103" t="s">
        <v>845</v>
      </c>
      <c r="AF43" s="103" t="s">
        <v>845</v>
      </c>
      <c r="AG43" s="103" t="s">
        <v>845</v>
      </c>
      <c r="AH43" s="103" t="s">
        <v>845</v>
      </c>
      <c r="AI43" s="103" t="s">
        <v>845</v>
      </c>
      <c r="AJ43" s="103" t="s">
        <v>845</v>
      </c>
      <c r="AK43" s="103" t="s">
        <v>845</v>
      </c>
      <c r="AL43" s="103" t="s">
        <v>845</v>
      </c>
      <c r="AM43" s="103" t="s">
        <v>845</v>
      </c>
      <c r="AN43" s="103" t="s">
        <v>845</v>
      </c>
      <c r="AO43" s="103" t="s">
        <v>845</v>
      </c>
      <c r="AP43" s="103" t="s">
        <v>845</v>
      </c>
      <c r="AQ43" s="103" t="s">
        <v>845</v>
      </c>
      <c r="AR43" s="103" t="s">
        <v>845</v>
      </c>
      <c r="AS43" s="103" t="s">
        <v>845</v>
      </c>
      <c r="AT43" s="103" t="s">
        <v>845</v>
      </c>
      <c r="AU43" s="103" t="s">
        <v>845</v>
      </c>
      <c r="AV43" s="103" t="s">
        <v>845</v>
      </c>
      <c r="AW43" s="103" t="s">
        <v>845</v>
      </c>
      <c r="AX43" s="103" t="s">
        <v>845</v>
      </c>
      <c r="AY43" s="103" t="s">
        <v>845</v>
      </c>
      <c r="AZ43" s="103" t="s">
        <v>845</v>
      </c>
      <c r="BA43" s="103" t="s">
        <v>845</v>
      </c>
      <c r="BB43" s="103">
        <v>0</v>
      </c>
      <c r="BC43" s="103">
        <v>0</v>
      </c>
      <c r="BD43" s="103">
        <v>0</v>
      </c>
      <c r="BE43" s="103">
        <v>0</v>
      </c>
      <c r="BF43" s="103">
        <v>0</v>
      </c>
      <c r="BG43" s="103">
        <v>0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3">
        <v>0</v>
      </c>
      <c r="BN43" s="103">
        <v>0</v>
      </c>
      <c r="BO43" s="103">
        <v>0</v>
      </c>
      <c r="BP43" s="103">
        <v>0</v>
      </c>
      <c r="BQ43" s="103">
        <v>0</v>
      </c>
      <c r="BR43" s="103">
        <v>0</v>
      </c>
      <c r="BS43" s="103">
        <v>0</v>
      </c>
      <c r="BT43" s="103">
        <v>0</v>
      </c>
      <c r="BU43" s="103">
        <v>0</v>
      </c>
      <c r="BV43" s="103">
        <v>0</v>
      </c>
      <c r="BW43" s="103">
        <v>0</v>
      </c>
      <c r="BX43" s="103">
        <v>0</v>
      </c>
      <c r="BY43" s="103">
        <v>0</v>
      </c>
      <c r="BZ43" s="103">
        <v>0</v>
      </c>
      <c r="CA43" s="103">
        <v>0</v>
      </c>
      <c r="CB43" s="103">
        <v>0</v>
      </c>
      <c r="CC43" s="103">
        <v>0</v>
      </c>
      <c r="CD43" s="103">
        <v>0</v>
      </c>
      <c r="CE43" s="103">
        <v>0</v>
      </c>
      <c r="CF43" s="135">
        <f>SUM(CF39:CF42)</f>
        <v>2109</v>
      </c>
      <c r="CG43" s="135">
        <f t="shared" ref="CG43:CT43" si="6">SUM(CG39:CG42)</f>
        <v>6721</v>
      </c>
      <c r="CH43" s="135">
        <f t="shared" si="6"/>
        <v>569481</v>
      </c>
      <c r="CI43" s="135">
        <f t="shared" si="6"/>
        <v>3488426</v>
      </c>
      <c r="CJ43" s="135">
        <f t="shared" si="6"/>
        <v>6697218</v>
      </c>
      <c r="CK43" s="135">
        <f t="shared" si="6"/>
        <v>5231422</v>
      </c>
      <c r="CL43" s="135">
        <f t="shared" si="6"/>
        <v>2992933</v>
      </c>
      <c r="CM43" s="135">
        <f t="shared" si="6"/>
        <v>5581754</v>
      </c>
      <c r="CN43" s="135">
        <f t="shared" si="6"/>
        <v>8972503</v>
      </c>
      <c r="CO43" s="135">
        <f t="shared" si="6"/>
        <v>6528703</v>
      </c>
      <c r="CP43" s="135">
        <f t="shared" si="6"/>
        <v>5841236</v>
      </c>
      <c r="CQ43" s="135">
        <f t="shared" si="6"/>
        <v>3950622</v>
      </c>
      <c r="CR43" s="135">
        <f t="shared" si="6"/>
        <v>4040617</v>
      </c>
      <c r="CS43" s="135">
        <f t="shared" si="6"/>
        <v>6079805</v>
      </c>
      <c r="CT43" s="135">
        <f t="shared" si="6"/>
        <v>4813130</v>
      </c>
      <c r="CU43" s="103">
        <f>+SUM(CU39:CU42)</f>
        <v>7320825</v>
      </c>
      <c r="CV43" s="103">
        <f t="shared" ref="CV43:DO43" si="7">+SUM(CV39:CV42)</f>
        <v>6773549</v>
      </c>
      <c r="CW43" s="103">
        <f t="shared" si="7"/>
        <v>6266899</v>
      </c>
      <c r="CX43" s="103">
        <f t="shared" si="7"/>
        <v>10522409</v>
      </c>
      <c r="CY43" s="103">
        <f t="shared" si="7"/>
        <v>8297629</v>
      </c>
      <c r="CZ43" s="103">
        <f t="shared" si="7"/>
        <v>7942356</v>
      </c>
      <c r="DA43" s="103">
        <f t="shared" si="7"/>
        <v>5690189</v>
      </c>
      <c r="DB43" s="103">
        <f t="shared" si="7"/>
        <v>7173486</v>
      </c>
      <c r="DC43" s="103">
        <f t="shared" si="7"/>
        <v>7108919</v>
      </c>
      <c r="DD43" s="103">
        <f t="shared" si="7"/>
        <v>5257567</v>
      </c>
      <c r="DE43" s="103">
        <f t="shared" si="7"/>
        <v>6001333</v>
      </c>
      <c r="DF43" s="103">
        <f t="shared" si="7"/>
        <v>7305447</v>
      </c>
      <c r="DG43" s="103">
        <f t="shared" si="7"/>
        <v>8595215</v>
      </c>
      <c r="DH43" s="103">
        <f t="shared" si="7"/>
        <v>6636360</v>
      </c>
      <c r="DI43" s="103">
        <f t="shared" si="7"/>
        <v>13634092</v>
      </c>
      <c r="DJ43" s="103">
        <f t="shared" si="7"/>
        <v>10046864</v>
      </c>
      <c r="DK43" s="103">
        <f t="shared" si="7"/>
        <v>7442966</v>
      </c>
      <c r="DL43" s="103">
        <f t="shared" si="7"/>
        <v>4601851</v>
      </c>
      <c r="DM43" s="103">
        <f t="shared" si="7"/>
        <v>8261652</v>
      </c>
      <c r="DN43" s="103">
        <f t="shared" si="7"/>
        <v>4938169</v>
      </c>
      <c r="DO43" s="103">
        <f t="shared" si="7"/>
        <v>6134040</v>
      </c>
      <c r="DP43" s="103">
        <f t="shared" ref="DP43:EG43" si="8">+SUM(DP39:DP42)</f>
        <v>6256451</v>
      </c>
      <c r="DQ43" s="103">
        <f t="shared" si="8"/>
        <v>5739230</v>
      </c>
      <c r="DR43" s="103">
        <f t="shared" si="8"/>
        <v>4673615</v>
      </c>
      <c r="DS43" s="103">
        <f t="shared" si="8"/>
        <v>8101406</v>
      </c>
      <c r="DT43" s="103">
        <f t="shared" si="8"/>
        <v>8696108</v>
      </c>
      <c r="DU43" s="103">
        <f t="shared" si="8"/>
        <v>12513482</v>
      </c>
      <c r="DV43" s="103">
        <f t="shared" si="8"/>
        <v>8304429</v>
      </c>
      <c r="DW43" s="103">
        <f t="shared" si="8"/>
        <v>9180243</v>
      </c>
      <c r="DX43" s="103">
        <f t="shared" si="8"/>
        <v>7590267</v>
      </c>
      <c r="DY43" s="103">
        <f t="shared" si="8"/>
        <v>8847933</v>
      </c>
      <c r="DZ43" s="103">
        <f t="shared" si="8"/>
        <v>7226035</v>
      </c>
      <c r="EA43" s="103">
        <f t="shared" si="8"/>
        <v>7660803</v>
      </c>
      <c r="EB43" s="103">
        <f t="shared" si="8"/>
        <v>5067145</v>
      </c>
      <c r="EC43" s="103">
        <f t="shared" si="8"/>
        <v>3916533</v>
      </c>
      <c r="ED43" s="103">
        <f t="shared" si="8"/>
        <v>4444768</v>
      </c>
      <c r="EE43" s="103">
        <f t="shared" si="8"/>
        <v>9851045</v>
      </c>
      <c r="EF43" s="103">
        <f t="shared" si="8"/>
        <v>8078683</v>
      </c>
      <c r="EG43" s="103">
        <f t="shared" si="8"/>
        <v>11798850</v>
      </c>
      <c r="EH43" s="135">
        <v>13637486</v>
      </c>
      <c r="EI43" s="135">
        <v>14156030</v>
      </c>
      <c r="EJ43" s="135">
        <v>7233118</v>
      </c>
      <c r="EK43" s="135">
        <v>4850213</v>
      </c>
      <c r="EL43" s="135">
        <v>7410118</v>
      </c>
      <c r="EM43" s="135">
        <v>3420629</v>
      </c>
      <c r="EN43" s="135">
        <v>4279050</v>
      </c>
      <c r="EO43" s="135">
        <v>6392641</v>
      </c>
      <c r="EP43" s="135">
        <v>2739485</v>
      </c>
      <c r="EQ43" s="135">
        <v>8638219</v>
      </c>
      <c r="ER43" s="135">
        <v>7230595</v>
      </c>
      <c r="ES43" s="135">
        <v>10479735</v>
      </c>
      <c r="ET43" s="103">
        <v>10794636</v>
      </c>
      <c r="EU43" s="103">
        <v>8007497</v>
      </c>
      <c r="EV43" s="103">
        <v>9079137</v>
      </c>
      <c r="EW43" s="103">
        <v>6539563</v>
      </c>
      <c r="EX43" s="103">
        <v>7957217</v>
      </c>
      <c r="EY43" s="103">
        <v>6708845</v>
      </c>
      <c r="EZ43" s="103">
        <v>7936154</v>
      </c>
      <c r="FA43" s="103">
        <v>4407493</v>
      </c>
      <c r="FB43" s="103">
        <v>5836599</v>
      </c>
      <c r="FC43" s="103">
        <v>4413304</v>
      </c>
      <c r="FD43" s="103">
        <v>12342033</v>
      </c>
      <c r="FE43" s="103">
        <v>15894931</v>
      </c>
      <c r="FF43" s="103">
        <v>13210811</v>
      </c>
      <c r="FG43" s="103">
        <v>10721997</v>
      </c>
      <c r="FH43" s="103">
        <v>8828151</v>
      </c>
      <c r="FI43" s="103">
        <v>6933332</v>
      </c>
      <c r="FJ43" s="103">
        <v>5685227</v>
      </c>
      <c r="FK43" s="103">
        <v>5814650</v>
      </c>
      <c r="FL43" s="103">
        <v>5674480</v>
      </c>
      <c r="FM43" s="103">
        <v>6474670</v>
      </c>
      <c r="FN43" s="103">
        <v>4861230</v>
      </c>
      <c r="FO43" s="103">
        <v>4190800</v>
      </c>
      <c r="FP43" s="103">
        <v>8514380</v>
      </c>
      <c r="FQ43" s="103">
        <v>6502050</v>
      </c>
      <c r="FR43" s="40">
        <f>_xll.LVCELL($D$2,FR$15,$B43,$D$5,$D$6,$D$7,$D$8,$D$9,$D$10,$D$11)</f>
        <v>5969860</v>
      </c>
      <c r="FS43" s="40">
        <f>_xll.LVCELL($D$2,FS$15,$B43,$D$5,$D$6,$D$7,$D$8,$D$9,$D$10,$D$11)</f>
        <v>9272280</v>
      </c>
      <c r="FT43" s="40">
        <f>_xll.LVCELL($D$2,FT$15,$B43,$D$5,$D$6,$D$7,$D$8,$D$9,$D$10,$D$11)</f>
        <v>10764790</v>
      </c>
      <c r="FU43" s="40">
        <f>_xll.LVCELL($D$2,FU$15,$B43,$D$5,$D$6,$D$7,$D$8,$D$9,$D$10,$D$11)</f>
        <v>3979790</v>
      </c>
      <c r="FV43" s="40">
        <f>_xll.LVCELL($D$2,FV$15,$B43,$D$5,$D$6,$D$7,$D$8,$D$9,$D$10,$D$11)</f>
        <v>4882727</v>
      </c>
      <c r="FW43" s="40">
        <f>_xll.LVCELL($D$2,FW$15,$B43,$D$5,$D$6,$D$7,$D$8,$D$9,$D$10,$D$11)</f>
        <v>7160460</v>
      </c>
      <c r="FX43" s="40">
        <f>_xll.LVCELL($D$2,FX$15,$B43,$D$5,$D$6,$D$7,$D$8,$D$9,$D$10,$D$11)</f>
        <v>6324435.8300000001</v>
      </c>
      <c r="FY43" s="40">
        <f>_xll.LVCELL($D$2,FY$15,$B43,$D$5,$D$6,$D$7,$D$8,$D$9,$D$10,$D$11)</f>
        <v>4408831</v>
      </c>
      <c r="FZ43" s="40">
        <f>_xll.LVCELL($D$2,FZ$15,$B43,$D$5,$D$6,$D$7,$D$8,$D$9,$D$10,$D$11)</f>
        <v>4851111</v>
      </c>
      <c r="GA43" s="40">
        <f>_xll.LVCELL($D$2,GA$15,$B43,$D$5,$D$6,$D$7,$D$8,$D$9,$D$10,$D$11)</f>
        <v>9136393</v>
      </c>
      <c r="GB43" s="40">
        <f>_xll.LVCELL($D$2,GB$15,$B43,$D$5,$D$6,$D$7,$D$8,$D$9,$D$10,$D$11)</f>
        <v>6655230</v>
      </c>
      <c r="GC43" s="40">
        <f>_xll.LVCELL($D$2,GC$15,$B43,$D$5,$D$6,$D$7,$D$8,$D$9,$D$10,$D$11)</f>
        <v>10889352</v>
      </c>
      <c r="GD43" s="40">
        <f>_xll.LVCELL($D$2,GD$15,$B43,$D$5,$D$6,$D$7,$D$8,$D$9,$D$10,$D$11)</f>
        <v>12389993</v>
      </c>
      <c r="GE43" s="40">
        <f>_xll.LVCELL($D$2,GE$15,$B43,$D$5,$D$6,$D$7,$D$8,$D$9,$D$10,$D$11)</f>
        <v>8974688</v>
      </c>
      <c r="GF43" s="40">
        <f>_xll.LVCELL($D$2,GF$15,$B43,$D$5,$D$6,$D$7,$D$8,$D$9,$D$10,$D$11)</f>
        <v>9112139</v>
      </c>
      <c r="GG43" s="40">
        <f>_xll.LVCELL($D$2,GG$15,$B43,$D$5,$D$6,$D$7,$D$8,$D$9,$D$10,$D$11)</f>
        <v>6536125</v>
      </c>
      <c r="GH43" s="40">
        <f>_xll.LVCELL($D$2,GH$15,$B43,$D$5,$D$6,$D$7,$D$8,$D$9,$D$10,$D$11)</f>
        <v>4714545</v>
      </c>
      <c r="GI43" s="40">
        <f>_xll.LVCELL($D$2,GI$15,$B43,$D$5,$D$6,$D$7,$D$8,$D$9,$D$10,$D$11)</f>
        <v>5590701</v>
      </c>
      <c r="GJ43" s="40">
        <f>_xll.LVCELL($D$2,GJ$15,$B43,$D$5,$D$6,$D$7,$D$8,$D$9,$D$10,$D$11)</f>
        <v>3139625</v>
      </c>
      <c r="GK43" s="40">
        <f>_xll.LVCELL($D$2,GK$15,$B43,$D$5,$D$6,$D$7,$D$8,$D$9,$D$10,$D$11)</f>
        <v>5072787</v>
      </c>
      <c r="GL43" s="40">
        <f>_xll.LVCELL($D$2,GL$15,$B43,$D$5,$D$6,$D$7,$D$8,$D$9,$D$10,$D$11)</f>
        <v>5347118</v>
      </c>
      <c r="GM43" s="40">
        <f>_xll.LVCELL($D$2,GM$15,$B43,$D$5,$D$6,$D$7,$D$8,$D$9,$D$10,$D$11)</f>
        <v>7137912</v>
      </c>
      <c r="GN43" s="40">
        <f>_xll.LVCELL($D$2,GN$15,$B43,$D$5,$D$6,$D$7,$D$8,$D$9,$D$10,$D$11)</f>
        <v>9171860</v>
      </c>
      <c r="GO43" s="40">
        <f>_xll.LVCELL($D$2,GO$15,$B43,$D$5,$D$6,$D$7,$D$8,$D$9,$D$10,$D$11)</f>
        <v>10964524</v>
      </c>
      <c r="GP43" s="40">
        <f>_xll.LVCELL($D$2,GP$15,$B43,$D$5,$D$6,$D$7,$D$8,$D$9,$D$10,$D$11)</f>
        <v>7136239</v>
      </c>
      <c r="GQ43" s="40">
        <f>_xll.LVCELL($D$2,GQ$15,$B43,$D$5,$D$6,$D$7,$D$8,$D$9,$D$10,$D$11)</f>
        <v>8581386</v>
      </c>
      <c r="GR43" s="40">
        <f>_xll.LVCELL($D$2,GR$15,$B43,$D$5,$D$6,$D$7,$D$8,$D$9,$D$10,$D$11)</f>
        <v>12145440</v>
      </c>
      <c r="GS43" s="40">
        <f>_xll.LVCELL($D$2,GS$15,$B43,$D$5,$D$6,$D$7,$D$8,$D$9,$D$10,$D$11)</f>
        <v>5451925</v>
      </c>
      <c r="GT43" s="40">
        <f>_xll.LVCELL($D$2,GT$15,$B43,$D$5,$D$6,$D$7,$D$8,$D$9,$D$10,$D$11)</f>
        <v>5556946</v>
      </c>
      <c r="GU43" s="40">
        <f>_xll.LVCELL($D$2,GU$15,$B43,$D$5,$D$6,$D$7,$D$8,$D$9,$D$10,$D$11)</f>
        <v>5784452</v>
      </c>
      <c r="GV43" s="40">
        <f>_xll.LVCELL($D$2,GV$15,$B43,$D$5,$D$6,$D$7,$D$8,$D$9,$D$10,$D$11)</f>
        <v>4825950</v>
      </c>
      <c r="GW43" s="40">
        <f>_xll.LVCELL($D$2,GW$15,$B43,$D$5,$D$6,$D$7,$D$8,$D$9,$D$10,$D$11)</f>
        <v>5613041</v>
      </c>
      <c r="GX43" s="40">
        <f>_xll.LVCELL($D$2,GX$15,$B43,$D$5,$D$6,$D$7,$D$8,$D$9,$D$10,$D$11)</f>
        <v>7772092</v>
      </c>
      <c r="GY43" s="40">
        <f>_xll.LVCELL($D$2,GY$15,$B43,$D$5,$D$6,$D$7,$D$8,$D$9,$D$10,$D$11)</f>
        <v>9291061</v>
      </c>
      <c r="GZ43" s="40">
        <f>_xll.LVCELL($D$2,GZ$15,$B43,$D$5,$D$6,$D$7,$D$8,$D$9,$D$10,$D$11)</f>
        <v>7841256</v>
      </c>
      <c r="HA43" s="40">
        <f>_xll.LVCELL($D$2,HA$15,$B43,$D$5,$D$6,$D$7,$D$8,$D$9,$D$10,$D$11)</f>
        <v>13265074</v>
      </c>
      <c r="HB43" s="40">
        <f>_xll.LVCELL($D$2,HB$15,$B43,$D$5,$D$6,$D$7,$D$8,$D$9,$D$10,$D$11)</f>
        <v>11787352</v>
      </c>
      <c r="HC43" s="40">
        <f>_xll.LVCELL($D$2,HC$15,$B43,$D$5,$D$6,$D$7,$D$8,$D$9,$D$10,$D$11)</f>
        <v>16629766</v>
      </c>
      <c r="HD43" s="40">
        <f>_xll.LVCELL($D$2,HD$15,$B43,$D$5,$D$6,$D$7,$D$8,$D$9,$D$10,$D$11)</f>
        <v>12708490</v>
      </c>
      <c r="HE43" s="40">
        <f>_xll.LVCELL($D$2,HE$15,$B43,$D$5,$D$6,$D$7,$D$8,$D$9,$D$10,$D$11)</f>
        <v>5578105</v>
      </c>
      <c r="HF43" s="40">
        <f>_xll.LVCELL($D$2,HF$15,$B43,$D$5,$D$6,$D$7,$D$8,$D$9,$D$10,$D$11)</f>
        <v>6563112</v>
      </c>
      <c r="HG43" s="40">
        <f>_xll.LVCELL($D$2,HG$15,$B43,$D$5,$D$6,$D$7,$D$8,$D$9,$D$10,$D$11)</f>
        <v>4804094</v>
      </c>
      <c r="HH43" s="40">
        <f>_xll.LVCELL($D$2,HH$15,$B43,$D$5,$D$6,$D$7,$D$8,$D$9,$D$10,$D$11)</f>
        <v>7191040</v>
      </c>
      <c r="HI43" s="40">
        <f>_xll.LVCELL($D$2,HI$15,$B43,$D$5,$D$6,$D$7,$D$8,$D$9,$D$10,$D$11)</f>
        <v>5766510</v>
      </c>
      <c r="HJ43" s="40">
        <f>_xll.LVCELL($D$2,HJ$15,$B43,$D$5,$D$6,$D$7,$D$8,$D$9,$D$10,$D$11)</f>
        <v>6300785</v>
      </c>
      <c r="HK43" s="40">
        <f>_xll.LVCELL($D$2,HK$15,$B43,$D$5,$D$6,$D$7,$D$8,$D$9,$D$10,$D$11)</f>
        <v>11490475</v>
      </c>
      <c r="HL43" s="40">
        <f>_xll.LVCELL($D$2,HL$15,$B43,$D$5,$D$6,$D$7,$D$8,$D$9,$D$10,$D$11)</f>
        <v>8923185</v>
      </c>
      <c r="HM43" s="40">
        <f>_xll.LVCELL($D$2,HM$15,$B43,$D$5,$D$6,$D$7,$D$8,$D$9,$D$10,$D$11)</f>
        <v>10377108</v>
      </c>
    </row>
    <row r="44" spans="1:221">
      <c r="A44" s="4" t="s">
        <v>155</v>
      </c>
      <c r="B44" t="s">
        <v>260</v>
      </c>
      <c r="D44" s="10" t="s">
        <v>213</v>
      </c>
      <c r="E44" s="19">
        <v>41532</v>
      </c>
      <c r="F44" s="16" t="s">
        <v>845</v>
      </c>
      <c r="G44" s="16" t="s">
        <v>845</v>
      </c>
      <c r="H44" s="16" t="s">
        <v>845</v>
      </c>
      <c r="I44" s="16" t="s">
        <v>845</v>
      </c>
      <c r="J44" s="16" t="s">
        <v>845</v>
      </c>
      <c r="K44" s="16" t="s">
        <v>845</v>
      </c>
      <c r="L44" s="16" t="s">
        <v>845</v>
      </c>
      <c r="M44" s="16" t="s">
        <v>845</v>
      </c>
      <c r="N44" s="16" t="s">
        <v>845</v>
      </c>
      <c r="O44" s="16" t="s">
        <v>845</v>
      </c>
      <c r="P44" s="16" t="s">
        <v>845</v>
      </c>
      <c r="Q44" s="16" t="s">
        <v>845</v>
      </c>
      <c r="R44" s="16" t="s">
        <v>845</v>
      </c>
      <c r="S44" s="16" t="s">
        <v>845</v>
      </c>
      <c r="T44" s="16" t="s">
        <v>845</v>
      </c>
      <c r="U44" s="16" t="s">
        <v>845</v>
      </c>
      <c r="V44" s="16" t="s">
        <v>845</v>
      </c>
      <c r="W44" s="16" t="s">
        <v>845</v>
      </c>
      <c r="X44" s="16" t="s">
        <v>845</v>
      </c>
      <c r="Y44" s="16" t="s">
        <v>845</v>
      </c>
      <c r="Z44" s="16" t="s">
        <v>845</v>
      </c>
      <c r="AA44" s="16" t="s">
        <v>845</v>
      </c>
      <c r="AB44" s="16" t="s">
        <v>845</v>
      </c>
      <c r="AC44" s="16" t="s">
        <v>845</v>
      </c>
      <c r="AD44" s="16" t="s">
        <v>845</v>
      </c>
      <c r="AE44" s="16" t="s">
        <v>845</v>
      </c>
      <c r="AF44" s="16" t="s">
        <v>845</v>
      </c>
      <c r="AG44" s="16" t="s">
        <v>845</v>
      </c>
      <c r="AH44" s="16" t="s">
        <v>845</v>
      </c>
      <c r="AI44" s="16" t="s">
        <v>845</v>
      </c>
      <c r="AJ44" s="16" t="s">
        <v>845</v>
      </c>
      <c r="AK44" s="16" t="s">
        <v>845</v>
      </c>
      <c r="AL44" s="16" t="s">
        <v>845</v>
      </c>
      <c r="AM44" s="16" t="s">
        <v>845</v>
      </c>
      <c r="AN44" s="16" t="s">
        <v>845</v>
      </c>
      <c r="AO44" s="16" t="s">
        <v>845</v>
      </c>
      <c r="AP44" s="16" t="s">
        <v>845</v>
      </c>
      <c r="AQ44" s="16" t="s">
        <v>845</v>
      </c>
      <c r="AR44" s="16" t="s">
        <v>845</v>
      </c>
      <c r="AS44" s="16" t="s">
        <v>845</v>
      </c>
      <c r="AT44" s="16" t="s">
        <v>845</v>
      </c>
      <c r="AU44" s="16" t="s">
        <v>845</v>
      </c>
      <c r="AV44" s="16" t="s">
        <v>845</v>
      </c>
      <c r="AW44" s="16" t="s">
        <v>845</v>
      </c>
      <c r="AX44" s="16" t="s">
        <v>845</v>
      </c>
      <c r="AY44" s="16" t="s">
        <v>845</v>
      </c>
      <c r="AZ44" s="16" t="s">
        <v>845</v>
      </c>
      <c r="BA44" s="16" t="s">
        <v>845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0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0</v>
      </c>
      <c r="BX44" s="16">
        <v>0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0</v>
      </c>
      <c r="DB44" s="16">
        <v>0</v>
      </c>
      <c r="DC44" s="16">
        <v>0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0</v>
      </c>
      <c r="DV44" s="16">
        <v>0</v>
      </c>
      <c r="DW44" s="16">
        <v>0</v>
      </c>
      <c r="DX44" s="16">
        <v>0</v>
      </c>
      <c r="DY44" s="16">
        <v>0</v>
      </c>
      <c r="DZ44" s="16">
        <v>0</v>
      </c>
      <c r="EA44" s="16">
        <v>0</v>
      </c>
      <c r="EB44" s="16">
        <v>0</v>
      </c>
      <c r="EC44" s="16">
        <v>0</v>
      </c>
      <c r="ED44" s="16">
        <v>722749</v>
      </c>
      <c r="EE44" s="16">
        <v>2144765</v>
      </c>
      <c r="EF44" s="16">
        <v>1662073</v>
      </c>
      <c r="EG44" s="16">
        <v>2482455</v>
      </c>
      <c r="EH44" s="16">
        <v>2606078</v>
      </c>
      <c r="EI44" s="16">
        <v>2925461</v>
      </c>
      <c r="EJ44" s="16">
        <v>1342684</v>
      </c>
      <c r="EK44" s="16">
        <v>939679</v>
      </c>
      <c r="EL44" s="16">
        <v>1592778</v>
      </c>
      <c r="EM44" s="16">
        <v>734654</v>
      </c>
      <c r="EN44" s="16">
        <v>815633</v>
      </c>
      <c r="EO44" s="16">
        <v>1386006</v>
      </c>
      <c r="EP44" s="16">
        <v>694325</v>
      </c>
      <c r="EQ44" s="16">
        <v>1580001</v>
      </c>
      <c r="ER44" s="16">
        <v>1424716</v>
      </c>
      <c r="ES44" s="16">
        <v>2487291</v>
      </c>
      <c r="ET44" s="16">
        <v>2469416</v>
      </c>
      <c r="EU44" s="16">
        <v>1650502</v>
      </c>
      <c r="EV44" s="16">
        <v>2050454.0000000002</v>
      </c>
      <c r="EW44" s="16">
        <v>1424012</v>
      </c>
      <c r="EX44" s="16">
        <v>1669730</v>
      </c>
      <c r="EY44" s="16">
        <v>1395465</v>
      </c>
      <c r="EZ44" s="16">
        <v>1721025</v>
      </c>
      <c r="FA44" s="16">
        <v>928771</v>
      </c>
      <c r="FB44" s="16">
        <v>1358022</v>
      </c>
      <c r="FC44" s="16">
        <v>1034175</v>
      </c>
      <c r="FD44" s="16">
        <v>2909834</v>
      </c>
      <c r="FE44" s="16">
        <v>3020841.6670000004</v>
      </c>
      <c r="FF44" s="16">
        <v>2874063</v>
      </c>
      <c r="FG44" s="16">
        <v>2484465</v>
      </c>
      <c r="FH44" s="16">
        <v>2003458</v>
      </c>
      <c r="FI44" s="16">
        <v>1418800</v>
      </c>
      <c r="FJ44" s="16">
        <v>1111185</v>
      </c>
      <c r="FK44" s="16">
        <v>971410</v>
      </c>
      <c r="FL44" s="16">
        <v>1151250</v>
      </c>
      <c r="FM44" s="16">
        <v>1425120</v>
      </c>
      <c r="FN44" s="16">
        <v>944140</v>
      </c>
      <c r="FO44" s="16">
        <v>1080080</v>
      </c>
      <c r="FP44" s="16">
        <v>1806970</v>
      </c>
      <c r="FQ44" s="16">
        <v>1198160</v>
      </c>
      <c r="FR44" s="40">
        <f>_xll.LVCELL($D$2,FR$15,$B44,$D$5,$D$6,$D$7,$D$8,$D$9,$D$10,$D$11)</f>
        <v>1423880</v>
      </c>
      <c r="FS44" s="40">
        <f>_xll.LVCELL($D$2,FS$15,$B44,$D$5,$D$6,$D$7,$D$8,$D$9,$D$10,$D$11)</f>
        <v>2023220</v>
      </c>
      <c r="FT44" s="40">
        <f>_xll.LVCELL($D$2,FT$15,$B44,$D$5,$D$6,$D$7,$D$8,$D$9,$D$10,$D$11)</f>
        <v>2365580</v>
      </c>
      <c r="FU44" s="40">
        <f>_xll.LVCELL($D$2,FU$15,$B44,$D$5,$D$6,$D$7,$D$8,$D$9,$D$10,$D$11)</f>
        <v>793480</v>
      </c>
      <c r="FV44" s="40">
        <f>_xll.LVCELL($D$2,FV$15,$B44,$D$5,$D$6,$D$7,$D$8,$D$9,$D$10,$D$11)</f>
        <v>1070943</v>
      </c>
      <c r="FW44" s="40">
        <f>_xll.LVCELL($D$2,FW$15,$B44,$D$5,$D$6,$D$7,$D$8,$D$9,$D$10,$D$11)</f>
        <v>1496300</v>
      </c>
      <c r="FX44" s="40">
        <f>_xll.LVCELL($D$2,FX$15,$B44,$D$5,$D$6,$D$7,$D$8,$D$9,$D$10,$D$11)</f>
        <v>1029891.33</v>
      </c>
      <c r="FY44" s="40">
        <f>_xll.LVCELL($D$2,FY$15,$B44,$D$5,$D$6,$D$7,$D$8,$D$9,$D$10,$D$11)</f>
        <v>1317521</v>
      </c>
      <c r="FZ44" s="40">
        <f>_xll.LVCELL($D$2,FZ$15,$B44,$D$5,$D$6,$D$7,$D$8,$D$9,$D$10,$D$11)</f>
        <v>1265362.83</v>
      </c>
      <c r="GA44" s="40">
        <f>_xll.LVCELL($D$2,GA$15,$B44,$D$5,$D$6,$D$7,$D$8,$D$9,$D$10,$D$11)</f>
        <v>1903648</v>
      </c>
      <c r="GB44" s="40">
        <f>_xll.LVCELL($D$2,GB$15,$B44,$D$5,$D$6,$D$7,$D$8,$D$9,$D$10,$D$11)</f>
        <v>1442224</v>
      </c>
      <c r="GC44" s="40">
        <f>_xll.LVCELL($D$2,GC$15,$B44,$D$5,$D$6,$D$7,$D$8,$D$9,$D$10,$D$11)</f>
        <v>2339124</v>
      </c>
      <c r="GD44" s="25">
        <f>_xll.LVCELL($D$2,GD$15,$B44,$D$5,$D$6,$D$7,$D$8,$D$9,$D$10,$D$11)</f>
        <v>2862541</v>
      </c>
      <c r="GE44" s="25">
        <f>_xll.LVCELL($D$2,GE$15,$B44,$D$5,$D$6,$D$7,$D$8,$D$9,$D$10,$D$11)</f>
        <v>1973806</v>
      </c>
      <c r="GF44" s="25">
        <f>_xll.LVCELL($D$2,GF$15,$B44,$D$5,$D$6,$D$7,$D$8,$D$9,$D$10,$D$11)</f>
        <v>1995188</v>
      </c>
      <c r="GG44" s="25">
        <f>_xll.LVCELL($D$2,GG$15,$B44,$D$5,$D$6,$D$7,$D$8,$D$9,$D$10,$D$11)</f>
        <v>1480910</v>
      </c>
      <c r="GH44" s="25">
        <f>_xll.LVCELL($D$2,GH$15,$B44,$D$5,$D$6,$D$7,$D$8,$D$9,$D$10,$D$11)</f>
        <v>845196</v>
      </c>
      <c r="GI44" s="25">
        <f>_xll.LVCELL($D$2,GI$15,$B44,$D$5,$D$6,$D$7,$D$8,$D$9,$D$10,$D$11)</f>
        <v>984064</v>
      </c>
      <c r="GJ44" s="25">
        <f>_xll.LVCELL($D$2,GJ$15,$B44,$D$5,$D$6,$D$7,$D$8,$D$9,$D$10,$D$11)</f>
        <v>640000</v>
      </c>
      <c r="GK44" s="25">
        <f>_xll.LVCELL($D$2,GK$15,$B44,$D$5,$D$6,$D$7,$D$8,$D$9,$D$10,$D$11)</f>
        <v>1034864</v>
      </c>
      <c r="GL44" s="25">
        <f>_xll.LVCELL($D$2,GL$15,$B44,$D$5,$D$6,$D$7,$D$8,$D$9,$D$10,$D$11)</f>
        <v>950675</v>
      </c>
      <c r="GM44" s="25">
        <f>_xll.LVCELL($D$2,GM$15,$B44,$D$5,$D$6,$D$7,$D$8,$D$9,$D$10,$D$11)</f>
        <v>1254222</v>
      </c>
      <c r="GN44" s="25">
        <f>_xll.LVCELL($D$2,GN$15,$B44,$D$5,$D$6,$D$7,$D$8,$D$9,$D$10,$D$11)</f>
        <v>1802461</v>
      </c>
      <c r="GO44" s="25">
        <f>_xll.LVCELL($D$2,GO$15,$B44,$D$5,$D$6,$D$7,$D$8,$D$9,$D$10,$D$11)</f>
        <v>2371131</v>
      </c>
      <c r="GP44" s="25">
        <f>_xll.LVCELL($D$2,GP$15,$B44,$D$5,$D$6,$D$7,$D$8,$D$9,$D$10,$D$11)</f>
        <v>1609576</v>
      </c>
      <c r="GQ44" s="25">
        <f>_xll.LVCELL($D$2,GQ$15,$B44,$D$5,$D$6,$D$7,$D$8,$D$9,$D$10,$D$11)</f>
        <v>1531161</v>
      </c>
      <c r="GR44" s="25">
        <f>_xll.LVCELL($D$2,GR$15,$B44,$D$5,$D$6,$D$7,$D$8,$D$9,$D$10,$D$11)</f>
        <v>2737469</v>
      </c>
      <c r="GS44" s="25">
        <f>_xll.LVCELL($D$2,GS$15,$B44,$D$5,$D$6,$D$7,$D$8,$D$9,$D$10,$D$11)</f>
        <v>1349551</v>
      </c>
      <c r="GT44" s="25">
        <f>_xll.LVCELL($D$2,GT$15,$B44,$D$5,$D$6,$D$7,$D$8,$D$9,$D$10,$D$11)</f>
        <v>904732</v>
      </c>
      <c r="GU44" s="25">
        <f>_xll.LVCELL($D$2,GU$15,$B44,$D$5,$D$6,$D$7,$D$8,$D$9,$D$10,$D$11)</f>
        <v>1075220</v>
      </c>
      <c r="GV44" s="25">
        <f>_xll.LVCELL($D$2,GV$15,$B44,$D$5,$D$6,$D$7,$D$8,$D$9,$D$10,$D$11)</f>
        <v>996763</v>
      </c>
      <c r="GW44" s="25">
        <f>_xll.LVCELL($D$2,GW$15,$B44,$D$5,$D$6,$D$7,$D$8,$D$9,$D$10,$D$11)</f>
        <v>1167957</v>
      </c>
      <c r="GX44" s="25">
        <f>_xll.LVCELL($D$2,GX$15,$B44,$D$5,$D$6,$D$7,$D$8,$D$9,$D$10,$D$11)</f>
        <v>1679145</v>
      </c>
      <c r="GY44" s="25">
        <f>_xll.LVCELL($D$2,GY$15,$B44,$D$5,$D$6,$D$7,$D$8,$D$9,$D$10,$D$11)</f>
        <v>1865959</v>
      </c>
      <c r="GZ44" s="25">
        <f>_xll.LVCELL($D$2,GZ$15,$B44,$D$5,$D$6,$D$7,$D$8,$D$9,$D$10,$D$11)</f>
        <v>1642532</v>
      </c>
      <c r="HA44" s="25">
        <f>_xll.LVCELL($D$2,HA$15,$B44,$D$5,$D$6,$D$7,$D$8,$D$9,$D$10,$D$11)</f>
        <v>2610689</v>
      </c>
      <c r="HB44" s="25">
        <f>_xll.LVCELL($D$2,HB$15,$B44,$D$5,$D$6,$D$7,$D$8,$D$9,$D$10,$D$11)</f>
        <v>2412039</v>
      </c>
      <c r="HC44" s="25">
        <f>_xll.LVCELL($D$2,HC$15,$B44,$D$5,$D$6,$D$7,$D$8,$D$9,$D$10,$D$11)</f>
        <v>4166610</v>
      </c>
      <c r="HD44" s="25">
        <f>_xll.LVCELL($D$2,HD$15,$B44,$D$5,$D$6,$D$7,$D$8,$D$9,$D$10,$D$11)</f>
        <v>2897795</v>
      </c>
      <c r="HE44" s="25">
        <f>_xll.LVCELL($D$2,HE$15,$B44,$D$5,$D$6,$D$7,$D$8,$D$9,$D$10,$D$11)</f>
        <v>1299939</v>
      </c>
      <c r="HF44" s="25">
        <f>_xll.LVCELL($D$2,HF$15,$B44,$D$5,$D$6,$D$7,$D$8,$D$9,$D$10,$D$11)</f>
        <v>1584995</v>
      </c>
      <c r="HG44" s="25">
        <f>_xll.LVCELL($D$2,HG$15,$B44,$D$5,$D$6,$D$7,$D$8,$D$9,$D$10,$D$11)</f>
        <v>1272602</v>
      </c>
      <c r="HH44" s="25">
        <f>_xll.LVCELL($D$2,HH$15,$B44,$D$5,$D$6,$D$7,$D$8,$D$9,$D$10,$D$11)</f>
        <v>1508487</v>
      </c>
      <c r="HI44" s="25">
        <f>_xll.LVCELL($D$2,HI$15,$B44,$D$5,$D$6,$D$7,$D$8,$D$9,$D$10,$D$11)</f>
        <v>1346938</v>
      </c>
      <c r="HJ44" s="25">
        <f>_xll.LVCELL($D$2,HJ$15,$B44,$D$5,$D$6,$D$7,$D$8,$D$9,$D$10,$D$11)</f>
        <v>1350269</v>
      </c>
      <c r="HK44" s="25">
        <f>_xll.LVCELL($D$2,HK$15,$B44,$D$5,$D$6,$D$7,$D$8,$D$9,$D$10,$D$11)</f>
        <v>2368548</v>
      </c>
      <c r="HL44" s="25">
        <f>_xll.LVCELL($D$2,HL$15,$B44,$D$5,$D$6,$D$7,$D$8,$D$9,$D$10,$D$11)</f>
        <v>1803517</v>
      </c>
      <c r="HM44" s="25">
        <f>_xll.LVCELL($D$2,HM$15,$B44,$D$5,$D$6,$D$7,$D$8,$D$9,$D$10,$D$11)</f>
        <v>1950952</v>
      </c>
    </row>
    <row r="45" spans="1:221">
      <c r="A45" t="s">
        <v>188</v>
      </c>
      <c r="B45" s="17" t="s">
        <v>314</v>
      </c>
      <c r="C45" s="17"/>
      <c r="D45" s="10" t="s">
        <v>298</v>
      </c>
      <c r="E45" s="19">
        <v>41631</v>
      </c>
      <c r="F45" s="16" t="s">
        <v>845</v>
      </c>
      <c r="G45" s="16" t="s">
        <v>845</v>
      </c>
      <c r="H45" s="16" t="s">
        <v>845</v>
      </c>
      <c r="I45" s="16" t="s">
        <v>845</v>
      </c>
      <c r="J45" s="16" t="s">
        <v>845</v>
      </c>
      <c r="K45" s="16" t="s">
        <v>845</v>
      </c>
      <c r="L45" s="16" t="s">
        <v>845</v>
      </c>
      <c r="M45" s="16" t="s">
        <v>845</v>
      </c>
      <c r="N45" s="16" t="s">
        <v>845</v>
      </c>
      <c r="O45" s="16" t="s">
        <v>845</v>
      </c>
      <c r="P45" s="16" t="s">
        <v>845</v>
      </c>
      <c r="Q45" s="16" t="s">
        <v>845</v>
      </c>
      <c r="R45" s="16" t="s">
        <v>845</v>
      </c>
      <c r="S45" s="16" t="s">
        <v>845</v>
      </c>
      <c r="T45" s="16" t="s">
        <v>845</v>
      </c>
      <c r="U45" s="16" t="s">
        <v>845</v>
      </c>
      <c r="V45" s="16" t="s">
        <v>845</v>
      </c>
      <c r="W45" s="16" t="s">
        <v>845</v>
      </c>
      <c r="X45" s="16" t="s">
        <v>845</v>
      </c>
      <c r="Y45" s="16" t="s">
        <v>845</v>
      </c>
      <c r="Z45" s="16" t="s">
        <v>845</v>
      </c>
      <c r="AA45" s="16" t="s">
        <v>845</v>
      </c>
      <c r="AB45" s="16" t="s">
        <v>845</v>
      </c>
      <c r="AC45" s="16" t="s">
        <v>845</v>
      </c>
      <c r="AD45" s="16" t="s">
        <v>845</v>
      </c>
      <c r="AE45" s="16" t="s">
        <v>845</v>
      </c>
      <c r="AF45" s="16" t="s">
        <v>845</v>
      </c>
      <c r="AG45" s="16" t="s">
        <v>845</v>
      </c>
      <c r="AH45" s="16" t="s">
        <v>845</v>
      </c>
      <c r="AI45" s="16" t="s">
        <v>845</v>
      </c>
      <c r="AJ45" s="16" t="s">
        <v>845</v>
      </c>
      <c r="AK45" s="16" t="s">
        <v>845</v>
      </c>
      <c r="AL45" s="16" t="s">
        <v>845</v>
      </c>
      <c r="AM45" s="16" t="s">
        <v>845</v>
      </c>
      <c r="AN45" s="16" t="s">
        <v>845</v>
      </c>
      <c r="AO45" s="16" t="s">
        <v>845</v>
      </c>
      <c r="AP45" s="16" t="s">
        <v>845</v>
      </c>
      <c r="AQ45" s="16" t="s">
        <v>845</v>
      </c>
      <c r="AR45" s="16" t="s">
        <v>845</v>
      </c>
      <c r="AS45" s="16" t="s">
        <v>845</v>
      </c>
      <c r="AT45" s="16" t="s">
        <v>845</v>
      </c>
      <c r="AU45" s="16" t="s">
        <v>845</v>
      </c>
      <c r="AV45" s="16" t="s">
        <v>845</v>
      </c>
      <c r="AW45" s="16" t="s">
        <v>845</v>
      </c>
      <c r="AX45" s="16" t="s">
        <v>845</v>
      </c>
      <c r="AY45" s="16" t="s">
        <v>845</v>
      </c>
      <c r="AZ45" s="16" t="s">
        <v>845</v>
      </c>
      <c r="BA45" s="16" t="s">
        <v>845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0</v>
      </c>
      <c r="DY45" s="16">
        <v>0</v>
      </c>
      <c r="DZ45" s="16">
        <v>0</v>
      </c>
      <c r="EA45" s="16">
        <v>0</v>
      </c>
      <c r="EB45" s="16">
        <v>0</v>
      </c>
      <c r="EC45" s="16">
        <v>0</v>
      </c>
      <c r="ED45" s="16">
        <v>0</v>
      </c>
      <c r="EE45" s="16">
        <v>0</v>
      </c>
      <c r="EF45" s="16">
        <v>0</v>
      </c>
      <c r="EG45" s="16">
        <v>639070</v>
      </c>
      <c r="EH45" s="16">
        <v>1410892</v>
      </c>
      <c r="EI45" s="16">
        <v>1948001</v>
      </c>
      <c r="EJ45" s="16">
        <v>880705</v>
      </c>
      <c r="EK45" s="16">
        <v>856099</v>
      </c>
      <c r="EL45" s="16">
        <v>1213134</v>
      </c>
      <c r="EM45" s="16">
        <v>694231</v>
      </c>
      <c r="EN45" s="16">
        <v>637232</v>
      </c>
      <c r="EO45" s="16">
        <v>726536</v>
      </c>
      <c r="EP45" s="16">
        <v>580470</v>
      </c>
      <c r="EQ45" s="16">
        <v>743494</v>
      </c>
      <c r="ER45" s="16">
        <v>908847</v>
      </c>
      <c r="ES45" s="16">
        <v>930298</v>
      </c>
      <c r="ET45" s="16">
        <v>1387726</v>
      </c>
      <c r="EU45" s="16">
        <v>1122607</v>
      </c>
      <c r="EV45" s="16">
        <v>1136679</v>
      </c>
      <c r="EW45" s="16">
        <v>1152750</v>
      </c>
      <c r="EX45" s="16">
        <v>992395</v>
      </c>
      <c r="EY45" s="16">
        <v>669299</v>
      </c>
      <c r="EZ45" s="16">
        <v>672814</v>
      </c>
      <c r="FA45" s="16">
        <v>619129</v>
      </c>
      <c r="FB45" s="16">
        <v>1058555</v>
      </c>
      <c r="FC45" s="16">
        <v>920175</v>
      </c>
      <c r="FD45" s="16">
        <v>1326418</v>
      </c>
      <c r="FE45" s="16">
        <v>1055700.3330000001</v>
      </c>
      <c r="FF45" s="16">
        <v>1533365</v>
      </c>
      <c r="FG45" s="16">
        <v>1544692</v>
      </c>
      <c r="FH45" s="16">
        <v>1265863</v>
      </c>
      <c r="FI45" s="16">
        <v>763344</v>
      </c>
      <c r="FJ45" s="16">
        <v>896866</v>
      </c>
      <c r="FK45" s="16">
        <v>709475</v>
      </c>
      <c r="FL45" s="16">
        <v>632810</v>
      </c>
      <c r="FM45" s="16">
        <v>616040</v>
      </c>
      <c r="FN45" s="16">
        <v>477560</v>
      </c>
      <c r="FO45" s="16">
        <v>904240</v>
      </c>
      <c r="FP45" s="16">
        <v>1212800</v>
      </c>
      <c r="FQ45" s="16">
        <v>663940</v>
      </c>
      <c r="FR45" s="40">
        <f>_xll.LVCELL($D$2,FR$15,$B45,$D$5,$D$6,$D$7,$D$8,$D$9,$D$10,$D$11)</f>
        <v>1048640</v>
      </c>
      <c r="FS45" s="40">
        <f>_xll.LVCELL($D$2,FS$15,$B45,$D$5,$D$6,$D$7,$D$8,$D$9,$D$10,$D$11)</f>
        <v>1255960</v>
      </c>
      <c r="FT45" s="40">
        <f>_xll.LVCELL($D$2,FT$15,$B45,$D$5,$D$6,$D$7,$D$8,$D$9,$D$10,$D$11)</f>
        <v>1149380</v>
      </c>
      <c r="FU45" s="40">
        <f>_xll.LVCELL($D$2,FU$15,$B45,$D$5,$D$6,$D$7,$D$8,$D$9,$D$10,$D$11)</f>
        <v>785440</v>
      </c>
      <c r="FV45" s="40">
        <f>_xll.LVCELL($D$2,FV$15,$B45,$D$5,$D$6,$D$7,$D$8,$D$9,$D$10,$D$11)</f>
        <v>900981</v>
      </c>
      <c r="FW45" s="40">
        <f>_xll.LVCELL($D$2,FW$15,$B45,$D$5,$D$6,$D$7,$D$8,$D$9,$D$10,$D$11)</f>
        <v>818570</v>
      </c>
      <c r="FX45" s="40">
        <f>_xll.LVCELL($D$2,FX$15,$B45,$D$5,$D$6,$D$7,$D$8,$D$9,$D$10,$D$11)</f>
        <v>901145.5</v>
      </c>
      <c r="FY45" s="40">
        <f>_xll.LVCELL($D$2,FY$15,$B45,$D$5,$D$6,$D$7,$D$8,$D$9,$D$10,$D$11)</f>
        <v>759352</v>
      </c>
      <c r="FZ45" s="40">
        <f>_xll.LVCELL($D$2,FZ$15,$B45,$D$5,$D$6,$D$7,$D$8,$D$9,$D$10,$D$11)</f>
        <v>896014</v>
      </c>
      <c r="GA45" s="40">
        <f>_xll.LVCELL($D$2,GA$15,$B45,$D$5,$D$6,$D$7,$D$8,$D$9,$D$10,$D$11)</f>
        <v>894063</v>
      </c>
      <c r="GB45" s="40">
        <f>_xll.LVCELL($D$2,GB$15,$B45,$D$5,$D$6,$D$7,$D$8,$D$9,$D$10,$D$11)</f>
        <v>1061335</v>
      </c>
      <c r="GC45" s="40">
        <f>_xll.LVCELL($D$2,GC$15,$B45,$D$5,$D$6,$D$7,$D$8,$D$9,$D$10,$D$11)</f>
        <v>1692935</v>
      </c>
      <c r="GD45" s="25">
        <f>_xll.LVCELL($D$2,GD$15,$B45,$D$5,$D$6,$D$7,$D$8,$D$9,$D$10,$D$11)</f>
        <v>1827791</v>
      </c>
      <c r="GE45" s="25">
        <f>_xll.LVCELL($D$2,GE$15,$B45,$D$5,$D$6,$D$7,$D$8,$D$9,$D$10,$D$11)</f>
        <v>763247</v>
      </c>
      <c r="GF45" s="25">
        <f>_xll.LVCELL($D$2,GF$15,$B45,$D$5,$D$6,$D$7,$D$8,$D$9,$D$10,$D$11)</f>
        <v>948889</v>
      </c>
      <c r="GG45" s="25">
        <f>_xll.LVCELL($D$2,GG$15,$B45,$D$5,$D$6,$D$7,$D$8,$D$9,$D$10,$D$11)</f>
        <v>727916</v>
      </c>
      <c r="GH45" s="25">
        <f>_xll.LVCELL($D$2,GH$15,$B45,$D$5,$D$6,$D$7,$D$8,$D$9,$D$10,$D$11)</f>
        <v>470765</v>
      </c>
      <c r="GI45" s="25">
        <f>_xll.LVCELL($D$2,GI$15,$B45,$D$5,$D$6,$D$7,$D$8,$D$9,$D$10,$D$11)</f>
        <v>685808</v>
      </c>
      <c r="GJ45" s="25">
        <f>_xll.LVCELL($D$2,GJ$15,$B45,$D$5,$D$6,$D$7,$D$8,$D$9,$D$10,$D$11)</f>
        <v>464138</v>
      </c>
      <c r="GK45" s="25">
        <f>_xll.LVCELL($D$2,GK$15,$B45,$D$5,$D$6,$D$7,$D$8,$D$9,$D$10,$D$11)</f>
        <v>626458</v>
      </c>
      <c r="GL45" s="25">
        <f>_xll.LVCELL($D$2,GL$15,$B45,$D$5,$D$6,$D$7,$D$8,$D$9,$D$10,$D$11)</f>
        <v>719341</v>
      </c>
      <c r="GM45" s="25">
        <f>_xll.LVCELL($D$2,GM$15,$B45,$D$5,$D$6,$D$7,$D$8,$D$9,$D$10,$D$11)</f>
        <v>1166466</v>
      </c>
      <c r="GN45" s="25">
        <f>_xll.LVCELL($D$2,GN$15,$B45,$D$5,$D$6,$D$7,$D$8,$D$9,$D$10,$D$11)</f>
        <v>1077873</v>
      </c>
      <c r="GO45" s="25">
        <f>_xll.LVCELL($D$2,GO$15,$B45,$D$5,$D$6,$D$7,$D$8,$D$9,$D$10,$D$11)</f>
        <v>1829255</v>
      </c>
      <c r="GP45" s="25">
        <f>_xll.LVCELL($D$2,GP$15,$B45,$D$5,$D$6,$D$7,$D$8,$D$9,$D$10,$D$11)</f>
        <v>1410776</v>
      </c>
      <c r="GQ45" s="25">
        <f>_xll.LVCELL($D$2,GQ$15,$B45,$D$5,$D$6,$D$7,$D$8,$D$9,$D$10,$D$11)</f>
        <v>913471</v>
      </c>
      <c r="GR45" s="25">
        <f>_xll.LVCELL($D$2,GR$15,$B45,$D$5,$D$6,$D$7,$D$8,$D$9,$D$10,$D$11)</f>
        <v>1939996</v>
      </c>
      <c r="GS45" s="25">
        <f>_xll.LVCELL($D$2,GS$15,$B45,$D$5,$D$6,$D$7,$D$8,$D$9,$D$10,$D$11)</f>
        <v>933645</v>
      </c>
      <c r="GT45" s="25">
        <f>_xll.LVCELL($D$2,GT$15,$B45,$D$5,$D$6,$D$7,$D$8,$D$9,$D$10,$D$11)</f>
        <v>982293</v>
      </c>
      <c r="GU45" s="25">
        <f>_xll.LVCELL($D$2,GU$15,$B45,$D$5,$D$6,$D$7,$D$8,$D$9,$D$10,$D$11)</f>
        <v>655367</v>
      </c>
      <c r="GV45" s="25">
        <f>_xll.LVCELL($D$2,GV$15,$B45,$D$5,$D$6,$D$7,$D$8,$D$9,$D$10,$D$11)</f>
        <v>674343</v>
      </c>
      <c r="GW45" s="25">
        <f>_xll.LVCELL($D$2,GW$15,$B45,$D$5,$D$6,$D$7,$D$8,$D$9,$D$10,$D$11)</f>
        <v>533771</v>
      </c>
      <c r="GX45" s="25">
        <f>_xll.LVCELL($D$2,GX$15,$B45,$D$5,$D$6,$D$7,$D$8,$D$9,$D$10,$D$11)</f>
        <v>1079176</v>
      </c>
      <c r="GY45" s="25">
        <f>_xll.LVCELL($D$2,GY$15,$B45,$D$5,$D$6,$D$7,$D$8,$D$9,$D$10,$D$11)</f>
        <v>1319291</v>
      </c>
      <c r="GZ45" s="25">
        <f>_xll.LVCELL($D$2,GZ$15,$B45,$D$5,$D$6,$D$7,$D$8,$D$9,$D$10,$D$11)</f>
        <v>1222710</v>
      </c>
      <c r="HA45" s="25">
        <f>_xll.LVCELL($D$2,HA$15,$B45,$D$5,$D$6,$D$7,$D$8,$D$9,$D$10,$D$11)</f>
        <v>1445686</v>
      </c>
      <c r="HB45" s="25">
        <f>_xll.LVCELL($D$2,HB$15,$B45,$D$5,$D$6,$D$7,$D$8,$D$9,$D$10,$D$11)</f>
        <v>1110133</v>
      </c>
      <c r="HC45" s="25">
        <f>_xll.LVCELL($D$2,HC$15,$B45,$D$5,$D$6,$D$7,$D$8,$D$9,$D$10,$D$11)</f>
        <v>2223012</v>
      </c>
      <c r="HD45" s="25">
        <f>_xll.LVCELL($D$2,HD$15,$B45,$D$5,$D$6,$D$7,$D$8,$D$9,$D$10,$D$11)</f>
        <v>1578015</v>
      </c>
      <c r="HE45" s="25">
        <f>_xll.LVCELL($D$2,HE$15,$B45,$D$5,$D$6,$D$7,$D$8,$D$9,$D$10,$D$11)</f>
        <v>740578</v>
      </c>
      <c r="HF45" s="25">
        <f>_xll.LVCELL($D$2,HF$15,$B45,$D$5,$D$6,$D$7,$D$8,$D$9,$D$10,$D$11)</f>
        <v>860854</v>
      </c>
      <c r="HG45" s="25">
        <f>_xll.LVCELL($D$2,HG$15,$B45,$D$5,$D$6,$D$7,$D$8,$D$9,$D$10,$D$11)</f>
        <v>552277</v>
      </c>
      <c r="HH45" s="25">
        <f>_xll.LVCELL($D$2,HH$15,$B45,$D$5,$D$6,$D$7,$D$8,$D$9,$D$10,$D$11)</f>
        <v>440783</v>
      </c>
      <c r="HI45" s="25">
        <f>_xll.LVCELL($D$2,HI$15,$B45,$D$5,$D$6,$D$7,$D$8,$D$9,$D$10,$D$11)</f>
        <v>571838</v>
      </c>
      <c r="HJ45" s="25">
        <f>_xll.LVCELL($D$2,HJ$15,$B45,$D$5,$D$6,$D$7,$D$8,$D$9,$D$10,$D$11)</f>
        <v>628571</v>
      </c>
      <c r="HK45" s="25">
        <f>_xll.LVCELL($D$2,HK$15,$B45,$D$5,$D$6,$D$7,$D$8,$D$9,$D$10,$D$11)</f>
        <v>1042879</v>
      </c>
      <c r="HL45" s="25">
        <f>_xll.LVCELL($D$2,HL$15,$B45,$D$5,$D$6,$D$7,$D$8,$D$9,$D$10,$D$11)</f>
        <v>876482</v>
      </c>
      <c r="HM45" s="25">
        <f>_xll.LVCELL($D$2,HM$15,$B45,$D$5,$D$6,$D$7,$D$8,$D$9,$D$10,$D$11)</f>
        <v>1723934</v>
      </c>
    </row>
    <row r="46" spans="1:221" s="313" customFormat="1">
      <c r="A46" s="313" t="s">
        <v>189</v>
      </c>
      <c r="B46" s="314" t="s">
        <v>315</v>
      </c>
      <c r="C46" s="314"/>
      <c r="D46" s="315" t="s">
        <v>539</v>
      </c>
      <c r="E46" s="316">
        <v>41631</v>
      </c>
      <c r="F46" s="317"/>
      <c r="G46" s="317"/>
      <c r="H46" s="31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7"/>
      <c r="AC46" s="317"/>
      <c r="AD46" s="317"/>
      <c r="AE46" s="317"/>
      <c r="AF46" s="317"/>
      <c r="AG46" s="317"/>
      <c r="AH46" s="317"/>
      <c r="AI46" s="317"/>
      <c r="AJ46" s="317"/>
      <c r="AK46" s="317"/>
      <c r="AL46" s="317"/>
      <c r="AM46" s="317"/>
      <c r="AN46" s="317"/>
      <c r="AO46" s="317"/>
      <c r="AP46" s="317"/>
      <c r="AQ46" s="317"/>
      <c r="AR46" s="317"/>
      <c r="AS46" s="317"/>
      <c r="AT46" s="317"/>
      <c r="AU46" s="317"/>
      <c r="AV46" s="317"/>
      <c r="AW46" s="317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7"/>
      <c r="CT46" s="317"/>
      <c r="CU46" s="317"/>
      <c r="CV46" s="317"/>
      <c r="CW46" s="317"/>
      <c r="CX46" s="317"/>
      <c r="CY46" s="317"/>
      <c r="CZ46" s="317"/>
      <c r="DA46" s="317"/>
      <c r="DB46" s="317"/>
      <c r="DC46" s="317"/>
      <c r="DD46" s="317"/>
      <c r="DE46" s="317"/>
      <c r="DF46" s="317"/>
      <c r="DG46" s="317"/>
      <c r="DH46" s="317"/>
      <c r="DI46" s="317"/>
      <c r="DJ46" s="317"/>
      <c r="DK46" s="317"/>
      <c r="DL46" s="317"/>
      <c r="DM46" s="317"/>
      <c r="DN46" s="317"/>
      <c r="DO46" s="317"/>
      <c r="DP46" s="317"/>
      <c r="DQ46" s="317"/>
      <c r="DR46" s="317"/>
      <c r="DS46" s="317"/>
      <c r="DT46" s="317"/>
      <c r="DU46" s="317"/>
      <c r="DV46" s="317"/>
      <c r="DW46" s="317"/>
      <c r="DX46" s="317"/>
      <c r="DY46" s="317"/>
      <c r="DZ46" s="317"/>
      <c r="EA46" s="317"/>
      <c r="EB46" s="317"/>
      <c r="EC46" s="317"/>
      <c r="ED46" s="317"/>
      <c r="EE46" s="317"/>
      <c r="EF46" s="317"/>
      <c r="EG46" s="317"/>
      <c r="EH46" s="317"/>
      <c r="EI46" s="317"/>
      <c r="EJ46" s="317"/>
      <c r="EK46" s="317"/>
      <c r="EL46" s="317"/>
      <c r="EM46" s="317"/>
      <c r="EN46" s="317"/>
      <c r="EO46" s="317"/>
      <c r="EP46" s="317"/>
      <c r="EQ46" s="317"/>
      <c r="ER46" s="317"/>
      <c r="ES46" s="317"/>
      <c r="ET46" s="317"/>
      <c r="EU46" s="317"/>
      <c r="EV46" s="317"/>
      <c r="EW46" s="317"/>
      <c r="EX46" s="317"/>
      <c r="EY46" s="317"/>
      <c r="EZ46" s="317"/>
      <c r="FA46" s="317"/>
      <c r="FB46" s="317"/>
      <c r="FC46" s="317"/>
      <c r="FD46" s="317"/>
      <c r="FE46" s="317"/>
      <c r="FF46" s="317">
        <v>2527458.8333333335</v>
      </c>
      <c r="FG46" s="317">
        <v>2751133.5</v>
      </c>
      <c r="FH46" s="317">
        <v>2347112.3330000001</v>
      </c>
      <c r="FI46" s="317">
        <v>1075081.6666666667</v>
      </c>
      <c r="FJ46" s="317">
        <v>1281410.3330000001</v>
      </c>
      <c r="FK46" s="317">
        <v>1048937</v>
      </c>
      <c r="FL46" s="317">
        <v>784183.66666666663</v>
      </c>
      <c r="FM46" s="317">
        <v>809122</v>
      </c>
      <c r="FN46" s="317">
        <v>554958.83333333337</v>
      </c>
      <c r="FO46" s="317">
        <v>1074059</v>
      </c>
      <c r="FP46" s="317">
        <v>1692521.6666666667</v>
      </c>
      <c r="FQ46" s="317">
        <v>740431</v>
      </c>
      <c r="FR46" s="318">
        <v>1633038</v>
      </c>
      <c r="FS46" s="318">
        <v>2057167.5</v>
      </c>
      <c r="FT46" s="318">
        <v>1612202</v>
      </c>
      <c r="FU46" s="318">
        <v>1201530.8333333333</v>
      </c>
      <c r="FV46" s="318">
        <v>1206574.3333333333</v>
      </c>
      <c r="FW46" s="318">
        <v>1121030.8333333333</v>
      </c>
      <c r="FX46" s="318">
        <v>1440688.1666666667</v>
      </c>
      <c r="FY46" s="318">
        <v>1000465.9999999999</v>
      </c>
      <c r="FZ46" s="318">
        <v>1298444.5</v>
      </c>
      <c r="GA46" s="318">
        <v>1126972</v>
      </c>
      <c r="GB46" s="318">
        <v>1458461.3333333335</v>
      </c>
      <c r="GC46" s="318">
        <v>2389540</v>
      </c>
      <c r="GD46" s="317">
        <v>2626483.6666666665</v>
      </c>
      <c r="GE46" s="317">
        <v>1761240.5</v>
      </c>
      <c r="GF46" s="317">
        <v>2024748.5</v>
      </c>
      <c r="GG46" s="317">
        <v>1131151</v>
      </c>
      <c r="GH46" s="317">
        <v>776728.00000000012</v>
      </c>
      <c r="GI46" s="317">
        <v>989366</v>
      </c>
      <c r="GJ46" s="317">
        <v>594022.83333333337</v>
      </c>
      <c r="GK46" s="317">
        <v>920166.83333333349</v>
      </c>
      <c r="GL46" s="317">
        <v>1019657.1666666666</v>
      </c>
      <c r="GM46" s="317">
        <v>1689858.6666666665</v>
      </c>
      <c r="GN46" s="317">
        <v>1443209.33333333</v>
      </c>
      <c r="GO46" s="317">
        <v>2752345.3333333335</v>
      </c>
      <c r="GP46" s="317">
        <f>1874.198*1000</f>
        <v>1874198</v>
      </c>
      <c r="GQ46" s="317">
        <f>1442.168*1000</f>
        <v>1442168</v>
      </c>
      <c r="GR46" s="317">
        <f>2913.973*1000</f>
        <v>2913973</v>
      </c>
      <c r="GS46" s="317">
        <f>1381.807*1000</f>
        <v>1381807</v>
      </c>
      <c r="GT46" s="317">
        <f>1502.029*1000</f>
        <v>1502029</v>
      </c>
      <c r="GU46" s="317">
        <f>905.347*1000</f>
        <v>905347</v>
      </c>
      <c r="GV46" s="317"/>
      <c r="GW46" s="317"/>
      <c r="GX46" s="317"/>
      <c r="GY46" s="317"/>
      <c r="GZ46" s="317"/>
      <c r="HA46" s="317"/>
      <c r="HB46" s="317">
        <f>1874.198*1000</f>
        <v>1874198</v>
      </c>
      <c r="HC46" s="317">
        <f>1442.168*1000</f>
        <v>1442168</v>
      </c>
      <c r="HD46" s="317">
        <f>2913.973*1000</f>
        <v>2913973</v>
      </c>
      <c r="HE46" s="317">
        <f>1381.807*1000</f>
        <v>1381807</v>
      </c>
      <c r="HF46" s="317">
        <f>1502.029*1000</f>
        <v>1502029</v>
      </c>
      <c r="HG46" s="317">
        <f>905.347*1000</f>
        <v>905347</v>
      </c>
      <c r="HH46" s="317"/>
      <c r="HI46" s="317"/>
      <c r="HJ46" s="317"/>
      <c r="HK46" s="317"/>
      <c r="HL46" s="317"/>
      <c r="HM46" s="317"/>
    </row>
    <row r="47" spans="1:221" s="313" customFormat="1">
      <c r="A47" s="313" t="s">
        <v>189</v>
      </c>
      <c r="B47" s="314" t="s">
        <v>315</v>
      </c>
      <c r="C47" s="314"/>
      <c r="D47" s="315" t="s">
        <v>540</v>
      </c>
      <c r="E47" s="316">
        <v>41631</v>
      </c>
      <c r="F47" s="317"/>
      <c r="G47" s="317"/>
      <c r="H47" s="317"/>
      <c r="I47" s="317"/>
      <c r="J47" s="317"/>
      <c r="K47" s="317"/>
      <c r="L47" s="317"/>
      <c r="M47" s="317"/>
      <c r="N47" s="317"/>
      <c r="O47" s="317"/>
      <c r="P47" s="317"/>
      <c r="Q47" s="317"/>
      <c r="R47" s="317"/>
      <c r="S47" s="317"/>
      <c r="T47" s="317"/>
      <c r="U47" s="317"/>
      <c r="V47" s="317"/>
      <c r="W47" s="317"/>
      <c r="X47" s="317"/>
      <c r="Y47" s="317"/>
      <c r="Z47" s="317"/>
      <c r="AA47" s="317"/>
      <c r="AB47" s="317"/>
      <c r="AC47" s="317"/>
      <c r="AD47" s="317"/>
      <c r="AE47" s="317"/>
      <c r="AF47" s="317"/>
      <c r="AG47" s="317"/>
      <c r="AH47" s="317"/>
      <c r="AI47" s="317"/>
      <c r="AJ47" s="317"/>
      <c r="AK47" s="317"/>
      <c r="AL47" s="317"/>
      <c r="AM47" s="317"/>
      <c r="AN47" s="317"/>
      <c r="AO47" s="317"/>
      <c r="AP47" s="317"/>
      <c r="AQ47" s="317"/>
      <c r="AR47" s="317"/>
      <c r="AS47" s="317"/>
      <c r="AT47" s="317"/>
      <c r="AU47" s="317"/>
      <c r="AV47" s="317"/>
      <c r="AW47" s="317"/>
      <c r="AX47" s="317"/>
      <c r="AY47" s="317"/>
      <c r="AZ47" s="317"/>
      <c r="BA47" s="317"/>
      <c r="BB47" s="317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7"/>
      <c r="BS47" s="317"/>
      <c r="BT47" s="317"/>
      <c r="BU47" s="317"/>
      <c r="BV47" s="317"/>
      <c r="BW47" s="317"/>
      <c r="BX47" s="317"/>
      <c r="BY47" s="317"/>
      <c r="BZ47" s="317"/>
      <c r="CA47" s="317"/>
      <c r="CB47" s="317"/>
      <c r="CC47" s="317"/>
      <c r="CD47" s="317"/>
      <c r="CE47" s="317"/>
      <c r="CF47" s="317"/>
      <c r="CG47" s="317"/>
      <c r="CH47" s="317"/>
      <c r="CI47" s="317"/>
      <c r="CJ47" s="317"/>
      <c r="CK47" s="317"/>
      <c r="CL47" s="317"/>
      <c r="CM47" s="317"/>
      <c r="CN47" s="317"/>
      <c r="CO47" s="317"/>
      <c r="CP47" s="317"/>
      <c r="CQ47" s="317"/>
      <c r="CR47" s="317"/>
      <c r="CS47" s="317"/>
      <c r="CT47" s="317"/>
      <c r="CU47" s="317"/>
      <c r="CV47" s="317"/>
      <c r="CW47" s="317"/>
      <c r="CX47" s="317"/>
      <c r="CY47" s="317"/>
      <c r="CZ47" s="317"/>
      <c r="DA47" s="317"/>
      <c r="DB47" s="317"/>
      <c r="DC47" s="317"/>
      <c r="DD47" s="317"/>
      <c r="DE47" s="317"/>
      <c r="DF47" s="317"/>
      <c r="DG47" s="317"/>
      <c r="DH47" s="317"/>
      <c r="DI47" s="317"/>
      <c r="DJ47" s="317"/>
      <c r="DK47" s="317"/>
      <c r="DL47" s="317"/>
      <c r="DM47" s="317"/>
      <c r="DN47" s="317"/>
      <c r="DO47" s="317"/>
      <c r="DP47" s="317"/>
      <c r="DQ47" s="317"/>
      <c r="DR47" s="317"/>
      <c r="DS47" s="317"/>
      <c r="DT47" s="317"/>
      <c r="DU47" s="317"/>
      <c r="DV47" s="317"/>
      <c r="DW47" s="317"/>
      <c r="DX47" s="317"/>
      <c r="DY47" s="317"/>
      <c r="DZ47" s="317"/>
      <c r="EA47" s="317"/>
      <c r="EB47" s="317"/>
      <c r="EC47" s="317"/>
      <c r="ED47" s="317"/>
      <c r="EE47" s="317"/>
      <c r="EF47" s="317"/>
      <c r="EG47" s="317"/>
      <c r="EH47" s="317"/>
      <c r="EI47" s="317"/>
      <c r="EJ47" s="317"/>
      <c r="EK47" s="317"/>
      <c r="EL47" s="317"/>
      <c r="EM47" s="317"/>
      <c r="EN47" s="317"/>
      <c r="EO47" s="317"/>
      <c r="EP47" s="317"/>
      <c r="EQ47" s="317"/>
      <c r="ER47" s="317"/>
      <c r="ES47" s="317"/>
      <c r="ET47" s="317"/>
      <c r="EU47" s="317"/>
      <c r="EV47" s="317"/>
      <c r="EW47" s="317"/>
      <c r="EX47" s="317"/>
      <c r="EY47" s="317"/>
      <c r="EZ47" s="317"/>
      <c r="FA47" s="317"/>
      <c r="FB47" s="317"/>
      <c r="FC47" s="317"/>
      <c r="FD47" s="317"/>
      <c r="FE47" s="317"/>
      <c r="FF47" s="317">
        <v>2118732.8333333335</v>
      </c>
      <c r="FG47" s="317">
        <v>2178032</v>
      </c>
      <c r="FH47" s="317">
        <v>1916942</v>
      </c>
      <c r="FI47" s="317">
        <v>837309.5</v>
      </c>
      <c r="FJ47" s="317">
        <v>934631.16669999994</v>
      </c>
      <c r="FK47" s="317">
        <v>849694</v>
      </c>
      <c r="FL47" s="317">
        <v>553871.66666666663</v>
      </c>
      <c r="FM47" s="317">
        <v>770656</v>
      </c>
      <c r="FN47" s="317">
        <v>435802.33333333331</v>
      </c>
      <c r="FO47" s="317">
        <v>847181.66666666663</v>
      </c>
      <c r="FP47" s="317">
        <v>1702624.6666666667</v>
      </c>
      <c r="FQ47" s="317">
        <v>535849</v>
      </c>
      <c r="FR47" s="318">
        <v>1220517</v>
      </c>
      <c r="FS47" s="318">
        <v>1650031</v>
      </c>
      <c r="FT47" s="318">
        <v>1330520.4999999998</v>
      </c>
      <c r="FU47" s="318">
        <v>931904.83333333337</v>
      </c>
      <c r="FV47" s="318">
        <v>867347.16666666663</v>
      </c>
      <c r="FW47" s="318">
        <v>977069.16666666663</v>
      </c>
      <c r="FX47" s="318">
        <v>1027880.8333333336</v>
      </c>
      <c r="FY47" s="318">
        <v>802169</v>
      </c>
      <c r="FZ47" s="318">
        <v>992312.66666666663</v>
      </c>
      <c r="GA47" s="318">
        <v>986459.5</v>
      </c>
      <c r="GB47" s="318">
        <v>1194343</v>
      </c>
      <c r="GC47" s="318">
        <v>1948630.9999999998</v>
      </c>
      <c r="GD47" s="317">
        <v>2049016</v>
      </c>
      <c r="GE47" s="317">
        <v>1423714.6666666665</v>
      </c>
      <c r="GF47" s="317">
        <v>1708645.8333333333</v>
      </c>
      <c r="GG47" s="317">
        <v>893815</v>
      </c>
      <c r="GH47" s="317">
        <v>600386</v>
      </c>
      <c r="GI47" s="317">
        <v>762513</v>
      </c>
      <c r="GJ47" s="317">
        <v>535018.5</v>
      </c>
      <c r="GK47" s="317">
        <v>596941.16666666663</v>
      </c>
      <c r="GL47" s="317">
        <v>857685.83333333337</v>
      </c>
      <c r="GM47" s="317">
        <v>1311850</v>
      </c>
      <c r="GN47" s="317">
        <v>1168095.5000000002</v>
      </c>
      <c r="GO47" s="317">
        <v>2088846.6666666667</v>
      </c>
      <c r="GP47" s="317">
        <f>1672.6*1000</f>
        <v>1672600</v>
      </c>
      <c r="GQ47" s="317">
        <f>1121.666*1000</f>
        <v>1121666</v>
      </c>
      <c r="GR47" s="317">
        <f>2108.776*1000</f>
        <v>2108776</v>
      </c>
      <c r="GS47" s="317">
        <f>1084.373*1000</f>
        <v>1084373</v>
      </c>
      <c r="GT47" s="317">
        <f>1117.172*1000</f>
        <v>1117172</v>
      </c>
      <c r="GU47" s="317">
        <f>593.729*1000</f>
        <v>593729</v>
      </c>
      <c r="GV47" s="317"/>
      <c r="GW47" s="317"/>
      <c r="GX47" s="317"/>
      <c r="GY47" s="317"/>
      <c r="GZ47" s="317"/>
      <c r="HA47" s="317"/>
      <c r="HB47" s="317">
        <f>1672.6*1000</f>
        <v>1672600</v>
      </c>
      <c r="HC47" s="317">
        <f>1121.666*1000</f>
        <v>1121666</v>
      </c>
      <c r="HD47" s="317">
        <f>2108.776*1000</f>
        <v>2108776</v>
      </c>
      <c r="HE47" s="317">
        <f>1084.373*1000</f>
        <v>1084373</v>
      </c>
      <c r="HF47" s="317">
        <f>1117.172*1000</f>
        <v>1117172</v>
      </c>
      <c r="HG47" s="317">
        <f>593.729*1000</f>
        <v>593729</v>
      </c>
      <c r="HH47" s="317"/>
      <c r="HI47" s="317"/>
      <c r="HJ47" s="317"/>
      <c r="HK47" s="317"/>
      <c r="HL47" s="317"/>
      <c r="HM47" s="317"/>
    </row>
    <row r="48" spans="1:221">
      <c r="A48" t="s">
        <v>189</v>
      </c>
      <c r="B48" s="17" t="s">
        <v>315</v>
      </c>
      <c r="C48" s="17"/>
      <c r="D48" s="10" t="s">
        <v>299</v>
      </c>
      <c r="E48" s="19">
        <v>41631</v>
      </c>
      <c r="F48" s="16" t="s">
        <v>845</v>
      </c>
      <c r="G48" s="16" t="s">
        <v>845</v>
      </c>
      <c r="H48" s="16" t="s">
        <v>845</v>
      </c>
      <c r="I48" s="16" t="s">
        <v>845</v>
      </c>
      <c r="J48" s="16" t="s">
        <v>845</v>
      </c>
      <c r="K48" s="16" t="s">
        <v>845</v>
      </c>
      <c r="L48" s="16" t="s">
        <v>845</v>
      </c>
      <c r="M48" s="16" t="s">
        <v>845</v>
      </c>
      <c r="N48" s="16" t="s">
        <v>845</v>
      </c>
      <c r="O48" s="16" t="s">
        <v>845</v>
      </c>
      <c r="P48" s="16" t="s">
        <v>845</v>
      </c>
      <c r="Q48" s="16" t="s">
        <v>845</v>
      </c>
      <c r="R48" s="16" t="s">
        <v>845</v>
      </c>
      <c r="S48" s="16" t="s">
        <v>845</v>
      </c>
      <c r="T48" s="16" t="s">
        <v>845</v>
      </c>
      <c r="U48" s="16" t="s">
        <v>845</v>
      </c>
      <c r="V48" s="16" t="s">
        <v>845</v>
      </c>
      <c r="W48" s="16" t="s">
        <v>845</v>
      </c>
      <c r="X48" s="16" t="s">
        <v>845</v>
      </c>
      <c r="Y48" s="16" t="s">
        <v>845</v>
      </c>
      <c r="Z48" s="16" t="s">
        <v>845</v>
      </c>
      <c r="AA48" s="16" t="s">
        <v>845</v>
      </c>
      <c r="AB48" s="16" t="s">
        <v>845</v>
      </c>
      <c r="AC48" s="16" t="s">
        <v>845</v>
      </c>
      <c r="AD48" s="16" t="s">
        <v>845</v>
      </c>
      <c r="AE48" s="16" t="s">
        <v>845</v>
      </c>
      <c r="AF48" s="16" t="s">
        <v>845</v>
      </c>
      <c r="AG48" s="16" t="s">
        <v>845</v>
      </c>
      <c r="AH48" s="16" t="s">
        <v>845</v>
      </c>
      <c r="AI48" s="16" t="s">
        <v>845</v>
      </c>
      <c r="AJ48" s="16" t="s">
        <v>845</v>
      </c>
      <c r="AK48" s="16" t="s">
        <v>845</v>
      </c>
      <c r="AL48" s="16" t="s">
        <v>845</v>
      </c>
      <c r="AM48" s="16" t="s">
        <v>845</v>
      </c>
      <c r="AN48" s="16" t="s">
        <v>845</v>
      </c>
      <c r="AO48" s="16" t="s">
        <v>845</v>
      </c>
      <c r="AP48" s="16" t="s">
        <v>845</v>
      </c>
      <c r="AQ48" s="16" t="s">
        <v>845</v>
      </c>
      <c r="AR48" s="16" t="s">
        <v>845</v>
      </c>
      <c r="AS48" s="16" t="s">
        <v>845</v>
      </c>
      <c r="AT48" s="16" t="s">
        <v>845</v>
      </c>
      <c r="AU48" s="16" t="s">
        <v>845</v>
      </c>
      <c r="AV48" s="16" t="s">
        <v>845</v>
      </c>
      <c r="AW48" s="16" t="s">
        <v>845</v>
      </c>
      <c r="AX48" s="16" t="s">
        <v>845</v>
      </c>
      <c r="AY48" s="16" t="s">
        <v>845</v>
      </c>
      <c r="AZ48" s="16" t="s">
        <v>845</v>
      </c>
      <c r="BA48" s="16" t="s">
        <v>845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>
        <v>0</v>
      </c>
      <c r="BK48" s="16">
        <v>0</v>
      </c>
      <c r="BL48" s="16">
        <v>0</v>
      </c>
      <c r="BM48" s="16">
        <v>0</v>
      </c>
      <c r="BN48" s="16">
        <v>0</v>
      </c>
      <c r="BO48" s="16">
        <v>0</v>
      </c>
      <c r="BP48" s="16">
        <v>0</v>
      </c>
      <c r="BQ48" s="16">
        <v>0</v>
      </c>
      <c r="BR48" s="16">
        <v>0</v>
      </c>
      <c r="BS48" s="16">
        <v>0</v>
      </c>
      <c r="BT48" s="16">
        <v>0</v>
      </c>
      <c r="BU48" s="16">
        <v>0</v>
      </c>
      <c r="BV48" s="16">
        <v>0</v>
      </c>
      <c r="BW48" s="16">
        <v>0</v>
      </c>
      <c r="BX48" s="16">
        <v>0</v>
      </c>
      <c r="BY48" s="16">
        <v>0</v>
      </c>
      <c r="BZ48" s="16">
        <v>0</v>
      </c>
      <c r="CA48" s="16">
        <v>0</v>
      </c>
      <c r="CB48" s="16">
        <v>0</v>
      </c>
      <c r="CC48" s="16">
        <v>0</v>
      </c>
      <c r="CD48" s="16">
        <v>0</v>
      </c>
      <c r="CE48" s="16">
        <v>0</v>
      </c>
      <c r="CF48" s="16">
        <v>0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>
        <v>0</v>
      </c>
      <c r="CQ48" s="16">
        <v>0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>
        <v>0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>
        <v>0</v>
      </c>
      <c r="DU48" s="16">
        <v>0</v>
      </c>
      <c r="DV48" s="16">
        <v>0</v>
      </c>
      <c r="DW48" s="16">
        <v>0</v>
      </c>
      <c r="DX48" s="16">
        <v>0</v>
      </c>
      <c r="DY48" s="16">
        <v>0</v>
      </c>
      <c r="DZ48" s="16">
        <v>0</v>
      </c>
      <c r="EA48" s="16">
        <v>0</v>
      </c>
      <c r="EB48" s="16">
        <v>0</v>
      </c>
      <c r="EC48" s="16">
        <v>0</v>
      </c>
      <c r="ED48" s="16">
        <v>0</v>
      </c>
      <c r="EE48" s="16">
        <v>0</v>
      </c>
      <c r="EF48" s="16">
        <v>0</v>
      </c>
      <c r="EG48" s="16">
        <v>3877097</v>
      </c>
      <c r="EH48" s="16">
        <v>5626584</v>
      </c>
      <c r="EI48" s="16">
        <v>8261966</v>
      </c>
      <c r="EJ48" s="16">
        <v>3606619</v>
      </c>
      <c r="EK48" s="16">
        <v>3383761</v>
      </c>
      <c r="EL48" s="16">
        <v>4678770</v>
      </c>
      <c r="EM48" s="16">
        <v>3232236</v>
      </c>
      <c r="EN48" s="16">
        <v>2607340</v>
      </c>
      <c r="EO48" s="16">
        <v>2884331</v>
      </c>
      <c r="EP48" s="16">
        <v>2210196</v>
      </c>
      <c r="EQ48" s="16">
        <v>2756085</v>
      </c>
      <c r="ER48" s="16">
        <v>3401529</v>
      </c>
      <c r="ES48" s="16">
        <v>4189783.0000000005</v>
      </c>
      <c r="ET48" s="16">
        <v>6098799</v>
      </c>
      <c r="EU48" s="16">
        <v>5611828</v>
      </c>
      <c r="EV48" s="16">
        <v>5051090</v>
      </c>
      <c r="EW48" s="16">
        <v>4479251</v>
      </c>
      <c r="EX48" s="16">
        <v>4273132</v>
      </c>
      <c r="EY48" s="16">
        <v>2863518</v>
      </c>
      <c r="EZ48" s="16">
        <v>3220348</v>
      </c>
      <c r="FA48" s="16">
        <v>2502848</v>
      </c>
      <c r="FB48" s="16">
        <v>4774780</v>
      </c>
      <c r="FC48" s="16">
        <v>3448613</v>
      </c>
      <c r="FD48" s="16">
        <v>5940483</v>
      </c>
      <c r="FE48" s="16">
        <v>3831988.6660000002</v>
      </c>
      <c r="FF48" s="16">
        <v>2503683.6666666665</v>
      </c>
      <c r="FG48" s="16">
        <v>2384454.8333333335</v>
      </c>
      <c r="FH48" s="16">
        <v>1962152.6669999999</v>
      </c>
      <c r="FI48" s="16">
        <v>1080242</v>
      </c>
      <c r="FJ48" s="16">
        <v>1289531.6669999999</v>
      </c>
      <c r="FK48" s="16">
        <v>970921</v>
      </c>
      <c r="FL48" s="16">
        <v>828307.16666666663</v>
      </c>
      <c r="FM48" s="16">
        <v>738844</v>
      </c>
      <c r="FN48" s="16">
        <v>575964.66666666663</v>
      </c>
      <c r="FO48" s="16">
        <v>1112329.3333333333</v>
      </c>
      <c r="FP48" s="16">
        <v>1417072</v>
      </c>
      <c r="FQ48" s="16">
        <v>952326</v>
      </c>
      <c r="FR48" s="40">
        <v>1547098</v>
      </c>
      <c r="FS48" s="40">
        <v>1844901.3333333333</v>
      </c>
      <c r="FT48" s="40">
        <v>1703217.8333333335</v>
      </c>
      <c r="FU48" s="40">
        <v>1032816</v>
      </c>
      <c r="FV48" s="40">
        <v>1195081.6666666667</v>
      </c>
      <c r="FW48" s="40">
        <v>1100355.5</v>
      </c>
      <c r="FX48" s="40">
        <v>1359567.3333333333</v>
      </c>
      <c r="FY48" s="40">
        <v>1012353.9999999999</v>
      </c>
      <c r="FZ48" s="40">
        <v>1212777.5000000002</v>
      </c>
      <c r="GA48" s="40">
        <v>1197174.3333333333</v>
      </c>
      <c r="GB48" s="40">
        <v>1465719</v>
      </c>
      <c r="GC48" s="40">
        <v>2339785</v>
      </c>
      <c r="GD48" s="25">
        <v>2649766.8333333335</v>
      </c>
      <c r="GE48" s="25">
        <v>1515464.1666666667</v>
      </c>
      <c r="GF48" s="25">
        <v>2097649.1666666665</v>
      </c>
      <c r="GG48" s="25">
        <v>1228995.0000000002</v>
      </c>
      <c r="GH48" s="25">
        <v>671911.99999999988</v>
      </c>
      <c r="GI48" s="25">
        <v>868458.00000000012</v>
      </c>
      <c r="GJ48" s="25">
        <v>575641.83333333337</v>
      </c>
      <c r="GK48" s="25">
        <v>777329.5</v>
      </c>
      <c r="GL48" s="25">
        <v>956252.16666666651</v>
      </c>
      <c r="GM48" s="25">
        <v>1518292.1666666665</v>
      </c>
      <c r="GN48" s="25">
        <v>1527777</v>
      </c>
      <c r="GO48" s="25">
        <v>2629933.3333333335</v>
      </c>
      <c r="GP48" s="25">
        <f>1811.422*1000</f>
        <v>1811422</v>
      </c>
      <c r="GQ48" s="25">
        <f>1429.831*1000</f>
        <v>1429831</v>
      </c>
      <c r="GR48" s="25">
        <f>2588.087*1000</f>
        <v>2588087</v>
      </c>
      <c r="GS48" s="25">
        <f>1317.92*1000</f>
        <v>1317920</v>
      </c>
      <c r="GT48" s="25">
        <f>1294.68*1000</f>
        <v>1294680</v>
      </c>
      <c r="GU48" s="25">
        <f>903.608*1000</f>
        <v>903608</v>
      </c>
      <c r="GV48" s="25">
        <f>_xll.LVCELL($D$2,GV$15,$B48,$D$5,$D$6,$D$7,$D$8,$D$9,$D$10,$D$11)</f>
        <v>2704091</v>
      </c>
      <c r="GW48" s="25">
        <f>_xll.LVCELL($D$2,GW$15,$B48,$D$5,$D$6,$D$7,$D$8,$D$9,$D$10,$D$11)</f>
        <v>2475166</v>
      </c>
      <c r="GX48" s="25">
        <f>_xll.LVCELL($D$2,GX$15,$B48,$D$5,$D$6,$D$7,$D$8,$D$9,$D$10,$D$11)</f>
        <v>4266336</v>
      </c>
      <c r="GY48" s="25">
        <f>_xll.LVCELL($D$2,GY$15,$B48,$D$5,$D$6,$D$7,$D$8,$D$9,$D$10,$D$11)</f>
        <v>4621664</v>
      </c>
      <c r="GZ48" s="25">
        <f>_xll.LVCELL($D$2,GZ$15,$B48,$D$5,$D$6,$D$7,$D$8,$D$9,$D$10,$D$11)</f>
        <v>5335997</v>
      </c>
      <c r="HA48" s="25">
        <f>_xll.LVCELL($D$2,HA$15,$B48,$D$5,$D$6,$D$7,$D$8,$D$9,$D$10,$D$11)</f>
        <v>6644543</v>
      </c>
      <c r="HB48" s="25">
        <f>1811.422*1000</f>
        <v>1811422</v>
      </c>
      <c r="HC48" s="25">
        <f>1429.831*1000</f>
        <v>1429831</v>
      </c>
      <c r="HD48" s="25">
        <f>2588.087*1000</f>
        <v>2588087</v>
      </c>
      <c r="HE48" s="25">
        <f>1317.92*1000</f>
        <v>1317920</v>
      </c>
      <c r="HF48" s="25">
        <f>1294.68*1000</f>
        <v>1294680</v>
      </c>
      <c r="HG48" s="25">
        <f>903.608*1000</f>
        <v>903608</v>
      </c>
      <c r="HH48" s="25">
        <f>_xll.LVCELL($D$2,HH$15,$B48,$D$5,$D$6,$D$7,$D$8,$D$9,$D$10,$D$11)</f>
        <v>2568742</v>
      </c>
      <c r="HI48" s="25">
        <f>_xll.LVCELL($D$2,HI$15,$B48,$D$5,$D$6,$D$7,$D$8,$D$9,$D$10,$D$11)</f>
        <v>2240274</v>
      </c>
      <c r="HJ48" s="25">
        <f>_xll.LVCELL($D$2,HJ$15,$B48,$D$5,$D$6,$D$7,$D$8,$D$9,$D$10,$D$11)</f>
        <v>2509742</v>
      </c>
      <c r="HK48" s="25">
        <f>_xll.LVCELL($D$2,HK$15,$B48,$D$5,$D$6,$D$7,$D$8,$D$9,$D$10,$D$11)</f>
        <v>4813433</v>
      </c>
      <c r="HL48" s="25">
        <f>_xll.LVCELL($D$2,HL$15,$B48,$D$5,$D$6,$D$7,$D$8,$D$9,$D$10,$D$11)</f>
        <v>3748474</v>
      </c>
      <c r="HM48" s="25">
        <f>_xll.LVCELL($D$2,HM$15,$B48,$D$5,$D$6,$D$7,$D$8,$D$9,$D$10,$D$11)</f>
        <v>6758062</v>
      </c>
    </row>
    <row r="49" spans="1:221">
      <c r="A49" t="s">
        <v>209</v>
      </c>
      <c r="B49" t="s">
        <v>261</v>
      </c>
      <c r="D49" s="10" t="s">
        <v>300</v>
      </c>
      <c r="E49" s="19"/>
      <c r="F49" s="16" t="s">
        <v>845</v>
      </c>
      <c r="G49" s="16" t="s">
        <v>845</v>
      </c>
      <c r="H49" s="16" t="s">
        <v>845</v>
      </c>
      <c r="I49" s="16" t="s">
        <v>845</v>
      </c>
      <c r="J49" s="16" t="s">
        <v>845</v>
      </c>
      <c r="K49" s="16" t="s">
        <v>845</v>
      </c>
      <c r="L49" s="16" t="s">
        <v>845</v>
      </c>
      <c r="M49" s="16" t="s">
        <v>845</v>
      </c>
      <c r="N49" s="16" t="s">
        <v>845</v>
      </c>
      <c r="O49" s="16" t="s">
        <v>845</v>
      </c>
      <c r="P49" s="16" t="s">
        <v>845</v>
      </c>
      <c r="Q49" s="16" t="s">
        <v>845</v>
      </c>
      <c r="R49" s="16" t="s">
        <v>845</v>
      </c>
      <c r="S49" s="16" t="s">
        <v>845</v>
      </c>
      <c r="T49" s="16" t="s">
        <v>845</v>
      </c>
      <c r="U49" s="16" t="s">
        <v>845</v>
      </c>
      <c r="V49" s="16" t="s">
        <v>845</v>
      </c>
      <c r="W49" s="16" t="s">
        <v>845</v>
      </c>
      <c r="X49" s="16" t="s">
        <v>845</v>
      </c>
      <c r="Y49" s="16" t="s">
        <v>845</v>
      </c>
      <c r="Z49" s="16" t="s">
        <v>845</v>
      </c>
      <c r="AA49" s="16" t="s">
        <v>845</v>
      </c>
      <c r="AB49" s="16" t="s">
        <v>845</v>
      </c>
      <c r="AC49" s="16" t="s">
        <v>845</v>
      </c>
      <c r="AD49" s="16" t="s">
        <v>845</v>
      </c>
      <c r="AE49" s="16" t="s">
        <v>845</v>
      </c>
      <c r="AF49" s="16" t="s">
        <v>845</v>
      </c>
      <c r="AG49" s="16" t="s">
        <v>845</v>
      </c>
      <c r="AH49" s="16" t="s">
        <v>845</v>
      </c>
      <c r="AI49" s="16" t="s">
        <v>845</v>
      </c>
      <c r="AJ49" s="16" t="s">
        <v>845</v>
      </c>
      <c r="AK49" s="16" t="s">
        <v>845</v>
      </c>
      <c r="AL49" s="16" t="s">
        <v>845</v>
      </c>
      <c r="AM49" s="16" t="s">
        <v>845</v>
      </c>
      <c r="AN49" s="16" t="s">
        <v>845</v>
      </c>
      <c r="AO49" s="16" t="s">
        <v>845</v>
      </c>
      <c r="AP49" s="16" t="s">
        <v>845</v>
      </c>
      <c r="AQ49" s="16" t="s">
        <v>845</v>
      </c>
      <c r="AR49" s="16" t="s">
        <v>845</v>
      </c>
      <c r="AS49" s="16" t="s">
        <v>845</v>
      </c>
      <c r="AT49" s="16" t="s">
        <v>845</v>
      </c>
      <c r="AU49" s="16" t="s">
        <v>845</v>
      </c>
      <c r="AV49" s="16" t="s">
        <v>845</v>
      </c>
      <c r="AW49" s="16" t="s">
        <v>845</v>
      </c>
      <c r="AX49" s="16" t="s">
        <v>845</v>
      </c>
      <c r="AY49" s="16" t="s">
        <v>845</v>
      </c>
      <c r="AZ49" s="16" t="s">
        <v>845</v>
      </c>
      <c r="BA49" s="16" t="s">
        <v>845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0</v>
      </c>
      <c r="DY49" s="16">
        <v>0</v>
      </c>
      <c r="DZ49" s="16">
        <v>0</v>
      </c>
      <c r="EA49" s="16">
        <v>0</v>
      </c>
      <c r="EB49" s="16">
        <v>0</v>
      </c>
      <c r="EC49" s="16">
        <v>0</v>
      </c>
      <c r="ED49" s="16">
        <v>0</v>
      </c>
      <c r="EE49" s="16">
        <v>0</v>
      </c>
      <c r="EF49" s="16">
        <v>0</v>
      </c>
      <c r="EG49" s="16">
        <v>4516167</v>
      </c>
      <c r="EH49" s="16">
        <v>7037476</v>
      </c>
      <c r="EI49" s="16">
        <v>10209967</v>
      </c>
      <c r="EJ49" s="16">
        <v>4487324</v>
      </c>
      <c r="EK49" s="16">
        <v>4239860</v>
      </c>
      <c r="EL49" s="16">
        <v>5891904</v>
      </c>
      <c r="EM49" s="16">
        <v>3926467</v>
      </c>
      <c r="EN49" s="16">
        <v>3244572</v>
      </c>
      <c r="EO49" s="16">
        <v>3610867</v>
      </c>
      <c r="EP49" s="16">
        <v>2790666</v>
      </c>
      <c r="EQ49" s="16">
        <v>3499579</v>
      </c>
      <c r="ER49" s="16">
        <v>4310376</v>
      </c>
      <c r="ES49" s="16">
        <v>5120081</v>
      </c>
      <c r="ET49" s="16">
        <v>7486525</v>
      </c>
      <c r="EU49" s="16">
        <v>6734435</v>
      </c>
      <c r="EV49" s="16">
        <v>6187769</v>
      </c>
      <c r="EW49" s="16">
        <v>5632001</v>
      </c>
      <c r="EX49" s="16">
        <v>5265527</v>
      </c>
      <c r="EY49" s="16">
        <v>3532817</v>
      </c>
      <c r="EZ49" s="16">
        <v>3893162</v>
      </c>
      <c r="FA49" s="16">
        <v>3121977</v>
      </c>
      <c r="FB49" s="16">
        <v>5833335</v>
      </c>
      <c r="FC49" s="16">
        <v>4368788</v>
      </c>
      <c r="FD49" s="16">
        <v>7266901</v>
      </c>
      <c r="FE49" s="16">
        <v>4887688.9989999998</v>
      </c>
      <c r="FF49" s="16">
        <v>8684046</v>
      </c>
      <c r="FG49" s="16">
        <v>8857081</v>
      </c>
      <c r="FH49" s="16">
        <v>7492264</v>
      </c>
      <c r="FI49" s="16">
        <v>3757305</v>
      </c>
      <c r="FJ49" s="16">
        <v>4400253</v>
      </c>
      <c r="FK49" s="16">
        <v>3580819</v>
      </c>
      <c r="FL49" s="16">
        <v>2799470</v>
      </c>
      <c r="FM49" s="16">
        <v>2934740</v>
      </c>
      <c r="FN49" s="16">
        <v>2044240</v>
      </c>
      <c r="FO49" s="16">
        <v>3934500</v>
      </c>
      <c r="FP49" s="16">
        <v>6025270</v>
      </c>
      <c r="FQ49" s="16">
        <v>2895670</v>
      </c>
      <c r="FR49" s="40">
        <f>_xll.LVCELL($D$2,FR$15,$B49,$D$5,$D$6,$D$7,$D$8,$D$9,$D$10,$D$11)</f>
        <v>5449290</v>
      </c>
      <c r="FS49" s="40">
        <f>_xll.LVCELL($D$2,FS$15,$B49,$D$5,$D$6,$D$7,$D$8,$D$9,$D$10,$D$11)</f>
        <v>6808060</v>
      </c>
      <c r="FT49" s="40">
        <f>_xll.LVCELL($D$2,FT$15,$B49,$D$5,$D$6,$D$7,$D$8,$D$9,$D$10,$D$11)</f>
        <v>5795320</v>
      </c>
      <c r="FU49" s="40">
        <f>_xll.LVCELL($D$2,FU$15,$B49,$D$5,$D$6,$D$7,$D$8,$D$9,$D$10,$D$11)</f>
        <v>3951690</v>
      </c>
      <c r="FV49" s="40">
        <f>_xll.LVCELL($D$2,FV$15,$B49,$D$5,$D$6,$D$7,$D$8,$D$9,$D$10,$D$11)</f>
        <v>4169984</v>
      </c>
      <c r="FW49" s="40">
        <f>_xll.LVCELL($D$2,FW$15,$B49,$D$5,$D$6,$D$7,$D$8,$D$9,$D$10,$D$11)</f>
        <v>4017030</v>
      </c>
      <c r="FX49" s="40">
        <f>_xll.LVCELL($D$2,FX$15,$B49,$D$5,$D$6,$D$7,$D$8,$D$9,$D$10,$D$11)</f>
        <v>4729281.83</v>
      </c>
      <c r="FY49" s="40">
        <f>_xll.LVCELL($D$2,FY$15,$B49,$D$5,$D$6,$D$7,$D$8,$D$9,$D$10,$D$11)</f>
        <v>3574341</v>
      </c>
      <c r="FZ49" s="40">
        <f>_xll.LVCELL($D$2,FZ$15,$B49,$D$5,$D$6,$D$7,$D$8,$D$9,$D$10,$D$11)</f>
        <v>4399548.67</v>
      </c>
      <c r="GA49" s="40">
        <f>_xll.LVCELL($D$2,GA$15,$B49,$D$5,$D$6,$D$7,$D$8,$D$9,$D$10,$D$11)</f>
        <v>4204669</v>
      </c>
      <c r="GB49" s="40">
        <f>_xll.LVCELL($D$2,GB$15,$B49,$D$5,$D$6,$D$7,$D$8,$D$9,$D$10,$D$11)</f>
        <v>5179858</v>
      </c>
      <c r="GC49" s="40">
        <f>_xll.LVCELL($D$2,GC$15,$B49,$D$5,$D$6,$D$7,$D$8,$D$9,$D$10,$D$11)</f>
        <v>8370891</v>
      </c>
      <c r="GD49" s="25">
        <f>_xll.LVCELL($D$2,GD$15,$B49,$D$5,$D$6,$D$7,$D$8,$D$9,$D$10,$D$11)</f>
        <v>9153058</v>
      </c>
      <c r="GE49" s="25">
        <f>_xll.LVCELL($D$2,GE$15,$B49,$D$5,$D$6,$D$7,$D$8,$D$9,$D$10,$D$11)</f>
        <v>5463666</v>
      </c>
      <c r="GF49" s="25">
        <f>_xll.LVCELL($D$2,GF$15,$B49,$D$5,$D$6,$D$7,$D$8,$D$9,$D$10,$D$11)</f>
        <v>6779933</v>
      </c>
      <c r="GG49" s="25">
        <f>_xll.LVCELL($D$2,GG$15,$B49,$D$5,$D$6,$D$7,$D$8,$D$9,$D$10,$D$11)</f>
        <v>3981877</v>
      </c>
      <c r="GH49" s="25">
        <f>_xll.LVCELL($D$2,GH$15,$B49,$D$5,$D$6,$D$7,$D$8,$D$9,$D$10,$D$11)</f>
        <v>2519791</v>
      </c>
      <c r="GI49" s="25">
        <f>_xll.LVCELL($D$2,GI$15,$B49,$D$5,$D$6,$D$7,$D$8,$D$9,$D$10,$D$11)</f>
        <v>3306145</v>
      </c>
      <c r="GJ49" s="25">
        <f>_xll.LVCELL($D$2,GJ$15,$B49,$D$5,$D$6,$D$7,$D$8,$D$9,$D$10,$D$11)</f>
        <v>2168821</v>
      </c>
      <c r="GK49" s="25">
        <f>_xll.LVCELL($D$2,GK$15,$B49,$D$5,$D$6,$D$7,$D$8,$D$9,$D$10,$D$11)</f>
        <v>2920896</v>
      </c>
      <c r="GL49" s="25">
        <f>_xll.LVCELL($D$2,GL$15,$B49,$D$5,$D$6,$D$7,$D$8,$D$9,$D$10,$D$11)</f>
        <v>3552936</v>
      </c>
      <c r="GM49" s="25">
        <f>_xll.LVCELL($D$2,GM$15,$B49,$D$5,$D$6,$D$7,$D$8,$D$9,$D$10,$D$11)</f>
        <v>5686467</v>
      </c>
      <c r="GN49" s="25">
        <f>_xll.LVCELL($D$2,GN$15,$B49,$D$5,$D$6,$D$7,$D$8,$D$9,$D$10,$D$11)</f>
        <v>5216955</v>
      </c>
      <c r="GO49" s="25">
        <f>_xll.LVCELL($D$2,GO$15,$B49,$D$5,$D$6,$D$7,$D$8,$D$9,$D$10,$D$11)</f>
        <v>9300380</v>
      </c>
      <c r="GP49" s="25">
        <f>_xll.LVCELL($D$2,GP$15,$B49,$D$5,$D$6,$D$7,$D$8,$D$9,$D$10,$D$11)</f>
        <v>6769150</v>
      </c>
      <c r="GQ49" s="25">
        <f>_xll.LVCELL($D$2,GQ$15,$B49,$D$5,$D$6,$D$7,$D$8,$D$9,$D$10,$D$11)</f>
        <v>4887947</v>
      </c>
      <c r="GR49" s="25">
        <f>_xll.LVCELL($D$2,GR$15,$B49,$D$5,$D$6,$D$7,$D$8,$D$9,$D$10,$D$11)</f>
        <v>9551484</v>
      </c>
      <c r="GS49" s="25">
        <f>_xll.LVCELL($D$2,GS$15,$B49,$D$5,$D$6,$D$7,$D$8,$D$9,$D$10,$D$11)</f>
        <v>4718935</v>
      </c>
      <c r="GT49" s="25">
        <f>_xll.LVCELL($D$2,GT$15,$B49,$D$5,$D$6,$D$7,$D$8,$D$9,$D$10,$D$11)</f>
        <v>4896308</v>
      </c>
      <c r="GU49" s="25">
        <f>_xll.LVCELL($D$2,GU$15,$B49,$D$5,$D$6,$D$7,$D$8,$D$9,$D$10,$D$11)</f>
        <v>3058912</v>
      </c>
      <c r="GV49" s="25">
        <f>_xll.LVCELL($D$2,GV$15,$B49,$D$5,$D$6,$D$7,$D$8,$D$9,$D$10,$D$11)</f>
        <v>3378434</v>
      </c>
      <c r="GW49" s="25">
        <f>_xll.LVCELL($D$2,GW$15,$B49,$D$5,$D$6,$D$7,$D$8,$D$9,$D$10,$D$11)</f>
        <v>3008937</v>
      </c>
      <c r="GX49" s="25">
        <f>_xll.LVCELL($D$2,GX$15,$B49,$D$5,$D$6,$D$7,$D$8,$D$9,$D$10,$D$11)</f>
        <v>5345512</v>
      </c>
      <c r="GY49" s="25">
        <f>_xll.LVCELL($D$2,GY$15,$B49,$D$5,$D$6,$D$7,$D$8,$D$9,$D$10,$D$11)</f>
        <v>5940955</v>
      </c>
      <c r="GZ49" s="25">
        <f>_xll.LVCELL($D$2,GZ$15,$B49,$D$5,$D$6,$D$7,$D$8,$D$9,$D$10,$D$11)</f>
        <v>6558707</v>
      </c>
      <c r="HA49" s="25">
        <f>_xll.LVCELL($D$2,HA$15,$B49,$D$5,$D$6,$D$7,$D$8,$D$9,$D$10,$D$11)</f>
        <v>8090229</v>
      </c>
      <c r="HB49" s="25">
        <f>_xll.LVCELL($D$2,HB$15,$B49,$D$5,$D$6,$D$7,$D$8,$D$9,$D$10,$D$11)</f>
        <v>6725635</v>
      </c>
      <c r="HC49" s="25">
        <f>_xll.LVCELL($D$2,HC$15,$B49,$D$5,$D$6,$D$7,$D$8,$D$9,$D$10,$D$11)</f>
        <v>10855951</v>
      </c>
      <c r="HD49" s="25">
        <f>_xll.LVCELL($D$2,HD$15,$B49,$D$5,$D$6,$D$7,$D$8,$D$9,$D$10,$D$11)</f>
        <v>6705174</v>
      </c>
      <c r="HE49" s="25">
        <f>_xll.LVCELL($D$2,HE$15,$B49,$D$5,$D$6,$D$7,$D$8,$D$9,$D$10,$D$11)</f>
        <v>3264059</v>
      </c>
      <c r="HF49" s="25">
        <f>_xll.LVCELL($D$2,HF$15,$B49,$D$5,$D$6,$D$7,$D$8,$D$9,$D$10,$D$11)</f>
        <v>4706812</v>
      </c>
      <c r="HG49" s="25">
        <f>_xll.LVCELL($D$2,HG$15,$B49,$D$5,$D$6,$D$7,$D$8,$D$9,$D$10,$D$11)</f>
        <v>3380838</v>
      </c>
      <c r="HH49" s="25">
        <f>_xll.LVCELL($D$2,HH$15,$B49,$D$5,$D$6,$D$7,$D$8,$D$9,$D$10,$D$11)</f>
        <v>3009525</v>
      </c>
      <c r="HI49" s="25">
        <f>_xll.LVCELL($D$2,HI$15,$B49,$D$5,$D$6,$D$7,$D$8,$D$9,$D$10,$D$11)</f>
        <v>2812112</v>
      </c>
      <c r="HJ49" s="25">
        <f>_xll.LVCELL($D$2,HJ$15,$B49,$D$5,$D$6,$D$7,$D$8,$D$9,$D$10,$D$11)</f>
        <v>3138313</v>
      </c>
      <c r="HK49" s="25">
        <f>_xll.LVCELL($D$2,HK$15,$B49,$D$5,$D$6,$D$7,$D$8,$D$9,$D$10,$D$11)</f>
        <v>5856312</v>
      </c>
      <c r="HL49" s="25">
        <f>_xll.LVCELL($D$2,HL$15,$B49,$D$5,$D$6,$D$7,$D$8,$D$9,$D$10,$D$11)</f>
        <v>4624956</v>
      </c>
      <c r="HM49" s="25">
        <f>_xll.LVCELL($D$2,HM$15,$B49,$D$5,$D$6,$D$7,$D$8,$D$9,$D$10,$D$11)</f>
        <v>8481996</v>
      </c>
    </row>
    <row r="50" spans="1:221" s="313" customFormat="1">
      <c r="A50" s="313" t="s">
        <v>156</v>
      </c>
      <c r="B50" s="313" t="s">
        <v>216</v>
      </c>
      <c r="D50" s="315" t="s">
        <v>542</v>
      </c>
      <c r="E50" s="316">
        <v>41927</v>
      </c>
      <c r="F50" s="317" t="s">
        <v>845</v>
      </c>
      <c r="G50" s="317" t="s">
        <v>845</v>
      </c>
      <c r="H50" s="317" t="s">
        <v>845</v>
      </c>
      <c r="I50" s="317" t="s">
        <v>845</v>
      </c>
      <c r="J50" s="317" t="s">
        <v>845</v>
      </c>
      <c r="K50" s="317" t="s">
        <v>845</v>
      </c>
      <c r="L50" s="317" t="s">
        <v>845</v>
      </c>
      <c r="M50" s="317" t="s">
        <v>845</v>
      </c>
      <c r="N50" s="317" t="s">
        <v>845</v>
      </c>
      <c r="O50" s="317" t="s">
        <v>845</v>
      </c>
      <c r="P50" s="317" t="s">
        <v>845</v>
      </c>
      <c r="Q50" s="317" t="s">
        <v>845</v>
      </c>
      <c r="R50" s="317" t="s">
        <v>845</v>
      </c>
      <c r="S50" s="317" t="s">
        <v>845</v>
      </c>
      <c r="T50" s="317" t="s">
        <v>845</v>
      </c>
      <c r="U50" s="317" t="s">
        <v>845</v>
      </c>
      <c r="V50" s="317" t="s">
        <v>845</v>
      </c>
      <c r="W50" s="317" t="s">
        <v>845</v>
      </c>
      <c r="X50" s="317" t="s">
        <v>845</v>
      </c>
      <c r="Y50" s="317" t="s">
        <v>845</v>
      </c>
      <c r="Z50" s="317" t="s">
        <v>845</v>
      </c>
      <c r="AA50" s="317" t="s">
        <v>845</v>
      </c>
      <c r="AB50" s="317" t="s">
        <v>845</v>
      </c>
      <c r="AC50" s="317" t="s">
        <v>845</v>
      </c>
      <c r="AD50" s="317" t="s">
        <v>845</v>
      </c>
      <c r="AE50" s="317" t="s">
        <v>845</v>
      </c>
      <c r="AF50" s="317" t="s">
        <v>845</v>
      </c>
      <c r="AG50" s="317" t="s">
        <v>845</v>
      </c>
      <c r="AH50" s="317" t="s">
        <v>845</v>
      </c>
      <c r="AI50" s="317" t="s">
        <v>845</v>
      </c>
      <c r="AJ50" s="317" t="s">
        <v>845</v>
      </c>
      <c r="AK50" s="317" t="s">
        <v>845</v>
      </c>
      <c r="AL50" s="317" t="s">
        <v>845</v>
      </c>
      <c r="AM50" s="317" t="s">
        <v>845</v>
      </c>
      <c r="AN50" s="317" t="s">
        <v>845</v>
      </c>
      <c r="AO50" s="317" t="s">
        <v>845</v>
      </c>
      <c r="AP50" s="317" t="s">
        <v>845</v>
      </c>
      <c r="AQ50" s="317" t="s">
        <v>845</v>
      </c>
      <c r="AR50" s="317" t="s">
        <v>845</v>
      </c>
      <c r="AS50" s="317" t="s">
        <v>845</v>
      </c>
      <c r="AT50" s="317" t="s">
        <v>845</v>
      </c>
      <c r="AU50" s="317" t="s">
        <v>845</v>
      </c>
      <c r="AV50" s="317" t="s">
        <v>845</v>
      </c>
      <c r="AW50" s="317" t="s">
        <v>845</v>
      </c>
      <c r="AX50" s="317" t="s">
        <v>845</v>
      </c>
      <c r="AY50" s="317" t="s">
        <v>845</v>
      </c>
      <c r="AZ50" s="317" t="s">
        <v>845</v>
      </c>
      <c r="BA50" s="317" t="s">
        <v>845</v>
      </c>
      <c r="BB50" s="317">
        <v>0</v>
      </c>
      <c r="BC50" s="317">
        <v>0</v>
      </c>
      <c r="BD50" s="317">
        <v>0</v>
      </c>
      <c r="BE50" s="317">
        <v>0</v>
      </c>
      <c r="BF50" s="317">
        <v>0</v>
      </c>
      <c r="BG50" s="317">
        <v>0</v>
      </c>
      <c r="BH50" s="317">
        <v>0</v>
      </c>
      <c r="BI50" s="317">
        <v>0</v>
      </c>
      <c r="BJ50" s="317">
        <v>0</v>
      </c>
      <c r="BK50" s="317">
        <v>0</v>
      </c>
      <c r="BL50" s="317">
        <v>0</v>
      </c>
      <c r="BM50" s="317">
        <v>0</v>
      </c>
      <c r="BN50" s="317">
        <v>0</v>
      </c>
      <c r="BO50" s="317">
        <v>0</v>
      </c>
      <c r="BP50" s="317">
        <v>0</v>
      </c>
      <c r="BQ50" s="317">
        <v>0</v>
      </c>
      <c r="BR50" s="317">
        <v>0</v>
      </c>
      <c r="BS50" s="317">
        <v>0</v>
      </c>
      <c r="BT50" s="317">
        <v>0</v>
      </c>
      <c r="BU50" s="317">
        <v>0</v>
      </c>
      <c r="BV50" s="317">
        <v>0</v>
      </c>
      <c r="BW50" s="317">
        <v>0</v>
      </c>
      <c r="BX50" s="317">
        <v>0</v>
      </c>
      <c r="BY50" s="317">
        <v>0</v>
      </c>
      <c r="BZ50" s="317">
        <v>0</v>
      </c>
      <c r="CA50" s="317">
        <v>0</v>
      </c>
      <c r="CB50" s="317">
        <v>0</v>
      </c>
      <c r="CC50" s="317">
        <v>0</v>
      </c>
      <c r="CD50" s="317">
        <v>0</v>
      </c>
      <c r="CE50" s="317">
        <v>0</v>
      </c>
      <c r="CF50" s="317">
        <v>0</v>
      </c>
      <c r="CG50" s="317">
        <v>0</v>
      </c>
      <c r="CH50" s="317">
        <v>0</v>
      </c>
      <c r="CI50" s="317">
        <v>0</v>
      </c>
      <c r="CJ50" s="317">
        <v>0</v>
      </c>
      <c r="CK50" s="317">
        <v>0</v>
      </c>
      <c r="CL50" s="317">
        <v>0</v>
      </c>
      <c r="CM50" s="317">
        <v>0</v>
      </c>
      <c r="CN50" s="317">
        <v>0</v>
      </c>
      <c r="CO50" s="317">
        <v>0</v>
      </c>
      <c r="CP50" s="317">
        <v>0</v>
      </c>
      <c r="CQ50" s="317">
        <v>0</v>
      </c>
      <c r="CR50" s="317">
        <v>0</v>
      </c>
      <c r="CS50" s="317">
        <v>0</v>
      </c>
      <c r="CT50" s="317">
        <v>0</v>
      </c>
      <c r="CU50" s="317">
        <v>0</v>
      </c>
      <c r="CV50" s="317">
        <v>0</v>
      </c>
      <c r="CW50" s="317">
        <v>0</v>
      </c>
      <c r="CX50" s="317">
        <v>0</v>
      </c>
      <c r="CY50" s="317">
        <v>0</v>
      </c>
      <c r="CZ50" s="317">
        <v>0</v>
      </c>
      <c r="DA50" s="317">
        <v>0</v>
      </c>
      <c r="DB50" s="317">
        <v>0</v>
      </c>
      <c r="DC50" s="317">
        <v>0</v>
      </c>
      <c r="DD50" s="317">
        <v>0</v>
      </c>
      <c r="DE50" s="317">
        <v>0</v>
      </c>
      <c r="DF50" s="317">
        <v>0</v>
      </c>
      <c r="DG50" s="317">
        <v>0</v>
      </c>
      <c r="DH50" s="317">
        <v>0</v>
      </c>
      <c r="DI50" s="317">
        <v>0</v>
      </c>
      <c r="DJ50" s="317">
        <v>0</v>
      </c>
      <c r="DK50" s="317">
        <v>0</v>
      </c>
      <c r="DL50" s="317">
        <v>0</v>
      </c>
      <c r="DM50" s="317">
        <v>0</v>
      </c>
      <c r="DN50" s="317">
        <v>0</v>
      </c>
      <c r="DO50" s="317">
        <v>0</v>
      </c>
      <c r="DP50" s="317">
        <v>0</v>
      </c>
      <c r="DQ50" s="317">
        <v>0</v>
      </c>
      <c r="DR50" s="317">
        <v>0</v>
      </c>
      <c r="DS50" s="317">
        <v>0</v>
      </c>
      <c r="DT50" s="317">
        <v>0</v>
      </c>
      <c r="DU50" s="317">
        <v>0</v>
      </c>
      <c r="DV50" s="317">
        <v>0</v>
      </c>
      <c r="DW50" s="317">
        <v>0</v>
      </c>
      <c r="DX50" s="317">
        <v>0</v>
      </c>
      <c r="DY50" s="317">
        <v>0</v>
      </c>
      <c r="DZ50" s="317">
        <v>0</v>
      </c>
      <c r="EA50" s="317">
        <v>0</v>
      </c>
      <c r="EB50" s="317">
        <v>0</v>
      </c>
      <c r="EC50" s="317">
        <v>0</v>
      </c>
      <c r="ED50" s="317">
        <v>0</v>
      </c>
      <c r="EE50" s="317">
        <v>0</v>
      </c>
      <c r="EF50" s="317">
        <v>0</v>
      </c>
      <c r="EG50" s="317">
        <v>0</v>
      </c>
      <c r="EH50" s="317">
        <v>0</v>
      </c>
      <c r="EI50" s="317">
        <v>0</v>
      </c>
      <c r="EJ50" s="317">
        <v>0</v>
      </c>
      <c r="EK50" s="317">
        <v>0</v>
      </c>
      <c r="EL50" s="317">
        <v>0</v>
      </c>
      <c r="EM50" s="317">
        <v>0</v>
      </c>
      <c r="EN50" s="317">
        <v>0</v>
      </c>
      <c r="EO50" s="317">
        <v>0</v>
      </c>
      <c r="EP50" s="317"/>
      <c r="EQ50" s="317"/>
      <c r="ER50" s="317"/>
      <c r="ES50" s="317"/>
      <c r="ET50" s="317"/>
      <c r="EU50" s="317"/>
      <c r="EV50" s="317"/>
      <c r="EW50" s="317"/>
      <c r="EX50" s="317"/>
      <c r="EY50" s="317"/>
      <c r="EZ50" s="317"/>
      <c r="FA50" s="317"/>
      <c r="FB50" s="317"/>
      <c r="FC50" s="317"/>
      <c r="FD50" s="317"/>
      <c r="FE50" s="317"/>
      <c r="FF50" s="317">
        <v>4132170</v>
      </c>
      <c r="FG50" s="317">
        <v>3364497.6666666665</v>
      </c>
      <c r="FH50" s="317">
        <v>2671830.8330000001</v>
      </c>
      <c r="FI50" s="317">
        <v>2068468.3333333333</v>
      </c>
      <c r="FJ50" s="317">
        <v>1484148.5</v>
      </c>
      <c r="FK50" s="317">
        <v>1402508</v>
      </c>
      <c r="FL50" s="317">
        <v>1611453.1666666667</v>
      </c>
      <c r="FM50" s="317">
        <v>1896681</v>
      </c>
      <c r="FN50" s="317">
        <v>1313984.3333333333</v>
      </c>
      <c r="FO50" s="317">
        <v>1412582</v>
      </c>
      <c r="FP50" s="317">
        <v>2306782</v>
      </c>
      <c r="FQ50" s="317">
        <v>1952041</v>
      </c>
      <c r="FR50" s="318">
        <v>2023199</v>
      </c>
      <c r="FS50" s="318">
        <v>2790149.8333333335</v>
      </c>
      <c r="FT50" s="318">
        <v>3328856.3333333335</v>
      </c>
      <c r="FU50" s="318">
        <v>1206775.833333333</v>
      </c>
      <c r="FV50" s="318">
        <v>1320887.166666667</v>
      </c>
      <c r="FW50" s="318">
        <v>1933024.8333333335</v>
      </c>
      <c r="FX50" s="318">
        <v>1899670.6666666667</v>
      </c>
      <c r="FY50" s="318">
        <v>1338762</v>
      </c>
      <c r="FZ50" s="318">
        <v>1573845.6666666665</v>
      </c>
      <c r="GA50" s="318">
        <v>2597591.333333333</v>
      </c>
      <c r="GB50" s="318">
        <v>2165831.166666667</v>
      </c>
      <c r="GC50" s="318">
        <v>3256544.9999999995</v>
      </c>
      <c r="GD50" s="317">
        <v>3799941.0000000005</v>
      </c>
      <c r="GE50" s="317">
        <v>2702499.5000000005</v>
      </c>
      <c r="GF50" s="317">
        <v>2940936</v>
      </c>
      <c r="GG50" s="317">
        <v>1743347</v>
      </c>
      <c r="GH50" s="317">
        <v>1071599</v>
      </c>
      <c r="GI50" s="317">
        <v>1310735</v>
      </c>
      <c r="GJ50" s="317">
        <v>781157.66666666686</v>
      </c>
      <c r="GK50" s="317">
        <v>1470155.1666666665</v>
      </c>
      <c r="GL50" s="317">
        <v>1355122.8333333333</v>
      </c>
      <c r="GM50" s="317">
        <v>1980228.8333333333</v>
      </c>
      <c r="GN50" s="317">
        <v>1899484.333333333</v>
      </c>
      <c r="GO50" s="317">
        <v>2332866.5</v>
      </c>
      <c r="GP50" s="317">
        <v>2226970</v>
      </c>
      <c r="GQ50" s="317">
        <v>2282112</v>
      </c>
      <c r="GR50" s="317">
        <v>3679377</v>
      </c>
      <c r="GS50" s="317">
        <v>1716610</v>
      </c>
      <c r="GT50" s="317">
        <v>1453710</v>
      </c>
      <c r="GU50" s="317">
        <v>1606570</v>
      </c>
      <c r="GV50" s="317">
        <f>_xll.LVCELL($D$2,GV$15,$B50,$D$5,$D$6,$D$7,$D$8,$D$9,$D$10,$D$11)</f>
        <v>2701137</v>
      </c>
      <c r="GW50" s="317">
        <f>_xll.LVCELL($D$2,GW$15,$B50,$D$5,$D$6,$D$7,$D$8,$D$9,$D$10,$D$11)</f>
        <v>3063228</v>
      </c>
      <c r="GX50" s="317">
        <f>_xll.LVCELL($D$2,GX$15,$B50,$D$5,$D$6,$D$7,$D$8,$D$9,$D$10,$D$11)</f>
        <v>4519464</v>
      </c>
      <c r="GY50" s="317">
        <f>_xll.LVCELL($D$2,GY$15,$B50,$D$5,$D$6,$D$7,$D$8,$D$9,$D$10,$D$11)</f>
        <v>5349130</v>
      </c>
      <c r="GZ50" s="317">
        <f>_xll.LVCELL($D$2,GZ$15,$B50,$D$5,$D$6,$D$7,$D$8,$D$9,$D$10,$D$11)</f>
        <v>4741055</v>
      </c>
      <c r="HA50" s="317">
        <f>_xll.LVCELL($D$2,HA$15,$B50,$D$5,$D$6,$D$7,$D$8,$D$9,$D$10,$D$11)</f>
        <v>7714026</v>
      </c>
      <c r="HB50" s="317">
        <v>2226970</v>
      </c>
      <c r="HC50" s="317">
        <v>2282112</v>
      </c>
      <c r="HD50" s="317">
        <v>3679377</v>
      </c>
      <c r="HE50" s="317">
        <v>1716610</v>
      </c>
      <c r="HF50" s="317">
        <v>1453710</v>
      </c>
      <c r="HG50" s="317">
        <v>1606570</v>
      </c>
      <c r="HH50" s="317">
        <f>_xll.LVCELL($D$2,HH$15,$B50,$D$5,$D$6,$D$7,$D$8,$D$9,$D$10,$D$11)</f>
        <v>4274800</v>
      </c>
      <c r="HI50" s="317">
        <f>_xll.LVCELL($D$2,HI$15,$B50,$D$5,$D$6,$D$7,$D$8,$D$9,$D$10,$D$11)</f>
        <v>3191298</v>
      </c>
      <c r="HJ50" s="317">
        <f>_xll.LVCELL($D$2,HJ$15,$B50,$D$5,$D$6,$D$7,$D$8,$D$9,$D$10,$D$11)</f>
        <v>3553065</v>
      </c>
      <c r="HK50" s="317">
        <f>_xll.LVCELL($D$2,HK$15,$B50,$D$5,$D$6,$D$7,$D$8,$D$9,$D$10,$D$11)</f>
        <v>6524179</v>
      </c>
      <c r="HL50" s="317">
        <f>_xll.LVCELL($D$2,HL$15,$B50,$D$5,$D$6,$D$7,$D$8,$D$9,$D$10,$D$11)</f>
        <v>5082322</v>
      </c>
      <c r="HM50" s="317">
        <f>_xll.LVCELL($D$2,HM$15,$B50,$D$5,$D$6,$D$7,$D$8,$D$9,$D$10,$D$11)</f>
        <v>5760541</v>
      </c>
    </row>
    <row r="51" spans="1:221" s="313" customFormat="1">
      <c r="A51" s="313" t="s">
        <v>156</v>
      </c>
      <c r="B51" s="313" t="s">
        <v>216</v>
      </c>
      <c r="D51" s="315" t="s">
        <v>543</v>
      </c>
      <c r="E51" s="316">
        <v>41927</v>
      </c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  <c r="BM51" s="317"/>
      <c r="BN51" s="317"/>
      <c r="BO51" s="317"/>
      <c r="BP51" s="317"/>
      <c r="BQ51" s="317"/>
      <c r="BR51" s="317"/>
      <c r="BS51" s="317"/>
      <c r="BT51" s="317"/>
      <c r="BU51" s="317"/>
      <c r="BV51" s="317"/>
      <c r="BW51" s="317"/>
      <c r="BX51" s="317"/>
      <c r="BY51" s="317"/>
      <c r="BZ51" s="317"/>
      <c r="CA51" s="317"/>
      <c r="CB51" s="317"/>
      <c r="CC51" s="317"/>
      <c r="CD51" s="317"/>
      <c r="CE51" s="317"/>
      <c r="CF51" s="317"/>
      <c r="CG51" s="317"/>
      <c r="CH51" s="317"/>
      <c r="CI51" s="317"/>
      <c r="CJ51" s="317"/>
      <c r="CK51" s="317"/>
      <c r="CL51" s="317"/>
      <c r="CM51" s="317"/>
      <c r="CN51" s="317"/>
      <c r="CO51" s="317"/>
      <c r="CP51" s="317"/>
      <c r="CQ51" s="317"/>
      <c r="CR51" s="317"/>
      <c r="CS51" s="317"/>
      <c r="CT51" s="317"/>
      <c r="CU51" s="317"/>
      <c r="CV51" s="317"/>
      <c r="CW51" s="317"/>
      <c r="CX51" s="317"/>
      <c r="CY51" s="317"/>
      <c r="CZ51" s="317"/>
      <c r="DA51" s="317"/>
      <c r="DB51" s="317"/>
      <c r="DC51" s="317"/>
      <c r="DD51" s="317"/>
      <c r="DE51" s="317"/>
      <c r="DF51" s="317"/>
      <c r="DG51" s="317"/>
      <c r="DH51" s="317"/>
      <c r="DI51" s="317"/>
      <c r="DJ51" s="317"/>
      <c r="DK51" s="317"/>
      <c r="DL51" s="317"/>
      <c r="DM51" s="317"/>
      <c r="DN51" s="317"/>
      <c r="DO51" s="317"/>
      <c r="DP51" s="317"/>
      <c r="DQ51" s="317"/>
      <c r="DR51" s="317"/>
      <c r="DS51" s="317"/>
      <c r="DT51" s="317"/>
      <c r="DU51" s="317"/>
      <c r="DV51" s="317"/>
      <c r="DW51" s="317"/>
      <c r="DX51" s="317"/>
      <c r="DY51" s="317"/>
      <c r="DZ51" s="317"/>
      <c r="EA51" s="317"/>
      <c r="EB51" s="317"/>
      <c r="EC51" s="317"/>
      <c r="ED51" s="317"/>
      <c r="EE51" s="317"/>
      <c r="EF51" s="317"/>
      <c r="EG51" s="317"/>
      <c r="EH51" s="317"/>
      <c r="EI51" s="317"/>
      <c r="EJ51" s="317"/>
      <c r="EK51" s="317"/>
      <c r="EL51" s="317"/>
      <c r="EM51" s="317"/>
      <c r="EN51" s="317"/>
      <c r="EO51" s="317"/>
      <c r="EP51" s="317"/>
      <c r="EQ51" s="317"/>
      <c r="ER51" s="317"/>
      <c r="ES51" s="317"/>
      <c r="ET51" s="317"/>
      <c r="EU51" s="317"/>
      <c r="EV51" s="317"/>
      <c r="EW51" s="317"/>
      <c r="EX51" s="317"/>
      <c r="EY51" s="317"/>
      <c r="EZ51" s="317"/>
      <c r="FA51" s="317"/>
      <c r="FB51" s="317"/>
      <c r="FC51" s="317"/>
      <c r="FD51" s="317"/>
      <c r="FE51" s="317"/>
      <c r="FF51" s="317">
        <v>3879272</v>
      </c>
      <c r="FG51" s="317">
        <v>3357185.5</v>
      </c>
      <c r="FH51" s="317">
        <v>2846604.8330000001</v>
      </c>
      <c r="FI51" s="317">
        <v>2157140</v>
      </c>
      <c r="FJ51" s="317">
        <v>1729319.6669999999</v>
      </c>
      <c r="FK51" s="317">
        <v>1546400</v>
      </c>
      <c r="FL51" s="317">
        <v>1685527.1666666667</v>
      </c>
      <c r="FM51" s="317">
        <v>1942971</v>
      </c>
      <c r="FN51" s="317">
        <v>1320881.1666666667</v>
      </c>
      <c r="FO51" s="317">
        <v>1600694.3333333333</v>
      </c>
      <c r="FP51" s="317">
        <v>2398238.8333333335</v>
      </c>
      <c r="FQ51" s="317">
        <v>2085384</v>
      </c>
      <c r="FR51" s="318">
        <v>1994578</v>
      </c>
      <c r="FS51" s="318">
        <v>2916548.6666666665</v>
      </c>
      <c r="FT51" s="318">
        <v>3426889.166666667</v>
      </c>
      <c r="FU51" s="318">
        <v>1287165.6666666663</v>
      </c>
      <c r="FV51" s="318">
        <v>1543888.1666666665</v>
      </c>
      <c r="FW51" s="318">
        <v>2153713</v>
      </c>
      <c r="FX51" s="318">
        <v>1944715.8333333333</v>
      </c>
      <c r="FY51" s="318">
        <v>1441386.0000000002</v>
      </c>
      <c r="FZ51" s="318">
        <v>1567161.8333333333</v>
      </c>
      <c r="GA51" s="318">
        <v>2629336.3333333326</v>
      </c>
      <c r="GB51" s="318">
        <v>2035955.8333333337</v>
      </c>
      <c r="GC51" s="318">
        <v>3085874</v>
      </c>
      <c r="GD51" s="317">
        <v>3775975.5000000005</v>
      </c>
      <c r="GE51" s="317">
        <v>2913533.8333333335</v>
      </c>
      <c r="GF51" s="317">
        <v>2941839.5</v>
      </c>
      <c r="GG51" s="317">
        <v>1702734.9999999998</v>
      </c>
      <c r="GH51" s="317">
        <v>1233988</v>
      </c>
      <c r="GI51" s="317">
        <v>1544011</v>
      </c>
      <c r="GJ51" s="317">
        <v>975814.83333333314</v>
      </c>
      <c r="GK51" s="317">
        <v>1367314.8333333333</v>
      </c>
      <c r="GL51" s="317">
        <v>1368191.1666666667</v>
      </c>
      <c r="GM51" s="317">
        <v>1746150.3333333333</v>
      </c>
      <c r="GN51" s="317">
        <v>2313667</v>
      </c>
      <c r="GO51" s="317">
        <v>3229046.6666666665</v>
      </c>
      <c r="GP51" s="317">
        <v>2327987</v>
      </c>
      <c r="GQ51" s="317">
        <v>2415753</v>
      </c>
      <c r="GR51" s="317">
        <v>3932034</v>
      </c>
      <c r="GS51" s="317">
        <v>1986812</v>
      </c>
      <c r="GT51" s="317">
        <v>1656840</v>
      </c>
      <c r="GU51" s="317">
        <v>1838146</v>
      </c>
      <c r="GV51" s="317"/>
      <c r="GW51" s="317"/>
      <c r="GX51" s="317"/>
      <c r="GY51" s="317"/>
      <c r="GZ51" s="317"/>
      <c r="HA51" s="317"/>
      <c r="HB51" s="317">
        <v>2327987</v>
      </c>
      <c r="HC51" s="317">
        <v>2415753</v>
      </c>
      <c r="HD51" s="317">
        <v>3932034</v>
      </c>
      <c r="HE51" s="317">
        <v>1986812</v>
      </c>
      <c r="HF51" s="317">
        <v>1656840</v>
      </c>
      <c r="HG51" s="317">
        <v>1838146</v>
      </c>
      <c r="HH51" s="317"/>
      <c r="HI51" s="317"/>
      <c r="HJ51" s="317"/>
      <c r="HK51" s="317"/>
      <c r="HL51" s="317"/>
      <c r="HM51" s="317"/>
    </row>
    <row r="52" spans="1:221" s="313" customFormat="1">
      <c r="A52" s="313" t="s">
        <v>157</v>
      </c>
      <c r="B52" s="313" t="s">
        <v>262</v>
      </c>
      <c r="D52" s="315" t="s">
        <v>544</v>
      </c>
      <c r="E52" s="316">
        <v>42054</v>
      </c>
      <c r="F52" s="317" t="s">
        <v>845</v>
      </c>
      <c r="G52" s="317" t="s">
        <v>845</v>
      </c>
      <c r="H52" s="317" t="s">
        <v>845</v>
      </c>
      <c r="I52" s="317" t="s">
        <v>845</v>
      </c>
      <c r="J52" s="317" t="s">
        <v>845</v>
      </c>
      <c r="K52" s="317" t="s">
        <v>845</v>
      </c>
      <c r="L52" s="317" t="s">
        <v>845</v>
      </c>
      <c r="M52" s="317" t="s">
        <v>845</v>
      </c>
      <c r="N52" s="317" t="s">
        <v>845</v>
      </c>
      <c r="O52" s="317" t="s">
        <v>845</v>
      </c>
      <c r="P52" s="317" t="s">
        <v>845</v>
      </c>
      <c r="Q52" s="317" t="s">
        <v>845</v>
      </c>
      <c r="R52" s="317" t="s">
        <v>845</v>
      </c>
      <c r="S52" s="317" t="s">
        <v>845</v>
      </c>
      <c r="T52" s="317" t="s">
        <v>845</v>
      </c>
      <c r="U52" s="317" t="s">
        <v>845</v>
      </c>
      <c r="V52" s="317" t="s">
        <v>845</v>
      </c>
      <c r="W52" s="317" t="s">
        <v>845</v>
      </c>
      <c r="X52" s="317" t="s">
        <v>845</v>
      </c>
      <c r="Y52" s="317" t="s">
        <v>845</v>
      </c>
      <c r="Z52" s="317" t="s">
        <v>845</v>
      </c>
      <c r="AA52" s="317" t="s">
        <v>845</v>
      </c>
      <c r="AB52" s="317" t="s">
        <v>845</v>
      </c>
      <c r="AC52" s="317" t="s">
        <v>845</v>
      </c>
      <c r="AD52" s="317" t="s">
        <v>845</v>
      </c>
      <c r="AE52" s="317" t="s">
        <v>845</v>
      </c>
      <c r="AF52" s="317" t="s">
        <v>845</v>
      </c>
      <c r="AG52" s="317" t="s">
        <v>845</v>
      </c>
      <c r="AH52" s="317" t="s">
        <v>845</v>
      </c>
      <c r="AI52" s="317" t="s">
        <v>845</v>
      </c>
      <c r="AJ52" s="317" t="s">
        <v>845</v>
      </c>
      <c r="AK52" s="317" t="s">
        <v>845</v>
      </c>
      <c r="AL52" s="317" t="s">
        <v>845</v>
      </c>
      <c r="AM52" s="317" t="s">
        <v>845</v>
      </c>
      <c r="AN52" s="317" t="s">
        <v>845</v>
      </c>
      <c r="AO52" s="317" t="s">
        <v>845</v>
      </c>
      <c r="AP52" s="317" t="s">
        <v>845</v>
      </c>
      <c r="AQ52" s="317" t="s">
        <v>845</v>
      </c>
      <c r="AR52" s="317" t="s">
        <v>845</v>
      </c>
      <c r="AS52" s="317" t="s">
        <v>845</v>
      </c>
      <c r="AT52" s="317" t="s">
        <v>845</v>
      </c>
      <c r="AU52" s="317" t="s">
        <v>845</v>
      </c>
      <c r="AV52" s="317" t="s">
        <v>845</v>
      </c>
      <c r="AW52" s="317" t="s">
        <v>845</v>
      </c>
      <c r="AX52" s="317" t="s">
        <v>845</v>
      </c>
      <c r="AY52" s="317" t="s">
        <v>845</v>
      </c>
      <c r="AZ52" s="317" t="s">
        <v>845</v>
      </c>
      <c r="BA52" s="317" t="s">
        <v>845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  <c r="BM52" s="317">
        <v>0</v>
      </c>
      <c r="BN52" s="317">
        <v>0</v>
      </c>
      <c r="BO52" s="317">
        <v>0</v>
      </c>
      <c r="BP52" s="317">
        <v>0</v>
      </c>
      <c r="BQ52" s="317">
        <v>0</v>
      </c>
      <c r="BR52" s="317">
        <v>0</v>
      </c>
      <c r="BS52" s="317">
        <v>0</v>
      </c>
      <c r="BT52" s="317">
        <v>0</v>
      </c>
      <c r="BU52" s="317">
        <v>0</v>
      </c>
      <c r="BV52" s="317">
        <v>0</v>
      </c>
      <c r="BW52" s="317">
        <v>0</v>
      </c>
      <c r="BX52" s="317">
        <v>0</v>
      </c>
      <c r="BY52" s="317">
        <v>0</v>
      </c>
      <c r="BZ52" s="317">
        <v>0</v>
      </c>
      <c r="CA52" s="317">
        <v>0</v>
      </c>
      <c r="CB52" s="317">
        <v>0</v>
      </c>
      <c r="CC52" s="317">
        <v>0</v>
      </c>
      <c r="CD52" s="317">
        <v>0</v>
      </c>
      <c r="CE52" s="317">
        <v>0</v>
      </c>
      <c r="CF52" s="317">
        <v>0</v>
      </c>
      <c r="CG52" s="317">
        <v>0</v>
      </c>
      <c r="CH52" s="317">
        <v>0</v>
      </c>
      <c r="CI52" s="317">
        <v>0</v>
      </c>
      <c r="CJ52" s="317">
        <v>0</v>
      </c>
      <c r="CK52" s="317">
        <v>0</v>
      </c>
      <c r="CL52" s="317">
        <v>0</v>
      </c>
      <c r="CM52" s="317">
        <v>0</v>
      </c>
      <c r="CN52" s="317">
        <v>0</v>
      </c>
      <c r="CO52" s="317">
        <v>0</v>
      </c>
      <c r="CP52" s="317">
        <v>0</v>
      </c>
      <c r="CQ52" s="317">
        <v>0</v>
      </c>
      <c r="CR52" s="317">
        <v>0</v>
      </c>
      <c r="CS52" s="317">
        <v>0</v>
      </c>
      <c r="CT52" s="317">
        <v>0</v>
      </c>
      <c r="CU52" s="317">
        <v>0</v>
      </c>
      <c r="CV52" s="317">
        <v>0</v>
      </c>
      <c r="CW52" s="317">
        <v>0</v>
      </c>
      <c r="CX52" s="317">
        <v>0</v>
      </c>
      <c r="CY52" s="317">
        <v>0</v>
      </c>
      <c r="CZ52" s="317">
        <v>0</v>
      </c>
      <c r="DA52" s="317">
        <v>0</v>
      </c>
      <c r="DB52" s="317">
        <v>0</v>
      </c>
      <c r="DC52" s="317">
        <v>0</v>
      </c>
      <c r="DD52" s="317">
        <v>0</v>
      </c>
      <c r="DE52" s="317">
        <v>0</v>
      </c>
      <c r="DF52" s="317">
        <v>0</v>
      </c>
      <c r="DG52" s="317">
        <v>0</v>
      </c>
      <c r="DH52" s="317">
        <v>0</v>
      </c>
      <c r="DI52" s="317">
        <v>0</v>
      </c>
      <c r="DJ52" s="317">
        <v>0</v>
      </c>
      <c r="DK52" s="317">
        <v>0</v>
      </c>
      <c r="DL52" s="317">
        <v>0</v>
      </c>
      <c r="DM52" s="317">
        <v>0</v>
      </c>
      <c r="DN52" s="317">
        <v>0</v>
      </c>
      <c r="DO52" s="317">
        <v>0</v>
      </c>
      <c r="DP52" s="317">
        <v>0</v>
      </c>
      <c r="DQ52" s="317">
        <v>0</v>
      </c>
      <c r="DR52" s="317">
        <v>0</v>
      </c>
      <c r="DS52" s="317">
        <v>0</v>
      </c>
      <c r="DT52" s="317">
        <v>0</v>
      </c>
      <c r="DU52" s="317">
        <v>0</v>
      </c>
      <c r="DV52" s="317">
        <v>0</v>
      </c>
      <c r="DW52" s="317">
        <v>0</v>
      </c>
      <c r="DX52" s="317">
        <v>0</v>
      </c>
      <c r="DY52" s="317">
        <v>0</v>
      </c>
      <c r="DZ52" s="317">
        <v>0</v>
      </c>
      <c r="EA52" s="317">
        <v>0</v>
      </c>
      <c r="EB52" s="317">
        <v>0</v>
      </c>
      <c r="EC52" s="317">
        <v>0</v>
      </c>
      <c r="ED52" s="317">
        <v>0</v>
      </c>
      <c r="EE52" s="317">
        <v>0</v>
      </c>
      <c r="EF52" s="317">
        <v>0</v>
      </c>
      <c r="EG52" s="317">
        <v>0</v>
      </c>
      <c r="EH52" s="317">
        <v>0</v>
      </c>
      <c r="EI52" s="317">
        <v>0</v>
      </c>
      <c r="EJ52" s="317">
        <v>0</v>
      </c>
      <c r="EK52" s="317">
        <v>0</v>
      </c>
      <c r="EL52" s="317">
        <v>0</v>
      </c>
      <c r="EM52" s="317">
        <v>0</v>
      </c>
      <c r="EN52" s="317">
        <v>0</v>
      </c>
      <c r="EO52" s="317">
        <v>0</v>
      </c>
      <c r="EP52" s="317">
        <v>0</v>
      </c>
      <c r="EQ52" s="317">
        <v>0</v>
      </c>
      <c r="ER52" s="317">
        <v>0</v>
      </c>
      <c r="ES52" s="317">
        <v>0</v>
      </c>
      <c r="ET52" s="317">
        <v>0</v>
      </c>
      <c r="EU52" s="317">
        <v>0</v>
      </c>
      <c r="EV52" s="317"/>
      <c r="EW52" s="317"/>
      <c r="EX52" s="317"/>
      <c r="EY52" s="317"/>
      <c r="EZ52" s="317"/>
      <c r="FA52" s="317"/>
      <c r="FB52" s="317"/>
      <c r="FC52" s="317"/>
      <c r="FD52" s="317"/>
      <c r="FE52" s="317"/>
      <c r="FF52" s="317">
        <v>4117697.166666667</v>
      </c>
      <c r="FG52" s="317">
        <v>3680782.8333333335</v>
      </c>
      <c r="FH52" s="317">
        <v>3131077.5</v>
      </c>
      <c r="FI52" s="317">
        <v>2010122</v>
      </c>
      <c r="FJ52" s="317">
        <v>1686351.1669999999</v>
      </c>
      <c r="FK52" s="317">
        <v>1253037</v>
      </c>
      <c r="FL52" s="317">
        <v>1069401.1666666667</v>
      </c>
      <c r="FM52" s="317">
        <v>1495164</v>
      </c>
      <c r="FN52" s="317">
        <v>1133553.1666666667</v>
      </c>
      <c r="FO52" s="317">
        <v>1419359.6666666667</v>
      </c>
      <c r="FP52" s="317">
        <v>2772456.6666666665</v>
      </c>
      <c r="FQ52" s="317">
        <v>1563185</v>
      </c>
      <c r="FR52" s="318">
        <v>1970086</v>
      </c>
      <c r="FS52" s="318">
        <v>2690324.4999999995</v>
      </c>
      <c r="FT52" s="318">
        <v>3056658.5000000005</v>
      </c>
      <c r="FU52" s="318">
        <v>1346812.5</v>
      </c>
      <c r="FV52" s="318">
        <v>1415545.666666667</v>
      </c>
      <c r="FW52" s="318">
        <v>1477330</v>
      </c>
      <c r="FX52" s="318">
        <v>1807863.3333333335</v>
      </c>
      <c r="FY52" s="318">
        <v>1136790</v>
      </c>
      <c r="FZ52" s="318">
        <v>1671551.8333333333</v>
      </c>
      <c r="GA52" s="318">
        <v>2403182</v>
      </c>
      <c r="GB52" s="318">
        <v>2149579.1666666665</v>
      </c>
      <c r="GC52" s="318">
        <v>3308146</v>
      </c>
      <c r="GD52" s="317">
        <v>3852174.6669999999</v>
      </c>
      <c r="GE52" s="317">
        <v>2930313.1666666665</v>
      </c>
      <c r="GF52" s="317">
        <v>2495148.3333333335</v>
      </c>
      <c r="GG52" s="317">
        <v>1814893</v>
      </c>
      <c r="GH52" s="317">
        <v>1529317</v>
      </c>
      <c r="GI52" s="317">
        <v>1363846</v>
      </c>
      <c r="GJ52" s="317">
        <v>1019794.6666666667</v>
      </c>
      <c r="GK52" s="317">
        <v>1331713.0000000002</v>
      </c>
      <c r="GL52" s="317">
        <v>1504219.3333333333</v>
      </c>
      <c r="GM52" s="317">
        <v>2125907</v>
      </c>
      <c r="GN52" s="317">
        <v>2441974.333333333</v>
      </c>
      <c r="GO52" s="317">
        <v>3046944</v>
      </c>
      <c r="GP52" s="317">
        <v>2619000</v>
      </c>
      <c r="GQ52" s="317">
        <v>2235782</v>
      </c>
      <c r="GR52" s="317">
        <v>3731234</v>
      </c>
      <c r="GS52" s="317">
        <v>1694405</v>
      </c>
      <c r="GT52" s="317">
        <v>1545419</v>
      </c>
      <c r="GU52" s="317">
        <v>1439674</v>
      </c>
      <c r="GV52" s="317">
        <f>_xll.LVCELL($D$2,GV$15,$B52,$D$5,$D$6,$D$7,$D$8,$D$9,$D$10,$D$11)</f>
        <v>1460361</v>
      </c>
      <c r="GW52" s="317">
        <f>_xll.LVCELL($D$2,GW$15,$B52,$D$5,$D$6,$D$7,$D$8,$D$9,$D$10,$D$11)</f>
        <v>3717585</v>
      </c>
      <c r="GX52" s="317">
        <f>_xll.LVCELL($D$2,GX$15,$B52,$D$5,$D$6,$D$7,$D$8,$D$9,$D$10,$D$11)</f>
        <v>4452130</v>
      </c>
      <c r="GY52" s="317">
        <f>_xll.LVCELL($D$2,GY$15,$B52,$D$5,$D$6,$D$7,$D$8,$D$9,$D$10,$D$11)</f>
        <v>5916973</v>
      </c>
      <c r="GZ52" s="317">
        <f>_xll.LVCELL($D$2,GZ$15,$B52,$D$5,$D$6,$D$7,$D$8,$D$9,$D$10,$D$11)</f>
        <v>5288801</v>
      </c>
      <c r="HA52" s="317">
        <f>_xll.LVCELL($D$2,HA$15,$B52,$D$5,$D$6,$D$7,$D$8,$D$9,$D$10,$D$11)</f>
        <v>7766162</v>
      </c>
      <c r="HB52" s="317">
        <v>2619000</v>
      </c>
      <c r="HC52" s="317">
        <v>2235782</v>
      </c>
      <c r="HD52" s="317">
        <v>3731234</v>
      </c>
      <c r="HE52" s="317">
        <v>1694405</v>
      </c>
      <c r="HF52" s="317">
        <v>1545419</v>
      </c>
      <c r="HG52" s="317">
        <v>1439674</v>
      </c>
      <c r="HH52" s="317">
        <f>_xll.LVCELL($D$2,HH$15,$B52,$D$5,$D$6,$D$7,$D$8,$D$9,$D$10,$D$11)</f>
        <v>3166841</v>
      </c>
      <c r="HI52" s="317">
        <f>_xll.LVCELL($D$2,HI$15,$B52,$D$5,$D$6,$D$7,$D$8,$D$9,$D$10,$D$11)</f>
        <v>3223196</v>
      </c>
      <c r="HJ52" s="317">
        <f>_xll.LVCELL($D$2,HJ$15,$B52,$D$5,$D$6,$D$7,$D$8,$D$9,$D$10,$D$11)</f>
        <v>3607755</v>
      </c>
      <c r="HK52" s="317">
        <f>_xll.LVCELL($D$2,HK$15,$B52,$D$5,$D$6,$D$7,$D$8,$D$9,$D$10,$D$11)</f>
        <v>6922131</v>
      </c>
      <c r="HL52" s="317">
        <f>_xll.LVCELL($D$2,HL$15,$B52,$D$5,$D$6,$D$7,$D$8,$D$9,$D$10,$D$11)</f>
        <v>4647094</v>
      </c>
      <c r="HM52" s="317">
        <f>_xll.LVCELL($D$2,HM$15,$B52,$D$5,$D$6,$D$7,$D$8,$D$9,$D$10,$D$11)</f>
        <v>6683236</v>
      </c>
    </row>
    <row r="53" spans="1:221" s="313" customFormat="1">
      <c r="A53" s="313" t="s">
        <v>157</v>
      </c>
      <c r="B53" s="313" t="s">
        <v>262</v>
      </c>
      <c r="D53" s="315" t="s">
        <v>545</v>
      </c>
      <c r="E53" s="316">
        <v>42054</v>
      </c>
      <c r="F53" s="317"/>
      <c r="G53" s="317"/>
      <c r="H53" s="317"/>
      <c r="I53" s="317"/>
      <c r="J53" s="317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  <c r="AE53" s="317"/>
      <c r="AF53" s="317"/>
      <c r="AG53" s="317"/>
      <c r="AH53" s="317"/>
      <c r="AI53" s="317"/>
      <c r="AJ53" s="317"/>
      <c r="AK53" s="317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7"/>
      <c r="AW53" s="317"/>
      <c r="AX53" s="317"/>
      <c r="AY53" s="317"/>
      <c r="AZ53" s="317"/>
      <c r="BA53" s="317"/>
      <c r="BB53" s="317"/>
      <c r="BC53" s="317"/>
      <c r="BD53" s="317"/>
      <c r="BE53" s="317"/>
      <c r="BF53" s="317"/>
      <c r="BG53" s="317"/>
      <c r="BH53" s="317"/>
      <c r="BI53" s="317"/>
      <c r="BJ53" s="317"/>
      <c r="BK53" s="317"/>
      <c r="BL53" s="317"/>
      <c r="BM53" s="317"/>
      <c r="BN53" s="317"/>
      <c r="BO53" s="317"/>
      <c r="BP53" s="317"/>
      <c r="BQ53" s="317"/>
      <c r="BR53" s="317"/>
      <c r="BS53" s="317"/>
      <c r="BT53" s="317"/>
      <c r="BU53" s="317"/>
      <c r="BV53" s="317"/>
      <c r="BW53" s="317"/>
      <c r="BX53" s="317"/>
      <c r="BY53" s="317"/>
      <c r="BZ53" s="317"/>
      <c r="CA53" s="317"/>
      <c r="CB53" s="317"/>
      <c r="CC53" s="317"/>
      <c r="CD53" s="317"/>
      <c r="CE53" s="317"/>
      <c r="CF53" s="317"/>
      <c r="CG53" s="317"/>
      <c r="CH53" s="317"/>
      <c r="CI53" s="317"/>
      <c r="CJ53" s="317"/>
      <c r="CK53" s="317"/>
      <c r="CL53" s="317"/>
      <c r="CM53" s="317"/>
      <c r="CN53" s="317"/>
      <c r="CO53" s="317"/>
      <c r="CP53" s="317"/>
      <c r="CQ53" s="317"/>
      <c r="CR53" s="317"/>
      <c r="CS53" s="317"/>
      <c r="CT53" s="317"/>
      <c r="CU53" s="317"/>
      <c r="CV53" s="317"/>
      <c r="CW53" s="317"/>
      <c r="CX53" s="317"/>
      <c r="CY53" s="317"/>
      <c r="CZ53" s="317"/>
      <c r="DA53" s="317"/>
      <c r="DB53" s="317"/>
      <c r="DC53" s="317"/>
      <c r="DD53" s="317"/>
      <c r="DE53" s="317"/>
      <c r="DF53" s="317"/>
      <c r="DG53" s="317"/>
      <c r="DH53" s="317"/>
      <c r="DI53" s="317"/>
      <c r="DJ53" s="317"/>
      <c r="DK53" s="317"/>
      <c r="DL53" s="317"/>
      <c r="DM53" s="317"/>
      <c r="DN53" s="317"/>
      <c r="DO53" s="317"/>
      <c r="DP53" s="317"/>
      <c r="DQ53" s="317"/>
      <c r="DR53" s="317"/>
      <c r="DS53" s="317"/>
      <c r="DT53" s="317"/>
      <c r="DU53" s="317"/>
      <c r="DV53" s="317"/>
      <c r="DW53" s="317"/>
      <c r="DX53" s="317"/>
      <c r="DY53" s="317"/>
      <c r="DZ53" s="317"/>
      <c r="EA53" s="317"/>
      <c r="EB53" s="317"/>
      <c r="EC53" s="317"/>
      <c r="ED53" s="317"/>
      <c r="EE53" s="317"/>
      <c r="EF53" s="317"/>
      <c r="EG53" s="317"/>
      <c r="EH53" s="317"/>
      <c r="EI53" s="317"/>
      <c r="EJ53" s="317"/>
      <c r="EK53" s="317"/>
      <c r="EL53" s="317"/>
      <c r="EM53" s="317"/>
      <c r="EN53" s="317"/>
      <c r="EO53" s="317"/>
      <c r="EP53" s="317"/>
      <c r="EQ53" s="317"/>
      <c r="ER53" s="317"/>
      <c r="ES53" s="317"/>
      <c r="ET53" s="317"/>
      <c r="EU53" s="317"/>
      <c r="EV53" s="317"/>
      <c r="EW53" s="317"/>
      <c r="EX53" s="317"/>
      <c r="EY53" s="317"/>
      <c r="EZ53" s="317"/>
      <c r="FA53" s="317"/>
      <c r="FB53" s="317"/>
      <c r="FC53" s="317"/>
      <c r="FD53" s="317"/>
      <c r="FE53" s="317"/>
      <c r="FF53" s="317">
        <v>3970324</v>
      </c>
      <c r="FG53" s="317">
        <v>3693336.3333333335</v>
      </c>
      <c r="FH53" s="317">
        <v>3016055.1669999999</v>
      </c>
      <c r="FI53" s="317">
        <v>1868082</v>
      </c>
      <c r="FJ53" s="317">
        <v>1564472.5</v>
      </c>
      <c r="FK53" s="317">
        <v>1118315</v>
      </c>
      <c r="FL53" s="317">
        <v>884969.16666666663</v>
      </c>
      <c r="FM53" s="317">
        <v>1368975</v>
      </c>
      <c r="FN53" s="317">
        <v>966572</v>
      </c>
      <c r="FO53" s="317">
        <v>1374857.6666666667</v>
      </c>
      <c r="FP53" s="317">
        <v>2591898.3333333335</v>
      </c>
      <c r="FQ53" s="317">
        <v>1438212</v>
      </c>
      <c r="FR53" s="318">
        <v>1872765</v>
      </c>
      <c r="FS53" s="318">
        <v>2522867.8333333335</v>
      </c>
      <c r="FT53" s="318">
        <v>2896872.333333333</v>
      </c>
      <c r="FU53" s="318">
        <v>1229868.8333333337</v>
      </c>
      <c r="FV53" s="318">
        <v>1353929.3333333333</v>
      </c>
      <c r="FW53" s="318">
        <v>1396916.8333333333</v>
      </c>
      <c r="FX53" s="318">
        <v>1582115.8333333333</v>
      </c>
      <c r="FY53" s="318">
        <v>1049693</v>
      </c>
      <c r="FZ53" s="318">
        <v>1656917.3333333333</v>
      </c>
      <c r="GA53" s="318">
        <v>2327599</v>
      </c>
      <c r="GB53" s="318">
        <v>2095521.666666667</v>
      </c>
      <c r="GC53" s="318">
        <v>3105741</v>
      </c>
      <c r="GD53" s="317">
        <v>3732868.8333333335</v>
      </c>
      <c r="GE53" s="317">
        <v>2832740.1666666665</v>
      </c>
      <c r="GF53" s="317">
        <v>2287553.8333333335</v>
      </c>
      <c r="GG53" s="317">
        <v>1729702</v>
      </c>
      <c r="GH53" s="317">
        <v>1404303.9999999998</v>
      </c>
      <c r="GI53" s="317">
        <v>1276179</v>
      </c>
      <c r="GJ53" s="317">
        <v>898418.83333333302</v>
      </c>
      <c r="GK53" s="317">
        <v>1238346.3333333335</v>
      </c>
      <c r="GL53" s="317">
        <v>1450532.1666666665</v>
      </c>
      <c r="GM53" s="317">
        <v>1964210.6666666667</v>
      </c>
      <c r="GN53" s="317">
        <v>2300766.833333333</v>
      </c>
      <c r="GO53" s="317">
        <v>2871227.1666666665</v>
      </c>
      <c r="GP53" s="317">
        <v>2498200</v>
      </c>
      <c r="GQ53" s="317">
        <v>2125296</v>
      </c>
      <c r="GR53" s="317">
        <v>3574703</v>
      </c>
      <c r="GS53" s="317">
        <v>1636908</v>
      </c>
      <c r="GT53" s="317">
        <v>1479070</v>
      </c>
      <c r="GU53" s="317">
        <v>1351865</v>
      </c>
      <c r="GV53" s="317"/>
      <c r="GW53" s="317"/>
      <c r="GX53" s="317"/>
      <c r="GY53" s="317"/>
      <c r="GZ53" s="317"/>
      <c r="HA53" s="317"/>
      <c r="HB53" s="317">
        <v>2498200</v>
      </c>
      <c r="HC53" s="317">
        <v>2125296</v>
      </c>
      <c r="HD53" s="317">
        <v>3574703</v>
      </c>
      <c r="HE53" s="317">
        <v>1636908</v>
      </c>
      <c r="HF53" s="317">
        <v>1479070</v>
      </c>
      <c r="HG53" s="317">
        <v>1351865</v>
      </c>
      <c r="HH53" s="317"/>
      <c r="HI53" s="317"/>
      <c r="HJ53" s="317"/>
      <c r="HK53" s="317"/>
      <c r="HL53" s="317"/>
      <c r="HM53" s="317"/>
    </row>
    <row r="54" spans="1:221">
      <c r="A54" t="s">
        <v>212</v>
      </c>
      <c r="B54" t="s">
        <v>263</v>
      </c>
      <c r="D54" s="10" t="s">
        <v>302</v>
      </c>
      <c r="E54" s="19">
        <v>42339</v>
      </c>
      <c r="F54" s="16" t="s">
        <v>845</v>
      </c>
      <c r="G54" s="16" t="s">
        <v>845</v>
      </c>
      <c r="H54" s="16" t="s">
        <v>845</v>
      </c>
      <c r="I54" s="16" t="s">
        <v>845</v>
      </c>
      <c r="J54" s="16" t="s">
        <v>845</v>
      </c>
      <c r="K54" s="16" t="s">
        <v>845</v>
      </c>
      <c r="L54" s="16" t="s">
        <v>845</v>
      </c>
      <c r="M54" s="16" t="s">
        <v>845</v>
      </c>
      <c r="N54" s="16" t="s">
        <v>845</v>
      </c>
      <c r="O54" s="16" t="s">
        <v>845</v>
      </c>
      <c r="P54" s="16" t="s">
        <v>845</v>
      </c>
      <c r="Q54" s="16" t="s">
        <v>845</v>
      </c>
      <c r="R54" s="16" t="s">
        <v>845</v>
      </c>
      <c r="S54" s="16" t="s">
        <v>845</v>
      </c>
      <c r="T54" s="16" t="s">
        <v>845</v>
      </c>
      <c r="U54" s="16" t="s">
        <v>845</v>
      </c>
      <c r="V54" s="16" t="s">
        <v>845</v>
      </c>
      <c r="W54" s="16" t="s">
        <v>845</v>
      </c>
      <c r="X54" s="16" t="s">
        <v>845</v>
      </c>
      <c r="Y54" s="16" t="s">
        <v>845</v>
      </c>
      <c r="Z54" s="16" t="s">
        <v>845</v>
      </c>
      <c r="AA54" s="16" t="s">
        <v>845</v>
      </c>
      <c r="AB54" s="16" t="s">
        <v>845</v>
      </c>
      <c r="AC54" s="16" t="s">
        <v>845</v>
      </c>
      <c r="AD54" s="16" t="s">
        <v>845</v>
      </c>
      <c r="AE54" s="16" t="s">
        <v>845</v>
      </c>
      <c r="AF54" s="16" t="s">
        <v>845</v>
      </c>
      <c r="AG54" s="16" t="s">
        <v>845</v>
      </c>
      <c r="AH54" s="16" t="s">
        <v>845</v>
      </c>
      <c r="AI54" s="16" t="s">
        <v>845</v>
      </c>
      <c r="AJ54" s="16" t="s">
        <v>845</v>
      </c>
      <c r="AK54" s="16" t="s">
        <v>845</v>
      </c>
      <c r="AL54" s="16" t="s">
        <v>845</v>
      </c>
      <c r="AM54" s="16" t="s">
        <v>845</v>
      </c>
      <c r="AN54" s="16" t="s">
        <v>845</v>
      </c>
      <c r="AO54" s="16" t="s">
        <v>845</v>
      </c>
      <c r="AP54" s="16" t="s">
        <v>845</v>
      </c>
      <c r="AQ54" s="16" t="s">
        <v>845</v>
      </c>
      <c r="AR54" s="16" t="s">
        <v>845</v>
      </c>
      <c r="AS54" s="16" t="s">
        <v>845</v>
      </c>
      <c r="AT54" s="16" t="s">
        <v>845</v>
      </c>
      <c r="AU54" s="16" t="s">
        <v>845</v>
      </c>
      <c r="AV54" s="16" t="s">
        <v>845</v>
      </c>
      <c r="AW54" s="16" t="s">
        <v>845</v>
      </c>
      <c r="AX54" s="16" t="s">
        <v>845</v>
      </c>
      <c r="AY54" s="16" t="s">
        <v>845</v>
      </c>
      <c r="AZ54" s="16" t="s">
        <v>845</v>
      </c>
      <c r="BA54" s="16" t="s">
        <v>845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0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0</v>
      </c>
      <c r="DW54" s="16">
        <v>0</v>
      </c>
      <c r="DX54" s="16">
        <v>0</v>
      </c>
      <c r="DY54" s="16">
        <v>0</v>
      </c>
      <c r="DZ54" s="16">
        <v>0</v>
      </c>
      <c r="EA54" s="16">
        <v>0</v>
      </c>
      <c r="EB54" s="16">
        <v>0</v>
      </c>
      <c r="EC54" s="16">
        <v>0</v>
      </c>
      <c r="ED54" s="16">
        <v>0</v>
      </c>
      <c r="EE54" s="16">
        <v>0</v>
      </c>
      <c r="EF54" s="16">
        <v>0</v>
      </c>
      <c r="EG54" s="16">
        <v>0</v>
      </c>
      <c r="EH54" s="16">
        <v>0</v>
      </c>
      <c r="EI54" s="16">
        <v>0</v>
      </c>
      <c r="EJ54" s="16">
        <v>0</v>
      </c>
      <c r="EK54" s="16">
        <v>0</v>
      </c>
      <c r="EL54" s="16">
        <v>0</v>
      </c>
      <c r="EM54" s="16">
        <v>0</v>
      </c>
      <c r="EN54" s="16">
        <v>0</v>
      </c>
      <c r="EO54" s="16">
        <v>0</v>
      </c>
      <c r="EP54" s="16">
        <v>0</v>
      </c>
      <c r="EQ54" s="16">
        <v>0</v>
      </c>
      <c r="ER54" s="16">
        <v>0</v>
      </c>
      <c r="ES54" s="16">
        <v>0</v>
      </c>
      <c r="ET54" s="16">
        <v>0</v>
      </c>
      <c r="EU54" s="16">
        <v>0</v>
      </c>
      <c r="EV54" s="16">
        <v>0</v>
      </c>
      <c r="EW54" s="16">
        <v>0</v>
      </c>
      <c r="EX54" s="16">
        <v>0</v>
      </c>
      <c r="EY54" s="16">
        <v>0</v>
      </c>
      <c r="EZ54" s="16">
        <v>0</v>
      </c>
      <c r="FA54" s="16">
        <v>0</v>
      </c>
      <c r="FB54" s="16">
        <v>0</v>
      </c>
      <c r="FC54" s="16">
        <v>0</v>
      </c>
      <c r="FD54" s="16">
        <v>0</v>
      </c>
      <c r="FE54" s="16">
        <v>2788382</v>
      </c>
      <c r="FF54" s="16">
        <v>3231504</v>
      </c>
      <c r="FG54" s="16">
        <v>3317247</v>
      </c>
      <c r="FH54" s="16">
        <v>3797730</v>
      </c>
      <c r="FI54" s="16">
        <v>3326837</v>
      </c>
      <c r="FJ54" s="16">
        <v>4611356</v>
      </c>
      <c r="FK54" s="16">
        <v>2044341</v>
      </c>
      <c r="FL54" s="16">
        <v>1651140</v>
      </c>
      <c r="FM54" s="16">
        <v>1904550</v>
      </c>
      <c r="FN54" s="16">
        <v>2235340</v>
      </c>
      <c r="FO54" s="16">
        <v>1910650</v>
      </c>
      <c r="FP54" s="16">
        <v>2745110</v>
      </c>
      <c r="FQ54" s="16">
        <v>2183630</v>
      </c>
      <c r="FR54" s="40">
        <f>_xll.LVCELL($D$2,FR$15,$B54,$D$5,$D$6,$D$7,$D$8,$D$9,$D$10,$D$11)</f>
        <v>3323520</v>
      </c>
      <c r="FS54" s="40">
        <f>_xll.LVCELL($D$2,FS$15,$B54,$D$5,$D$6,$D$7,$D$8,$D$9,$D$10,$D$11)</f>
        <v>3535040</v>
      </c>
      <c r="FT54" s="40">
        <f>_xll.LVCELL($D$2,FT$15,$B54,$D$5,$D$6,$D$7,$D$8,$D$9,$D$10,$D$11)</f>
        <v>2971900</v>
      </c>
      <c r="FU54" s="40">
        <f>_xll.LVCELL($D$2,FU$15,$B54,$D$5,$D$6,$D$7,$D$8,$D$9,$D$10,$D$11)</f>
        <v>2400140</v>
      </c>
      <c r="FV54" s="40">
        <f>_xll.LVCELL($D$2,FV$15,$B54,$D$5,$D$6,$D$7,$D$8,$D$9,$D$10,$D$11)</f>
        <v>3145044</v>
      </c>
      <c r="FW54" s="40">
        <f>_xll.LVCELL($D$2,FW$15,$B54,$D$5,$D$6,$D$7,$D$8,$D$9,$D$10,$D$11)</f>
        <v>1676170</v>
      </c>
      <c r="FX54" s="40">
        <f>_xll.LVCELL($D$2,FX$15,$B54,$D$5,$D$6,$D$7,$D$8,$D$9,$D$10,$D$11)</f>
        <v>2421276.33</v>
      </c>
      <c r="FY54" s="40">
        <f>_xll.LVCELL($D$2,FY$15,$B54,$D$5,$D$6,$D$7,$D$8,$D$9,$D$10,$D$11)</f>
        <v>2090636</v>
      </c>
      <c r="FZ54" s="40">
        <f>_xll.LVCELL($D$2,FZ$15,$B54,$D$5,$D$6,$D$7,$D$8,$D$9,$D$10,$D$11)</f>
        <v>1783581.67</v>
      </c>
      <c r="GA54" s="40">
        <f>_xll.LVCELL($D$2,GA$15,$B54,$D$5,$D$6,$D$7,$D$8,$D$9,$D$10,$D$11)</f>
        <v>2609641</v>
      </c>
      <c r="GB54" s="40">
        <f>_xll.LVCELL($D$2,GB$15,$B54,$D$5,$D$6,$D$7,$D$8,$D$9,$D$10,$D$11)</f>
        <v>2741751</v>
      </c>
      <c r="GC54" s="40">
        <f>_xll.LVCELL($D$2,GC$15,$B54,$D$5,$D$6,$D$7,$D$8,$D$9,$D$10,$D$11)</f>
        <v>3306713</v>
      </c>
      <c r="GD54" s="25">
        <f>_xll.LVCELL($D$2,GD$15,$B54,$D$5,$D$6,$D$7,$D$8,$D$9,$D$10,$D$11)</f>
        <v>3970256</v>
      </c>
      <c r="GE54" s="25">
        <f>_xll.LVCELL($D$2,GE$15,$B54,$D$5,$D$6,$D$7,$D$8,$D$9,$D$10,$D$11)</f>
        <v>2281581</v>
      </c>
      <c r="GF54" s="25">
        <f>_xll.LVCELL($D$2,GF$15,$B54,$D$5,$D$6,$D$7,$D$8,$D$9,$D$10,$D$11)</f>
        <v>3584186</v>
      </c>
      <c r="GG54" s="25">
        <f>_xll.LVCELL($D$2,GG$15,$B54,$D$5,$D$6,$D$7,$D$8,$D$9,$D$10,$D$11)</f>
        <v>3701111</v>
      </c>
      <c r="GH54" s="25">
        <f>_xll.LVCELL($D$2,GH$15,$B54,$D$5,$D$6,$D$7,$D$8,$D$9,$D$10,$D$11)</f>
        <v>2368434</v>
      </c>
      <c r="GI54" s="25">
        <f>_xll.LVCELL($D$2,GI$15,$B54,$D$5,$D$6,$D$7,$D$8,$D$9,$D$10,$D$11)</f>
        <v>1407823</v>
      </c>
      <c r="GJ54" s="25">
        <f>_xll.LVCELL($D$2,GJ$15,$B54,$D$5,$D$6,$D$7,$D$8,$D$9,$D$10,$D$11)</f>
        <v>960000</v>
      </c>
      <c r="GK54" s="25">
        <f>_xll.LVCELL($D$2,GK$15,$B54,$D$5,$D$6,$D$7,$D$8,$D$9,$D$10,$D$11)</f>
        <v>1431570</v>
      </c>
      <c r="GL54" s="25">
        <f>_xll.LVCELL($D$2,GL$15,$B54,$D$5,$D$6,$D$7,$D$8,$D$9,$D$10,$D$11)</f>
        <v>1539728</v>
      </c>
      <c r="GM54" s="25">
        <f>_xll.LVCELL($D$2,GM$15,$B54,$D$5,$D$6,$D$7,$D$8,$D$9,$D$10,$D$11)</f>
        <v>3376142</v>
      </c>
      <c r="GN54" s="25">
        <f>_xll.LVCELL($D$2,GN$15,$B54,$D$5,$D$6,$D$7,$D$8,$D$9,$D$10,$D$11)</f>
        <v>3743402</v>
      </c>
      <c r="GO54" s="25">
        <f>_xll.LVCELL($D$2,GO$15,$B54,$D$5,$D$6,$D$7,$D$8,$D$9,$D$10,$D$11)</f>
        <v>2138307</v>
      </c>
      <c r="GP54" s="25">
        <f>_xll.LVCELL($D$2,GP$15,$B54,$D$5,$D$6,$D$7,$D$8,$D$9,$D$10,$D$11)</f>
        <v>3877400</v>
      </c>
      <c r="GQ54" s="25">
        <f>_xll.LVCELL($D$2,GQ$15,$B54,$D$5,$D$6,$D$7,$D$8,$D$9,$D$10,$D$11)</f>
        <v>3132342</v>
      </c>
      <c r="GR54" s="25">
        <f>_xll.LVCELL($D$2,GR$15,$B54,$D$5,$D$6,$D$7,$D$8,$D$9,$D$10,$D$11)</f>
        <v>3511226</v>
      </c>
      <c r="GS54" s="25">
        <f>_xll.LVCELL($D$2,GS$15,$B54,$D$5,$D$6,$D$7,$D$8,$D$9,$D$10,$D$11)</f>
        <v>3654732</v>
      </c>
      <c r="GT54" s="25">
        <f>_xll.LVCELL($D$2,GT$15,$B54,$D$5,$D$6,$D$7,$D$8,$D$9,$D$10,$D$11)</f>
        <v>2639266</v>
      </c>
      <c r="GU54" s="25">
        <f>_xll.LVCELL($D$2,GU$15,$B54,$D$5,$D$6,$D$7,$D$8,$D$9,$D$10,$D$11)</f>
        <v>2928979</v>
      </c>
      <c r="GV54" s="25">
        <f>_xll.LVCELL($D$2,GV$15,$B54,$D$5,$D$6,$D$7,$D$8,$D$9,$D$10,$D$11)</f>
        <v>1792589</v>
      </c>
      <c r="GW54" s="25">
        <f>_xll.LVCELL($D$2,GW$15,$B54,$D$5,$D$6,$D$7,$D$8,$D$9,$D$10,$D$11)</f>
        <v>914405</v>
      </c>
      <c r="GX54" s="25">
        <f>_xll.LVCELL($D$2,GX$15,$B54,$D$5,$D$6,$D$7,$D$8,$D$9,$D$10,$D$11)</f>
        <v>1819051</v>
      </c>
      <c r="GY54" s="25">
        <f>_xll.LVCELL($D$2,GY$15,$B54,$D$5,$D$6,$D$7,$D$8,$D$9,$D$10,$D$11)</f>
        <v>2912522</v>
      </c>
      <c r="GZ54" s="25">
        <f>_xll.LVCELL($D$2,GZ$15,$B54,$D$5,$D$6,$D$7,$D$8,$D$9,$D$10,$D$11)</f>
        <v>2803474</v>
      </c>
      <c r="HA54" s="25">
        <f>_xll.LVCELL($D$2,HA$15,$B54,$D$5,$D$6,$D$7,$D$8,$D$9,$D$10,$D$11)</f>
        <v>3692400</v>
      </c>
      <c r="HB54" s="25">
        <f>_xll.LVCELL($D$2,HB$15,$B54,$D$5,$D$6,$D$7,$D$8,$D$9,$D$10,$D$11)</f>
        <v>3111723</v>
      </c>
      <c r="HC54" s="25">
        <f>_xll.LVCELL($D$2,HC$15,$B54,$D$5,$D$6,$D$7,$D$8,$D$9,$D$10,$D$11)</f>
        <v>3196873</v>
      </c>
      <c r="HD54" s="25">
        <f>_xll.LVCELL($D$2,HD$15,$B54,$D$5,$D$6,$D$7,$D$8,$D$9,$D$10,$D$11)</f>
        <v>3892587</v>
      </c>
      <c r="HE54" s="25">
        <f>_xll.LVCELL($D$2,HE$15,$B54,$D$5,$D$6,$D$7,$D$8,$D$9,$D$10,$D$11)</f>
        <v>4089697</v>
      </c>
      <c r="HF54" s="25">
        <f>_xll.LVCELL($D$2,HF$15,$B54,$D$5,$D$6,$D$7,$D$8,$D$9,$D$10,$D$11)</f>
        <v>2974825</v>
      </c>
      <c r="HG54" s="25">
        <f>_xll.LVCELL($D$2,HG$15,$B54,$D$5,$D$6,$D$7,$D$8,$D$9,$D$10,$D$11)</f>
        <v>1537498</v>
      </c>
      <c r="HH54" s="25">
        <f>_xll.LVCELL($D$2,HH$15,$B54,$D$5,$D$6,$D$7,$D$8,$D$9,$D$10,$D$11)</f>
        <v>1453893</v>
      </c>
      <c r="HI54" s="25">
        <f>_xll.LVCELL($D$2,HI$15,$B54,$D$5,$D$6,$D$7,$D$8,$D$9,$D$10,$D$11)</f>
        <v>1832916</v>
      </c>
      <c r="HJ54" s="25">
        <f>_xll.LVCELL($D$2,HJ$15,$B54,$D$5,$D$6,$D$7,$D$8,$D$9,$D$10,$D$11)</f>
        <v>2237176</v>
      </c>
      <c r="HK54" s="25">
        <f>_xll.LVCELL($D$2,HK$15,$B54,$D$5,$D$6,$D$7,$D$8,$D$9,$D$10,$D$11)</f>
        <v>3352874</v>
      </c>
      <c r="HL54" s="25">
        <f>_xll.LVCELL($D$2,HL$15,$B54,$D$5,$D$6,$D$7,$D$8,$D$9,$D$10,$D$11)</f>
        <v>3428614</v>
      </c>
      <c r="HM54" s="25">
        <f>_xll.LVCELL($D$2,HM$15,$B54,$D$5,$D$6,$D$7,$D$8,$D$9,$D$10,$D$11)</f>
        <v>3967189</v>
      </c>
    </row>
    <row r="55" spans="1:221">
      <c r="A55" t="s">
        <v>190</v>
      </c>
      <c r="B55" t="s">
        <v>265</v>
      </c>
      <c r="D55" s="10" t="s">
        <v>279</v>
      </c>
      <c r="E55" s="19">
        <v>39507</v>
      </c>
      <c r="F55" s="16" t="s">
        <v>845</v>
      </c>
      <c r="G55" s="16" t="s">
        <v>845</v>
      </c>
      <c r="H55" s="16" t="s">
        <v>845</v>
      </c>
      <c r="I55" s="16" t="s">
        <v>845</v>
      </c>
      <c r="J55" s="16" t="s">
        <v>845</v>
      </c>
      <c r="K55" s="16" t="s">
        <v>845</v>
      </c>
      <c r="L55" s="16" t="s">
        <v>845</v>
      </c>
      <c r="M55" s="16" t="s">
        <v>845</v>
      </c>
      <c r="N55" s="16" t="s">
        <v>845</v>
      </c>
      <c r="O55" s="16" t="s">
        <v>845</v>
      </c>
      <c r="P55" s="16" t="s">
        <v>845</v>
      </c>
      <c r="Q55" s="16" t="s">
        <v>845</v>
      </c>
      <c r="R55" s="16" t="s">
        <v>845</v>
      </c>
      <c r="S55" s="16" t="s">
        <v>845</v>
      </c>
      <c r="T55" s="16" t="s">
        <v>845</v>
      </c>
      <c r="U55" s="16" t="s">
        <v>845</v>
      </c>
      <c r="V55" s="16" t="s">
        <v>845</v>
      </c>
      <c r="W55" s="16" t="s">
        <v>845</v>
      </c>
      <c r="X55" s="16" t="s">
        <v>845</v>
      </c>
      <c r="Y55" s="16" t="s">
        <v>845</v>
      </c>
      <c r="Z55" s="16" t="s">
        <v>845</v>
      </c>
      <c r="AA55" s="16" t="s">
        <v>845</v>
      </c>
      <c r="AB55" s="16" t="s">
        <v>845</v>
      </c>
      <c r="AC55" s="16" t="s">
        <v>845</v>
      </c>
      <c r="AD55" s="16" t="s">
        <v>845</v>
      </c>
      <c r="AE55" s="16" t="s">
        <v>845</v>
      </c>
      <c r="AF55" s="16" t="s">
        <v>845</v>
      </c>
      <c r="AG55" s="16" t="s">
        <v>845</v>
      </c>
      <c r="AH55" s="16" t="s">
        <v>845</v>
      </c>
      <c r="AI55" s="16" t="s">
        <v>845</v>
      </c>
      <c r="AJ55" s="16" t="s">
        <v>845</v>
      </c>
      <c r="AK55" s="16" t="s">
        <v>845</v>
      </c>
      <c r="AL55" s="16" t="s">
        <v>845</v>
      </c>
      <c r="AM55" s="16" t="s">
        <v>845</v>
      </c>
      <c r="AN55" s="16" t="s">
        <v>845</v>
      </c>
      <c r="AO55" s="16" t="s">
        <v>845</v>
      </c>
      <c r="AP55" s="16" t="s">
        <v>845</v>
      </c>
      <c r="AQ55" s="16" t="s">
        <v>845</v>
      </c>
      <c r="AR55" s="16" t="s">
        <v>845</v>
      </c>
      <c r="AS55" s="16" t="s">
        <v>845</v>
      </c>
      <c r="AT55" s="16" t="s">
        <v>845</v>
      </c>
      <c r="AU55" s="16" t="s">
        <v>845</v>
      </c>
      <c r="AV55" s="16" t="s">
        <v>845</v>
      </c>
      <c r="AW55" s="16" t="s">
        <v>845</v>
      </c>
      <c r="AX55" s="16" t="s">
        <v>845</v>
      </c>
      <c r="AY55" s="16" t="s">
        <v>845</v>
      </c>
      <c r="AZ55" s="16" t="s">
        <v>845</v>
      </c>
      <c r="BA55" s="16" t="s">
        <v>845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4">
        <v>1070606</v>
      </c>
      <c r="BQ55" s="4">
        <v>604947</v>
      </c>
      <c r="BR55" s="4">
        <v>274400</v>
      </c>
      <c r="BS55" s="4">
        <v>368530</v>
      </c>
      <c r="BT55" s="4">
        <v>677341</v>
      </c>
      <c r="BU55" s="4">
        <v>770903</v>
      </c>
      <c r="BV55" s="4">
        <v>639215</v>
      </c>
      <c r="BW55" s="4">
        <v>801038</v>
      </c>
      <c r="BX55" s="4">
        <v>986971</v>
      </c>
      <c r="BY55" s="4">
        <v>784316</v>
      </c>
      <c r="BZ55" s="112">
        <v>1306567</v>
      </c>
      <c r="CA55" s="112">
        <v>600523</v>
      </c>
      <c r="CB55" s="112">
        <v>817636</v>
      </c>
      <c r="CC55" s="112">
        <v>510111</v>
      </c>
      <c r="CD55" s="112">
        <v>714214</v>
      </c>
      <c r="CE55" s="112">
        <v>254965</v>
      </c>
      <c r="CF55" s="112">
        <v>762379</v>
      </c>
      <c r="CG55" s="112">
        <v>436353</v>
      </c>
      <c r="CH55" s="112">
        <v>654427</v>
      </c>
      <c r="CI55" s="112">
        <v>479864</v>
      </c>
      <c r="CJ55" s="112">
        <v>2213629</v>
      </c>
      <c r="CK55" s="112">
        <v>947489</v>
      </c>
      <c r="CL55" s="16">
        <v>895633</v>
      </c>
      <c r="CM55" s="16">
        <v>997787</v>
      </c>
      <c r="CN55" s="16">
        <v>1333299</v>
      </c>
      <c r="CO55" s="16">
        <v>725072</v>
      </c>
      <c r="CP55" s="16">
        <v>479214</v>
      </c>
      <c r="CQ55" s="16">
        <v>390140</v>
      </c>
      <c r="CR55" s="16">
        <v>438482</v>
      </c>
      <c r="CS55" s="16">
        <v>548965</v>
      </c>
      <c r="CT55" s="16">
        <v>356963</v>
      </c>
      <c r="CU55" s="16">
        <v>792187</v>
      </c>
      <c r="CV55" s="16">
        <v>716431</v>
      </c>
      <c r="CW55" s="16">
        <v>738822</v>
      </c>
      <c r="CX55" s="16">
        <v>1338137</v>
      </c>
      <c r="CY55" s="16">
        <v>1127032</v>
      </c>
      <c r="CZ55" s="16">
        <v>579506</v>
      </c>
      <c r="DA55" s="16">
        <v>391388</v>
      </c>
      <c r="DB55" s="16">
        <v>482288</v>
      </c>
      <c r="DC55" s="16">
        <v>725850</v>
      </c>
      <c r="DD55" s="16">
        <v>446300</v>
      </c>
      <c r="DE55" s="16">
        <v>323631</v>
      </c>
      <c r="DF55" s="16">
        <v>793500</v>
      </c>
      <c r="DG55" s="16">
        <v>618189</v>
      </c>
      <c r="DH55" s="16">
        <v>769159</v>
      </c>
      <c r="DI55" s="16">
        <v>1249835</v>
      </c>
      <c r="DJ55" s="16">
        <v>893754</v>
      </c>
      <c r="DK55" s="16">
        <v>429099</v>
      </c>
      <c r="DL55" s="16">
        <v>485635</v>
      </c>
      <c r="DM55" s="16">
        <v>1313919</v>
      </c>
      <c r="DN55" s="16">
        <v>554469</v>
      </c>
      <c r="DO55" s="16">
        <v>976115</v>
      </c>
      <c r="DP55" s="16">
        <v>534054</v>
      </c>
      <c r="DQ55" s="16">
        <v>827931</v>
      </c>
      <c r="DR55" s="16">
        <v>272148</v>
      </c>
      <c r="DS55" s="16">
        <v>753500</v>
      </c>
      <c r="DT55" s="16">
        <v>881389</v>
      </c>
      <c r="DU55" s="16">
        <v>1777121</v>
      </c>
      <c r="DV55" s="16">
        <v>1091560</v>
      </c>
      <c r="DW55" s="16">
        <v>943690</v>
      </c>
      <c r="DX55" s="16">
        <v>959926</v>
      </c>
      <c r="DY55" s="16">
        <v>1253652</v>
      </c>
      <c r="DZ55" s="16">
        <v>798225</v>
      </c>
      <c r="EA55" s="16">
        <v>635582</v>
      </c>
      <c r="EB55" s="16">
        <v>453974</v>
      </c>
      <c r="EC55" s="16">
        <v>354152</v>
      </c>
      <c r="ED55" s="16">
        <v>391623</v>
      </c>
      <c r="EE55" s="16">
        <v>1126290</v>
      </c>
      <c r="EF55" s="16">
        <v>962180</v>
      </c>
      <c r="EG55" s="16">
        <v>1339960</v>
      </c>
      <c r="EH55" s="16">
        <v>1609913</v>
      </c>
      <c r="EI55" s="16">
        <v>1837737</v>
      </c>
      <c r="EJ55" s="16">
        <v>707518</v>
      </c>
      <c r="EK55" s="16">
        <v>699138</v>
      </c>
      <c r="EL55" s="16">
        <v>617014</v>
      </c>
      <c r="EM55" s="16">
        <v>419217</v>
      </c>
      <c r="EN55" s="16">
        <v>314250</v>
      </c>
      <c r="EO55" s="16">
        <v>477300</v>
      </c>
      <c r="EP55" s="16">
        <v>170669</v>
      </c>
      <c r="EQ55" s="16">
        <v>815770</v>
      </c>
      <c r="ER55" s="16">
        <v>720170</v>
      </c>
      <c r="ES55" s="16">
        <v>980003</v>
      </c>
      <c r="ET55" s="16">
        <v>1436000</v>
      </c>
      <c r="EU55" s="16">
        <v>1002000</v>
      </c>
      <c r="EV55" s="16">
        <v>1059000</v>
      </c>
      <c r="EW55" s="16">
        <v>485000</v>
      </c>
      <c r="EX55" s="16">
        <v>725511</v>
      </c>
      <c r="EY55" s="16">
        <v>527000</v>
      </c>
      <c r="EZ55" s="16">
        <v>546000</v>
      </c>
      <c r="FA55" s="16">
        <v>496050</v>
      </c>
      <c r="FB55" s="16">
        <v>467665</v>
      </c>
      <c r="FC55" s="16">
        <v>561135</v>
      </c>
      <c r="FD55" s="16">
        <v>1392322</v>
      </c>
      <c r="FE55" s="16">
        <v>1992997</v>
      </c>
      <c r="FF55" s="16">
        <v>1503000</v>
      </c>
      <c r="FG55" s="16">
        <v>1258599</v>
      </c>
      <c r="FH55" s="16">
        <v>1275143</v>
      </c>
      <c r="FI55" s="16">
        <v>670524</v>
      </c>
      <c r="FJ55" s="16">
        <v>438042</v>
      </c>
      <c r="FK55" s="16">
        <v>341291</v>
      </c>
      <c r="FL55" s="16">
        <v>303810</v>
      </c>
      <c r="FM55" s="16">
        <v>442850</v>
      </c>
      <c r="FN55" s="16">
        <v>425320</v>
      </c>
      <c r="FO55" s="16">
        <v>339770</v>
      </c>
      <c r="FP55" s="16">
        <v>851260</v>
      </c>
      <c r="FQ55" s="16">
        <v>490510</v>
      </c>
      <c r="FR55" s="40">
        <f>_xll.LVCELL($D$2,FR$15,$B55,$D$5,$D$6,$D$7,$D$8,$D$9,$D$10,$D$11)</f>
        <v>739550</v>
      </c>
      <c r="FS55" s="40">
        <f>_xll.LVCELL($D$2,FS$15,$B55,$D$5,$D$6,$D$7,$D$8,$D$9,$D$10,$D$11)</f>
        <v>1072110</v>
      </c>
      <c r="FT55" s="40">
        <f>_xll.LVCELL($D$2,FT$15,$B55,$D$5,$D$6,$D$7,$D$8,$D$9,$D$10,$D$11)</f>
        <v>1089370</v>
      </c>
      <c r="FU55" s="40">
        <f>_xll.LVCELL($D$2,FU$15,$B55,$D$5,$D$6,$D$7,$D$8,$D$9,$D$10,$D$11)</f>
        <v>359230</v>
      </c>
      <c r="FV55" s="40">
        <f>_xll.LVCELL($D$2,FV$15,$B55,$D$5,$D$6,$D$7,$D$8,$D$9,$D$10,$D$11)</f>
        <v>533171</v>
      </c>
      <c r="FW55" s="40">
        <f>_xll.LVCELL($D$2,FW$15,$B55,$D$5,$D$6,$D$7,$D$8,$D$9,$D$10,$D$11)</f>
        <v>467530</v>
      </c>
      <c r="FX55" s="40">
        <f>_xll.LVCELL($D$2,FX$15,$B55,$D$5,$D$6,$D$7,$D$8,$D$9,$D$10,$D$11)</f>
        <v>421222.17</v>
      </c>
      <c r="FY55" s="40">
        <f>_xll.LVCELL($D$2,FY$15,$B55,$D$5,$D$6,$D$7,$D$8,$D$9,$D$10,$D$11)</f>
        <v>391624</v>
      </c>
      <c r="FZ55" s="40">
        <f>_xll.LVCELL($D$2,FZ$15,$B55,$D$5,$D$6,$D$7,$D$8,$D$9,$D$10,$D$11)</f>
        <v>650505.67000000004</v>
      </c>
      <c r="GA55" s="40">
        <f>_xll.LVCELL($D$2,GA$15,$B55,$D$5,$D$6,$D$7,$D$8,$D$9,$D$10,$D$11)</f>
        <v>610906</v>
      </c>
      <c r="GB55" s="40">
        <f>_xll.LVCELL($D$2,GB$15,$B55,$D$5,$D$6,$D$7,$D$8,$D$9,$D$10,$D$11)</f>
        <v>646990</v>
      </c>
      <c r="GC55" s="40">
        <f>_xll.LVCELL($D$2,GC$15,$B55,$D$5,$D$6,$D$7,$D$8,$D$9,$D$10,$D$11)</f>
        <v>1235251</v>
      </c>
      <c r="GD55" s="25">
        <f>_xll.LVCELL($D$2,GD$15,$B55,$D$5,$D$6,$D$7,$D$8,$D$9,$D$10,$D$11)</f>
        <v>1717585</v>
      </c>
      <c r="GE55" s="25">
        <f>_xll.LVCELL($D$2,GE$15,$B55,$D$5,$D$6,$D$7,$D$8,$D$9,$D$10,$D$11)</f>
        <v>930144</v>
      </c>
      <c r="GF55" s="25">
        <f>_xll.LVCELL($D$2,GF$15,$B55,$D$5,$D$6,$D$7,$D$8,$D$9,$D$10,$D$11)</f>
        <v>1131250</v>
      </c>
      <c r="GG55" s="25">
        <f>_xll.LVCELL($D$2,GG$15,$B55,$D$5,$D$6,$D$7,$D$8,$D$9,$D$10,$D$11)</f>
        <v>868367</v>
      </c>
      <c r="GH55" s="25">
        <f>_xll.LVCELL($D$2,GH$15,$B55,$D$5,$D$6,$D$7,$D$8,$D$9,$D$10,$D$11)</f>
        <v>313672</v>
      </c>
      <c r="GI55" s="25">
        <f>_xll.LVCELL($D$2,GI$15,$B55,$D$5,$D$6,$D$7,$D$8,$D$9,$D$10,$D$11)</f>
        <v>280577</v>
      </c>
      <c r="GJ55" s="25">
        <f>_xll.LVCELL($D$2,GJ$15,$B55,$D$5,$D$6,$D$7,$D$8,$D$9,$D$10,$D$11)</f>
        <v>286975</v>
      </c>
      <c r="GK55" s="25">
        <f>_xll.LVCELL($D$2,GK$15,$B55,$D$5,$D$6,$D$7,$D$8,$D$9,$D$10,$D$11)</f>
        <v>258418</v>
      </c>
      <c r="GL55" s="25">
        <f>_xll.LVCELL($D$2,GL$15,$B55,$D$5,$D$6,$D$7,$D$8,$D$9,$D$10,$D$11)</f>
        <v>554323</v>
      </c>
      <c r="GM55" s="25">
        <f>_xll.LVCELL($D$2,GM$15,$B55,$D$5,$D$6,$D$7,$D$8,$D$9,$D$10,$D$11)</f>
        <v>678890</v>
      </c>
      <c r="GN55" s="25">
        <f>_xll.LVCELL($D$2,GN$15,$B55,$D$5,$D$6,$D$7,$D$8,$D$9,$D$10,$D$11)</f>
        <v>1078721</v>
      </c>
      <c r="GO55" s="25">
        <f>_xll.LVCELL($D$2,GO$15,$B55,$D$5,$D$6,$D$7,$D$8,$D$9,$D$10,$D$11)</f>
        <v>1273671</v>
      </c>
      <c r="GP55" s="25">
        <f>_xll.LVCELL($D$2,GP$15,$B55,$D$5,$D$6,$D$7,$D$8,$D$9,$D$10,$D$11)</f>
        <v>610670</v>
      </c>
      <c r="GQ55" s="25">
        <f>_xll.LVCELL($D$2,GQ$15,$B55,$D$5,$D$6,$D$7,$D$8,$D$9,$D$10,$D$11)</f>
        <v>817818</v>
      </c>
      <c r="GR55" s="25">
        <f>_xll.LVCELL($D$2,GR$15,$B55,$D$5,$D$6,$D$7,$D$8,$D$9,$D$10,$D$11)</f>
        <v>1398021</v>
      </c>
      <c r="GS55" s="25">
        <f>_xll.LVCELL($D$2,GS$15,$B55,$D$5,$D$6,$D$7,$D$8,$D$9,$D$10,$D$11)</f>
        <v>538644</v>
      </c>
      <c r="GT55" s="25">
        <f>_xll.LVCELL($D$2,GT$15,$B55,$D$5,$D$6,$D$7,$D$8,$D$9,$D$10,$D$11)</f>
        <v>397309</v>
      </c>
      <c r="GU55" s="25">
        <f>_xll.LVCELL($D$2,GU$15,$B55,$D$5,$D$6,$D$7,$D$8,$D$9,$D$10,$D$11)</f>
        <v>407267</v>
      </c>
      <c r="GV55" s="25">
        <f>_xll.LVCELL($D$2,GV$15,$B55,$D$5,$D$6,$D$7,$D$8,$D$9,$D$10,$D$11)</f>
        <v>430505</v>
      </c>
      <c r="GW55" s="25">
        <f>_xll.LVCELL($D$2,GW$15,$B55,$D$5,$D$6,$D$7,$D$8,$D$9,$D$10,$D$11)</f>
        <v>560790</v>
      </c>
      <c r="GX55" s="25">
        <f>_xll.LVCELL($D$2,GX$15,$B55,$D$5,$D$6,$D$7,$D$8,$D$9,$D$10,$D$11)</f>
        <v>763845</v>
      </c>
      <c r="GY55" s="25">
        <f>_xll.LVCELL($D$2,GY$15,$B55,$D$5,$D$6,$D$7,$D$8,$D$9,$D$10,$D$11)</f>
        <v>849304</v>
      </c>
      <c r="GZ55" s="25">
        <f>_xll.LVCELL($D$2,GZ$15,$B55,$D$5,$D$6,$D$7,$D$8,$D$9,$D$10,$D$11)</f>
        <v>998760</v>
      </c>
      <c r="HA55" s="25">
        <f>_xll.LVCELL($D$2,HA$15,$B55,$D$5,$D$6,$D$7,$D$8,$D$9,$D$10,$D$11)</f>
        <v>1493438</v>
      </c>
      <c r="HB55" s="25">
        <f>_xll.LVCELL($D$2,HB$15,$B55,$D$5,$D$6,$D$7,$D$8,$D$9,$D$10,$D$11)</f>
        <v>1182465</v>
      </c>
      <c r="HC55" s="25">
        <f>_xll.LVCELL($D$2,HC$15,$B55,$D$5,$D$6,$D$7,$D$8,$D$9,$D$10,$D$11)</f>
        <v>2051424</v>
      </c>
      <c r="HD55" s="25">
        <f>_xll.LVCELL($D$2,HD$15,$B55,$D$5,$D$6,$D$7,$D$8,$D$9,$D$10,$D$11)</f>
        <v>1344012</v>
      </c>
      <c r="HE55" s="25">
        <f>_xll.LVCELL($D$2,HE$15,$B55,$D$5,$D$6,$D$7,$D$8,$D$9,$D$10,$D$11)</f>
        <v>536056</v>
      </c>
      <c r="HF55" s="25">
        <f>_xll.LVCELL($D$2,HF$15,$B55,$D$5,$D$6,$D$7,$D$8,$D$9,$D$10,$D$11)</f>
        <v>638592</v>
      </c>
      <c r="HG55" s="25">
        <f>_xll.LVCELL($D$2,HG$15,$B55,$D$5,$D$6,$D$7,$D$8,$D$9,$D$10,$D$11)</f>
        <v>400564</v>
      </c>
      <c r="HH55" s="25">
        <f>_xll.LVCELL($D$2,HH$15,$B55,$D$5,$D$6,$D$7,$D$8,$D$9,$D$10,$D$11)</f>
        <v>395813</v>
      </c>
      <c r="HI55" s="25">
        <f>_xll.LVCELL($D$2,HI$15,$B55,$D$5,$D$6,$D$7,$D$8,$D$9,$D$10,$D$11)</f>
        <v>601239</v>
      </c>
      <c r="HJ55" s="25">
        <f>_xll.LVCELL($D$2,HJ$15,$B55,$D$5,$D$6,$D$7,$D$8,$D$9,$D$10,$D$11)</f>
        <v>409780</v>
      </c>
      <c r="HK55" s="25">
        <f>_xll.LVCELL($D$2,HK$15,$B55,$D$5,$D$6,$D$7,$D$8,$D$9,$D$10,$D$11)</f>
        <v>1186530</v>
      </c>
      <c r="HL55" s="25">
        <f>_xll.LVCELL($D$2,HL$15,$B55,$D$5,$D$6,$D$7,$D$8,$D$9,$D$10,$D$11)</f>
        <v>935917</v>
      </c>
      <c r="HM55" s="25">
        <f>_xll.LVCELL($D$2,HM$15,$B55,$D$5,$D$6,$D$7,$D$8,$D$9,$D$10,$D$11)</f>
        <v>1452091</v>
      </c>
    </row>
    <row r="56" spans="1:221">
      <c r="A56" t="s">
        <v>191</v>
      </c>
      <c r="B56" t="s">
        <v>266</v>
      </c>
      <c r="D56" s="10" t="s">
        <v>2771</v>
      </c>
      <c r="E56" s="19">
        <v>39813</v>
      </c>
      <c r="F56" s="16" t="s">
        <v>845</v>
      </c>
      <c r="G56" s="16" t="s">
        <v>845</v>
      </c>
      <c r="H56" s="16" t="s">
        <v>845</v>
      </c>
      <c r="I56" s="16" t="s">
        <v>845</v>
      </c>
      <c r="J56" s="16" t="s">
        <v>845</v>
      </c>
      <c r="K56" s="16" t="s">
        <v>845</v>
      </c>
      <c r="L56" s="16" t="s">
        <v>845</v>
      </c>
      <c r="M56" s="16" t="s">
        <v>845</v>
      </c>
      <c r="N56" s="16" t="s">
        <v>845</v>
      </c>
      <c r="O56" s="16" t="s">
        <v>845</v>
      </c>
      <c r="P56" s="16" t="s">
        <v>845</v>
      </c>
      <c r="Q56" s="16" t="s">
        <v>845</v>
      </c>
      <c r="R56" s="16" t="s">
        <v>845</v>
      </c>
      <c r="S56" s="16" t="s">
        <v>845</v>
      </c>
      <c r="T56" s="16" t="s">
        <v>845</v>
      </c>
      <c r="U56" s="16" t="s">
        <v>845</v>
      </c>
      <c r="V56" s="16" t="s">
        <v>845</v>
      </c>
      <c r="W56" s="16" t="s">
        <v>845</v>
      </c>
      <c r="X56" s="16" t="s">
        <v>845</v>
      </c>
      <c r="Y56" s="16" t="s">
        <v>845</v>
      </c>
      <c r="Z56" s="16" t="s">
        <v>845</v>
      </c>
      <c r="AA56" s="16" t="s">
        <v>845</v>
      </c>
      <c r="AB56" s="16" t="s">
        <v>845</v>
      </c>
      <c r="AC56" s="16" t="s">
        <v>845</v>
      </c>
      <c r="AD56" s="16" t="s">
        <v>845</v>
      </c>
      <c r="AE56" s="16" t="s">
        <v>845</v>
      </c>
      <c r="AF56" s="16" t="s">
        <v>845</v>
      </c>
      <c r="AG56" s="16" t="s">
        <v>845</v>
      </c>
      <c r="AH56" s="16" t="s">
        <v>845</v>
      </c>
      <c r="AI56" s="16" t="s">
        <v>845</v>
      </c>
      <c r="AJ56" s="16" t="s">
        <v>845</v>
      </c>
      <c r="AK56" s="16" t="s">
        <v>845</v>
      </c>
      <c r="AL56" s="16" t="s">
        <v>845</v>
      </c>
      <c r="AM56" s="16" t="s">
        <v>845</v>
      </c>
      <c r="AN56" s="16" t="s">
        <v>845</v>
      </c>
      <c r="AO56" s="16" t="s">
        <v>845</v>
      </c>
      <c r="AP56" s="16" t="s">
        <v>845</v>
      </c>
      <c r="AQ56" s="16" t="s">
        <v>845</v>
      </c>
      <c r="AR56" s="16" t="s">
        <v>845</v>
      </c>
      <c r="AS56" s="16" t="s">
        <v>845</v>
      </c>
      <c r="AT56" s="16" t="s">
        <v>845</v>
      </c>
      <c r="AU56" s="16" t="s">
        <v>845</v>
      </c>
      <c r="AV56" s="16" t="s">
        <v>845</v>
      </c>
      <c r="AW56" s="16" t="s">
        <v>845</v>
      </c>
      <c r="AX56" s="16" t="s">
        <v>845</v>
      </c>
      <c r="AY56" s="16" t="s">
        <v>845</v>
      </c>
      <c r="AZ56" s="16" t="s">
        <v>845</v>
      </c>
      <c r="BA56" s="16" t="s">
        <v>845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12">
        <v>0</v>
      </c>
      <c r="BQ56" s="112">
        <v>0</v>
      </c>
      <c r="BR56" s="112">
        <v>0</v>
      </c>
      <c r="BS56" s="112">
        <v>0</v>
      </c>
      <c r="BT56" s="112">
        <v>0</v>
      </c>
      <c r="BU56" s="112">
        <v>0</v>
      </c>
      <c r="BV56" s="112">
        <v>0</v>
      </c>
      <c r="BW56" s="112">
        <v>0</v>
      </c>
      <c r="BX56" s="112">
        <v>0</v>
      </c>
      <c r="BY56" s="112">
        <v>0</v>
      </c>
      <c r="BZ56" s="112">
        <v>420215</v>
      </c>
      <c r="CA56" s="112">
        <v>173201</v>
      </c>
      <c r="CB56" s="112">
        <v>982565</v>
      </c>
      <c r="CC56" s="112">
        <v>783998</v>
      </c>
      <c r="CD56" s="112">
        <v>1048988</v>
      </c>
      <c r="CE56" s="112">
        <v>490915</v>
      </c>
      <c r="CF56" s="112">
        <v>1206080</v>
      </c>
      <c r="CG56" s="112">
        <v>642400</v>
      </c>
      <c r="CH56" s="112">
        <v>1182729</v>
      </c>
      <c r="CI56" s="112">
        <v>705271</v>
      </c>
      <c r="CJ56" s="112">
        <v>2965460</v>
      </c>
      <c r="CK56" s="112">
        <v>1439808</v>
      </c>
      <c r="CL56" s="16">
        <v>1180127</v>
      </c>
      <c r="CM56" s="16">
        <v>1507603</v>
      </c>
      <c r="CN56" s="16">
        <v>2006048</v>
      </c>
      <c r="CO56" s="16">
        <v>1270713</v>
      </c>
      <c r="CP56" s="16">
        <v>931910</v>
      </c>
      <c r="CQ56" s="16">
        <v>836679</v>
      </c>
      <c r="CR56" s="16">
        <v>732180</v>
      </c>
      <c r="CS56" s="16">
        <v>869872</v>
      </c>
      <c r="CT56" s="16">
        <v>556680</v>
      </c>
      <c r="CU56" s="16">
        <v>1316967</v>
      </c>
      <c r="CV56" s="16">
        <v>1150850</v>
      </c>
      <c r="CW56" s="16">
        <v>1112390</v>
      </c>
      <c r="CX56" s="16">
        <v>2094050</v>
      </c>
      <c r="CY56" s="16">
        <v>1623952</v>
      </c>
      <c r="CZ56" s="16">
        <v>992194</v>
      </c>
      <c r="DA56" s="16">
        <v>613263</v>
      </c>
      <c r="DB56" s="16">
        <v>706403</v>
      </c>
      <c r="DC56" s="16">
        <v>1131072</v>
      </c>
      <c r="DD56" s="16">
        <v>697672</v>
      </c>
      <c r="DE56" s="16">
        <v>421921</v>
      </c>
      <c r="DF56" s="16">
        <v>1015031</v>
      </c>
      <c r="DG56" s="16">
        <v>816848</v>
      </c>
      <c r="DH56" s="16">
        <v>988228</v>
      </c>
      <c r="DI56" s="16">
        <v>1935679</v>
      </c>
      <c r="DJ56" s="16">
        <v>1064219</v>
      </c>
      <c r="DK56" s="16">
        <v>758680</v>
      </c>
      <c r="DL56" s="16">
        <v>788798</v>
      </c>
      <c r="DM56" s="16">
        <v>1898616</v>
      </c>
      <c r="DN56" s="16">
        <v>944022</v>
      </c>
      <c r="DO56" s="16">
        <v>1434785</v>
      </c>
      <c r="DP56" s="16">
        <v>855285</v>
      </c>
      <c r="DQ56" s="16">
        <v>1137834</v>
      </c>
      <c r="DR56" s="16">
        <v>636106</v>
      </c>
      <c r="DS56" s="16">
        <v>1220606</v>
      </c>
      <c r="DT56" s="16">
        <v>1296992</v>
      </c>
      <c r="DU56" s="16">
        <v>2473750</v>
      </c>
      <c r="DV56" s="16">
        <v>1334640</v>
      </c>
      <c r="DW56" s="16">
        <v>1346533</v>
      </c>
      <c r="DX56" s="16">
        <v>1223468</v>
      </c>
      <c r="DY56" s="16">
        <v>1855024</v>
      </c>
      <c r="DZ56" s="16">
        <v>1269671</v>
      </c>
      <c r="EA56" s="16">
        <v>1087666</v>
      </c>
      <c r="EB56" s="16">
        <v>935556</v>
      </c>
      <c r="EC56" s="16">
        <v>637630</v>
      </c>
      <c r="ED56" s="16">
        <v>633233</v>
      </c>
      <c r="EE56" s="16">
        <v>1665631</v>
      </c>
      <c r="EF56" s="16">
        <v>1486601</v>
      </c>
      <c r="EG56" s="16">
        <v>1721580</v>
      </c>
      <c r="EH56" s="16">
        <v>2140358</v>
      </c>
      <c r="EI56" s="16">
        <v>2554869</v>
      </c>
      <c r="EJ56" s="16">
        <v>1047742.9999999999</v>
      </c>
      <c r="EK56" s="16">
        <v>1052352</v>
      </c>
      <c r="EL56" s="16">
        <v>979630</v>
      </c>
      <c r="EM56" s="16">
        <v>710450</v>
      </c>
      <c r="EN56" s="16">
        <v>635421</v>
      </c>
      <c r="EO56" s="16">
        <v>770996</v>
      </c>
      <c r="EP56" s="16">
        <v>346332</v>
      </c>
      <c r="EQ56" s="16">
        <v>1191948</v>
      </c>
      <c r="ER56" s="16">
        <v>1128892</v>
      </c>
      <c r="ES56" s="16">
        <v>1590558</v>
      </c>
      <c r="ET56" s="16">
        <v>1947000</v>
      </c>
      <c r="EU56" s="16">
        <v>1609000</v>
      </c>
      <c r="EV56" s="16">
        <v>1599000</v>
      </c>
      <c r="EW56" s="16">
        <v>866000</v>
      </c>
      <c r="EX56" s="16">
        <v>1142506</v>
      </c>
      <c r="EY56" s="16">
        <v>917000</v>
      </c>
      <c r="EZ56" s="16">
        <v>851000</v>
      </c>
      <c r="FA56" s="16">
        <v>801323</v>
      </c>
      <c r="FB56" s="16">
        <v>926032</v>
      </c>
      <c r="FC56" s="16">
        <v>1035661</v>
      </c>
      <c r="FD56" s="16">
        <v>2118836</v>
      </c>
      <c r="FE56" s="16">
        <v>2599520</v>
      </c>
      <c r="FF56" s="16">
        <v>2138000</v>
      </c>
      <c r="FG56" s="16">
        <v>1879647</v>
      </c>
      <c r="FH56" s="16">
        <v>1984820</v>
      </c>
      <c r="FI56" s="16">
        <v>1066314</v>
      </c>
      <c r="FJ56" s="16">
        <v>671100</v>
      </c>
      <c r="FK56" s="16">
        <v>588827</v>
      </c>
      <c r="FL56" s="16">
        <v>555480</v>
      </c>
      <c r="FM56" s="16">
        <v>719940</v>
      </c>
      <c r="FN56" s="16">
        <v>634420</v>
      </c>
      <c r="FO56" s="16">
        <v>680950</v>
      </c>
      <c r="FP56" s="16">
        <v>1384380</v>
      </c>
      <c r="FQ56" s="16">
        <v>702760</v>
      </c>
      <c r="FR56" s="40">
        <f>_xll.LVCELL($D$2,FR$15,$B56,$D$5,$D$6,$D$7,$D$8,$D$9,$D$10,$D$11)</f>
        <v>1021570</v>
      </c>
      <c r="FS56" s="40">
        <f>_xll.LVCELL($D$2,FS$15,$B56,$D$5,$D$6,$D$7,$D$8,$D$9,$D$10,$D$11)</f>
        <v>1573030</v>
      </c>
      <c r="FT56" s="40">
        <f>_xll.LVCELL($D$2,FT$15,$B56,$D$5,$D$6,$D$7,$D$8,$D$9,$D$10,$D$11)</f>
        <v>1636980</v>
      </c>
      <c r="FU56" s="40">
        <f>_xll.LVCELL($D$2,FU$15,$B56,$D$5,$D$6,$D$7,$D$8,$D$9,$D$10,$D$11)</f>
        <v>695830</v>
      </c>
      <c r="FV56" s="40">
        <f>_xll.LVCELL($D$2,FV$15,$B56,$D$5,$D$6,$D$7,$D$8,$D$9,$D$10,$D$11)</f>
        <v>556352</v>
      </c>
      <c r="FW56" s="40">
        <f>_xll.LVCELL($D$2,FW$15,$B56,$D$5,$D$6,$D$7,$D$8,$D$9,$D$10,$D$11)</f>
        <v>808330</v>
      </c>
      <c r="FX56" s="40">
        <f>_xll.LVCELL($D$2,FX$15,$B56,$D$5,$D$6,$D$7,$D$8,$D$9,$D$10,$D$11)</f>
        <v>874555.67</v>
      </c>
      <c r="FY56" s="40">
        <f>_xll.LVCELL($D$2,FY$15,$B56,$D$5,$D$6,$D$7,$D$8,$D$9,$D$10,$D$11)</f>
        <v>576872</v>
      </c>
      <c r="FZ56" s="40">
        <f>_xll.LVCELL($D$2,FZ$15,$B56,$D$5,$D$6,$D$7,$D$8,$D$9,$D$10,$D$11)</f>
        <v>1043832.33</v>
      </c>
      <c r="GA56" s="40">
        <f>_xll.LVCELL($D$2,GA$15,$B56,$D$5,$D$6,$D$7,$D$8,$D$9,$D$10,$D$11)</f>
        <v>918940</v>
      </c>
      <c r="GB56" s="40">
        <f>_xll.LVCELL($D$2,GB$15,$B56,$D$5,$D$6,$D$7,$D$8,$D$9,$D$10,$D$11)</f>
        <v>1173882</v>
      </c>
      <c r="GC56" s="40">
        <f>_xll.LVCELL($D$2,GC$15,$B56,$D$5,$D$6,$D$7,$D$8,$D$9,$D$10,$D$11)</f>
        <v>1905750</v>
      </c>
      <c r="GD56" s="25">
        <f>_xll.LVCELL($D$2,GD$15,$B56,$D$5,$D$6,$D$7,$D$8,$D$9,$D$10,$D$11)</f>
        <v>2373001</v>
      </c>
      <c r="GE56" s="25">
        <f>_xll.LVCELL($D$2,GE$15,$B56,$D$5,$D$6,$D$7,$D$8,$D$9,$D$10,$D$11)</f>
        <v>1560911</v>
      </c>
      <c r="GF56" s="25">
        <f>_xll.LVCELL($D$2,GF$15,$B56,$D$5,$D$6,$D$7,$D$8,$D$9,$D$10,$D$11)</f>
        <v>1682136</v>
      </c>
      <c r="GG56" s="25">
        <f>_xll.LVCELL($D$2,GG$15,$B56,$D$5,$D$6,$D$7,$D$8,$D$9,$D$10,$D$11)</f>
        <v>1200899</v>
      </c>
      <c r="GH56" s="25">
        <f>_xll.LVCELL($D$2,GH$15,$B56,$D$5,$D$6,$D$7,$D$8,$D$9,$D$10,$D$11)</f>
        <v>656660</v>
      </c>
      <c r="GI56" s="25">
        <f>_xll.LVCELL($D$2,GI$15,$B56,$D$5,$D$6,$D$7,$D$8,$D$9,$D$10,$D$11)</f>
        <v>634038</v>
      </c>
      <c r="GJ56" s="25">
        <f>_xll.LVCELL($D$2,GJ$15,$B56,$D$5,$D$6,$D$7,$D$8,$D$9,$D$10,$D$11)</f>
        <v>564302</v>
      </c>
      <c r="GK56" s="25">
        <f>_xll.LVCELL($D$2,GK$15,$B56,$D$5,$D$6,$D$7,$D$8,$D$9,$D$10,$D$11)</f>
        <v>464870</v>
      </c>
      <c r="GL56" s="25">
        <f>_xll.LVCELL($D$2,GL$15,$B56,$D$5,$D$6,$D$7,$D$8,$D$9,$D$10,$D$11)</f>
        <v>909719</v>
      </c>
      <c r="GM56" s="25">
        <f>_xll.LVCELL($D$2,GM$15,$B56,$D$5,$D$6,$D$7,$D$8,$D$9,$D$10,$D$11)</f>
        <v>1191224</v>
      </c>
      <c r="GN56" s="25">
        <f>_xll.LVCELL($D$2,GN$15,$B56,$D$5,$D$6,$D$7,$D$8,$D$9,$D$10,$D$11)</f>
        <v>1502369</v>
      </c>
      <c r="GO56" s="25">
        <f>_xll.LVCELL($D$2,GO$15,$B56,$D$5,$D$6,$D$7,$D$8,$D$9,$D$10,$D$11)</f>
        <v>1886179</v>
      </c>
      <c r="GP56" s="25">
        <f>_xll.LVCELL($D$2,GP$15,$B56,$D$5,$D$6,$D$7,$D$8,$D$9,$D$10,$D$11)</f>
        <v>1005449</v>
      </c>
      <c r="GQ56" s="25">
        <f>_xll.LVCELL($D$2,GQ$15,$B56,$D$5,$D$6,$D$7,$D$8,$D$9,$D$10,$D$11)</f>
        <v>1134991</v>
      </c>
      <c r="GR56" s="25">
        <f>_xll.LVCELL($D$2,GR$15,$B56,$D$5,$D$6,$D$7,$D$8,$D$9,$D$10,$D$11)</f>
        <v>2020310</v>
      </c>
      <c r="GS56" s="25">
        <f>_xll.LVCELL($D$2,GS$15,$B56,$D$5,$D$6,$D$7,$D$8,$D$9,$D$10,$D$11)</f>
        <v>831945</v>
      </c>
      <c r="GT56" s="25">
        <f>_xll.LVCELL($D$2,GT$15,$B56,$D$5,$D$6,$D$7,$D$8,$D$9,$D$10,$D$11)</f>
        <v>703990</v>
      </c>
      <c r="GU56" s="25">
        <f>_xll.LVCELL($D$2,GU$15,$B56,$D$5,$D$6,$D$7,$D$8,$D$9,$D$10,$D$11)</f>
        <v>648847</v>
      </c>
      <c r="GV56" s="25">
        <f>_xll.LVCELL($D$2,GV$15,$B56,$D$5,$D$6,$D$7,$D$8,$D$9,$D$10,$D$11)</f>
        <v>722719</v>
      </c>
      <c r="GW56" s="25">
        <f>_xll.LVCELL($D$2,GW$15,$B56,$D$5,$D$6,$D$7,$D$8,$D$9,$D$10,$D$11)</f>
        <v>838649</v>
      </c>
      <c r="GX56" s="25">
        <f>_xll.LVCELL($D$2,GX$15,$B56,$D$5,$D$6,$D$7,$D$8,$D$9,$D$10,$D$11)</f>
        <v>919000</v>
      </c>
      <c r="GY56" s="25">
        <f>_xll.LVCELL($D$2,GY$15,$B56,$D$5,$D$6,$D$7,$D$8,$D$9,$D$10,$D$11)</f>
        <v>1791466</v>
      </c>
      <c r="GZ56" s="25">
        <f>_xll.LVCELL($D$2,GZ$15,$B56,$D$5,$D$6,$D$7,$D$8,$D$9,$D$10,$D$11)</f>
        <v>1575321</v>
      </c>
      <c r="HA56" s="25">
        <f>_xll.LVCELL($D$2,HA$15,$B56,$D$5,$D$6,$D$7,$D$8,$D$9,$D$10,$D$11)</f>
        <v>2116368</v>
      </c>
      <c r="HB56" s="25">
        <f>_xll.LVCELL($D$2,HB$15,$B56,$D$5,$D$6,$D$7,$D$8,$D$9,$D$10,$D$11)</f>
        <v>1846540</v>
      </c>
      <c r="HC56" s="25">
        <f>_xll.LVCELL($D$2,HC$15,$B56,$D$5,$D$6,$D$7,$D$8,$D$9,$D$10,$D$11)</f>
        <v>2593158</v>
      </c>
      <c r="HD56" s="25">
        <f>_xll.LVCELL($D$2,HD$15,$B56,$D$5,$D$6,$D$7,$D$8,$D$9,$D$10,$D$11)</f>
        <v>2054989</v>
      </c>
      <c r="HE56" s="25">
        <f>_xll.LVCELL($D$2,HE$15,$B56,$D$5,$D$6,$D$7,$D$8,$D$9,$D$10,$D$11)</f>
        <v>869092</v>
      </c>
      <c r="HF56" s="25">
        <f>_xll.LVCELL($D$2,HF$15,$B56,$D$5,$D$6,$D$7,$D$8,$D$9,$D$10,$D$11)</f>
        <v>960032</v>
      </c>
      <c r="HG56" s="25">
        <f>_xll.LVCELL($D$2,HG$15,$B56,$D$5,$D$6,$D$7,$D$8,$D$9,$D$10,$D$11)</f>
        <v>605234</v>
      </c>
      <c r="HH56" s="25">
        <f>_xll.LVCELL($D$2,HH$15,$B56,$D$5,$D$6,$D$7,$D$8,$D$9,$D$10,$D$11)</f>
        <v>580634</v>
      </c>
      <c r="HI56" s="25">
        <f>_xll.LVCELL($D$2,HI$15,$B56,$D$5,$D$6,$D$7,$D$8,$D$9,$D$10,$D$11)</f>
        <v>801616</v>
      </c>
      <c r="HJ56" s="25">
        <f>_xll.LVCELL($D$2,HJ$15,$B56,$D$5,$D$6,$D$7,$D$8,$D$9,$D$10,$D$11)</f>
        <v>711908</v>
      </c>
      <c r="HK56" s="25">
        <f>_xll.LVCELL($D$2,HK$15,$B56,$D$5,$D$6,$D$7,$D$8,$D$9,$D$10,$D$11)</f>
        <v>1743252</v>
      </c>
      <c r="HL56" s="25">
        <f>_xll.LVCELL($D$2,HL$15,$B56,$D$5,$D$6,$D$7,$D$8,$D$9,$D$10,$D$11)</f>
        <v>1451275</v>
      </c>
      <c r="HM56" s="25">
        <f>_xll.LVCELL($D$2,HM$15,$B56,$D$5,$D$6,$D$7,$D$8,$D$9,$D$10,$D$11)</f>
        <v>2240149</v>
      </c>
    </row>
    <row r="57" spans="1:221">
      <c r="A57" t="s">
        <v>195</v>
      </c>
      <c r="B57" t="s">
        <v>267</v>
      </c>
      <c r="D57" s="10" t="s">
        <v>280</v>
      </c>
      <c r="E57" s="19">
        <v>39813</v>
      </c>
      <c r="F57" s="16" t="s">
        <v>845</v>
      </c>
      <c r="G57" s="16" t="s">
        <v>845</v>
      </c>
      <c r="H57" s="16" t="s">
        <v>845</v>
      </c>
      <c r="I57" s="16" t="s">
        <v>845</v>
      </c>
      <c r="J57" s="16" t="s">
        <v>845</v>
      </c>
      <c r="K57" s="16" t="s">
        <v>845</v>
      </c>
      <c r="L57" s="16" t="s">
        <v>845</v>
      </c>
      <c r="M57" s="16" t="s">
        <v>845</v>
      </c>
      <c r="N57" s="16" t="s">
        <v>845</v>
      </c>
      <c r="O57" s="16" t="s">
        <v>845</v>
      </c>
      <c r="P57" s="16" t="s">
        <v>845</v>
      </c>
      <c r="Q57" s="16" t="s">
        <v>845</v>
      </c>
      <c r="R57" s="16" t="s">
        <v>845</v>
      </c>
      <c r="S57" s="16" t="s">
        <v>845</v>
      </c>
      <c r="T57" s="16" t="s">
        <v>845</v>
      </c>
      <c r="U57" s="16" t="s">
        <v>845</v>
      </c>
      <c r="V57" s="16" t="s">
        <v>845</v>
      </c>
      <c r="W57" s="16" t="s">
        <v>845</v>
      </c>
      <c r="X57" s="16" t="s">
        <v>845</v>
      </c>
      <c r="Y57" s="16" t="s">
        <v>845</v>
      </c>
      <c r="Z57" s="16" t="s">
        <v>845</v>
      </c>
      <c r="AA57" s="16" t="s">
        <v>845</v>
      </c>
      <c r="AB57" s="16" t="s">
        <v>845</v>
      </c>
      <c r="AC57" s="16" t="s">
        <v>845</v>
      </c>
      <c r="AD57" s="16" t="s">
        <v>845</v>
      </c>
      <c r="AE57" s="16" t="s">
        <v>845</v>
      </c>
      <c r="AF57" s="16" t="s">
        <v>845</v>
      </c>
      <c r="AG57" s="16" t="s">
        <v>845</v>
      </c>
      <c r="AH57" s="16" t="s">
        <v>845</v>
      </c>
      <c r="AI57" s="16" t="s">
        <v>845</v>
      </c>
      <c r="AJ57" s="16" t="s">
        <v>845</v>
      </c>
      <c r="AK57" s="16" t="s">
        <v>845</v>
      </c>
      <c r="AL57" s="16" t="s">
        <v>845</v>
      </c>
      <c r="AM57" s="16" t="s">
        <v>845</v>
      </c>
      <c r="AN57" s="16" t="s">
        <v>845</v>
      </c>
      <c r="AO57" s="16" t="s">
        <v>845</v>
      </c>
      <c r="AP57" s="16" t="s">
        <v>845</v>
      </c>
      <c r="AQ57" s="16" t="s">
        <v>845</v>
      </c>
      <c r="AR57" s="16" t="s">
        <v>845</v>
      </c>
      <c r="AS57" s="16" t="s">
        <v>845</v>
      </c>
      <c r="AT57" s="16" t="s">
        <v>845</v>
      </c>
      <c r="AU57" s="16" t="s">
        <v>845</v>
      </c>
      <c r="AV57" s="16" t="s">
        <v>845</v>
      </c>
      <c r="AW57" s="16" t="s">
        <v>845</v>
      </c>
      <c r="AX57" s="16" t="s">
        <v>845</v>
      </c>
      <c r="AY57" s="16" t="s">
        <v>845</v>
      </c>
      <c r="AZ57" s="16" t="s">
        <v>845</v>
      </c>
      <c r="BA57" s="16" t="s">
        <v>845</v>
      </c>
      <c r="BB57" s="16">
        <v>0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0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12">
        <v>607</v>
      </c>
      <c r="CA57" s="112">
        <v>14794</v>
      </c>
      <c r="CB57" s="112">
        <v>332750.83</v>
      </c>
      <c r="CC57" s="112">
        <v>650637.5</v>
      </c>
      <c r="CD57" s="112">
        <v>1134692</v>
      </c>
      <c r="CE57" s="112">
        <v>1246805</v>
      </c>
      <c r="CF57" s="112">
        <v>1409204</v>
      </c>
      <c r="CG57" s="112">
        <v>821463</v>
      </c>
      <c r="CH57" s="112">
        <v>1165169</v>
      </c>
      <c r="CI57" s="112">
        <v>1528024</v>
      </c>
      <c r="CJ57" s="112">
        <v>2988240</v>
      </c>
      <c r="CK57" s="112">
        <v>2334272</v>
      </c>
      <c r="CL57" s="16">
        <v>1011910</v>
      </c>
      <c r="CM57" s="16">
        <v>2188674</v>
      </c>
      <c r="CN57" s="16">
        <v>2653201</v>
      </c>
      <c r="CO57" s="16">
        <v>1510961</v>
      </c>
      <c r="CP57" s="16">
        <v>1182741</v>
      </c>
      <c r="CQ57" s="16">
        <v>1073786</v>
      </c>
      <c r="CR57" s="16">
        <v>817276</v>
      </c>
      <c r="CS57" s="16">
        <v>1378725</v>
      </c>
      <c r="CT57" s="16">
        <v>1064358</v>
      </c>
      <c r="CU57" s="16">
        <v>2134257</v>
      </c>
      <c r="CV57" s="16">
        <v>1673228</v>
      </c>
      <c r="CW57" s="16">
        <v>1138557</v>
      </c>
      <c r="CX57" s="16">
        <v>1890615</v>
      </c>
      <c r="CY57" s="16">
        <v>951373</v>
      </c>
      <c r="CZ57" s="16">
        <v>2172445</v>
      </c>
      <c r="DA57" s="16">
        <v>1087736</v>
      </c>
      <c r="DB57" s="16">
        <v>1151015</v>
      </c>
      <c r="DC57" s="16">
        <v>1305403</v>
      </c>
      <c r="DD57" s="16">
        <v>1164021</v>
      </c>
      <c r="DE57" s="16">
        <v>1091396</v>
      </c>
      <c r="DF57" s="16">
        <v>1260623</v>
      </c>
      <c r="DG57" s="16">
        <v>1764462</v>
      </c>
      <c r="DH57" s="16">
        <v>1541631</v>
      </c>
      <c r="DI57" s="16">
        <v>3482770</v>
      </c>
      <c r="DJ57" s="16">
        <v>2638829</v>
      </c>
      <c r="DK57" s="16">
        <v>1542779</v>
      </c>
      <c r="DL57" s="16">
        <v>1280190</v>
      </c>
      <c r="DM57" s="16">
        <v>1926908</v>
      </c>
      <c r="DN57" s="16">
        <v>1448943</v>
      </c>
      <c r="DO57" s="16">
        <v>1184055</v>
      </c>
      <c r="DP57" s="16">
        <v>1477284</v>
      </c>
      <c r="DQ57" s="16">
        <v>1198424</v>
      </c>
      <c r="DR57" s="16">
        <v>1341333</v>
      </c>
      <c r="DS57" s="16">
        <v>2176206</v>
      </c>
      <c r="DT57" s="16">
        <v>1452709</v>
      </c>
      <c r="DU57" s="16">
        <v>3086099</v>
      </c>
      <c r="DV57" s="16">
        <v>1387253</v>
      </c>
      <c r="DW57" s="16">
        <v>1677066</v>
      </c>
      <c r="DX57" s="16">
        <v>1521442</v>
      </c>
      <c r="DY57" s="16">
        <v>1766991</v>
      </c>
      <c r="DZ57" s="16">
        <v>1049578</v>
      </c>
      <c r="EA57" s="16">
        <v>1270176</v>
      </c>
      <c r="EB57" s="16">
        <v>1106539</v>
      </c>
      <c r="EC57" s="16">
        <v>718904</v>
      </c>
      <c r="ED57" s="16">
        <v>1235033</v>
      </c>
      <c r="EE57" s="16">
        <v>1941275</v>
      </c>
      <c r="EF57" s="16">
        <v>1999719</v>
      </c>
      <c r="EG57" s="16">
        <v>2656827</v>
      </c>
      <c r="EH57" s="16">
        <v>2508292</v>
      </c>
      <c r="EI57" s="16">
        <v>3063401</v>
      </c>
      <c r="EJ57" s="16">
        <v>1470364</v>
      </c>
      <c r="EK57" s="16">
        <v>1120792</v>
      </c>
      <c r="EL57" s="16">
        <v>1754890</v>
      </c>
      <c r="EM57" s="16">
        <v>1079941</v>
      </c>
      <c r="EN57" s="16">
        <v>1098794</v>
      </c>
      <c r="EO57" s="16">
        <v>1025875</v>
      </c>
      <c r="EP57" s="16">
        <v>871621</v>
      </c>
      <c r="EQ57" s="16">
        <v>1308710</v>
      </c>
      <c r="ER57" s="16">
        <v>1615344</v>
      </c>
      <c r="ES57" s="16">
        <v>1973432</v>
      </c>
      <c r="ET57" s="16">
        <v>2382000</v>
      </c>
      <c r="EU57" s="16">
        <v>1905000</v>
      </c>
      <c r="EV57" s="16">
        <v>1857000</v>
      </c>
      <c r="EW57" s="16">
        <v>1445000</v>
      </c>
      <c r="EX57" s="16">
        <v>1357353</v>
      </c>
      <c r="EY57" s="16">
        <v>1072000</v>
      </c>
      <c r="EZ57" s="16">
        <v>1510000</v>
      </c>
      <c r="FA57" s="16">
        <v>1131056</v>
      </c>
      <c r="FB57" s="16">
        <v>2054768</v>
      </c>
      <c r="FC57" s="16">
        <v>1263631</v>
      </c>
      <c r="FD57" s="16">
        <v>2346561</v>
      </c>
      <c r="FE57" s="16">
        <v>2087447.9999999998</v>
      </c>
      <c r="FF57" s="16">
        <v>2765000</v>
      </c>
      <c r="FG57" s="16">
        <v>2876387</v>
      </c>
      <c r="FH57" s="16">
        <v>2361523</v>
      </c>
      <c r="FI57" s="16">
        <v>1366943</v>
      </c>
      <c r="FJ57" s="16">
        <v>1324000</v>
      </c>
      <c r="FK57" s="16">
        <v>785742</v>
      </c>
      <c r="FL57" s="16">
        <v>715390</v>
      </c>
      <c r="FM57" s="16">
        <v>757090</v>
      </c>
      <c r="FN57" s="16">
        <v>779360</v>
      </c>
      <c r="FO57" s="16">
        <v>1529880</v>
      </c>
      <c r="FP57" s="16">
        <v>2324660</v>
      </c>
      <c r="FQ57" s="16">
        <v>1259440</v>
      </c>
      <c r="FR57" s="40">
        <f>_xll.LVCELL($D$2,FR$15,$B57,$D$5,$D$6,$D$7,$D$8,$D$9,$D$10,$D$11)</f>
        <v>1930800</v>
      </c>
      <c r="FS57" s="40">
        <f>_xll.LVCELL($D$2,FS$15,$B57,$D$5,$D$6,$D$7,$D$8,$D$9,$D$10,$D$11)</f>
        <v>1978940</v>
      </c>
      <c r="FT57" s="40">
        <f>_xll.LVCELL($D$2,FT$15,$B57,$D$5,$D$6,$D$7,$D$8,$D$9,$D$10,$D$11)</f>
        <v>2331580</v>
      </c>
      <c r="FU57" s="40">
        <f>_xll.LVCELL($D$2,FU$15,$B57,$D$5,$D$6,$D$7,$D$8,$D$9,$D$10,$D$11)</f>
        <v>941780</v>
      </c>
      <c r="FV57" s="40">
        <f>_xll.LVCELL($D$2,FV$15,$B57,$D$5,$D$6,$D$7,$D$8,$D$9,$D$10,$D$11)</f>
        <v>1123208</v>
      </c>
      <c r="FW57" s="40">
        <f>_xll.LVCELL($D$2,FW$15,$B57,$D$5,$D$6,$D$7,$D$8,$D$9,$D$10,$D$11)</f>
        <v>1177160</v>
      </c>
      <c r="FX57" s="40">
        <f>_xll.LVCELL($D$2,FX$15,$B57,$D$5,$D$6,$D$7,$D$8,$D$9,$D$10,$D$11)</f>
        <v>974584</v>
      </c>
      <c r="FY57" s="40">
        <f>_xll.LVCELL($D$2,FY$15,$B57,$D$5,$D$6,$D$7,$D$8,$D$9,$D$10,$D$11)</f>
        <v>805176</v>
      </c>
      <c r="FZ57" s="40">
        <f>_xll.LVCELL($D$2,FZ$15,$B57,$D$5,$D$6,$D$7,$D$8,$D$9,$D$10,$D$11)</f>
        <v>1223594</v>
      </c>
      <c r="GA57" s="40">
        <f>_xll.LVCELL($D$2,GA$15,$B57,$D$5,$D$6,$D$7,$D$8,$D$9,$D$10,$D$11)</f>
        <v>1522200</v>
      </c>
      <c r="GB57" s="40">
        <f>_xll.LVCELL($D$2,GB$15,$B57,$D$5,$D$6,$D$7,$D$8,$D$9,$D$10,$D$11)</f>
        <v>1717420</v>
      </c>
      <c r="GC57" s="40">
        <f>_xll.LVCELL($D$2,GC$15,$B57,$D$5,$D$6,$D$7,$D$8,$D$9,$D$10,$D$11)</f>
        <v>2567303</v>
      </c>
      <c r="GD57" s="25">
        <f>_xll.LVCELL($D$2,GD$15,$B57,$D$5,$D$6,$D$7,$D$8,$D$9,$D$10,$D$11)</f>
        <v>3175181</v>
      </c>
      <c r="GE57" s="25">
        <f>_xll.LVCELL($D$2,GE$15,$B57,$D$5,$D$6,$D$7,$D$8,$D$9,$D$10,$D$11)</f>
        <v>1966476</v>
      </c>
      <c r="GF57" s="25">
        <f>_xll.LVCELL($D$2,GF$15,$B57,$D$5,$D$6,$D$7,$D$8,$D$9,$D$10,$D$11)</f>
        <v>2011353</v>
      </c>
      <c r="GG57" s="25">
        <f>_xll.LVCELL($D$2,GG$15,$B57,$D$5,$D$6,$D$7,$D$8,$D$9,$D$10,$D$11)</f>
        <v>1765529</v>
      </c>
      <c r="GH57" s="25">
        <f>_xll.LVCELL($D$2,GH$15,$B57,$D$5,$D$6,$D$7,$D$8,$D$9,$D$10,$D$11)</f>
        <v>1112819</v>
      </c>
      <c r="GI57" s="25">
        <f>_xll.LVCELL($D$2,GI$15,$B57,$D$5,$D$6,$D$7,$D$8,$D$9,$D$10,$D$11)</f>
        <v>775122</v>
      </c>
      <c r="GJ57" s="25">
        <f>_xll.LVCELL($D$2,GJ$15,$B57,$D$5,$D$6,$D$7,$D$8,$D$9,$D$10,$D$11)</f>
        <v>757212</v>
      </c>
      <c r="GK57" s="25">
        <f>_xll.LVCELL($D$2,GK$15,$B57,$D$5,$D$6,$D$7,$D$8,$D$9,$D$10,$D$11)</f>
        <v>862812</v>
      </c>
      <c r="GL57" s="25">
        <f>_xll.LVCELL($D$2,GL$15,$B57,$D$5,$D$6,$D$7,$D$8,$D$9,$D$10,$D$11)</f>
        <v>1105374</v>
      </c>
      <c r="GM57" s="25">
        <f>_xll.LVCELL($D$2,GM$15,$B57,$D$5,$D$6,$D$7,$D$8,$D$9,$D$10,$D$11)</f>
        <v>1608492</v>
      </c>
      <c r="GN57" s="25">
        <f>_xll.LVCELL($D$2,GN$15,$B57,$D$5,$D$6,$D$7,$D$8,$D$9,$D$10,$D$11)</f>
        <v>1949880</v>
      </c>
      <c r="GO57" s="25">
        <f>_xll.LVCELL($D$2,GO$15,$B57,$D$5,$D$6,$D$7,$D$8,$D$9,$D$10,$D$11)</f>
        <v>2752056</v>
      </c>
      <c r="GP57" s="25">
        <f>_xll.LVCELL($D$2,GP$15,$B57,$D$5,$D$6,$D$7,$D$8,$D$9,$D$10,$D$11)</f>
        <v>1916135</v>
      </c>
      <c r="GQ57" s="25">
        <f>_xll.LVCELL($D$2,GQ$15,$B57,$D$5,$D$6,$D$7,$D$8,$D$9,$D$10,$D$11)</f>
        <v>1819108</v>
      </c>
      <c r="GR57" s="25">
        <f>_xll.LVCELL($D$2,GR$15,$B57,$D$5,$D$6,$D$7,$D$8,$D$9,$D$10,$D$11)</f>
        <v>2720353</v>
      </c>
      <c r="GS57" s="25">
        <f>_xll.LVCELL($D$2,GS$15,$B57,$D$5,$D$6,$D$7,$D$8,$D$9,$D$10,$D$11)</f>
        <v>1275806</v>
      </c>
      <c r="GT57" s="25">
        <f>_xll.LVCELL($D$2,GT$15,$B57,$D$5,$D$6,$D$7,$D$8,$D$9,$D$10,$D$11)</f>
        <v>1317695</v>
      </c>
      <c r="GU57" s="25">
        <f>_xll.LVCELL($D$2,GU$15,$B57,$D$5,$D$6,$D$7,$D$8,$D$9,$D$10,$D$11)</f>
        <v>1215994</v>
      </c>
      <c r="GV57" s="25">
        <f>_xll.LVCELL($D$2,GV$15,$B57,$D$5,$D$6,$D$7,$D$8,$D$9,$D$10,$D$11)</f>
        <v>809228</v>
      </c>
      <c r="GW57" s="25">
        <f>_xll.LVCELL($D$2,GW$15,$B57,$D$5,$D$6,$D$7,$D$8,$D$9,$D$10,$D$11)</f>
        <v>689511</v>
      </c>
      <c r="GX57" s="25">
        <f>_xll.LVCELL($D$2,GX$15,$B57,$D$5,$D$6,$D$7,$D$8,$D$9,$D$10,$D$11)</f>
        <v>1134655</v>
      </c>
      <c r="GY57" s="25">
        <f>_xll.LVCELL($D$2,GY$15,$B57,$D$5,$D$6,$D$7,$D$8,$D$9,$D$10,$D$11)</f>
        <v>2143224</v>
      </c>
      <c r="GZ57" s="25">
        <f>_xll.LVCELL($D$2,GZ$15,$B57,$D$5,$D$6,$D$7,$D$8,$D$9,$D$10,$D$11)</f>
        <v>2013705</v>
      </c>
      <c r="HA57" s="25">
        <f>_xll.LVCELL($D$2,HA$15,$B57,$D$5,$D$6,$D$7,$D$8,$D$9,$D$10,$D$11)</f>
        <v>3259088</v>
      </c>
      <c r="HB57" s="25">
        <f>_xll.LVCELL($D$2,HB$15,$B57,$D$5,$D$6,$D$7,$D$8,$D$9,$D$10,$D$11)</f>
        <v>2235704</v>
      </c>
      <c r="HC57" s="25">
        <f>_xll.LVCELL($D$2,HC$15,$B57,$D$5,$D$6,$D$7,$D$8,$D$9,$D$10,$D$11)</f>
        <v>3601187</v>
      </c>
      <c r="HD57" s="25">
        <f>_xll.LVCELL($D$2,HD$15,$B57,$D$5,$D$6,$D$7,$D$8,$D$9,$D$10,$D$11)</f>
        <v>2844841</v>
      </c>
      <c r="HE57" s="25">
        <f>_xll.LVCELL($D$2,HE$15,$B57,$D$5,$D$6,$D$7,$D$8,$D$9,$D$10,$D$11)</f>
        <v>1419344</v>
      </c>
      <c r="HF57" s="25">
        <f>_xll.LVCELL($D$2,HF$15,$B57,$D$5,$D$6,$D$7,$D$8,$D$9,$D$10,$D$11)</f>
        <v>1369260</v>
      </c>
      <c r="HG57" s="25">
        <f>_xll.LVCELL($D$2,HG$15,$B57,$D$5,$D$6,$D$7,$D$8,$D$9,$D$10,$D$11)</f>
        <v>910094</v>
      </c>
      <c r="HH57" s="25">
        <f>_xll.LVCELL($D$2,HH$15,$B57,$D$5,$D$6,$D$7,$D$8,$D$9,$D$10,$D$11)</f>
        <v>927847</v>
      </c>
      <c r="HI57" s="25">
        <f>_xll.LVCELL($D$2,HI$15,$B57,$D$5,$D$6,$D$7,$D$8,$D$9,$D$10,$D$11)</f>
        <v>1009943</v>
      </c>
      <c r="HJ57" s="25">
        <f>_xll.LVCELL($D$2,HJ$15,$B57,$D$5,$D$6,$D$7,$D$8,$D$9,$D$10,$D$11)</f>
        <v>975535</v>
      </c>
      <c r="HK57" s="25">
        <f>_xll.LVCELL($D$2,HK$15,$B57,$D$5,$D$6,$D$7,$D$8,$D$9,$D$10,$D$11)</f>
        <v>2201748</v>
      </c>
      <c r="HL57" s="25">
        <f>_xll.LVCELL($D$2,HL$15,$B57,$D$5,$D$6,$D$7,$D$8,$D$9,$D$10,$D$11)</f>
        <v>1500000</v>
      </c>
      <c r="HM57" s="25">
        <f>_xll.LVCELL($D$2,HM$15,$B57,$D$5,$D$6,$D$7,$D$8,$D$9,$D$10,$D$11)</f>
        <v>2158572</v>
      </c>
    </row>
    <row r="58" spans="1:221">
      <c r="A58" s="17"/>
      <c r="B58" s="17"/>
      <c r="C58" s="17"/>
      <c r="D58" s="42" t="s">
        <v>343</v>
      </c>
      <c r="E58" s="19">
        <v>40081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32"/>
      <c r="CA58" s="32"/>
      <c r="CB58" s="32"/>
      <c r="CC58" s="32"/>
      <c r="CD58" s="32"/>
      <c r="CE58" s="34">
        <v>1189000</v>
      </c>
      <c r="CF58" s="34">
        <v>1612319</v>
      </c>
      <c r="CG58" s="34">
        <v>573900</v>
      </c>
      <c r="CH58" s="34">
        <v>1549022</v>
      </c>
      <c r="CI58" s="34">
        <v>1261752</v>
      </c>
      <c r="CJ58" s="34">
        <v>3690369</v>
      </c>
      <c r="CK58" s="34">
        <v>3078066</v>
      </c>
      <c r="CL58" s="29">
        <v>1962167</v>
      </c>
      <c r="CM58" s="29">
        <v>2892810</v>
      </c>
      <c r="CN58" s="29">
        <v>2974893</v>
      </c>
      <c r="CO58" s="29">
        <v>2171119</v>
      </c>
      <c r="CP58" s="29">
        <v>1712271</v>
      </c>
      <c r="CQ58" s="29">
        <v>1210191</v>
      </c>
      <c r="CR58" s="29">
        <v>988188</v>
      </c>
      <c r="CS58" s="29">
        <v>1157770</v>
      </c>
      <c r="CT58" s="29">
        <v>1103478</v>
      </c>
      <c r="CU58" s="29">
        <v>2002021</v>
      </c>
      <c r="CV58" s="29">
        <v>2118379</v>
      </c>
      <c r="CW58" s="29">
        <v>2201434</v>
      </c>
      <c r="CX58" s="29">
        <v>2460945</v>
      </c>
      <c r="CY58" s="29">
        <v>1731218</v>
      </c>
      <c r="CZ58" s="29">
        <v>2110248</v>
      </c>
      <c r="DA58" s="29">
        <v>1176434</v>
      </c>
      <c r="DB58" s="29">
        <v>955519</v>
      </c>
      <c r="DC58" s="29">
        <v>1645821</v>
      </c>
      <c r="DD58" s="29">
        <v>1518625</v>
      </c>
      <c r="DE58" s="29">
        <v>941365</v>
      </c>
      <c r="DF58" s="29">
        <v>1436102</v>
      </c>
      <c r="DG58" s="29">
        <v>1604184</v>
      </c>
      <c r="DH58" s="29">
        <v>1662833</v>
      </c>
      <c r="DI58" s="29">
        <v>2928831</v>
      </c>
      <c r="DJ58" s="29">
        <v>2213004</v>
      </c>
      <c r="DK58" s="29">
        <v>1299853</v>
      </c>
      <c r="DL58" s="29">
        <v>1936006</v>
      </c>
      <c r="DM58" s="29">
        <v>2733054</v>
      </c>
      <c r="DN58" s="29">
        <v>1678101</v>
      </c>
      <c r="DO58" s="29">
        <v>866687</v>
      </c>
      <c r="DP58" s="29">
        <v>1171951</v>
      </c>
      <c r="DQ58" s="29">
        <v>1680726</v>
      </c>
      <c r="DR58" s="29">
        <v>1340306</v>
      </c>
      <c r="DS58" s="29">
        <v>1701404</v>
      </c>
      <c r="DT58" s="29">
        <v>1916064</v>
      </c>
      <c r="DU58" s="29">
        <v>3717486</v>
      </c>
      <c r="DV58" s="29">
        <v>1863273</v>
      </c>
      <c r="DW58" s="29">
        <v>2308810</v>
      </c>
      <c r="DX58" s="29">
        <v>2176989</v>
      </c>
      <c r="DY58" s="29">
        <v>2303432</v>
      </c>
      <c r="DZ58" s="29">
        <v>1566107</v>
      </c>
      <c r="EA58" s="29">
        <v>1356518</v>
      </c>
      <c r="EB58" s="29">
        <v>1503271</v>
      </c>
      <c r="EC58" s="29">
        <v>1020162</v>
      </c>
      <c r="ED58" s="29">
        <v>1300693</v>
      </c>
      <c r="EE58" s="29">
        <v>2038715</v>
      </c>
      <c r="EF58" s="29">
        <v>2683465</v>
      </c>
      <c r="EG58" s="29">
        <v>2416160</v>
      </c>
      <c r="EH58" s="29">
        <v>2639699</v>
      </c>
      <c r="EI58" s="29">
        <v>3657985</v>
      </c>
      <c r="EJ58" s="29">
        <v>1629184</v>
      </c>
      <c r="EK58" s="29">
        <v>1367937</v>
      </c>
      <c r="EL58" s="29">
        <v>1658875</v>
      </c>
      <c r="EM58" s="29">
        <v>1100579</v>
      </c>
      <c r="EN58" s="29">
        <v>1093976</v>
      </c>
      <c r="EO58" s="29">
        <v>1126570</v>
      </c>
      <c r="EP58" s="29">
        <v>879380</v>
      </c>
      <c r="EQ58" s="29">
        <v>1373008</v>
      </c>
      <c r="ER58" s="29">
        <v>1920511</v>
      </c>
      <c r="ES58" s="29">
        <v>1955066</v>
      </c>
      <c r="ET58" s="29">
        <v>2329668</v>
      </c>
      <c r="EU58" s="29">
        <v>2341387</v>
      </c>
      <c r="EV58" s="29">
        <v>2110773</v>
      </c>
      <c r="EW58" s="29">
        <v>1471665</v>
      </c>
      <c r="EX58" s="29">
        <v>1221759</v>
      </c>
      <c r="EY58" s="29">
        <v>1159744</v>
      </c>
      <c r="EZ58" s="29">
        <v>1272329</v>
      </c>
      <c r="FA58" s="29">
        <v>1002739</v>
      </c>
      <c r="FB58" s="29">
        <v>1569632</v>
      </c>
      <c r="FC58" s="29">
        <v>1475402</v>
      </c>
      <c r="FD58" s="29">
        <v>2103690</v>
      </c>
      <c r="FE58" s="29">
        <v>2448416</v>
      </c>
      <c r="FF58" s="29">
        <v>2770000</v>
      </c>
      <c r="FG58" s="29">
        <v>2491501</v>
      </c>
      <c r="FH58" s="29">
        <v>2609857</v>
      </c>
      <c r="FI58" s="29">
        <v>1624033.9999999995</v>
      </c>
      <c r="FJ58" s="29">
        <v>1300766.9999999998</v>
      </c>
      <c r="FK58" s="29">
        <v>810104.49999999988</v>
      </c>
      <c r="FL58" s="29">
        <v>862598.99999999988</v>
      </c>
      <c r="FM58" s="29">
        <v>1136351</v>
      </c>
      <c r="FN58" s="29">
        <v>827160.99999999988</v>
      </c>
      <c r="FO58" s="29">
        <v>1396681.9999999998</v>
      </c>
      <c r="FP58" s="29">
        <v>2086199.9999999998</v>
      </c>
      <c r="FQ58" s="29">
        <v>1283537.1666666665</v>
      </c>
      <c r="FR58" s="40">
        <v>1665231</v>
      </c>
      <c r="FS58" s="40">
        <v>2346283.666666667</v>
      </c>
      <c r="FT58" s="40">
        <v>2023072.1666666665</v>
      </c>
      <c r="FU58" s="40">
        <v>1343457.6666666667</v>
      </c>
      <c r="FV58" s="40">
        <v>1301822.6666666667</v>
      </c>
      <c r="FW58" s="40">
        <v>928644.1669999999</v>
      </c>
      <c r="FX58" s="40">
        <v>1295394.6666666665</v>
      </c>
      <c r="FY58" s="40">
        <v>1083278</v>
      </c>
      <c r="FZ58" s="40">
        <v>1176967.8333333335</v>
      </c>
      <c r="GA58" s="40">
        <v>1210926.1666666667</v>
      </c>
      <c r="GB58" s="40">
        <v>1598767</v>
      </c>
      <c r="GC58" s="40">
        <v>2282047</v>
      </c>
      <c r="GD58" s="40">
        <v>2384808.4999999995</v>
      </c>
      <c r="GE58" s="40">
        <v>1938263.5000000002</v>
      </c>
      <c r="GF58" s="40">
        <v>2148413</v>
      </c>
      <c r="GG58" s="40">
        <v>1251121.9999999998</v>
      </c>
      <c r="GH58" s="40">
        <v>1234020</v>
      </c>
      <c r="GI58" s="40">
        <v>996842</v>
      </c>
      <c r="GJ58" s="40">
        <v>823050.83333333349</v>
      </c>
      <c r="GK58" s="40">
        <v>668462.33333333326</v>
      </c>
      <c r="GL58" s="40">
        <v>1158416.3333333333</v>
      </c>
      <c r="GM58" s="40">
        <v>1798324</v>
      </c>
      <c r="GN58" s="40">
        <v>2144177.666666667</v>
      </c>
      <c r="GO58" s="40">
        <v>2529308.6666666665</v>
      </c>
      <c r="GP58" s="28">
        <v>1695779.6666666665</v>
      </c>
      <c r="GQ58" s="28">
        <v>1866185.333333333</v>
      </c>
      <c r="GR58" s="28">
        <v>3039527.5</v>
      </c>
      <c r="GS58" s="25">
        <f>1745.71633333333*1000</f>
        <v>1745716.3333333302</v>
      </c>
      <c r="GT58" s="25">
        <f>977.969666666667*1000</f>
        <v>977969.66666666698</v>
      </c>
      <c r="GU58" s="25">
        <f>1074.24816666667*1000</f>
        <v>1074248.16666667</v>
      </c>
      <c r="GV58" s="25"/>
      <c r="GW58" s="25"/>
      <c r="GX58" s="25"/>
      <c r="GY58" s="25"/>
      <c r="GZ58" s="25"/>
      <c r="HA58" s="25"/>
      <c r="HB58" s="28">
        <v>1695779.6666666665</v>
      </c>
      <c r="HC58" s="28">
        <v>1866185.333333333</v>
      </c>
      <c r="HD58" s="28">
        <v>3039527.5</v>
      </c>
      <c r="HE58" s="25">
        <f>1745.71633333333*1000</f>
        <v>1745716.3333333302</v>
      </c>
      <c r="HF58" s="25">
        <f>977.969666666667*1000</f>
        <v>977969.66666666698</v>
      </c>
      <c r="HG58" s="25">
        <f>1074.24816666667*1000</f>
        <v>1074248.16666667</v>
      </c>
      <c r="HH58" s="25"/>
      <c r="HI58" s="25"/>
      <c r="HJ58" s="25"/>
      <c r="HK58" s="25"/>
      <c r="HL58" s="25"/>
      <c r="HM58" s="25"/>
    </row>
    <row r="59" spans="1:221">
      <c r="A59" s="17" t="s">
        <v>197</v>
      </c>
      <c r="B59" s="17" t="s">
        <v>268</v>
      </c>
      <c r="C59" s="17"/>
      <c r="D59" s="42" t="s">
        <v>325</v>
      </c>
      <c r="E59" s="19">
        <v>40228</v>
      </c>
      <c r="F59" s="16" t="s">
        <v>845</v>
      </c>
      <c r="G59" s="16" t="s">
        <v>845</v>
      </c>
      <c r="H59" s="16" t="s">
        <v>845</v>
      </c>
      <c r="I59" s="16" t="s">
        <v>845</v>
      </c>
      <c r="J59" s="16" t="s">
        <v>845</v>
      </c>
      <c r="K59" s="16" t="s">
        <v>845</v>
      </c>
      <c r="L59" s="16" t="s">
        <v>845</v>
      </c>
      <c r="M59" s="16" t="s">
        <v>845</v>
      </c>
      <c r="N59" s="16" t="s">
        <v>845</v>
      </c>
      <c r="O59" s="16" t="s">
        <v>845</v>
      </c>
      <c r="P59" s="16" t="s">
        <v>845</v>
      </c>
      <c r="Q59" s="16" t="s">
        <v>845</v>
      </c>
      <c r="R59" s="16" t="s">
        <v>845</v>
      </c>
      <c r="S59" s="16" t="s">
        <v>845</v>
      </c>
      <c r="T59" s="16" t="s">
        <v>845</v>
      </c>
      <c r="U59" s="16" t="s">
        <v>845</v>
      </c>
      <c r="V59" s="16" t="s">
        <v>845</v>
      </c>
      <c r="W59" s="16" t="s">
        <v>845</v>
      </c>
      <c r="X59" s="16" t="s">
        <v>845</v>
      </c>
      <c r="Y59" s="16" t="s">
        <v>845</v>
      </c>
      <c r="Z59" s="16" t="s">
        <v>845</v>
      </c>
      <c r="AA59" s="16" t="s">
        <v>845</v>
      </c>
      <c r="AB59" s="16" t="s">
        <v>845</v>
      </c>
      <c r="AC59" s="16" t="s">
        <v>845</v>
      </c>
      <c r="AD59" s="16" t="s">
        <v>845</v>
      </c>
      <c r="AE59" s="16" t="s">
        <v>845</v>
      </c>
      <c r="AF59" s="16" t="s">
        <v>845</v>
      </c>
      <c r="AG59" s="16" t="s">
        <v>845</v>
      </c>
      <c r="AH59" s="16" t="s">
        <v>845</v>
      </c>
      <c r="AI59" s="16" t="s">
        <v>845</v>
      </c>
      <c r="AJ59" s="16" t="s">
        <v>845</v>
      </c>
      <c r="AK59" s="16" t="s">
        <v>845</v>
      </c>
      <c r="AL59" s="16" t="s">
        <v>845</v>
      </c>
      <c r="AM59" s="16" t="s">
        <v>845</v>
      </c>
      <c r="AN59" s="16" t="s">
        <v>845</v>
      </c>
      <c r="AO59" s="16" t="s">
        <v>845</v>
      </c>
      <c r="AP59" s="16" t="s">
        <v>845</v>
      </c>
      <c r="AQ59" s="16" t="s">
        <v>845</v>
      </c>
      <c r="AR59" s="16" t="s">
        <v>845</v>
      </c>
      <c r="AS59" s="16" t="s">
        <v>845</v>
      </c>
      <c r="AT59" s="16" t="s">
        <v>845</v>
      </c>
      <c r="AU59" s="16" t="s">
        <v>845</v>
      </c>
      <c r="AV59" s="16" t="s">
        <v>845</v>
      </c>
      <c r="AW59" s="16" t="s">
        <v>845</v>
      </c>
      <c r="AX59" s="16" t="s">
        <v>845</v>
      </c>
      <c r="AY59" s="16" t="s">
        <v>845</v>
      </c>
      <c r="AZ59" s="16" t="s">
        <v>845</v>
      </c>
      <c r="BA59" s="16" t="s">
        <v>845</v>
      </c>
      <c r="BB59" s="16">
        <v>0</v>
      </c>
      <c r="BC59" s="16">
        <v>0</v>
      </c>
      <c r="BD59" s="16">
        <v>0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0</v>
      </c>
      <c r="BR59" s="16">
        <v>0</v>
      </c>
      <c r="BS59" s="16">
        <v>0</v>
      </c>
      <c r="BT59" s="16">
        <v>0</v>
      </c>
      <c r="BU59" s="16">
        <v>0</v>
      </c>
      <c r="BV59" s="16">
        <v>0</v>
      </c>
      <c r="BW59" s="16">
        <v>0</v>
      </c>
      <c r="BX59" s="16">
        <v>0</v>
      </c>
      <c r="BY59" s="16">
        <v>0</v>
      </c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281"/>
      <c r="CS59" s="281"/>
      <c r="CT59" s="281"/>
      <c r="CU59" s="281"/>
      <c r="CV59" s="281"/>
      <c r="CW59" s="281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1">
        <v>0</v>
      </c>
      <c r="DW59" s="31">
        <v>0</v>
      </c>
      <c r="DX59" s="31">
        <v>0</v>
      </c>
      <c r="DY59" s="29">
        <v>2018455</v>
      </c>
      <c r="DZ59" s="29">
        <v>1400335</v>
      </c>
      <c r="EA59" s="29">
        <v>1265304</v>
      </c>
      <c r="EB59" s="29">
        <v>1390015</v>
      </c>
      <c r="EC59" s="29">
        <v>925352</v>
      </c>
      <c r="ED59" s="29">
        <v>1105123</v>
      </c>
      <c r="EE59" s="29">
        <v>1764557</v>
      </c>
      <c r="EF59" s="29">
        <v>2306816</v>
      </c>
      <c r="EG59" s="29">
        <v>2228585</v>
      </c>
      <c r="EH59" s="29">
        <v>2361652</v>
      </c>
      <c r="EI59" s="29">
        <v>3214863</v>
      </c>
      <c r="EJ59" s="29">
        <v>1348639</v>
      </c>
      <c r="EK59" s="29">
        <v>1281140</v>
      </c>
      <c r="EL59" s="29">
        <v>1686268</v>
      </c>
      <c r="EM59" s="29">
        <v>938047</v>
      </c>
      <c r="EN59" s="29">
        <v>962363</v>
      </c>
      <c r="EO59" s="29">
        <v>1012615</v>
      </c>
      <c r="EP59" s="29">
        <v>862587</v>
      </c>
      <c r="EQ59" s="29">
        <v>1271198</v>
      </c>
      <c r="ER59" s="29">
        <v>1665409</v>
      </c>
      <c r="ES59" s="29">
        <v>1821372</v>
      </c>
      <c r="ET59" s="29">
        <v>2141083</v>
      </c>
      <c r="EU59" s="29">
        <v>2061809.0000000002</v>
      </c>
      <c r="EV59" s="29">
        <v>1873743</v>
      </c>
      <c r="EW59" s="29">
        <v>1446603</v>
      </c>
      <c r="EX59" s="29">
        <v>1402072</v>
      </c>
      <c r="EY59" s="29">
        <v>1119716</v>
      </c>
      <c r="EZ59" s="29">
        <v>1265495</v>
      </c>
      <c r="FA59" s="29">
        <v>909430</v>
      </c>
      <c r="FB59" s="29">
        <v>1409705</v>
      </c>
      <c r="FC59" s="29">
        <v>1181558</v>
      </c>
      <c r="FD59" s="29">
        <v>1934320</v>
      </c>
      <c r="FE59" s="29">
        <v>2234116</v>
      </c>
      <c r="FF59" s="29">
        <v>2452000</v>
      </c>
      <c r="FG59" s="29">
        <v>2335202.9999999995</v>
      </c>
      <c r="FH59" s="29">
        <v>2274867</v>
      </c>
      <c r="FI59" s="29">
        <v>1367501.0000000002</v>
      </c>
      <c r="FJ59" s="29">
        <v>990176.99999999988</v>
      </c>
      <c r="FK59" s="29">
        <v>870253.66670000006</v>
      </c>
      <c r="FL59" s="29">
        <v>817677</v>
      </c>
      <c r="FM59" s="29">
        <v>1068687</v>
      </c>
      <c r="FN59" s="29">
        <v>704312.99999999988</v>
      </c>
      <c r="FO59" s="29">
        <v>1234734</v>
      </c>
      <c r="FP59" s="29">
        <v>1889330.0000000005</v>
      </c>
      <c r="FQ59" s="29">
        <v>1120179</v>
      </c>
      <c r="FR59" s="40">
        <v>1376060</v>
      </c>
      <c r="FS59" s="40">
        <v>1746067.3333333335</v>
      </c>
      <c r="FT59" s="40">
        <v>1789119.4999999998</v>
      </c>
      <c r="FU59" s="40">
        <v>1047769.6666666669</v>
      </c>
      <c r="FV59" s="40">
        <v>1159160</v>
      </c>
      <c r="FW59" s="40">
        <v>979637.5</v>
      </c>
      <c r="FX59" s="40">
        <v>1251039</v>
      </c>
      <c r="FY59" s="40">
        <v>935731.00000000012</v>
      </c>
      <c r="FZ59" s="40">
        <v>1095167.1666666665</v>
      </c>
      <c r="GA59" s="40">
        <v>1108726.8333333333</v>
      </c>
      <c r="GB59" s="40">
        <v>1382938.5000000002</v>
      </c>
      <c r="GC59" s="40">
        <v>1970419</v>
      </c>
      <c r="GD59" s="40">
        <v>2472938.166666667</v>
      </c>
      <c r="GE59" s="40">
        <v>1982337.9999999998</v>
      </c>
      <c r="GF59" s="40">
        <v>2163375.8333333335</v>
      </c>
      <c r="GG59" s="40">
        <v>1138426.9999999998</v>
      </c>
      <c r="GH59" s="40">
        <v>1093450.9999999998</v>
      </c>
      <c r="GI59" s="40">
        <v>967061.00000000012</v>
      </c>
      <c r="GJ59" s="40">
        <v>702804.83333333326</v>
      </c>
      <c r="GK59" s="40">
        <v>465887.16666666669</v>
      </c>
      <c r="GL59" s="40">
        <v>860481.83333333326</v>
      </c>
      <c r="GM59" s="40">
        <v>1293511.6666666667</v>
      </c>
      <c r="GN59" s="40">
        <v>1702162</v>
      </c>
      <c r="GO59" s="40">
        <v>2205248</v>
      </c>
      <c r="GP59" s="28">
        <v>1458269.3333333335</v>
      </c>
      <c r="GQ59" s="28">
        <v>1407556.6666666665</v>
      </c>
      <c r="GR59" s="28">
        <v>2652984.0000000005</v>
      </c>
      <c r="GS59" s="25">
        <f>1370.774*1000</f>
        <v>1370774</v>
      </c>
      <c r="GT59" s="25">
        <f>703.758*1000</f>
        <v>703758</v>
      </c>
      <c r="GU59" s="25">
        <f>877.7545*1000</f>
        <v>877754.5</v>
      </c>
      <c r="GV59" s="25"/>
      <c r="GW59" s="25"/>
      <c r="GX59" s="25"/>
      <c r="GY59" s="25"/>
      <c r="GZ59" s="25"/>
      <c r="HA59" s="25"/>
      <c r="HB59" s="28">
        <v>1458269.3333333335</v>
      </c>
      <c r="HC59" s="28">
        <v>1407556.6666666665</v>
      </c>
      <c r="HD59" s="28">
        <v>2652984.0000000005</v>
      </c>
      <c r="HE59" s="25">
        <f>1370.774*1000</f>
        <v>1370774</v>
      </c>
      <c r="HF59" s="25">
        <f>703.758*1000</f>
        <v>703758</v>
      </c>
      <c r="HG59" s="25">
        <f>877.7545*1000</f>
        <v>877754.5</v>
      </c>
      <c r="HH59" s="25"/>
      <c r="HI59" s="25"/>
      <c r="HJ59" s="25"/>
      <c r="HK59" s="25"/>
      <c r="HL59" s="25"/>
      <c r="HM59" s="25"/>
    </row>
    <row r="60" spans="1:221">
      <c r="A60" t="s">
        <v>192</v>
      </c>
      <c r="B60" t="s">
        <v>269</v>
      </c>
      <c r="D60" s="43" t="s">
        <v>344</v>
      </c>
      <c r="E60" s="19">
        <v>40149</v>
      </c>
      <c r="F60" s="16" t="s">
        <v>845</v>
      </c>
      <c r="G60" s="16" t="s">
        <v>845</v>
      </c>
      <c r="H60" s="16" t="s">
        <v>845</v>
      </c>
      <c r="I60" s="16" t="s">
        <v>845</v>
      </c>
      <c r="J60" s="16" t="s">
        <v>845</v>
      </c>
      <c r="K60" s="16" t="s">
        <v>845</v>
      </c>
      <c r="L60" s="16" t="s">
        <v>845</v>
      </c>
      <c r="M60" s="16" t="s">
        <v>845</v>
      </c>
      <c r="N60" s="16" t="s">
        <v>845</v>
      </c>
      <c r="O60" s="16" t="s">
        <v>845</v>
      </c>
      <c r="P60" s="16" t="s">
        <v>845</v>
      </c>
      <c r="Q60" s="16" t="s">
        <v>845</v>
      </c>
      <c r="R60" s="16" t="s">
        <v>845</v>
      </c>
      <c r="S60" s="16" t="s">
        <v>845</v>
      </c>
      <c r="T60" s="16" t="s">
        <v>845</v>
      </c>
      <c r="U60" s="16" t="s">
        <v>845</v>
      </c>
      <c r="V60" s="16" t="s">
        <v>845</v>
      </c>
      <c r="W60" s="16" t="s">
        <v>845</v>
      </c>
      <c r="X60" s="16" t="s">
        <v>845</v>
      </c>
      <c r="Y60" s="16" t="s">
        <v>845</v>
      </c>
      <c r="Z60" s="16" t="s">
        <v>845</v>
      </c>
      <c r="AA60" s="16" t="s">
        <v>845</v>
      </c>
      <c r="AB60" s="16" t="s">
        <v>845</v>
      </c>
      <c r="AC60" s="16" t="s">
        <v>845</v>
      </c>
      <c r="AD60" s="16" t="s">
        <v>845</v>
      </c>
      <c r="AE60" s="16" t="s">
        <v>845</v>
      </c>
      <c r="AF60" s="16" t="s">
        <v>845</v>
      </c>
      <c r="AG60" s="16" t="s">
        <v>845</v>
      </c>
      <c r="AH60" s="16" t="s">
        <v>845</v>
      </c>
      <c r="AI60" s="16" t="s">
        <v>845</v>
      </c>
      <c r="AJ60" s="16" t="s">
        <v>845</v>
      </c>
      <c r="AK60" s="16" t="s">
        <v>845</v>
      </c>
      <c r="AL60" s="16" t="s">
        <v>845</v>
      </c>
      <c r="AM60" s="16" t="s">
        <v>845</v>
      </c>
      <c r="AN60" s="16" t="s">
        <v>845</v>
      </c>
      <c r="AO60" s="16" t="s">
        <v>845</v>
      </c>
      <c r="AP60" s="16" t="s">
        <v>845</v>
      </c>
      <c r="AQ60" s="16" t="s">
        <v>845</v>
      </c>
      <c r="AR60" s="16" t="s">
        <v>845</v>
      </c>
      <c r="AS60" s="16" t="s">
        <v>845</v>
      </c>
      <c r="AT60" s="16" t="s">
        <v>845</v>
      </c>
      <c r="AU60" s="16" t="s">
        <v>845</v>
      </c>
      <c r="AV60" s="16" t="s">
        <v>845</v>
      </c>
      <c r="AW60" s="16" t="s">
        <v>845</v>
      </c>
      <c r="AX60" s="16" t="s">
        <v>845</v>
      </c>
      <c r="AY60" s="16" t="s">
        <v>845</v>
      </c>
      <c r="AZ60" s="16" t="s">
        <v>845</v>
      </c>
      <c r="BA60" s="16" t="s">
        <v>845</v>
      </c>
      <c r="BB60" s="16">
        <v>0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</v>
      </c>
      <c r="BY60" s="16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1">
        <v>0</v>
      </c>
      <c r="CK60" s="29">
        <v>3524197</v>
      </c>
      <c r="CL60" s="29">
        <v>1871369</v>
      </c>
      <c r="CM60" s="29">
        <v>3331051</v>
      </c>
      <c r="CN60" s="29">
        <v>3754482</v>
      </c>
      <c r="CO60" s="29">
        <v>2105813</v>
      </c>
      <c r="CP60" s="29">
        <v>1729341</v>
      </c>
      <c r="CQ60" s="29">
        <v>1444668</v>
      </c>
      <c r="CR60" s="29">
        <v>1040050.9999999999</v>
      </c>
      <c r="CS60" s="29">
        <v>1829375</v>
      </c>
      <c r="CT60" s="29">
        <v>1594883</v>
      </c>
      <c r="CU60" s="29">
        <v>3262809</v>
      </c>
      <c r="CV60" s="29">
        <v>2529927</v>
      </c>
      <c r="CW60" s="29">
        <v>2092061.0000000002</v>
      </c>
      <c r="CX60" s="29">
        <v>2937746</v>
      </c>
      <c r="CY60" s="29">
        <v>1862331</v>
      </c>
      <c r="CZ60" s="29">
        <v>2842155</v>
      </c>
      <c r="DA60" s="29">
        <v>1503131</v>
      </c>
      <c r="DB60" s="29">
        <v>1604042</v>
      </c>
      <c r="DC60" s="29">
        <v>1812506</v>
      </c>
      <c r="DD60" s="29">
        <v>1769761</v>
      </c>
      <c r="DE60" s="29">
        <v>1672927</v>
      </c>
      <c r="DF60" s="29">
        <v>1985320</v>
      </c>
      <c r="DG60" s="29">
        <v>2375728</v>
      </c>
      <c r="DH60" s="29">
        <v>2904398</v>
      </c>
      <c r="DI60" s="29">
        <v>4737639</v>
      </c>
      <c r="DJ60" s="29">
        <v>3254717</v>
      </c>
      <c r="DK60" s="29">
        <v>2082190.9999999998</v>
      </c>
      <c r="DL60" s="29">
        <v>1691922</v>
      </c>
      <c r="DM60" s="29">
        <v>3205467</v>
      </c>
      <c r="DN60" s="29">
        <v>2091833</v>
      </c>
      <c r="DO60" s="29">
        <v>1913369</v>
      </c>
      <c r="DP60" s="29">
        <v>2025175</v>
      </c>
      <c r="DQ60" s="29">
        <v>1794035</v>
      </c>
      <c r="DR60" s="29">
        <v>1789000</v>
      </c>
      <c r="DS60" s="29">
        <v>3087705</v>
      </c>
      <c r="DT60" s="29">
        <v>2784421</v>
      </c>
      <c r="DU60" s="29">
        <v>5030161</v>
      </c>
      <c r="DV60" s="29">
        <v>2118628</v>
      </c>
      <c r="DW60" s="29">
        <v>2656197</v>
      </c>
      <c r="DX60" s="29">
        <v>2183796</v>
      </c>
      <c r="DY60" s="29">
        <v>2404876</v>
      </c>
      <c r="DZ60" s="29">
        <v>1655143</v>
      </c>
      <c r="EA60" s="29">
        <v>1898689</v>
      </c>
      <c r="EB60" s="29">
        <v>1486482</v>
      </c>
      <c r="EC60" s="29">
        <v>1049180</v>
      </c>
      <c r="ED60" s="29">
        <v>1888133</v>
      </c>
      <c r="EE60" s="29">
        <v>3266090</v>
      </c>
      <c r="EF60" s="29">
        <v>3406909</v>
      </c>
      <c r="EG60" s="29">
        <v>4173902</v>
      </c>
      <c r="EH60" s="29">
        <v>4103259</v>
      </c>
      <c r="EI60" s="29">
        <v>4544158</v>
      </c>
      <c r="EJ60" s="29">
        <v>1855185</v>
      </c>
      <c r="EK60" s="29">
        <v>1614876</v>
      </c>
      <c r="EL60" s="29">
        <v>2550904</v>
      </c>
      <c r="EM60" s="29">
        <v>1608285</v>
      </c>
      <c r="EN60" s="29">
        <v>1361475</v>
      </c>
      <c r="EO60" s="29">
        <v>1659333</v>
      </c>
      <c r="EP60" s="29">
        <v>1249336</v>
      </c>
      <c r="EQ60" s="29">
        <v>2407070</v>
      </c>
      <c r="ER60" s="29">
        <v>2918391</v>
      </c>
      <c r="ES60" s="29">
        <v>3003131</v>
      </c>
      <c r="ET60" s="29">
        <v>3764579</v>
      </c>
      <c r="EU60" s="29">
        <v>2691189</v>
      </c>
      <c r="EV60" s="29">
        <v>2485436</v>
      </c>
      <c r="EW60" s="29">
        <v>2073668.0000000002</v>
      </c>
      <c r="EX60" s="29">
        <v>1966148</v>
      </c>
      <c r="EY60" s="29">
        <v>1563505</v>
      </c>
      <c r="EZ60" s="29">
        <v>1778647</v>
      </c>
      <c r="FA60" s="29">
        <v>1997497</v>
      </c>
      <c r="FB60" s="29">
        <v>2491803</v>
      </c>
      <c r="FC60" s="29">
        <v>1835562</v>
      </c>
      <c r="FD60" s="29">
        <v>3762972</v>
      </c>
      <c r="FE60" s="29">
        <v>4329323</v>
      </c>
      <c r="FF60" s="29">
        <v>4322000</v>
      </c>
      <c r="FG60" s="29">
        <v>4177199.0000000005</v>
      </c>
      <c r="FH60" s="29">
        <v>3028118.0000000005</v>
      </c>
      <c r="FI60" s="29">
        <v>1943855.9999999998</v>
      </c>
      <c r="FJ60" s="29">
        <v>2077990.0000000007</v>
      </c>
      <c r="FK60" s="29">
        <v>1129779.5</v>
      </c>
      <c r="FL60" s="29">
        <v>901445.99999999988</v>
      </c>
      <c r="FM60" s="29">
        <v>1048476.0000000001</v>
      </c>
      <c r="FN60" s="29">
        <v>1164051</v>
      </c>
      <c r="FO60" s="29">
        <v>1895242</v>
      </c>
      <c r="FP60" s="29">
        <v>3007153.0000000005</v>
      </c>
      <c r="FQ60" s="29">
        <v>2096641.9999999998</v>
      </c>
      <c r="FR60" s="40">
        <v>2335010</v>
      </c>
      <c r="FS60" s="40">
        <v>2594255.8333333335</v>
      </c>
      <c r="FT60" s="40">
        <v>3195614.833333333</v>
      </c>
      <c r="FU60" s="40">
        <v>1267749.3333333337</v>
      </c>
      <c r="FV60" s="40">
        <v>1788063</v>
      </c>
      <c r="FW60" s="40">
        <v>1690977.1666666667</v>
      </c>
      <c r="FX60" s="40">
        <v>1852129.5</v>
      </c>
      <c r="FY60" s="40">
        <v>1399257</v>
      </c>
      <c r="FZ60" s="40">
        <v>1953930.8333333333</v>
      </c>
      <c r="GA60" s="40">
        <v>2377703.333333333</v>
      </c>
      <c r="GB60" s="40">
        <v>2757260</v>
      </c>
      <c r="GC60" s="40">
        <v>3795388.9999999995</v>
      </c>
      <c r="GD60" s="40">
        <v>4084221.0000000005</v>
      </c>
      <c r="GE60" s="40">
        <v>2533146.666666666</v>
      </c>
      <c r="GF60" s="40">
        <v>3442312.3333333335</v>
      </c>
      <c r="GG60" s="40">
        <v>2747543</v>
      </c>
      <c r="GH60" s="40">
        <v>1193239</v>
      </c>
      <c r="GI60" s="40">
        <v>1230386</v>
      </c>
      <c r="GJ60" s="40">
        <v>999827</v>
      </c>
      <c r="GK60" s="40">
        <v>1242692.6666666665</v>
      </c>
      <c r="GL60" s="40">
        <v>1483472.3333333333</v>
      </c>
      <c r="GM60" s="40">
        <v>2639629.3333333335</v>
      </c>
      <c r="GN60" s="40">
        <v>3097641.166666667</v>
      </c>
      <c r="GO60" s="40">
        <v>3779869.5</v>
      </c>
      <c r="GP60" s="28">
        <v>2907400</v>
      </c>
      <c r="GQ60" s="28">
        <v>2576216</v>
      </c>
      <c r="GR60" s="28">
        <v>4237722</v>
      </c>
      <c r="GS60" s="25">
        <f>2141.93733333333*1000</f>
        <v>2141937.3333333302</v>
      </c>
      <c r="GT60" s="25">
        <f>1897.8775*1000</f>
        <v>1897877.5</v>
      </c>
      <c r="GU60" s="25">
        <f>1842.8785*1000</f>
        <v>1842878.5</v>
      </c>
      <c r="GV60" s="25"/>
      <c r="GW60" s="25"/>
      <c r="GX60" s="25"/>
      <c r="GY60" s="25"/>
      <c r="GZ60" s="25"/>
      <c r="HA60" s="25"/>
      <c r="HB60" s="28">
        <v>2907400</v>
      </c>
      <c r="HC60" s="28">
        <v>2576216</v>
      </c>
      <c r="HD60" s="28">
        <v>4237722</v>
      </c>
      <c r="HE60" s="25">
        <f>2141.93733333333*1000</f>
        <v>2141937.3333333302</v>
      </c>
      <c r="HF60" s="25">
        <f>1897.8775*1000</f>
        <v>1897877.5</v>
      </c>
      <c r="HG60" s="25">
        <f>1842.8785*1000</f>
        <v>1842878.5</v>
      </c>
      <c r="HH60" s="25"/>
      <c r="HI60" s="25"/>
      <c r="HJ60" s="25"/>
      <c r="HK60" s="25"/>
      <c r="HL60" s="25"/>
      <c r="HM60" s="25"/>
    </row>
    <row r="61" spans="1:221">
      <c r="D61" s="43" t="s">
        <v>345</v>
      </c>
      <c r="E61" s="19">
        <v>40095</v>
      </c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0</v>
      </c>
      <c r="CH61" s="31">
        <v>0</v>
      </c>
      <c r="CI61" s="29">
        <v>678138</v>
      </c>
      <c r="CJ61" s="29">
        <v>2223809</v>
      </c>
      <c r="CK61" s="29">
        <v>1760356</v>
      </c>
      <c r="CL61" s="29">
        <v>911997</v>
      </c>
      <c r="CM61" s="29">
        <v>1459118</v>
      </c>
      <c r="CN61" s="29">
        <v>1840282</v>
      </c>
      <c r="CO61" s="29">
        <v>1032883</v>
      </c>
      <c r="CP61" s="29">
        <v>898013</v>
      </c>
      <c r="CQ61" s="29">
        <v>748058</v>
      </c>
      <c r="CR61" s="29">
        <v>484924</v>
      </c>
      <c r="CS61" s="29">
        <v>607114</v>
      </c>
      <c r="CT61" s="29">
        <v>720439</v>
      </c>
      <c r="CU61" s="29">
        <v>1550212</v>
      </c>
      <c r="CV61" s="29">
        <v>1291152</v>
      </c>
      <c r="CW61" s="29">
        <v>1069385</v>
      </c>
      <c r="CX61" s="29">
        <v>1431403</v>
      </c>
      <c r="CY61" s="29">
        <v>922555</v>
      </c>
      <c r="CZ61" s="29">
        <v>1422372</v>
      </c>
      <c r="DA61" s="29">
        <v>790815</v>
      </c>
      <c r="DB61" s="29">
        <v>817195</v>
      </c>
      <c r="DC61" s="29">
        <v>907165</v>
      </c>
      <c r="DD61" s="29">
        <v>884426</v>
      </c>
      <c r="DE61" s="29">
        <v>820105</v>
      </c>
      <c r="DF61" s="29">
        <v>1038244.9999999999</v>
      </c>
      <c r="DG61" s="29">
        <v>1157562</v>
      </c>
      <c r="DH61" s="29">
        <v>1260744</v>
      </c>
      <c r="DI61" s="29">
        <v>2349255</v>
      </c>
      <c r="DJ61" s="29">
        <v>1649953</v>
      </c>
      <c r="DK61" s="29">
        <v>1093277</v>
      </c>
      <c r="DL61" s="29">
        <v>968234</v>
      </c>
      <c r="DM61" s="29">
        <v>1576527</v>
      </c>
      <c r="DN61" s="29">
        <v>1025692</v>
      </c>
      <c r="DO61" s="29">
        <v>992442</v>
      </c>
      <c r="DP61" s="29">
        <v>1043843.0000000001</v>
      </c>
      <c r="DQ61" s="29">
        <v>847644</v>
      </c>
      <c r="DR61" s="29">
        <v>967858</v>
      </c>
      <c r="DS61" s="29">
        <v>1538088</v>
      </c>
      <c r="DT61" s="29">
        <v>1371583</v>
      </c>
      <c r="DU61" s="29">
        <v>2279482</v>
      </c>
      <c r="DV61" s="29">
        <v>1045066</v>
      </c>
      <c r="DW61" s="29">
        <v>1325604</v>
      </c>
      <c r="DX61" s="29">
        <v>1068996</v>
      </c>
      <c r="DY61" s="29">
        <v>1217263</v>
      </c>
      <c r="DZ61" s="29">
        <v>772832</v>
      </c>
      <c r="EA61" s="29">
        <v>967693</v>
      </c>
      <c r="EB61" s="29">
        <v>762818</v>
      </c>
      <c r="EC61" s="29">
        <v>525883</v>
      </c>
      <c r="ED61" s="29">
        <v>950300</v>
      </c>
      <c r="EE61" s="29">
        <v>1653778</v>
      </c>
      <c r="EF61" s="29">
        <v>1671846</v>
      </c>
      <c r="EG61" s="29">
        <v>2013334</v>
      </c>
      <c r="EH61" s="29">
        <v>2077237.9999999998</v>
      </c>
      <c r="EI61" s="29">
        <v>2153084</v>
      </c>
      <c r="EJ61" s="29">
        <v>943342</v>
      </c>
      <c r="EK61" s="29">
        <v>755008</v>
      </c>
      <c r="EL61" s="29">
        <v>1367441</v>
      </c>
      <c r="EM61" s="29">
        <v>864016</v>
      </c>
      <c r="EN61" s="29">
        <v>717993</v>
      </c>
      <c r="EO61" s="29">
        <v>833607</v>
      </c>
      <c r="EP61" s="29">
        <v>651353</v>
      </c>
      <c r="EQ61" s="29">
        <v>1131703</v>
      </c>
      <c r="ER61" s="29">
        <v>1428551</v>
      </c>
      <c r="ES61" s="29">
        <v>1502717</v>
      </c>
      <c r="ET61" s="29">
        <v>1826756</v>
      </c>
      <c r="EU61" s="29">
        <v>1250995</v>
      </c>
      <c r="EV61" s="29">
        <v>1215547</v>
      </c>
      <c r="EW61" s="29">
        <v>1089107</v>
      </c>
      <c r="EX61" s="29">
        <v>1045569</v>
      </c>
      <c r="EY61" s="29">
        <v>803874</v>
      </c>
      <c r="EZ61" s="29">
        <v>794381</v>
      </c>
      <c r="FA61" s="29">
        <v>993660</v>
      </c>
      <c r="FB61" s="29">
        <v>1282919</v>
      </c>
      <c r="FC61" s="29">
        <v>985940</v>
      </c>
      <c r="FD61" s="29">
        <v>1938569</v>
      </c>
      <c r="FE61" s="29">
        <v>2056130</v>
      </c>
      <c r="FF61" s="29">
        <v>2098000</v>
      </c>
      <c r="FG61" s="29">
        <v>2058487.9999999993</v>
      </c>
      <c r="FH61" s="29">
        <v>1524074.9999999998</v>
      </c>
      <c r="FI61" s="29">
        <v>1030945.0000000001</v>
      </c>
      <c r="FJ61" s="29">
        <v>1027759.9999999998</v>
      </c>
      <c r="FK61" s="29">
        <v>559286.33333333326</v>
      </c>
      <c r="FL61" s="29">
        <v>467058.00000000012</v>
      </c>
      <c r="FM61" s="29">
        <v>569410.99999999988</v>
      </c>
      <c r="FN61" s="29">
        <v>691163.00000000012</v>
      </c>
      <c r="FO61" s="29">
        <v>948827</v>
      </c>
      <c r="FP61" s="29">
        <v>1529561.0000000002</v>
      </c>
      <c r="FQ61" s="29">
        <v>1048266.6666666666</v>
      </c>
      <c r="FR61" s="40">
        <v>1129831</v>
      </c>
      <c r="FS61" s="40">
        <v>1427587.6666666667</v>
      </c>
      <c r="FT61" s="40">
        <v>1593440.6666666667</v>
      </c>
      <c r="FU61" s="40">
        <v>682592.66666666674</v>
      </c>
      <c r="FV61" s="40">
        <v>932687.16666666663</v>
      </c>
      <c r="FW61" s="40">
        <v>785040.5</v>
      </c>
      <c r="FX61" s="40">
        <v>945165</v>
      </c>
      <c r="FY61" s="40">
        <v>708579</v>
      </c>
      <c r="FZ61" s="40">
        <v>1000356.5</v>
      </c>
      <c r="GA61" s="40">
        <v>1203682</v>
      </c>
      <c r="GB61" s="40">
        <v>1357742</v>
      </c>
      <c r="GC61" s="40">
        <v>1864960</v>
      </c>
      <c r="GD61" s="40">
        <v>2083408.3333333333</v>
      </c>
      <c r="GE61" s="40">
        <v>1231348.166666667</v>
      </c>
      <c r="GF61" s="40">
        <v>1645972.1666666667</v>
      </c>
      <c r="GG61" s="40">
        <v>1354628</v>
      </c>
      <c r="GH61" s="40">
        <v>700024</v>
      </c>
      <c r="GI61" s="40">
        <v>643686</v>
      </c>
      <c r="GJ61" s="40">
        <v>523261.33333333326</v>
      </c>
      <c r="GK61" s="40">
        <v>629857.66666666674</v>
      </c>
      <c r="GL61" s="40">
        <v>782051.16666666663</v>
      </c>
      <c r="GM61" s="40">
        <v>1325255.8333333337</v>
      </c>
      <c r="GN61" s="40">
        <v>1496840.6666666665</v>
      </c>
      <c r="GO61" s="40">
        <v>1555755.5000000002</v>
      </c>
      <c r="GP61" s="28">
        <v>1418542.5</v>
      </c>
      <c r="GQ61" s="28">
        <v>1251762.3333333333</v>
      </c>
      <c r="GR61" s="28">
        <v>2087411.9999999998</v>
      </c>
      <c r="GS61" s="25">
        <f>1106.73233333333*1000</f>
        <v>1106732.33333333</v>
      </c>
      <c r="GT61" s="25">
        <f>939.324333333333*1000</f>
        <v>939324.33333333302</v>
      </c>
      <c r="GU61" s="25">
        <f>908.9675*1000</f>
        <v>908967.5</v>
      </c>
      <c r="GV61" s="25"/>
      <c r="GW61" s="25"/>
      <c r="GX61" s="25"/>
      <c r="GY61" s="25"/>
      <c r="GZ61" s="25"/>
      <c r="HA61" s="25"/>
      <c r="HB61" s="28">
        <v>1418542.5</v>
      </c>
      <c r="HC61" s="28">
        <v>1251762.3333333333</v>
      </c>
      <c r="HD61" s="28">
        <v>2087411.9999999998</v>
      </c>
      <c r="HE61" s="25">
        <f>1106.73233333333*1000</f>
        <v>1106732.33333333</v>
      </c>
      <c r="HF61" s="25">
        <f>939.324333333333*1000</f>
        <v>939324.33333333302</v>
      </c>
      <c r="HG61" s="25">
        <f>908.9675*1000</f>
        <v>908967.5</v>
      </c>
      <c r="HH61" s="25"/>
      <c r="HI61" s="25"/>
      <c r="HJ61" s="25"/>
      <c r="HK61" s="25"/>
      <c r="HL61" s="25"/>
      <c r="HM61" s="25"/>
    </row>
    <row r="62" spans="1:221">
      <c r="D62" s="43" t="s">
        <v>346</v>
      </c>
      <c r="E62" s="19">
        <v>40095</v>
      </c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29">
        <v>2026683</v>
      </c>
      <c r="CJ62" s="29">
        <v>4288464</v>
      </c>
      <c r="CK62" s="29">
        <v>3421805</v>
      </c>
      <c r="CL62" s="29">
        <v>1721051</v>
      </c>
      <c r="CM62" s="29">
        <v>3163104</v>
      </c>
      <c r="CN62" s="29">
        <v>3500890</v>
      </c>
      <c r="CO62" s="29">
        <v>2201458</v>
      </c>
      <c r="CP62" s="29">
        <v>1729311</v>
      </c>
      <c r="CQ62" s="29">
        <v>1562622</v>
      </c>
      <c r="CR62" s="29">
        <v>1115292</v>
      </c>
      <c r="CS62" s="29">
        <v>1877244</v>
      </c>
      <c r="CT62" s="29">
        <v>1522217</v>
      </c>
      <c r="CU62" s="29">
        <v>3144660</v>
      </c>
      <c r="CV62" s="29">
        <v>2479383</v>
      </c>
      <c r="CW62" s="29">
        <v>1939708</v>
      </c>
      <c r="CX62" s="29">
        <v>2741603</v>
      </c>
      <c r="CY62" s="29">
        <v>1760506</v>
      </c>
      <c r="CZ62" s="29">
        <v>2832728</v>
      </c>
      <c r="DA62" s="29">
        <v>1728105</v>
      </c>
      <c r="DB62" s="29">
        <v>1609240</v>
      </c>
      <c r="DC62" s="29">
        <v>1794856</v>
      </c>
      <c r="DD62" s="29">
        <v>1768921</v>
      </c>
      <c r="DE62" s="29">
        <v>1340128</v>
      </c>
      <c r="DF62" s="29">
        <v>1666232</v>
      </c>
      <c r="DG62" s="29">
        <v>2105155</v>
      </c>
      <c r="DH62" s="29">
        <v>2551267</v>
      </c>
      <c r="DI62" s="29">
        <v>4658896</v>
      </c>
      <c r="DJ62" s="29">
        <v>3387921</v>
      </c>
      <c r="DK62" s="29">
        <v>2059279</v>
      </c>
      <c r="DL62" s="29">
        <v>1970512</v>
      </c>
      <c r="DM62" s="29">
        <v>2944256</v>
      </c>
      <c r="DN62" s="29">
        <v>2061293.0000000002</v>
      </c>
      <c r="DO62" s="29">
        <v>1652595</v>
      </c>
      <c r="DP62" s="29">
        <v>1697473</v>
      </c>
      <c r="DQ62" s="29">
        <v>1750526</v>
      </c>
      <c r="DR62" s="29">
        <v>1990918</v>
      </c>
      <c r="DS62" s="29">
        <v>2985932</v>
      </c>
      <c r="DT62" s="29">
        <v>2563238</v>
      </c>
      <c r="DU62" s="29">
        <v>3916536</v>
      </c>
      <c r="DV62" s="29">
        <v>1826039</v>
      </c>
      <c r="DW62" s="29">
        <v>2428807</v>
      </c>
      <c r="DX62" s="29">
        <v>2101754</v>
      </c>
      <c r="DY62" s="29">
        <v>2290766</v>
      </c>
      <c r="DZ62" s="29">
        <v>1733551</v>
      </c>
      <c r="EA62" s="29">
        <v>1795407</v>
      </c>
      <c r="EB62" s="29">
        <v>1321980</v>
      </c>
      <c r="EC62" s="29">
        <v>969214</v>
      </c>
      <c r="ED62" s="29">
        <v>1790501</v>
      </c>
      <c r="EE62" s="29">
        <v>3118162</v>
      </c>
      <c r="EF62" s="29">
        <v>3254202</v>
      </c>
      <c r="EG62" s="29">
        <v>3704682</v>
      </c>
      <c r="EH62" s="29">
        <v>3919047</v>
      </c>
      <c r="EI62" s="29">
        <v>4361416</v>
      </c>
      <c r="EJ62" s="29">
        <v>1884197</v>
      </c>
      <c r="EK62" s="29">
        <v>1646200</v>
      </c>
      <c r="EL62" s="29">
        <v>2739344</v>
      </c>
      <c r="EM62" s="29">
        <v>1822456</v>
      </c>
      <c r="EN62" s="29">
        <v>1502317</v>
      </c>
      <c r="EO62" s="29">
        <v>1557369</v>
      </c>
      <c r="EP62" s="29">
        <v>1338149</v>
      </c>
      <c r="EQ62" s="29">
        <v>2108293</v>
      </c>
      <c r="ER62" s="29">
        <v>2606889</v>
      </c>
      <c r="ES62" s="29">
        <v>2892868</v>
      </c>
      <c r="ET62" s="29">
        <v>3476046</v>
      </c>
      <c r="EU62" s="29">
        <v>2692324</v>
      </c>
      <c r="EV62" s="29">
        <v>2604433</v>
      </c>
      <c r="EW62" s="29">
        <v>2179296</v>
      </c>
      <c r="EX62" s="29">
        <v>2036227</v>
      </c>
      <c r="EY62" s="29">
        <v>1582110</v>
      </c>
      <c r="EZ62" s="29">
        <v>1724198</v>
      </c>
      <c r="FA62" s="29">
        <v>1922465</v>
      </c>
      <c r="FB62" s="29">
        <v>2610012</v>
      </c>
      <c r="FC62" s="29">
        <v>1956824</v>
      </c>
      <c r="FD62" s="29">
        <v>3690247</v>
      </c>
      <c r="FE62" s="29">
        <v>3724479</v>
      </c>
      <c r="FF62" s="29">
        <v>4120000</v>
      </c>
      <c r="FG62" s="29">
        <v>3922232</v>
      </c>
      <c r="FH62" s="29">
        <v>3005506.9999999995</v>
      </c>
      <c r="FI62" s="29">
        <v>2001895.9999999998</v>
      </c>
      <c r="FJ62" s="29">
        <v>2106449.0000000005</v>
      </c>
      <c r="FK62" s="29">
        <v>1185090.3329999996</v>
      </c>
      <c r="FL62" s="29">
        <v>951491.00000000023</v>
      </c>
      <c r="FM62" s="29">
        <v>1163583.0000000002</v>
      </c>
      <c r="FN62" s="29">
        <v>1378576.9999999998</v>
      </c>
      <c r="FO62" s="29">
        <v>1930352</v>
      </c>
      <c r="FP62" s="29">
        <v>2799745</v>
      </c>
      <c r="FQ62" s="29">
        <v>2143290.1666666665</v>
      </c>
      <c r="FR62" s="40">
        <v>2350583</v>
      </c>
      <c r="FS62" s="40">
        <v>2948876.1666666665</v>
      </c>
      <c r="FT62" s="40">
        <v>3113729.333333333</v>
      </c>
      <c r="FU62" s="40">
        <v>1471637.8333333337</v>
      </c>
      <c r="FV62" s="40">
        <v>1831044</v>
      </c>
      <c r="FW62" s="40">
        <v>1389571.8333333333</v>
      </c>
      <c r="FX62" s="40">
        <v>1717273.1666666665</v>
      </c>
      <c r="FY62" s="40">
        <v>1280682</v>
      </c>
      <c r="FZ62" s="40">
        <v>1873966</v>
      </c>
      <c r="GA62" s="40">
        <v>2315584.6666666665</v>
      </c>
      <c r="GB62" s="40">
        <v>2728935.9999999995</v>
      </c>
      <c r="GC62" s="40">
        <v>3646570</v>
      </c>
      <c r="GD62" s="40">
        <v>3986048.666666666</v>
      </c>
      <c r="GE62" s="40">
        <v>2326408.833333334</v>
      </c>
      <c r="GF62" s="40">
        <v>3179203</v>
      </c>
      <c r="GG62" s="40">
        <v>2581054</v>
      </c>
      <c r="GH62" s="40">
        <v>1576480.9999999998</v>
      </c>
      <c r="GI62" s="40">
        <v>1285467</v>
      </c>
      <c r="GJ62" s="40">
        <v>1059118.1666666667</v>
      </c>
      <c r="GK62" s="40">
        <v>1341582.1666666665</v>
      </c>
      <c r="GL62" s="40">
        <v>1569180</v>
      </c>
      <c r="GM62" s="40">
        <v>2386916</v>
      </c>
      <c r="GN62" s="40">
        <v>2915027.3333333335</v>
      </c>
      <c r="GO62" s="40">
        <v>3680764</v>
      </c>
      <c r="GP62" s="28">
        <v>2764165.3333333335</v>
      </c>
      <c r="GQ62" s="28">
        <v>2669230</v>
      </c>
      <c r="GR62" s="28">
        <v>4102640.666666666</v>
      </c>
      <c r="GS62" s="25">
        <f>2191.277*1000</f>
        <v>2191277</v>
      </c>
      <c r="GT62" s="25">
        <f>2008.97183333333*1000</f>
        <v>2008971.83333333</v>
      </c>
      <c r="GU62" s="25">
        <f>1819.2805*1000</f>
        <v>1819280.5</v>
      </c>
      <c r="GV62" s="25"/>
      <c r="GW62" s="25"/>
      <c r="GX62" s="25"/>
      <c r="GY62" s="25"/>
      <c r="GZ62" s="25"/>
      <c r="HA62" s="25"/>
      <c r="HB62" s="28">
        <v>2764165.3333333335</v>
      </c>
      <c r="HC62" s="28">
        <v>2669230</v>
      </c>
      <c r="HD62" s="28">
        <v>4102640.666666666</v>
      </c>
      <c r="HE62" s="25">
        <f>2191.277*1000</f>
        <v>2191277</v>
      </c>
      <c r="HF62" s="25">
        <f>2008.97183333333*1000</f>
        <v>2008971.83333333</v>
      </c>
      <c r="HG62" s="25">
        <f>1819.2805*1000</f>
        <v>1819280.5</v>
      </c>
      <c r="HH62" s="25"/>
      <c r="HI62" s="25"/>
      <c r="HJ62" s="25"/>
      <c r="HK62" s="25"/>
      <c r="HL62" s="25"/>
      <c r="HM62" s="25"/>
    </row>
    <row r="63" spans="1:221">
      <c r="A63" t="s">
        <v>193</v>
      </c>
      <c r="B63" t="s">
        <v>270</v>
      </c>
      <c r="D63" s="10" t="s">
        <v>304</v>
      </c>
      <c r="E63" s="19">
        <v>40269</v>
      </c>
      <c r="F63" s="16" t="s">
        <v>845</v>
      </c>
      <c r="G63" s="16" t="s">
        <v>845</v>
      </c>
      <c r="H63" s="16" t="s">
        <v>845</v>
      </c>
      <c r="I63" s="16" t="s">
        <v>845</v>
      </c>
      <c r="J63" s="16" t="s">
        <v>845</v>
      </c>
      <c r="K63" s="16" t="s">
        <v>845</v>
      </c>
      <c r="L63" s="16" t="s">
        <v>845</v>
      </c>
      <c r="M63" s="16" t="s">
        <v>845</v>
      </c>
      <c r="N63" s="16" t="s">
        <v>845</v>
      </c>
      <c r="O63" s="16" t="s">
        <v>845</v>
      </c>
      <c r="P63" s="16" t="s">
        <v>845</v>
      </c>
      <c r="Q63" s="16" t="s">
        <v>845</v>
      </c>
      <c r="R63" s="16" t="s">
        <v>845</v>
      </c>
      <c r="S63" s="16" t="s">
        <v>845</v>
      </c>
      <c r="T63" s="16" t="s">
        <v>845</v>
      </c>
      <c r="U63" s="16" t="s">
        <v>845</v>
      </c>
      <c r="V63" s="16" t="s">
        <v>845</v>
      </c>
      <c r="W63" s="16" t="s">
        <v>845</v>
      </c>
      <c r="X63" s="16" t="s">
        <v>845</v>
      </c>
      <c r="Y63" s="16" t="s">
        <v>845</v>
      </c>
      <c r="Z63" s="16" t="s">
        <v>845</v>
      </c>
      <c r="AA63" s="16" t="s">
        <v>845</v>
      </c>
      <c r="AB63" s="16" t="s">
        <v>845</v>
      </c>
      <c r="AC63" s="16" t="s">
        <v>845</v>
      </c>
      <c r="AD63" s="16" t="s">
        <v>845</v>
      </c>
      <c r="AE63" s="16" t="s">
        <v>845</v>
      </c>
      <c r="AF63" s="16" t="s">
        <v>845</v>
      </c>
      <c r="AG63" s="16" t="s">
        <v>845</v>
      </c>
      <c r="AH63" s="16" t="s">
        <v>845</v>
      </c>
      <c r="AI63" s="16" t="s">
        <v>845</v>
      </c>
      <c r="AJ63" s="16" t="s">
        <v>845</v>
      </c>
      <c r="AK63" s="16" t="s">
        <v>845</v>
      </c>
      <c r="AL63" s="16" t="s">
        <v>845</v>
      </c>
      <c r="AM63" s="16" t="s">
        <v>845</v>
      </c>
      <c r="AN63" s="16" t="s">
        <v>845</v>
      </c>
      <c r="AO63" s="16" t="s">
        <v>845</v>
      </c>
      <c r="AP63" s="16" t="s">
        <v>845</v>
      </c>
      <c r="AQ63" s="16" t="s">
        <v>845</v>
      </c>
      <c r="AR63" s="16" t="s">
        <v>845</v>
      </c>
      <c r="AS63" s="16" t="s">
        <v>845</v>
      </c>
      <c r="AT63" s="16" t="s">
        <v>845</v>
      </c>
      <c r="AU63" s="16" t="s">
        <v>845</v>
      </c>
      <c r="AV63" s="16" t="s">
        <v>845</v>
      </c>
      <c r="AW63" s="16" t="s">
        <v>845</v>
      </c>
      <c r="AX63" s="16" t="s">
        <v>845</v>
      </c>
      <c r="AY63" s="16" t="s">
        <v>845</v>
      </c>
      <c r="AZ63" s="16" t="s">
        <v>845</v>
      </c>
      <c r="BA63" s="16" t="s">
        <v>845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1453697</v>
      </c>
      <c r="CY63" s="16">
        <v>858293</v>
      </c>
      <c r="CZ63" s="16">
        <v>1985251</v>
      </c>
      <c r="DA63" s="16">
        <v>1491446</v>
      </c>
      <c r="DB63" s="16">
        <v>1235926</v>
      </c>
      <c r="DC63" s="16">
        <v>779886</v>
      </c>
      <c r="DD63" s="16">
        <v>947360</v>
      </c>
      <c r="DE63" s="16">
        <v>1009194</v>
      </c>
      <c r="DF63" s="16">
        <v>899872</v>
      </c>
      <c r="DG63" s="16">
        <v>1798932</v>
      </c>
      <c r="DH63" s="16">
        <v>2189627</v>
      </c>
      <c r="DI63" s="16">
        <v>2259430</v>
      </c>
      <c r="DJ63" s="16">
        <v>1775049</v>
      </c>
      <c r="DK63" s="16">
        <v>1241001</v>
      </c>
      <c r="DL63" s="16">
        <v>1513416</v>
      </c>
      <c r="DM63" s="16">
        <v>2142847</v>
      </c>
      <c r="DN63" s="16">
        <v>1198704</v>
      </c>
      <c r="DO63" s="16">
        <v>982212</v>
      </c>
      <c r="DP63" s="16">
        <v>719660</v>
      </c>
      <c r="DQ63" s="16">
        <v>824824</v>
      </c>
      <c r="DR63" s="16">
        <v>1051228</v>
      </c>
      <c r="DS63" s="16">
        <v>1986047</v>
      </c>
      <c r="DT63" s="16">
        <v>1669409</v>
      </c>
      <c r="DU63" s="16">
        <v>2096393</v>
      </c>
      <c r="DV63" s="16">
        <v>1185369</v>
      </c>
      <c r="DW63" s="16">
        <v>1584878</v>
      </c>
      <c r="DX63" s="16">
        <v>1894049</v>
      </c>
      <c r="DY63" s="16">
        <v>1428453</v>
      </c>
      <c r="DZ63" s="16">
        <v>1423129</v>
      </c>
      <c r="EA63" s="16">
        <v>1517436</v>
      </c>
      <c r="EB63" s="16">
        <v>631883</v>
      </c>
      <c r="EC63" s="16">
        <v>842718</v>
      </c>
      <c r="ED63" s="16">
        <v>1098516</v>
      </c>
      <c r="EE63" s="16">
        <v>1871602</v>
      </c>
      <c r="EF63" s="16">
        <v>1958792</v>
      </c>
      <c r="EG63" s="16">
        <v>1770133</v>
      </c>
      <c r="EH63" s="16">
        <v>1817647</v>
      </c>
      <c r="EI63" s="16">
        <v>1905969</v>
      </c>
      <c r="EJ63" s="16">
        <v>1775999</v>
      </c>
      <c r="EK63" s="16">
        <v>1374695</v>
      </c>
      <c r="EL63" s="16">
        <v>1792549</v>
      </c>
      <c r="EM63" s="16">
        <v>989622</v>
      </c>
      <c r="EN63" s="16">
        <v>1367157</v>
      </c>
      <c r="EO63" s="16">
        <v>500985</v>
      </c>
      <c r="EP63" s="16">
        <v>942249</v>
      </c>
      <c r="EQ63" s="16">
        <v>1147106</v>
      </c>
      <c r="ER63" s="16">
        <v>2117290</v>
      </c>
      <c r="ES63" s="16">
        <v>1415695</v>
      </c>
      <c r="ET63" s="16">
        <v>1129000</v>
      </c>
      <c r="EU63" s="16">
        <v>1404000</v>
      </c>
      <c r="EV63" s="16">
        <v>1833000</v>
      </c>
      <c r="EW63" s="16">
        <v>1572000</v>
      </c>
      <c r="EX63" s="16">
        <v>1351817</v>
      </c>
      <c r="EY63" s="16">
        <v>839000</v>
      </c>
      <c r="EZ63" s="16">
        <v>1154000</v>
      </c>
      <c r="FA63" s="16">
        <v>926279</v>
      </c>
      <c r="FB63" s="16">
        <v>901624</v>
      </c>
      <c r="FC63" s="16">
        <v>1239873</v>
      </c>
      <c r="FD63" s="16">
        <v>1478071</v>
      </c>
      <c r="FE63" s="16">
        <v>1609721</v>
      </c>
      <c r="FF63" s="16">
        <v>1510000</v>
      </c>
      <c r="FG63" s="16">
        <v>1940829</v>
      </c>
      <c r="FH63" s="16">
        <v>1648237</v>
      </c>
      <c r="FI63" s="16">
        <v>2040370</v>
      </c>
      <c r="FJ63" s="16">
        <v>2532027</v>
      </c>
      <c r="FK63" s="16">
        <v>880365</v>
      </c>
      <c r="FL63" s="16">
        <v>664080</v>
      </c>
      <c r="FM63" s="16">
        <v>799800</v>
      </c>
      <c r="FN63" s="16">
        <v>967960</v>
      </c>
      <c r="FO63" s="16">
        <v>1139790</v>
      </c>
      <c r="FP63" s="16">
        <v>1718100</v>
      </c>
      <c r="FQ63" s="16">
        <v>1345660</v>
      </c>
      <c r="FR63" s="40">
        <f>_xll.LVCELL($D$2,FR$15,$B63,$D$5,$D$6,$D$7,$D$8,$D$9,$D$10,$D$11)</f>
        <v>1463840</v>
      </c>
      <c r="FS63" s="40">
        <f>_xll.LVCELL($D$2,FS$15,$B63,$D$5,$D$6,$D$7,$D$8,$D$9,$D$10,$D$11)</f>
        <v>1777490</v>
      </c>
      <c r="FT63" s="40">
        <f>_xll.LVCELL($D$2,FT$15,$B63,$D$5,$D$6,$D$7,$D$8,$D$9,$D$10,$D$11)</f>
        <v>1448600</v>
      </c>
      <c r="FU63" s="40">
        <f>_xll.LVCELL($D$2,FU$15,$B63,$D$5,$D$6,$D$7,$D$8,$D$9,$D$10,$D$11)</f>
        <v>1120260</v>
      </c>
      <c r="FV63" s="40">
        <f>_xll.LVCELL($D$2,FV$15,$B63,$D$5,$D$6,$D$7,$D$8,$D$9,$D$10,$D$11)</f>
        <v>1476064</v>
      </c>
      <c r="FW63" s="40">
        <f>_xll.LVCELL($D$2,FW$15,$B63,$D$5,$D$6,$D$7,$D$8,$D$9,$D$10,$D$11)</f>
        <v>824660</v>
      </c>
      <c r="FX63" s="40">
        <f>_xll.LVCELL($D$2,FX$15,$B63,$D$5,$D$6,$D$7,$D$8,$D$9,$D$10,$D$11)</f>
        <v>1161911.5</v>
      </c>
      <c r="FY63" s="40">
        <f>_xll.LVCELL($D$2,FY$15,$B63,$D$5,$D$6,$D$7,$D$8,$D$9,$D$10,$D$11)</f>
        <v>628625</v>
      </c>
      <c r="FZ63" s="40">
        <f>_xll.LVCELL($D$2,FZ$15,$B63,$D$5,$D$6,$D$7,$D$8,$D$9,$D$10,$D$11)</f>
        <v>594822.32999999996</v>
      </c>
      <c r="GA63" s="40">
        <f>_xll.LVCELL($D$2,GA$15,$B63,$D$5,$D$6,$D$7,$D$8,$D$9,$D$10,$D$11)</f>
        <v>1352736</v>
      </c>
      <c r="GB63" s="40">
        <f>_xll.LVCELL($D$2,GB$15,$B63,$D$5,$D$6,$D$7,$D$8,$D$9,$D$10,$D$11)</f>
        <v>1571652</v>
      </c>
      <c r="GC63" s="40">
        <f>_xll.LVCELL($D$2,GC$15,$B63,$D$5,$D$6,$D$7,$D$8,$D$9,$D$10,$D$11)</f>
        <v>1555158</v>
      </c>
      <c r="GD63" s="40">
        <f>_xll.LVCELL($D$2,GD$15,$B63,$D$5,$D$6,$D$7,$D$8,$D$9,$D$10,$D$11)</f>
        <v>2599956</v>
      </c>
      <c r="GE63" s="40">
        <f>_xll.LVCELL($D$2,GE$15,$B63,$D$5,$D$6,$D$7,$D$8,$D$9,$D$10,$D$11)</f>
        <v>1034805</v>
      </c>
      <c r="GF63" s="40">
        <f>_xll.LVCELL($D$2,GF$15,$B63,$D$5,$D$6,$D$7,$D$8,$D$9,$D$10,$D$11)</f>
        <v>2183672</v>
      </c>
      <c r="GG63" s="40">
        <f>_xll.LVCELL($D$2,GG$15,$B63,$D$5,$D$6,$D$7,$D$8,$D$9,$D$10,$D$11)</f>
        <v>2076256</v>
      </c>
      <c r="GH63" s="40">
        <f>_xll.LVCELL($D$2,GH$15,$B63,$D$5,$D$6,$D$7,$D$8,$D$9,$D$10,$D$11)</f>
        <v>1091143</v>
      </c>
      <c r="GI63" s="40">
        <f>_xll.LVCELL($D$2,GI$15,$B63,$D$5,$D$6,$D$7,$D$8,$D$9,$D$10,$D$11)</f>
        <v>678574</v>
      </c>
      <c r="GJ63" s="40">
        <f>_xll.LVCELL($D$2,GJ$15,$B63,$D$5,$D$6,$D$7,$D$8,$D$9,$D$10,$D$11)</f>
        <v>402680</v>
      </c>
      <c r="GK63" s="40">
        <f>_xll.LVCELL($D$2,GK$15,$B63,$D$5,$D$6,$D$7,$D$8,$D$9,$D$10,$D$11)</f>
        <v>595864</v>
      </c>
      <c r="GL63" s="40">
        <f>_xll.LVCELL($D$2,GL$15,$B63,$D$5,$D$6,$D$7,$D$8,$D$9,$D$10,$D$11)</f>
        <v>543810</v>
      </c>
      <c r="GM63" s="40">
        <f>_xll.LVCELL($D$2,GM$15,$B63,$D$5,$D$6,$D$7,$D$8,$D$9,$D$10,$D$11)</f>
        <v>1882089</v>
      </c>
      <c r="GN63" s="40">
        <f>_xll.LVCELL($D$2,GN$15,$B63,$D$5,$D$6,$D$7,$D$8,$D$9,$D$10,$D$11)</f>
        <v>2017115</v>
      </c>
      <c r="GO63" s="40">
        <f>_xll.LVCELL($D$2,GO$15,$B63,$D$5,$D$6,$D$7,$D$8,$D$9,$D$10,$D$11)</f>
        <v>1393622</v>
      </c>
      <c r="GP63" s="25">
        <f>_xll.LVCELL($D$2,GP$15,$B63,$D$5,$D$6,$D$7,$D$8,$D$9,$D$10,$D$11)</f>
        <v>1403071</v>
      </c>
      <c r="GQ63" s="25">
        <f>_xll.LVCELL($D$2,GQ$15,$B63,$D$5,$D$6,$D$7,$D$8,$D$9,$D$10,$D$11)</f>
        <v>1418581</v>
      </c>
      <c r="GR63" s="25">
        <f>_xll.LVCELL($D$2,GR$15,$B63,$D$5,$D$6,$D$7,$D$8,$D$9,$D$10,$D$11)</f>
        <v>2083289</v>
      </c>
      <c r="GS63" s="25">
        <f>_xll.LVCELL($D$2,GS$15,$B63,$D$5,$D$6,$D$7,$D$8,$D$9,$D$10,$D$11)</f>
        <v>1747773</v>
      </c>
      <c r="GT63" s="25">
        <f>_xll.LVCELL($D$2,GT$15,$B63,$D$5,$D$6,$D$7,$D$8,$D$9,$D$10,$D$11)</f>
        <v>1282556</v>
      </c>
      <c r="GU63" s="25">
        <f>_xll.LVCELL($D$2,GU$15,$B63,$D$5,$D$6,$D$7,$D$8,$D$9,$D$10,$D$11)</f>
        <v>712682</v>
      </c>
      <c r="GV63" s="25">
        <f>_xll.LVCELL($D$2,GV$15,$B63,$D$5,$D$6,$D$7,$D$8,$D$9,$D$10,$D$11)</f>
        <v>501653</v>
      </c>
      <c r="GW63" s="25">
        <f>_xll.LVCELL($D$2,GW$15,$B63,$D$5,$D$6,$D$7,$D$8,$D$9,$D$10,$D$11)</f>
        <v>348422</v>
      </c>
      <c r="GX63" s="25">
        <f>_xll.LVCELL($D$2,GX$15,$B63,$D$5,$D$6,$D$7,$D$8,$D$9,$D$10,$D$11)</f>
        <v>579656</v>
      </c>
      <c r="GY63" s="25">
        <f>_xll.LVCELL($D$2,GY$15,$B63,$D$5,$D$6,$D$7,$D$8,$D$9,$D$10,$D$11)</f>
        <v>1214829</v>
      </c>
      <c r="GZ63" s="25">
        <f>_xll.LVCELL($D$2,GZ$15,$B63,$D$5,$D$6,$D$7,$D$8,$D$9,$D$10,$D$11)</f>
        <v>931241</v>
      </c>
      <c r="HA63" s="25">
        <f>_xll.LVCELL($D$2,HA$15,$B63,$D$5,$D$6,$D$7,$D$8,$D$9,$D$10,$D$11)</f>
        <v>1427778</v>
      </c>
      <c r="HB63" s="25">
        <f>_xll.LVCELL($D$2,HB$15,$B63,$D$5,$D$6,$D$7,$D$8,$D$9,$D$10,$D$11)</f>
        <v>1350299</v>
      </c>
      <c r="HC63" s="25">
        <f>_xll.LVCELL($D$2,HC$15,$B63,$D$5,$D$6,$D$7,$D$8,$D$9,$D$10,$D$11)</f>
        <v>1683507</v>
      </c>
      <c r="HD63" s="25">
        <f>_xll.LVCELL($D$2,HD$15,$B63,$D$5,$D$6,$D$7,$D$8,$D$9,$D$10,$D$11)</f>
        <v>1313212</v>
      </c>
      <c r="HE63" s="25">
        <f>_xll.LVCELL($D$2,HE$15,$B63,$D$5,$D$6,$D$7,$D$8,$D$9,$D$10,$D$11)</f>
        <v>0</v>
      </c>
      <c r="HF63" s="25">
        <f>_xll.LVCELL($D$2,HF$15,$B63,$D$5,$D$6,$D$7,$D$8,$D$9,$D$10,$D$11)</f>
        <v>13596</v>
      </c>
      <c r="HG63" s="25">
        <f>_xll.LVCELL($D$2,HG$15,$B63,$D$5,$D$6,$D$7,$D$8,$D$9,$D$10,$D$11)</f>
        <v>178478</v>
      </c>
      <c r="HH63" s="25">
        <f>_xll.LVCELL($D$2,HH$15,$B63,$D$5,$D$6,$D$7,$D$8,$D$9,$D$10,$D$11)</f>
        <v>333550</v>
      </c>
      <c r="HI63" s="25">
        <f>_xll.LVCELL($D$2,HI$15,$B63,$D$5,$D$6,$D$7,$D$8,$D$9,$D$10,$D$11)</f>
        <v>494602</v>
      </c>
      <c r="HJ63" s="25">
        <f>_xll.LVCELL($D$2,HJ$15,$B63,$D$5,$D$6,$D$7,$D$8,$D$9,$D$10,$D$11)</f>
        <v>558907</v>
      </c>
      <c r="HK63" s="25">
        <f>_xll.LVCELL($D$2,HK$15,$B63,$D$5,$D$6,$D$7,$D$8,$D$9,$D$10,$D$11)</f>
        <v>900000</v>
      </c>
      <c r="HL63" s="25">
        <f>_xll.LVCELL($D$2,HL$15,$B63,$D$5,$D$6,$D$7,$D$8,$D$9,$D$10,$D$11)</f>
        <v>1122892</v>
      </c>
      <c r="HM63" s="25">
        <f>_xll.LVCELL($D$2,HM$15,$B63,$D$5,$D$6,$D$7,$D$8,$D$9,$D$10,$D$11)</f>
        <v>1330865</v>
      </c>
    </row>
    <row r="64" spans="1:221">
      <c r="A64" t="s">
        <v>194</v>
      </c>
      <c r="B64" t="s">
        <v>271</v>
      </c>
      <c r="D64" s="44" t="s">
        <v>350</v>
      </c>
      <c r="E64" s="19">
        <v>40392</v>
      </c>
      <c r="F64" s="16" t="s">
        <v>845</v>
      </c>
      <c r="G64" s="16" t="s">
        <v>845</v>
      </c>
      <c r="H64" s="16" t="s">
        <v>845</v>
      </c>
      <c r="I64" s="16" t="s">
        <v>845</v>
      </c>
      <c r="J64" s="16" t="s">
        <v>845</v>
      </c>
      <c r="K64" s="16" t="s">
        <v>845</v>
      </c>
      <c r="L64" s="16" t="s">
        <v>845</v>
      </c>
      <c r="M64" s="16" t="s">
        <v>845</v>
      </c>
      <c r="N64" s="16" t="s">
        <v>845</v>
      </c>
      <c r="O64" s="16" t="s">
        <v>845</v>
      </c>
      <c r="P64" s="16" t="s">
        <v>845</v>
      </c>
      <c r="Q64" s="16" t="s">
        <v>845</v>
      </c>
      <c r="R64" s="16" t="s">
        <v>845</v>
      </c>
      <c r="S64" s="16" t="s">
        <v>845</v>
      </c>
      <c r="T64" s="16" t="s">
        <v>845</v>
      </c>
      <c r="U64" s="16" t="s">
        <v>845</v>
      </c>
      <c r="V64" s="16" t="s">
        <v>845</v>
      </c>
      <c r="W64" s="16" t="s">
        <v>845</v>
      </c>
      <c r="X64" s="16" t="s">
        <v>845</v>
      </c>
      <c r="Y64" s="16" t="s">
        <v>845</v>
      </c>
      <c r="Z64" s="16" t="s">
        <v>845</v>
      </c>
      <c r="AA64" s="16" t="s">
        <v>845</v>
      </c>
      <c r="AB64" s="16" t="s">
        <v>845</v>
      </c>
      <c r="AC64" s="16" t="s">
        <v>845</v>
      </c>
      <c r="AD64" s="16" t="s">
        <v>845</v>
      </c>
      <c r="AE64" s="16" t="s">
        <v>845</v>
      </c>
      <c r="AF64" s="16" t="s">
        <v>845</v>
      </c>
      <c r="AG64" s="16" t="s">
        <v>845</v>
      </c>
      <c r="AH64" s="16" t="s">
        <v>845</v>
      </c>
      <c r="AI64" s="16" t="s">
        <v>845</v>
      </c>
      <c r="AJ64" s="16" t="s">
        <v>845</v>
      </c>
      <c r="AK64" s="16" t="s">
        <v>845</v>
      </c>
      <c r="AL64" s="16" t="s">
        <v>845</v>
      </c>
      <c r="AM64" s="16" t="s">
        <v>845</v>
      </c>
      <c r="AN64" s="16" t="s">
        <v>845</v>
      </c>
      <c r="AO64" s="16" t="s">
        <v>845</v>
      </c>
      <c r="AP64" s="16" t="s">
        <v>845</v>
      </c>
      <c r="AQ64" s="16" t="s">
        <v>845</v>
      </c>
      <c r="AR64" s="16" t="s">
        <v>845</v>
      </c>
      <c r="AS64" s="16" t="s">
        <v>845</v>
      </c>
      <c r="AT64" s="16" t="s">
        <v>845</v>
      </c>
      <c r="AU64" s="16" t="s">
        <v>845</v>
      </c>
      <c r="AV64" s="16" t="s">
        <v>845</v>
      </c>
      <c r="AW64" s="16" t="s">
        <v>845</v>
      </c>
      <c r="AX64" s="16" t="s">
        <v>845</v>
      </c>
      <c r="AY64" s="16" t="s">
        <v>845</v>
      </c>
      <c r="AZ64" s="16" t="s">
        <v>845</v>
      </c>
      <c r="BA64" s="16" t="s">
        <v>845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>
        <v>0</v>
      </c>
      <c r="BL64" s="16">
        <v>0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29">
        <v>28300</v>
      </c>
      <c r="CS64" s="29">
        <v>1013852.0000000001</v>
      </c>
      <c r="CT64" s="29">
        <v>1139342</v>
      </c>
      <c r="CU64" s="29">
        <v>2338822</v>
      </c>
      <c r="CV64" s="29">
        <v>1784373</v>
      </c>
      <c r="CW64" s="29">
        <v>1726229</v>
      </c>
      <c r="CX64" s="29">
        <v>2117570</v>
      </c>
      <c r="CY64" s="29">
        <v>955438</v>
      </c>
      <c r="CZ64" s="29">
        <v>2030217</v>
      </c>
      <c r="DA64" s="29">
        <v>1144279</v>
      </c>
      <c r="DB64" s="29">
        <v>1176016</v>
      </c>
      <c r="DC64" s="29">
        <v>1350469</v>
      </c>
      <c r="DD64" s="29">
        <v>1166590</v>
      </c>
      <c r="DE64" s="29">
        <v>1099120</v>
      </c>
      <c r="DF64" s="29">
        <v>1167497</v>
      </c>
      <c r="DG64" s="29">
        <v>1745140</v>
      </c>
      <c r="DH64" s="29">
        <v>1474783</v>
      </c>
      <c r="DI64" s="29">
        <v>3488902</v>
      </c>
      <c r="DJ64" s="29">
        <v>2493151</v>
      </c>
      <c r="DK64" s="29">
        <v>1987002</v>
      </c>
      <c r="DL64" s="29">
        <v>1383099</v>
      </c>
      <c r="DM64" s="29">
        <v>2357746</v>
      </c>
      <c r="DN64" s="29">
        <v>1625806</v>
      </c>
      <c r="DO64" s="29">
        <v>1293796</v>
      </c>
      <c r="DP64" s="29">
        <v>1457264</v>
      </c>
      <c r="DQ64" s="29">
        <v>1405817</v>
      </c>
      <c r="DR64" s="29">
        <v>1566894</v>
      </c>
      <c r="DS64" s="29">
        <v>2373406</v>
      </c>
      <c r="DT64" s="29">
        <v>1888678</v>
      </c>
      <c r="DU64" s="29">
        <v>3549151</v>
      </c>
      <c r="DV64" s="29">
        <v>1564164</v>
      </c>
      <c r="DW64" s="29">
        <v>1850592</v>
      </c>
      <c r="DX64" s="29">
        <v>1405930</v>
      </c>
      <c r="DY64" s="29">
        <v>1715319</v>
      </c>
      <c r="DZ64" s="29">
        <v>1238411</v>
      </c>
      <c r="EA64" s="29">
        <v>1279280</v>
      </c>
      <c r="EB64" s="29">
        <v>1284521</v>
      </c>
      <c r="EC64" s="29">
        <v>687726</v>
      </c>
      <c r="ED64" s="29">
        <v>1166922</v>
      </c>
      <c r="EE64" s="29">
        <v>2391238</v>
      </c>
      <c r="EF64" s="29">
        <v>2496622</v>
      </c>
      <c r="EG64" s="29">
        <v>3092523</v>
      </c>
      <c r="EH64" s="29">
        <v>2869067</v>
      </c>
      <c r="EI64" s="29">
        <v>3177961</v>
      </c>
      <c r="EJ64" s="29">
        <v>1332719</v>
      </c>
      <c r="EK64" s="29">
        <v>1156386</v>
      </c>
      <c r="EL64" s="29">
        <v>2118420</v>
      </c>
      <c r="EM64" s="29">
        <v>1454062</v>
      </c>
      <c r="EN64" s="29">
        <v>1128515</v>
      </c>
      <c r="EO64" s="29">
        <v>991745</v>
      </c>
      <c r="EP64" s="29">
        <v>978793</v>
      </c>
      <c r="EQ64" s="29">
        <v>1361367</v>
      </c>
      <c r="ER64" s="29">
        <v>1908672</v>
      </c>
      <c r="ES64" s="29">
        <v>2057724.0000000002</v>
      </c>
      <c r="ET64" s="29">
        <v>2443996</v>
      </c>
      <c r="EU64" s="29">
        <v>2179162</v>
      </c>
      <c r="EV64" s="29">
        <v>1949618</v>
      </c>
      <c r="EW64" s="29">
        <v>1628212</v>
      </c>
      <c r="EX64" s="29">
        <v>1619979</v>
      </c>
      <c r="EY64" s="29">
        <v>1162619</v>
      </c>
      <c r="EZ64" s="29">
        <v>1537090</v>
      </c>
      <c r="FA64" s="29">
        <v>1326731</v>
      </c>
      <c r="FB64" s="29">
        <v>2061664.0000000002</v>
      </c>
      <c r="FC64" s="29">
        <v>1230227</v>
      </c>
      <c r="FD64" s="29">
        <v>2306509</v>
      </c>
      <c r="FE64" s="29">
        <v>2654244</v>
      </c>
      <c r="FF64" s="29">
        <v>2989000</v>
      </c>
      <c r="FG64" s="29">
        <v>3118138</v>
      </c>
      <c r="FH64" s="29">
        <v>2402896.0000000005</v>
      </c>
      <c r="FI64" s="29">
        <v>1314913.9999999998</v>
      </c>
      <c r="FJ64" s="29">
        <v>1371081.9999999998</v>
      </c>
      <c r="FK64" s="29">
        <v>774762.83300000022</v>
      </c>
      <c r="FL64" s="29">
        <v>643102.99999999988</v>
      </c>
      <c r="FM64" s="29">
        <v>799872.99999999988</v>
      </c>
      <c r="FN64" s="29">
        <v>844561.00000000012</v>
      </c>
      <c r="FO64" s="29">
        <v>1638788.9999999998</v>
      </c>
      <c r="FP64" s="29">
        <v>2232620</v>
      </c>
      <c r="FQ64" s="29">
        <v>1339627.6666666663</v>
      </c>
      <c r="FR64" s="40">
        <v>1824636</v>
      </c>
      <c r="FS64" s="40">
        <v>1975748.6666666667</v>
      </c>
      <c r="FT64" s="40">
        <v>2166461.166666667</v>
      </c>
      <c r="FU64" s="40">
        <v>976215.16666666674</v>
      </c>
      <c r="FV64" s="40">
        <v>1284880.8333333335</v>
      </c>
      <c r="FW64" s="40">
        <v>1237469.833333333</v>
      </c>
      <c r="FX64" s="40">
        <v>1202664</v>
      </c>
      <c r="FY64" s="40">
        <v>923229</v>
      </c>
      <c r="FZ64" s="40">
        <v>1259644.6666666665</v>
      </c>
      <c r="GA64" s="40">
        <v>1692045.5000000002</v>
      </c>
      <c r="GB64" s="40">
        <v>2119905.333333333</v>
      </c>
      <c r="GC64" s="40">
        <v>2798691</v>
      </c>
      <c r="GD64" s="40">
        <v>3108770.666666667</v>
      </c>
      <c r="GE64" s="40">
        <v>1810017.5</v>
      </c>
      <c r="GF64" s="40">
        <v>1984942.4999999998</v>
      </c>
      <c r="GG64" s="40">
        <v>1962921</v>
      </c>
      <c r="GH64" s="40">
        <v>1208146</v>
      </c>
      <c r="GI64" s="40">
        <v>954926.99999999988</v>
      </c>
      <c r="GJ64" s="40">
        <v>682990.33333333337</v>
      </c>
      <c r="GK64" s="40">
        <v>986978.49999999988</v>
      </c>
      <c r="GL64" s="40">
        <v>1187264.5000000002</v>
      </c>
      <c r="GM64" s="40">
        <v>1883857.4999999998</v>
      </c>
      <c r="GN64" s="40">
        <v>2031456.5</v>
      </c>
      <c r="GO64" s="40">
        <v>2751772.3333333335</v>
      </c>
      <c r="GP64" s="28">
        <v>2010396.6666666667</v>
      </c>
      <c r="GQ64" s="28">
        <v>2075504.3333333333</v>
      </c>
      <c r="GR64" s="28">
        <v>3244807.1666666665</v>
      </c>
      <c r="GS64" s="25">
        <f>1388.8725*1000</f>
        <v>1388872.5</v>
      </c>
      <c r="GT64" s="25">
        <f>1752.673*1000</f>
        <v>1752673</v>
      </c>
      <c r="GU64" s="25">
        <f>1257.10733333333*1000</f>
        <v>1257107.33333333</v>
      </c>
      <c r="GV64" s="25"/>
      <c r="GW64" s="25"/>
      <c r="GX64" s="25"/>
      <c r="GY64" s="25"/>
      <c r="GZ64" s="25"/>
      <c r="HA64" s="25"/>
      <c r="HB64" s="28">
        <v>2010396.6666666667</v>
      </c>
      <c r="HC64" s="28">
        <v>2075504.3333333333</v>
      </c>
      <c r="HD64" s="28">
        <v>3244807.1666666665</v>
      </c>
      <c r="HE64" s="25">
        <f>1388.8725*1000</f>
        <v>1388872.5</v>
      </c>
      <c r="HF64" s="25">
        <f>1752.673*1000</f>
        <v>1752673</v>
      </c>
      <c r="HG64" s="25">
        <f>1257.10733333333*1000</f>
        <v>1257107.33333333</v>
      </c>
      <c r="HH64" s="25"/>
      <c r="HI64" s="25"/>
      <c r="HJ64" s="25"/>
      <c r="HK64" s="25"/>
      <c r="HL64" s="25"/>
      <c r="HM64" s="25"/>
    </row>
    <row r="65" spans="1:221">
      <c r="D65" s="44" t="s">
        <v>351</v>
      </c>
      <c r="E65" s="19">
        <v>41381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1">
        <v>0</v>
      </c>
      <c r="CY65" s="31">
        <v>0</v>
      </c>
      <c r="CZ65" s="31">
        <v>0</v>
      </c>
      <c r="DA65" s="31">
        <v>0</v>
      </c>
      <c r="DB65" s="31">
        <v>0</v>
      </c>
      <c r="DC65" s="31">
        <v>0</v>
      </c>
      <c r="DD65" s="31">
        <v>0</v>
      </c>
      <c r="DE65" s="31">
        <v>0</v>
      </c>
      <c r="DF65" s="31">
        <v>0</v>
      </c>
      <c r="DG65" s="31">
        <v>0</v>
      </c>
      <c r="DH65" s="31">
        <v>0</v>
      </c>
      <c r="DI65" s="31">
        <v>0</v>
      </c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1">
        <v>0</v>
      </c>
      <c r="DW65" s="31">
        <v>0</v>
      </c>
      <c r="DX65" s="31">
        <v>0</v>
      </c>
      <c r="DY65" s="29">
        <v>72975</v>
      </c>
      <c r="DZ65" s="29">
        <v>193000</v>
      </c>
      <c r="EA65" s="29">
        <v>261807.00000000003</v>
      </c>
      <c r="EB65" s="29">
        <v>402092</v>
      </c>
      <c r="EC65" s="29">
        <v>283068</v>
      </c>
      <c r="ED65" s="29">
        <v>289851</v>
      </c>
      <c r="EE65" s="29">
        <v>822705</v>
      </c>
      <c r="EF65" s="29">
        <v>681771</v>
      </c>
      <c r="EG65" s="29">
        <v>964053</v>
      </c>
      <c r="EH65" s="29">
        <v>915451</v>
      </c>
      <c r="EI65" s="29">
        <v>1030386</v>
      </c>
      <c r="EJ65" s="29">
        <v>429884</v>
      </c>
      <c r="EK65" s="29">
        <v>358354</v>
      </c>
      <c r="EL65" s="29">
        <v>661690</v>
      </c>
      <c r="EM65" s="29">
        <v>437887</v>
      </c>
      <c r="EN65" s="29">
        <v>347729</v>
      </c>
      <c r="EO65" s="29">
        <v>274407</v>
      </c>
      <c r="EP65" s="29">
        <v>333603</v>
      </c>
      <c r="EQ65" s="29">
        <v>429176</v>
      </c>
      <c r="ER65" s="29">
        <v>577185</v>
      </c>
      <c r="ES65" s="29">
        <v>640240</v>
      </c>
      <c r="ET65" s="29">
        <v>771650</v>
      </c>
      <c r="EU65" s="29">
        <v>704582</v>
      </c>
      <c r="EV65" s="29">
        <v>642417</v>
      </c>
      <c r="EW65" s="29">
        <v>543965</v>
      </c>
      <c r="EX65" s="29">
        <v>451950</v>
      </c>
      <c r="EY65" s="29">
        <v>351767</v>
      </c>
      <c r="EZ65" s="29">
        <v>455320</v>
      </c>
      <c r="FA65" s="29">
        <v>412107</v>
      </c>
      <c r="FB65" s="29">
        <v>670673</v>
      </c>
      <c r="FC65" s="29">
        <v>386043</v>
      </c>
      <c r="FD65" s="29">
        <v>624965</v>
      </c>
      <c r="FE65" s="29">
        <v>833973</v>
      </c>
      <c r="FF65" s="29">
        <v>926000</v>
      </c>
      <c r="FG65" s="29">
        <v>977038</v>
      </c>
      <c r="FH65" s="29">
        <v>805800.99999999988</v>
      </c>
      <c r="FI65" s="29">
        <v>385844.00000000006</v>
      </c>
      <c r="FJ65" s="29">
        <v>409950</v>
      </c>
      <c r="FK65" s="29">
        <v>214754.66669999997</v>
      </c>
      <c r="FL65" s="29">
        <v>179503</v>
      </c>
      <c r="FM65" s="29">
        <v>247390</v>
      </c>
      <c r="FN65" s="29">
        <v>250192</v>
      </c>
      <c r="FO65" s="29">
        <v>540401.00000000012</v>
      </c>
      <c r="FP65" s="29">
        <v>681602</v>
      </c>
      <c r="FQ65" s="29">
        <v>406220.16666666663</v>
      </c>
      <c r="FR65" s="40">
        <v>610099</v>
      </c>
      <c r="FS65" s="40">
        <v>606149.16666666663</v>
      </c>
      <c r="FT65" s="40">
        <v>724752.16666666651</v>
      </c>
      <c r="FU65" s="40">
        <v>357810.33333333349</v>
      </c>
      <c r="FV65" s="40">
        <v>387988.16666666669</v>
      </c>
      <c r="FW65" s="40">
        <v>379576</v>
      </c>
      <c r="FX65" s="40">
        <v>348566</v>
      </c>
      <c r="FY65" s="40">
        <v>261991</v>
      </c>
      <c r="FZ65" s="40">
        <v>393462.16666666663</v>
      </c>
      <c r="GA65" s="40">
        <v>504227.83333333331</v>
      </c>
      <c r="GB65" s="40">
        <v>661497.66666666663</v>
      </c>
      <c r="GC65" s="40">
        <v>908681</v>
      </c>
      <c r="GD65" s="40">
        <v>1047089.6666666667</v>
      </c>
      <c r="GE65" s="40">
        <v>661684.66666666651</v>
      </c>
      <c r="GF65" s="40">
        <v>672982.83333333337</v>
      </c>
      <c r="GG65" s="40">
        <v>555412</v>
      </c>
      <c r="GH65" s="40">
        <v>398095</v>
      </c>
      <c r="GI65" s="40">
        <v>327665</v>
      </c>
      <c r="GJ65" s="40">
        <v>212921.83333333328</v>
      </c>
      <c r="GK65" s="40">
        <v>325703</v>
      </c>
      <c r="GL65" s="40">
        <v>407721.83333333331</v>
      </c>
      <c r="GM65" s="40">
        <v>586760.66666666663</v>
      </c>
      <c r="GN65" s="40">
        <v>627635.66666666651</v>
      </c>
      <c r="GO65" s="40">
        <v>914259.66666666674</v>
      </c>
      <c r="GP65" s="28">
        <v>613991.33333333337</v>
      </c>
      <c r="GQ65" s="28">
        <v>634775.66666666663</v>
      </c>
      <c r="GR65" s="28">
        <v>1068037.5</v>
      </c>
      <c r="GS65" s="25">
        <f>370.193833333333*1000</f>
        <v>370193.83333333296</v>
      </c>
      <c r="GT65" s="25">
        <f>559.903*1000</f>
        <v>559903</v>
      </c>
      <c r="GU65" s="25">
        <f>382.626333333333*1000</f>
        <v>382626.33333333296</v>
      </c>
      <c r="GV65" s="25"/>
      <c r="GW65" s="25"/>
      <c r="GX65" s="25"/>
      <c r="GY65" s="25"/>
      <c r="GZ65" s="25"/>
      <c r="HA65" s="25"/>
      <c r="HB65" s="28">
        <v>613991.33333333337</v>
      </c>
      <c r="HC65" s="28">
        <v>634775.66666666663</v>
      </c>
      <c r="HD65" s="28">
        <v>1068037.5</v>
      </c>
      <c r="HE65" s="25">
        <f>370.193833333333*1000</f>
        <v>370193.83333333296</v>
      </c>
      <c r="HF65" s="25">
        <f>559.903*1000</f>
        <v>559903</v>
      </c>
      <c r="HG65" s="25">
        <f>382.626333333333*1000</f>
        <v>382626.33333333296</v>
      </c>
      <c r="HH65" s="25"/>
      <c r="HI65" s="25"/>
      <c r="HJ65" s="25"/>
      <c r="HK65" s="25"/>
      <c r="HL65" s="25"/>
      <c r="HM65" s="25"/>
    </row>
    <row r="66" spans="1:221">
      <c r="D66" s="44" t="s">
        <v>352</v>
      </c>
      <c r="E66" s="19">
        <v>40392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29">
        <v>25365</v>
      </c>
      <c r="CS66" s="29">
        <v>1019917</v>
      </c>
      <c r="CT66" s="29">
        <v>1156965</v>
      </c>
      <c r="CU66" s="29">
        <v>2383974</v>
      </c>
      <c r="CV66" s="29">
        <v>1806034</v>
      </c>
      <c r="CW66" s="29">
        <v>1509373</v>
      </c>
      <c r="CX66" s="29">
        <v>2277764</v>
      </c>
      <c r="CY66" s="29">
        <v>926957</v>
      </c>
      <c r="CZ66" s="29">
        <v>2224591</v>
      </c>
      <c r="DA66" s="29">
        <v>1267207</v>
      </c>
      <c r="DB66" s="29">
        <v>1206844</v>
      </c>
      <c r="DC66" s="29">
        <v>1466756</v>
      </c>
      <c r="DD66" s="29">
        <v>1184364</v>
      </c>
      <c r="DE66" s="29">
        <v>1252543</v>
      </c>
      <c r="DF66" s="29">
        <v>1286418</v>
      </c>
      <c r="DG66" s="29">
        <v>1690174</v>
      </c>
      <c r="DH66" s="29">
        <v>1502577</v>
      </c>
      <c r="DI66" s="29">
        <v>3301420</v>
      </c>
      <c r="DJ66" s="29">
        <v>2475140</v>
      </c>
      <c r="DK66" s="29">
        <v>2225281</v>
      </c>
      <c r="DL66" s="29">
        <v>1585990</v>
      </c>
      <c r="DM66" s="29">
        <v>2480895</v>
      </c>
      <c r="DN66" s="29">
        <v>1650264</v>
      </c>
      <c r="DO66" s="29">
        <v>1335528</v>
      </c>
      <c r="DP66" s="29">
        <v>1559854</v>
      </c>
      <c r="DQ66" s="29">
        <v>1416117</v>
      </c>
      <c r="DR66" s="29">
        <v>1637916</v>
      </c>
      <c r="DS66" s="29">
        <v>2370479</v>
      </c>
      <c r="DT66" s="29">
        <v>1895337</v>
      </c>
      <c r="DU66" s="29">
        <v>3439620</v>
      </c>
      <c r="DV66" s="29">
        <v>1538784</v>
      </c>
      <c r="DW66" s="29">
        <v>1922625</v>
      </c>
      <c r="DX66" s="29">
        <v>1574596</v>
      </c>
      <c r="DY66" s="29">
        <v>1803156</v>
      </c>
      <c r="DZ66" s="29">
        <v>1080000</v>
      </c>
      <c r="EA66" s="29">
        <v>1317125</v>
      </c>
      <c r="EB66" s="29">
        <v>1426079</v>
      </c>
      <c r="EC66" s="29">
        <v>751176</v>
      </c>
      <c r="ED66" s="29">
        <v>1201829</v>
      </c>
      <c r="EE66" s="29">
        <v>2356414</v>
      </c>
      <c r="EF66" s="29">
        <v>2527004</v>
      </c>
      <c r="EG66" s="29">
        <v>2934892</v>
      </c>
      <c r="EH66" s="29">
        <v>2739264</v>
      </c>
      <c r="EI66" s="29">
        <v>3146663</v>
      </c>
      <c r="EJ66" s="29">
        <v>1367299</v>
      </c>
      <c r="EK66" s="29">
        <v>1195807</v>
      </c>
      <c r="EL66" s="29">
        <v>2132986</v>
      </c>
      <c r="EM66" s="29">
        <v>1493957</v>
      </c>
      <c r="EN66" s="29">
        <v>1110226</v>
      </c>
      <c r="EO66" s="29">
        <v>1062769</v>
      </c>
      <c r="EP66" s="29">
        <v>1074386</v>
      </c>
      <c r="EQ66" s="29">
        <v>1408364</v>
      </c>
      <c r="ER66" s="29">
        <v>1858506</v>
      </c>
      <c r="ES66" s="29">
        <v>1990089</v>
      </c>
      <c r="ET66" s="29">
        <v>2456873</v>
      </c>
      <c r="EU66" s="29">
        <v>2144583</v>
      </c>
      <c r="EV66" s="29">
        <v>1999592</v>
      </c>
      <c r="EW66" s="29">
        <v>1663025</v>
      </c>
      <c r="EX66" s="29">
        <v>1513342</v>
      </c>
      <c r="EY66" s="29">
        <v>1209670</v>
      </c>
      <c r="EZ66" s="29">
        <v>1464728</v>
      </c>
      <c r="FA66" s="29">
        <v>1321016</v>
      </c>
      <c r="FB66" s="29">
        <v>2014591</v>
      </c>
      <c r="FC66" s="29">
        <v>1313452</v>
      </c>
      <c r="FD66" s="29">
        <v>2244016</v>
      </c>
      <c r="FE66" s="29">
        <v>2557569</v>
      </c>
      <c r="FF66" s="29">
        <v>2945000</v>
      </c>
      <c r="FG66" s="29">
        <v>3164565.0000000005</v>
      </c>
      <c r="FH66" s="29">
        <v>2504746.9999999995</v>
      </c>
      <c r="FI66" s="29">
        <v>1338045</v>
      </c>
      <c r="FJ66" s="29">
        <v>1376740</v>
      </c>
      <c r="FK66" s="29">
        <v>718952.16699999967</v>
      </c>
      <c r="FL66" s="29">
        <v>652359.00000000012</v>
      </c>
      <c r="FM66" s="29">
        <v>880441.99999999988</v>
      </c>
      <c r="FN66" s="29">
        <v>748138.00000000012</v>
      </c>
      <c r="FO66" s="29">
        <v>1611205.0000000002</v>
      </c>
      <c r="FP66" s="29">
        <v>2237857</v>
      </c>
      <c r="FQ66" s="29">
        <v>1396304</v>
      </c>
      <c r="FR66" s="40">
        <v>1901747</v>
      </c>
      <c r="FS66" s="40">
        <v>2010427.1666666667</v>
      </c>
      <c r="FT66" s="40">
        <v>2313421.1666666665</v>
      </c>
      <c r="FU66" s="40">
        <v>1139023.1666666665</v>
      </c>
      <c r="FV66" s="40">
        <v>1318455.5</v>
      </c>
      <c r="FW66" s="40">
        <v>1270830</v>
      </c>
      <c r="FX66" s="40">
        <v>1241487</v>
      </c>
      <c r="FY66" s="40">
        <v>970405</v>
      </c>
      <c r="FZ66" s="40">
        <v>1274260.6666666665</v>
      </c>
      <c r="GA66" s="40">
        <v>1735340.5</v>
      </c>
      <c r="GB66" s="40">
        <v>2047698.8333333333</v>
      </c>
      <c r="GC66" s="40">
        <v>2789141</v>
      </c>
      <c r="GD66" s="40">
        <v>3212345.8333333335</v>
      </c>
      <c r="GE66" s="40">
        <v>1609607.1666666667</v>
      </c>
      <c r="GF66" s="40">
        <v>1933897.6666666667</v>
      </c>
      <c r="GG66" s="40">
        <v>2011738</v>
      </c>
      <c r="GH66" s="40">
        <v>1165920</v>
      </c>
      <c r="GI66" s="40">
        <v>1014108</v>
      </c>
      <c r="GJ66" s="40">
        <v>751601</v>
      </c>
      <c r="GK66" s="40">
        <v>1062757.3333333335</v>
      </c>
      <c r="GL66" s="40">
        <v>1253728.9999999998</v>
      </c>
      <c r="GM66" s="40">
        <v>1882075.8333333333</v>
      </c>
      <c r="GN66" s="40">
        <v>2051888.5</v>
      </c>
      <c r="GO66" s="40">
        <v>2781139.5</v>
      </c>
      <c r="GP66" s="28">
        <v>1990249.6666666665</v>
      </c>
      <c r="GQ66" s="28">
        <v>1997145.5</v>
      </c>
      <c r="GR66" s="28">
        <v>3310740.6666666665</v>
      </c>
      <c r="GS66" s="25">
        <f>1424.77783333333*1000</f>
        <v>1424777.83333333</v>
      </c>
      <c r="GT66" s="25">
        <f>1530.26116666667*1000</f>
        <v>1530261.16666667</v>
      </c>
      <c r="GU66" s="25">
        <f>1246.883*1000</f>
        <v>1246883</v>
      </c>
      <c r="GV66" s="25"/>
      <c r="GW66" s="25"/>
      <c r="GX66" s="25"/>
      <c r="GY66" s="25"/>
      <c r="GZ66" s="25"/>
      <c r="HA66" s="25"/>
      <c r="HB66" s="28">
        <v>1990249.6666666665</v>
      </c>
      <c r="HC66" s="28">
        <v>1997145.5</v>
      </c>
      <c r="HD66" s="28">
        <v>3310740.6666666665</v>
      </c>
      <c r="HE66" s="25">
        <f>1424.77783333333*1000</f>
        <v>1424777.83333333</v>
      </c>
      <c r="HF66" s="25">
        <f>1530.26116666667*1000</f>
        <v>1530261.16666667</v>
      </c>
      <c r="HG66" s="25">
        <f>1246.883*1000</f>
        <v>1246883</v>
      </c>
      <c r="HH66" s="25"/>
      <c r="HI66" s="25"/>
      <c r="HJ66" s="25"/>
      <c r="HK66" s="25"/>
      <c r="HL66" s="25"/>
      <c r="HM66" s="25"/>
    </row>
    <row r="67" spans="1:221">
      <c r="A67" t="s">
        <v>196</v>
      </c>
      <c r="B67" t="s">
        <v>272</v>
      </c>
      <c r="D67" s="10" t="s">
        <v>305</v>
      </c>
      <c r="E67" s="19">
        <v>40732</v>
      </c>
      <c r="F67" s="16" t="s">
        <v>845</v>
      </c>
      <c r="G67" s="16" t="s">
        <v>845</v>
      </c>
      <c r="H67" s="16" t="s">
        <v>845</v>
      </c>
      <c r="I67" s="16" t="s">
        <v>845</v>
      </c>
      <c r="J67" s="16" t="s">
        <v>845</v>
      </c>
      <c r="K67" s="16" t="s">
        <v>845</v>
      </c>
      <c r="L67" s="16" t="s">
        <v>845</v>
      </c>
      <c r="M67" s="16" t="s">
        <v>845</v>
      </c>
      <c r="N67" s="16" t="s">
        <v>845</v>
      </c>
      <c r="O67" s="16" t="s">
        <v>845</v>
      </c>
      <c r="P67" s="16" t="s">
        <v>845</v>
      </c>
      <c r="Q67" s="16" t="s">
        <v>845</v>
      </c>
      <c r="R67" s="16" t="s">
        <v>845</v>
      </c>
      <c r="S67" s="16" t="s">
        <v>845</v>
      </c>
      <c r="T67" s="16" t="s">
        <v>845</v>
      </c>
      <c r="U67" s="16" t="s">
        <v>845</v>
      </c>
      <c r="V67" s="16" t="s">
        <v>845</v>
      </c>
      <c r="W67" s="16" t="s">
        <v>845</v>
      </c>
      <c r="X67" s="16" t="s">
        <v>845</v>
      </c>
      <c r="Y67" s="16" t="s">
        <v>845</v>
      </c>
      <c r="Z67" s="16" t="s">
        <v>845</v>
      </c>
      <c r="AA67" s="16" t="s">
        <v>845</v>
      </c>
      <c r="AB67" s="16" t="s">
        <v>845</v>
      </c>
      <c r="AC67" s="16" t="s">
        <v>845</v>
      </c>
      <c r="AD67" s="16" t="s">
        <v>845</v>
      </c>
      <c r="AE67" s="16" t="s">
        <v>845</v>
      </c>
      <c r="AF67" s="16" t="s">
        <v>845</v>
      </c>
      <c r="AG67" s="16" t="s">
        <v>845</v>
      </c>
      <c r="AH67" s="16" t="s">
        <v>845</v>
      </c>
      <c r="AI67" s="16" t="s">
        <v>845</v>
      </c>
      <c r="AJ67" s="16" t="s">
        <v>845</v>
      </c>
      <c r="AK67" s="16" t="s">
        <v>845</v>
      </c>
      <c r="AL67" s="16" t="s">
        <v>845</v>
      </c>
      <c r="AM67" s="16" t="s">
        <v>845</v>
      </c>
      <c r="AN67" s="16" t="s">
        <v>845</v>
      </c>
      <c r="AO67" s="16" t="s">
        <v>845</v>
      </c>
      <c r="AP67" s="16" t="s">
        <v>845</v>
      </c>
      <c r="AQ67" s="16" t="s">
        <v>845</v>
      </c>
      <c r="AR67" s="16" t="s">
        <v>845</v>
      </c>
      <c r="AS67" s="16" t="s">
        <v>845</v>
      </c>
      <c r="AT67" s="16" t="s">
        <v>845</v>
      </c>
      <c r="AU67" s="16" t="s">
        <v>845</v>
      </c>
      <c r="AV67" s="16" t="s">
        <v>845</v>
      </c>
      <c r="AW67" s="16" t="s">
        <v>845</v>
      </c>
      <c r="AX67" s="16" t="s">
        <v>845</v>
      </c>
      <c r="AY67" s="16" t="s">
        <v>845</v>
      </c>
      <c r="AZ67" s="16" t="s">
        <v>845</v>
      </c>
      <c r="BA67" s="16" t="s">
        <v>845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0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8"/>
      <c r="CY67" s="18"/>
      <c r="CZ67" s="18"/>
      <c r="DA67" s="18"/>
      <c r="DB67" s="18"/>
      <c r="DC67" s="18"/>
      <c r="DD67" s="16">
        <v>1037493</v>
      </c>
      <c r="DE67" s="16">
        <v>1239464</v>
      </c>
      <c r="DF67" s="16">
        <v>1297860</v>
      </c>
      <c r="DG67" s="16">
        <v>1658150</v>
      </c>
      <c r="DH67" s="16">
        <v>950257</v>
      </c>
      <c r="DI67" s="16">
        <v>3808007</v>
      </c>
      <c r="DJ67" s="16">
        <v>2845919</v>
      </c>
      <c r="DK67" s="16">
        <v>1775665</v>
      </c>
      <c r="DL67" s="16">
        <v>1554729</v>
      </c>
      <c r="DM67" s="16">
        <v>2605798</v>
      </c>
      <c r="DN67" s="16">
        <v>1574090</v>
      </c>
      <c r="DO67" s="16">
        <v>1635596</v>
      </c>
      <c r="DP67" s="16">
        <v>1504189</v>
      </c>
      <c r="DQ67" s="16">
        <v>1613587</v>
      </c>
      <c r="DR67" s="16">
        <v>1051593</v>
      </c>
      <c r="DS67" s="16">
        <v>2376934</v>
      </c>
      <c r="DT67" s="16">
        <v>1784894</v>
      </c>
      <c r="DU67" s="16">
        <v>4023181</v>
      </c>
      <c r="DV67" s="16">
        <v>1500361</v>
      </c>
      <c r="DW67" s="16">
        <v>1980050</v>
      </c>
      <c r="DX67" s="16">
        <v>1944448</v>
      </c>
      <c r="DY67" s="16">
        <v>2275436</v>
      </c>
      <c r="DZ67" s="16">
        <v>1440463</v>
      </c>
      <c r="EA67" s="16">
        <v>1577571</v>
      </c>
      <c r="EB67" s="16">
        <v>1556154</v>
      </c>
      <c r="EC67" s="16">
        <v>897654</v>
      </c>
      <c r="ED67" s="16">
        <v>1450609</v>
      </c>
      <c r="EE67" s="16">
        <v>2184758</v>
      </c>
      <c r="EF67" s="16">
        <v>2649903</v>
      </c>
      <c r="EG67" s="16">
        <v>2699030</v>
      </c>
      <c r="EH67" s="16">
        <v>3036225</v>
      </c>
      <c r="EI67" s="16">
        <v>3586968</v>
      </c>
      <c r="EJ67" s="16">
        <v>1576819</v>
      </c>
      <c r="EK67" s="16">
        <v>1089159</v>
      </c>
      <c r="EL67" s="16">
        <v>2232299</v>
      </c>
      <c r="EM67" s="16">
        <v>1350712</v>
      </c>
      <c r="EN67" s="16">
        <v>1167445</v>
      </c>
      <c r="EO67" s="16">
        <v>1256873</v>
      </c>
      <c r="EP67" s="16">
        <v>972386</v>
      </c>
      <c r="EQ67" s="16">
        <v>1371612</v>
      </c>
      <c r="ER67" s="16">
        <v>1624416</v>
      </c>
      <c r="ES67" s="16">
        <v>2585357</v>
      </c>
      <c r="ET67" s="16">
        <v>2933000</v>
      </c>
      <c r="EU67" s="16">
        <v>2404000</v>
      </c>
      <c r="EV67" s="16">
        <v>2107000</v>
      </c>
      <c r="EW67" s="16">
        <v>1745000</v>
      </c>
      <c r="EX67" s="16">
        <v>1652314</v>
      </c>
      <c r="EY67" s="16">
        <v>1437000</v>
      </c>
      <c r="EZ67" s="16">
        <v>1642000</v>
      </c>
      <c r="FA67" s="16">
        <v>1338728</v>
      </c>
      <c r="FB67" s="16">
        <v>2263679</v>
      </c>
      <c r="FC67" s="16">
        <v>1346909</v>
      </c>
      <c r="FD67" s="16">
        <v>3039280</v>
      </c>
      <c r="FE67" s="16">
        <v>2370823</v>
      </c>
      <c r="FF67" s="16">
        <v>3330000</v>
      </c>
      <c r="FG67" s="16">
        <v>3570676</v>
      </c>
      <c r="FH67" s="16">
        <v>2721913</v>
      </c>
      <c r="FI67" s="16">
        <v>1691609</v>
      </c>
      <c r="FJ67" s="16">
        <v>1557025</v>
      </c>
      <c r="FK67" s="16">
        <v>970670</v>
      </c>
      <c r="FL67" s="16">
        <v>871880</v>
      </c>
      <c r="FM67" s="16">
        <v>938960</v>
      </c>
      <c r="FN67" s="16">
        <v>822630</v>
      </c>
      <c r="FO67" s="16">
        <v>1573180</v>
      </c>
      <c r="FP67" s="16">
        <v>2356540</v>
      </c>
      <c r="FQ67" s="16">
        <v>1149470</v>
      </c>
      <c r="FR67" s="40">
        <f>_xll.LVCELL($D$2,FR$15,$B67,$D$5,$D$6,$D$7,$D$8,$D$9,$D$10,$D$11)</f>
        <v>2054870</v>
      </c>
      <c r="FS67" s="40">
        <f>_xll.LVCELL($D$2,FS$15,$B67,$D$5,$D$6,$D$7,$D$8,$D$9,$D$10,$D$11)</f>
        <v>2472710</v>
      </c>
      <c r="FT67" s="40">
        <f>_xll.LVCELL($D$2,FT$15,$B67,$D$5,$D$6,$D$7,$D$8,$D$9,$D$10,$D$11)</f>
        <v>2598170</v>
      </c>
      <c r="FU67" s="40">
        <f>_xll.LVCELL($D$2,FU$15,$B67,$D$5,$D$6,$D$7,$D$8,$D$9,$D$10,$D$11)</f>
        <v>990240</v>
      </c>
      <c r="FV67" s="40">
        <f>_xll.LVCELL($D$2,FV$15,$B67,$D$5,$D$6,$D$7,$D$8,$D$9,$D$10,$D$11)</f>
        <v>1277831</v>
      </c>
      <c r="FW67" s="40">
        <f>_xll.LVCELL($D$2,FW$15,$B67,$D$5,$D$6,$D$7,$D$8,$D$9,$D$10,$D$11)</f>
        <v>1315450</v>
      </c>
      <c r="FX67" s="40">
        <f>_xll.LVCELL($D$2,FX$15,$B67,$D$5,$D$6,$D$7,$D$8,$D$9,$D$10,$D$11)</f>
        <v>1538176</v>
      </c>
      <c r="FY67" s="40">
        <f>_xll.LVCELL($D$2,FY$15,$B67,$D$5,$D$6,$D$7,$D$8,$D$9,$D$10,$D$11)</f>
        <v>1040225</v>
      </c>
      <c r="FZ67" s="40">
        <f>_xll.LVCELL($D$2,FZ$15,$B67,$D$5,$D$6,$D$7,$D$8,$D$9,$D$10,$D$11)</f>
        <v>1539031.67</v>
      </c>
      <c r="GA67" s="40">
        <f>_xll.LVCELL($D$2,GA$15,$B67,$D$5,$D$6,$D$7,$D$8,$D$9,$D$10,$D$11)</f>
        <v>1751672</v>
      </c>
      <c r="GB67" s="40">
        <f>_xll.LVCELL($D$2,GB$15,$B67,$D$5,$D$6,$D$7,$D$8,$D$9,$D$10,$D$11)</f>
        <v>2112017</v>
      </c>
      <c r="GC67" s="40">
        <f>_xll.LVCELL($D$2,GC$15,$B67,$D$5,$D$6,$D$7,$D$8,$D$9,$D$10,$D$11)</f>
        <v>3175369</v>
      </c>
      <c r="GD67" s="40">
        <f>_xll.LVCELL($D$2,GD$15,$B67,$D$5,$D$6,$D$7,$D$8,$D$9,$D$10,$D$11)</f>
        <v>3548276</v>
      </c>
      <c r="GE67" s="40">
        <f>_xll.LVCELL($D$2,GE$15,$B67,$D$5,$D$6,$D$7,$D$8,$D$9,$D$10,$D$11)</f>
        <v>2179349</v>
      </c>
      <c r="GF67" s="40">
        <f>_xll.LVCELL($D$2,GF$15,$B67,$D$5,$D$6,$D$7,$D$8,$D$9,$D$10,$D$11)</f>
        <v>2419058</v>
      </c>
      <c r="GG67" s="40">
        <f>_xll.LVCELL($D$2,GG$15,$B67,$D$5,$D$6,$D$7,$D$8,$D$9,$D$10,$D$11)</f>
        <v>1855341</v>
      </c>
      <c r="GH67" s="40">
        <f>_xll.LVCELL($D$2,GH$15,$B67,$D$5,$D$6,$D$7,$D$8,$D$9,$D$10,$D$11)</f>
        <v>1068319</v>
      </c>
      <c r="GI67" s="40">
        <f>_xll.LVCELL($D$2,GI$15,$B67,$D$5,$D$6,$D$7,$D$8,$D$9,$D$10,$D$11)</f>
        <v>942005</v>
      </c>
      <c r="GJ67" s="40">
        <f>_xll.LVCELL($D$2,GJ$15,$B67,$D$5,$D$6,$D$7,$D$8,$D$9,$D$10,$D$11)</f>
        <v>833665</v>
      </c>
      <c r="GK67" s="40">
        <f>_xll.LVCELL($D$2,GK$15,$B67,$D$5,$D$6,$D$7,$D$8,$D$9,$D$10,$D$11)</f>
        <v>1039298</v>
      </c>
      <c r="GL67" s="40">
        <f>_xll.LVCELL($D$2,GL$15,$B67,$D$5,$D$6,$D$7,$D$8,$D$9,$D$10,$D$11)</f>
        <v>1283014</v>
      </c>
      <c r="GM67" s="40">
        <f>_xll.LVCELL($D$2,GM$15,$B67,$D$5,$D$6,$D$7,$D$8,$D$9,$D$10,$D$11)</f>
        <v>1854138</v>
      </c>
      <c r="GN67" s="40">
        <f>_xll.LVCELL($D$2,GN$15,$B67,$D$5,$D$6,$D$7,$D$8,$D$9,$D$10,$D$11)</f>
        <v>2051353</v>
      </c>
      <c r="GO67" s="40">
        <f>_xll.LVCELL($D$2,GO$15,$B67,$D$5,$D$6,$D$7,$D$8,$D$9,$D$10,$D$11)</f>
        <v>2905667</v>
      </c>
      <c r="GP67" s="25">
        <f>_xll.LVCELL($D$2,GP$15,$B67,$D$5,$D$6,$D$7,$D$8,$D$9,$D$10,$D$11)</f>
        <v>2225307</v>
      </c>
      <c r="GQ67" s="25">
        <f>_xll.LVCELL($D$2,GQ$15,$B67,$D$5,$D$6,$D$7,$D$8,$D$9,$D$10,$D$11)</f>
        <v>1870407</v>
      </c>
      <c r="GR67" s="25">
        <f>_xll.LVCELL($D$2,GR$15,$B67,$D$5,$D$6,$D$7,$D$8,$D$9,$D$10,$D$11)</f>
        <v>3556068</v>
      </c>
      <c r="GS67" s="25">
        <f>_xll.LVCELL($D$2,GS$15,$B67,$D$5,$D$6,$D$7,$D$8,$D$9,$D$10,$D$11)</f>
        <v>1716019</v>
      </c>
      <c r="GT67" s="25">
        <f>_xll.LVCELL($D$2,GT$15,$B67,$D$5,$D$6,$D$7,$D$8,$D$9,$D$10,$D$11)</f>
        <v>1504120</v>
      </c>
      <c r="GU67" s="25">
        <f>_xll.LVCELL($D$2,GU$15,$B67,$D$5,$D$6,$D$7,$D$8,$D$9,$D$10,$D$11)</f>
        <v>1480744</v>
      </c>
      <c r="GV67" s="25">
        <f>_xll.LVCELL($D$2,GV$15,$B67,$D$5,$D$6,$D$7,$D$8,$D$9,$D$10,$D$11)</f>
        <v>1283120</v>
      </c>
      <c r="GW67" s="25">
        <f>_xll.LVCELL($D$2,GW$15,$B67,$D$5,$D$6,$D$7,$D$8,$D$9,$D$10,$D$11)</f>
        <v>1275621</v>
      </c>
      <c r="GX67" s="25">
        <f>_xll.LVCELL($D$2,GX$15,$B67,$D$5,$D$6,$D$7,$D$8,$D$9,$D$10,$D$11)</f>
        <v>1929191</v>
      </c>
      <c r="GY67" s="25">
        <f>_xll.LVCELL($D$2,GY$15,$B67,$D$5,$D$6,$D$7,$D$8,$D$9,$D$10,$D$11)</f>
        <v>2484076</v>
      </c>
      <c r="GZ67" s="25">
        <f>_xll.LVCELL($D$2,GZ$15,$B67,$D$5,$D$6,$D$7,$D$8,$D$9,$D$10,$D$11)</f>
        <v>2592446</v>
      </c>
      <c r="HA67" s="25">
        <f>_xll.LVCELL($D$2,HA$15,$B67,$D$5,$D$6,$D$7,$D$8,$D$9,$D$10,$D$11)</f>
        <v>3441498</v>
      </c>
      <c r="HB67" s="25">
        <f>_xll.LVCELL($D$2,HB$15,$B67,$D$5,$D$6,$D$7,$D$8,$D$9,$D$10,$D$11)</f>
        <v>2871888</v>
      </c>
      <c r="HC67" s="25">
        <f>_xll.LVCELL($D$2,HC$15,$B67,$D$5,$D$6,$D$7,$D$8,$D$9,$D$10,$D$11)</f>
        <v>4206494</v>
      </c>
      <c r="HD67" s="25">
        <f>_xll.LVCELL($D$2,HD$15,$B67,$D$5,$D$6,$D$7,$D$8,$D$9,$D$10,$D$11)</f>
        <v>3247043</v>
      </c>
      <c r="HE67" s="25">
        <f>_xll.LVCELL($D$2,HE$15,$B67,$D$5,$D$6,$D$7,$D$8,$D$9,$D$10,$D$11)</f>
        <v>1714544</v>
      </c>
      <c r="HF67" s="25">
        <f>_xll.LVCELL($D$2,HF$15,$B67,$D$5,$D$6,$D$7,$D$8,$D$9,$D$10,$D$11)</f>
        <v>1696484</v>
      </c>
      <c r="HG67" s="25">
        <f>_xll.LVCELL($D$2,HG$15,$B67,$D$5,$D$6,$D$7,$D$8,$D$9,$D$10,$D$11)</f>
        <v>1462716</v>
      </c>
      <c r="HH67" s="25">
        <f>_xll.LVCELL($D$2,HH$15,$B67,$D$5,$D$6,$D$7,$D$8,$D$9,$D$10,$D$11)</f>
        <v>1419821</v>
      </c>
      <c r="HI67" s="25">
        <f>_xll.LVCELL($D$2,HI$15,$B67,$D$5,$D$6,$D$7,$D$8,$D$9,$D$10,$D$11)</f>
        <v>1356351</v>
      </c>
      <c r="HJ67" s="25">
        <f>_xll.LVCELL($D$2,HJ$15,$B67,$D$5,$D$6,$D$7,$D$8,$D$9,$D$10,$D$11)</f>
        <v>1365488</v>
      </c>
      <c r="HK67" s="25">
        <f>_xll.LVCELL($D$2,HK$15,$B67,$D$5,$D$6,$D$7,$D$8,$D$9,$D$10,$D$11)</f>
        <v>2977533</v>
      </c>
      <c r="HL67" s="25">
        <f>_xll.LVCELL($D$2,HL$15,$B67,$D$5,$D$6,$D$7,$D$8,$D$9,$D$10,$D$11)</f>
        <v>1832679</v>
      </c>
      <c r="HM67" s="25">
        <f>_xll.LVCELL($D$2,HM$15,$B67,$D$5,$D$6,$D$7,$D$8,$D$9,$D$10,$D$11)</f>
        <v>2918025</v>
      </c>
    </row>
    <row r="68" spans="1:221" s="35" customFormat="1">
      <c r="A68" s="35" t="s">
        <v>198</v>
      </c>
      <c r="B68" s="35" t="s">
        <v>273</v>
      </c>
      <c r="D68" s="36" t="s">
        <v>355</v>
      </c>
      <c r="E68" s="19">
        <v>40725</v>
      </c>
      <c r="F68" s="37" t="s">
        <v>845</v>
      </c>
      <c r="G68" s="37" t="s">
        <v>845</v>
      </c>
      <c r="H68" s="37" t="s">
        <v>845</v>
      </c>
      <c r="I68" s="37" t="s">
        <v>845</v>
      </c>
      <c r="J68" s="37" t="s">
        <v>845</v>
      </c>
      <c r="K68" s="37" t="s">
        <v>845</v>
      </c>
      <c r="L68" s="37" t="s">
        <v>845</v>
      </c>
      <c r="M68" s="37" t="s">
        <v>845</v>
      </c>
      <c r="N68" s="37" t="s">
        <v>845</v>
      </c>
      <c r="O68" s="37" t="s">
        <v>845</v>
      </c>
      <c r="P68" s="37" t="s">
        <v>845</v>
      </c>
      <c r="Q68" s="37" t="s">
        <v>845</v>
      </c>
      <c r="R68" s="37" t="s">
        <v>845</v>
      </c>
      <c r="S68" s="37" t="s">
        <v>845</v>
      </c>
      <c r="T68" s="37" t="s">
        <v>845</v>
      </c>
      <c r="U68" s="37" t="s">
        <v>845</v>
      </c>
      <c r="V68" s="37" t="s">
        <v>845</v>
      </c>
      <c r="W68" s="37" t="s">
        <v>845</v>
      </c>
      <c r="X68" s="37" t="s">
        <v>845</v>
      </c>
      <c r="Y68" s="37" t="s">
        <v>845</v>
      </c>
      <c r="Z68" s="37" t="s">
        <v>845</v>
      </c>
      <c r="AA68" s="37" t="s">
        <v>845</v>
      </c>
      <c r="AB68" s="37" t="s">
        <v>845</v>
      </c>
      <c r="AC68" s="37" t="s">
        <v>845</v>
      </c>
      <c r="AD68" s="37" t="s">
        <v>845</v>
      </c>
      <c r="AE68" s="37" t="s">
        <v>845</v>
      </c>
      <c r="AF68" s="37" t="s">
        <v>845</v>
      </c>
      <c r="AG68" s="37" t="s">
        <v>845</v>
      </c>
      <c r="AH68" s="37" t="s">
        <v>845</v>
      </c>
      <c r="AI68" s="37" t="s">
        <v>845</v>
      </c>
      <c r="AJ68" s="37" t="s">
        <v>845</v>
      </c>
      <c r="AK68" s="37" t="s">
        <v>845</v>
      </c>
      <c r="AL68" s="37" t="s">
        <v>845</v>
      </c>
      <c r="AM68" s="37" t="s">
        <v>845</v>
      </c>
      <c r="AN68" s="37" t="s">
        <v>845</v>
      </c>
      <c r="AO68" s="37" t="s">
        <v>845</v>
      </c>
      <c r="AP68" s="37" t="s">
        <v>845</v>
      </c>
      <c r="AQ68" s="37" t="s">
        <v>845</v>
      </c>
      <c r="AR68" s="37" t="s">
        <v>845</v>
      </c>
      <c r="AS68" s="37" t="s">
        <v>845</v>
      </c>
      <c r="AT68" s="37" t="s">
        <v>845</v>
      </c>
      <c r="AU68" s="37" t="s">
        <v>845</v>
      </c>
      <c r="AV68" s="37" t="s">
        <v>845</v>
      </c>
      <c r="AW68" s="37" t="s">
        <v>845</v>
      </c>
      <c r="AX68" s="37" t="s">
        <v>845</v>
      </c>
      <c r="AY68" s="37" t="s">
        <v>845</v>
      </c>
      <c r="AZ68" s="37" t="s">
        <v>845</v>
      </c>
      <c r="BA68" s="37" t="s">
        <v>845</v>
      </c>
      <c r="BB68" s="37">
        <v>0</v>
      </c>
      <c r="BC68" s="37">
        <v>0</v>
      </c>
      <c r="BD68" s="37">
        <v>0</v>
      </c>
      <c r="BE68" s="37">
        <v>0</v>
      </c>
      <c r="BF68" s="37">
        <v>0</v>
      </c>
      <c r="BG68" s="37">
        <v>0</v>
      </c>
      <c r="BH68" s="37">
        <v>0</v>
      </c>
      <c r="BI68" s="37">
        <v>0</v>
      </c>
      <c r="BJ68" s="37">
        <v>0</v>
      </c>
      <c r="BK68" s="37">
        <v>0</v>
      </c>
      <c r="BL68" s="37">
        <v>0</v>
      </c>
      <c r="BM68" s="37">
        <v>0</v>
      </c>
      <c r="BN68" s="37">
        <v>0</v>
      </c>
      <c r="BO68" s="37">
        <v>0</v>
      </c>
      <c r="BP68" s="37">
        <v>0</v>
      </c>
      <c r="BQ68" s="37">
        <v>0</v>
      </c>
      <c r="BR68" s="37">
        <v>0</v>
      </c>
      <c r="BS68" s="37">
        <v>0</v>
      </c>
      <c r="BT68" s="37">
        <v>0</v>
      </c>
      <c r="BU68" s="37">
        <v>0</v>
      </c>
      <c r="BV68" s="37">
        <v>0</v>
      </c>
      <c r="BW68" s="37">
        <v>0</v>
      </c>
      <c r="BX68" s="37">
        <v>0</v>
      </c>
      <c r="BY68" s="37">
        <v>0</v>
      </c>
      <c r="BZ68" s="37">
        <v>0</v>
      </c>
      <c r="CA68" s="37">
        <v>0</v>
      </c>
      <c r="CB68" s="37">
        <v>0</v>
      </c>
      <c r="CC68" s="37">
        <v>0</v>
      </c>
      <c r="CD68" s="37">
        <v>0</v>
      </c>
      <c r="CE68" s="37">
        <v>0</v>
      </c>
      <c r="CF68" s="37">
        <v>0</v>
      </c>
      <c r="CG68" s="37">
        <v>0</v>
      </c>
      <c r="CH68" s="37">
        <v>0</v>
      </c>
      <c r="CI68" s="37">
        <v>0</v>
      </c>
      <c r="CJ68" s="37">
        <v>0</v>
      </c>
      <c r="CK68" s="37">
        <v>0</v>
      </c>
      <c r="CL68" s="37">
        <v>0</v>
      </c>
      <c r="CM68" s="37">
        <v>0</v>
      </c>
      <c r="CN68" s="37">
        <v>0</v>
      </c>
      <c r="CO68" s="37">
        <v>0</v>
      </c>
      <c r="CP68" s="37">
        <v>0</v>
      </c>
      <c r="CQ68" s="37">
        <v>0</v>
      </c>
      <c r="CR68" s="37">
        <v>0</v>
      </c>
      <c r="CS68" s="37">
        <v>0</v>
      </c>
      <c r="CT68" s="37">
        <v>0</v>
      </c>
      <c r="CU68" s="37">
        <v>0</v>
      </c>
      <c r="CV68" s="37">
        <v>0</v>
      </c>
      <c r="CW68" s="37">
        <v>0</v>
      </c>
      <c r="CX68" s="38"/>
      <c r="CY68" s="38"/>
      <c r="CZ68" s="38"/>
      <c r="DA68" s="38"/>
      <c r="DB68" s="38"/>
      <c r="DC68" s="37">
        <v>4142</v>
      </c>
      <c r="DD68" s="37">
        <v>174740</v>
      </c>
      <c r="DE68" s="37">
        <v>1481695</v>
      </c>
      <c r="DF68" s="37">
        <v>1831810</v>
      </c>
      <c r="DG68" s="37">
        <v>1977790</v>
      </c>
      <c r="DH68" s="37">
        <v>1755435</v>
      </c>
      <c r="DI68" s="37">
        <v>3934355</v>
      </c>
      <c r="DJ68" s="37">
        <v>2903950</v>
      </c>
      <c r="DK68" s="37">
        <v>1888600</v>
      </c>
      <c r="DL68" s="37">
        <v>2379440</v>
      </c>
      <c r="DM68" s="37">
        <v>3577718</v>
      </c>
      <c r="DN68" s="37">
        <v>2314201</v>
      </c>
      <c r="DO68" s="37">
        <v>2322602</v>
      </c>
      <c r="DP68" s="37">
        <v>1582814</v>
      </c>
      <c r="DQ68" s="37">
        <v>1848765</v>
      </c>
      <c r="DR68" s="37">
        <v>1679623</v>
      </c>
      <c r="DS68" s="37">
        <v>1908103</v>
      </c>
      <c r="DT68" s="37">
        <v>2393741</v>
      </c>
      <c r="DU68" s="37">
        <v>4585484</v>
      </c>
      <c r="DV68" s="37">
        <v>2250566</v>
      </c>
      <c r="DW68" s="37">
        <v>2635595</v>
      </c>
      <c r="DX68" s="37">
        <v>2364046</v>
      </c>
      <c r="DY68" s="37">
        <v>2189165</v>
      </c>
      <c r="DZ68" s="37">
        <v>1752865</v>
      </c>
      <c r="EA68" s="37">
        <v>1440989</v>
      </c>
      <c r="EB68" s="37">
        <v>1637714</v>
      </c>
      <c r="EC68" s="37">
        <v>1078767</v>
      </c>
      <c r="ED68" s="37">
        <v>1405860</v>
      </c>
      <c r="EE68" s="37">
        <v>2047907</v>
      </c>
      <c r="EF68" s="37">
        <v>3186511</v>
      </c>
      <c r="EG68" s="37">
        <v>3289860</v>
      </c>
      <c r="EH68" s="37">
        <v>3374564</v>
      </c>
      <c r="EI68" s="37">
        <v>4555362</v>
      </c>
      <c r="EJ68" s="37">
        <v>2038712</v>
      </c>
      <c r="EK68" s="37">
        <v>1819614</v>
      </c>
      <c r="EL68" s="37">
        <v>2386951</v>
      </c>
      <c r="EM68" s="37">
        <v>1484488</v>
      </c>
      <c r="EN68" s="37">
        <v>1248914</v>
      </c>
      <c r="EO68" s="37">
        <v>1368820</v>
      </c>
      <c r="EP68" s="37">
        <v>1075378</v>
      </c>
      <c r="EQ68" s="37">
        <v>1526199</v>
      </c>
      <c r="ER68" s="37">
        <v>1854554</v>
      </c>
      <c r="ES68" s="37">
        <v>2398675</v>
      </c>
      <c r="ET68" s="37">
        <v>3111560</v>
      </c>
      <c r="EU68" s="37">
        <v>2784065</v>
      </c>
      <c r="EV68" s="37">
        <v>2561528</v>
      </c>
      <c r="EW68" s="37">
        <v>2010181</v>
      </c>
      <c r="EX68" s="37">
        <v>1959775</v>
      </c>
      <c r="EY68" s="37">
        <v>1352842</v>
      </c>
      <c r="EZ68" s="37">
        <v>1414304</v>
      </c>
      <c r="FA68" s="37">
        <v>1325903</v>
      </c>
      <c r="FB68" s="37">
        <v>2011074</v>
      </c>
      <c r="FC68" s="37">
        <v>1910989</v>
      </c>
      <c r="FD68" s="37">
        <v>3126859</v>
      </c>
      <c r="FE68" s="37">
        <v>3693492</v>
      </c>
      <c r="FF68" s="37">
        <v>4073034</v>
      </c>
      <c r="FG68" s="37">
        <v>3862983</v>
      </c>
      <c r="FH68" s="37">
        <v>3446666</v>
      </c>
      <c r="FI68" s="37">
        <v>1778931</v>
      </c>
      <c r="FJ68" s="37">
        <v>1589496.3333333333</v>
      </c>
      <c r="FK68" s="37">
        <v>1221355</v>
      </c>
      <c r="FL68" s="37">
        <v>1078367</v>
      </c>
      <c r="FM68" s="37">
        <v>1106650</v>
      </c>
      <c r="FN68" s="37">
        <v>835257</v>
      </c>
      <c r="FO68" s="37">
        <v>1771134</v>
      </c>
      <c r="FP68" s="37">
        <v>2890204.8333333335</v>
      </c>
      <c r="FQ68" s="37">
        <v>1807562</v>
      </c>
      <c r="FR68" s="40">
        <v>2295196.8333333335</v>
      </c>
      <c r="FS68" s="40">
        <v>3152466</v>
      </c>
      <c r="FT68" s="40">
        <v>2858258</v>
      </c>
      <c r="FU68" s="40">
        <v>2037303.6666666667</v>
      </c>
      <c r="FV68" s="40">
        <v>2038314</v>
      </c>
      <c r="FW68" s="40">
        <v>1727070.6666666667</v>
      </c>
      <c r="FX68" s="40">
        <v>1824441</v>
      </c>
      <c r="FY68" s="40">
        <v>1454780.8333333333</v>
      </c>
      <c r="FZ68" s="40">
        <v>1718244.8333333333</v>
      </c>
      <c r="GA68" s="40">
        <v>1851047.1666666667</v>
      </c>
      <c r="GB68" s="40">
        <v>2372375</v>
      </c>
      <c r="GC68" s="40">
        <v>3549260</v>
      </c>
      <c r="GD68" s="40">
        <v>4243351</v>
      </c>
      <c r="GE68" s="40">
        <v>3215143.1666666674</v>
      </c>
      <c r="GF68" s="40">
        <v>3793521.166666667</v>
      </c>
      <c r="GG68" s="40">
        <v>1847366</v>
      </c>
      <c r="GH68" s="40">
        <v>1293834</v>
      </c>
      <c r="GI68" s="40">
        <v>1552270</v>
      </c>
      <c r="GJ68" s="40">
        <v>963011</v>
      </c>
      <c r="GK68" s="40">
        <v>1080862.666666667</v>
      </c>
      <c r="GL68" s="40">
        <v>1204984.4999999998</v>
      </c>
      <c r="GM68" s="40">
        <v>2114262.833333333</v>
      </c>
      <c r="GN68" s="40">
        <v>2655816.6666666665</v>
      </c>
      <c r="GO68" s="40">
        <v>3400425.5</v>
      </c>
      <c r="GP68" s="28">
        <v>2719519.333333333</v>
      </c>
      <c r="GQ68" s="28">
        <v>2479405.8333333335</v>
      </c>
      <c r="GR68" s="28">
        <v>3917983.6666666665</v>
      </c>
      <c r="GS68" s="25">
        <f>1947.41233333333*1000</f>
        <v>1947412.33333333</v>
      </c>
      <c r="GT68" s="25">
        <f>1848.826*1000</f>
        <v>1848826</v>
      </c>
      <c r="GU68" s="25">
        <f>1409.35766666667*1000</f>
        <v>1409357.66666667</v>
      </c>
      <c r="GV68" s="39"/>
      <c r="GW68" s="39"/>
      <c r="GX68" s="39"/>
      <c r="GY68" s="39"/>
      <c r="GZ68" s="39"/>
      <c r="HA68" s="39"/>
      <c r="HB68" s="28">
        <v>2719519.333333333</v>
      </c>
      <c r="HC68" s="28">
        <v>2479405.8333333335</v>
      </c>
      <c r="HD68" s="28">
        <v>3917983.6666666665</v>
      </c>
      <c r="HE68" s="25">
        <f>1947.41233333333*1000</f>
        <v>1947412.33333333</v>
      </c>
      <c r="HF68" s="25">
        <f>1848.826*1000</f>
        <v>1848826</v>
      </c>
      <c r="HG68" s="25">
        <f>1409.35766666667*1000</f>
        <v>1409357.66666667</v>
      </c>
      <c r="HH68" s="39"/>
      <c r="HI68" s="39"/>
      <c r="HJ68" s="39"/>
      <c r="HK68" s="39"/>
      <c r="HL68" s="39"/>
      <c r="HM68" s="39"/>
    </row>
    <row r="69" spans="1:221" s="35" customFormat="1">
      <c r="D69" s="36" t="s">
        <v>356</v>
      </c>
      <c r="E69" s="19">
        <v>40725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R69" s="37"/>
      <c r="CS69" s="37"/>
      <c r="CT69" s="37"/>
      <c r="CU69" s="37"/>
      <c r="CV69" s="37"/>
      <c r="CW69" s="37"/>
      <c r="CX69" s="38"/>
      <c r="CY69" s="38"/>
      <c r="CZ69" s="38"/>
      <c r="DA69" s="38"/>
      <c r="DB69" s="38"/>
      <c r="DC69" s="37">
        <v>1735</v>
      </c>
      <c r="DD69" s="37">
        <v>179258</v>
      </c>
      <c r="DE69" s="37">
        <v>1373715</v>
      </c>
      <c r="DF69" s="37">
        <v>1689788</v>
      </c>
      <c r="DG69" s="37">
        <v>1902640</v>
      </c>
      <c r="DH69" s="37">
        <v>1838508</v>
      </c>
      <c r="DI69" s="37">
        <v>3807681</v>
      </c>
      <c r="DJ69" s="37">
        <v>2687100</v>
      </c>
      <c r="DK69" s="37">
        <v>1531281</v>
      </c>
      <c r="DL69" s="37">
        <v>2140982</v>
      </c>
      <c r="DM69" s="37">
        <v>3414600</v>
      </c>
      <c r="DN69" s="37">
        <v>1381736</v>
      </c>
      <c r="DO69" s="37">
        <v>1805883</v>
      </c>
      <c r="DP69" s="37">
        <v>1418703</v>
      </c>
      <c r="DQ69" s="37">
        <v>1778470</v>
      </c>
      <c r="DR69" s="37">
        <v>1579499</v>
      </c>
      <c r="DS69" s="37">
        <v>1904680</v>
      </c>
      <c r="DT69" s="37">
        <v>2513205</v>
      </c>
      <c r="DU69" s="37">
        <v>4579759</v>
      </c>
      <c r="DV69" s="37">
        <v>2336399</v>
      </c>
      <c r="DW69" s="37">
        <v>2411808</v>
      </c>
      <c r="DX69" s="37">
        <v>2422180</v>
      </c>
      <c r="DY69" s="37">
        <v>2140963</v>
      </c>
      <c r="DZ69" s="37">
        <v>1688356</v>
      </c>
      <c r="EA69" s="37">
        <v>1277841</v>
      </c>
      <c r="EB69" s="37">
        <v>1436856</v>
      </c>
      <c r="EC69" s="37">
        <v>981797</v>
      </c>
      <c r="ED69" s="37">
        <v>1369935</v>
      </c>
      <c r="EE69" s="37">
        <v>2225076</v>
      </c>
      <c r="EF69" s="37">
        <v>3093692</v>
      </c>
      <c r="EG69" s="37">
        <v>3151281</v>
      </c>
      <c r="EH69" s="37">
        <v>3188878</v>
      </c>
      <c r="EI69" s="37">
        <v>4627617</v>
      </c>
      <c r="EJ69" s="37">
        <v>1964115</v>
      </c>
      <c r="EK69" s="37">
        <v>1765800</v>
      </c>
      <c r="EL69" s="37">
        <v>2298998</v>
      </c>
      <c r="EM69" s="37">
        <v>1375599</v>
      </c>
      <c r="EN69" s="37">
        <v>1137459</v>
      </c>
      <c r="EO69" s="37">
        <v>1333149</v>
      </c>
      <c r="EP69" s="37">
        <v>1019957</v>
      </c>
      <c r="EQ69" s="37">
        <v>1547968</v>
      </c>
      <c r="ER69" s="37">
        <v>1941144</v>
      </c>
      <c r="ES69" s="37">
        <v>2289898</v>
      </c>
      <c r="ET69" s="37">
        <v>3125101</v>
      </c>
      <c r="EU69" s="37">
        <v>2684182</v>
      </c>
      <c r="EV69" s="37">
        <v>2424284</v>
      </c>
      <c r="EW69" s="37">
        <v>2052659</v>
      </c>
      <c r="EX69" s="37">
        <v>1949050</v>
      </c>
      <c r="EY69" s="37">
        <v>1206644</v>
      </c>
      <c r="EZ69" s="37">
        <v>1558740</v>
      </c>
      <c r="FA69" s="37">
        <v>1207704</v>
      </c>
      <c r="FB69" s="37">
        <v>2003642</v>
      </c>
      <c r="FC69" s="37">
        <v>1976620</v>
      </c>
      <c r="FD69" s="37">
        <v>2882798</v>
      </c>
      <c r="FE69" s="37">
        <v>3469405</v>
      </c>
      <c r="FF69" s="37">
        <v>3787388</v>
      </c>
      <c r="FG69" s="37">
        <v>3449550</v>
      </c>
      <c r="FH69" s="37">
        <v>3000382</v>
      </c>
      <c r="FI69" s="37">
        <v>1758349</v>
      </c>
      <c r="FJ69" s="37">
        <v>1614464.3333333333</v>
      </c>
      <c r="FK69" s="37">
        <v>1170829</v>
      </c>
      <c r="FL69" s="37">
        <v>1028306</v>
      </c>
      <c r="FM69" s="37">
        <v>1032797</v>
      </c>
      <c r="FN69" s="37">
        <v>805909</v>
      </c>
      <c r="FO69" s="37">
        <v>1607056</v>
      </c>
      <c r="FP69" s="37">
        <v>2779668.3333333335</v>
      </c>
      <c r="FQ69" s="37">
        <v>1837132</v>
      </c>
      <c r="FR69" s="40">
        <v>2106197.3333333335</v>
      </c>
      <c r="FS69" s="40">
        <v>2961192.3330000001</v>
      </c>
      <c r="FT69" s="40">
        <v>2618841.6666666665</v>
      </c>
      <c r="FU69" s="40">
        <v>1786109.1666666667</v>
      </c>
      <c r="FV69" s="40">
        <v>1918601.1666666667</v>
      </c>
      <c r="FW69" s="40">
        <v>1551332.3333333333</v>
      </c>
      <c r="FX69" s="40">
        <v>1682949</v>
      </c>
      <c r="FY69" s="40">
        <v>1253219.1666666667</v>
      </c>
      <c r="FZ69" s="40">
        <v>1583571.6666666667</v>
      </c>
      <c r="GA69" s="40">
        <v>1722607.6666666667</v>
      </c>
      <c r="GB69" s="40">
        <v>2117603</v>
      </c>
      <c r="GC69" s="40">
        <v>3410078</v>
      </c>
      <c r="GD69" s="40">
        <v>4237411</v>
      </c>
      <c r="GE69" s="40">
        <v>2076893.833333333</v>
      </c>
      <c r="GF69" s="40">
        <v>3788580.5000000005</v>
      </c>
      <c r="GG69" s="40">
        <v>1364110.9999999998</v>
      </c>
      <c r="GH69" s="40">
        <v>1081382</v>
      </c>
      <c r="GI69" s="40">
        <v>1417877</v>
      </c>
      <c r="GJ69" s="40">
        <v>741653.83333333326</v>
      </c>
      <c r="GK69" s="40">
        <v>882458</v>
      </c>
      <c r="GL69" s="40">
        <v>1199999.5</v>
      </c>
      <c r="GM69" s="40">
        <v>2213657.833333333</v>
      </c>
      <c r="GN69" s="40">
        <v>2739774.8333333335</v>
      </c>
      <c r="GO69" s="40">
        <v>3365268.166666666</v>
      </c>
      <c r="GP69" s="28">
        <v>2390792</v>
      </c>
      <c r="GQ69" s="28">
        <v>2371700</v>
      </c>
      <c r="GR69" s="28">
        <v>3654072.333333334</v>
      </c>
      <c r="GS69" s="25">
        <f>1899.99966666667*1000</f>
        <v>1899999.66666667</v>
      </c>
      <c r="GT69" s="25">
        <f>1174.43933333333*1000</f>
        <v>1174439.33333333</v>
      </c>
      <c r="GU69" s="25">
        <f>1087.77383333333*1000</f>
        <v>1087773.83333333</v>
      </c>
      <c r="GV69" s="39"/>
      <c r="GW69" s="39"/>
      <c r="GX69" s="39"/>
      <c r="GY69" s="39"/>
      <c r="GZ69" s="39"/>
      <c r="HA69" s="39"/>
      <c r="HB69" s="28">
        <v>2390792</v>
      </c>
      <c r="HC69" s="28">
        <v>2371700</v>
      </c>
      <c r="HD69" s="28">
        <v>3654072.333333334</v>
      </c>
      <c r="HE69" s="25">
        <f>1899.99966666667*1000</f>
        <v>1899999.66666667</v>
      </c>
      <c r="HF69" s="25">
        <f>1174.43933333333*1000</f>
        <v>1174439.33333333</v>
      </c>
      <c r="HG69" s="25">
        <f>1087.77383333333*1000</f>
        <v>1087773.83333333</v>
      </c>
      <c r="HH69" s="39"/>
      <c r="HI69" s="39"/>
      <c r="HJ69" s="39"/>
      <c r="HK69" s="39"/>
      <c r="HL69" s="39"/>
      <c r="HM69" s="39"/>
    </row>
    <row r="70" spans="1:221" s="35" customFormat="1">
      <c r="D70" s="36" t="s">
        <v>357</v>
      </c>
      <c r="E70" s="19">
        <v>40725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R70" s="37"/>
      <c r="CS70" s="37"/>
      <c r="CT70" s="37"/>
      <c r="CU70" s="37"/>
      <c r="CV70" s="37"/>
      <c r="CW70" s="37"/>
      <c r="CX70" s="38"/>
      <c r="CY70" s="38"/>
      <c r="CZ70" s="38"/>
      <c r="DA70" s="38"/>
      <c r="DB70" s="38"/>
      <c r="DC70" s="37">
        <v>1010</v>
      </c>
      <c r="DD70" s="37">
        <v>165035</v>
      </c>
      <c r="DE70" s="37">
        <v>1365921</v>
      </c>
      <c r="DF70" s="37">
        <v>1735792</v>
      </c>
      <c r="DG70" s="37">
        <v>1902003</v>
      </c>
      <c r="DH70" s="37">
        <v>1741383</v>
      </c>
      <c r="DI70" s="37">
        <v>3818197</v>
      </c>
      <c r="DJ70" s="37">
        <v>2736518</v>
      </c>
      <c r="DK70" s="37">
        <v>1674594</v>
      </c>
      <c r="DL70" s="37">
        <v>2315729</v>
      </c>
      <c r="DM70" s="37">
        <v>3452727</v>
      </c>
      <c r="DN70" s="37">
        <v>2130209</v>
      </c>
      <c r="DO70" s="37">
        <v>2218682</v>
      </c>
      <c r="DP70" s="37">
        <v>1467639</v>
      </c>
      <c r="DQ70" s="37">
        <v>1798848</v>
      </c>
      <c r="DR70" s="37">
        <v>1621053</v>
      </c>
      <c r="DS70" s="37">
        <v>1915728</v>
      </c>
      <c r="DT70" s="37">
        <v>2407865</v>
      </c>
      <c r="DU70" s="37">
        <v>4443716</v>
      </c>
      <c r="DV70" s="37">
        <v>2196711</v>
      </c>
      <c r="DW70" s="37">
        <v>2451469</v>
      </c>
      <c r="DX70" s="37">
        <v>2266069</v>
      </c>
      <c r="DY70" s="37">
        <v>2017347</v>
      </c>
      <c r="DZ70" s="37">
        <v>1719972</v>
      </c>
      <c r="EA70" s="37">
        <v>1343888</v>
      </c>
      <c r="EB70" s="37">
        <v>1420178</v>
      </c>
      <c r="EC70" s="37">
        <v>983722</v>
      </c>
      <c r="ED70" s="37">
        <v>1380482</v>
      </c>
      <c r="EE70" s="37">
        <v>2034113</v>
      </c>
      <c r="EF70" s="37">
        <v>3115467</v>
      </c>
      <c r="EG70" s="37">
        <v>2817401</v>
      </c>
      <c r="EH70" s="37">
        <v>3072574</v>
      </c>
      <c r="EI70" s="37">
        <v>4305742</v>
      </c>
      <c r="EJ70" s="37">
        <v>1789955</v>
      </c>
      <c r="EK70" s="37">
        <v>1614180</v>
      </c>
      <c r="EL70" s="37">
        <v>2160668</v>
      </c>
      <c r="EM70" s="37">
        <v>1373376</v>
      </c>
      <c r="EN70" s="37">
        <v>1115010</v>
      </c>
      <c r="EO70" s="37">
        <v>1323255</v>
      </c>
      <c r="EP70" s="37">
        <v>949212</v>
      </c>
      <c r="EQ70" s="37">
        <v>1370908</v>
      </c>
      <c r="ER70" s="37">
        <v>1664249</v>
      </c>
      <c r="ES70" s="37">
        <v>2221535</v>
      </c>
      <c r="ET70" s="37">
        <v>3079223</v>
      </c>
      <c r="EU70" s="37">
        <v>2434295</v>
      </c>
      <c r="EV70" s="37">
        <v>2459206</v>
      </c>
      <c r="EW70" s="37">
        <v>1733724</v>
      </c>
      <c r="EX70" s="37">
        <v>1907099</v>
      </c>
      <c r="EY70" s="37">
        <v>1103303</v>
      </c>
      <c r="EZ70" s="37">
        <v>1541130</v>
      </c>
      <c r="FA70" s="37">
        <v>1138060</v>
      </c>
      <c r="FB70" s="37">
        <v>1785016</v>
      </c>
      <c r="FC70" s="37">
        <v>1733178</v>
      </c>
      <c r="FD70" s="37">
        <v>2497367</v>
      </c>
      <c r="FE70" s="37">
        <v>2288828</v>
      </c>
      <c r="FF70" s="37">
        <v>3324791</v>
      </c>
      <c r="FG70" s="37">
        <v>3219169</v>
      </c>
      <c r="FH70" s="37">
        <v>2853053</v>
      </c>
      <c r="FI70" s="37">
        <v>1603893</v>
      </c>
      <c r="FJ70" s="37">
        <v>1374309.5</v>
      </c>
      <c r="FK70" s="37">
        <v>1105703</v>
      </c>
      <c r="FL70" s="37">
        <v>984936</v>
      </c>
      <c r="FM70" s="37">
        <v>906824</v>
      </c>
      <c r="FN70" s="37">
        <v>761646</v>
      </c>
      <c r="FO70" s="37">
        <v>1823487</v>
      </c>
      <c r="FP70" s="37">
        <v>2763251.6666666665</v>
      </c>
      <c r="FQ70" s="37">
        <v>1741720</v>
      </c>
      <c r="FR70" s="40">
        <v>2157057.1666666665</v>
      </c>
      <c r="FS70" s="40">
        <v>2900907.1669999999</v>
      </c>
      <c r="FT70" s="40">
        <v>2611484.3333333335</v>
      </c>
      <c r="FU70" s="40">
        <v>1840744</v>
      </c>
      <c r="FV70" s="40">
        <v>1991757.6666666667</v>
      </c>
      <c r="FW70" s="40">
        <v>1584066</v>
      </c>
      <c r="FX70" s="40">
        <v>1711716</v>
      </c>
      <c r="FY70" s="40">
        <v>1239233.8333333333</v>
      </c>
      <c r="FZ70" s="40">
        <v>1605674</v>
      </c>
      <c r="GA70" s="40">
        <v>1694966</v>
      </c>
      <c r="GB70" s="40">
        <v>2083105</v>
      </c>
      <c r="GC70" s="40">
        <v>3210558.6666666665</v>
      </c>
      <c r="GD70" s="40">
        <v>4041451.6666666665</v>
      </c>
      <c r="GE70" s="40">
        <v>2994614</v>
      </c>
      <c r="GF70" s="40">
        <v>3679668</v>
      </c>
      <c r="GG70" s="40">
        <v>1720007</v>
      </c>
      <c r="GH70" s="40">
        <v>1151163</v>
      </c>
      <c r="GI70" s="40">
        <v>1517620</v>
      </c>
      <c r="GJ70" s="40">
        <v>798352</v>
      </c>
      <c r="GK70" s="40">
        <v>944406.66666666663</v>
      </c>
      <c r="GL70" s="40">
        <v>1520211.6666666665</v>
      </c>
      <c r="GM70" s="40">
        <v>1998600.666666667</v>
      </c>
      <c r="GN70" s="40">
        <v>2621910.8333333335</v>
      </c>
      <c r="GO70" s="40">
        <v>3284695.1666666665</v>
      </c>
      <c r="GP70" s="28">
        <v>2380817.8333333335</v>
      </c>
      <c r="GQ70" s="28">
        <v>2333157.3333333335</v>
      </c>
      <c r="GR70" s="28">
        <v>3903427.1666666665</v>
      </c>
      <c r="GS70" s="25">
        <f>1848.82383333333*1000</f>
        <v>1848823.83333333</v>
      </c>
      <c r="GT70" s="25">
        <f>1959.979*1000</f>
        <v>1959979</v>
      </c>
      <c r="GU70" s="25">
        <f>1326.98816666667*1000</f>
        <v>1326988.16666667</v>
      </c>
      <c r="GV70" s="39"/>
      <c r="GW70" s="39"/>
      <c r="GX70" s="39"/>
      <c r="GY70" s="39"/>
      <c r="GZ70" s="39"/>
      <c r="HA70" s="39"/>
      <c r="HB70" s="28">
        <v>2380817.8333333335</v>
      </c>
      <c r="HC70" s="28">
        <v>2333157.3333333335</v>
      </c>
      <c r="HD70" s="28">
        <v>3903427.1666666665</v>
      </c>
      <c r="HE70" s="25">
        <f>1848.82383333333*1000</f>
        <v>1848823.83333333</v>
      </c>
      <c r="HF70" s="25">
        <f>1959.979*1000</f>
        <v>1959979</v>
      </c>
      <c r="HG70" s="25">
        <f>1326.98816666667*1000</f>
        <v>1326988.16666667</v>
      </c>
      <c r="HH70" s="39"/>
      <c r="HI70" s="39"/>
      <c r="HJ70" s="39"/>
      <c r="HK70" s="39"/>
      <c r="HL70" s="39"/>
      <c r="HM70" s="39"/>
    </row>
    <row r="71" spans="1:221">
      <c r="A71" t="s">
        <v>199</v>
      </c>
      <c r="B71" t="s">
        <v>274</v>
      </c>
      <c r="D71" s="45" t="s">
        <v>353</v>
      </c>
      <c r="E71" s="19">
        <v>40763</v>
      </c>
      <c r="F71" s="16" t="s">
        <v>845</v>
      </c>
      <c r="G71" s="16" t="s">
        <v>845</v>
      </c>
      <c r="H71" s="16" t="s">
        <v>845</v>
      </c>
      <c r="I71" s="16" t="s">
        <v>845</v>
      </c>
      <c r="J71" s="16" t="s">
        <v>845</v>
      </c>
      <c r="K71" s="16" t="s">
        <v>845</v>
      </c>
      <c r="L71" s="16" t="s">
        <v>845</v>
      </c>
      <c r="M71" s="16" t="s">
        <v>845</v>
      </c>
      <c r="N71" s="16" t="s">
        <v>845</v>
      </c>
      <c r="O71" s="16" t="s">
        <v>845</v>
      </c>
      <c r="P71" s="16" t="s">
        <v>845</v>
      </c>
      <c r="Q71" s="16" t="s">
        <v>845</v>
      </c>
      <c r="R71" s="16" t="s">
        <v>845</v>
      </c>
      <c r="S71" s="16" t="s">
        <v>845</v>
      </c>
      <c r="T71" s="16" t="s">
        <v>845</v>
      </c>
      <c r="U71" s="16" t="s">
        <v>845</v>
      </c>
      <c r="V71" s="16" t="s">
        <v>845</v>
      </c>
      <c r="W71" s="16" t="s">
        <v>845</v>
      </c>
      <c r="X71" s="16" t="s">
        <v>845</v>
      </c>
      <c r="Y71" s="16" t="s">
        <v>845</v>
      </c>
      <c r="Z71" s="16" t="s">
        <v>845</v>
      </c>
      <c r="AA71" s="16" t="s">
        <v>845</v>
      </c>
      <c r="AB71" s="16" t="s">
        <v>845</v>
      </c>
      <c r="AC71" s="16" t="s">
        <v>845</v>
      </c>
      <c r="AD71" s="16" t="s">
        <v>845</v>
      </c>
      <c r="AE71" s="16" t="s">
        <v>845</v>
      </c>
      <c r="AF71" s="16" t="s">
        <v>845</v>
      </c>
      <c r="AG71" s="16" t="s">
        <v>845</v>
      </c>
      <c r="AH71" s="16" t="s">
        <v>845</v>
      </c>
      <c r="AI71" s="16" t="s">
        <v>845</v>
      </c>
      <c r="AJ71" s="16" t="s">
        <v>845</v>
      </c>
      <c r="AK71" s="16" t="s">
        <v>845</v>
      </c>
      <c r="AL71" s="16" t="s">
        <v>845</v>
      </c>
      <c r="AM71" s="16" t="s">
        <v>845</v>
      </c>
      <c r="AN71" s="16" t="s">
        <v>845</v>
      </c>
      <c r="AO71" s="16" t="s">
        <v>845</v>
      </c>
      <c r="AP71" s="16" t="s">
        <v>845</v>
      </c>
      <c r="AQ71" s="16" t="s">
        <v>845</v>
      </c>
      <c r="AR71" s="16" t="s">
        <v>845</v>
      </c>
      <c r="AS71" s="16" t="s">
        <v>845</v>
      </c>
      <c r="AT71" s="16" t="s">
        <v>845</v>
      </c>
      <c r="AU71" s="16" t="s">
        <v>845</v>
      </c>
      <c r="AV71" s="16" t="s">
        <v>845</v>
      </c>
      <c r="AW71" s="16" t="s">
        <v>845</v>
      </c>
      <c r="AX71" s="16" t="s">
        <v>845</v>
      </c>
      <c r="AY71" s="16" t="s">
        <v>845</v>
      </c>
      <c r="AZ71" s="16" t="s">
        <v>845</v>
      </c>
      <c r="BA71" s="16" t="s">
        <v>845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18">
        <v>0</v>
      </c>
      <c r="DC71" s="18">
        <v>0</v>
      </c>
      <c r="DD71" s="18">
        <v>0</v>
      </c>
      <c r="DE71" s="29">
        <v>1011324</v>
      </c>
      <c r="DF71" s="29">
        <v>1587851</v>
      </c>
      <c r="DG71" s="29">
        <v>2917003</v>
      </c>
      <c r="DH71" s="29">
        <v>2519817</v>
      </c>
      <c r="DI71" s="29">
        <v>3958025</v>
      </c>
      <c r="DJ71" s="29">
        <v>3450026</v>
      </c>
      <c r="DK71" s="29">
        <v>2975778</v>
      </c>
      <c r="DL71" s="29">
        <v>2844164</v>
      </c>
      <c r="DM71" s="29">
        <v>3201589</v>
      </c>
      <c r="DN71" s="29">
        <v>2522359</v>
      </c>
      <c r="DO71" s="29">
        <v>2161009</v>
      </c>
      <c r="DP71" s="29">
        <v>1636645</v>
      </c>
      <c r="DQ71" s="29">
        <v>1487781</v>
      </c>
      <c r="DR71" s="29">
        <v>2895964</v>
      </c>
      <c r="DS71" s="29">
        <v>2885067</v>
      </c>
      <c r="DT71" s="29">
        <v>2457608</v>
      </c>
      <c r="DU71" s="29">
        <v>3483304</v>
      </c>
      <c r="DV71" s="29">
        <v>2413100</v>
      </c>
      <c r="DW71" s="29">
        <v>2673236</v>
      </c>
      <c r="DX71" s="29">
        <v>2614479</v>
      </c>
      <c r="DY71" s="29">
        <v>1831183</v>
      </c>
      <c r="DZ71" s="29">
        <v>2824000</v>
      </c>
      <c r="EA71" s="29">
        <v>3444934</v>
      </c>
      <c r="EB71" s="29">
        <v>1428803</v>
      </c>
      <c r="EC71" s="29">
        <v>1806043</v>
      </c>
      <c r="ED71" s="29">
        <v>2261027</v>
      </c>
      <c r="EE71" s="29">
        <v>3435743</v>
      </c>
      <c r="EF71" s="29">
        <v>2090208.9999999998</v>
      </c>
      <c r="EG71" s="29">
        <v>2665970</v>
      </c>
      <c r="EH71" s="29">
        <v>2392975</v>
      </c>
      <c r="EI71" s="29">
        <v>2896458</v>
      </c>
      <c r="EJ71" s="29">
        <v>3157263</v>
      </c>
      <c r="EK71" s="29">
        <v>2589188</v>
      </c>
      <c r="EL71" s="29">
        <v>3886000</v>
      </c>
      <c r="EM71" s="29">
        <v>2039951</v>
      </c>
      <c r="EN71" s="29">
        <v>2736605</v>
      </c>
      <c r="EO71" s="29">
        <v>1384248</v>
      </c>
      <c r="EP71" s="29">
        <v>2030215</v>
      </c>
      <c r="EQ71" s="29">
        <v>2339630</v>
      </c>
      <c r="ER71" s="29">
        <v>2273208</v>
      </c>
      <c r="ES71" s="29">
        <v>1828519</v>
      </c>
      <c r="ET71" s="29">
        <v>1622272</v>
      </c>
      <c r="EU71" s="29">
        <v>1394163</v>
      </c>
      <c r="EV71" s="29">
        <v>2271702</v>
      </c>
      <c r="EW71" s="29">
        <v>2037058</v>
      </c>
      <c r="EX71" s="29">
        <v>2894369</v>
      </c>
      <c r="EY71" s="29">
        <v>1837629</v>
      </c>
      <c r="EZ71" s="29">
        <v>2048947.9999999998</v>
      </c>
      <c r="FA71" s="29">
        <v>1913081</v>
      </c>
      <c r="FB71" s="29">
        <v>2213509</v>
      </c>
      <c r="FC71" s="29">
        <v>2499364</v>
      </c>
      <c r="FD71" s="29">
        <v>2261523</v>
      </c>
      <c r="FE71" s="29">
        <v>2383806</v>
      </c>
      <c r="FF71" s="29">
        <v>2250000</v>
      </c>
      <c r="FG71" s="29">
        <v>2310678</v>
      </c>
      <c r="FH71" s="29">
        <v>2671047.0000000005</v>
      </c>
      <c r="FI71" s="29">
        <v>3481545</v>
      </c>
      <c r="FJ71" s="29">
        <v>3799038.0000000005</v>
      </c>
      <c r="FK71" s="29">
        <v>1541820.5000000002</v>
      </c>
      <c r="FL71" s="29">
        <v>1797108</v>
      </c>
      <c r="FM71" s="29">
        <v>1625936</v>
      </c>
      <c r="FN71" s="29">
        <v>1706324.0000000002</v>
      </c>
      <c r="FO71" s="29">
        <v>2591863</v>
      </c>
      <c r="FP71" s="29">
        <v>1776821.9999999998</v>
      </c>
      <c r="FQ71" s="29">
        <v>2169994.333333333</v>
      </c>
      <c r="FR71" s="40">
        <v>1573088.3333333333</v>
      </c>
      <c r="FS71" s="40">
        <v>2888101.3333333335</v>
      </c>
      <c r="FT71" s="40">
        <v>2131241.5</v>
      </c>
      <c r="FU71" s="40">
        <v>2887211.6666666665</v>
      </c>
      <c r="FV71" s="40">
        <v>2310322</v>
      </c>
      <c r="FW71" s="40">
        <v>1366835.5</v>
      </c>
      <c r="FX71" s="40">
        <v>2537860</v>
      </c>
      <c r="FY71" s="40">
        <v>1818517.3333333333</v>
      </c>
      <c r="FZ71" s="40">
        <v>1668020.6666666667</v>
      </c>
      <c r="GA71" s="40">
        <v>2980185.3333333335</v>
      </c>
      <c r="GB71" s="40">
        <v>2968459</v>
      </c>
      <c r="GC71" s="40">
        <v>2590103.3333333335</v>
      </c>
      <c r="GD71" s="40">
        <v>3626173.333333333</v>
      </c>
      <c r="GE71" s="40">
        <v>1557069.6666666667</v>
      </c>
      <c r="GF71" s="40">
        <v>3125595.666666667</v>
      </c>
      <c r="GG71" s="40">
        <v>2763882</v>
      </c>
      <c r="GH71" s="40">
        <v>2114269</v>
      </c>
      <c r="GI71" s="40">
        <v>1788382</v>
      </c>
      <c r="GJ71" s="40">
        <v>1033421.6666666666</v>
      </c>
      <c r="GK71" s="40">
        <v>1451209.8333333333</v>
      </c>
      <c r="GL71" s="40">
        <v>1307436</v>
      </c>
      <c r="GM71" s="40">
        <v>3102226.333333333</v>
      </c>
      <c r="GN71" s="40">
        <v>2557475.1666666665</v>
      </c>
      <c r="GO71" s="40">
        <v>2169612.8333333335</v>
      </c>
      <c r="GP71" s="28">
        <v>1357854.6666666665</v>
      </c>
      <c r="GQ71" s="28">
        <v>2100117.5</v>
      </c>
      <c r="GR71" s="28">
        <v>2963593.8333333335</v>
      </c>
      <c r="GS71" s="25">
        <f>2633.1275*1000</f>
        <v>2633127.5</v>
      </c>
      <c r="GT71" s="25">
        <f>2817.295*1000</f>
        <v>2817295</v>
      </c>
      <c r="GU71" s="25">
        <f>1870.897*1000</f>
        <v>1870897</v>
      </c>
      <c r="GV71" s="25"/>
      <c r="GW71" s="25"/>
      <c r="GX71" s="25"/>
      <c r="GY71" s="25"/>
      <c r="GZ71" s="25"/>
      <c r="HA71" s="25"/>
      <c r="HB71" s="28">
        <v>1357854.6666666665</v>
      </c>
      <c r="HC71" s="28">
        <v>2100117.5</v>
      </c>
      <c r="HD71" s="28">
        <v>2963593.8333333335</v>
      </c>
      <c r="HE71" s="25">
        <f>2633.1275*1000</f>
        <v>2633127.5</v>
      </c>
      <c r="HF71" s="25">
        <f>2817.295*1000</f>
        <v>2817295</v>
      </c>
      <c r="HG71" s="25">
        <f>1870.897*1000</f>
        <v>1870897</v>
      </c>
      <c r="HH71" s="25"/>
      <c r="HI71" s="25"/>
      <c r="HJ71" s="25"/>
      <c r="HK71" s="25"/>
      <c r="HL71" s="25"/>
      <c r="HM71" s="25"/>
    </row>
    <row r="72" spans="1:221">
      <c r="D72" s="45" t="s">
        <v>354</v>
      </c>
      <c r="E72" s="19">
        <v>40784</v>
      </c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18"/>
      <c r="DC72" s="18"/>
      <c r="DD72" s="18"/>
      <c r="DE72" s="29">
        <v>11053</v>
      </c>
      <c r="DF72" s="29">
        <v>720692</v>
      </c>
      <c r="DG72" s="29">
        <v>1381076</v>
      </c>
      <c r="DH72" s="29">
        <v>1165141</v>
      </c>
      <c r="DI72" s="29">
        <v>1989335</v>
      </c>
      <c r="DJ72" s="29">
        <v>1798184</v>
      </c>
      <c r="DK72" s="29">
        <v>1601475</v>
      </c>
      <c r="DL72" s="29">
        <v>1416524</v>
      </c>
      <c r="DM72" s="29">
        <v>1639080</v>
      </c>
      <c r="DN72" s="29">
        <v>1313627</v>
      </c>
      <c r="DO72" s="29">
        <v>1041839</v>
      </c>
      <c r="DP72" s="29">
        <v>800862</v>
      </c>
      <c r="DQ72" s="29">
        <v>714298</v>
      </c>
      <c r="DR72" s="29">
        <v>1430537</v>
      </c>
      <c r="DS72" s="29">
        <v>1443132</v>
      </c>
      <c r="DT72" s="29">
        <v>1182632</v>
      </c>
      <c r="DU72" s="29">
        <v>1803352</v>
      </c>
      <c r="DV72" s="29">
        <v>1246114</v>
      </c>
      <c r="DW72" s="29">
        <v>1448508</v>
      </c>
      <c r="DX72" s="29">
        <v>1319025</v>
      </c>
      <c r="DY72" s="29">
        <v>917111</v>
      </c>
      <c r="DZ72" s="29">
        <v>1493972</v>
      </c>
      <c r="EA72" s="29">
        <v>1732695</v>
      </c>
      <c r="EB72" s="29">
        <v>668020</v>
      </c>
      <c r="EC72" s="29">
        <v>1010179</v>
      </c>
      <c r="ED72" s="29">
        <v>1141334</v>
      </c>
      <c r="EE72" s="29">
        <v>1643334</v>
      </c>
      <c r="EF72" s="29">
        <v>1083085</v>
      </c>
      <c r="EG72" s="29">
        <v>1305288</v>
      </c>
      <c r="EH72" s="29">
        <v>1126889</v>
      </c>
      <c r="EI72" s="29">
        <v>1348000</v>
      </c>
      <c r="EJ72" s="29">
        <v>1563648.0000000002</v>
      </c>
      <c r="EK72" s="29">
        <v>1286909</v>
      </c>
      <c r="EL72" s="29">
        <v>1982073</v>
      </c>
      <c r="EM72" s="29">
        <v>906341</v>
      </c>
      <c r="EN72" s="29">
        <v>1497974</v>
      </c>
      <c r="EO72" s="29">
        <v>667096</v>
      </c>
      <c r="EP72" s="29">
        <v>1035733.9999999999</v>
      </c>
      <c r="EQ72" s="29">
        <v>1108325</v>
      </c>
      <c r="ER72" s="29">
        <v>1192760</v>
      </c>
      <c r="ES72" s="29">
        <v>1268873</v>
      </c>
      <c r="ET72" s="29">
        <v>1112717</v>
      </c>
      <c r="EU72" s="29">
        <v>850789</v>
      </c>
      <c r="EV72" s="29">
        <v>1503740</v>
      </c>
      <c r="EW72" s="29">
        <v>1351006</v>
      </c>
      <c r="EX72" s="29">
        <v>1713027</v>
      </c>
      <c r="EY72" s="29">
        <v>944273</v>
      </c>
      <c r="EZ72" s="29">
        <v>974700</v>
      </c>
      <c r="FA72" s="29">
        <v>888916</v>
      </c>
      <c r="FB72" s="29">
        <v>1055523</v>
      </c>
      <c r="FC72" s="29">
        <v>1061525</v>
      </c>
      <c r="FD72" s="29">
        <v>1334514</v>
      </c>
      <c r="FE72" s="29">
        <v>1089264</v>
      </c>
      <c r="FF72" s="29">
        <v>1084000</v>
      </c>
      <c r="FG72" s="29">
        <v>1058732</v>
      </c>
      <c r="FH72" s="29">
        <v>1378348</v>
      </c>
      <c r="FI72" s="29">
        <v>1688817</v>
      </c>
      <c r="FJ72" s="29">
        <v>1804284.9999999995</v>
      </c>
      <c r="FK72" s="29">
        <v>814275.50000000023</v>
      </c>
      <c r="FL72" s="29">
        <v>962780.99999999988</v>
      </c>
      <c r="FM72" s="29">
        <v>892617.99999999988</v>
      </c>
      <c r="FN72" s="29">
        <v>850624.00000000012</v>
      </c>
      <c r="FO72" s="29">
        <v>1259187.0000000002</v>
      </c>
      <c r="FP72" s="29">
        <v>903010</v>
      </c>
      <c r="FQ72" s="29">
        <v>1032124.8333333333</v>
      </c>
      <c r="FR72" s="40">
        <v>737718</v>
      </c>
      <c r="FS72" s="40">
        <v>1309583.8333333333</v>
      </c>
      <c r="FT72" s="40">
        <v>1094985.8333333333</v>
      </c>
      <c r="FU72" s="40">
        <v>1530916.8333333333</v>
      </c>
      <c r="FV72" s="40">
        <v>1182278.1666666667</v>
      </c>
      <c r="FW72" s="40">
        <v>649589.66666666663</v>
      </c>
      <c r="FX72" s="40">
        <v>1175669</v>
      </c>
      <c r="FY72" s="40">
        <v>888215.83333333337</v>
      </c>
      <c r="FZ72" s="40">
        <v>856791.83333333337</v>
      </c>
      <c r="GA72" s="40">
        <v>1508799.6666666667</v>
      </c>
      <c r="GB72" s="40">
        <v>1428154</v>
      </c>
      <c r="GC72" s="40">
        <v>1288713.1666666667</v>
      </c>
      <c r="GD72" s="40">
        <v>1859873.1666666665</v>
      </c>
      <c r="GE72" s="40">
        <v>756524.00000000012</v>
      </c>
      <c r="GF72" s="40">
        <v>1560002.8333333335</v>
      </c>
      <c r="GG72" s="40">
        <v>1386422</v>
      </c>
      <c r="GH72" s="40">
        <v>1113058</v>
      </c>
      <c r="GI72" s="40">
        <v>1006288</v>
      </c>
      <c r="GJ72" s="40">
        <v>573673.16666666663</v>
      </c>
      <c r="GK72" s="40">
        <v>672940.83333333349</v>
      </c>
      <c r="GL72" s="40">
        <v>667376</v>
      </c>
      <c r="GM72" s="40">
        <v>825681.33333333349</v>
      </c>
      <c r="GN72" s="40">
        <v>1797586.1666666667</v>
      </c>
      <c r="GO72" s="40">
        <v>1190065.3333333333</v>
      </c>
      <c r="GP72" s="28">
        <v>851599.83333333337</v>
      </c>
      <c r="GQ72" s="28">
        <v>1075139.5000000002</v>
      </c>
      <c r="GR72" s="28">
        <v>1685699.9999999998</v>
      </c>
      <c r="GS72" s="25">
        <f>1358.226*1000</f>
        <v>1358226</v>
      </c>
      <c r="GT72" s="25">
        <f>1396.32683333333*1000</f>
        <v>1396326.83333333</v>
      </c>
      <c r="GU72" s="25">
        <f>980.000166666667*1000</f>
        <v>980000.16666666709</v>
      </c>
      <c r="GV72" s="25"/>
      <c r="GW72" s="25"/>
      <c r="GX72" s="25"/>
      <c r="GY72" s="25"/>
      <c r="GZ72" s="25"/>
      <c r="HA72" s="25"/>
      <c r="HB72" s="28">
        <v>851599.83333333337</v>
      </c>
      <c r="HC72" s="28">
        <v>1075139.5000000002</v>
      </c>
      <c r="HD72" s="28">
        <v>1685699.9999999998</v>
      </c>
      <c r="HE72" s="25">
        <f>1358.226*1000</f>
        <v>1358226</v>
      </c>
      <c r="HF72" s="25">
        <f>1396.32683333333*1000</f>
        <v>1396326.83333333</v>
      </c>
      <c r="HG72" s="25">
        <f>980.000166666667*1000</f>
        <v>980000.16666666709</v>
      </c>
      <c r="HH72" s="25"/>
      <c r="HI72" s="25"/>
      <c r="HJ72" s="25"/>
      <c r="HK72" s="25"/>
      <c r="HL72" s="25"/>
      <c r="HM72" s="25"/>
    </row>
    <row r="73" spans="1:221">
      <c r="A73" t="s">
        <v>200</v>
      </c>
      <c r="B73" t="s">
        <v>275</v>
      </c>
      <c r="D73" s="10" t="s">
        <v>306</v>
      </c>
      <c r="E73" s="19">
        <v>41941</v>
      </c>
      <c r="F73" s="16" t="s">
        <v>845</v>
      </c>
      <c r="G73" s="16" t="s">
        <v>845</v>
      </c>
      <c r="H73" s="16" t="s">
        <v>845</v>
      </c>
      <c r="I73" s="16" t="s">
        <v>845</v>
      </c>
      <c r="J73" s="16" t="s">
        <v>845</v>
      </c>
      <c r="K73" s="16" t="s">
        <v>845</v>
      </c>
      <c r="L73" s="16" t="s">
        <v>845</v>
      </c>
      <c r="M73" s="16" t="s">
        <v>845</v>
      </c>
      <c r="N73" s="16" t="s">
        <v>845</v>
      </c>
      <c r="O73" s="16" t="s">
        <v>845</v>
      </c>
      <c r="P73" s="16" t="s">
        <v>845</v>
      </c>
      <c r="Q73" s="16" t="s">
        <v>845</v>
      </c>
      <c r="R73" s="16" t="s">
        <v>845</v>
      </c>
      <c r="S73" s="16" t="s">
        <v>845</v>
      </c>
      <c r="T73" s="16" t="s">
        <v>845</v>
      </c>
      <c r="U73" s="16" t="s">
        <v>845</v>
      </c>
      <c r="V73" s="16" t="s">
        <v>845</v>
      </c>
      <c r="W73" s="16" t="s">
        <v>845</v>
      </c>
      <c r="X73" s="16" t="s">
        <v>845</v>
      </c>
      <c r="Y73" s="16" t="s">
        <v>845</v>
      </c>
      <c r="Z73" s="16" t="s">
        <v>845</v>
      </c>
      <c r="AA73" s="16" t="s">
        <v>845</v>
      </c>
      <c r="AB73" s="16" t="s">
        <v>845</v>
      </c>
      <c r="AC73" s="16" t="s">
        <v>845</v>
      </c>
      <c r="AD73" s="16" t="s">
        <v>845</v>
      </c>
      <c r="AE73" s="16" t="s">
        <v>845</v>
      </c>
      <c r="AF73" s="16" t="s">
        <v>845</v>
      </c>
      <c r="AG73" s="16" t="s">
        <v>845</v>
      </c>
      <c r="AH73" s="16" t="s">
        <v>845</v>
      </c>
      <c r="AI73" s="16" t="s">
        <v>845</v>
      </c>
      <c r="AJ73" s="16" t="s">
        <v>845</v>
      </c>
      <c r="AK73" s="16" t="s">
        <v>845</v>
      </c>
      <c r="AL73" s="16" t="s">
        <v>845</v>
      </c>
      <c r="AM73" s="16" t="s">
        <v>845</v>
      </c>
      <c r="AN73" s="16" t="s">
        <v>845</v>
      </c>
      <c r="AO73" s="16" t="s">
        <v>845</v>
      </c>
      <c r="AP73" s="16" t="s">
        <v>845</v>
      </c>
      <c r="AQ73" s="16" t="s">
        <v>845</v>
      </c>
      <c r="AR73" s="16" t="s">
        <v>845</v>
      </c>
      <c r="AS73" s="16" t="s">
        <v>845</v>
      </c>
      <c r="AT73" s="16" t="s">
        <v>845</v>
      </c>
      <c r="AU73" s="16" t="s">
        <v>845</v>
      </c>
      <c r="AV73" s="16" t="s">
        <v>845</v>
      </c>
      <c r="AW73" s="16" t="s">
        <v>845</v>
      </c>
      <c r="AX73" s="16" t="s">
        <v>845</v>
      </c>
      <c r="AY73" s="16" t="s">
        <v>845</v>
      </c>
      <c r="AZ73" s="16" t="s">
        <v>845</v>
      </c>
      <c r="BA73" s="16" t="s">
        <v>845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0</v>
      </c>
      <c r="DX73" s="16">
        <v>0</v>
      </c>
      <c r="DY73" s="16">
        <v>0</v>
      </c>
      <c r="DZ73" s="16">
        <v>0</v>
      </c>
      <c r="EA73" s="16">
        <v>0</v>
      </c>
      <c r="EB73" s="16">
        <v>0</v>
      </c>
      <c r="EC73" s="16">
        <v>0</v>
      </c>
      <c r="ED73" s="16">
        <v>0</v>
      </c>
      <c r="EE73" s="16">
        <v>0</v>
      </c>
      <c r="EF73" s="16">
        <v>0</v>
      </c>
      <c r="EG73" s="16">
        <v>0</v>
      </c>
      <c r="EH73" s="16">
        <v>0</v>
      </c>
      <c r="EI73" s="16">
        <v>0</v>
      </c>
      <c r="EJ73" s="16">
        <v>0</v>
      </c>
      <c r="EK73" s="16">
        <v>0</v>
      </c>
      <c r="EL73" s="16">
        <v>0</v>
      </c>
      <c r="EM73" s="16">
        <v>0</v>
      </c>
      <c r="EN73" s="16">
        <v>0</v>
      </c>
      <c r="EO73" s="16">
        <v>0</v>
      </c>
      <c r="EP73" s="16">
        <v>0</v>
      </c>
      <c r="EQ73" s="16">
        <v>141778</v>
      </c>
      <c r="ER73" s="16">
        <v>2874434</v>
      </c>
      <c r="ES73" s="16">
        <v>-138052195</v>
      </c>
      <c r="ET73" s="16">
        <v>2350000</v>
      </c>
      <c r="EU73" s="16">
        <v>1868000</v>
      </c>
      <c r="EV73" s="16">
        <v>1566000</v>
      </c>
      <c r="EW73" s="16">
        <v>1400000</v>
      </c>
      <c r="EX73" s="16">
        <v>1354158</v>
      </c>
      <c r="EY73" s="16">
        <v>1177000</v>
      </c>
      <c r="EZ73" s="16">
        <v>978000</v>
      </c>
      <c r="FA73" s="16">
        <v>1114777</v>
      </c>
      <c r="FB73" s="16">
        <v>1676669</v>
      </c>
      <c r="FC73" s="16">
        <v>1102683</v>
      </c>
      <c r="FD73" s="16">
        <v>2286681</v>
      </c>
      <c r="FE73" s="16">
        <v>2626367</v>
      </c>
      <c r="FF73" s="16">
        <v>2677000</v>
      </c>
      <c r="FG73" s="16">
        <v>2514677</v>
      </c>
      <c r="FH73" s="16">
        <v>2156478</v>
      </c>
      <c r="FI73" s="16">
        <v>1217341</v>
      </c>
      <c r="FJ73" s="16">
        <v>1321557</v>
      </c>
      <c r="FK73" s="16">
        <v>766942</v>
      </c>
      <c r="FL73" s="16">
        <v>605580</v>
      </c>
      <c r="FM73" s="16">
        <v>706960</v>
      </c>
      <c r="FN73" s="16">
        <v>723670</v>
      </c>
      <c r="FO73" s="16">
        <v>1169940</v>
      </c>
      <c r="FP73" s="16">
        <v>1662560</v>
      </c>
      <c r="FQ73" s="16">
        <v>1131230</v>
      </c>
      <c r="FR73" s="40">
        <f>_xll.LVCELL($D$2,FR$15,$B73,$D$5,$D$6,$D$7,$D$8,$D$9,$D$10,$D$11)</f>
        <v>1491720</v>
      </c>
      <c r="FS73" s="40">
        <f>_xll.LVCELL($D$2,FS$15,$B73,$D$5,$D$6,$D$7,$D$8,$D$9,$D$10,$D$11)</f>
        <v>1960380</v>
      </c>
      <c r="FT73" s="40">
        <f>_xll.LVCELL($D$2,FT$15,$B73,$D$5,$D$6,$D$7,$D$8,$D$9,$D$10,$D$11)</f>
        <v>1832890</v>
      </c>
      <c r="FU73" s="40">
        <f>_xll.LVCELL($D$2,FU$15,$B73,$D$5,$D$6,$D$7,$D$8,$D$9,$D$10,$D$11)</f>
        <v>887780</v>
      </c>
      <c r="FV73" s="40">
        <f>_xll.LVCELL($D$2,FV$15,$B73,$D$5,$D$6,$D$7,$D$8,$D$9,$D$10,$D$11)</f>
        <v>1065488</v>
      </c>
      <c r="FW73" s="40">
        <f>_xll.LVCELL($D$2,FW$15,$B73,$D$5,$D$6,$D$7,$D$8,$D$9,$D$10,$D$11)</f>
        <v>1030090</v>
      </c>
      <c r="FX73" s="40">
        <f>_xll.LVCELL($D$2,FX$15,$B73,$D$5,$D$6,$D$7,$D$8,$D$9,$D$10,$D$11)</f>
        <v>1166735.83</v>
      </c>
      <c r="FY73" s="40">
        <f>_xll.LVCELL($D$2,FY$15,$B73,$D$5,$D$6,$D$7,$D$8,$D$9,$D$10,$D$11)</f>
        <v>778873</v>
      </c>
      <c r="FZ73" s="40">
        <f>_xll.LVCELL($D$2,FZ$15,$B73,$D$5,$D$6,$D$7,$D$8,$D$9,$D$10,$D$11)</f>
        <v>714768.17</v>
      </c>
      <c r="GA73" s="40">
        <f>_xll.LVCELL($D$2,GA$15,$B73,$D$5,$D$6,$D$7,$D$8,$D$9,$D$10,$D$11)</f>
        <v>1479638</v>
      </c>
      <c r="GB73" s="40">
        <f>_xll.LVCELL($D$2,GB$15,$B73,$D$5,$D$6,$D$7,$D$8,$D$9,$D$10,$D$11)</f>
        <v>1685240</v>
      </c>
      <c r="GC73" s="40">
        <f>_xll.LVCELL($D$2,GC$15,$B73,$D$5,$D$6,$D$7,$D$8,$D$9,$D$10,$D$11)</f>
        <v>2386265</v>
      </c>
      <c r="GD73" s="40">
        <f>_xll.LVCELL($D$2,GD$15,$B73,$D$5,$D$6,$D$7,$D$8,$D$9,$D$10,$D$11)</f>
        <v>2555350</v>
      </c>
      <c r="GE73" s="40">
        <f>_xll.LVCELL($D$2,GE$15,$B73,$D$5,$D$6,$D$7,$D$8,$D$9,$D$10,$D$11)</f>
        <v>1360091</v>
      </c>
      <c r="GF73" s="40">
        <f>_xll.LVCELL($D$2,GF$15,$B73,$D$5,$D$6,$D$7,$D$8,$D$9,$D$10,$D$11)</f>
        <v>2063281</v>
      </c>
      <c r="GG73" s="40">
        <f>_xll.LVCELL($D$2,GG$15,$B73,$D$5,$D$6,$D$7,$D$8,$D$9,$D$10,$D$11)</f>
        <v>1100066</v>
      </c>
      <c r="GH73" s="40">
        <f>_xll.LVCELL($D$2,GH$15,$B73,$D$5,$D$6,$D$7,$D$8,$D$9,$D$10,$D$11)</f>
        <v>1429039</v>
      </c>
      <c r="GI73" s="40">
        <f>_xll.LVCELL($D$2,GI$15,$B73,$D$5,$D$6,$D$7,$D$8,$D$9,$D$10,$D$11)</f>
        <v>495774</v>
      </c>
      <c r="GJ73" s="40">
        <f>_xll.LVCELL($D$2,GJ$15,$B73,$D$5,$D$6,$D$7,$D$8,$D$9,$D$10,$D$11)</f>
        <v>661214</v>
      </c>
      <c r="GK73" s="40">
        <f>_xll.LVCELL($D$2,GK$15,$B73,$D$5,$D$6,$D$7,$D$8,$D$9,$D$10,$D$11)</f>
        <v>851597</v>
      </c>
      <c r="GL73" s="40">
        <f>_xll.LVCELL($D$2,GL$15,$B73,$D$5,$D$6,$D$7,$D$8,$D$9,$D$10,$D$11)</f>
        <v>1004290</v>
      </c>
      <c r="GM73" s="40">
        <f>_xll.LVCELL($D$2,GM$15,$B73,$D$5,$D$6,$D$7,$D$8,$D$9,$D$10,$D$11)</f>
        <v>1633216</v>
      </c>
      <c r="GN73" s="40">
        <f>_xll.LVCELL($D$2,GN$15,$B73,$D$5,$D$6,$D$7,$D$8,$D$9,$D$10,$D$11)</f>
        <v>1713237</v>
      </c>
      <c r="GO73" s="40">
        <f>_xll.LVCELL($D$2,GO$15,$B73,$D$5,$D$6,$D$7,$D$8,$D$9,$D$10,$D$11)</f>
        <v>2276783</v>
      </c>
      <c r="GP73" s="25">
        <f>_xll.LVCELL($D$2,GP$15,$B73,$D$5,$D$6,$D$7,$D$8,$D$9,$D$10,$D$11)</f>
        <v>1569394</v>
      </c>
      <c r="GQ73" s="25">
        <f>_xll.LVCELL($D$2,GQ$15,$B73,$D$5,$D$6,$D$7,$D$8,$D$9,$D$10,$D$11)</f>
        <v>1586904</v>
      </c>
      <c r="GR73" s="25">
        <f>_xll.LVCELL($D$2,GR$15,$B73,$D$5,$D$6,$D$7,$D$8,$D$9,$D$10,$D$11)</f>
        <v>2685182</v>
      </c>
      <c r="GS73" s="25">
        <f>_xll.LVCELL($D$2,GS$15,$B73,$D$5,$D$6,$D$7,$D$8,$D$9,$D$10,$D$11)</f>
        <v>1324854</v>
      </c>
      <c r="GT73" s="25">
        <f>_xll.LVCELL($D$2,GT$15,$B73,$D$5,$D$6,$D$7,$D$8,$D$9,$D$10,$D$11)</f>
        <v>1277916</v>
      </c>
      <c r="GU73" s="25">
        <f>_xll.LVCELL($D$2,GU$15,$B73,$D$5,$D$6,$D$7,$D$8,$D$9,$D$10,$D$11)</f>
        <v>1197615</v>
      </c>
      <c r="GV73" s="25">
        <f>_xll.LVCELL($D$2,GV$15,$B73,$D$5,$D$6,$D$7,$D$8,$D$9,$D$10,$D$11)</f>
        <v>1013309</v>
      </c>
      <c r="GW73" s="25">
        <f>_xll.LVCELL($D$2,GW$15,$B73,$D$5,$D$6,$D$7,$D$8,$D$9,$D$10,$D$11)</f>
        <v>1060285</v>
      </c>
      <c r="GX73" s="25">
        <f>_xll.LVCELL($D$2,GX$15,$B73,$D$5,$D$6,$D$7,$D$8,$D$9,$D$10,$D$11)</f>
        <v>1577778</v>
      </c>
      <c r="GY73" s="25">
        <f>_xll.LVCELL($D$2,GY$15,$B73,$D$5,$D$6,$D$7,$D$8,$D$9,$D$10,$D$11)</f>
        <v>2235528</v>
      </c>
      <c r="GZ73" s="25">
        <f>_xll.LVCELL($D$2,GZ$15,$B73,$D$5,$D$6,$D$7,$D$8,$D$9,$D$10,$D$11)</f>
        <v>2152643</v>
      </c>
      <c r="HA73" s="25">
        <f>_xll.LVCELL($D$2,HA$15,$B73,$D$5,$D$6,$D$7,$D$8,$D$9,$D$10,$D$11)</f>
        <v>2494479</v>
      </c>
      <c r="HB73" s="25">
        <f>_xll.LVCELL($D$2,HB$15,$B73,$D$5,$D$6,$D$7,$D$8,$D$9,$D$10,$D$11)</f>
        <v>2483107</v>
      </c>
      <c r="HC73" s="25">
        <f>_xll.LVCELL($D$2,HC$15,$B73,$D$5,$D$6,$D$7,$D$8,$D$9,$D$10,$D$11)</f>
        <v>3288041</v>
      </c>
      <c r="HD73" s="25">
        <f>_xll.LVCELL($D$2,HD$15,$B73,$D$5,$D$6,$D$7,$D$8,$D$9,$D$10,$D$11)</f>
        <v>2425883</v>
      </c>
      <c r="HE73" s="25">
        <f>_xll.LVCELL($D$2,HE$15,$B73,$D$5,$D$6,$D$7,$D$8,$D$9,$D$10,$D$11)</f>
        <v>1417836</v>
      </c>
      <c r="HF73" s="25">
        <f>_xll.LVCELL($D$2,HF$15,$B73,$D$5,$D$6,$D$7,$D$8,$D$9,$D$10,$D$11)</f>
        <v>1354209</v>
      </c>
      <c r="HG73" s="25">
        <f>_xll.LVCELL($D$2,HG$15,$B73,$D$5,$D$6,$D$7,$D$8,$D$9,$D$10,$D$11)</f>
        <v>1000356</v>
      </c>
      <c r="HH73" s="25">
        <f>_xll.LVCELL($D$2,HH$15,$B73,$D$5,$D$6,$D$7,$D$8,$D$9,$D$10,$D$11)</f>
        <v>996935</v>
      </c>
      <c r="HI73" s="25">
        <f>_xll.LVCELL($D$2,HI$15,$B73,$D$5,$D$6,$D$7,$D$8,$D$9,$D$10,$D$11)</f>
        <v>1110458</v>
      </c>
      <c r="HJ73" s="25">
        <f>_xll.LVCELL($D$2,HJ$15,$B73,$D$5,$D$6,$D$7,$D$8,$D$9,$D$10,$D$11)</f>
        <v>1122881</v>
      </c>
      <c r="HK73" s="25">
        <f>_xll.LVCELL($D$2,HK$15,$B73,$D$5,$D$6,$D$7,$D$8,$D$9,$D$10,$D$11)</f>
        <v>2460931</v>
      </c>
      <c r="HL73" s="25">
        <f>_xll.LVCELL($D$2,HL$15,$B73,$D$5,$D$6,$D$7,$D$8,$D$9,$D$10,$D$11)</f>
        <v>1728849</v>
      </c>
      <c r="HM73" s="25">
        <f>_xll.LVCELL($D$2,HM$15,$B73,$D$5,$D$6,$D$7,$D$8,$D$9,$D$10,$D$11)</f>
        <v>2558791</v>
      </c>
    </row>
    <row r="74" spans="1:221">
      <c r="A74" t="s">
        <v>201</v>
      </c>
      <c r="B74" t="s">
        <v>276</v>
      </c>
      <c r="D74" s="10" t="s">
        <v>307</v>
      </c>
      <c r="E74" s="19">
        <v>42090</v>
      </c>
      <c r="F74" s="16" t="s">
        <v>845</v>
      </c>
      <c r="G74" s="16" t="s">
        <v>845</v>
      </c>
      <c r="H74" s="16" t="s">
        <v>845</v>
      </c>
      <c r="I74" s="16" t="s">
        <v>845</v>
      </c>
      <c r="J74" s="16" t="s">
        <v>845</v>
      </c>
      <c r="K74" s="16" t="s">
        <v>845</v>
      </c>
      <c r="L74" s="16" t="s">
        <v>845</v>
      </c>
      <c r="M74" s="16" t="s">
        <v>845</v>
      </c>
      <c r="N74" s="16" t="s">
        <v>845</v>
      </c>
      <c r="O74" s="16" t="s">
        <v>845</v>
      </c>
      <c r="P74" s="16" t="s">
        <v>845</v>
      </c>
      <c r="Q74" s="16" t="s">
        <v>845</v>
      </c>
      <c r="R74" s="16" t="s">
        <v>845</v>
      </c>
      <c r="S74" s="16" t="s">
        <v>845</v>
      </c>
      <c r="T74" s="16" t="s">
        <v>845</v>
      </c>
      <c r="U74" s="16" t="s">
        <v>845</v>
      </c>
      <c r="V74" s="16" t="s">
        <v>845</v>
      </c>
      <c r="W74" s="16" t="s">
        <v>845</v>
      </c>
      <c r="X74" s="16" t="s">
        <v>845</v>
      </c>
      <c r="Y74" s="16" t="s">
        <v>845</v>
      </c>
      <c r="Z74" s="16" t="s">
        <v>845</v>
      </c>
      <c r="AA74" s="16" t="s">
        <v>845</v>
      </c>
      <c r="AB74" s="16" t="s">
        <v>845</v>
      </c>
      <c r="AC74" s="16" t="s">
        <v>845</v>
      </c>
      <c r="AD74" s="16" t="s">
        <v>845</v>
      </c>
      <c r="AE74" s="16" t="s">
        <v>845</v>
      </c>
      <c r="AF74" s="16" t="s">
        <v>845</v>
      </c>
      <c r="AG74" s="16" t="s">
        <v>845</v>
      </c>
      <c r="AH74" s="16" t="s">
        <v>845</v>
      </c>
      <c r="AI74" s="16" t="s">
        <v>845</v>
      </c>
      <c r="AJ74" s="16" t="s">
        <v>845</v>
      </c>
      <c r="AK74" s="16" t="s">
        <v>845</v>
      </c>
      <c r="AL74" s="16" t="s">
        <v>845</v>
      </c>
      <c r="AM74" s="16" t="s">
        <v>845</v>
      </c>
      <c r="AN74" s="16" t="s">
        <v>845</v>
      </c>
      <c r="AO74" s="16" t="s">
        <v>845</v>
      </c>
      <c r="AP74" s="16" t="s">
        <v>845</v>
      </c>
      <c r="AQ74" s="16" t="s">
        <v>845</v>
      </c>
      <c r="AR74" s="16" t="s">
        <v>845</v>
      </c>
      <c r="AS74" s="16" t="s">
        <v>845</v>
      </c>
      <c r="AT74" s="16" t="s">
        <v>845</v>
      </c>
      <c r="AU74" s="16" t="s">
        <v>845</v>
      </c>
      <c r="AV74" s="16" t="s">
        <v>845</v>
      </c>
      <c r="AW74" s="16" t="s">
        <v>845</v>
      </c>
      <c r="AX74" s="16" t="s">
        <v>845</v>
      </c>
      <c r="AY74" s="16" t="s">
        <v>845</v>
      </c>
      <c r="AZ74" s="16" t="s">
        <v>845</v>
      </c>
      <c r="BA74" s="16" t="s">
        <v>845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0</v>
      </c>
      <c r="DX74" s="16">
        <v>0</v>
      </c>
      <c r="DY74" s="16">
        <v>0</v>
      </c>
      <c r="DZ74" s="16">
        <v>0</v>
      </c>
      <c r="EA74" s="16">
        <v>0</v>
      </c>
      <c r="EB74" s="16">
        <v>0</v>
      </c>
      <c r="EC74" s="16">
        <v>0</v>
      </c>
      <c r="ED74" s="16">
        <v>0</v>
      </c>
      <c r="EE74" s="16">
        <v>0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0</v>
      </c>
      <c r="EO74" s="16">
        <v>0</v>
      </c>
      <c r="EP74" s="16">
        <v>0</v>
      </c>
      <c r="EQ74" s="16">
        <v>0</v>
      </c>
      <c r="ER74" s="16">
        <v>0</v>
      </c>
      <c r="ES74" s="16">
        <v>0</v>
      </c>
      <c r="ET74" s="16">
        <v>0</v>
      </c>
      <c r="EU74" s="16">
        <v>0</v>
      </c>
      <c r="EV74" s="16">
        <v>0</v>
      </c>
      <c r="EW74" s="16">
        <v>1004608</v>
      </c>
      <c r="EX74" s="16">
        <v>1669162</v>
      </c>
      <c r="EY74" s="16">
        <v>1285000</v>
      </c>
      <c r="EZ74" s="16">
        <v>1769000</v>
      </c>
      <c r="FA74" s="16">
        <v>1739011</v>
      </c>
      <c r="FB74" s="16">
        <v>2107223</v>
      </c>
      <c r="FC74" s="16">
        <v>1593460</v>
      </c>
      <c r="FD74" s="16">
        <v>2887514</v>
      </c>
      <c r="FE74" s="16">
        <v>3145323</v>
      </c>
      <c r="FF74" s="16">
        <v>3669000</v>
      </c>
      <c r="FG74" s="16">
        <v>3491108</v>
      </c>
      <c r="FH74" s="16">
        <v>2695577</v>
      </c>
      <c r="FI74" s="16">
        <v>1696988</v>
      </c>
      <c r="FJ74" s="16">
        <v>1852150</v>
      </c>
      <c r="FK74" s="16">
        <v>1089886</v>
      </c>
      <c r="FL74" s="16">
        <v>982890</v>
      </c>
      <c r="FM74" s="16">
        <v>1029430.0000000001</v>
      </c>
      <c r="FN74" s="16">
        <v>1193030</v>
      </c>
      <c r="FO74" s="16">
        <v>1702310</v>
      </c>
      <c r="FP74" s="16">
        <v>2561920</v>
      </c>
      <c r="FQ74" s="16">
        <v>1719300</v>
      </c>
      <c r="FR74" s="40">
        <f>_xll.LVCELL($D$2,FR$15,$B74,$D$5,$D$6,$D$7,$D$8,$D$9,$D$10,$D$11)</f>
        <v>2066450</v>
      </c>
      <c r="FS74" s="40">
        <f>_xll.LVCELL($D$2,FS$15,$B74,$D$5,$D$6,$D$7,$D$8,$D$9,$D$10,$D$11)</f>
        <v>2258740</v>
      </c>
      <c r="FT74" s="40">
        <f>_xll.LVCELL($D$2,FT$15,$B74,$D$5,$D$6,$D$7,$D$8,$D$9,$D$10,$D$11)</f>
        <v>2657000</v>
      </c>
      <c r="FU74" s="40">
        <f>_xll.LVCELL($D$2,FU$15,$B74,$D$5,$D$6,$D$7,$D$8,$D$9,$D$10,$D$11)</f>
        <v>1208860</v>
      </c>
      <c r="FV74" s="40">
        <f>_xll.LVCELL($D$2,FV$15,$B74,$D$5,$D$6,$D$7,$D$8,$D$9,$D$10,$D$11)</f>
        <v>1420014</v>
      </c>
      <c r="FW74" s="40">
        <f>_xll.LVCELL($D$2,FW$15,$B74,$D$5,$D$6,$D$7,$D$8,$D$9,$D$10,$D$11)</f>
        <v>1612240</v>
      </c>
      <c r="FX74" s="40">
        <f>_xll.LVCELL($D$2,FX$15,$B74,$D$5,$D$6,$D$7,$D$8,$D$9,$D$10,$D$11)</f>
        <v>1718338.5</v>
      </c>
      <c r="FY74" s="40">
        <f>_xll.LVCELL($D$2,FY$15,$B74,$D$5,$D$6,$D$7,$D$8,$D$9,$D$10,$D$11)</f>
        <v>1257094</v>
      </c>
      <c r="FZ74" s="40">
        <f>_xll.LVCELL($D$2,FZ$15,$B74,$D$5,$D$6,$D$7,$D$8,$D$9,$D$10,$D$11)</f>
        <v>1734827</v>
      </c>
      <c r="GA74" s="40">
        <f>_xll.LVCELL($D$2,GA$15,$B74,$D$5,$D$6,$D$7,$D$8,$D$9,$D$10,$D$11)</f>
        <v>1885768</v>
      </c>
      <c r="GB74" s="40">
        <f>_xll.LVCELL($D$2,GB$15,$B74,$D$5,$D$6,$D$7,$D$8,$D$9,$D$10,$D$11)</f>
        <v>2365849</v>
      </c>
      <c r="GC74" s="40">
        <f>_xll.LVCELL($D$2,GC$15,$B74,$D$5,$D$6,$D$7,$D$8,$D$9,$D$10,$D$11)</f>
        <v>3237733</v>
      </c>
      <c r="GD74" s="40">
        <f>_xll.LVCELL($D$2,GD$15,$B74,$D$5,$D$6,$D$7,$D$8,$D$9,$D$10,$D$11)</f>
        <v>3662735</v>
      </c>
      <c r="GE74" s="40">
        <f>_xll.LVCELL($D$2,GE$15,$B74,$D$5,$D$6,$D$7,$D$8,$D$9,$D$10,$D$11)</f>
        <v>2211725</v>
      </c>
      <c r="GF74" s="40">
        <f>_xll.LVCELL($D$2,GF$15,$B74,$D$5,$D$6,$D$7,$D$8,$D$9,$D$10,$D$11)</f>
        <v>2869814</v>
      </c>
      <c r="GG74" s="40">
        <f>_xll.LVCELL($D$2,GG$15,$B74,$D$5,$D$6,$D$7,$D$8,$D$9,$D$10,$D$11)</f>
        <v>2265434</v>
      </c>
      <c r="GH74" s="40">
        <f>_xll.LVCELL($D$2,GH$15,$B74,$D$5,$D$6,$D$7,$D$8,$D$9,$D$10,$D$11)</f>
        <v>1127090</v>
      </c>
      <c r="GI74" s="40">
        <f>_xll.LVCELL($D$2,GI$15,$B74,$D$5,$D$6,$D$7,$D$8,$D$9,$D$10,$D$11)</f>
        <v>1164128</v>
      </c>
      <c r="GJ74" s="40">
        <f>_xll.LVCELL($D$2,GJ$15,$B74,$D$5,$D$6,$D$7,$D$8,$D$9,$D$10,$D$11)</f>
        <v>1010190</v>
      </c>
      <c r="GK74" s="40">
        <f>_xll.LVCELL($D$2,GK$15,$B74,$D$5,$D$6,$D$7,$D$8,$D$9,$D$10,$D$11)</f>
        <v>1246307</v>
      </c>
      <c r="GL74" s="40">
        <f>_xll.LVCELL($D$2,GL$15,$B74,$D$5,$D$6,$D$7,$D$8,$D$9,$D$10,$D$11)</f>
        <v>1334555</v>
      </c>
      <c r="GM74" s="40">
        <f>_xll.LVCELL($D$2,GM$15,$B74,$D$5,$D$6,$D$7,$D$8,$D$9,$D$10,$D$11)</f>
        <v>2269749</v>
      </c>
      <c r="GN74" s="40">
        <f>_xll.LVCELL($D$2,GN$15,$B74,$D$5,$D$6,$D$7,$D$8,$D$9,$D$10,$D$11)</f>
        <v>2595018</v>
      </c>
      <c r="GO74" s="40">
        <f>_xll.LVCELL($D$2,GO$15,$B74,$D$5,$D$6,$D$7,$D$8,$D$9,$D$10,$D$11)</f>
        <v>3206092</v>
      </c>
      <c r="GP74" s="25">
        <f>_xll.LVCELL($D$2,GP$15,$B74,$D$5,$D$6,$D$7,$D$8,$D$9,$D$10,$D$11)</f>
        <v>2490008</v>
      </c>
      <c r="GQ74" s="25">
        <f>_xll.LVCELL($D$2,GQ$15,$B74,$D$5,$D$6,$D$7,$D$8,$D$9,$D$10,$D$11)</f>
        <v>2217346</v>
      </c>
      <c r="GR74" s="25">
        <f>_xll.LVCELL($D$2,GR$15,$B74,$D$5,$D$6,$D$7,$D$8,$D$9,$D$10,$D$11)</f>
        <v>3573003</v>
      </c>
      <c r="GS74" s="25">
        <f>_xll.LVCELL($D$2,GS$15,$B74,$D$5,$D$6,$D$7,$D$8,$D$9,$D$10,$D$11)</f>
        <v>1935886</v>
      </c>
      <c r="GT74" s="25">
        <f>_xll.LVCELL($D$2,GT$15,$B74,$D$5,$D$6,$D$7,$D$8,$D$9,$D$10,$D$11)</f>
        <v>1723397</v>
      </c>
      <c r="GU74" s="25">
        <f>_xll.LVCELL($D$2,GU$15,$B74,$D$5,$D$6,$D$7,$D$8,$D$9,$D$10,$D$11)</f>
        <v>1742786</v>
      </c>
      <c r="GV74" s="25">
        <f>_xll.LVCELL($D$2,GV$15,$B74,$D$5,$D$6,$D$7,$D$8,$D$9,$D$10,$D$11)</f>
        <v>1483346</v>
      </c>
      <c r="GW74" s="25">
        <f>_xll.LVCELL($D$2,GW$15,$B74,$D$5,$D$6,$D$7,$D$8,$D$9,$D$10,$D$11)</f>
        <v>1338346</v>
      </c>
      <c r="GX74" s="25">
        <f>_xll.LVCELL($D$2,GX$15,$B74,$D$5,$D$6,$D$7,$D$8,$D$9,$D$10,$D$11)</f>
        <v>1935373</v>
      </c>
      <c r="GY74" s="25">
        <f>_xll.LVCELL($D$2,GY$15,$B74,$D$5,$D$6,$D$7,$D$8,$D$9,$D$10,$D$11)</f>
        <v>3105139</v>
      </c>
      <c r="GZ74" s="25">
        <f>_xll.LVCELL($D$2,GZ$15,$B74,$D$5,$D$6,$D$7,$D$8,$D$9,$D$10,$D$11)</f>
        <v>2784465</v>
      </c>
      <c r="HA74" s="25">
        <f>_xll.LVCELL($D$2,HA$15,$B74,$D$5,$D$6,$D$7,$D$8,$D$9,$D$10,$D$11)</f>
        <v>3963332</v>
      </c>
      <c r="HB74" s="25">
        <f>_xll.LVCELL($D$2,HB$15,$B74,$D$5,$D$6,$D$7,$D$8,$D$9,$D$10,$D$11)</f>
        <v>2842221</v>
      </c>
      <c r="HC74" s="25">
        <f>_xll.LVCELL($D$2,HC$15,$B74,$D$5,$D$6,$D$7,$D$8,$D$9,$D$10,$D$11)</f>
        <v>4215439</v>
      </c>
      <c r="HD74" s="25">
        <f>_xll.LVCELL($D$2,HD$15,$B74,$D$5,$D$6,$D$7,$D$8,$D$9,$D$10,$D$11)</f>
        <v>2633092</v>
      </c>
      <c r="HE74" s="25">
        <f>_xll.LVCELL($D$2,HE$15,$B74,$D$5,$D$6,$D$7,$D$8,$D$9,$D$10,$D$11)</f>
        <v>1112262</v>
      </c>
      <c r="HF74" s="25">
        <f>_xll.LVCELL($D$2,HF$15,$B74,$D$5,$D$6,$D$7,$D$8,$D$9,$D$10,$D$11)</f>
        <v>1677987</v>
      </c>
      <c r="HG74" s="25">
        <f>_xll.LVCELL($D$2,HG$15,$B74,$D$5,$D$6,$D$7,$D$8,$D$9,$D$10,$D$11)</f>
        <v>1361175</v>
      </c>
      <c r="HH74" s="25">
        <f>_xll.LVCELL($D$2,HH$15,$B74,$D$5,$D$6,$D$7,$D$8,$D$9,$D$10,$D$11)</f>
        <v>1158035</v>
      </c>
      <c r="HI74" s="25">
        <f>_xll.LVCELL($D$2,HI$15,$B74,$D$5,$D$6,$D$7,$D$8,$D$9,$D$10,$D$11)</f>
        <v>1181369</v>
      </c>
      <c r="HJ74" s="25">
        <f>_xll.LVCELL($D$2,HJ$15,$B74,$D$5,$D$6,$D$7,$D$8,$D$9,$D$10,$D$11)</f>
        <v>1266719</v>
      </c>
      <c r="HK74" s="25">
        <f>_xll.LVCELL($D$2,HK$15,$B74,$D$5,$D$6,$D$7,$D$8,$D$9,$D$10,$D$11)</f>
        <v>3366481</v>
      </c>
      <c r="HL74" s="25">
        <f>_xll.LVCELL($D$2,HL$15,$B74,$D$5,$D$6,$D$7,$D$8,$D$9,$D$10,$D$11)</f>
        <v>2427522</v>
      </c>
      <c r="HM74" s="25">
        <f>_xll.LVCELL($D$2,HM$15,$B74,$D$5,$D$6,$D$7,$D$8,$D$9,$D$10,$D$11)</f>
        <v>3666656</v>
      </c>
    </row>
    <row r="75" spans="1:221">
      <c r="A75" t="s">
        <v>210</v>
      </c>
      <c r="B75" t="s">
        <v>264</v>
      </c>
      <c r="D75" s="10" t="s">
        <v>215</v>
      </c>
      <c r="E75" s="19">
        <v>42583</v>
      </c>
      <c r="F75" s="16" t="s">
        <v>845</v>
      </c>
      <c r="G75" s="16" t="s">
        <v>845</v>
      </c>
      <c r="H75" s="16" t="s">
        <v>845</v>
      </c>
      <c r="I75" s="16" t="s">
        <v>845</v>
      </c>
      <c r="J75" s="16" t="s">
        <v>845</v>
      </c>
      <c r="K75" s="16" t="s">
        <v>845</v>
      </c>
      <c r="L75" s="16" t="s">
        <v>845</v>
      </c>
      <c r="M75" s="16" t="s">
        <v>845</v>
      </c>
      <c r="N75" s="16" t="s">
        <v>845</v>
      </c>
      <c r="O75" s="16" t="s">
        <v>845</v>
      </c>
      <c r="P75" s="16" t="s">
        <v>845</v>
      </c>
      <c r="Q75" s="16" t="s">
        <v>845</v>
      </c>
      <c r="R75" s="16" t="s">
        <v>845</v>
      </c>
      <c r="S75" s="16" t="s">
        <v>845</v>
      </c>
      <c r="T75" s="16" t="s">
        <v>845</v>
      </c>
      <c r="U75" s="16" t="s">
        <v>845</v>
      </c>
      <c r="V75" s="16" t="s">
        <v>845</v>
      </c>
      <c r="W75" s="16" t="s">
        <v>845</v>
      </c>
      <c r="X75" s="16" t="s">
        <v>845</v>
      </c>
      <c r="Y75" s="16" t="s">
        <v>845</v>
      </c>
      <c r="Z75" s="16" t="s">
        <v>845</v>
      </c>
      <c r="AA75" s="16" t="s">
        <v>845</v>
      </c>
      <c r="AB75" s="16" t="s">
        <v>845</v>
      </c>
      <c r="AC75" s="16" t="s">
        <v>845</v>
      </c>
      <c r="AD75" s="16" t="s">
        <v>845</v>
      </c>
      <c r="AE75" s="16" t="s">
        <v>845</v>
      </c>
      <c r="AF75" s="16" t="s">
        <v>845</v>
      </c>
      <c r="AG75" s="16" t="s">
        <v>845</v>
      </c>
      <c r="AH75" s="16" t="s">
        <v>845</v>
      </c>
      <c r="AI75" s="16" t="s">
        <v>845</v>
      </c>
      <c r="AJ75" s="16" t="s">
        <v>845</v>
      </c>
      <c r="AK75" s="16" t="s">
        <v>845</v>
      </c>
      <c r="AL75" s="16" t="s">
        <v>845</v>
      </c>
      <c r="AM75" s="16" t="s">
        <v>845</v>
      </c>
      <c r="AN75" s="16" t="s">
        <v>845</v>
      </c>
      <c r="AO75" s="16" t="s">
        <v>845</v>
      </c>
      <c r="AP75" s="16" t="s">
        <v>845</v>
      </c>
      <c r="AQ75" s="16" t="s">
        <v>845</v>
      </c>
      <c r="AR75" s="16" t="s">
        <v>845</v>
      </c>
      <c r="AS75" s="16" t="s">
        <v>845</v>
      </c>
      <c r="AT75" s="16" t="s">
        <v>845</v>
      </c>
      <c r="AU75" s="16" t="s">
        <v>845</v>
      </c>
      <c r="AV75" s="16" t="s">
        <v>845</v>
      </c>
      <c r="AW75" s="16" t="s">
        <v>845</v>
      </c>
      <c r="AX75" s="16" t="s">
        <v>845</v>
      </c>
      <c r="AY75" s="16" t="s">
        <v>845</v>
      </c>
      <c r="AZ75" s="16" t="s">
        <v>845</v>
      </c>
      <c r="BA75" s="16" t="s">
        <v>845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0</v>
      </c>
      <c r="DW75" s="16">
        <v>0</v>
      </c>
      <c r="DX75" s="16">
        <v>0</v>
      </c>
      <c r="DY75" s="16">
        <v>0</v>
      </c>
      <c r="DZ75" s="16">
        <v>0</v>
      </c>
      <c r="EA75" s="16">
        <v>0</v>
      </c>
      <c r="EB75" s="16">
        <v>0</v>
      </c>
      <c r="EC75" s="16">
        <v>0</v>
      </c>
      <c r="ED75" s="16">
        <v>0</v>
      </c>
      <c r="EE75" s="16">
        <v>0</v>
      </c>
      <c r="EF75" s="16">
        <v>0</v>
      </c>
      <c r="EG75" s="16">
        <v>0</v>
      </c>
      <c r="EH75" s="16">
        <v>0</v>
      </c>
      <c r="EI75" s="16">
        <v>0</v>
      </c>
      <c r="EJ75" s="16">
        <v>0</v>
      </c>
      <c r="EK75" s="16">
        <v>0</v>
      </c>
      <c r="EL75" s="16">
        <v>0</v>
      </c>
      <c r="EM75" s="16">
        <v>0</v>
      </c>
      <c r="EN75" s="16">
        <v>0</v>
      </c>
      <c r="EO75" s="16">
        <v>0</v>
      </c>
      <c r="EP75" s="16">
        <v>0</v>
      </c>
      <c r="EQ75" s="16">
        <v>0</v>
      </c>
      <c r="ER75" s="16">
        <v>0</v>
      </c>
      <c r="ES75" s="16">
        <v>0</v>
      </c>
      <c r="ET75" s="16">
        <v>0</v>
      </c>
      <c r="EU75" s="16">
        <v>0</v>
      </c>
      <c r="EV75" s="16">
        <v>0</v>
      </c>
      <c r="EW75" s="16">
        <v>0</v>
      </c>
      <c r="EX75" s="16">
        <v>0</v>
      </c>
      <c r="EY75" s="16">
        <v>0</v>
      </c>
      <c r="EZ75" s="16">
        <v>0</v>
      </c>
      <c r="FA75" s="16">
        <v>0</v>
      </c>
      <c r="FB75" s="16">
        <v>0</v>
      </c>
      <c r="FC75" s="16">
        <v>0</v>
      </c>
      <c r="FD75" s="16">
        <v>0</v>
      </c>
      <c r="FE75" s="16">
        <v>0</v>
      </c>
      <c r="FF75" s="16">
        <v>0</v>
      </c>
      <c r="FG75" s="16">
        <v>0</v>
      </c>
      <c r="FH75" s="16">
        <v>0</v>
      </c>
      <c r="FI75" s="16">
        <v>0</v>
      </c>
      <c r="FJ75" s="16">
        <v>0</v>
      </c>
      <c r="FK75" s="16">
        <v>0</v>
      </c>
      <c r="FL75" s="16">
        <v>0</v>
      </c>
      <c r="FM75" s="16">
        <v>1254180</v>
      </c>
      <c r="FN75" s="16">
        <v>1421310</v>
      </c>
      <c r="FO75" s="16">
        <v>1762820</v>
      </c>
      <c r="FP75" s="16">
        <v>2610000</v>
      </c>
      <c r="FQ75" s="16">
        <v>1965170</v>
      </c>
      <c r="FR75" s="40">
        <f>_xll.LVCELL($D$2,FR$15,$B75,$D$5,$D$6,$D$7,$D$8,$D$9,$D$10,$D$11)</f>
        <v>2292450</v>
      </c>
      <c r="FS75" s="40">
        <f>_xll.LVCELL($D$2,FS$15,$B75,$D$5,$D$6,$D$7,$D$8,$D$9,$D$10,$D$11)</f>
        <v>3226600</v>
      </c>
      <c r="FT75" s="40">
        <f>_xll.LVCELL($D$2,FT$15,$B75,$D$5,$D$6,$D$7,$D$8,$D$9,$D$10,$D$11)</f>
        <v>3459370</v>
      </c>
      <c r="FU75" s="40">
        <f>_xll.LVCELL($D$2,FU$15,$B75,$D$5,$D$6,$D$7,$D$8,$D$9,$D$10,$D$11)</f>
        <v>1297130</v>
      </c>
      <c r="FV75" s="40">
        <f>_xll.LVCELL($D$2,FV$15,$B75,$D$5,$D$6,$D$7,$D$8,$D$9,$D$10,$D$11)</f>
        <v>1558215</v>
      </c>
      <c r="FW75" s="40">
        <f>_xll.LVCELL($D$2,FW$15,$B75,$D$5,$D$6,$D$7,$D$8,$D$9,$D$10,$D$11)</f>
        <v>1971540</v>
      </c>
      <c r="FX75" s="40">
        <f>_xll.LVCELL($D$2,FX$15,$B75,$D$5,$D$6,$D$7,$D$8,$D$9,$D$10,$D$11)</f>
        <v>1838026.17</v>
      </c>
      <c r="FY75" s="40">
        <f>_xll.LVCELL($D$2,FY$15,$B75,$D$5,$D$6,$D$7,$D$8,$D$9,$D$10,$D$11)</f>
        <v>1306012</v>
      </c>
      <c r="FZ75" s="40">
        <f>_xll.LVCELL($D$2,FZ$15,$B75,$D$5,$D$6,$D$7,$D$8,$D$9,$D$10,$D$11)</f>
        <v>1937081.5</v>
      </c>
      <c r="GA75" s="40">
        <f>_xll.LVCELL($D$2,GA$15,$B75,$D$5,$D$6,$D$7,$D$8,$D$9,$D$10,$D$11)</f>
        <v>2902838</v>
      </c>
      <c r="GB75" s="40">
        <f>_xll.LVCELL($D$2,GB$15,$B75,$D$5,$D$6,$D$7,$D$8,$D$9,$D$10,$D$11)</f>
        <v>2420725</v>
      </c>
      <c r="GC75" s="40">
        <f>_xll.LVCELL($D$2,GC$15,$B75,$D$5,$D$6,$D$7,$D$8,$D$9,$D$10,$D$11)</f>
        <v>4201178</v>
      </c>
      <c r="GD75" s="40">
        <f>_xll.LVCELL($D$2,GD$15,$B75,$D$5,$D$6,$D$7,$D$8,$D$9,$D$10,$D$11)</f>
        <v>4631688</v>
      </c>
      <c r="GE75" s="40">
        <f>_xll.LVCELL($D$2,GE$15,$B75,$D$5,$D$6,$D$7,$D$8,$D$9,$D$10,$D$11)</f>
        <v>2755389</v>
      </c>
      <c r="GF75" s="40">
        <f>_xll.LVCELL($D$2,GF$15,$B75,$D$5,$D$6,$D$7,$D$8,$D$9,$D$10,$D$11)</f>
        <v>3092038</v>
      </c>
      <c r="GG75" s="40">
        <f>_xll.LVCELL($D$2,GG$15,$B75,$D$5,$D$6,$D$7,$D$8,$D$9,$D$10,$D$11)</f>
        <v>2382485</v>
      </c>
      <c r="GH75" s="40">
        <f>_xll.LVCELL($D$2,GH$15,$B75,$D$5,$D$6,$D$7,$D$8,$D$9,$D$10,$D$11)</f>
        <v>1252231</v>
      </c>
      <c r="GI75" s="40">
        <f>_xll.LVCELL($D$2,GI$15,$B75,$D$5,$D$6,$D$7,$D$8,$D$9,$D$10,$D$11)</f>
        <v>1198355</v>
      </c>
      <c r="GJ75" s="40">
        <f>_xll.LVCELL($D$2,GJ$15,$B75,$D$5,$D$6,$D$7,$D$8,$D$9,$D$10,$D$11)</f>
        <v>881455</v>
      </c>
      <c r="GK75" s="40">
        <f>_xll.LVCELL($D$2,GK$15,$B75,$D$5,$D$6,$D$7,$D$8,$D$9,$D$10,$D$11)</f>
        <v>1493687</v>
      </c>
      <c r="GL75" s="40">
        <f>_xll.LVCELL($D$2,GL$15,$B75,$D$5,$D$6,$D$7,$D$8,$D$9,$D$10,$D$11)</f>
        <v>1497836</v>
      </c>
      <c r="GM75" s="40">
        <f>_xll.LVCELL($D$2,GM$15,$B75,$D$5,$D$6,$D$7,$D$8,$D$9,$D$10,$D$11)</f>
        <v>2179036</v>
      </c>
      <c r="GN75" s="40">
        <f>_xll.LVCELL($D$2,GN$15,$B75,$D$5,$D$6,$D$7,$D$8,$D$9,$D$10,$D$11)</f>
        <v>2958751</v>
      </c>
      <c r="GO75" s="40">
        <f>_xll.LVCELL($D$2,GO$15,$B75,$D$5,$D$6,$D$7,$D$8,$D$9,$D$10,$D$11)</f>
        <v>3381766</v>
      </c>
      <c r="GP75" s="25">
        <f>_xll.LVCELL($D$2,GP$15,$B75,$D$5,$D$6,$D$7,$D$8,$D$9,$D$10,$D$11)</f>
        <v>2958138</v>
      </c>
      <c r="GQ75" s="25">
        <f>_xll.LVCELL($D$2,GQ$15,$B75,$D$5,$D$6,$D$7,$D$8,$D$9,$D$10,$D$11)</f>
        <v>2559549</v>
      </c>
      <c r="GR75" s="25">
        <f>_xll.LVCELL($D$2,GR$15,$B75,$D$5,$D$6,$D$7,$D$8,$D$9,$D$10,$D$11)</f>
        <v>4203504</v>
      </c>
      <c r="GS75" s="25">
        <f>_xll.LVCELL($D$2,GS$15,$B75,$D$5,$D$6,$D$7,$D$8,$D$9,$D$10,$D$11)</f>
        <v>1761740</v>
      </c>
      <c r="GT75" s="25">
        <f>_xll.LVCELL($D$2,GT$15,$B75,$D$5,$D$6,$D$7,$D$8,$D$9,$D$10,$D$11)</f>
        <v>1655557</v>
      </c>
      <c r="GU75" s="25">
        <f>_xll.LVCELL($D$2,GU$15,$B75,$D$5,$D$6,$D$7,$D$8,$D$9,$D$10,$D$11)</f>
        <v>1709343</v>
      </c>
      <c r="GV75" s="25">
        <f>_xll.LVCELL($D$2,GV$15,$B75,$D$5,$D$6,$D$7,$D$8,$D$9,$D$10,$D$11)</f>
        <v>1453031</v>
      </c>
      <c r="GW75" s="25">
        <f>_xll.LVCELL($D$2,GW$15,$B75,$D$5,$D$6,$D$7,$D$8,$D$9,$D$10,$D$11)</f>
        <v>1569800</v>
      </c>
      <c r="GX75" s="25">
        <f>_xll.LVCELL($D$2,GX$15,$B75,$D$5,$D$6,$D$7,$D$8,$D$9,$D$10,$D$11)</f>
        <v>2346433</v>
      </c>
      <c r="GY75" s="25">
        <f>_xll.LVCELL($D$2,GY$15,$B75,$D$5,$D$6,$D$7,$D$8,$D$9,$D$10,$D$11)</f>
        <v>3087960</v>
      </c>
      <c r="GZ75" s="25">
        <f>_xll.LVCELL($D$2,GZ$15,$B75,$D$5,$D$6,$D$7,$D$8,$D$9,$D$10,$D$11)</f>
        <v>2889784</v>
      </c>
      <c r="HA75" s="25">
        <f>_xll.LVCELL($D$2,HA$15,$B75,$D$5,$D$6,$D$7,$D$8,$D$9,$D$10,$D$11)</f>
        <v>4635454</v>
      </c>
      <c r="HB75" s="25">
        <f>_xll.LVCELL($D$2,HB$15,$B75,$D$5,$D$6,$D$7,$D$8,$D$9,$D$10,$D$11)</f>
        <v>3746866</v>
      </c>
      <c r="HC75" s="25">
        <f>_xll.LVCELL($D$2,HC$15,$B75,$D$5,$D$6,$D$7,$D$8,$D$9,$D$10,$D$11)</f>
        <v>6491671</v>
      </c>
      <c r="HD75" s="25">
        <f>_xll.LVCELL($D$2,HD$15,$B75,$D$5,$D$6,$D$7,$D$8,$D$9,$D$10,$D$11)</f>
        <v>4151848</v>
      </c>
      <c r="HE75" s="25">
        <f>_xll.LVCELL($D$2,HE$15,$B75,$D$5,$D$6,$D$7,$D$8,$D$9,$D$10,$D$11)</f>
        <v>1747068</v>
      </c>
      <c r="HF75" s="25">
        <f>_xll.LVCELL($D$2,HF$15,$B75,$D$5,$D$6,$D$7,$D$8,$D$9,$D$10,$D$11)</f>
        <v>2201774</v>
      </c>
      <c r="HG75" s="25">
        <f>_xll.LVCELL($D$2,HG$15,$B75,$D$5,$D$6,$D$7,$D$8,$D$9,$D$10,$D$11)</f>
        <v>1702261</v>
      </c>
      <c r="HH75" s="25">
        <f>_xll.LVCELL($D$2,HH$15,$B75,$D$5,$D$6,$D$7,$D$8,$D$9,$D$10,$D$11)</f>
        <v>2233481</v>
      </c>
      <c r="HI75" s="25">
        <f>_xll.LVCELL($D$2,HI$15,$B75,$D$5,$D$6,$D$7,$D$8,$D$9,$D$10,$D$11)</f>
        <v>1778431</v>
      </c>
      <c r="HJ75" s="25">
        <f>_xll.LVCELL($D$2,HJ$15,$B75,$D$5,$D$6,$D$7,$D$8,$D$9,$D$10,$D$11)</f>
        <v>1836153</v>
      </c>
      <c r="HK75" s="25">
        <f>_xll.LVCELL($D$2,HK$15,$B75,$D$5,$D$6,$D$7,$D$8,$D$9,$D$10,$D$11)</f>
        <v>3770017</v>
      </c>
      <c r="HL75" s="25">
        <f>_xll.LVCELL($D$2,HL$15,$B75,$D$5,$D$6,$D$7,$D$8,$D$9,$D$10,$D$11)</f>
        <v>2754187</v>
      </c>
      <c r="HM75" s="25">
        <f>_xll.LVCELL($D$2,HM$15,$B75,$D$5,$D$6,$D$7,$D$8,$D$9,$D$10,$D$11)</f>
        <v>3465178</v>
      </c>
    </row>
    <row r="76" spans="1:221" s="313" customFormat="1">
      <c r="A76" s="313" t="s">
        <v>202</v>
      </c>
      <c r="B76" s="313" t="s">
        <v>277</v>
      </c>
      <c r="D76" s="315" t="s">
        <v>556</v>
      </c>
      <c r="E76" s="316">
        <v>42727</v>
      </c>
      <c r="F76" s="317" t="s">
        <v>845</v>
      </c>
      <c r="G76" s="317" t="s">
        <v>845</v>
      </c>
      <c r="H76" s="317" t="s">
        <v>845</v>
      </c>
      <c r="I76" s="317" t="s">
        <v>845</v>
      </c>
      <c r="J76" s="317" t="s">
        <v>845</v>
      </c>
      <c r="K76" s="317" t="s">
        <v>845</v>
      </c>
      <c r="L76" s="317" t="s">
        <v>845</v>
      </c>
      <c r="M76" s="317" t="s">
        <v>845</v>
      </c>
      <c r="N76" s="317" t="s">
        <v>845</v>
      </c>
      <c r="O76" s="317" t="s">
        <v>845</v>
      </c>
      <c r="P76" s="317" t="s">
        <v>845</v>
      </c>
      <c r="Q76" s="317" t="s">
        <v>845</v>
      </c>
      <c r="R76" s="317" t="s">
        <v>845</v>
      </c>
      <c r="S76" s="317" t="s">
        <v>845</v>
      </c>
      <c r="T76" s="317" t="s">
        <v>845</v>
      </c>
      <c r="U76" s="317" t="s">
        <v>845</v>
      </c>
      <c r="V76" s="317" t="s">
        <v>845</v>
      </c>
      <c r="W76" s="317" t="s">
        <v>845</v>
      </c>
      <c r="X76" s="317" t="s">
        <v>845</v>
      </c>
      <c r="Y76" s="317" t="s">
        <v>845</v>
      </c>
      <c r="Z76" s="317" t="s">
        <v>845</v>
      </c>
      <c r="AA76" s="317" t="s">
        <v>845</v>
      </c>
      <c r="AB76" s="317" t="s">
        <v>845</v>
      </c>
      <c r="AC76" s="317" t="s">
        <v>845</v>
      </c>
      <c r="AD76" s="317" t="s">
        <v>845</v>
      </c>
      <c r="AE76" s="317" t="s">
        <v>845</v>
      </c>
      <c r="AF76" s="317" t="s">
        <v>845</v>
      </c>
      <c r="AG76" s="317" t="s">
        <v>845</v>
      </c>
      <c r="AH76" s="317" t="s">
        <v>845</v>
      </c>
      <c r="AI76" s="317" t="s">
        <v>845</v>
      </c>
      <c r="AJ76" s="317" t="s">
        <v>845</v>
      </c>
      <c r="AK76" s="317" t="s">
        <v>845</v>
      </c>
      <c r="AL76" s="317" t="s">
        <v>845</v>
      </c>
      <c r="AM76" s="317" t="s">
        <v>845</v>
      </c>
      <c r="AN76" s="317" t="s">
        <v>845</v>
      </c>
      <c r="AO76" s="317" t="s">
        <v>845</v>
      </c>
      <c r="AP76" s="317" t="s">
        <v>845</v>
      </c>
      <c r="AQ76" s="317" t="s">
        <v>845</v>
      </c>
      <c r="AR76" s="317" t="s">
        <v>845</v>
      </c>
      <c r="AS76" s="317" t="s">
        <v>845</v>
      </c>
      <c r="AT76" s="317" t="s">
        <v>845</v>
      </c>
      <c r="AU76" s="317" t="s">
        <v>845</v>
      </c>
      <c r="AV76" s="317" t="s">
        <v>845</v>
      </c>
      <c r="AW76" s="317" t="s">
        <v>845</v>
      </c>
      <c r="AX76" s="317" t="s">
        <v>845</v>
      </c>
      <c r="AY76" s="317" t="s">
        <v>845</v>
      </c>
      <c r="AZ76" s="317" t="s">
        <v>845</v>
      </c>
      <c r="BA76" s="317" t="s">
        <v>845</v>
      </c>
      <c r="BB76" s="317">
        <v>0</v>
      </c>
      <c r="BC76" s="317">
        <v>0</v>
      </c>
      <c r="BD76" s="317">
        <v>0</v>
      </c>
      <c r="BE76" s="317">
        <v>0</v>
      </c>
      <c r="BF76" s="317">
        <v>0</v>
      </c>
      <c r="BG76" s="317">
        <v>0</v>
      </c>
      <c r="BH76" s="317">
        <v>0</v>
      </c>
      <c r="BI76" s="317">
        <v>0</v>
      </c>
      <c r="BJ76" s="317">
        <v>0</v>
      </c>
      <c r="BK76" s="317">
        <v>0</v>
      </c>
      <c r="BL76" s="317">
        <v>0</v>
      </c>
      <c r="BM76" s="317">
        <v>0</v>
      </c>
      <c r="BN76" s="317">
        <v>0</v>
      </c>
      <c r="BO76" s="317">
        <v>0</v>
      </c>
      <c r="BP76" s="317">
        <v>0</v>
      </c>
      <c r="BQ76" s="317">
        <v>0</v>
      </c>
      <c r="BR76" s="317">
        <v>0</v>
      </c>
      <c r="BS76" s="317">
        <v>0</v>
      </c>
      <c r="BT76" s="317">
        <v>0</v>
      </c>
      <c r="BU76" s="317">
        <v>0</v>
      </c>
      <c r="BV76" s="317">
        <v>0</v>
      </c>
      <c r="BW76" s="317">
        <v>0</v>
      </c>
      <c r="BX76" s="317">
        <v>0</v>
      </c>
      <c r="BY76" s="317">
        <v>0</v>
      </c>
      <c r="BZ76" s="317">
        <v>0</v>
      </c>
      <c r="CA76" s="317">
        <v>0</v>
      </c>
      <c r="CB76" s="317">
        <v>0</v>
      </c>
      <c r="CC76" s="317">
        <v>0</v>
      </c>
      <c r="CD76" s="317">
        <v>0</v>
      </c>
      <c r="CE76" s="317">
        <v>0</v>
      </c>
      <c r="CF76" s="317">
        <v>0</v>
      </c>
      <c r="CG76" s="317">
        <v>0</v>
      </c>
      <c r="CH76" s="317">
        <v>0</v>
      </c>
      <c r="CI76" s="317">
        <v>0</v>
      </c>
      <c r="CJ76" s="317">
        <v>0</v>
      </c>
      <c r="CK76" s="317">
        <v>0</v>
      </c>
      <c r="CL76" s="317">
        <v>0</v>
      </c>
      <c r="CM76" s="317">
        <v>0</v>
      </c>
      <c r="CN76" s="317">
        <v>0</v>
      </c>
      <c r="CO76" s="317">
        <v>0</v>
      </c>
      <c r="CP76" s="317">
        <v>0</v>
      </c>
      <c r="CQ76" s="317">
        <v>0</v>
      </c>
      <c r="CR76" s="317">
        <v>0</v>
      </c>
      <c r="CS76" s="317">
        <v>0</v>
      </c>
      <c r="CT76" s="317">
        <v>0</v>
      </c>
      <c r="CU76" s="317">
        <v>0</v>
      </c>
      <c r="CV76" s="317">
        <v>0</v>
      </c>
      <c r="CW76" s="317">
        <v>0</v>
      </c>
      <c r="CX76" s="317">
        <v>0</v>
      </c>
      <c r="CY76" s="317">
        <v>0</v>
      </c>
      <c r="CZ76" s="317">
        <v>0</v>
      </c>
      <c r="DA76" s="317">
        <v>0</v>
      </c>
      <c r="DB76" s="317">
        <v>0</v>
      </c>
      <c r="DC76" s="317">
        <v>0</v>
      </c>
      <c r="DD76" s="317">
        <v>0</v>
      </c>
      <c r="DE76" s="317">
        <v>0</v>
      </c>
      <c r="DF76" s="317">
        <v>0</v>
      </c>
      <c r="DG76" s="317">
        <v>0</v>
      </c>
      <c r="DH76" s="317">
        <v>0</v>
      </c>
      <c r="DI76" s="317">
        <v>0</v>
      </c>
      <c r="DJ76" s="317">
        <v>0</v>
      </c>
      <c r="DK76" s="317">
        <v>0</v>
      </c>
      <c r="DL76" s="317">
        <v>0</v>
      </c>
      <c r="DM76" s="317">
        <v>0</v>
      </c>
      <c r="DN76" s="317">
        <v>0</v>
      </c>
      <c r="DO76" s="317">
        <v>0</v>
      </c>
      <c r="DP76" s="317">
        <v>0</v>
      </c>
      <c r="DQ76" s="317">
        <v>0</v>
      </c>
      <c r="DR76" s="317">
        <v>0</v>
      </c>
      <c r="DS76" s="317">
        <v>0</v>
      </c>
      <c r="DT76" s="317">
        <v>0</v>
      </c>
      <c r="DU76" s="317">
        <v>0</v>
      </c>
      <c r="DV76" s="317">
        <v>0</v>
      </c>
      <c r="DW76" s="317">
        <v>0</v>
      </c>
      <c r="DX76" s="317">
        <v>0</v>
      </c>
      <c r="DY76" s="317">
        <v>0</v>
      </c>
      <c r="DZ76" s="317">
        <v>0</v>
      </c>
      <c r="EA76" s="317">
        <v>0</v>
      </c>
      <c r="EB76" s="317">
        <v>0</v>
      </c>
      <c r="EC76" s="317">
        <v>0</v>
      </c>
      <c r="ED76" s="317">
        <v>0</v>
      </c>
      <c r="EE76" s="317">
        <v>0</v>
      </c>
      <c r="EF76" s="317">
        <v>0</v>
      </c>
      <c r="EG76" s="317">
        <v>0</v>
      </c>
      <c r="EH76" s="317">
        <v>0</v>
      </c>
      <c r="EI76" s="317">
        <v>0</v>
      </c>
      <c r="EJ76" s="317">
        <v>0</v>
      </c>
      <c r="EK76" s="317">
        <v>0</v>
      </c>
      <c r="EL76" s="317">
        <v>0</v>
      </c>
      <c r="EM76" s="317">
        <v>0</v>
      </c>
      <c r="EN76" s="317">
        <v>0</v>
      </c>
      <c r="EO76" s="317">
        <v>0</v>
      </c>
      <c r="EP76" s="317">
        <v>0</v>
      </c>
      <c r="EQ76" s="317">
        <v>0</v>
      </c>
      <c r="ER76" s="317">
        <v>0</v>
      </c>
      <c r="ES76" s="317">
        <v>0</v>
      </c>
      <c r="ET76" s="317">
        <v>0</v>
      </c>
      <c r="EU76" s="317">
        <v>0</v>
      </c>
      <c r="EV76" s="317">
        <v>0</v>
      </c>
      <c r="EW76" s="317">
        <v>0</v>
      </c>
      <c r="EX76" s="317">
        <v>0</v>
      </c>
      <c r="EY76" s="317">
        <v>0</v>
      </c>
      <c r="EZ76" s="317">
        <v>0</v>
      </c>
      <c r="FA76" s="317">
        <v>0</v>
      </c>
      <c r="FB76" s="317">
        <v>0</v>
      </c>
      <c r="FC76" s="317">
        <v>0</v>
      </c>
      <c r="FD76" s="317">
        <v>0</v>
      </c>
      <c r="FE76" s="317">
        <v>0</v>
      </c>
      <c r="FF76" s="317">
        <v>0</v>
      </c>
      <c r="FG76" s="317">
        <v>0</v>
      </c>
      <c r="FH76" s="317">
        <v>0</v>
      </c>
      <c r="FI76" s="317">
        <v>0</v>
      </c>
      <c r="FJ76" s="317">
        <v>0</v>
      </c>
      <c r="FK76" s="317">
        <v>0</v>
      </c>
      <c r="FL76" s="317">
        <v>0</v>
      </c>
      <c r="FM76" s="317">
        <v>0</v>
      </c>
      <c r="FN76" s="317">
        <v>0</v>
      </c>
      <c r="FO76" s="317">
        <v>0</v>
      </c>
      <c r="FP76" s="317">
        <v>0</v>
      </c>
      <c r="FQ76" s="317">
        <v>447840</v>
      </c>
      <c r="FR76" s="318">
        <v>2262522</v>
      </c>
      <c r="FS76" s="318">
        <v>2867201.5</v>
      </c>
      <c r="FT76" s="318">
        <v>2522280</v>
      </c>
      <c r="FU76" s="318">
        <v>1553523</v>
      </c>
      <c r="FV76" s="318">
        <v>1890518.8333333335</v>
      </c>
      <c r="FW76" s="318">
        <v>1524486.1670000001</v>
      </c>
      <c r="FX76" s="318">
        <v>1529296.1666666665</v>
      </c>
      <c r="FY76" s="318">
        <v>1108912</v>
      </c>
      <c r="FZ76" s="318">
        <v>1655530</v>
      </c>
      <c r="GA76" s="318">
        <v>1901392.8333333333</v>
      </c>
      <c r="GB76" s="318">
        <v>2836928</v>
      </c>
      <c r="GC76" s="318">
        <v>3963660</v>
      </c>
      <c r="GD76" s="318">
        <v>4201640.6669999994</v>
      </c>
      <c r="GE76" s="318">
        <v>2325166</v>
      </c>
      <c r="GF76" s="318">
        <v>3509149.666666666</v>
      </c>
      <c r="GG76" s="318">
        <v>2029182</v>
      </c>
      <c r="GH76" s="318">
        <v>1128931</v>
      </c>
      <c r="GI76" s="318">
        <v>1024001</v>
      </c>
      <c r="GJ76" s="318">
        <v>842679.33333333337</v>
      </c>
      <c r="GK76" s="318">
        <v>1215996.3333333333</v>
      </c>
      <c r="GL76" s="318">
        <v>1325842.666666667</v>
      </c>
      <c r="GM76" s="318">
        <v>2376339.8333333335</v>
      </c>
      <c r="GN76" s="318">
        <v>2392277.1666666665</v>
      </c>
      <c r="GO76" s="318">
        <v>3437532.8333333335</v>
      </c>
      <c r="GP76" s="317">
        <v>3127500</v>
      </c>
      <c r="GQ76" s="317">
        <v>2154351</v>
      </c>
      <c r="GR76" s="317">
        <v>4109944.0000000005</v>
      </c>
      <c r="GS76" s="317">
        <v>2255896</v>
      </c>
      <c r="GT76" s="317">
        <v>2191843</v>
      </c>
      <c r="GU76" s="317">
        <v>1626480</v>
      </c>
      <c r="GV76" s="317">
        <f>_xll.LVCELL($D$2,GV$15,$B76,$D$5,$D$6,$D$7,$D$8,$D$9,$D$10,$D$11)</f>
        <v>1708086</v>
      </c>
      <c r="GW76" s="317">
        <f>_xll.LVCELL($D$2,GW$15,$B76,$D$5,$D$6,$D$7,$D$8,$D$9,$D$10,$D$11)</f>
        <v>1529407</v>
      </c>
      <c r="GX76" s="317">
        <f>_xll.LVCELL($D$2,GX$15,$B76,$D$5,$D$6,$D$7,$D$8,$D$9,$D$10,$D$11)</f>
        <v>2441773</v>
      </c>
      <c r="GY76" s="317">
        <f>_xll.LVCELL($D$2,GY$15,$B76,$D$5,$D$6,$D$7,$D$8,$D$9,$D$10,$D$11)</f>
        <v>3933931</v>
      </c>
      <c r="GZ76" s="317">
        <f>_xll.LVCELL($D$2,GZ$15,$B76,$D$5,$D$6,$D$7,$D$8,$D$9,$D$10,$D$11)</f>
        <v>4336718</v>
      </c>
      <c r="HA76" s="317">
        <f>_xll.LVCELL($D$2,HA$15,$B76,$D$5,$D$6,$D$7,$D$8,$D$9,$D$10,$D$11)</f>
        <v>5161303</v>
      </c>
      <c r="HB76" s="317">
        <v>3127500</v>
      </c>
      <c r="HC76" s="317">
        <v>2154351</v>
      </c>
      <c r="HD76" s="317">
        <v>4109944.0000000005</v>
      </c>
      <c r="HE76" s="317">
        <v>2255896</v>
      </c>
      <c r="HF76" s="317">
        <v>2191843</v>
      </c>
      <c r="HG76" s="317">
        <v>1626480</v>
      </c>
      <c r="HH76" s="317">
        <f>_xll.LVCELL($D$2,HH$15,$B76,$D$5,$D$6,$D$7,$D$8,$D$9,$D$10,$D$11)</f>
        <v>1354617</v>
      </c>
      <c r="HI76" s="317">
        <f>_xll.LVCELL($D$2,HI$15,$B76,$D$5,$D$6,$D$7,$D$8,$D$9,$D$10,$D$11)</f>
        <v>2147874</v>
      </c>
      <c r="HJ76" s="317">
        <f>_xll.LVCELL($D$2,HJ$15,$B76,$D$5,$D$6,$D$7,$D$8,$D$9,$D$10,$D$11)</f>
        <v>2317332</v>
      </c>
      <c r="HK76" s="317">
        <f>_xll.LVCELL($D$2,HK$15,$B76,$D$5,$D$6,$D$7,$D$8,$D$9,$D$10,$D$11)</f>
        <v>4438156</v>
      </c>
      <c r="HL76" s="317">
        <f>_xll.LVCELL($D$2,HL$15,$B76,$D$5,$D$6,$D$7,$D$8,$D$9,$D$10,$D$11)</f>
        <v>2477338</v>
      </c>
      <c r="HM76" s="317">
        <f>_xll.LVCELL($D$2,HM$15,$B76,$D$5,$D$6,$D$7,$D$8,$D$9,$D$10,$D$11)</f>
        <v>5730983</v>
      </c>
    </row>
    <row r="77" spans="1:221" s="313" customFormat="1">
      <c r="A77" s="313" t="s">
        <v>202</v>
      </c>
      <c r="B77" s="313" t="s">
        <v>277</v>
      </c>
      <c r="D77" s="315" t="s">
        <v>557</v>
      </c>
      <c r="E77" s="319"/>
      <c r="F77" s="317"/>
      <c r="G77" s="317"/>
      <c r="H77" s="317"/>
      <c r="I77" s="317"/>
      <c r="J77" s="317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  <c r="AE77" s="317"/>
      <c r="AF77" s="317"/>
      <c r="AG77" s="317"/>
      <c r="AH77" s="317"/>
      <c r="AI77" s="317"/>
      <c r="AJ77" s="317"/>
      <c r="AK77" s="317"/>
      <c r="AL77" s="317"/>
      <c r="AM77" s="317"/>
      <c r="AN77" s="317"/>
      <c r="AO77" s="317"/>
      <c r="AP77" s="317"/>
      <c r="AQ77" s="317"/>
      <c r="AR77" s="317"/>
      <c r="AS77" s="317"/>
      <c r="AT77" s="317"/>
      <c r="AU77" s="317"/>
      <c r="AV77" s="317"/>
      <c r="AW77" s="317"/>
      <c r="AX77" s="317"/>
      <c r="AY77" s="317"/>
      <c r="AZ77" s="317"/>
      <c r="BA77" s="317"/>
      <c r="BB77" s="317"/>
      <c r="BC77" s="317"/>
      <c r="BD77" s="317"/>
      <c r="BE77" s="317"/>
      <c r="BF77" s="317"/>
      <c r="BG77" s="317"/>
      <c r="BH77" s="317"/>
      <c r="BI77" s="317"/>
      <c r="BJ77" s="317"/>
      <c r="BK77" s="317"/>
      <c r="BL77" s="317"/>
      <c r="BM77" s="317"/>
      <c r="BN77" s="317"/>
      <c r="BO77" s="317"/>
      <c r="BP77" s="317"/>
      <c r="BQ77" s="317"/>
      <c r="BR77" s="317"/>
      <c r="BS77" s="317"/>
      <c r="BT77" s="317"/>
      <c r="BU77" s="317"/>
      <c r="BV77" s="317"/>
      <c r="BW77" s="317"/>
      <c r="BX77" s="317"/>
      <c r="BY77" s="317"/>
      <c r="BZ77" s="317"/>
      <c r="CA77" s="317"/>
      <c r="CB77" s="317"/>
      <c r="CC77" s="317"/>
      <c r="CD77" s="317"/>
      <c r="CE77" s="317"/>
      <c r="CF77" s="317"/>
      <c r="CG77" s="317"/>
      <c r="CH77" s="317"/>
      <c r="CI77" s="317"/>
      <c r="CJ77" s="317"/>
      <c r="CK77" s="317"/>
      <c r="CL77" s="317"/>
      <c r="CM77" s="317"/>
      <c r="CN77" s="317"/>
      <c r="CO77" s="317"/>
      <c r="CP77" s="317"/>
      <c r="CQ77" s="317"/>
      <c r="CR77" s="317"/>
      <c r="CS77" s="317"/>
      <c r="CT77" s="317"/>
      <c r="CU77" s="317"/>
      <c r="CV77" s="317"/>
      <c r="CW77" s="317"/>
      <c r="CX77" s="317"/>
      <c r="CY77" s="317"/>
      <c r="CZ77" s="317"/>
      <c r="DA77" s="317"/>
      <c r="DB77" s="317"/>
      <c r="DC77" s="317"/>
      <c r="DD77" s="317"/>
      <c r="DE77" s="317"/>
      <c r="DF77" s="317"/>
      <c r="DG77" s="317"/>
      <c r="DH77" s="317"/>
      <c r="DI77" s="317"/>
      <c r="DJ77" s="317"/>
      <c r="DK77" s="317"/>
      <c r="DL77" s="317"/>
      <c r="DM77" s="317"/>
      <c r="DN77" s="317"/>
      <c r="DO77" s="317"/>
      <c r="DP77" s="317"/>
      <c r="DQ77" s="317"/>
      <c r="DR77" s="317"/>
      <c r="DS77" s="317"/>
      <c r="DT77" s="317"/>
      <c r="DU77" s="317"/>
      <c r="DV77" s="317"/>
      <c r="DW77" s="317"/>
      <c r="DX77" s="317"/>
      <c r="DY77" s="317"/>
      <c r="DZ77" s="317"/>
      <c r="EA77" s="317"/>
      <c r="EB77" s="317"/>
      <c r="EC77" s="317"/>
      <c r="ED77" s="317"/>
      <c r="EE77" s="317"/>
      <c r="EF77" s="317"/>
      <c r="EG77" s="317"/>
      <c r="EH77" s="317"/>
      <c r="EI77" s="317"/>
      <c r="EJ77" s="317"/>
      <c r="EK77" s="317"/>
      <c r="EL77" s="317"/>
      <c r="EM77" s="317"/>
      <c r="EN77" s="317"/>
      <c r="EO77" s="317"/>
      <c r="EP77" s="317"/>
      <c r="EQ77" s="317"/>
      <c r="ER77" s="317"/>
      <c r="ES77" s="317"/>
      <c r="ET77" s="317"/>
      <c r="EU77" s="317"/>
      <c r="EV77" s="317"/>
      <c r="EW77" s="317"/>
      <c r="EX77" s="317"/>
      <c r="EY77" s="317"/>
      <c r="EZ77" s="317"/>
      <c r="FA77" s="317"/>
      <c r="FB77" s="317"/>
      <c r="FC77" s="317"/>
      <c r="FD77" s="317"/>
      <c r="FE77" s="317"/>
      <c r="FF77" s="317"/>
      <c r="FG77" s="317"/>
      <c r="FH77" s="317"/>
      <c r="FI77" s="317"/>
      <c r="FJ77" s="317"/>
      <c r="FK77" s="317"/>
      <c r="FL77" s="317"/>
      <c r="FM77" s="317"/>
      <c r="FN77" s="317"/>
      <c r="FO77" s="317"/>
      <c r="FP77" s="317"/>
      <c r="FQ77" s="317"/>
      <c r="FR77" s="318">
        <v>0</v>
      </c>
      <c r="FS77" s="318">
        <v>0</v>
      </c>
      <c r="FT77" s="318">
        <v>0</v>
      </c>
      <c r="FU77" s="318">
        <v>0</v>
      </c>
      <c r="FV77" s="318">
        <v>65806</v>
      </c>
      <c r="FW77" s="318">
        <v>896687.16669999994</v>
      </c>
      <c r="FX77" s="318">
        <v>769286.66666666663</v>
      </c>
      <c r="FY77" s="318">
        <v>440484.00000000006</v>
      </c>
      <c r="FZ77" s="318">
        <v>447734</v>
      </c>
      <c r="GA77" s="318">
        <v>776937.33333333326</v>
      </c>
      <c r="GB77" s="318">
        <v>920945.33333333349</v>
      </c>
      <c r="GC77" s="318">
        <v>1350224.0000000002</v>
      </c>
      <c r="GD77" s="318">
        <v>1278845.8330000001</v>
      </c>
      <c r="GE77" s="318">
        <v>817257.49999999988</v>
      </c>
      <c r="GF77" s="318">
        <v>1169845.8333333333</v>
      </c>
      <c r="GG77" s="318">
        <v>625434.00000000012</v>
      </c>
      <c r="GH77" s="318">
        <v>343186</v>
      </c>
      <c r="GI77" s="318">
        <v>314900</v>
      </c>
      <c r="GJ77" s="318">
        <v>278084.16666666669</v>
      </c>
      <c r="GK77" s="318">
        <v>414346</v>
      </c>
      <c r="GL77" s="318">
        <v>397413.83333333331</v>
      </c>
      <c r="GM77" s="318">
        <v>751663.33333333326</v>
      </c>
      <c r="GN77" s="318">
        <v>734085</v>
      </c>
      <c r="GO77" s="318">
        <v>1087410</v>
      </c>
      <c r="GP77" s="317">
        <v>1026650.0000000001</v>
      </c>
      <c r="GQ77" s="317">
        <v>687278</v>
      </c>
      <c r="GR77" s="317">
        <v>1329380</v>
      </c>
      <c r="GS77" s="317">
        <v>711686</v>
      </c>
      <c r="GT77" s="317">
        <v>781231</v>
      </c>
      <c r="GU77" s="317">
        <v>324179</v>
      </c>
      <c r="GV77" s="317"/>
      <c r="GW77" s="317"/>
      <c r="GX77" s="317"/>
      <c r="GY77" s="317"/>
      <c r="GZ77" s="317"/>
      <c r="HA77" s="317"/>
      <c r="HB77" s="317">
        <v>1026650.0000000001</v>
      </c>
      <c r="HC77" s="317">
        <v>687278</v>
      </c>
      <c r="HD77" s="317">
        <v>1329380</v>
      </c>
      <c r="HE77" s="317">
        <v>711686</v>
      </c>
      <c r="HF77" s="317">
        <v>781231</v>
      </c>
      <c r="HG77" s="317">
        <v>324179</v>
      </c>
      <c r="HH77" s="317"/>
      <c r="HI77" s="317"/>
      <c r="HJ77" s="317"/>
      <c r="HK77" s="317"/>
      <c r="HL77" s="317"/>
      <c r="HM77" s="317"/>
    </row>
    <row r="78" spans="1:221">
      <c r="B78" t="s">
        <v>373</v>
      </c>
      <c r="D78" s="46" t="s">
        <v>358</v>
      </c>
      <c r="GI78" s="47">
        <f>_xll.LVCELL($D$2,GI$15,$B78,$D$5,$D$6,$D$7,$D$8,$D$9,$D$10,$D$11)</f>
        <v>595324</v>
      </c>
      <c r="GJ78" s="47">
        <f>_xll.LVCELL($D$2,GJ$15,$B78,$D$5,$D$6,$D$7,$D$8,$D$9,$D$10,$D$11)</f>
        <v>603220</v>
      </c>
      <c r="GK78" s="47">
        <f>_xll.LVCELL($D$2,GK$15,$B78,$D$5,$D$6,$D$7,$D$8,$D$9,$D$10,$D$11)</f>
        <v>1085000</v>
      </c>
      <c r="GL78" s="47">
        <f>_xll.LVCELL($D$2,GL$15,$B78,$D$5,$D$6,$D$7,$D$8,$D$9,$D$10,$D$11)</f>
        <v>875774</v>
      </c>
      <c r="GM78" s="47">
        <f>_xll.LVCELL($D$2,GM$15,$B78,$D$5,$D$6,$D$7,$D$8,$D$9,$D$10,$D$11)</f>
        <v>1616652</v>
      </c>
      <c r="GN78" s="47">
        <f>_xll.LVCELL($D$2,GN$15,$B78,$D$5,$D$6,$D$7,$D$8,$D$9,$D$10,$D$11)</f>
        <v>1909966</v>
      </c>
      <c r="GO78" s="47">
        <f>_xll.LVCELL($D$2,GO$15,$B78,$D$5,$D$6,$D$7,$D$8,$D$9,$D$10,$D$11)</f>
        <v>2664706</v>
      </c>
      <c r="GP78" s="47">
        <f>_xll.LVCELL($D$2,GP$15,$B78,$D$5,$D$6,$D$7,$D$8,$D$9,$D$10,$D$11)</f>
        <v>2026061</v>
      </c>
      <c r="GQ78" s="47">
        <f>_xll.LVCELL($D$2,GQ$15,$B78,$D$5,$D$6,$D$7,$D$8,$D$9,$D$10,$D$11)</f>
        <v>2024181</v>
      </c>
      <c r="GR78" s="47">
        <f>_xll.LVCELL($D$2,GR$15,$B78,$D$5,$D$6,$D$7,$D$8,$D$9,$D$10,$D$11)</f>
        <v>3354521</v>
      </c>
      <c r="GS78" s="47">
        <f>_xll.LVCELL($D$2,GS$15,$B78,$D$5,$D$6,$D$7,$D$8,$D$9,$D$10,$D$11)</f>
        <v>1376531</v>
      </c>
      <c r="GT78" s="47">
        <f>_xll.LVCELL($D$2,GT$15,$B78,$D$5,$D$6,$D$7,$D$8,$D$9,$D$10,$D$11)</f>
        <v>1689381</v>
      </c>
      <c r="GU78" s="47">
        <f>_xll.LVCELL($D$2,GU$15,$B78,$D$5,$D$6,$D$7,$D$8,$D$9,$D$10,$D$11)</f>
        <v>1133014</v>
      </c>
      <c r="GV78" s="47">
        <f>_xll.LVCELL($D$2,GV$15,$B78,$D$5,$D$6,$D$7,$D$8,$D$9,$D$10,$D$11)</f>
        <v>1069422</v>
      </c>
      <c r="GW78" s="47">
        <f>_xll.LVCELL($D$2,GW$15,$B78,$D$5,$D$6,$D$7,$D$8,$D$9,$D$10,$D$11)</f>
        <v>767849</v>
      </c>
      <c r="GX78" s="47">
        <f>_xll.LVCELL($D$2,GX$15,$B78,$D$5,$D$6,$D$7,$D$8,$D$9,$D$10,$D$11)</f>
        <v>1620296</v>
      </c>
      <c r="GY78" s="47">
        <f>_xll.LVCELL($D$2,GY$15,$B78,$D$5,$D$6,$D$7,$D$8,$D$9,$D$10,$D$11)</f>
        <v>2301310</v>
      </c>
      <c r="GZ78" s="47">
        <f>_xll.LVCELL($D$2,GZ$15,$B78,$D$5,$D$6,$D$7,$D$8,$D$9,$D$10,$D$11)</f>
        <v>2112448</v>
      </c>
      <c r="HA78" s="47">
        <f>_xll.LVCELL($D$2,HA$15,$B78,$D$5,$D$6,$D$7,$D$8,$D$9,$D$10,$D$11)</f>
        <v>3350832</v>
      </c>
      <c r="HB78" s="47">
        <f>_xll.LVCELL($D$2,HB$15,$B78,$D$5,$D$6,$D$7,$D$8,$D$9,$D$10,$D$11)</f>
        <v>2547379</v>
      </c>
      <c r="HC78" s="47">
        <f>_xll.LVCELL($D$2,HC$15,$B78,$D$5,$D$6,$D$7,$D$8,$D$9,$D$10,$D$11)</f>
        <v>3858492</v>
      </c>
      <c r="HD78" s="47">
        <f>_xll.LVCELL($D$2,HD$15,$B78,$D$5,$D$6,$D$7,$D$8,$D$9,$D$10,$D$11)</f>
        <v>2671885</v>
      </c>
      <c r="HE78" s="47">
        <f>_xll.LVCELL($D$2,HE$15,$B78,$D$5,$D$6,$D$7,$D$8,$D$9,$D$10,$D$11)</f>
        <v>1514492</v>
      </c>
      <c r="HF78" s="47">
        <f>_xll.LVCELL($D$2,HF$15,$B78,$D$5,$D$6,$D$7,$D$8,$D$9,$D$10,$D$11)</f>
        <v>1554999</v>
      </c>
      <c r="HG78" s="47">
        <f>_xll.LVCELL($D$2,HG$15,$B78,$D$5,$D$6,$D$7,$D$8,$D$9,$D$10,$D$11)</f>
        <v>960337</v>
      </c>
      <c r="HH78" s="47">
        <f>_xll.LVCELL($D$2,HH$15,$B78,$D$5,$D$6,$D$7,$D$8,$D$9,$D$10,$D$11)</f>
        <v>945304</v>
      </c>
      <c r="HI78" s="47">
        <f>_xll.LVCELL($D$2,HI$15,$B78,$D$5,$D$6,$D$7,$D$8,$D$9,$D$10,$D$11)</f>
        <v>1006744</v>
      </c>
      <c r="HJ78" s="47">
        <f>_xll.LVCELL($D$2,HJ$15,$B78,$D$5,$D$6,$D$7,$D$8,$D$9,$D$10,$D$11)</f>
        <v>1161003</v>
      </c>
      <c r="HK78" s="47">
        <f>_xll.LVCELL($D$2,HK$15,$B78,$D$5,$D$6,$D$7,$D$8,$D$9,$D$10,$D$11)</f>
        <v>2593702</v>
      </c>
      <c r="HL78" s="47">
        <f>_xll.LVCELL($D$2,HL$15,$B78,$D$5,$D$6,$D$7,$D$8,$D$9,$D$10,$D$11)</f>
        <v>1922393</v>
      </c>
      <c r="HM78" s="47">
        <f>_xll.LVCELL($D$2,HM$15,$B78,$D$5,$D$6,$D$7,$D$8,$D$9,$D$10,$D$11)</f>
        <v>2701348</v>
      </c>
    </row>
    <row r="79" spans="1:221">
      <c r="B79" t="s">
        <v>374</v>
      </c>
      <c r="D79" s="46" t="s">
        <v>359</v>
      </c>
      <c r="GI79" s="47">
        <f>_xll.LVCELL($D$2,GI$15,$B79,$D$5,$D$6,$D$7,$D$8,$D$9,$D$10,$D$11)</f>
        <v>431643</v>
      </c>
      <c r="GJ79" s="47">
        <f>_xll.LVCELL($D$2,GJ$15,$B79,$D$5,$D$6,$D$7,$D$8,$D$9,$D$10,$D$11)</f>
        <v>521885</v>
      </c>
      <c r="GK79" s="47">
        <f>_xll.LVCELL($D$2,GK$15,$B79,$D$5,$D$6,$D$7,$D$8,$D$9,$D$10,$D$11)</f>
        <v>693560</v>
      </c>
      <c r="GL79" s="47">
        <f>_xll.LVCELL($D$2,GL$15,$B79,$D$5,$D$6,$D$7,$D$8,$D$9,$D$10,$D$11)</f>
        <v>942540</v>
      </c>
      <c r="GM79" s="47">
        <f>_xll.LVCELL($D$2,GM$15,$B79,$D$5,$D$6,$D$7,$D$8,$D$9,$D$10,$D$11)</f>
        <v>1327086</v>
      </c>
      <c r="GN79" s="47">
        <f>_xll.LVCELL($D$2,GN$15,$B79,$D$5,$D$6,$D$7,$D$8,$D$9,$D$10,$D$11)</f>
        <v>1105390</v>
      </c>
      <c r="GO79" s="47">
        <f>_xll.LVCELL($D$2,GO$15,$B79,$D$5,$D$6,$D$7,$D$8,$D$9,$D$10,$D$11)</f>
        <v>2030180</v>
      </c>
      <c r="GP79" s="47">
        <f>_xll.LVCELL($D$2,GP$15,$B79,$D$5,$D$6,$D$7,$D$8,$D$9,$D$10,$D$11)</f>
        <v>1335318</v>
      </c>
      <c r="GQ79" s="47">
        <f>_xll.LVCELL($D$2,GQ$15,$B79,$D$5,$D$6,$D$7,$D$8,$D$9,$D$10,$D$11)</f>
        <v>1214343</v>
      </c>
      <c r="GR79" s="47">
        <f>_xll.LVCELL($D$2,GR$15,$B79,$D$5,$D$6,$D$7,$D$8,$D$9,$D$10,$D$11)</f>
        <v>2450303</v>
      </c>
      <c r="GS79" s="47">
        <f>_xll.LVCELL($D$2,GS$15,$B79,$D$5,$D$6,$D$7,$D$8,$D$9,$D$10,$D$11)</f>
        <v>1011298</v>
      </c>
      <c r="GT79" s="47">
        <f>_xll.LVCELL($D$2,GT$15,$B79,$D$5,$D$6,$D$7,$D$8,$D$9,$D$10,$D$11)</f>
        <v>1153733</v>
      </c>
      <c r="GU79" s="47">
        <f>_xll.LVCELL($D$2,GU$15,$B79,$D$5,$D$6,$D$7,$D$8,$D$9,$D$10,$D$11)</f>
        <v>949680</v>
      </c>
      <c r="GV79" s="47">
        <f>_xll.LVCELL($D$2,GV$15,$B79,$D$5,$D$6,$D$7,$D$8,$D$9,$D$10,$D$11)</f>
        <v>820130</v>
      </c>
      <c r="GW79" s="47">
        <f>_xll.LVCELL($D$2,GW$15,$B79,$D$5,$D$6,$D$7,$D$8,$D$9,$D$10,$D$11)</f>
        <v>765485</v>
      </c>
      <c r="GX79" s="47">
        <f>_xll.LVCELL($D$2,GX$15,$B79,$D$5,$D$6,$D$7,$D$8,$D$9,$D$10,$D$11)</f>
        <v>1257568</v>
      </c>
      <c r="GY79" s="47">
        <f>_xll.LVCELL($D$2,GY$15,$B79,$D$5,$D$6,$D$7,$D$8,$D$9,$D$10,$D$11)</f>
        <v>1604741</v>
      </c>
      <c r="GZ79" s="47">
        <f>_xll.LVCELL($D$2,GZ$15,$B79,$D$5,$D$6,$D$7,$D$8,$D$9,$D$10,$D$11)</f>
        <v>1580361</v>
      </c>
      <c r="HA79" s="47">
        <f>_xll.LVCELL($D$2,HA$15,$B79,$D$5,$D$6,$D$7,$D$8,$D$9,$D$10,$D$11)</f>
        <v>2240876</v>
      </c>
      <c r="HB79" s="47">
        <f>_xll.LVCELL($D$2,HB$15,$B79,$D$5,$D$6,$D$7,$D$8,$D$9,$D$10,$D$11)</f>
        <v>1834126</v>
      </c>
      <c r="HC79" s="47">
        <f>_xll.LVCELL($D$2,HC$15,$B79,$D$5,$D$6,$D$7,$D$8,$D$9,$D$10,$D$11)</f>
        <v>2894823</v>
      </c>
      <c r="HD79" s="47">
        <f>_xll.LVCELL($D$2,HD$15,$B79,$D$5,$D$6,$D$7,$D$8,$D$9,$D$10,$D$11)</f>
        <v>2185869</v>
      </c>
      <c r="HE79" s="47">
        <f>_xll.LVCELL($D$2,HE$15,$B79,$D$5,$D$6,$D$7,$D$8,$D$9,$D$10,$D$11)</f>
        <v>1056705</v>
      </c>
      <c r="HF79" s="47">
        <f>_xll.LVCELL($D$2,HF$15,$B79,$D$5,$D$6,$D$7,$D$8,$D$9,$D$10,$D$11)</f>
        <v>1293293</v>
      </c>
      <c r="HG79" s="47">
        <f>_xll.LVCELL($D$2,HG$15,$B79,$D$5,$D$6,$D$7,$D$8,$D$9,$D$10,$D$11)</f>
        <v>886181</v>
      </c>
      <c r="HH79" s="47">
        <f>_xll.LVCELL($D$2,HH$15,$B79,$D$5,$D$6,$D$7,$D$8,$D$9,$D$10,$D$11)</f>
        <v>926757</v>
      </c>
      <c r="HI79" s="47">
        <f>_xll.LVCELL($D$2,HI$15,$B79,$D$5,$D$6,$D$7,$D$8,$D$9,$D$10,$D$11)</f>
        <v>827760</v>
      </c>
      <c r="HJ79" s="47">
        <f>_xll.LVCELL($D$2,HJ$15,$B79,$D$5,$D$6,$D$7,$D$8,$D$9,$D$10,$D$11)</f>
        <v>857875</v>
      </c>
      <c r="HK79" s="47">
        <f>_xll.LVCELL($D$2,HK$15,$B79,$D$5,$D$6,$D$7,$D$8,$D$9,$D$10,$D$11)</f>
        <v>1760678</v>
      </c>
      <c r="HL79" s="47">
        <f>_xll.LVCELL($D$2,HL$15,$B79,$D$5,$D$6,$D$7,$D$8,$D$9,$D$10,$D$11)</f>
        <v>769084</v>
      </c>
      <c r="HM79" s="47">
        <f>_xll.LVCELL($D$2,HM$15,$B79,$D$5,$D$6,$D$7,$D$8,$D$9,$D$10,$D$11)</f>
        <v>1855406</v>
      </c>
    </row>
    <row r="80" spans="1:221">
      <c r="B80" t="s">
        <v>375</v>
      </c>
      <c r="D80" s="46" t="s">
        <v>360</v>
      </c>
      <c r="GI80" s="47">
        <f>_xll.LVCELL($D$2,GI$15,$B80,$D$5,$D$6,$D$7,$D$8,$D$9,$D$10,$D$11)</f>
        <v>692509</v>
      </c>
      <c r="GJ80" s="47">
        <f>_xll.LVCELL($D$2,GJ$15,$B80,$D$5,$D$6,$D$7,$D$8,$D$9,$D$10,$D$11)</f>
        <v>799648</v>
      </c>
      <c r="GK80" s="47">
        <f>_xll.LVCELL($D$2,GK$15,$B80,$D$5,$D$6,$D$7,$D$8,$D$9,$D$10,$D$11)</f>
        <v>896619</v>
      </c>
      <c r="GL80" s="47">
        <f>_xll.LVCELL($D$2,GL$15,$B80,$D$5,$D$6,$D$7,$D$8,$D$9,$D$10,$D$11)</f>
        <v>1400000</v>
      </c>
      <c r="GM80" s="47">
        <f>_xll.LVCELL($D$2,GM$15,$B80,$D$5,$D$6,$D$7,$D$8,$D$9,$D$10,$D$11)</f>
        <v>1958578</v>
      </c>
      <c r="GN80" s="47">
        <f>_xll.LVCELL($D$2,GN$15,$B80,$D$5,$D$6,$D$7,$D$8,$D$9,$D$10,$D$11)</f>
        <v>2156027</v>
      </c>
      <c r="GO80" s="47">
        <f>_xll.LVCELL($D$2,GO$15,$B80,$D$5,$D$6,$D$7,$D$8,$D$9,$D$10,$D$11)</f>
        <v>2780211</v>
      </c>
      <c r="GP80" s="47">
        <f>_xll.LVCELL($D$2,GP$15,$B80,$D$5,$D$6,$D$7,$D$8,$D$9,$D$10,$D$11)</f>
        <v>1982071</v>
      </c>
      <c r="GQ80" s="47">
        <f>_xll.LVCELL($D$2,GQ$15,$B80,$D$5,$D$6,$D$7,$D$8,$D$9,$D$10,$D$11)</f>
        <v>1677394</v>
      </c>
      <c r="GR80" s="47">
        <f>_xll.LVCELL($D$2,GR$15,$B80,$D$5,$D$6,$D$7,$D$8,$D$9,$D$10,$D$11)</f>
        <v>2910490</v>
      </c>
      <c r="GS80" s="47">
        <f>_xll.LVCELL($D$2,GS$15,$B80,$D$5,$D$6,$D$7,$D$8,$D$9,$D$10,$D$11)</f>
        <v>1500791</v>
      </c>
      <c r="GT80" s="47">
        <f>_xll.LVCELL($D$2,GT$15,$B80,$D$5,$D$6,$D$7,$D$8,$D$9,$D$10,$D$11)</f>
        <v>1510257</v>
      </c>
      <c r="GU80" s="47">
        <f>_xll.LVCELL($D$2,GU$15,$B80,$D$5,$D$6,$D$7,$D$8,$D$9,$D$10,$D$11)</f>
        <v>1143621</v>
      </c>
      <c r="GV80" s="47">
        <f>_xll.LVCELL($D$2,GV$15,$B80,$D$5,$D$6,$D$7,$D$8,$D$9,$D$10,$D$11)</f>
        <v>1100000</v>
      </c>
      <c r="GW80" s="47">
        <f>_xll.LVCELL($D$2,GW$15,$B80,$D$5,$D$6,$D$7,$D$8,$D$9,$D$10,$D$11)</f>
        <v>1122750</v>
      </c>
      <c r="GX80" s="47">
        <f>_xll.LVCELL($D$2,GX$15,$B80,$D$5,$D$6,$D$7,$D$8,$D$9,$D$10,$D$11)</f>
        <v>2051440</v>
      </c>
      <c r="GY80" s="47">
        <f>_xll.LVCELL($D$2,GY$15,$B80,$D$5,$D$6,$D$7,$D$8,$D$9,$D$10,$D$11)</f>
        <v>2325058</v>
      </c>
      <c r="GZ80" s="47">
        <f>_xll.LVCELL($D$2,GZ$15,$B80,$D$5,$D$6,$D$7,$D$8,$D$9,$D$10,$D$11)</f>
        <v>2096857</v>
      </c>
      <c r="HA80" s="47">
        <f>_xll.LVCELL($D$2,HA$15,$B80,$D$5,$D$6,$D$7,$D$8,$D$9,$D$10,$D$11)</f>
        <v>3372974</v>
      </c>
      <c r="HB80" s="47">
        <f>_xll.LVCELL($D$2,HB$15,$B80,$D$5,$D$6,$D$7,$D$8,$D$9,$D$10,$D$11)</f>
        <v>3016919</v>
      </c>
      <c r="HC80" s="47">
        <f>_xll.LVCELL($D$2,HC$15,$B80,$D$5,$D$6,$D$7,$D$8,$D$9,$D$10,$D$11)</f>
        <v>4366008</v>
      </c>
      <c r="HD80" s="47">
        <f>_xll.LVCELL($D$2,HD$15,$B80,$D$5,$D$6,$D$7,$D$8,$D$9,$D$10,$D$11)</f>
        <v>3130518</v>
      </c>
      <c r="HE80" s="47">
        <f>_xll.LVCELL($D$2,HE$15,$B80,$D$5,$D$6,$D$7,$D$8,$D$9,$D$10,$D$11)</f>
        <v>1612269</v>
      </c>
      <c r="HF80" s="47">
        <f>_xll.LVCELL($D$2,HF$15,$B80,$D$5,$D$6,$D$7,$D$8,$D$9,$D$10,$D$11)</f>
        <v>1813890</v>
      </c>
      <c r="HG80" s="47">
        <f>_xll.LVCELL($D$2,HG$15,$B80,$D$5,$D$6,$D$7,$D$8,$D$9,$D$10,$D$11)</f>
        <v>987944</v>
      </c>
      <c r="HH80" s="47">
        <f>_xll.LVCELL($D$2,HH$15,$B80,$D$5,$D$6,$D$7,$D$8,$D$9,$D$10,$D$11)</f>
        <v>1189943</v>
      </c>
      <c r="HI80" s="47">
        <f>_xll.LVCELL($D$2,HI$15,$B80,$D$5,$D$6,$D$7,$D$8,$D$9,$D$10,$D$11)</f>
        <v>1180000</v>
      </c>
      <c r="HJ80" s="47">
        <f>_xll.LVCELL($D$2,HJ$15,$B80,$D$5,$D$6,$D$7,$D$8,$D$9,$D$10,$D$11)</f>
        <v>1729943</v>
      </c>
      <c r="HK80" s="47">
        <f>_xll.LVCELL($D$2,HK$15,$B80,$D$5,$D$6,$D$7,$D$8,$D$9,$D$10,$D$11)</f>
        <v>2982482</v>
      </c>
      <c r="HL80" s="47">
        <f>_xll.LVCELL($D$2,HL$15,$B80,$D$5,$D$6,$D$7,$D$8,$D$9,$D$10,$D$11)</f>
        <v>1826680</v>
      </c>
      <c r="HM80" s="47">
        <f>_xll.LVCELL($D$2,HM$15,$B80,$D$5,$D$6,$D$7,$D$8,$D$9,$D$10,$D$11)</f>
        <v>2981624</v>
      </c>
    </row>
    <row r="81" spans="2:221">
      <c r="B81" t="s">
        <v>376</v>
      </c>
      <c r="D81" s="46" t="s">
        <v>361</v>
      </c>
      <c r="GI81" s="47">
        <f>_xll.LVCELL($D$2,GI$15,$B81,$D$5,$D$6,$D$7,$D$8,$D$9,$D$10,$D$11)</f>
        <v>228185</v>
      </c>
      <c r="GJ81" s="47">
        <f>_xll.LVCELL($D$2,GJ$15,$B81,$D$5,$D$6,$D$7,$D$8,$D$9,$D$10,$D$11)</f>
        <v>600641</v>
      </c>
      <c r="GK81" s="47">
        <f>_xll.LVCELL($D$2,GK$15,$B81,$D$5,$D$6,$D$7,$D$8,$D$9,$D$10,$D$11)</f>
        <v>782779</v>
      </c>
      <c r="GL81" s="47">
        <f>_xll.LVCELL($D$2,GL$15,$B81,$D$5,$D$6,$D$7,$D$8,$D$9,$D$10,$D$11)</f>
        <v>923670</v>
      </c>
      <c r="GM81" s="47">
        <f>_xll.LVCELL($D$2,GM$15,$B81,$D$5,$D$6,$D$7,$D$8,$D$9,$D$10,$D$11)</f>
        <v>1631558</v>
      </c>
      <c r="GN81" s="47">
        <f>_xll.LVCELL($D$2,GN$15,$B81,$D$5,$D$6,$D$7,$D$8,$D$9,$D$10,$D$11)</f>
        <v>1803139</v>
      </c>
      <c r="GO81" s="47">
        <f>_xll.LVCELL($D$2,GO$15,$B81,$D$5,$D$6,$D$7,$D$8,$D$9,$D$10,$D$11)</f>
        <v>2474613</v>
      </c>
      <c r="GP81" s="47">
        <f>_xll.LVCELL($D$2,GP$15,$B81,$D$5,$D$6,$D$7,$D$8,$D$9,$D$10,$D$11)</f>
        <v>1589915</v>
      </c>
      <c r="GQ81" s="47">
        <f>_xll.LVCELL($D$2,GQ$15,$B81,$D$5,$D$6,$D$7,$D$8,$D$9,$D$10,$D$11)</f>
        <v>1660833</v>
      </c>
      <c r="GR81" s="47">
        <f>_xll.LVCELL($D$2,GR$15,$B81,$D$5,$D$6,$D$7,$D$8,$D$9,$D$10,$D$11)</f>
        <v>2634242</v>
      </c>
      <c r="GS81" s="47">
        <f>_xll.LVCELL($D$2,GS$15,$B81,$D$5,$D$6,$D$7,$D$8,$D$9,$D$10,$D$11)</f>
        <v>1016356</v>
      </c>
      <c r="GT81" s="47">
        <f>_xll.LVCELL($D$2,GT$15,$B81,$D$5,$D$6,$D$7,$D$8,$D$9,$D$10,$D$11)</f>
        <v>812798</v>
      </c>
      <c r="GU81" s="47">
        <f>_xll.LVCELL($D$2,GU$15,$B81,$D$5,$D$6,$D$7,$D$8,$D$9,$D$10,$D$11)</f>
        <v>826481</v>
      </c>
      <c r="GV81" s="47">
        <f>_xll.LVCELL($D$2,GV$15,$B81,$D$5,$D$6,$D$7,$D$8,$D$9,$D$10,$D$11)</f>
        <v>759819</v>
      </c>
      <c r="GW81" s="47">
        <f>_xll.LVCELL($D$2,GW$15,$B81,$D$5,$D$6,$D$7,$D$8,$D$9,$D$10,$D$11)</f>
        <v>1017820</v>
      </c>
      <c r="GX81" s="47">
        <f>_xll.LVCELL($D$2,GX$15,$B81,$D$5,$D$6,$D$7,$D$8,$D$9,$D$10,$D$11)</f>
        <v>1325478</v>
      </c>
      <c r="GY81" s="47">
        <f>_xll.LVCELL($D$2,GY$15,$B81,$D$5,$D$6,$D$7,$D$8,$D$9,$D$10,$D$11)</f>
        <v>1974979</v>
      </c>
      <c r="GZ81" s="47">
        <f>_xll.LVCELL($D$2,GZ$15,$B81,$D$5,$D$6,$D$7,$D$8,$D$9,$D$10,$D$11)</f>
        <v>1978294</v>
      </c>
      <c r="HA81" s="47">
        <f>_xll.LVCELL($D$2,HA$15,$B81,$D$5,$D$6,$D$7,$D$8,$D$9,$D$10,$D$11)</f>
        <v>2750452</v>
      </c>
      <c r="HB81" s="47">
        <f>_xll.LVCELL($D$2,HB$15,$B81,$D$5,$D$6,$D$7,$D$8,$D$9,$D$10,$D$11)</f>
        <v>2236199</v>
      </c>
      <c r="HC81" s="47">
        <f>_xll.LVCELL($D$2,HC$15,$B81,$D$5,$D$6,$D$7,$D$8,$D$9,$D$10,$D$11)</f>
        <v>3376797</v>
      </c>
      <c r="HD81" s="47">
        <f>_xll.LVCELL($D$2,HD$15,$B81,$D$5,$D$6,$D$7,$D$8,$D$9,$D$10,$D$11)</f>
        <v>2178044</v>
      </c>
      <c r="HE81" s="47">
        <f>_xll.LVCELL($D$2,HE$15,$B81,$D$5,$D$6,$D$7,$D$8,$D$9,$D$10,$D$11)</f>
        <v>699450</v>
      </c>
      <c r="HF81" s="47">
        <f>_xll.LVCELL($D$2,HF$15,$B81,$D$5,$D$6,$D$7,$D$8,$D$9,$D$10,$D$11)</f>
        <v>939735</v>
      </c>
      <c r="HG81" s="47">
        <f>_xll.LVCELL($D$2,HG$15,$B81,$D$5,$D$6,$D$7,$D$8,$D$9,$D$10,$D$11)</f>
        <v>977317</v>
      </c>
      <c r="HH81" s="47">
        <f>_xll.LVCELL($D$2,HH$15,$B81,$D$5,$D$6,$D$7,$D$8,$D$9,$D$10,$D$11)</f>
        <v>1052981</v>
      </c>
      <c r="HI81" s="47">
        <f>_xll.LVCELL($D$2,HI$15,$B81,$D$5,$D$6,$D$7,$D$8,$D$9,$D$10,$D$11)</f>
        <v>1038392</v>
      </c>
      <c r="HJ81" s="47">
        <f>_xll.LVCELL($D$2,HJ$15,$B81,$D$5,$D$6,$D$7,$D$8,$D$9,$D$10,$D$11)</f>
        <v>790527</v>
      </c>
      <c r="HK81" s="47">
        <f>_xll.LVCELL($D$2,HK$15,$B81,$D$5,$D$6,$D$7,$D$8,$D$9,$D$10,$D$11)</f>
        <v>2412845</v>
      </c>
      <c r="HL81" s="47">
        <f>_xll.LVCELL($D$2,HL$15,$B81,$D$5,$D$6,$D$7,$D$8,$D$9,$D$10,$D$11)</f>
        <v>1418442</v>
      </c>
      <c r="HM81" s="47">
        <f>_xll.LVCELL($D$2,HM$15,$B81,$D$5,$D$6,$D$7,$D$8,$D$9,$D$10,$D$11)</f>
        <v>2716026</v>
      </c>
    </row>
    <row r="82" spans="2:221">
      <c r="B82" t="s">
        <v>377</v>
      </c>
      <c r="D82" s="46" t="s">
        <v>362</v>
      </c>
      <c r="GI82" s="47">
        <f>_xll.LVCELL($D$2,GI$15,$B82,$D$5,$D$6,$D$7,$D$8,$D$9,$D$10,$D$11)</f>
        <v>888171</v>
      </c>
      <c r="GJ82" s="47">
        <f>_xll.LVCELL($D$2,GJ$15,$B82,$D$5,$D$6,$D$7,$D$8,$D$9,$D$10,$D$11)</f>
        <v>911648</v>
      </c>
      <c r="GK82" s="47">
        <f>_xll.LVCELL($D$2,GK$15,$B82,$D$5,$D$6,$D$7,$D$8,$D$9,$D$10,$D$11)</f>
        <v>1171728</v>
      </c>
      <c r="GL82" s="47">
        <f>_xll.LVCELL($D$2,GL$15,$B82,$D$5,$D$6,$D$7,$D$8,$D$9,$D$10,$D$11)</f>
        <v>1150745</v>
      </c>
      <c r="GM82" s="47">
        <f>_xll.LVCELL($D$2,GM$15,$B82,$D$5,$D$6,$D$7,$D$8,$D$9,$D$10,$D$11)</f>
        <v>1700481</v>
      </c>
      <c r="GN82" s="47">
        <f>_xll.LVCELL($D$2,GN$15,$B82,$D$5,$D$6,$D$7,$D$8,$D$9,$D$10,$D$11)</f>
        <v>989964</v>
      </c>
      <c r="GO82" s="47">
        <f>_xll.LVCELL($D$2,GO$15,$B82,$D$5,$D$6,$D$7,$D$8,$D$9,$D$10,$D$11)</f>
        <v>2179460</v>
      </c>
      <c r="GP82" s="47">
        <f>_xll.LVCELL($D$2,GP$15,$B82,$D$5,$D$6,$D$7,$D$8,$D$9,$D$10,$D$11)</f>
        <v>1582671</v>
      </c>
      <c r="GQ82" s="47">
        <f>_xll.LVCELL($D$2,GQ$15,$B82,$D$5,$D$6,$D$7,$D$8,$D$9,$D$10,$D$11)</f>
        <v>1985038</v>
      </c>
      <c r="GR82" s="47">
        <f>_xll.LVCELL($D$2,GR$15,$B82,$D$5,$D$6,$D$7,$D$8,$D$9,$D$10,$D$11)</f>
        <v>3455092</v>
      </c>
      <c r="GS82" s="47">
        <f>_xll.LVCELL($D$2,GS$15,$B82,$D$5,$D$6,$D$7,$D$8,$D$9,$D$10,$D$11)</f>
        <v>1410544</v>
      </c>
      <c r="GT82" s="47">
        <f>_xll.LVCELL($D$2,GT$15,$B82,$D$5,$D$6,$D$7,$D$8,$D$9,$D$10,$D$11)</f>
        <v>1740844</v>
      </c>
      <c r="GU82" s="47">
        <f>_xll.LVCELL($D$2,GU$15,$B82,$D$5,$D$6,$D$7,$D$8,$D$9,$D$10,$D$11)</f>
        <v>1345502</v>
      </c>
      <c r="GV82" s="47">
        <f>_xll.LVCELL($D$2,GV$15,$B82,$D$5,$D$6,$D$7,$D$8,$D$9,$D$10,$D$11)</f>
        <v>1354033</v>
      </c>
      <c r="GW82" s="47">
        <f>_xll.LVCELL($D$2,GW$15,$B82,$D$5,$D$6,$D$7,$D$8,$D$9,$D$10,$D$11)</f>
        <v>833996</v>
      </c>
      <c r="GX82" s="47">
        <f>_xll.LVCELL($D$2,GX$15,$B82,$D$5,$D$6,$D$7,$D$8,$D$9,$D$10,$D$11)</f>
        <v>1683335</v>
      </c>
      <c r="GY82" s="47">
        <f>_xll.LVCELL($D$2,GY$15,$B82,$D$5,$D$6,$D$7,$D$8,$D$9,$D$10,$D$11)</f>
        <v>1437714</v>
      </c>
      <c r="GZ82" s="47">
        <f>_xll.LVCELL($D$2,GZ$15,$B82,$D$5,$D$6,$D$7,$D$8,$D$9,$D$10,$D$11)</f>
        <v>1734760</v>
      </c>
      <c r="HA82" s="47">
        <f>_xll.LVCELL($D$2,HA$15,$B82,$D$5,$D$6,$D$7,$D$8,$D$9,$D$10,$D$11)</f>
        <v>2875681</v>
      </c>
      <c r="HB82" s="47">
        <f>_xll.LVCELL($D$2,HB$15,$B82,$D$5,$D$6,$D$7,$D$8,$D$9,$D$10,$D$11)</f>
        <v>1923144</v>
      </c>
      <c r="HC82" s="47">
        <f>_xll.LVCELL($D$2,HC$15,$B82,$D$5,$D$6,$D$7,$D$8,$D$9,$D$10,$D$11)</f>
        <v>3511924</v>
      </c>
      <c r="HD82" s="47">
        <f>_xll.LVCELL($D$2,HD$15,$B82,$D$5,$D$6,$D$7,$D$8,$D$9,$D$10,$D$11)</f>
        <v>2449670</v>
      </c>
      <c r="HE82" s="47">
        <f>_xll.LVCELL($D$2,HE$15,$B82,$D$5,$D$6,$D$7,$D$8,$D$9,$D$10,$D$11)</f>
        <v>1251305</v>
      </c>
      <c r="HF82" s="47">
        <f>_xll.LVCELL($D$2,HF$15,$B82,$D$5,$D$6,$D$7,$D$8,$D$9,$D$10,$D$11)</f>
        <v>1899137</v>
      </c>
      <c r="HG82" s="47">
        <f>_xll.LVCELL($D$2,HG$15,$B82,$D$5,$D$6,$D$7,$D$8,$D$9,$D$10,$D$11)</f>
        <v>1118265</v>
      </c>
      <c r="HH82" s="47">
        <f>_xll.LVCELL($D$2,HH$15,$B82,$D$5,$D$6,$D$7,$D$8,$D$9,$D$10,$D$11)</f>
        <v>1157802</v>
      </c>
      <c r="HI82" s="47">
        <f>_xll.LVCELL($D$2,HI$15,$B82,$D$5,$D$6,$D$7,$D$8,$D$9,$D$10,$D$11)</f>
        <v>1062142</v>
      </c>
      <c r="HJ82" s="47">
        <f>_xll.LVCELL($D$2,HJ$15,$B82,$D$5,$D$6,$D$7,$D$8,$D$9,$D$10,$D$11)</f>
        <v>1056075</v>
      </c>
      <c r="HK82" s="47">
        <f>_xll.LVCELL($D$2,HK$15,$B82,$D$5,$D$6,$D$7,$D$8,$D$9,$D$10,$D$11)</f>
        <v>2206688</v>
      </c>
      <c r="HL82" s="47">
        <f>_xll.LVCELL($D$2,HL$15,$B82,$D$5,$D$6,$D$7,$D$8,$D$9,$D$10,$D$11)</f>
        <v>1327736</v>
      </c>
      <c r="HM82" s="47">
        <f>_xll.LVCELL($D$2,HM$15,$B82,$D$5,$D$6,$D$7,$D$8,$D$9,$D$10,$D$11)</f>
        <v>1890267</v>
      </c>
    </row>
    <row r="83" spans="2:221">
      <c r="B83" s="4" t="s">
        <v>378</v>
      </c>
      <c r="C83" s="4"/>
      <c r="D83" s="46" t="s">
        <v>363</v>
      </c>
      <c r="GI83" s="47">
        <f>_xll.LVCELL($D$2,GI$15,$B83,$D$5,$D$6,$D$7,$D$8,$D$9,$D$10,$D$11)</f>
        <v>117053</v>
      </c>
      <c r="GJ83" s="47">
        <f>_xll.LVCELL($D$2,GJ$15,$B83,$D$5,$D$6,$D$7,$D$8,$D$9,$D$10,$D$11)</f>
        <v>506646</v>
      </c>
      <c r="GK83" s="47">
        <f>_xll.LVCELL($D$2,GK$15,$B83,$D$5,$D$6,$D$7,$D$8,$D$9,$D$10,$D$11)</f>
        <v>644929</v>
      </c>
      <c r="GL83" s="47">
        <f>_xll.LVCELL($D$2,GL$15,$B83,$D$5,$D$6,$D$7,$D$8,$D$9,$D$10,$D$11)</f>
        <v>427629</v>
      </c>
      <c r="GM83" s="47">
        <f>_xll.LVCELL($D$2,GM$15,$B83,$D$5,$D$6,$D$7,$D$8,$D$9,$D$10,$D$11)</f>
        <v>965214</v>
      </c>
      <c r="GN83" s="47">
        <f>_xll.LVCELL($D$2,GN$15,$B83,$D$5,$D$6,$D$7,$D$8,$D$9,$D$10,$D$11)</f>
        <v>455668</v>
      </c>
      <c r="GO83" s="47">
        <f>_xll.LVCELL($D$2,GO$15,$B83,$D$5,$D$6,$D$7,$D$8,$D$9,$D$10,$D$11)</f>
        <v>751994</v>
      </c>
      <c r="GP83" s="47">
        <f>_xll.LVCELL($D$2,GP$15,$B83,$D$5,$D$6,$D$7,$D$8,$D$9,$D$10,$D$11)</f>
        <v>1592516</v>
      </c>
      <c r="GQ83" s="47">
        <f>_xll.LVCELL($D$2,GQ$15,$B83,$D$5,$D$6,$D$7,$D$8,$D$9,$D$10,$D$11)</f>
        <v>326451</v>
      </c>
      <c r="GR83" s="47">
        <f>_xll.LVCELL($D$2,GR$15,$B83,$D$5,$D$6,$D$7,$D$8,$D$9,$D$10,$D$11)</f>
        <v>1211459</v>
      </c>
      <c r="GS83" s="47">
        <f>_xll.LVCELL($D$2,GS$15,$B83,$D$5,$D$6,$D$7,$D$8,$D$9,$D$10,$D$11)</f>
        <v>698727</v>
      </c>
      <c r="GT83" s="47">
        <f>_xll.LVCELL($D$2,GT$15,$B83,$D$5,$D$6,$D$7,$D$8,$D$9,$D$10,$D$11)</f>
        <v>1180919</v>
      </c>
      <c r="GU83" s="47">
        <f>_xll.LVCELL($D$2,GU$15,$B83,$D$5,$D$6,$D$7,$D$8,$D$9,$D$10,$D$11)</f>
        <v>437978</v>
      </c>
      <c r="GV83" s="47">
        <f>_xll.LVCELL($D$2,GV$15,$B83,$D$5,$D$6,$D$7,$D$8,$D$9,$D$10,$D$11)</f>
        <v>551640</v>
      </c>
      <c r="GW83" s="47">
        <f>_xll.LVCELL($D$2,GW$15,$B83,$D$5,$D$6,$D$7,$D$8,$D$9,$D$10,$D$11)</f>
        <v>362959</v>
      </c>
      <c r="GX83" s="47">
        <f>_xll.LVCELL($D$2,GX$15,$B83,$D$5,$D$6,$D$7,$D$8,$D$9,$D$10,$D$11)</f>
        <v>366095</v>
      </c>
      <c r="GY83" s="47">
        <f>_xll.LVCELL($D$2,GY$15,$B83,$D$5,$D$6,$D$7,$D$8,$D$9,$D$10,$D$11)</f>
        <v>551104</v>
      </c>
      <c r="GZ83" s="47">
        <f>_xll.LVCELL($D$2,GZ$15,$B83,$D$5,$D$6,$D$7,$D$8,$D$9,$D$10,$D$11)</f>
        <v>694044</v>
      </c>
      <c r="HA83" s="47">
        <f>_xll.LVCELL($D$2,HA$15,$B83,$D$5,$D$6,$D$7,$D$8,$D$9,$D$10,$D$11)</f>
        <v>887886</v>
      </c>
      <c r="HB83" s="47">
        <f>_xll.LVCELL($D$2,HB$15,$B83,$D$5,$D$6,$D$7,$D$8,$D$9,$D$10,$D$11)</f>
        <v>633903</v>
      </c>
      <c r="HC83" s="47">
        <f>_xll.LVCELL($D$2,HC$15,$B83,$D$5,$D$6,$D$7,$D$8,$D$9,$D$10,$D$11)</f>
        <v>613250</v>
      </c>
      <c r="HD83" s="47">
        <f>_xll.LVCELL($D$2,HD$15,$B83,$D$5,$D$6,$D$7,$D$8,$D$9,$D$10,$D$11)</f>
        <v>453096</v>
      </c>
      <c r="HE83" s="47">
        <f>_xll.LVCELL($D$2,HE$15,$B83,$D$5,$D$6,$D$7,$D$8,$D$9,$D$10,$D$11)</f>
        <v>151969</v>
      </c>
      <c r="HF83" s="47">
        <f>_xll.LVCELL($D$2,HF$15,$B83,$D$5,$D$6,$D$7,$D$8,$D$9,$D$10,$D$11)</f>
        <v>364163</v>
      </c>
      <c r="HG83" s="47">
        <f>_xll.LVCELL($D$2,HG$15,$B83,$D$5,$D$6,$D$7,$D$8,$D$9,$D$10,$D$11)</f>
        <v>605919</v>
      </c>
      <c r="HH83" s="47">
        <f>_xll.LVCELL($D$2,HH$15,$B83,$D$5,$D$6,$D$7,$D$8,$D$9,$D$10,$D$11)</f>
        <v>759813</v>
      </c>
      <c r="HI83" s="47">
        <f>_xll.LVCELL($D$2,HI$15,$B83,$D$5,$D$6,$D$7,$D$8,$D$9,$D$10,$D$11)</f>
        <v>565585</v>
      </c>
      <c r="HJ83" s="47">
        <f>_xll.LVCELL($D$2,HJ$15,$B83,$D$5,$D$6,$D$7,$D$8,$D$9,$D$10,$D$11)</f>
        <v>583206</v>
      </c>
      <c r="HK83" s="47">
        <f>_xll.LVCELL($D$2,HK$15,$B83,$D$5,$D$6,$D$7,$D$8,$D$9,$D$10,$D$11)</f>
        <v>666757</v>
      </c>
      <c r="HL83" s="47">
        <f>_xll.LVCELL($D$2,HL$15,$B83,$D$5,$D$6,$D$7,$D$8,$D$9,$D$10,$D$11)</f>
        <v>474897</v>
      </c>
      <c r="HM83" s="47">
        <f>_xll.LVCELL($D$2,HM$15,$B83,$D$5,$D$6,$D$7,$D$8,$D$9,$D$10,$D$11)</f>
        <v>763279</v>
      </c>
    </row>
    <row r="84" spans="2:221">
      <c r="B84" t="s">
        <v>379</v>
      </c>
      <c r="D84" s="46" t="s">
        <v>364</v>
      </c>
      <c r="GI84" s="47">
        <f>_xll.LVCELL($D$2,GI$15,$B84,$D$5,$D$6,$D$7,$D$8,$D$9,$D$10,$D$11)</f>
        <v>300293</v>
      </c>
      <c r="GJ84" s="47">
        <f>_xll.LVCELL($D$2,GJ$15,$B84,$D$5,$D$6,$D$7,$D$8,$D$9,$D$10,$D$11)</f>
        <v>479624</v>
      </c>
      <c r="GK84" s="47">
        <f>_xll.LVCELL($D$2,GK$15,$B84,$D$5,$D$6,$D$7,$D$8,$D$9,$D$10,$D$11)</f>
        <v>674966</v>
      </c>
      <c r="GL84" s="47">
        <f>_xll.LVCELL($D$2,GL$15,$B84,$D$5,$D$6,$D$7,$D$8,$D$9,$D$10,$D$11)</f>
        <v>752077</v>
      </c>
      <c r="GM84" s="47">
        <f>_xll.LVCELL($D$2,GM$15,$B84,$D$5,$D$6,$D$7,$D$8,$D$9,$D$10,$D$11)</f>
        <v>1047534</v>
      </c>
      <c r="GN84" s="47">
        <f>_xll.LVCELL($D$2,GN$15,$B84,$D$5,$D$6,$D$7,$D$8,$D$9,$D$10,$D$11)</f>
        <v>1708791</v>
      </c>
      <c r="GO84" s="47">
        <f>_xll.LVCELL($D$2,GO$15,$B84,$D$5,$D$6,$D$7,$D$8,$D$9,$D$10,$D$11)</f>
        <v>2246715</v>
      </c>
      <c r="GP84" s="47">
        <f>_xll.LVCELL($D$2,GP$15,$B84,$D$5,$D$6,$D$7,$D$8,$D$9,$D$10,$D$11)</f>
        <v>1633297</v>
      </c>
      <c r="GQ84" s="47">
        <f>_xll.LVCELL($D$2,GQ$15,$B84,$D$5,$D$6,$D$7,$D$8,$D$9,$D$10,$D$11)</f>
        <v>1422916</v>
      </c>
      <c r="GR84" s="47">
        <f>_xll.LVCELL($D$2,GR$15,$B84,$D$5,$D$6,$D$7,$D$8,$D$9,$D$10,$D$11)</f>
        <v>2812342</v>
      </c>
      <c r="GS84" s="47">
        <f>_xll.LVCELL($D$2,GS$15,$B84,$D$5,$D$6,$D$7,$D$8,$D$9,$D$10,$D$11)</f>
        <v>1049007</v>
      </c>
      <c r="GT84" s="47">
        <f>_xll.LVCELL($D$2,GT$15,$B84,$D$5,$D$6,$D$7,$D$8,$D$9,$D$10,$D$11)</f>
        <v>610201</v>
      </c>
      <c r="GU84" s="47">
        <f>_xll.LVCELL($D$2,GU$15,$B84,$D$5,$D$6,$D$7,$D$8,$D$9,$D$10,$D$11)</f>
        <v>941614</v>
      </c>
      <c r="GV84" s="47">
        <f>_xll.LVCELL($D$2,GV$15,$B84,$D$5,$D$6,$D$7,$D$8,$D$9,$D$10,$D$11)</f>
        <v>528278</v>
      </c>
      <c r="GW84" s="47">
        <f>_xll.LVCELL($D$2,GW$15,$B84,$D$5,$D$6,$D$7,$D$8,$D$9,$D$10,$D$11)</f>
        <v>651640</v>
      </c>
      <c r="GX84" s="47">
        <f>_xll.LVCELL($D$2,GX$15,$B84,$D$5,$D$6,$D$7,$D$8,$D$9,$D$10,$D$11)</f>
        <v>1051541</v>
      </c>
      <c r="GY84" s="47">
        <f>_xll.LVCELL($D$2,GY$15,$B84,$D$5,$D$6,$D$7,$D$8,$D$9,$D$10,$D$11)</f>
        <v>1678699</v>
      </c>
      <c r="GZ84" s="47">
        <f>_xll.LVCELL($D$2,GZ$15,$B84,$D$5,$D$6,$D$7,$D$8,$D$9,$D$10,$D$11)</f>
        <v>1778983</v>
      </c>
      <c r="HA84" s="47">
        <f>_xll.LVCELL($D$2,HA$15,$B84,$D$5,$D$6,$D$7,$D$8,$D$9,$D$10,$D$11)</f>
        <v>2507701</v>
      </c>
      <c r="HB84" s="47">
        <f>_xll.LVCELL($D$2,HB$15,$B84,$D$5,$D$6,$D$7,$D$8,$D$9,$D$10,$D$11)</f>
        <v>2061892</v>
      </c>
      <c r="HC84" s="47">
        <f>_xll.LVCELL($D$2,HC$15,$B84,$D$5,$D$6,$D$7,$D$8,$D$9,$D$10,$D$11)</f>
        <v>3352348</v>
      </c>
      <c r="HD84" s="47">
        <f>_xll.LVCELL($D$2,HD$15,$B84,$D$5,$D$6,$D$7,$D$8,$D$9,$D$10,$D$11)</f>
        <v>2331706</v>
      </c>
      <c r="HE84" s="47">
        <f>_xll.LVCELL($D$2,HE$15,$B84,$D$5,$D$6,$D$7,$D$8,$D$9,$D$10,$D$11)</f>
        <v>1363600</v>
      </c>
      <c r="HF84" s="47">
        <f>_xll.LVCELL($D$2,HF$15,$B84,$D$5,$D$6,$D$7,$D$8,$D$9,$D$10,$D$11)</f>
        <v>772975</v>
      </c>
      <c r="HG84" s="47">
        <f>_xll.LVCELL($D$2,HG$15,$B84,$D$5,$D$6,$D$7,$D$8,$D$9,$D$10,$D$11)</f>
        <v>632057</v>
      </c>
      <c r="HH84" s="47">
        <f>_xll.LVCELL($D$2,HH$15,$B84,$D$5,$D$6,$D$7,$D$8,$D$9,$D$10,$D$11)</f>
        <v>623430</v>
      </c>
      <c r="HI84" s="47">
        <f>_xll.LVCELL($D$2,HI$15,$B84,$D$5,$D$6,$D$7,$D$8,$D$9,$D$10,$D$11)</f>
        <v>654816</v>
      </c>
      <c r="HJ84" s="47">
        <f>_xll.LVCELL($D$2,HJ$15,$B84,$D$5,$D$6,$D$7,$D$8,$D$9,$D$10,$D$11)</f>
        <v>726718</v>
      </c>
      <c r="HK84" s="47">
        <f>_xll.LVCELL($D$2,HK$15,$B84,$D$5,$D$6,$D$7,$D$8,$D$9,$D$10,$D$11)</f>
        <v>2077185</v>
      </c>
      <c r="HL84" s="47">
        <f>_xll.LVCELL($D$2,HL$15,$B84,$D$5,$D$6,$D$7,$D$8,$D$9,$D$10,$D$11)</f>
        <v>941754</v>
      </c>
      <c r="HM84" s="47">
        <f>_xll.LVCELL($D$2,HM$15,$B84,$D$5,$D$6,$D$7,$D$8,$D$9,$D$10,$D$11)</f>
        <v>1890915</v>
      </c>
    </row>
    <row r="85" spans="2:221">
      <c r="B85" s="4" t="s">
        <v>380</v>
      </c>
      <c r="C85" s="4"/>
      <c r="D85" s="46" t="s">
        <v>365</v>
      </c>
      <c r="GI85" s="47">
        <f>_xll.LVCELL($D$2,GI$15,$B85,$D$5,$D$6,$D$7,$D$8,$D$9,$D$10,$D$11)</f>
        <v>549670</v>
      </c>
      <c r="GJ85" s="47">
        <f>_xll.LVCELL($D$2,GJ$15,$B85,$D$5,$D$6,$D$7,$D$8,$D$9,$D$10,$D$11)</f>
        <v>758607</v>
      </c>
      <c r="GK85" s="47">
        <f>_xll.LVCELL($D$2,GK$15,$B85,$D$5,$D$6,$D$7,$D$8,$D$9,$D$10,$D$11)</f>
        <v>826398</v>
      </c>
      <c r="GL85" s="47">
        <f>_xll.LVCELL($D$2,GL$15,$B85,$D$5,$D$6,$D$7,$D$8,$D$9,$D$10,$D$11)</f>
        <v>1420000</v>
      </c>
      <c r="GM85" s="47">
        <f>_xll.LVCELL($D$2,GM$15,$B85,$D$5,$D$6,$D$7,$D$8,$D$9,$D$10,$D$11)</f>
        <v>1884711</v>
      </c>
      <c r="GN85" s="47">
        <f>_xll.LVCELL($D$2,GN$15,$B85,$D$5,$D$6,$D$7,$D$8,$D$9,$D$10,$D$11)</f>
        <v>2302859</v>
      </c>
      <c r="GO85" s="47">
        <f>_xll.LVCELL($D$2,GO$15,$B85,$D$5,$D$6,$D$7,$D$8,$D$9,$D$10,$D$11)</f>
        <v>2670244</v>
      </c>
      <c r="GP85" s="47">
        <f>_xll.LVCELL($D$2,GP$15,$B85,$D$5,$D$6,$D$7,$D$8,$D$9,$D$10,$D$11)</f>
        <v>2439298</v>
      </c>
      <c r="GQ85" s="47">
        <f>_xll.LVCELL($D$2,GQ$15,$B85,$D$5,$D$6,$D$7,$D$8,$D$9,$D$10,$D$11)</f>
        <v>1924174</v>
      </c>
      <c r="GR85" s="47">
        <f>_xll.LVCELL($D$2,GR$15,$B85,$D$5,$D$6,$D$7,$D$8,$D$9,$D$10,$D$11)</f>
        <v>3603360</v>
      </c>
      <c r="GS85" s="47">
        <f>_xll.LVCELL($D$2,GS$15,$B85,$D$5,$D$6,$D$7,$D$8,$D$9,$D$10,$D$11)</f>
        <v>1427532</v>
      </c>
      <c r="GT85" s="47">
        <f>_xll.LVCELL($D$2,GT$15,$B85,$D$5,$D$6,$D$7,$D$8,$D$9,$D$10,$D$11)</f>
        <v>1401969</v>
      </c>
      <c r="GU85" s="47">
        <f>_xll.LVCELL($D$2,GU$15,$B85,$D$5,$D$6,$D$7,$D$8,$D$9,$D$10,$D$11)</f>
        <v>1324080</v>
      </c>
      <c r="GV85" s="47">
        <f>_xll.LVCELL($D$2,GV$15,$B85,$D$5,$D$6,$D$7,$D$8,$D$9,$D$10,$D$11)</f>
        <v>613746</v>
      </c>
      <c r="GW85" s="47">
        <f>_xll.LVCELL($D$2,GW$15,$B85,$D$5,$D$6,$D$7,$D$8,$D$9,$D$10,$D$11)</f>
        <v>1163555</v>
      </c>
      <c r="GX85" s="47">
        <f>_xll.LVCELL($D$2,GX$15,$B85,$D$5,$D$6,$D$7,$D$8,$D$9,$D$10,$D$11)</f>
        <v>1995360</v>
      </c>
      <c r="GY85" s="47">
        <f>_xll.LVCELL($D$2,GY$15,$B85,$D$5,$D$6,$D$7,$D$8,$D$9,$D$10,$D$11)</f>
        <v>2561000</v>
      </c>
      <c r="GZ85" s="47">
        <f>_xll.LVCELL($D$2,GZ$15,$B85,$D$5,$D$6,$D$7,$D$8,$D$9,$D$10,$D$11)</f>
        <v>2612703</v>
      </c>
      <c r="HA85" s="47">
        <f>_xll.LVCELL($D$2,HA$15,$B85,$D$5,$D$6,$D$7,$D$8,$D$9,$D$10,$D$11)</f>
        <v>3689340</v>
      </c>
      <c r="HB85" s="47">
        <f>_xll.LVCELL($D$2,HB$15,$B85,$D$5,$D$6,$D$7,$D$8,$D$9,$D$10,$D$11)</f>
        <v>3075696</v>
      </c>
      <c r="HC85" s="47">
        <f>_xll.LVCELL($D$2,HC$15,$B85,$D$5,$D$6,$D$7,$D$8,$D$9,$D$10,$D$11)</f>
        <v>4727858</v>
      </c>
      <c r="HD85" s="47">
        <f>_xll.LVCELL($D$2,HD$15,$B85,$D$5,$D$6,$D$7,$D$8,$D$9,$D$10,$D$11)</f>
        <v>3169249</v>
      </c>
      <c r="HE85" s="47">
        <f>_xll.LVCELL($D$2,HE$15,$B85,$D$5,$D$6,$D$7,$D$8,$D$9,$D$10,$D$11)</f>
        <v>1591786</v>
      </c>
      <c r="HF85" s="47">
        <f>_xll.LVCELL($D$2,HF$15,$B85,$D$5,$D$6,$D$7,$D$8,$D$9,$D$10,$D$11)</f>
        <v>1544104</v>
      </c>
      <c r="HG85" s="47">
        <f>_xll.LVCELL($D$2,HG$15,$B85,$D$5,$D$6,$D$7,$D$8,$D$9,$D$10,$D$11)</f>
        <v>1227496</v>
      </c>
      <c r="HH85" s="47">
        <f>_xll.LVCELL($D$2,HH$15,$B85,$D$5,$D$6,$D$7,$D$8,$D$9,$D$10,$D$11)</f>
        <v>1118726</v>
      </c>
      <c r="HI85" s="47">
        <f>_xll.LVCELL($D$2,HI$15,$B85,$D$5,$D$6,$D$7,$D$8,$D$9,$D$10,$D$11)</f>
        <v>1309838</v>
      </c>
      <c r="HJ85" s="47">
        <f>_xll.LVCELL($D$2,HJ$15,$B85,$D$5,$D$6,$D$7,$D$8,$D$9,$D$10,$D$11)</f>
        <v>1691195</v>
      </c>
      <c r="HK85" s="47">
        <f>_xll.LVCELL($D$2,HK$15,$B85,$D$5,$D$6,$D$7,$D$8,$D$9,$D$10,$D$11)</f>
        <v>3073447</v>
      </c>
      <c r="HL85" s="47">
        <f>_xll.LVCELL($D$2,HL$15,$B85,$D$5,$D$6,$D$7,$D$8,$D$9,$D$10,$D$11)</f>
        <v>1884157</v>
      </c>
      <c r="HM85" s="47">
        <f>_xll.LVCELL($D$2,HM$15,$B85,$D$5,$D$6,$D$7,$D$8,$D$9,$D$10,$D$11)</f>
        <v>3160762</v>
      </c>
    </row>
    <row r="86" spans="2:221">
      <c r="B86" t="s">
        <v>381</v>
      </c>
      <c r="D86" s="46" t="s">
        <v>366</v>
      </c>
      <c r="GI86" s="47">
        <f>_xll.LVCELL($D$2,GI$15,$B86,$D$5,$D$6,$D$7,$D$8,$D$9,$D$10,$D$11)</f>
        <v>717033</v>
      </c>
      <c r="GJ86" s="47">
        <f>_xll.LVCELL($D$2,GJ$15,$B86,$D$5,$D$6,$D$7,$D$8,$D$9,$D$10,$D$11)</f>
        <v>948013</v>
      </c>
      <c r="GK86" s="47">
        <f>_xll.LVCELL($D$2,GK$15,$B86,$D$5,$D$6,$D$7,$D$8,$D$9,$D$10,$D$11)</f>
        <v>1083275</v>
      </c>
      <c r="GL86" s="47">
        <f>_xll.LVCELL($D$2,GL$15,$B86,$D$5,$D$6,$D$7,$D$8,$D$9,$D$10,$D$11)</f>
        <v>1248477</v>
      </c>
      <c r="GM86" s="47">
        <f>_xll.LVCELL($D$2,GM$15,$B86,$D$5,$D$6,$D$7,$D$8,$D$9,$D$10,$D$11)</f>
        <v>1922779</v>
      </c>
      <c r="GN86" s="47">
        <f>_xll.LVCELL($D$2,GN$15,$B86,$D$5,$D$6,$D$7,$D$8,$D$9,$D$10,$D$11)</f>
        <v>1675784</v>
      </c>
      <c r="GO86" s="47">
        <f>_xll.LVCELL($D$2,GO$15,$B86,$D$5,$D$6,$D$7,$D$8,$D$9,$D$10,$D$11)</f>
        <v>3236660</v>
      </c>
      <c r="GP86" s="47">
        <f>_xll.LVCELL($D$2,GP$15,$B86,$D$5,$D$6,$D$7,$D$8,$D$9,$D$10,$D$11)</f>
        <v>1861573</v>
      </c>
      <c r="GQ86" s="47">
        <f>_xll.LVCELL($D$2,GQ$15,$B86,$D$5,$D$6,$D$7,$D$8,$D$9,$D$10,$D$11)</f>
        <v>1645139</v>
      </c>
      <c r="GR86" s="47">
        <f>_xll.LVCELL($D$2,GR$15,$B86,$D$5,$D$6,$D$7,$D$8,$D$9,$D$10,$D$11)</f>
        <v>3644233</v>
      </c>
      <c r="GS86" s="47">
        <f>_xll.LVCELL($D$2,GS$15,$B86,$D$5,$D$6,$D$7,$D$8,$D$9,$D$10,$D$11)</f>
        <v>1666518</v>
      </c>
      <c r="GT86" s="47">
        <f>_xll.LVCELL($D$2,GT$15,$B86,$D$5,$D$6,$D$7,$D$8,$D$9,$D$10,$D$11)</f>
        <v>1571070</v>
      </c>
      <c r="GU86" s="47">
        <f>_xll.LVCELL($D$2,GU$15,$B86,$D$5,$D$6,$D$7,$D$8,$D$9,$D$10,$D$11)</f>
        <v>1288595</v>
      </c>
      <c r="GV86" s="47">
        <f>_xll.LVCELL($D$2,GV$15,$B86,$D$5,$D$6,$D$7,$D$8,$D$9,$D$10,$D$11)</f>
        <v>1030000</v>
      </c>
      <c r="GW86" s="47">
        <f>_xll.LVCELL($D$2,GW$15,$B86,$D$5,$D$6,$D$7,$D$8,$D$9,$D$10,$D$11)</f>
        <v>850042</v>
      </c>
      <c r="GX86" s="47">
        <f>_xll.LVCELL($D$2,GX$15,$B86,$D$5,$D$6,$D$7,$D$8,$D$9,$D$10,$D$11)</f>
        <v>1966000</v>
      </c>
      <c r="GY86" s="47">
        <f>_xll.LVCELL($D$2,GY$15,$B86,$D$5,$D$6,$D$7,$D$8,$D$9,$D$10,$D$11)</f>
        <v>2278067</v>
      </c>
      <c r="GZ86" s="47">
        <f>_xll.LVCELL($D$2,GZ$15,$B86,$D$5,$D$6,$D$7,$D$8,$D$9,$D$10,$D$11)</f>
        <v>2342206</v>
      </c>
      <c r="HA86" s="47">
        <f>_xll.LVCELL($D$2,HA$15,$B86,$D$5,$D$6,$D$7,$D$8,$D$9,$D$10,$D$11)</f>
        <v>3282073</v>
      </c>
      <c r="HB86" s="47">
        <f>_xll.LVCELL($D$2,HB$15,$B86,$D$5,$D$6,$D$7,$D$8,$D$9,$D$10,$D$11)</f>
        <v>2839848</v>
      </c>
      <c r="HC86" s="47">
        <f>_xll.LVCELL($D$2,HC$15,$B86,$D$5,$D$6,$D$7,$D$8,$D$9,$D$10,$D$11)</f>
        <v>4321578</v>
      </c>
      <c r="HD86" s="47">
        <f>_xll.LVCELL($D$2,HD$15,$B86,$D$5,$D$6,$D$7,$D$8,$D$9,$D$10,$D$11)</f>
        <v>3607023</v>
      </c>
      <c r="HE86" s="47">
        <f>_xll.LVCELL($D$2,HE$15,$B86,$D$5,$D$6,$D$7,$D$8,$D$9,$D$10,$D$11)</f>
        <v>1791997</v>
      </c>
      <c r="HF86" s="47">
        <f>_xll.LVCELL($D$2,HF$15,$B86,$D$5,$D$6,$D$7,$D$8,$D$9,$D$10,$D$11)</f>
        <v>1746643</v>
      </c>
      <c r="HG86" s="47">
        <f>_xll.LVCELL($D$2,HG$15,$B86,$D$5,$D$6,$D$7,$D$8,$D$9,$D$10,$D$11)</f>
        <v>1878929</v>
      </c>
      <c r="HH86" s="47">
        <f>_xll.LVCELL($D$2,HH$15,$B86,$D$5,$D$6,$D$7,$D$8,$D$9,$D$10,$D$11)</f>
        <v>855197</v>
      </c>
      <c r="HI86" s="47">
        <f>_xll.LVCELL($D$2,HI$15,$B86,$D$5,$D$6,$D$7,$D$8,$D$9,$D$10,$D$11)</f>
        <v>1175683</v>
      </c>
      <c r="HJ86" s="47">
        <f>_xll.LVCELL($D$2,HJ$15,$B86,$D$5,$D$6,$D$7,$D$8,$D$9,$D$10,$D$11)</f>
        <v>1308130</v>
      </c>
      <c r="HK86" s="47">
        <f>_xll.LVCELL($D$2,HK$15,$B86,$D$5,$D$6,$D$7,$D$8,$D$9,$D$10,$D$11)</f>
        <v>2946563</v>
      </c>
      <c r="HL86" s="47">
        <f>_xll.LVCELL($D$2,HL$15,$B86,$D$5,$D$6,$D$7,$D$8,$D$9,$D$10,$D$11)</f>
        <v>1840078</v>
      </c>
      <c r="HM86" s="47">
        <f>_xll.LVCELL($D$2,HM$15,$B86,$D$5,$D$6,$D$7,$D$8,$D$9,$D$10,$D$11)</f>
        <v>2596793</v>
      </c>
    </row>
    <row r="87" spans="2:221">
      <c r="B87" t="s">
        <v>382</v>
      </c>
      <c r="D87" s="46" t="s">
        <v>367</v>
      </c>
      <c r="GI87" s="47">
        <f>_xll.LVCELL($D$2,GI$15,$B87,$D$5,$D$6,$D$7,$D$8,$D$9,$D$10,$D$11)</f>
        <v>292321</v>
      </c>
      <c r="GJ87" s="47">
        <f>_xll.LVCELL($D$2,GJ$15,$B87,$D$5,$D$6,$D$7,$D$8,$D$9,$D$10,$D$11)</f>
        <v>581601</v>
      </c>
      <c r="GK87" s="47">
        <f>_xll.LVCELL($D$2,GK$15,$B87,$D$5,$D$6,$D$7,$D$8,$D$9,$D$10,$D$11)</f>
        <v>915873</v>
      </c>
      <c r="GL87" s="47">
        <f>_xll.LVCELL($D$2,GL$15,$B87,$D$5,$D$6,$D$7,$D$8,$D$9,$D$10,$D$11)</f>
        <v>1037882</v>
      </c>
      <c r="GM87" s="47">
        <f>_xll.LVCELL($D$2,GM$15,$B87,$D$5,$D$6,$D$7,$D$8,$D$9,$D$10,$D$11)</f>
        <v>1329593</v>
      </c>
      <c r="GN87" s="47">
        <f>_xll.LVCELL($D$2,GN$15,$B87,$D$5,$D$6,$D$7,$D$8,$D$9,$D$10,$D$11)</f>
        <v>1777742</v>
      </c>
      <c r="GO87" s="47">
        <f>_xll.LVCELL($D$2,GO$15,$B87,$D$5,$D$6,$D$7,$D$8,$D$9,$D$10,$D$11)</f>
        <v>2482714</v>
      </c>
      <c r="GP87" s="47">
        <f>_xll.LVCELL($D$2,GP$15,$B87,$D$5,$D$6,$D$7,$D$8,$D$9,$D$10,$D$11)</f>
        <v>1684262</v>
      </c>
      <c r="GQ87" s="47">
        <f>_xll.LVCELL($D$2,GQ$15,$B87,$D$5,$D$6,$D$7,$D$8,$D$9,$D$10,$D$11)</f>
        <v>1705836</v>
      </c>
      <c r="GR87" s="47">
        <f>_xll.LVCELL($D$2,GR$15,$B87,$D$5,$D$6,$D$7,$D$8,$D$9,$D$10,$D$11)</f>
        <v>3013335</v>
      </c>
      <c r="GS87" s="47">
        <f>_xll.LVCELL($D$2,GS$15,$B87,$D$5,$D$6,$D$7,$D$8,$D$9,$D$10,$D$11)</f>
        <v>1078230</v>
      </c>
      <c r="GT87" s="47">
        <f>_xll.LVCELL($D$2,GT$15,$B87,$D$5,$D$6,$D$7,$D$8,$D$9,$D$10,$D$11)</f>
        <v>940000</v>
      </c>
      <c r="GU87" s="47">
        <f>_xll.LVCELL($D$2,GU$15,$B87,$D$5,$D$6,$D$7,$D$8,$D$9,$D$10,$D$11)</f>
        <v>919944</v>
      </c>
      <c r="GV87" s="47">
        <f>_xll.LVCELL($D$2,GV$15,$B87,$D$5,$D$6,$D$7,$D$8,$D$9,$D$10,$D$11)</f>
        <v>867654</v>
      </c>
      <c r="GW87" s="47">
        <f>_xll.LVCELL($D$2,GW$15,$B87,$D$5,$D$6,$D$7,$D$8,$D$9,$D$10,$D$11)</f>
        <v>998042</v>
      </c>
      <c r="GX87" s="47">
        <f>_xll.LVCELL($D$2,GX$15,$B87,$D$5,$D$6,$D$7,$D$8,$D$9,$D$10,$D$11)</f>
        <v>1643000</v>
      </c>
      <c r="GY87" s="47">
        <f>_xll.LVCELL($D$2,GY$15,$B87,$D$5,$D$6,$D$7,$D$8,$D$9,$D$10,$D$11)</f>
        <v>2210967</v>
      </c>
      <c r="GZ87" s="47">
        <f>_xll.LVCELL($D$2,GZ$15,$B87,$D$5,$D$6,$D$7,$D$8,$D$9,$D$10,$D$11)</f>
        <v>1759355</v>
      </c>
      <c r="HA87" s="47">
        <f>_xll.LVCELL($D$2,HA$15,$B87,$D$5,$D$6,$D$7,$D$8,$D$9,$D$10,$D$11)</f>
        <v>3229349</v>
      </c>
      <c r="HB87" s="47">
        <f>_xll.LVCELL($D$2,HB$15,$B87,$D$5,$D$6,$D$7,$D$8,$D$9,$D$10,$D$11)</f>
        <v>2489435</v>
      </c>
      <c r="HC87" s="47">
        <f>_xll.LVCELL($D$2,HC$15,$B87,$D$5,$D$6,$D$7,$D$8,$D$9,$D$10,$D$11)</f>
        <v>4319653</v>
      </c>
      <c r="HD87" s="47">
        <f>_xll.LVCELL($D$2,HD$15,$B87,$D$5,$D$6,$D$7,$D$8,$D$9,$D$10,$D$11)</f>
        <v>2687854</v>
      </c>
      <c r="HE87" s="47">
        <f>_xll.LVCELL($D$2,HE$15,$B87,$D$5,$D$6,$D$7,$D$8,$D$9,$D$10,$D$11)</f>
        <v>998549</v>
      </c>
      <c r="HF87" s="47">
        <f>_xll.LVCELL($D$2,HF$15,$B87,$D$5,$D$6,$D$7,$D$8,$D$9,$D$10,$D$11)</f>
        <v>1304871</v>
      </c>
      <c r="HG87" s="47">
        <f>_xll.LVCELL($D$2,HG$15,$B87,$D$5,$D$6,$D$7,$D$8,$D$9,$D$10,$D$11)</f>
        <v>906192</v>
      </c>
      <c r="HH87" s="47">
        <f>_xll.LVCELL($D$2,HH$15,$B87,$D$5,$D$6,$D$7,$D$8,$D$9,$D$10,$D$11)</f>
        <v>1153173</v>
      </c>
      <c r="HI87" s="47">
        <f>_xll.LVCELL($D$2,HI$15,$B87,$D$5,$D$6,$D$7,$D$8,$D$9,$D$10,$D$11)</f>
        <v>1085679</v>
      </c>
      <c r="HJ87" s="47">
        <f>_xll.LVCELL($D$2,HJ$15,$B87,$D$5,$D$6,$D$7,$D$8,$D$9,$D$10,$D$11)</f>
        <v>1210071</v>
      </c>
      <c r="HK87" s="47">
        <f>_xll.LVCELL($D$2,HK$15,$B87,$D$5,$D$6,$D$7,$D$8,$D$9,$D$10,$D$11)</f>
        <v>2510136</v>
      </c>
      <c r="HL87" s="47">
        <f>_xll.LVCELL($D$2,HL$15,$B87,$D$5,$D$6,$D$7,$D$8,$D$9,$D$10,$D$11)</f>
        <v>1800590</v>
      </c>
      <c r="HM87" s="47">
        <f>_xll.LVCELL($D$2,HM$15,$B87,$D$5,$D$6,$D$7,$D$8,$D$9,$D$10,$D$11)</f>
        <v>2296304</v>
      </c>
    </row>
    <row r="88" spans="2:221">
      <c r="B88" s="4" t="s">
        <v>383</v>
      </c>
      <c r="C88" s="4"/>
      <c r="D88" s="46" t="s">
        <v>368</v>
      </c>
      <c r="GI88" s="47">
        <f>_xll.LVCELL($D$2,GI$15,$B88,$D$5,$D$6,$D$7,$D$8,$D$9,$D$10,$D$11)</f>
        <v>341016</v>
      </c>
      <c r="GJ88" s="47">
        <f>_xll.LVCELL($D$2,GJ$15,$B88,$D$5,$D$6,$D$7,$D$8,$D$9,$D$10,$D$11)</f>
        <v>618123</v>
      </c>
      <c r="GK88" s="47">
        <f>_xll.LVCELL($D$2,GK$15,$B88,$D$5,$D$6,$D$7,$D$8,$D$9,$D$10,$D$11)</f>
        <v>943769</v>
      </c>
      <c r="GL88" s="47">
        <f>_xll.LVCELL($D$2,GL$15,$B88,$D$5,$D$6,$D$7,$D$8,$D$9,$D$10,$D$11)</f>
        <v>972002</v>
      </c>
      <c r="GM88" s="47">
        <f>_xll.LVCELL($D$2,GM$15,$B88,$D$5,$D$6,$D$7,$D$8,$D$9,$D$10,$D$11)</f>
        <v>1470898</v>
      </c>
      <c r="GN88" s="47">
        <f>_xll.LVCELL($D$2,GN$15,$B88,$D$5,$D$6,$D$7,$D$8,$D$9,$D$10,$D$11)</f>
        <v>1827459</v>
      </c>
      <c r="GO88" s="47">
        <f>_xll.LVCELL($D$2,GO$15,$B88,$D$5,$D$6,$D$7,$D$8,$D$9,$D$10,$D$11)</f>
        <v>2621180</v>
      </c>
      <c r="GP88" s="47">
        <f>_xll.LVCELL($D$2,GP$15,$B88,$D$5,$D$6,$D$7,$D$8,$D$9,$D$10,$D$11)</f>
        <v>1878941</v>
      </c>
      <c r="GQ88" s="47">
        <f>_xll.LVCELL($D$2,GQ$15,$B88,$D$5,$D$6,$D$7,$D$8,$D$9,$D$10,$D$11)</f>
        <v>1922656</v>
      </c>
      <c r="GR88" s="47">
        <f>_xll.LVCELL($D$2,GR$15,$B88,$D$5,$D$6,$D$7,$D$8,$D$9,$D$10,$D$11)</f>
        <v>3370055</v>
      </c>
      <c r="GS88" s="47">
        <f>_xll.LVCELL($D$2,GS$15,$B88,$D$5,$D$6,$D$7,$D$8,$D$9,$D$10,$D$11)</f>
        <v>1198099</v>
      </c>
      <c r="GT88" s="47">
        <f>_xll.LVCELL($D$2,GT$15,$B88,$D$5,$D$6,$D$7,$D$8,$D$9,$D$10,$D$11)</f>
        <v>995404</v>
      </c>
      <c r="GU88" s="47">
        <f>_xll.LVCELL($D$2,GU$15,$B88,$D$5,$D$6,$D$7,$D$8,$D$9,$D$10,$D$11)</f>
        <v>997200</v>
      </c>
      <c r="GV88" s="47">
        <f>_xll.LVCELL($D$2,GV$15,$B88,$D$5,$D$6,$D$7,$D$8,$D$9,$D$10,$D$11)</f>
        <v>949804</v>
      </c>
      <c r="GW88" s="47">
        <f>_xll.LVCELL($D$2,GW$15,$B88,$D$5,$D$6,$D$7,$D$8,$D$9,$D$10,$D$11)</f>
        <v>1032133</v>
      </c>
      <c r="GX88" s="47">
        <f>_xll.LVCELL($D$2,GX$15,$B88,$D$5,$D$6,$D$7,$D$8,$D$9,$D$10,$D$11)</f>
        <v>1804877</v>
      </c>
      <c r="GY88" s="47">
        <f>_xll.LVCELL($D$2,GY$15,$B88,$D$5,$D$6,$D$7,$D$8,$D$9,$D$10,$D$11)</f>
        <v>2207892</v>
      </c>
      <c r="GZ88" s="47">
        <f>_xll.LVCELL($D$2,GZ$15,$B88,$D$5,$D$6,$D$7,$D$8,$D$9,$D$10,$D$11)</f>
        <v>1857892</v>
      </c>
      <c r="HA88" s="47">
        <f>_xll.LVCELL($D$2,HA$15,$B88,$D$5,$D$6,$D$7,$D$8,$D$9,$D$10,$D$11)</f>
        <v>3139833</v>
      </c>
      <c r="HB88" s="47">
        <f>_xll.LVCELL($D$2,HB$15,$B88,$D$5,$D$6,$D$7,$D$8,$D$9,$D$10,$D$11)</f>
        <v>2797068</v>
      </c>
      <c r="HC88" s="47">
        <f>_xll.LVCELL($D$2,HC$15,$B88,$D$5,$D$6,$D$7,$D$8,$D$9,$D$10,$D$11)</f>
        <v>4639829</v>
      </c>
      <c r="HD88" s="47">
        <f>_xll.LVCELL($D$2,HD$15,$B88,$D$5,$D$6,$D$7,$D$8,$D$9,$D$10,$D$11)</f>
        <v>2894181</v>
      </c>
      <c r="HE88" s="47">
        <f>_xll.LVCELL($D$2,HE$15,$B88,$D$5,$D$6,$D$7,$D$8,$D$9,$D$10,$D$11)</f>
        <v>1161013</v>
      </c>
      <c r="HF88" s="47">
        <f>_xll.LVCELL($D$2,HF$15,$B88,$D$5,$D$6,$D$7,$D$8,$D$9,$D$10,$D$11)</f>
        <v>1362113</v>
      </c>
      <c r="HG88" s="47">
        <f>_xll.LVCELL($D$2,HG$15,$B88,$D$5,$D$6,$D$7,$D$8,$D$9,$D$10,$D$11)</f>
        <v>1180092</v>
      </c>
      <c r="HH88" s="47">
        <f>_xll.LVCELL($D$2,HH$15,$B88,$D$5,$D$6,$D$7,$D$8,$D$9,$D$10,$D$11)</f>
        <v>1248672</v>
      </c>
      <c r="HI88" s="47">
        <f>_xll.LVCELL($D$2,HI$15,$B88,$D$5,$D$6,$D$7,$D$8,$D$9,$D$10,$D$11)</f>
        <v>1292042</v>
      </c>
      <c r="HJ88" s="47">
        <f>_xll.LVCELL($D$2,HJ$15,$B88,$D$5,$D$6,$D$7,$D$8,$D$9,$D$10,$D$11)</f>
        <v>1193673</v>
      </c>
      <c r="HK88" s="47">
        <f>_xll.LVCELL($D$2,HK$15,$B88,$D$5,$D$6,$D$7,$D$8,$D$9,$D$10,$D$11)</f>
        <v>2826604</v>
      </c>
      <c r="HL88" s="47">
        <f>_xll.LVCELL($D$2,HL$15,$B88,$D$5,$D$6,$D$7,$D$8,$D$9,$D$10,$D$11)</f>
        <v>2024404</v>
      </c>
      <c r="HM88" s="47">
        <f>_xll.LVCELL($D$2,HM$15,$B88,$D$5,$D$6,$D$7,$D$8,$D$9,$D$10,$D$11)</f>
        <v>2599008</v>
      </c>
    </row>
    <row r="89" spans="2:221">
      <c r="B89" t="s">
        <v>384</v>
      </c>
      <c r="D89" s="46" t="s">
        <v>369</v>
      </c>
      <c r="GI89" s="47">
        <f>_xll.LVCELL($D$2,GI$15,$B89,$D$5,$D$6,$D$7,$D$8,$D$9,$D$10,$D$11)</f>
        <v>634883</v>
      </c>
      <c r="GJ89" s="47">
        <f>_xll.LVCELL($D$2,GJ$15,$B89,$D$5,$D$6,$D$7,$D$8,$D$9,$D$10,$D$11)</f>
        <v>951013</v>
      </c>
      <c r="GK89" s="47">
        <f>_xll.LVCELL($D$2,GK$15,$B89,$D$5,$D$6,$D$7,$D$8,$D$9,$D$10,$D$11)</f>
        <v>1082474</v>
      </c>
      <c r="GL89" s="47">
        <f>_xll.LVCELL($D$2,GL$15,$B89,$D$5,$D$6,$D$7,$D$8,$D$9,$D$10,$D$11)</f>
        <v>1307359</v>
      </c>
      <c r="GM89" s="47">
        <f>_xll.LVCELL($D$2,GM$15,$B89,$D$5,$D$6,$D$7,$D$8,$D$9,$D$10,$D$11)</f>
        <v>1834290</v>
      </c>
      <c r="GN89" s="47">
        <f>_xll.LVCELL($D$2,GN$15,$B89,$D$5,$D$6,$D$7,$D$8,$D$9,$D$10,$D$11)</f>
        <v>2349184</v>
      </c>
      <c r="GO89" s="47">
        <f>_xll.LVCELL($D$2,GO$15,$B89,$D$5,$D$6,$D$7,$D$8,$D$9,$D$10,$D$11)</f>
        <v>2904486</v>
      </c>
      <c r="GP89" s="47">
        <f>_xll.LVCELL($D$2,GP$15,$B89,$D$5,$D$6,$D$7,$D$8,$D$9,$D$10,$D$11)</f>
        <v>2315887</v>
      </c>
      <c r="GQ89" s="47">
        <f>_xll.LVCELL($D$2,GQ$15,$B89,$D$5,$D$6,$D$7,$D$8,$D$9,$D$10,$D$11)</f>
        <v>1870538</v>
      </c>
      <c r="GR89" s="47">
        <f>_xll.LVCELL($D$2,GR$15,$B89,$D$5,$D$6,$D$7,$D$8,$D$9,$D$10,$D$11)</f>
        <v>3590958</v>
      </c>
      <c r="GS89" s="47">
        <f>_xll.LVCELL($D$2,GS$15,$B89,$D$5,$D$6,$D$7,$D$8,$D$9,$D$10,$D$11)</f>
        <v>1980688</v>
      </c>
      <c r="GT89" s="47">
        <f>_xll.LVCELL($D$2,GT$15,$B89,$D$5,$D$6,$D$7,$D$8,$D$9,$D$10,$D$11)</f>
        <v>1628849</v>
      </c>
      <c r="GU89" s="47">
        <f>_xll.LVCELL($D$2,GU$15,$B89,$D$5,$D$6,$D$7,$D$8,$D$9,$D$10,$D$11)</f>
        <v>1425600</v>
      </c>
      <c r="GV89" s="47">
        <f>_xll.LVCELL($D$2,GV$15,$B89,$D$5,$D$6,$D$7,$D$8,$D$9,$D$10,$D$11)</f>
        <v>1110000</v>
      </c>
      <c r="GW89" s="47">
        <f>_xll.LVCELL($D$2,GW$15,$B89,$D$5,$D$6,$D$7,$D$8,$D$9,$D$10,$D$11)</f>
        <v>1143127</v>
      </c>
      <c r="GX89" s="47">
        <f>_xll.LVCELL($D$2,GX$15,$B89,$D$5,$D$6,$D$7,$D$8,$D$9,$D$10,$D$11)</f>
        <v>1869424</v>
      </c>
      <c r="GY89" s="47">
        <f>_xll.LVCELL($D$2,GY$15,$B89,$D$5,$D$6,$D$7,$D$8,$D$9,$D$10,$D$11)</f>
        <v>2750858</v>
      </c>
      <c r="GZ89" s="47">
        <f>_xll.LVCELL($D$2,GZ$15,$B89,$D$5,$D$6,$D$7,$D$8,$D$9,$D$10,$D$11)</f>
        <v>2105384</v>
      </c>
      <c r="HA89" s="47">
        <f>_xll.LVCELL($D$2,HA$15,$B89,$D$5,$D$6,$D$7,$D$8,$D$9,$D$10,$D$11)</f>
        <v>3089059</v>
      </c>
      <c r="HB89" s="47">
        <f>_xll.LVCELL($D$2,HB$15,$B89,$D$5,$D$6,$D$7,$D$8,$D$9,$D$10,$D$11)</f>
        <v>2411304</v>
      </c>
      <c r="HC89" s="47">
        <f>_xll.LVCELL($D$2,HC$15,$B89,$D$5,$D$6,$D$7,$D$8,$D$9,$D$10,$D$11)</f>
        <v>4067933</v>
      </c>
      <c r="HD89" s="47">
        <f>_xll.LVCELL($D$2,HD$15,$B89,$D$5,$D$6,$D$7,$D$8,$D$9,$D$10,$D$11)</f>
        <v>3179781</v>
      </c>
      <c r="HE89" s="47">
        <f>_xll.LVCELL($D$2,HE$15,$B89,$D$5,$D$6,$D$7,$D$8,$D$9,$D$10,$D$11)</f>
        <v>1540042</v>
      </c>
      <c r="HF89" s="47">
        <f>_xll.LVCELL($D$2,HF$15,$B89,$D$5,$D$6,$D$7,$D$8,$D$9,$D$10,$D$11)</f>
        <v>1334750</v>
      </c>
      <c r="HG89" s="47">
        <f>_xll.LVCELL($D$2,HG$15,$B89,$D$5,$D$6,$D$7,$D$8,$D$9,$D$10,$D$11)</f>
        <v>989470</v>
      </c>
      <c r="HH89" s="47">
        <f>_xll.LVCELL($D$2,HH$15,$B89,$D$5,$D$6,$D$7,$D$8,$D$9,$D$10,$D$11)</f>
        <v>878753</v>
      </c>
      <c r="HI89" s="47">
        <f>_xll.LVCELL($D$2,HI$15,$B89,$D$5,$D$6,$D$7,$D$8,$D$9,$D$10,$D$11)</f>
        <v>1044525</v>
      </c>
      <c r="HJ89" s="47">
        <f>_xll.LVCELL($D$2,HJ$15,$B89,$D$5,$D$6,$D$7,$D$8,$D$9,$D$10,$D$11)</f>
        <v>830170</v>
      </c>
      <c r="HK89" s="47">
        <f>_xll.LVCELL($D$2,HK$15,$B89,$D$5,$D$6,$D$7,$D$8,$D$9,$D$10,$D$11)</f>
        <v>2914830</v>
      </c>
      <c r="HL89" s="47">
        <f>_xll.LVCELL($D$2,HL$15,$B89,$D$5,$D$6,$D$7,$D$8,$D$9,$D$10,$D$11)</f>
        <v>1788605</v>
      </c>
      <c r="HM89" s="47">
        <f>_xll.LVCELL($D$2,HM$15,$B89,$D$5,$D$6,$D$7,$D$8,$D$9,$D$10,$D$11)</f>
        <v>2211532</v>
      </c>
    </row>
    <row r="90" spans="2:221">
      <c r="B90" s="4" t="s">
        <v>385</v>
      </c>
      <c r="C90" s="4"/>
      <c r="D90" s="46" t="s">
        <v>370</v>
      </c>
      <c r="GI90" s="47">
        <f>_xll.LVCELL($D$2,GI$15,$B90,$D$5,$D$6,$D$7,$D$8,$D$9,$D$10,$D$11)</f>
        <v>695138</v>
      </c>
      <c r="GJ90" s="47">
        <f>_xll.LVCELL($D$2,GJ$15,$B90,$D$5,$D$6,$D$7,$D$8,$D$9,$D$10,$D$11)</f>
        <v>958688</v>
      </c>
      <c r="GK90" s="47">
        <f>_xll.LVCELL($D$2,GK$15,$B90,$D$5,$D$6,$D$7,$D$8,$D$9,$D$10,$D$11)</f>
        <v>1052668</v>
      </c>
      <c r="GL90" s="47">
        <f>_xll.LVCELL($D$2,GL$15,$B90,$D$5,$D$6,$D$7,$D$8,$D$9,$D$10,$D$11)</f>
        <v>1284934</v>
      </c>
      <c r="GM90" s="47">
        <f>_xll.LVCELL($D$2,GM$15,$B90,$D$5,$D$6,$D$7,$D$8,$D$9,$D$10,$D$11)</f>
        <v>1808338</v>
      </c>
      <c r="GN90" s="47">
        <f>_xll.LVCELL($D$2,GN$15,$B90,$D$5,$D$6,$D$7,$D$8,$D$9,$D$10,$D$11)</f>
        <v>2271486</v>
      </c>
      <c r="GO90" s="47">
        <f>_xll.LVCELL($D$2,GO$15,$B90,$D$5,$D$6,$D$7,$D$8,$D$9,$D$10,$D$11)</f>
        <v>3194992</v>
      </c>
      <c r="GP90" s="47">
        <f>_xll.LVCELL($D$2,GP$15,$B90,$D$5,$D$6,$D$7,$D$8,$D$9,$D$10,$D$11)</f>
        <v>2531163</v>
      </c>
      <c r="GQ90" s="47">
        <f>_xll.LVCELL($D$2,GQ$15,$B90,$D$5,$D$6,$D$7,$D$8,$D$9,$D$10,$D$11)</f>
        <v>1969691</v>
      </c>
      <c r="GR90" s="47">
        <f>_xll.LVCELL($D$2,GR$15,$B90,$D$5,$D$6,$D$7,$D$8,$D$9,$D$10,$D$11)</f>
        <v>3990092</v>
      </c>
      <c r="GS90" s="47">
        <f>_xll.LVCELL($D$2,GS$15,$B90,$D$5,$D$6,$D$7,$D$8,$D$9,$D$10,$D$11)</f>
        <v>2090810</v>
      </c>
      <c r="GT90" s="47">
        <f>_xll.LVCELL($D$2,GT$15,$B90,$D$5,$D$6,$D$7,$D$8,$D$9,$D$10,$D$11)</f>
        <v>1811256</v>
      </c>
      <c r="GU90" s="47">
        <f>_xll.LVCELL($D$2,GU$15,$B90,$D$5,$D$6,$D$7,$D$8,$D$9,$D$10,$D$11)</f>
        <v>1495155</v>
      </c>
      <c r="GV90" s="47">
        <f>_xll.LVCELL($D$2,GV$15,$B90,$D$5,$D$6,$D$7,$D$8,$D$9,$D$10,$D$11)</f>
        <v>1067907</v>
      </c>
      <c r="GW90" s="47">
        <f>_xll.LVCELL($D$2,GW$15,$B90,$D$5,$D$6,$D$7,$D$8,$D$9,$D$10,$D$11)</f>
        <v>1031354</v>
      </c>
      <c r="GX90" s="47">
        <f>_xll.LVCELL($D$2,GX$15,$B90,$D$5,$D$6,$D$7,$D$8,$D$9,$D$10,$D$11)</f>
        <v>1958036</v>
      </c>
      <c r="GY90" s="47">
        <f>_xll.LVCELL($D$2,GY$15,$B90,$D$5,$D$6,$D$7,$D$8,$D$9,$D$10,$D$11)</f>
        <v>2681049</v>
      </c>
      <c r="GZ90" s="47">
        <f>_xll.LVCELL($D$2,GZ$15,$B90,$D$5,$D$6,$D$7,$D$8,$D$9,$D$10,$D$11)</f>
        <v>2354265</v>
      </c>
      <c r="HA90" s="47">
        <f>_xll.LVCELL($D$2,HA$15,$B90,$D$5,$D$6,$D$7,$D$8,$D$9,$D$10,$D$11)</f>
        <v>3318657</v>
      </c>
      <c r="HB90" s="47">
        <f>_xll.LVCELL($D$2,HB$15,$B90,$D$5,$D$6,$D$7,$D$8,$D$9,$D$10,$D$11)</f>
        <v>2380563</v>
      </c>
      <c r="HC90" s="47">
        <f>_xll.LVCELL($D$2,HC$15,$B90,$D$5,$D$6,$D$7,$D$8,$D$9,$D$10,$D$11)</f>
        <v>4688587</v>
      </c>
      <c r="HD90" s="47">
        <f>_xll.LVCELL($D$2,HD$15,$B90,$D$5,$D$6,$D$7,$D$8,$D$9,$D$10,$D$11)</f>
        <v>3752798</v>
      </c>
      <c r="HE90" s="47">
        <f>_xll.LVCELL($D$2,HE$15,$B90,$D$5,$D$6,$D$7,$D$8,$D$9,$D$10,$D$11)</f>
        <v>1799532</v>
      </c>
      <c r="HF90" s="47">
        <f>_xll.LVCELL($D$2,HF$15,$B90,$D$5,$D$6,$D$7,$D$8,$D$9,$D$10,$D$11)</f>
        <v>1460328</v>
      </c>
      <c r="HG90" s="47">
        <f>_xll.LVCELL($D$2,HG$15,$B90,$D$5,$D$6,$D$7,$D$8,$D$9,$D$10,$D$11)</f>
        <v>1069424</v>
      </c>
      <c r="HH90" s="47">
        <f>_xll.LVCELL($D$2,HH$15,$B90,$D$5,$D$6,$D$7,$D$8,$D$9,$D$10,$D$11)</f>
        <v>1001249</v>
      </c>
      <c r="HI90" s="47">
        <f>_xll.LVCELL($D$2,HI$15,$B90,$D$5,$D$6,$D$7,$D$8,$D$9,$D$10,$D$11)</f>
        <v>995800</v>
      </c>
      <c r="HJ90" s="47">
        <f>_xll.LVCELL($D$2,HJ$15,$B90,$D$5,$D$6,$D$7,$D$8,$D$9,$D$10,$D$11)</f>
        <v>924579</v>
      </c>
      <c r="HK90" s="47">
        <f>_xll.LVCELL($D$2,HK$15,$B90,$D$5,$D$6,$D$7,$D$8,$D$9,$D$10,$D$11)</f>
        <v>2696088</v>
      </c>
      <c r="HL90" s="47">
        <f>_xll.LVCELL($D$2,HL$15,$B90,$D$5,$D$6,$D$7,$D$8,$D$9,$D$10,$D$11)</f>
        <v>1707545</v>
      </c>
      <c r="HM90" s="47">
        <f>_xll.LVCELL($D$2,HM$15,$B90,$D$5,$D$6,$D$7,$D$8,$D$9,$D$10,$D$11)</f>
        <v>2136674</v>
      </c>
    </row>
    <row r="91" spans="2:221" s="313" customFormat="1">
      <c r="B91" s="313" t="s">
        <v>386</v>
      </c>
      <c r="D91" s="320" t="s">
        <v>3062</v>
      </c>
      <c r="E91" s="321">
        <v>43252</v>
      </c>
      <c r="GI91" s="317">
        <v>511834</v>
      </c>
      <c r="GJ91" s="317">
        <v>729587</v>
      </c>
      <c r="GK91" s="317">
        <v>1104847</v>
      </c>
      <c r="GL91" s="317">
        <v>963772.00000000012</v>
      </c>
      <c r="GM91" s="317">
        <v>1842501.4999999998</v>
      </c>
      <c r="GN91" s="317">
        <v>2847819.4999999995</v>
      </c>
      <c r="GO91" s="317">
        <v>2809484.833333334</v>
      </c>
      <c r="GP91" s="317">
        <v>2105418</v>
      </c>
      <c r="GQ91" s="317">
        <v>2112672</v>
      </c>
      <c r="GR91" s="317">
        <v>3182236</v>
      </c>
      <c r="GS91" s="317">
        <v>1715643</v>
      </c>
      <c r="GT91" s="317">
        <v>1317849</v>
      </c>
      <c r="GU91" s="317">
        <v>1521274</v>
      </c>
      <c r="GV91" s="317">
        <f>_xll.LVCELL($D$2,GV$15,$B91,$D$5,$D$6,$D$7,$D$8,$D$9,$D$10,$D$11)</f>
        <v>1698739</v>
      </c>
      <c r="GW91" s="317">
        <f>_xll.LVCELL($D$2,GW$15,$B91,$D$5,$D$6,$D$7,$D$8,$D$9,$D$10,$D$11)</f>
        <v>1674294</v>
      </c>
      <c r="GX91" s="317">
        <f>_xll.LVCELL($D$2,GX$15,$B91,$D$5,$D$6,$D$7,$D$8,$D$9,$D$10,$D$11)</f>
        <v>2809786</v>
      </c>
      <c r="GY91" s="317">
        <f>_xll.LVCELL($D$2,GY$15,$B91,$D$5,$D$6,$D$7,$D$8,$D$9,$D$10,$D$11)</f>
        <v>4215965</v>
      </c>
      <c r="GZ91" s="317">
        <f>_xll.LVCELL($D$2,GZ$15,$B91,$D$5,$D$6,$D$7,$D$8,$D$9,$D$10,$D$11)</f>
        <v>3638639</v>
      </c>
      <c r="HA91" s="317">
        <f>_xll.LVCELL($D$2,HA$15,$B91,$D$5,$D$6,$D$7,$D$8,$D$9,$D$10,$D$11)</f>
        <v>5496517</v>
      </c>
      <c r="HB91" s="317">
        <v>2105418</v>
      </c>
      <c r="HC91" s="317">
        <v>2112672</v>
      </c>
      <c r="HD91" s="317">
        <v>3182236</v>
      </c>
      <c r="HE91" s="317">
        <v>1715643</v>
      </c>
      <c r="HF91" s="317">
        <v>1317849</v>
      </c>
      <c r="HG91" s="317">
        <v>1521274</v>
      </c>
      <c r="HH91" s="317">
        <f>_xll.LVCELL($D$2,HH$15,$B91,$D$5,$D$6,$D$7,$D$8,$D$9,$D$10,$D$11)</f>
        <v>1966296</v>
      </c>
      <c r="HI91" s="317">
        <f>_xll.LVCELL($D$2,HI$15,$B91,$D$5,$D$6,$D$7,$D$8,$D$9,$D$10,$D$11)</f>
        <v>2244895</v>
      </c>
      <c r="HJ91" s="317">
        <f>_xll.LVCELL($D$2,HJ$15,$B91,$D$5,$D$6,$D$7,$D$8,$D$9,$D$10,$D$11)</f>
        <v>2414461</v>
      </c>
      <c r="HK91" s="317">
        <f>_xll.LVCELL($D$2,HK$15,$B91,$D$5,$D$6,$D$7,$D$8,$D$9,$D$10,$D$11)</f>
        <v>4302539</v>
      </c>
      <c r="HL91" s="317">
        <f>_xll.LVCELL($D$2,HL$15,$B91,$D$5,$D$6,$D$7,$D$8,$D$9,$D$10,$D$11)</f>
        <v>3292942</v>
      </c>
      <c r="HM91" s="317">
        <f>_xll.LVCELL($D$2,HM$15,$B91,$D$5,$D$6,$D$7,$D$8,$D$9,$D$10,$D$11)</f>
        <v>4583607</v>
      </c>
    </row>
    <row r="92" spans="2:221" s="313" customFormat="1">
      <c r="B92" s="313" t="s">
        <v>386</v>
      </c>
      <c r="D92" s="320" t="s">
        <v>3063</v>
      </c>
      <c r="E92" s="321">
        <v>43252</v>
      </c>
      <c r="GI92" s="317">
        <v>255917</v>
      </c>
      <c r="GJ92" s="317">
        <v>352471.3</v>
      </c>
      <c r="GK92" s="317">
        <v>456870</v>
      </c>
      <c r="GL92" s="317">
        <v>535714.99999999988</v>
      </c>
      <c r="GM92" s="317">
        <v>915235.5</v>
      </c>
      <c r="GN92" s="317">
        <v>1305896.4999999998</v>
      </c>
      <c r="GO92" s="317">
        <v>1455234.3333333335</v>
      </c>
      <c r="GP92" s="317">
        <v>1025317</v>
      </c>
      <c r="GQ92" s="317">
        <v>957539</v>
      </c>
      <c r="GR92" s="317">
        <v>1594226</v>
      </c>
      <c r="GS92" s="317">
        <v>742873</v>
      </c>
      <c r="GT92" s="317">
        <v>601962</v>
      </c>
      <c r="GU92" s="317">
        <v>548648</v>
      </c>
      <c r="GV92" s="317"/>
      <c r="GW92" s="317"/>
      <c r="GX92" s="317"/>
      <c r="GY92" s="317"/>
      <c r="GZ92" s="317"/>
      <c r="HA92" s="317"/>
      <c r="HB92" s="317">
        <v>1025317</v>
      </c>
      <c r="HC92" s="317">
        <v>957539</v>
      </c>
      <c r="HD92" s="317">
        <v>1594226</v>
      </c>
      <c r="HE92" s="317">
        <v>742873</v>
      </c>
      <c r="HF92" s="317">
        <v>601962</v>
      </c>
      <c r="HG92" s="317">
        <v>548648</v>
      </c>
      <c r="HH92" s="317"/>
      <c r="HI92" s="317"/>
      <c r="HJ92" s="317"/>
      <c r="HK92" s="317"/>
      <c r="HL92" s="317"/>
      <c r="HM92" s="317"/>
    </row>
    <row r="93" spans="2:221">
      <c r="B93" s="4" t="s">
        <v>387</v>
      </c>
      <c r="C93" s="4"/>
      <c r="D93" s="46" t="s">
        <v>372</v>
      </c>
      <c r="GI93" s="47">
        <f>_xll.LVCELL($D$2,GI$15,$B93,$D$5,$D$6,$D$7,$D$8,$D$9,$D$10,$D$11)</f>
        <v>359348</v>
      </c>
      <c r="GJ93" s="47">
        <f>_xll.LVCELL($D$2,GJ$15,$B93,$D$5,$D$6,$D$7,$D$8,$D$9,$D$10,$D$11)</f>
        <v>769637</v>
      </c>
      <c r="GK93" s="47">
        <f>_xll.LVCELL($D$2,GK$15,$B93,$D$5,$D$6,$D$7,$D$8,$D$9,$D$10,$D$11)</f>
        <v>1248725</v>
      </c>
      <c r="GL93" s="47">
        <f>_xll.LVCELL($D$2,GL$15,$B93,$D$5,$D$6,$D$7,$D$8,$D$9,$D$10,$D$11)</f>
        <v>1544341</v>
      </c>
      <c r="GM93" s="47">
        <f>_xll.LVCELL($D$2,GM$15,$B93,$D$5,$D$6,$D$7,$D$8,$D$9,$D$10,$D$11)</f>
        <v>2620258</v>
      </c>
      <c r="GN93" s="47">
        <f>_xll.LVCELL($D$2,GN$15,$B93,$D$5,$D$6,$D$7,$D$8,$D$9,$D$10,$D$11)</f>
        <v>2869099</v>
      </c>
      <c r="GO93" s="47">
        <f>_xll.LVCELL($D$2,GO$15,$B93,$D$5,$D$6,$D$7,$D$8,$D$9,$D$10,$D$11)</f>
        <v>3581153</v>
      </c>
      <c r="GP93" s="47">
        <f>_xll.LVCELL($D$2,GP$15,$B93,$D$5,$D$6,$D$7,$D$8,$D$9,$D$10,$D$11)</f>
        <v>2532359</v>
      </c>
      <c r="GQ93" s="47">
        <f>_xll.LVCELL($D$2,GQ$15,$B93,$D$5,$D$6,$D$7,$D$8,$D$9,$D$10,$D$11)</f>
        <v>2797535</v>
      </c>
      <c r="GR93" s="47">
        <f>_xll.LVCELL($D$2,GR$15,$B93,$D$5,$D$6,$D$7,$D$8,$D$9,$D$10,$D$11)</f>
        <v>3968778</v>
      </c>
      <c r="GS93" s="47">
        <f>_xll.LVCELL($D$2,GS$15,$B93,$D$5,$D$6,$D$7,$D$8,$D$9,$D$10,$D$11)</f>
        <v>1802976</v>
      </c>
      <c r="GT93" s="47">
        <f>_xll.LVCELL($D$2,GT$15,$B93,$D$5,$D$6,$D$7,$D$8,$D$9,$D$10,$D$11)</f>
        <v>1246299</v>
      </c>
      <c r="GU93" s="47">
        <f>_xll.LVCELL($D$2,GU$15,$B93,$D$5,$D$6,$D$7,$D$8,$D$9,$D$10,$D$11)</f>
        <v>1406392</v>
      </c>
      <c r="GV93" s="47">
        <f>_xll.LVCELL($D$2,GV$15,$B93,$D$5,$D$6,$D$7,$D$8,$D$9,$D$10,$D$11)</f>
        <v>1300000</v>
      </c>
      <c r="GW93" s="47">
        <f>_xll.LVCELL($D$2,GW$15,$B93,$D$5,$D$6,$D$7,$D$8,$D$9,$D$10,$D$11)</f>
        <v>1414794</v>
      </c>
      <c r="GX93" s="47">
        <f>_xll.LVCELL($D$2,GX$15,$B93,$D$5,$D$6,$D$7,$D$8,$D$9,$D$10,$D$11)</f>
        <v>1481840</v>
      </c>
      <c r="GY93" s="47">
        <f>_xll.LVCELL($D$2,GY$15,$B93,$D$5,$D$6,$D$7,$D$8,$D$9,$D$10,$D$11)</f>
        <v>2977043</v>
      </c>
      <c r="GZ93" s="47">
        <f>_xll.LVCELL($D$2,GZ$15,$B93,$D$5,$D$6,$D$7,$D$8,$D$9,$D$10,$D$11)</f>
        <v>2849975</v>
      </c>
      <c r="HA93" s="47">
        <f>_xll.LVCELL($D$2,HA$15,$B93,$D$5,$D$6,$D$7,$D$8,$D$9,$D$10,$D$11)</f>
        <v>4399264</v>
      </c>
      <c r="HB93" s="47">
        <f>_xll.LVCELL($D$2,HB$15,$B93,$D$5,$D$6,$D$7,$D$8,$D$9,$D$10,$D$11)</f>
        <v>3195035</v>
      </c>
      <c r="HC93" s="47">
        <f>_xll.LVCELL($D$2,HC$15,$B93,$D$5,$D$6,$D$7,$D$8,$D$9,$D$10,$D$11)</f>
        <v>4532840</v>
      </c>
      <c r="HD93" s="47">
        <f>_xll.LVCELL($D$2,HD$15,$B93,$D$5,$D$6,$D$7,$D$8,$D$9,$D$10,$D$11)</f>
        <v>3598326</v>
      </c>
      <c r="HE93" s="47">
        <f>_xll.LVCELL($D$2,HE$15,$B93,$D$5,$D$6,$D$7,$D$8,$D$9,$D$10,$D$11)</f>
        <v>1530025</v>
      </c>
      <c r="HF93" s="47">
        <f>_xll.LVCELL($D$2,HF$15,$B93,$D$5,$D$6,$D$7,$D$8,$D$9,$D$10,$D$11)</f>
        <v>1570000</v>
      </c>
      <c r="HG93" s="47">
        <f>_xll.LVCELL($D$2,HG$15,$B93,$D$5,$D$6,$D$7,$D$8,$D$9,$D$10,$D$11)</f>
        <v>1616328</v>
      </c>
      <c r="HH93" s="47">
        <f>_xll.LVCELL($D$2,HH$15,$B93,$D$5,$D$6,$D$7,$D$8,$D$9,$D$10,$D$11)</f>
        <v>1719404</v>
      </c>
      <c r="HI93" s="47">
        <f>_xll.LVCELL($D$2,HI$15,$B93,$D$5,$D$6,$D$7,$D$8,$D$9,$D$10,$D$11)</f>
        <v>963578</v>
      </c>
      <c r="HJ93" s="47">
        <f>_xll.LVCELL($D$2,HJ$15,$B93,$D$5,$D$6,$D$7,$D$8,$D$9,$D$10,$D$11)</f>
        <v>1404728</v>
      </c>
      <c r="HK93" s="47">
        <f>_xll.LVCELL($D$2,HK$15,$B93,$D$5,$D$6,$D$7,$D$8,$D$9,$D$10,$D$11)</f>
        <v>3365121</v>
      </c>
      <c r="HL93" s="47">
        <f>_xll.LVCELL($D$2,HL$15,$B93,$D$5,$D$6,$D$7,$D$8,$D$9,$D$10,$D$11)</f>
        <v>2494781</v>
      </c>
      <c r="HM93" s="47">
        <f>_xll.LVCELL($D$2,HM$15,$B93,$D$5,$D$6,$D$7,$D$8,$D$9,$D$10,$D$11)</f>
        <v>3788000</v>
      </c>
    </row>
    <row r="94" spans="2:221">
      <c r="B94" t="s">
        <v>501</v>
      </c>
      <c r="D94" s="52" t="s">
        <v>834</v>
      </c>
      <c r="DD94" s="16">
        <v>598931</v>
      </c>
      <c r="DE94" s="16">
        <v>694419</v>
      </c>
      <c r="DF94" s="16">
        <v>648855</v>
      </c>
      <c r="DG94" s="16">
        <v>563340</v>
      </c>
      <c r="DH94" s="16">
        <v>253399</v>
      </c>
      <c r="DI94" s="16">
        <v>199775</v>
      </c>
      <c r="DJ94" s="16">
        <v>251500</v>
      </c>
      <c r="DK94" s="16">
        <v>405472</v>
      </c>
      <c r="DL94" s="16">
        <v>671864</v>
      </c>
      <c r="DM94" s="16">
        <v>523507</v>
      </c>
      <c r="DN94" s="16">
        <v>727616</v>
      </c>
      <c r="DO94" s="16">
        <v>689276</v>
      </c>
      <c r="DP94" s="16">
        <v>754284</v>
      </c>
      <c r="DQ94" s="16">
        <v>738050</v>
      </c>
      <c r="DR94" s="16">
        <v>563532</v>
      </c>
      <c r="DS94" s="16">
        <v>451558</v>
      </c>
      <c r="DT94" s="16">
        <v>283515</v>
      </c>
      <c r="DU94" s="16">
        <v>255843</v>
      </c>
      <c r="DV94" s="16">
        <v>187178</v>
      </c>
      <c r="DW94" s="16">
        <v>357575</v>
      </c>
      <c r="DX94" s="16">
        <v>534203</v>
      </c>
      <c r="DY94" s="16">
        <v>540317</v>
      </c>
      <c r="DZ94" s="16">
        <v>620752</v>
      </c>
      <c r="EA94" s="16">
        <v>626948</v>
      </c>
      <c r="EB94" s="16">
        <v>793063</v>
      </c>
      <c r="EC94" s="16">
        <v>732991</v>
      </c>
      <c r="ED94" s="16">
        <v>572453</v>
      </c>
      <c r="EE94" s="16">
        <v>438254</v>
      </c>
      <c r="EF94" s="16">
        <v>206986</v>
      </c>
      <c r="EG94" s="16">
        <v>334659</v>
      </c>
      <c r="EH94" s="16">
        <v>223825</v>
      </c>
      <c r="EI94" s="16">
        <v>351874</v>
      </c>
      <c r="EJ94" s="16">
        <v>608972</v>
      </c>
      <c r="EK94" s="16">
        <v>605862</v>
      </c>
      <c r="EL94" s="16">
        <v>682528</v>
      </c>
      <c r="EM94" s="16">
        <v>754095</v>
      </c>
      <c r="EN94" s="16">
        <v>637403</v>
      </c>
      <c r="EO94" s="16">
        <v>672122</v>
      </c>
      <c r="EP94" s="16">
        <v>642073</v>
      </c>
      <c r="EQ94" s="16">
        <v>592153</v>
      </c>
      <c r="ER94" s="16">
        <v>290533</v>
      </c>
      <c r="ES94" s="16">
        <v>197710</v>
      </c>
      <c r="ET94" s="16">
        <v>277378</v>
      </c>
      <c r="EU94" s="16">
        <v>324808</v>
      </c>
      <c r="EV94" s="16">
        <v>436396</v>
      </c>
      <c r="EW94" s="16">
        <v>673666</v>
      </c>
      <c r="EX94" s="16">
        <v>636242</v>
      </c>
      <c r="EY94" s="16">
        <v>719502</v>
      </c>
      <c r="EZ94" s="16">
        <v>709772</v>
      </c>
      <c r="FA94" s="16">
        <v>682869</v>
      </c>
      <c r="FB94" s="16">
        <v>579179</v>
      </c>
      <c r="FC94" s="16">
        <v>457986</v>
      </c>
      <c r="FD94" s="16">
        <v>356292</v>
      </c>
      <c r="FE94" s="16">
        <v>359160.5</v>
      </c>
      <c r="FF94" s="16">
        <v>227151</v>
      </c>
      <c r="FG94" s="16">
        <v>317515</v>
      </c>
      <c r="FH94" s="16">
        <v>452208</v>
      </c>
      <c r="FI94" s="16">
        <v>563781</v>
      </c>
      <c r="FJ94" s="16">
        <v>652944</v>
      </c>
      <c r="FK94" s="16">
        <v>654854</v>
      </c>
      <c r="FL94" s="16">
        <v>730870</v>
      </c>
      <c r="FM94" s="16">
        <v>707180</v>
      </c>
      <c r="FN94" s="16">
        <v>629410</v>
      </c>
      <c r="FO94" s="16">
        <v>456400</v>
      </c>
      <c r="FP94" s="16">
        <v>251500</v>
      </c>
      <c r="FQ94" s="16">
        <v>353090</v>
      </c>
      <c r="FR94" s="40">
        <f>_xll.LVCELL($D$2,FR$15,$B94,$D$5,$D$6,$D$7,$D$8,$D$9,$D$10,$D$11)</f>
        <v>255100</v>
      </c>
      <c r="FS94" s="40">
        <f>_xll.LVCELL($D$2,FS$15,$B94,$D$5,$D$6,$D$7,$D$8,$D$9,$D$10,$D$11)</f>
        <v>350470</v>
      </c>
      <c r="FT94" s="40">
        <f>_xll.LVCELL($D$2,FT$15,$B94,$D$5,$D$6,$D$7,$D$8,$D$9,$D$10,$D$11)</f>
        <v>521660</v>
      </c>
      <c r="FU94" s="40">
        <f>_xll.LVCELL($D$2,FU$15,$B94,$D$5,$D$6,$D$7,$D$8,$D$9,$D$10,$D$11)</f>
        <v>738990</v>
      </c>
      <c r="FV94" s="40">
        <f>_xll.LVCELL($D$2,FV$15,$B94,$D$5,$D$6,$D$7,$D$8,$D$9,$D$10,$D$11)</f>
        <v>710752</v>
      </c>
      <c r="FW94" s="40">
        <f>_xll.LVCELL($D$2,FW$15,$B94,$D$5,$D$6,$D$7,$D$8,$D$9,$D$10,$D$11)</f>
        <v>700840</v>
      </c>
      <c r="FX94" s="40">
        <f>_xll.LVCELL($D$2,FX$15,$B94,$D$5,$D$6,$D$7,$D$8,$D$9,$D$10,$D$11)</f>
        <v>634767.32999999996</v>
      </c>
      <c r="FY94" s="40">
        <f>_xll.LVCELL($D$2,FY$15,$B94,$D$5,$D$6,$D$7,$D$8,$D$9,$D$10,$D$11)</f>
        <v>685515</v>
      </c>
      <c r="FZ94" s="40">
        <f>_xll.LVCELL($D$2,FZ$15,$B94,$D$5,$D$6,$D$7,$D$8,$D$9,$D$10,$D$11)</f>
        <v>561435.17000000004</v>
      </c>
      <c r="GA94" s="40">
        <f>_xll.LVCELL($D$2,GA$15,$B94,$D$5,$D$6,$D$7,$D$8,$D$9,$D$10,$D$11)</f>
        <v>527888</v>
      </c>
      <c r="GB94" s="40">
        <f>_xll.LVCELL($D$2,GB$15,$B94,$D$5,$D$6,$D$7,$D$8,$D$9,$D$10,$D$11)</f>
        <v>332046</v>
      </c>
      <c r="GC94" s="40">
        <f>_xll.LVCELL($D$2,GC$15,$B94,$D$5,$D$6,$D$7,$D$8,$D$9,$D$10,$D$11)</f>
        <v>219131</v>
      </c>
      <c r="GD94" s="25">
        <f>_xll.LVCELL($D$2,GD$15,$B94,$D$5,$D$6,$D$7,$D$8,$D$9,$D$10,$D$11)</f>
        <v>209893</v>
      </c>
      <c r="GE94" s="25">
        <f>_xll.LVCELL($D$2,GE$15,$B94,$D$5,$D$6,$D$7,$D$8,$D$9,$D$10,$D$11)</f>
        <v>305030</v>
      </c>
      <c r="GF94" s="25">
        <f>_xll.LVCELL($D$2,GF$15,$B94,$D$5,$D$6,$D$7,$D$8,$D$9,$D$10,$D$11)</f>
        <v>483506</v>
      </c>
      <c r="GG94" s="25">
        <f>_xll.LVCELL($D$2,GG$15,$B94,$D$5,$D$6,$D$7,$D$8,$D$9,$D$10,$D$11)</f>
        <v>603354</v>
      </c>
      <c r="GH94" s="25">
        <f>_xll.LVCELL($D$2,GH$15,$B94,$D$5,$D$6,$D$7,$D$8,$D$9,$D$10,$D$11)</f>
        <v>549581</v>
      </c>
      <c r="GI94" s="25">
        <f>_xll.LVCELL($D$2,GI$15,$B94,$D$5,$D$6,$D$7,$D$8,$D$9,$D$10,$D$11)</f>
        <v>661336</v>
      </c>
      <c r="GJ94" s="25">
        <f>_xll.LVCELL($D$2,GJ$15,$B94,$D$5,$D$6,$D$7,$D$8,$D$9,$D$10,$D$11)</f>
        <v>779019</v>
      </c>
      <c r="GK94" s="25">
        <f>_xll.LVCELL($D$2,GK$15,$B94,$D$5,$D$6,$D$7,$D$8,$D$9,$D$10,$D$11)</f>
        <v>584908</v>
      </c>
      <c r="GL94" s="40">
        <f>_xll.LVCELL($D$2,GL$15,$B94,$D$5,$D$6,$D$7,$D$8,$D$9,$D$10,$D$11)</f>
        <v>804796</v>
      </c>
      <c r="GM94" s="40">
        <f>_xll.LVCELL($D$2,GM$15,$B94,$D$5,$D$6,$D$7,$D$8,$D$9,$D$10,$D$11)</f>
        <v>414362</v>
      </c>
      <c r="GN94" s="40">
        <f>_xll.LVCELL($D$2,GN$15,$B94,$D$5,$D$6,$D$7,$D$8,$D$9,$D$10,$D$11)</f>
        <v>327902</v>
      </c>
      <c r="GO94" s="40">
        <f>_xll.LVCELL($D$2,GO$15,$B94,$D$5,$D$6,$D$7,$D$8,$D$9,$D$10,$D$11)</f>
        <v>209987</v>
      </c>
      <c r="GP94" s="25">
        <f>_xll.LVCELL($D$2,GP$15,$B94,$D$5,$D$6,$D$7,$D$8,$D$9,$D$10,$D$11)</f>
        <v>186270</v>
      </c>
      <c r="GQ94" s="25">
        <f>_xll.LVCELL($D$2,GQ$15,$B94,$D$5,$D$6,$D$7,$D$8,$D$9,$D$10,$D$11)</f>
        <v>485675</v>
      </c>
      <c r="GR94" s="25">
        <f>_xll.LVCELL($D$2,GR$15,$B94,$D$5,$D$6,$D$7,$D$8,$D$9,$D$10,$D$11)</f>
        <v>600273</v>
      </c>
      <c r="GS94" s="25">
        <f>_xll.LVCELL($D$2,GS$15,$B94,$D$5,$D$6,$D$7,$D$8,$D$9,$D$10,$D$11)</f>
        <v>584992</v>
      </c>
      <c r="GT94" s="25">
        <f>_xll.LVCELL($D$2,GT$15,$B94,$D$5,$D$6,$D$7,$D$8,$D$9,$D$10,$D$11)</f>
        <v>656556</v>
      </c>
      <c r="GU94" s="25">
        <f>_xll.LVCELL($D$2,GU$15,$B94,$D$5,$D$6,$D$7,$D$8,$D$9,$D$10,$D$11)</f>
        <v>694256</v>
      </c>
      <c r="GV94" s="25">
        <f>_xll.LVCELL($D$2,GV$15,$B94,$D$5,$D$6,$D$7,$D$8,$D$9,$D$10,$D$11)</f>
        <v>737536</v>
      </c>
      <c r="GW94" s="25">
        <f>_xll.LVCELL($D$2,GW$15,$B94,$D$5,$D$6,$D$7,$D$8,$D$9,$D$10,$D$11)</f>
        <v>743986</v>
      </c>
      <c r="GX94" s="25">
        <f>_xll.LVCELL($D$2,GX$15,$B94,$D$5,$D$6,$D$7,$D$8,$D$9,$D$10,$D$11)</f>
        <v>621605</v>
      </c>
      <c r="GY94" s="25">
        <f>_xll.LVCELL($D$2,GY$15,$B94,$D$5,$D$6,$D$7,$D$8,$D$9,$D$10,$D$11)</f>
        <v>417562</v>
      </c>
      <c r="GZ94" s="25">
        <f>_xll.LVCELL($D$2,GZ$15,$B94,$D$5,$D$6,$D$7,$D$8,$D$9,$D$10,$D$11)</f>
        <v>269694</v>
      </c>
      <c r="HA94" s="25">
        <f>_xll.LVCELL($D$2,HA$15,$B94,$D$5,$D$6,$D$7,$D$8,$D$9,$D$10,$D$11)</f>
        <v>227126</v>
      </c>
      <c r="HB94" s="25">
        <f>_xll.LVCELL($D$2,HB$15,$B94,$D$5,$D$6,$D$7,$D$8,$D$9,$D$10,$D$11)</f>
        <v>286192</v>
      </c>
      <c r="HC94" s="25">
        <f>_xll.LVCELL($D$2,HC$15,$B94,$D$5,$D$6,$D$7,$D$8,$D$9,$D$10,$D$11)</f>
        <v>415901</v>
      </c>
      <c r="HD94" s="25">
        <f>_xll.LVCELL($D$2,HD$15,$B94,$D$5,$D$6,$D$7,$D$8,$D$9,$D$10,$D$11)</f>
        <v>566394</v>
      </c>
      <c r="HE94" s="25">
        <f>_xll.LVCELL($D$2,HE$15,$B94,$D$5,$D$6,$D$7,$D$8,$D$9,$D$10,$D$11)</f>
        <v>604630</v>
      </c>
      <c r="HF94" s="25">
        <f>_xll.LVCELL($D$2,HF$15,$B94,$D$5,$D$6,$D$7,$D$8,$D$9,$D$10,$D$11)</f>
        <v>719275</v>
      </c>
      <c r="HG94" s="25">
        <f>_xll.LVCELL($D$2,HG$15,$B94,$D$5,$D$6,$D$7,$D$8,$D$9,$D$10,$D$11)</f>
        <v>653896</v>
      </c>
      <c r="HH94" s="25">
        <f>_xll.LVCELL($D$2,HH$15,$B94,$D$5,$D$6,$D$7,$D$8,$D$9,$D$10,$D$11)</f>
        <v>769215</v>
      </c>
      <c r="HI94" s="25">
        <f>_xll.LVCELL($D$2,HI$15,$B94,$D$5,$D$6,$D$7,$D$8,$D$9,$D$10,$D$11)</f>
        <v>672207</v>
      </c>
      <c r="HJ94" s="25">
        <f>_xll.LVCELL($D$2,HJ$15,$B94,$D$5,$D$6,$D$7,$D$8,$D$9,$D$10,$D$11)</f>
        <v>608781</v>
      </c>
      <c r="HK94" s="25">
        <f>_xll.LVCELL($D$2,HK$15,$B94,$D$5,$D$6,$D$7,$D$8,$D$9,$D$10,$D$11)</f>
        <v>387780</v>
      </c>
      <c r="HL94" s="25">
        <f>_xll.LVCELL($D$2,HL$15,$B94,$D$5,$D$6,$D$7,$D$8,$D$9,$D$10,$D$11)</f>
        <v>387468</v>
      </c>
      <c r="HM94" s="25">
        <f>_xll.LVCELL($D$2,HM$15,$B94,$D$5,$D$6,$D$7,$D$8,$D$9,$D$10,$D$11)</f>
        <v>157525</v>
      </c>
    </row>
    <row r="95" spans="2:221">
      <c r="B95" t="s">
        <v>473</v>
      </c>
      <c r="D95" s="166" t="s">
        <v>558</v>
      </c>
      <c r="FR95" s="40">
        <f>_xll.LVCELL($D$2,FR$15,$B95,$D$5,$D$6,$D$7,$D$8,$D$9,$D$10,$D$11)</f>
        <v>0</v>
      </c>
      <c r="FS95" s="40">
        <f>_xll.LVCELL($D$2,FS$15,$B95,$D$5,$D$6,$D$7,$D$8,$D$9,$D$10,$D$11)</f>
        <v>0</v>
      </c>
      <c r="FT95" s="40">
        <f>_xll.LVCELL($D$2,FT$15,$B95,$D$5,$D$6,$D$7,$D$8,$D$9,$D$10,$D$11)</f>
        <v>0</v>
      </c>
      <c r="FU95" s="40">
        <f>_xll.LVCELL($D$2,FU$15,$B95,$D$5,$D$6,$D$7,$D$8,$D$9,$D$10,$D$11)</f>
        <v>0</v>
      </c>
      <c r="FV95" s="40">
        <f>_xll.LVCELL($D$2,FV$15,$B95,$D$5,$D$6,$D$7,$D$8,$D$9,$D$10,$D$11)</f>
        <v>0</v>
      </c>
      <c r="FW95" s="40">
        <f>_xll.LVCELL($D$2,FW$15,$B95,$D$5,$D$6,$D$7,$D$8,$D$9,$D$10,$D$11)</f>
        <v>0</v>
      </c>
      <c r="FX95" s="40">
        <f>_xll.LVCELL($D$2,FX$15,$B95,$D$5,$D$6,$D$7,$D$8,$D$9,$D$10,$D$11)</f>
        <v>1500167</v>
      </c>
      <c r="FY95" s="40">
        <f>_xll.LVCELL($D$2,FY$15,$B95,$D$5,$D$6,$D$7,$D$8,$D$9,$D$10,$D$11)</f>
        <v>1428106</v>
      </c>
      <c r="FZ95" s="40">
        <f>_xll.LVCELL($D$2,FZ$15,$B95,$D$5,$D$6,$D$7,$D$8,$D$9,$D$10,$D$11)</f>
        <v>1817652.23</v>
      </c>
      <c r="GA95" s="40">
        <f>_xll.LVCELL($D$2,GA$15,$B95,$D$5,$D$6,$D$7,$D$8,$D$9,$D$10,$D$11)</f>
        <v>2816664</v>
      </c>
      <c r="GB95" s="40">
        <f>_xll.LVCELL($D$2,GB$15,$B95,$D$5,$D$6,$D$7,$D$8,$D$9,$D$10,$D$11)</f>
        <v>2390838</v>
      </c>
      <c r="GC95" s="40">
        <f>_xll.LVCELL($D$2,GC$15,$B95,$D$5,$D$6,$D$7,$D$8,$D$9,$D$10,$D$11)</f>
        <v>3295490</v>
      </c>
      <c r="GD95" s="25">
        <f>_xll.LVCELL($D$2,GD$15,$B95,$D$5,$D$6,$D$7,$D$8,$D$9,$D$10,$D$11)</f>
        <v>3973441</v>
      </c>
      <c r="GE95" s="25">
        <f>_xll.LVCELL($D$2,GE$15,$B95,$D$5,$D$6,$D$7,$D$8,$D$9,$D$10,$D$11)</f>
        <v>3156528</v>
      </c>
      <c r="GF95" s="25">
        <f>_xll.LVCELL($D$2,GF$15,$B95,$D$5,$D$6,$D$7,$D$8,$D$9,$D$10,$D$11)</f>
        <v>3230256</v>
      </c>
      <c r="GG95" s="25">
        <f>_xll.LVCELL($D$2,GG$15,$B95,$D$5,$D$6,$D$7,$D$8,$D$9,$D$10,$D$11)</f>
        <v>2383110</v>
      </c>
      <c r="GH95" s="25">
        <f>_xll.LVCELL($D$2,GH$15,$B95,$D$5,$D$6,$D$7,$D$8,$D$9,$D$10,$D$11)</f>
        <v>1633454</v>
      </c>
      <c r="GI95" s="25">
        <f>_xll.LVCELL($D$2,GI$15,$B95,$D$5,$D$6,$D$7,$D$8,$D$9,$D$10,$D$11)</f>
        <v>1511318</v>
      </c>
      <c r="GJ95" s="25">
        <f>_xll.LVCELL($D$2,GJ$15,$B95,$D$5,$D$6,$D$7,$D$8,$D$9,$D$10,$D$11)</f>
        <v>1212944</v>
      </c>
      <c r="GK95" s="25">
        <f>_xll.LVCELL($D$2,GK$15,$B95,$D$5,$D$6,$D$7,$D$8,$D$9,$D$10,$D$11)</f>
        <v>1658842</v>
      </c>
      <c r="GL95" s="40">
        <f>_xll.LVCELL($D$2,GL$15,$B95,$D$5,$D$6,$D$7,$D$8,$D$9,$D$10,$D$11)</f>
        <v>1630606</v>
      </c>
      <c r="GM95" s="40">
        <f>_xll.LVCELL($D$2,GM$15,$B95,$D$5,$D$6,$D$7,$D$8,$D$9,$D$10,$D$11)</f>
        <v>2437502</v>
      </c>
      <c r="GN95" s="40">
        <f>_xll.LVCELL($D$2,GN$15,$B95,$D$5,$D$6,$D$7,$D$8,$D$9,$D$10,$D$11)</f>
        <v>2553734</v>
      </c>
      <c r="GO95" s="40">
        <f>_xll.LVCELL($D$2,GO$15,$B95,$D$5,$D$6,$D$7,$D$8,$D$9,$D$10,$D$11)</f>
        <v>3433106</v>
      </c>
      <c r="GP95" s="25">
        <f>_xll.LVCELL($D$2,GP$15,$B95,$D$5,$D$6,$D$7,$D$8,$D$9,$D$10,$D$11)</f>
        <v>2953583</v>
      </c>
      <c r="GQ95" s="25">
        <f>_xll.LVCELL($D$2,GQ$15,$B95,$D$5,$D$6,$D$7,$D$8,$D$9,$D$10,$D$11)</f>
        <v>2520080</v>
      </c>
      <c r="GR95" s="25">
        <f>_xll.LVCELL($D$2,GR$15,$B95,$D$5,$D$6,$D$7,$D$8,$D$9,$D$10,$D$11)</f>
        <v>3861335</v>
      </c>
      <c r="GS95" s="25">
        <f>_xll.LVCELL($D$2,GS$15,$B95,$D$5,$D$6,$D$7,$D$8,$D$9,$D$10,$D$11)</f>
        <v>1904511</v>
      </c>
      <c r="GT95" s="25">
        <f>_xll.LVCELL($D$2,GT$15,$B95,$D$5,$D$6,$D$7,$D$8,$D$9,$D$10,$D$11)</f>
        <v>1623713</v>
      </c>
      <c r="GU95" s="25">
        <f>_xll.LVCELL($D$2,GU$15,$B95,$D$5,$D$6,$D$7,$D$8,$D$9,$D$10,$D$11)</f>
        <v>1781624</v>
      </c>
      <c r="GV95" s="25">
        <f>_xll.LVCELL($D$2,GV$15,$B95,$D$5,$D$6,$D$7,$D$8,$D$9,$D$10,$D$11)</f>
        <v>1523767</v>
      </c>
      <c r="GW95" s="25">
        <f>_xll.LVCELL($D$2,GW$15,$B95,$D$5,$D$6,$D$7,$D$8,$D$9,$D$10,$D$11)</f>
        <v>1493871</v>
      </c>
      <c r="GX95" s="25">
        <f>_xll.LVCELL($D$2,GX$15,$B95,$D$5,$D$6,$D$7,$D$8,$D$9,$D$10,$D$11)</f>
        <v>2511152</v>
      </c>
      <c r="GY95" s="25">
        <f>_xll.LVCELL($D$2,GY$15,$B95,$D$5,$D$6,$D$7,$D$8,$D$9,$D$10,$D$11)</f>
        <v>3306293</v>
      </c>
      <c r="GZ95" s="25">
        <f>_xll.LVCELL($D$2,GZ$15,$B95,$D$5,$D$6,$D$7,$D$8,$D$9,$D$10,$D$11)</f>
        <v>3066274</v>
      </c>
      <c r="HA95" s="25">
        <f>_xll.LVCELL($D$2,HA$15,$B95,$D$5,$D$6,$D$7,$D$8,$D$9,$D$10,$D$11)</f>
        <v>3922127</v>
      </c>
      <c r="HB95" s="25">
        <f>_xll.LVCELL($D$2,HB$15,$B95,$D$5,$D$6,$D$7,$D$8,$D$9,$D$10,$D$11)</f>
        <v>3400489</v>
      </c>
      <c r="HC95" s="25">
        <f>_xll.LVCELL($D$2,HC$15,$B95,$D$5,$D$6,$D$7,$D$8,$D$9,$D$10,$D$11)</f>
        <v>4968465</v>
      </c>
      <c r="HD95" s="25">
        <f>_xll.LVCELL($D$2,HD$15,$B95,$D$5,$D$6,$D$7,$D$8,$D$9,$D$10,$D$11)</f>
        <v>3961792</v>
      </c>
      <c r="HE95" s="25">
        <f>_xll.LVCELL($D$2,HE$15,$B95,$D$5,$D$6,$D$7,$D$8,$D$9,$D$10,$D$11)</f>
        <v>1959315</v>
      </c>
      <c r="HF95" s="25">
        <f>_xll.LVCELL($D$2,HF$15,$B95,$D$5,$D$6,$D$7,$D$8,$D$9,$D$10,$D$11)</f>
        <v>2206508</v>
      </c>
      <c r="HG95" s="25">
        <f>_xll.LVCELL($D$2,HG$15,$B95,$D$5,$D$6,$D$7,$D$8,$D$9,$D$10,$D$11)</f>
        <v>1900498</v>
      </c>
      <c r="HH95" s="25">
        <f>_xll.LVCELL($D$2,HH$15,$B95,$D$5,$D$6,$D$7,$D$8,$D$9,$D$10,$D$11)</f>
        <v>1941079</v>
      </c>
      <c r="HI95" s="25">
        <f>_xll.LVCELL($D$2,HI$15,$B95,$D$5,$D$6,$D$7,$D$8,$D$9,$D$10,$D$11)</f>
        <v>1710000</v>
      </c>
      <c r="HJ95" s="25">
        <f>_xll.LVCELL($D$2,HJ$15,$B95,$D$5,$D$6,$D$7,$D$8,$D$9,$D$10,$D$11)</f>
        <v>1558920</v>
      </c>
      <c r="HK95" s="25">
        <f>_xll.LVCELL($D$2,HK$15,$B95,$D$5,$D$6,$D$7,$D$8,$D$9,$D$10,$D$11)</f>
        <v>4046819</v>
      </c>
      <c r="HL95" s="25">
        <f>_xll.LVCELL($D$2,HL$15,$B95,$D$5,$D$6,$D$7,$D$8,$D$9,$D$10,$D$11)</f>
        <v>2769091</v>
      </c>
      <c r="HM95" s="25">
        <f>_xll.LVCELL($D$2,HM$15,$B95,$D$5,$D$6,$D$7,$D$8,$D$9,$D$10,$D$11)</f>
        <v>3255617</v>
      </c>
    </row>
    <row r="96" spans="2:221">
      <c r="D96" s="166" t="s">
        <v>559</v>
      </c>
      <c r="GD96" s="16">
        <v>4332415.8330000006</v>
      </c>
      <c r="GE96" s="16">
        <v>3297815.8333333326</v>
      </c>
      <c r="GF96" s="16">
        <v>3630202.833333334</v>
      </c>
      <c r="GG96" s="16">
        <v>2357091.9999999995</v>
      </c>
      <c r="GH96" s="16">
        <v>1719932.0000000002</v>
      </c>
      <c r="GI96" s="16">
        <v>1423786</v>
      </c>
      <c r="GJ96" s="16">
        <v>1099838.6666666667</v>
      </c>
      <c r="GK96" s="16">
        <v>1758830.0000000002</v>
      </c>
      <c r="GL96" s="40">
        <v>1662476.9999999998</v>
      </c>
      <c r="GM96" s="40">
        <v>2887894.6666666665</v>
      </c>
      <c r="GN96" s="40">
        <v>2747874.333333333</v>
      </c>
      <c r="GO96" s="40">
        <v>3932151.8333333335</v>
      </c>
      <c r="GP96" s="28">
        <v>3594782.67</v>
      </c>
      <c r="GQ96" s="28">
        <v>3296638.5000000005</v>
      </c>
      <c r="GR96" s="28">
        <v>5199798.333333333</v>
      </c>
      <c r="GS96" s="25">
        <f>1400.75183*1000</f>
        <v>1400751.8299999998</v>
      </c>
      <c r="GT96" s="25">
        <f>1775.154*1000</f>
        <v>1775154</v>
      </c>
      <c r="GU96" s="25">
        <f>1834.93333333333*1000</f>
        <v>1834933.33333333</v>
      </c>
      <c r="HB96" s="28">
        <v>3594782.67</v>
      </c>
      <c r="HC96" s="28">
        <v>3296638.5000000005</v>
      </c>
      <c r="HD96" s="28">
        <v>5199798.333333333</v>
      </c>
      <c r="HE96" s="25">
        <f>1400.75183*1000</f>
        <v>1400751.8299999998</v>
      </c>
      <c r="HF96" s="25">
        <f>1775.154*1000</f>
        <v>1775154</v>
      </c>
      <c r="HG96" s="25">
        <f>1834.93333333333*1000</f>
        <v>1834933.33333333</v>
      </c>
    </row>
    <row r="97" spans="2:221">
      <c r="D97" s="166" t="s">
        <v>560</v>
      </c>
      <c r="GD97" s="16">
        <v>4625128.3330000006</v>
      </c>
      <c r="GE97" s="16">
        <v>3683687.1666666665</v>
      </c>
      <c r="GF97" s="16">
        <v>3797606.1666666665</v>
      </c>
      <c r="GG97" s="16">
        <v>2414484.9999999995</v>
      </c>
      <c r="GH97" s="16">
        <v>1797994.0000000002</v>
      </c>
      <c r="GI97" s="16">
        <v>1622530</v>
      </c>
      <c r="GJ97" s="16">
        <v>1200608.1666666667</v>
      </c>
      <c r="GK97" s="16">
        <v>1698179.8333333333</v>
      </c>
      <c r="GL97" s="40">
        <v>1848643</v>
      </c>
      <c r="GM97" s="40">
        <v>3064742.666666667</v>
      </c>
      <c r="GN97" s="40">
        <v>3821435.6666666665</v>
      </c>
      <c r="GO97" s="40">
        <v>4081933.1666666665</v>
      </c>
      <c r="GP97" s="28">
        <v>3487069.666666667</v>
      </c>
      <c r="GQ97" s="28">
        <v>3401135.3333333335</v>
      </c>
      <c r="GR97" s="28">
        <v>4477120.333333333</v>
      </c>
      <c r="GS97" s="25">
        <f>2256.17916666667*1000</f>
        <v>2256179.1666666698</v>
      </c>
      <c r="GT97" s="25">
        <f>1927.26566666667*1000</f>
        <v>1927265.66666667</v>
      </c>
      <c r="GU97" s="25">
        <f>1770.19033333333*1000</f>
        <v>1770190.33333333</v>
      </c>
      <c r="HB97" s="28">
        <v>3487069.666666667</v>
      </c>
      <c r="HC97" s="28">
        <v>3401135.3333333335</v>
      </c>
      <c r="HD97" s="28">
        <v>4477120.333333333</v>
      </c>
      <c r="HE97" s="25">
        <f>2256.17916666667*1000</f>
        <v>2256179.1666666698</v>
      </c>
      <c r="HF97" s="25">
        <f>1927.26566666667*1000</f>
        <v>1927265.66666667</v>
      </c>
      <c r="HG97" s="25">
        <f>1770.19033333333*1000</f>
        <v>1770190.33333333</v>
      </c>
    </row>
    <row r="98" spans="2:221">
      <c r="B98" t="s">
        <v>467</v>
      </c>
      <c r="D98" s="10" t="s">
        <v>2603</v>
      </c>
      <c r="FR98" s="40">
        <f>_xll.LVCELL($D$2,FR$15,$B98,$D$5,$D$6,$D$7,$D$8,$D$9,$D$10,$D$11)</f>
        <v>0</v>
      </c>
      <c r="FS98" s="40">
        <f>_xll.LVCELL($D$2,FS$15,$B98,$D$5,$D$6,$D$7,$D$8,$D$9,$D$10,$D$11)</f>
        <v>0</v>
      </c>
      <c r="FT98" s="40">
        <f>_xll.LVCELL($D$2,FT$15,$B98,$D$5,$D$6,$D$7,$D$8,$D$9,$D$10,$D$11)</f>
        <v>0</v>
      </c>
      <c r="FU98" s="40">
        <f>_xll.LVCELL($D$2,FU$15,$B98,$D$5,$D$6,$D$7,$D$8,$D$9,$D$10,$D$11)</f>
        <v>0</v>
      </c>
      <c r="FV98" s="40">
        <f>_xll.LVCELL($D$2,FV$15,$B98,$D$5,$D$6,$D$7,$D$8,$D$9,$D$10,$D$11)</f>
        <v>0</v>
      </c>
      <c r="FW98" s="40">
        <f>_xll.LVCELL($D$2,FW$15,$B98,$D$5,$D$6,$D$7,$D$8,$D$9,$D$10,$D$11)</f>
        <v>0</v>
      </c>
      <c r="FX98" s="40">
        <f>_xll.LVCELL($D$2,FX$15,$B98,$D$5,$D$6,$D$7,$D$8,$D$9,$D$10,$D$11)</f>
        <v>0</v>
      </c>
      <c r="FY98" s="40">
        <f>_xll.LVCELL($D$2,FY$15,$B98,$D$5,$D$6,$D$7,$D$8,$D$9,$D$10,$D$11)</f>
        <v>986308</v>
      </c>
      <c r="FZ98" s="40">
        <f>_xll.LVCELL($D$2,FZ$15,$B98,$D$5,$D$6,$D$7,$D$8,$D$9,$D$10,$D$11)</f>
        <v>3271731.83</v>
      </c>
      <c r="GA98" s="40">
        <f>_xll.LVCELL($D$2,GA$15,$B98,$D$5,$D$6,$D$7,$D$8,$D$9,$D$10,$D$11)</f>
        <v>5164000</v>
      </c>
      <c r="GB98" s="40">
        <f>_xll.LVCELL($D$2,GB$15,$B98,$D$5,$D$6,$D$7,$D$8,$D$9,$D$10,$D$11)</f>
        <v>4327398</v>
      </c>
      <c r="GC98" s="40">
        <f>_xll.LVCELL($D$2,GC$15,$B98,$D$5,$D$6,$D$7,$D$8,$D$9,$D$10,$D$11)</f>
        <v>6519792</v>
      </c>
      <c r="GD98" s="25">
        <f>_xll.LVCELL($D$2,GD$15,$B98,$D$5,$D$6,$D$7,$D$8,$D$9,$D$10,$D$11)</f>
        <v>8957544</v>
      </c>
      <c r="GE98" s="25">
        <f>_xll.LVCELL($D$2,GE$15,$B98,$D$5,$D$6,$D$7,$D$8,$D$9,$D$10,$D$11)</f>
        <v>6981503</v>
      </c>
      <c r="GF98" s="25">
        <f>_xll.LVCELL($D$2,GF$15,$B98,$D$5,$D$6,$D$7,$D$8,$D$9,$D$10,$D$11)</f>
        <v>7427809</v>
      </c>
      <c r="GG98" s="25">
        <f>_xll.LVCELL($D$2,GG$15,$B98,$D$5,$D$6,$D$7,$D$8,$D$9,$D$10,$D$11)</f>
        <v>4771577</v>
      </c>
      <c r="GH98" s="25">
        <f>_xll.LVCELL($D$2,GH$15,$B98,$D$5,$D$6,$D$7,$D$8,$D$9,$D$10,$D$11)</f>
        <v>3517926</v>
      </c>
      <c r="GI98" s="25">
        <f>_xll.LVCELL($D$2,GI$15,$B98,$D$5,$D$6,$D$7,$D$8,$D$9,$D$10,$D$11)</f>
        <v>3046316</v>
      </c>
      <c r="GJ98" s="25">
        <f>_xll.LVCELL($D$2,GJ$15,$B98,$D$5,$D$6,$D$7,$D$8,$D$9,$D$10,$D$11)</f>
        <v>2300447</v>
      </c>
      <c r="GK98" s="25">
        <f>_xll.LVCELL($D$2,GK$15,$B98,$D$5,$D$6,$D$7,$D$8,$D$9,$D$10,$D$11)</f>
        <v>3457010</v>
      </c>
      <c r="GL98" s="40">
        <f>_xll.LVCELL($D$2,GL$15,$B98,$D$5,$D$6,$D$7,$D$8,$D$9,$D$10,$D$11)</f>
        <v>3511120</v>
      </c>
      <c r="GM98" s="40">
        <f>_xll.LVCELL($D$2,GM$15,$B98,$D$5,$D$6,$D$7,$D$8,$D$9,$D$10,$D$11)</f>
        <v>5952637</v>
      </c>
      <c r="GN98" s="40">
        <f>_xll.LVCELL($D$2,GN$15,$B98,$D$5,$D$6,$D$7,$D$8,$D$9,$D$10,$D$11)</f>
        <v>6569310</v>
      </c>
      <c r="GO98" s="40">
        <f>_xll.LVCELL($D$2,GO$15,$B98,$D$5,$D$6,$D$7,$D$8,$D$9,$D$10,$D$11)</f>
        <v>8014085</v>
      </c>
      <c r="GP98" s="25">
        <f>_xll.LVCELL($D$2,GP$15,$B98,$D$5,$D$6,$D$7,$D$8,$D$9,$D$10,$D$11)</f>
        <v>7081852</v>
      </c>
      <c r="GQ98" s="25">
        <f>_xll.LVCELL($D$2,GQ$15,$B98,$D$5,$D$6,$D$7,$D$8,$D$9,$D$10,$D$11)</f>
        <v>6697774</v>
      </c>
      <c r="GR98" s="25">
        <f>_xll.LVCELL($D$2,GR$15,$B98,$D$5,$D$6,$D$7,$D$8,$D$9,$D$10,$D$11)</f>
        <v>9676919</v>
      </c>
      <c r="GS98" s="25">
        <f>_xll.LVCELL($D$2,GS$15,$B98,$D$5,$D$6,$D$7,$D$8,$D$9,$D$10,$D$11)</f>
        <v>3583282</v>
      </c>
      <c r="GT98" s="25">
        <f>_xll.LVCELL($D$2,GT$15,$B98,$D$5,$D$6,$D$7,$D$8,$D$9,$D$10,$D$11)</f>
        <v>3695026</v>
      </c>
      <c r="GU98" s="25">
        <f>_xll.LVCELL($D$2,GU$15,$B98,$D$5,$D$6,$D$7,$D$8,$D$9,$D$10,$D$11)</f>
        <v>3605124</v>
      </c>
      <c r="GV98" s="25">
        <f>_xll.LVCELL($D$2,GV$15,$B98,$D$5,$D$6,$D$7,$D$8,$D$9,$D$10,$D$11)</f>
        <v>3296853</v>
      </c>
      <c r="GW98" s="25">
        <f>_xll.LVCELL($D$2,GW$15,$B98,$D$5,$D$6,$D$7,$D$8,$D$9,$D$10,$D$11)</f>
        <v>3027015</v>
      </c>
      <c r="GX98" s="25">
        <f>_xll.LVCELL($D$2,GX$15,$B98,$D$5,$D$6,$D$7,$D$8,$D$9,$D$10,$D$11)</f>
        <v>4864866</v>
      </c>
      <c r="GY98" s="25">
        <f>_xll.LVCELL($D$2,GY$15,$B98,$D$5,$D$6,$D$7,$D$8,$D$9,$D$10,$D$11)</f>
        <v>7051603</v>
      </c>
      <c r="GZ98" s="25">
        <f>_xll.LVCELL($D$2,GZ$15,$B98,$D$5,$D$6,$D$7,$D$8,$D$9,$D$10,$D$11)</f>
        <v>6934732</v>
      </c>
      <c r="HA98" s="25">
        <f>_xll.LVCELL($D$2,HA$15,$B98,$D$5,$D$6,$D$7,$D$8,$D$9,$D$10,$D$11)</f>
        <v>9682934</v>
      </c>
      <c r="HB98" s="25">
        <f>_xll.LVCELL($D$2,HB$15,$B98,$D$5,$D$6,$D$7,$D$8,$D$9,$D$10,$D$11)</f>
        <v>8379420</v>
      </c>
      <c r="HC98" s="25">
        <f>_xll.LVCELL($D$2,HC$15,$B98,$D$5,$D$6,$D$7,$D$8,$D$9,$D$10,$D$11)</f>
        <v>11778590</v>
      </c>
      <c r="HD98" s="25">
        <f>_xll.LVCELL($D$2,HD$15,$B98,$D$5,$D$6,$D$7,$D$8,$D$9,$D$10,$D$11)</f>
        <v>8201952</v>
      </c>
      <c r="HE98" s="25">
        <f>_xll.LVCELL($D$2,HE$15,$B98,$D$5,$D$6,$D$7,$D$8,$D$9,$D$10,$D$11)</f>
        <v>4281892</v>
      </c>
      <c r="HF98" s="25">
        <f>_xll.LVCELL($D$2,HF$15,$B98,$D$5,$D$6,$D$7,$D$8,$D$9,$D$10,$D$11)</f>
        <v>4411800</v>
      </c>
      <c r="HG98" s="25">
        <f>_xll.LVCELL($D$2,HG$15,$B98,$D$5,$D$6,$D$7,$D$8,$D$9,$D$10,$D$11)</f>
        <v>3504832</v>
      </c>
      <c r="HH98" s="25">
        <f>_xll.LVCELL($D$2,HH$15,$B98,$D$5,$D$6,$D$7,$D$8,$D$9,$D$10,$D$11)</f>
        <v>3736481</v>
      </c>
      <c r="HI98" s="25">
        <f>_xll.LVCELL($D$2,HI$15,$B98,$D$5,$D$6,$D$7,$D$8,$D$9,$D$10,$D$11)</f>
        <v>3559011</v>
      </c>
      <c r="HJ98" s="25">
        <f>_xll.LVCELL($D$2,HJ$15,$B98,$D$5,$D$6,$D$7,$D$8,$D$9,$D$10,$D$11)</f>
        <v>3540170</v>
      </c>
      <c r="HK98" s="25">
        <f>_xll.LVCELL($D$2,HK$15,$B98,$D$5,$D$6,$D$7,$D$8,$D$9,$D$10,$D$11)</f>
        <v>7441559</v>
      </c>
      <c r="HL98" s="25">
        <f>_xll.LVCELL($D$2,HL$15,$B98,$D$5,$D$6,$D$7,$D$8,$D$9,$D$10,$D$11)</f>
        <v>6397404</v>
      </c>
      <c r="HM98" s="25">
        <f>_xll.LVCELL($D$2,HM$15,$B98,$D$5,$D$6,$D$7,$D$8,$D$9,$D$10,$D$11)</f>
        <v>8021656</v>
      </c>
    </row>
    <row r="99" spans="2:221">
      <c r="D99" s="166" t="s">
        <v>561</v>
      </c>
      <c r="GD99" s="16">
        <v>4474557.8330000006</v>
      </c>
      <c r="GE99" s="16">
        <v>3619648.666666667</v>
      </c>
      <c r="GF99" s="16">
        <v>4172224.9999999995</v>
      </c>
      <c r="GG99" s="16">
        <v>2808907</v>
      </c>
      <c r="GH99" s="16">
        <v>1579922</v>
      </c>
      <c r="GI99" s="16">
        <v>1782500</v>
      </c>
      <c r="GJ99" s="16">
        <v>1211937.1666666667</v>
      </c>
      <c r="GK99" s="16">
        <v>1835424.1666666667</v>
      </c>
      <c r="GL99" s="40">
        <v>1966909.5</v>
      </c>
      <c r="GM99" s="40">
        <v>1927159.333333333</v>
      </c>
      <c r="GN99" s="40">
        <v>2681796.166666667</v>
      </c>
      <c r="GO99" s="40">
        <v>4486672</v>
      </c>
      <c r="GP99" s="28">
        <v>3765223</v>
      </c>
      <c r="GQ99" s="28">
        <v>3443801.3333333335</v>
      </c>
      <c r="GR99" s="28">
        <v>4825771.166666666</v>
      </c>
      <c r="GS99" s="25">
        <f>2139.24316666667*1000</f>
        <v>2139243.1666666698</v>
      </c>
      <c r="GT99" s="25">
        <f>1957.4905*1000</f>
        <v>1957490.5</v>
      </c>
      <c r="GU99" s="25">
        <f>2037.94466666667*1000</f>
        <v>2037944.66666667</v>
      </c>
      <c r="HB99" s="28">
        <v>3765223</v>
      </c>
      <c r="HC99" s="28">
        <v>3443801.3333333335</v>
      </c>
      <c r="HD99" s="28">
        <v>4825771.166666666</v>
      </c>
      <c r="HE99" s="25">
        <f>2139.24316666667*1000</f>
        <v>2139243.1666666698</v>
      </c>
      <c r="HF99" s="25">
        <f>1957.4905*1000</f>
        <v>1957490.5</v>
      </c>
      <c r="HG99" s="25">
        <f>2037.94466666667*1000</f>
        <v>2037944.66666667</v>
      </c>
    </row>
    <row r="100" spans="2:221">
      <c r="D100" s="166" t="s">
        <v>562</v>
      </c>
      <c r="GD100" s="16">
        <v>2334779.8330000001</v>
      </c>
      <c r="GE100" s="16">
        <v>2584152.4999999995</v>
      </c>
      <c r="GF100" s="16">
        <v>2939108</v>
      </c>
      <c r="GG100" s="16">
        <v>2062194.9999999998</v>
      </c>
      <c r="GH100" s="16">
        <v>1188392.0000000002</v>
      </c>
      <c r="GI100" s="16">
        <v>1099638</v>
      </c>
      <c r="GJ100" s="16">
        <v>788663.33333333337</v>
      </c>
      <c r="GK100" s="16">
        <v>1254360.8333333333</v>
      </c>
      <c r="GL100" s="40">
        <v>1295642.8333333333</v>
      </c>
      <c r="GM100" s="40">
        <v>1704152.5</v>
      </c>
      <c r="GN100" s="40">
        <v>1855630.6666666667</v>
      </c>
      <c r="GO100" s="40">
        <v>3131514.666666667</v>
      </c>
      <c r="GP100" s="28">
        <v>2648487.166666667</v>
      </c>
      <c r="GQ100" s="28">
        <v>2375003</v>
      </c>
      <c r="GR100" s="28">
        <v>3464601.1666666665</v>
      </c>
      <c r="GS100" s="25">
        <f>1443.1235*1000</f>
        <v>1443123.5</v>
      </c>
      <c r="GT100" s="25">
        <f>1377.5015*1000</f>
        <v>1377501.5</v>
      </c>
      <c r="GU100" s="25">
        <f>1356.66583333333*1000</f>
        <v>1356665.83333333</v>
      </c>
      <c r="HB100" s="28">
        <v>2648487.166666667</v>
      </c>
      <c r="HC100" s="28">
        <v>2375003</v>
      </c>
      <c r="HD100" s="28">
        <v>3464601.1666666665</v>
      </c>
      <c r="HE100" s="25">
        <f>1443.1235*1000</f>
        <v>1443123.5</v>
      </c>
      <c r="HF100" s="25">
        <f>1377.5015*1000</f>
        <v>1377501.5</v>
      </c>
      <c r="HG100" s="25">
        <f>1356.66583333333*1000</f>
        <v>1356665.83333333</v>
      </c>
    </row>
    <row r="101" spans="2:221">
      <c r="B101" t="s">
        <v>470</v>
      </c>
      <c r="D101" s="10" t="s">
        <v>2602</v>
      </c>
      <c r="FR101" s="40">
        <f>_xll.LVCELL($D$2,FR$15,$B101,$D$5,$D$6,$D$7,$D$8,$D$9,$D$10,$D$11)</f>
        <v>0</v>
      </c>
      <c r="FS101" s="40">
        <f>_xll.LVCELL($D$2,FS$15,$B101,$D$5,$D$6,$D$7,$D$8,$D$9,$D$10,$D$11)</f>
        <v>0</v>
      </c>
      <c r="FT101" s="40">
        <f>_xll.LVCELL($D$2,FT$15,$B101,$D$5,$D$6,$D$7,$D$8,$D$9,$D$10,$D$11)</f>
        <v>0</v>
      </c>
      <c r="FU101" s="40">
        <f>_xll.LVCELL($D$2,FU$15,$B101,$D$5,$D$6,$D$7,$D$8,$D$9,$D$10,$D$11)</f>
        <v>0</v>
      </c>
      <c r="FV101" s="40">
        <f>_xll.LVCELL($D$2,FV$15,$B101,$D$5,$D$6,$D$7,$D$8,$D$9,$D$10,$D$11)</f>
        <v>0</v>
      </c>
      <c r="FW101" s="40">
        <f>_xll.LVCELL($D$2,FW$15,$B101,$D$5,$D$6,$D$7,$D$8,$D$9,$D$10,$D$11)</f>
        <v>0</v>
      </c>
      <c r="FX101" s="40">
        <f>_xll.LVCELL($D$2,FX$15,$B101,$D$5,$D$6,$D$7,$D$8,$D$9,$D$10,$D$11)</f>
        <v>0</v>
      </c>
      <c r="FY101" s="40">
        <f>_xll.LVCELL($D$2,FY$15,$B101,$D$5,$D$6,$D$7,$D$8,$D$9,$D$10,$D$11)</f>
        <v>0</v>
      </c>
      <c r="FZ101" s="40">
        <f>_xll.LVCELL($D$2,FZ$15,$B101,$D$5,$D$6,$D$7,$D$8,$D$9,$D$10,$D$11)</f>
        <v>0</v>
      </c>
      <c r="GA101" s="40">
        <f>_xll.LVCELL($D$2,GA$15,$B101,$D$5,$D$6,$D$7,$D$8,$D$9,$D$10,$D$11)</f>
        <v>0</v>
      </c>
      <c r="GB101" s="40">
        <f>_xll.LVCELL($D$2,GB$15,$B101,$D$5,$D$6,$D$7,$D$8,$D$9,$D$10,$D$11)</f>
        <v>691321</v>
      </c>
      <c r="GC101" s="40">
        <f>_xll.LVCELL($D$2,GC$15,$B101,$D$5,$D$6,$D$7,$D$8,$D$9,$D$10,$D$11)</f>
        <v>5507903</v>
      </c>
      <c r="GD101" s="25">
        <f>_xll.LVCELL($D$2,GD$15,$B101,$D$5,$D$6,$D$7,$D$8,$D$9,$D$10,$D$11)</f>
        <v>6809338</v>
      </c>
      <c r="GE101" s="25">
        <f>_xll.LVCELL($D$2,GE$15,$B101,$D$5,$D$6,$D$7,$D$8,$D$9,$D$10,$D$11)</f>
        <v>6203801</v>
      </c>
      <c r="GF101" s="25">
        <f>_xll.LVCELL($D$2,GF$15,$B101,$D$5,$D$6,$D$7,$D$8,$D$9,$D$10,$D$11)</f>
        <v>7111333</v>
      </c>
      <c r="GG101" s="25">
        <f>_xll.LVCELL($D$2,GG$15,$B101,$D$5,$D$6,$D$7,$D$8,$D$9,$D$10,$D$11)</f>
        <v>4871102</v>
      </c>
      <c r="GH101" s="25">
        <f>_xll.LVCELL($D$2,GH$15,$B101,$D$5,$D$6,$D$7,$D$8,$D$9,$D$10,$D$11)</f>
        <v>2768314</v>
      </c>
      <c r="GI101" s="25">
        <f>_xll.LVCELL($D$2,GI$15,$B101,$D$5,$D$6,$D$7,$D$8,$D$9,$D$10,$D$11)</f>
        <v>2882138</v>
      </c>
      <c r="GJ101" s="25">
        <f>_xll.LVCELL($D$2,GJ$15,$B101,$D$5,$D$6,$D$7,$D$8,$D$9,$D$10,$D$11)</f>
        <v>2000601</v>
      </c>
      <c r="GK101" s="25">
        <f>_xll.LVCELL($D$2,GK$15,$B101,$D$5,$D$6,$D$7,$D$8,$D$9,$D$10,$D$11)</f>
        <v>3089785</v>
      </c>
      <c r="GL101" s="40">
        <f>_xll.LVCELL($D$2,GL$15,$B101,$D$5,$D$6,$D$7,$D$8,$D$9,$D$10,$D$11)</f>
        <v>3262552</v>
      </c>
      <c r="GM101" s="40">
        <f>_xll.LVCELL($D$2,GM$15,$B101,$D$5,$D$6,$D$7,$D$8,$D$9,$D$10,$D$11)</f>
        <v>3631312</v>
      </c>
      <c r="GN101" s="40">
        <f>_xll.LVCELL($D$2,GN$15,$B101,$D$5,$D$6,$D$7,$D$8,$D$9,$D$10,$D$11)</f>
        <v>4537427</v>
      </c>
      <c r="GO101" s="40">
        <f>_xll.LVCELL($D$2,GO$15,$B101,$D$5,$D$6,$D$7,$D$8,$D$9,$D$10,$D$11)</f>
        <v>7618187</v>
      </c>
      <c r="GP101" s="25">
        <f>_xll.LVCELL($D$2,GP$15,$B101,$D$5,$D$6,$D$7,$D$8,$D$9,$D$10,$D$11)</f>
        <v>6413710</v>
      </c>
      <c r="GQ101" s="25">
        <f>_xll.LVCELL($D$2,GQ$15,$B101,$D$5,$D$6,$D$7,$D$8,$D$9,$D$10,$D$11)</f>
        <v>5818804</v>
      </c>
      <c r="GR101" s="25">
        <f>_xll.LVCELL($D$2,GR$15,$B101,$D$5,$D$6,$D$7,$D$8,$D$9,$D$10,$D$11)</f>
        <v>8290372</v>
      </c>
      <c r="GS101" s="25">
        <f>_xll.LVCELL($D$2,GS$15,$B101,$D$5,$D$6,$D$7,$D$8,$D$9,$D$10,$D$11)</f>
        <v>3582367</v>
      </c>
      <c r="GT101" s="25">
        <f>_xll.LVCELL($D$2,GT$15,$B101,$D$5,$D$6,$D$7,$D$8,$D$9,$D$10,$D$11)</f>
        <v>3334992</v>
      </c>
      <c r="GU101" s="25">
        <f>_xll.LVCELL($D$2,GU$15,$B101,$D$5,$D$6,$D$7,$D$8,$D$9,$D$10,$D$11)</f>
        <v>3394611</v>
      </c>
      <c r="GV101" s="25">
        <f>_xll.LVCELL($D$2,GV$15,$B101,$D$5,$D$6,$D$7,$D$8,$D$9,$D$10,$D$11)</f>
        <v>2976804</v>
      </c>
      <c r="GW101" s="25">
        <f>_xll.LVCELL($D$2,GW$15,$B101,$D$5,$D$6,$D$7,$D$8,$D$9,$D$10,$D$11)</f>
        <v>3180541</v>
      </c>
      <c r="GX101" s="25">
        <f>_xll.LVCELL($D$2,GX$15,$B101,$D$5,$D$6,$D$7,$D$8,$D$9,$D$10,$D$11)</f>
        <v>4964238</v>
      </c>
      <c r="GY101" s="25">
        <f>_xll.LVCELL($D$2,GY$15,$B101,$D$5,$D$6,$D$7,$D$8,$D$9,$D$10,$D$11)</f>
        <v>6838351</v>
      </c>
      <c r="GZ101" s="25">
        <f>_xll.LVCELL($D$2,GZ$15,$B101,$D$5,$D$6,$D$7,$D$8,$D$9,$D$10,$D$11)</f>
        <v>6141906</v>
      </c>
      <c r="HA101" s="25">
        <f>_xll.LVCELL($D$2,HA$15,$B101,$D$5,$D$6,$D$7,$D$8,$D$9,$D$10,$D$11)</f>
        <v>9072438</v>
      </c>
      <c r="HB101" s="25">
        <f>_xll.LVCELL($D$2,HB$15,$B101,$D$5,$D$6,$D$7,$D$8,$D$9,$D$10,$D$11)</f>
        <v>7913265</v>
      </c>
      <c r="HC101" s="25">
        <f>_xll.LVCELL($D$2,HC$15,$B101,$D$5,$D$6,$D$7,$D$8,$D$9,$D$10,$D$11)</f>
        <v>11620933</v>
      </c>
      <c r="HD101" s="25">
        <f>_xll.LVCELL($D$2,HD$15,$B101,$D$5,$D$6,$D$7,$D$8,$D$9,$D$10,$D$11)</f>
        <v>7736305</v>
      </c>
      <c r="HE101" s="25">
        <f>_xll.LVCELL($D$2,HE$15,$B101,$D$5,$D$6,$D$7,$D$8,$D$9,$D$10,$D$11)</f>
        <v>3256966</v>
      </c>
      <c r="HF101" s="25">
        <f>_xll.LVCELL($D$2,HF$15,$B101,$D$5,$D$6,$D$7,$D$8,$D$9,$D$10,$D$11)</f>
        <v>3928447</v>
      </c>
      <c r="HG101" s="25">
        <f>_xll.LVCELL($D$2,HG$15,$B101,$D$5,$D$6,$D$7,$D$8,$D$9,$D$10,$D$11)</f>
        <v>2977040.17</v>
      </c>
      <c r="HH101" s="25">
        <f>_xll.LVCELL($D$2,HH$15,$B101,$D$5,$D$6,$D$7,$D$8,$D$9,$D$10,$D$11)</f>
        <v>3885156</v>
      </c>
      <c r="HI101" s="25">
        <f>_xll.LVCELL($D$2,HI$15,$B101,$D$5,$D$6,$D$7,$D$8,$D$9,$D$10,$D$11)</f>
        <v>3606201</v>
      </c>
      <c r="HJ101" s="25">
        <f>_xll.LVCELL($D$2,HJ$15,$B101,$D$5,$D$6,$D$7,$D$8,$D$9,$D$10,$D$11)</f>
        <v>3741382</v>
      </c>
      <c r="HK101" s="25">
        <f>_xll.LVCELL($D$2,HK$15,$B101,$D$5,$D$6,$D$7,$D$8,$D$9,$D$10,$D$11)</f>
        <v>7665838</v>
      </c>
      <c r="HL101" s="25">
        <f>_xll.LVCELL($D$2,HL$15,$B101,$D$5,$D$6,$D$7,$D$8,$D$9,$D$10,$D$11)</f>
        <v>5504654</v>
      </c>
      <c r="HM101" s="25">
        <f>_xll.LVCELL($D$2,HM$15,$B101,$D$5,$D$6,$D$7,$D$8,$D$9,$D$10,$D$11)</f>
        <v>7816509</v>
      </c>
    </row>
    <row r="102" spans="2:221">
      <c r="B102" t="s">
        <v>465</v>
      </c>
      <c r="D102" s="166" t="s">
        <v>563</v>
      </c>
      <c r="FR102" s="40">
        <f>_xll.LVCELL($D$2,FR$15,$B102,$D$5,$D$6,$D$7,$D$8,$D$9,$D$10,$D$11)</f>
        <v>0</v>
      </c>
      <c r="FS102" s="40">
        <f>_xll.LVCELL($D$2,FS$15,$B102,$D$5,$D$6,$D$7,$D$8,$D$9,$D$10,$D$11)</f>
        <v>0</v>
      </c>
      <c r="FT102" s="40">
        <f>_xll.LVCELL($D$2,FT$15,$B102,$D$5,$D$6,$D$7,$D$8,$D$9,$D$10,$D$11)</f>
        <v>0</v>
      </c>
      <c r="FU102" s="40">
        <f>_xll.LVCELL($D$2,FU$15,$B102,$D$5,$D$6,$D$7,$D$8,$D$9,$D$10,$D$11)</f>
        <v>0</v>
      </c>
      <c r="FV102" s="40">
        <f>_xll.LVCELL($D$2,FV$15,$B102,$D$5,$D$6,$D$7,$D$8,$D$9,$D$10,$D$11)</f>
        <v>0</v>
      </c>
      <c r="FW102" s="40">
        <f>_xll.LVCELL($D$2,FW$15,$B102,$D$5,$D$6,$D$7,$D$8,$D$9,$D$10,$D$11)</f>
        <v>0</v>
      </c>
      <c r="FX102" s="40">
        <f>_xll.LVCELL($D$2,FX$15,$B102,$D$5,$D$6,$D$7,$D$8,$D$9,$D$10,$D$11)</f>
        <v>0</v>
      </c>
      <c r="FY102" s="40">
        <f>_xll.LVCELL($D$2,FY$15,$B102,$D$5,$D$6,$D$7,$D$8,$D$9,$D$10,$D$11)</f>
        <v>0</v>
      </c>
      <c r="FZ102" s="40">
        <f>_xll.LVCELL($D$2,FZ$15,$B102,$D$5,$D$6,$D$7,$D$8,$D$9,$D$10,$D$11)</f>
        <v>0</v>
      </c>
      <c r="GA102" s="40">
        <f>_xll.LVCELL($D$2,GA$15,$B102,$D$5,$D$6,$D$7,$D$8,$D$9,$D$10,$D$11)</f>
        <v>0</v>
      </c>
      <c r="GB102" s="40">
        <f>_xll.LVCELL($D$2,GB$15,$B102,$D$5,$D$6,$D$7,$D$8,$D$9,$D$10,$D$11)</f>
        <v>0</v>
      </c>
      <c r="GC102" s="40">
        <f>_xll.LVCELL($D$2,GC$15,$B102,$D$5,$D$6,$D$7,$D$8,$D$9,$D$10,$D$11)</f>
        <v>1907119</v>
      </c>
      <c r="GD102" s="25">
        <f>_xll.LVCELL($D$2,GD$15,$B102,$D$5,$D$6,$D$7,$D$8,$D$9,$D$10,$D$11)</f>
        <v>3343083</v>
      </c>
      <c r="GE102" s="25">
        <f>_xll.LVCELL($D$2,GE$15,$B102,$D$5,$D$6,$D$7,$D$8,$D$9,$D$10,$D$11)</f>
        <v>6104466</v>
      </c>
      <c r="GF102" s="25">
        <f>_xll.LVCELL($D$2,GF$15,$B102,$D$5,$D$6,$D$7,$D$8,$D$9,$D$10,$D$11)</f>
        <v>8085942</v>
      </c>
      <c r="GG102" s="25">
        <f>_xll.LVCELL($D$2,GG$15,$B102,$D$5,$D$6,$D$7,$D$8,$D$9,$D$10,$D$11)</f>
        <v>6283270</v>
      </c>
      <c r="GH102" s="25">
        <f>_xll.LVCELL($D$2,GH$15,$B102,$D$5,$D$6,$D$7,$D$8,$D$9,$D$10,$D$11)</f>
        <v>3192045</v>
      </c>
      <c r="GI102" s="25">
        <f>_xll.LVCELL($D$2,GI$15,$B102,$D$5,$D$6,$D$7,$D$8,$D$9,$D$10,$D$11)</f>
        <v>3034114</v>
      </c>
      <c r="GJ102" s="25">
        <f>_xll.LVCELL($D$2,GJ$15,$B102,$D$5,$D$6,$D$7,$D$8,$D$9,$D$10,$D$11)</f>
        <v>2413028</v>
      </c>
      <c r="GK102" s="25">
        <f>_xll.LVCELL($D$2,GK$15,$B102,$D$5,$D$6,$D$7,$D$8,$D$9,$D$10,$D$11)</f>
        <v>3538730</v>
      </c>
      <c r="GL102" s="40">
        <f>_xll.LVCELL($D$2,GL$15,$B102,$D$5,$D$6,$D$7,$D$8,$D$9,$D$10,$D$11)</f>
        <v>3934693</v>
      </c>
      <c r="GM102" s="40">
        <f>_xll.LVCELL($D$2,GM$15,$B102,$D$5,$D$6,$D$7,$D$8,$D$9,$D$10,$D$11)</f>
        <v>6245895</v>
      </c>
      <c r="GN102" s="40">
        <f>_xll.LVCELL($D$2,GN$15,$B102,$D$5,$D$6,$D$7,$D$8,$D$9,$D$10,$D$11)</f>
        <v>6485070</v>
      </c>
      <c r="GO102" s="40">
        <f>_xll.LVCELL($D$2,GO$15,$B102,$D$5,$D$6,$D$7,$D$8,$D$9,$D$10,$D$11)</f>
        <v>9696126</v>
      </c>
      <c r="GP102" s="25">
        <f>_xll.LVCELL($D$2,GP$15,$B102,$D$5,$D$6,$D$7,$D$8,$D$9,$D$10,$D$11)</f>
        <v>7465166</v>
      </c>
      <c r="GQ102" s="25">
        <f>_xll.LVCELL($D$2,GQ$15,$B102,$D$5,$D$6,$D$7,$D$8,$D$9,$D$10,$D$11)</f>
        <v>7277837</v>
      </c>
      <c r="GR102" s="25">
        <f>_xll.LVCELL($D$2,GR$15,$B102,$D$5,$D$6,$D$7,$D$8,$D$9,$D$10,$D$11)</f>
        <v>10785306</v>
      </c>
      <c r="GS102" s="25">
        <f>_xll.LVCELL($D$2,GS$15,$B102,$D$5,$D$6,$D$7,$D$8,$D$9,$D$10,$D$11)</f>
        <v>4592694</v>
      </c>
      <c r="GT102" s="25">
        <f>_xll.LVCELL($D$2,GT$15,$B102,$D$5,$D$6,$D$7,$D$8,$D$9,$D$10,$D$11)</f>
        <v>3664209</v>
      </c>
      <c r="GU102" s="25">
        <f>_xll.LVCELL($D$2,GU$15,$B102,$D$5,$D$6,$D$7,$D$8,$D$9,$D$10,$D$11)</f>
        <v>4542983</v>
      </c>
      <c r="GV102" s="25">
        <f>_xll.LVCELL($D$2,GV$15,$B102,$D$5,$D$6,$D$7,$D$8,$D$9,$D$10,$D$11)</f>
        <v>3141625</v>
      </c>
      <c r="GW102" s="25">
        <f>_xll.LVCELL($D$2,GW$15,$B102,$D$5,$D$6,$D$7,$D$8,$D$9,$D$10,$D$11)</f>
        <v>3649619</v>
      </c>
      <c r="GX102" s="25">
        <f>_xll.LVCELL($D$2,GX$15,$B102,$D$5,$D$6,$D$7,$D$8,$D$9,$D$10,$D$11)</f>
        <v>5569551</v>
      </c>
      <c r="GY102" s="25">
        <f>_xll.LVCELL($D$2,GY$15,$B102,$D$5,$D$6,$D$7,$D$8,$D$9,$D$10,$D$11)</f>
        <v>8813540</v>
      </c>
      <c r="GZ102" s="25">
        <f>_xll.LVCELL($D$2,GZ$15,$B102,$D$5,$D$6,$D$7,$D$8,$D$9,$D$10,$D$11)</f>
        <v>7738478</v>
      </c>
      <c r="HA102" s="25">
        <f>_xll.LVCELL($D$2,HA$15,$B102,$D$5,$D$6,$D$7,$D$8,$D$9,$D$10,$D$11)</f>
        <v>11667445</v>
      </c>
      <c r="HB102" s="25">
        <f>_xll.LVCELL($D$2,HB$15,$B102,$D$5,$D$6,$D$7,$D$8,$D$9,$D$10,$D$11)</f>
        <v>9851284</v>
      </c>
      <c r="HC102" s="25">
        <f>_xll.LVCELL($D$2,HC$15,$B102,$D$5,$D$6,$D$7,$D$8,$D$9,$D$10,$D$11)</f>
        <v>12964582</v>
      </c>
      <c r="HD102" s="25">
        <f>_xll.LVCELL($D$2,HD$15,$B102,$D$5,$D$6,$D$7,$D$8,$D$9,$D$10,$D$11)</f>
        <v>8673224</v>
      </c>
      <c r="HE102" s="25">
        <f>_xll.LVCELL($D$2,HE$15,$B102,$D$5,$D$6,$D$7,$D$8,$D$9,$D$10,$D$11)</f>
        <v>4602639</v>
      </c>
      <c r="HF102" s="25">
        <f>_xll.LVCELL($D$2,HF$15,$B102,$D$5,$D$6,$D$7,$D$8,$D$9,$D$10,$D$11)</f>
        <v>4749483</v>
      </c>
      <c r="HG102" s="25">
        <f>_xll.LVCELL($D$2,HG$15,$B102,$D$5,$D$6,$D$7,$D$8,$D$9,$D$10,$D$11)</f>
        <v>3797324</v>
      </c>
      <c r="HH102" s="25">
        <f>_xll.LVCELL($D$2,HH$15,$B102,$D$5,$D$6,$D$7,$D$8,$D$9,$D$10,$D$11)</f>
        <v>4322314</v>
      </c>
      <c r="HI102" s="25">
        <f>_xll.LVCELL($D$2,HI$15,$B102,$D$5,$D$6,$D$7,$D$8,$D$9,$D$10,$D$11)</f>
        <v>4266657</v>
      </c>
      <c r="HJ102" s="25">
        <f>_xll.LVCELL($D$2,HJ$15,$B102,$D$5,$D$6,$D$7,$D$8,$D$9,$D$10,$D$11)</f>
        <v>4303829</v>
      </c>
      <c r="HK102" s="25">
        <f>_xll.LVCELL($D$2,HK$15,$B102,$D$5,$D$6,$D$7,$D$8,$D$9,$D$10,$D$11)</f>
        <v>9959762</v>
      </c>
      <c r="HL102" s="25">
        <f>_xll.LVCELL($D$2,HL$15,$B102,$D$5,$D$6,$D$7,$D$8,$D$9,$D$10,$D$11)</f>
        <v>7996824</v>
      </c>
      <c r="HM102" s="25">
        <f>_xll.LVCELL($D$2,HM$15,$B102,$D$5,$D$6,$D$7,$D$8,$D$9,$D$10,$D$11)</f>
        <v>9306058</v>
      </c>
    </row>
    <row r="103" spans="2:221" s="313" customFormat="1">
      <c r="B103" s="322" t="s">
        <v>481</v>
      </c>
      <c r="C103" s="322"/>
      <c r="D103" s="313" t="s">
        <v>567</v>
      </c>
      <c r="E103" s="321">
        <v>43405</v>
      </c>
      <c r="GM103" s="318">
        <v>1700181</v>
      </c>
      <c r="GN103" s="318">
        <v>3163444.0000000005</v>
      </c>
      <c r="GO103" s="318">
        <v>4863625</v>
      </c>
      <c r="GP103" s="318">
        <v>2311417</v>
      </c>
      <c r="GQ103" s="318">
        <v>2193195</v>
      </c>
      <c r="GR103" s="318">
        <v>4193569.0000000005</v>
      </c>
      <c r="GS103" s="318">
        <v>1758448</v>
      </c>
      <c r="GT103" s="318">
        <v>1592004</v>
      </c>
      <c r="GU103" s="318">
        <v>1696164</v>
      </c>
      <c r="HB103" s="318">
        <v>2311417</v>
      </c>
      <c r="HC103" s="318">
        <v>2193195</v>
      </c>
      <c r="HD103" s="318">
        <v>4193569.0000000005</v>
      </c>
      <c r="HE103" s="318">
        <v>1758448</v>
      </c>
      <c r="HF103" s="318">
        <v>1592004</v>
      </c>
      <c r="HG103" s="318">
        <v>1696164</v>
      </c>
    </row>
    <row r="104" spans="2:221" s="313" customFormat="1">
      <c r="B104" s="322" t="s">
        <v>481</v>
      </c>
      <c r="C104" s="322"/>
      <c r="D104" s="313" t="s">
        <v>3064</v>
      </c>
      <c r="E104" s="321">
        <v>43405</v>
      </c>
      <c r="GM104" s="318">
        <v>1634298</v>
      </c>
      <c r="GN104" s="318">
        <v>3304939.0000000005</v>
      </c>
      <c r="GO104" s="318">
        <v>4939237</v>
      </c>
      <c r="GP104" s="318">
        <v>2258709</v>
      </c>
      <c r="GQ104" s="318">
        <v>2305675</v>
      </c>
      <c r="GR104" s="318">
        <v>3771952</v>
      </c>
      <c r="GS104" s="318">
        <v>1741151</v>
      </c>
      <c r="GT104" s="318">
        <v>1462961</v>
      </c>
      <c r="GU104" s="318">
        <v>1588591</v>
      </c>
      <c r="HB104" s="318">
        <v>2258709</v>
      </c>
      <c r="HC104" s="318">
        <v>2305675</v>
      </c>
      <c r="HD104" s="318">
        <v>3771952</v>
      </c>
      <c r="HE104" s="318">
        <v>1741151</v>
      </c>
      <c r="HF104" s="318">
        <v>1462961</v>
      </c>
      <c r="HG104" s="318">
        <v>1588591</v>
      </c>
    </row>
    <row r="105" spans="2:221" s="313" customFormat="1">
      <c r="B105" s="313" t="s">
        <v>826</v>
      </c>
      <c r="D105" s="313" t="s">
        <v>3065</v>
      </c>
      <c r="E105" s="321">
        <v>43466</v>
      </c>
      <c r="GP105" s="318">
        <v>2210538</v>
      </c>
      <c r="GQ105" s="318">
        <v>2039673</v>
      </c>
      <c r="GR105" s="318">
        <v>3410466</v>
      </c>
      <c r="GS105" s="318">
        <v>1459211</v>
      </c>
      <c r="GT105" s="318">
        <v>1286763</v>
      </c>
      <c r="GU105" s="318">
        <v>1314189</v>
      </c>
      <c r="HB105" s="318">
        <v>2210538</v>
      </c>
      <c r="HC105" s="318">
        <v>2039673</v>
      </c>
      <c r="HD105" s="318">
        <v>3410466</v>
      </c>
      <c r="HE105" s="318">
        <v>1459211</v>
      </c>
      <c r="HF105" s="318">
        <v>1286763</v>
      </c>
      <c r="HG105" s="318">
        <v>1314189</v>
      </c>
    </row>
    <row r="106" spans="2:221" s="313" customFormat="1">
      <c r="B106" s="313" t="s">
        <v>826</v>
      </c>
      <c r="D106" s="313" t="s">
        <v>3066</v>
      </c>
      <c r="E106" s="321">
        <v>43466</v>
      </c>
      <c r="GP106" s="318">
        <v>2930000</v>
      </c>
      <c r="GQ106" s="318">
        <v>2730000</v>
      </c>
      <c r="GR106" s="318">
        <v>4587837</v>
      </c>
      <c r="GS106" s="318">
        <v>2005000</v>
      </c>
      <c r="GT106" s="318">
        <v>1950000</v>
      </c>
      <c r="GU106" s="318">
        <v>1930000</v>
      </c>
      <c r="HB106" s="318">
        <v>2930000</v>
      </c>
      <c r="HC106" s="318">
        <v>2730000</v>
      </c>
      <c r="HD106" s="318">
        <v>4587837</v>
      </c>
      <c r="HE106" s="318">
        <v>2005000</v>
      </c>
      <c r="HF106" s="318">
        <v>1950000</v>
      </c>
      <c r="HG106" s="318">
        <v>1930000</v>
      </c>
    </row>
    <row r="107" spans="2:221" s="313" customFormat="1">
      <c r="B107" s="313" t="s">
        <v>824</v>
      </c>
      <c r="D107" s="313" t="s">
        <v>3067</v>
      </c>
      <c r="E107" s="321">
        <v>43497</v>
      </c>
      <c r="GP107" s="318"/>
      <c r="GQ107" s="318">
        <v>2903621</v>
      </c>
      <c r="GR107" s="318">
        <v>4283548</v>
      </c>
      <c r="GS107" s="318">
        <v>1960496</v>
      </c>
      <c r="GT107" s="318">
        <v>1652225</v>
      </c>
      <c r="GU107" s="318">
        <v>1896442</v>
      </c>
      <c r="HB107" s="318"/>
      <c r="HC107" s="318">
        <v>2903621</v>
      </c>
      <c r="HD107" s="318">
        <v>4283548</v>
      </c>
      <c r="HE107" s="318">
        <v>1960496</v>
      </c>
      <c r="HF107" s="318">
        <v>1652225</v>
      </c>
      <c r="HG107" s="318">
        <v>1896442</v>
      </c>
    </row>
    <row r="108" spans="2:221" s="313" customFormat="1">
      <c r="B108" s="313" t="s">
        <v>824</v>
      </c>
      <c r="D108" s="313" t="s">
        <v>3068</v>
      </c>
      <c r="E108" s="321">
        <v>43525</v>
      </c>
      <c r="GP108" s="318"/>
      <c r="GQ108" s="318"/>
      <c r="GR108" s="318">
        <v>2132961</v>
      </c>
      <c r="GS108" s="318">
        <v>1077308</v>
      </c>
      <c r="GT108" s="318">
        <v>852748</v>
      </c>
      <c r="GU108" s="318">
        <v>982002</v>
      </c>
      <c r="HB108" s="318"/>
      <c r="HC108" s="318"/>
      <c r="HD108" s="318">
        <v>2132961</v>
      </c>
      <c r="HE108" s="318">
        <v>1077308</v>
      </c>
      <c r="HF108" s="318">
        <v>852748</v>
      </c>
      <c r="HG108" s="318">
        <v>982002</v>
      </c>
    </row>
    <row r="109" spans="2:221">
      <c r="B109" s="313" t="s">
        <v>816</v>
      </c>
      <c r="C109" s="313"/>
      <c r="D109" t="s">
        <v>3070</v>
      </c>
      <c r="FR109" s="112"/>
      <c r="FS109" s="112"/>
      <c r="FT109" s="112"/>
      <c r="FU109" s="112"/>
      <c r="FV109" s="112"/>
      <c r="FW109" s="112"/>
      <c r="FX109" s="112"/>
      <c r="FY109" s="112"/>
      <c r="FZ109" s="112"/>
      <c r="GA109" s="112"/>
      <c r="GB109" s="112"/>
      <c r="GC109" s="112"/>
      <c r="GD109" s="112"/>
      <c r="GE109" s="112"/>
      <c r="GF109" s="112"/>
      <c r="GG109" s="112"/>
      <c r="GH109" s="112"/>
      <c r="GI109" s="112"/>
      <c r="GJ109" s="112"/>
      <c r="GK109" s="112"/>
      <c r="GL109" s="112"/>
      <c r="GM109" s="112"/>
      <c r="GN109" s="112">
        <f>_xll.LVCELL($D$2,GN$15,$B109,$D$5,$D$6,$D$7,$D$8,$D$9,$D$10,$D$11)</f>
        <v>1976099</v>
      </c>
      <c r="GO109" s="112">
        <f>_xll.LVCELL($D$2,GO$15,$B109,$D$5,$D$6,$D$7,$D$8,$D$9,$D$10,$D$11)</f>
        <v>2480167</v>
      </c>
      <c r="GP109" s="112">
        <f>_xll.LVCELL($D$2,GP$15,$B109,$D$5,$D$6,$D$7,$D$8,$D$9,$D$10,$D$11)</f>
        <v>2095337</v>
      </c>
      <c r="GQ109" s="112">
        <f>_xll.LVCELL($D$2,GQ$15,$B109,$D$5,$D$6,$D$7,$D$8,$D$9,$D$10,$D$11)</f>
        <v>2028219</v>
      </c>
      <c r="GR109" s="112">
        <f>_xll.LVCELL($D$2,GR$15,$B109,$D$5,$D$6,$D$7,$D$8,$D$9,$D$10,$D$11)</f>
        <v>3337601</v>
      </c>
      <c r="GS109" s="112">
        <f>_xll.LVCELL($D$2,GS$15,$B109,$D$5,$D$6,$D$7,$D$8,$D$9,$D$10,$D$11)</f>
        <v>1651087</v>
      </c>
      <c r="GT109" s="112">
        <f>_xll.LVCELL($D$2,GT$15,$B109,$D$5,$D$6,$D$7,$D$8,$D$9,$D$10,$D$11)</f>
        <v>1331761</v>
      </c>
      <c r="GU109" s="112">
        <f>_xll.LVCELL($D$2,GU$15,$B109,$D$5,$D$6,$D$7,$D$8,$D$9,$D$10,$D$11)</f>
        <v>1534883</v>
      </c>
      <c r="GV109" s="112">
        <f>_xll.LVCELL($D$2,GV$15,$B109,$D$5,$D$6,$D$7,$D$8,$D$9,$D$10,$D$11)</f>
        <v>764457</v>
      </c>
      <c r="GW109" s="112">
        <f>_xll.LVCELL($D$2,GW$15,$B109,$D$5,$D$6,$D$7,$D$8,$D$9,$D$10,$D$11)</f>
        <v>1165210</v>
      </c>
      <c r="GX109" s="112">
        <f>_xll.LVCELL($D$2,GX$15,$B109,$D$5,$D$6,$D$7,$D$8,$D$9,$D$10,$D$11)</f>
        <v>2044502</v>
      </c>
      <c r="GY109" s="112">
        <f>_xll.LVCELL($D$2,GY$15,$B109,$D$5,$D$6,$D$7,$D$8,$D$9,$D$10,$D$11)</f>
        <v>2463696</v>
      </c>
      <c r="GZ109" s="112">
        <f>_xll.LVCELL($D$2,GZ$15,$B109,$D$5,$D$6,$D$7,$D$8,$D$9,$D$10,$D$11)</f>
        <v>2199910</v>
      </c>
      <c r="HA109" s="112">
        <f>_xll.LVCELL($D$2,HA$15,$B109,$D$5,$D$6,$D$7,$D$8,$D$9,$D$10,$D$11)</f>
        <v>3141537</v>
      </c>
      <c r="HB109" s="112">
        <f>_xll.LVCELL($D$2,HB$15,$B109,$D$5,$D$6,$D$7,$D$8,$D$9,$D$10,$D$11)</f>
        <v>2947963</v>
      </c>
      <c r="HC109" s="112">
        <f>_xll.LVCELL($D$2,HC$15,$B109,$D$5,$D$6,$D$7,$D$8,$D$9,$D$10,$D$11)</f>
        <v>4393152</v>
      </c>
      <c r="HD109" s="112">
        <f>_xll.LVCELL($D$2,HD$15,$B109,$D$5,$D$6,$D$7,$D$8,$D$9,$D$10,$D$11)</f>
        <v>3266862</v>
      </c>
      <c r="HE109" s="112">
        <f>_xll.LVCELL($D$2,HE$15,$B109,$D$5,$D$6,$D$7,$D$8,$D$9,$D$10,$D$11)</f>
        <v>1360291</v>
      </c>
      <c r="HF109" s="112">
        <f>_xll.LVCELL($D$2,HF$15,$B109,$D$5,$D$6,$D$7,$D$8,$D$9,$D$10,$D$11)</f>
        <v>1736108</v>
      </c>
      <c r="HG109" s="112">
        <f>_xll.LVCELL($D$2,HG$15,$B109,$D$5,$D$6,$D$7,$D$8,$D$9,$D$10,$D$11)</f>
        <v>1319252</v>
      </c>
      <c r="HH109" s="112">
        <f>_xll.LVCELL($D$2,HH$15,$B109,$D$5,$D$6,$D$7,$D$8,$D$9,$D$10,$D$11)</f>
        <v>1518349</v>
      </c>
      <c r="HI109" s="112">
        <f>_xll.LVCELL($D$2,HI$15,$B109,$D$5,$D$6,$D$7,$D$8,$D$9,$D$10,$D$11)</f>
        <v>1480993</v>
      </c>
      <c r="HJ109" s="112">
        <f>_xll.LVCELL($D$2,HJ$15,$B109,$D$5,$D$6,$D$7,$D$8,$D$9,$D$10,$D$11)</f>
        <v>1543964</v>
      </c>
      <c r="HK109" s="112">
        <f>_xll.LVCELL($D$2,HK$15,$B109,$D$5,$D$6,$D$7,$D$8,$D$9,$D$10,$D$11)</f>
        <v>2457409</v>
      </c>
      <c r="HL109" s="112">
        <f>_xll.LVCELL($D$2,HL$15,$B109,$D$5,$D$6,$D$7,$D$8,$D$9,$D$10,$D$11)</f>
        <v>1816321</v>
      </c>
      <c r="HM109" s="112">
        <f>_xll.LVCELL($D$2,HM$15,$B109,$D$5,$D$6,$D$7,$D$8,$D$9,$D$10,$D$11)</f>
        <v>2622083</v>
      </c>
    </row>
    <row r="110" spans="2:221">
      <c r="B110" s="313" t="s">
        <v>474</v>
      </c>
      <c r="C110" s="313"/>
      <c r="D110" t="s">
        <v>1769</v>
      </c>
      <c r="GN110" s="112">
        <f>_xll.LVCELL($D$2,GN$15,$B110,$D$5,$D$6,$D$7,$D$8,$D$9,$D$10,$D$11)</f>
        <v>0</v>
      </c>
      <c r="GO110" s="112">
        <f>_xll.LVCELL($D$2,GO$15,$B110,$D$5,$D$6,$D$7,$D$8,$D$9,$D$10,$D$11)</f>
        <v>0</v>
      </c>
      <c r="GP110" s="112">
        <f>_xll.LVCELL($D$2,GP$15,$B110,$D$5,$D$6,$D$7,$D$8,$D$9,$D$10,$D$11)</f>
        <v>2864424</v>
      </c>
      <c r="GQ110" s="112">
        <f>_xll.LVCELL($D$2,GQ$15,$B110,$D$5,$D$6,$D$7,$D$8,$D$9,$D$10,$D$11)</f>
        <v>2251238</v>
      </c>
      <c r="GR110" s="112">
        <f>_xll.LVCELL($D$2,GR$15,$B110,$D$5,$D$6,$D$7,$D$8,$D$9,$D$10,$D$11)</f>
        <v>3870153</v>
      </c>
      <c r="GS110" s="112">
        <f>_xll.LVCELL($D$2,GS$15,$B110,$D$5,$D$6,$D$7,$D$8,$D$9,$D$10,$D$11)</f>
        <v>1953579</v>
      </c>
      <c r="GT110" s="112">
        <f>_xll.LVCELL($D$2,GT$15,$B110,$D$5,$D$6,$D$7,$D$8,$D$9,$D$10,$D$11)</f>
        <v>1394382</v>
      </c>
      <c r="GU110" s="112">
        <f>_xll.LVCELL($D$2,GU$15,$B110,$D$5,$D$6,$D$7,$D$8,$D$9,$D$10,$D$11)</f>
        <v>1498495</v>
      </c>
      <c r="GV110" s="112">
        <f>_xll.LVCELL($D$2,GV$15,$B110,$D$5,$D$6,$D$7,$D$8,$D$9,$D$10,$D$11)</f>
        <v>1830411</v>
      </c>
      <c r="GW110" s="112">
        <f>_xll.LVCELL($D$2,GW$15,$B110,$D$5,$D$6,$D$7,$D$8,$D$9,$D$10,$D$11)</f>
        <v>1224205</v>
      </c>
      <c r="GX110" s="112">
        <f>_xll.LVCELL($D$2,GX$15,$B110,$D$5,$D$6,$D$7,$D$8,$D$9,$D$10,$D$11)</f>
        <v>2678378</v>
      </c>
      <c r="GY110" s="112">
        <f>_xll.LVCELL($D$2,GY$15,$B110,$D$5,$D$6,$D$7,$D$8,$D$9,$D$10,$D$11)</f>
        <v>2798033</v>
      </c>
      <c r="GZ110" s="112">
        <f>_xll.LVCELL($D$2,GZ$15,$B110,$D$5,$D$6,$D$7,$D$8,$D$9,$D$10,$D$11)</f>
        <v>2985326</v>
      </c>
      <c r="HA110" s="112">
        <f>_xll.LVCELL($D$2,HA$15,$B110,$D$5,$D$6,$D$7,$D$8,$D$9,$D$10,$D$11)</f>
        <v>3885083</v>
      </c>
      <c r="HB110" s="112">
        <f>_xll.LVCELL($D$2,HB$15,$B110,$D$5,$D$6,$D$7,$D$8,$D$9,$D$10,$D$11)</f>
        <v>3730396</v>
      </c>
      <c r="HC110" s="112">
        <f>_xll.LVCELL($D$2,HC$15,$B110,$D$5,$D$6,$D$7,$D$8,$D$9,$D$10,$D$11)</f>
        <v>3781750</v>
      </c>
      <c r="HD110" s="112">
        <f>_xll.LVCELL($D$2,HD$15,$B110,$D$5,$D$6,$D$7,$D$8,$D$9,$D$10,$D$11)</f>
        <v>3088523</v>
      </c>
      <c r="HE110" s="112">
        <f>_xll.LVCELL($D$2,HE$15,$B110,$D$5,$D$6,$D$7,$D$8,$D$9,$D$10,$D$11)</f>
        <v>2006570</v>
      </c>
      <c r="HF110" s="112">
        <f>_xll.LVCELL($D$2,HF$15,$B110,$D$5,$D$6,$D$7,$D$8,$D$9,$D$10,$D$11)</f>
        <v>2894144</v>
      </c>
      <c r="HG110" s="112">
        <f>_xll.LVCELL($D$2,HG$15,$B110,$D$5,$D$6,$D$7,$D$8,$D$9,$D$10,$D$11)</f>
        <v>1757557</v>
      </c>
      <c r="HH110" s="112">
        <f>_xll.LVCELL($D$2,HH$15,$B110,$D$5,$D$6,$D$7,$D$8,$D$9,$D$10,$D$11)</f>
        <v>1457999</v>
      </c>
      <c r="HI110" s="112">
        <f>_xll.LVCELL($D$2,HI$15,$B110,$D$5,$D$6,$D$7,$D$8,$D$9,$D$10,$D$11)</f>
        <v>1355347</v>
      </c>
      <c r="HJ110" s="112">
        <f>_xll.LVCELL($D$2,HJ$15,$B110,$D$5,$D$6,$D$7,$D$8,$D$9,$D$10,$D$11)</f>
        <v>1353623</v>
      </c>
      <c r="HK110" s="112">
        <f>_xll.LVCELL($D$2,HK$15,$B110,$D$5,$D$6,$D$7,$D$8,$D$9,$D$10,$D$11)</f>
        <v>3126245</v>
      </c>
      <c r="HL110" s="112">
        <f>_xll.LVCELL($D$2,HL$15,$B110,$D$5,$D$6,$D$7,$D$8,$D$9,$D$10,$D$11)</f>
        <v>2548378</v>
      </c>
      <c r="HM110" s="112">
        <f>_xll.LVCELL($D$2,HM$15,$B110,$D$5,$D$6,$D$7,$D$8,$D$9,$D$10,$D$11)</f>
        <v>3764639</v>
      </c>
    </row>
  </sheetData>
  <autoFilter ref="A17:HA17" xr:uid="{80F40DF0-6E71-4C7F-9A57-28468ED98FCE}"/>
  <phoneticPr fontId="239" type="noConversion"/>
  <conditionalFormatting sqref="A18:A34 A59:A60 A63:A64 A38:A39 A67:A68 A73:A76 A71 A44:A50 A52 A54:A57">
    <cfRule type="duplicateValues" dxfId="86" priority="14"/>
  </conditionalFormatting>
  <conditionalFormatting sqref="A58">
    <cfRule type="duplicateValues" dxfId="85" priority="13"/>
  </conditionalFormatting>
  <conditionalFormatting sqref="A61:A62">
    <cfRule type="duplicateValues" dxfId="84" priority="12"/>
  </conditionalFormatting>
  <conditionalFormatting sqref="A36:A37">
    <cfRule type="duplicateValues" dxfId="83" priority="11"/>
  </conditionalFormatting>
  <conditionalFormatting sqref="A35">
    <cfRule type="duplicateValues" dxfId="82" priority="10"/>
  </conditionalFormatting>
  <conditionalFormatting sqref="A66">
    <cfRule type="duplicateValues" dxfId="81" priority="9"/>
  </conditionalFormatting>
  <conditionalFormatting sqref="A65">
    <cfRule type="duplicateValues" dxfId="80" priority="8"/>
  </conditionalFormatting>
  <conditionalFormatting sqref="A72">
    <cfRule type="duplicateValues" dxfId="79" priority="7"/>
  </conditionalFormatting>
  <conditionalFormatting sqref="A69">
    <cfRule type="duplicateValues" dxfId="78" priority="6"/>
  </conditionalFormatting>
  <conditionalFormatting sqref="A70">
    <cfRule type="duplicateValues" dxfId="77" priority="5"/>
  </conditionalFormatting>
  <conditionalFormatting sqref="A40:A43">
    <cfRule type="duplicateValues" dxfId="76" priority="4"/>
  </conditionalFormatting>
  <conditionalFormatting sqref="A51">
    <cfRule type="duplicateValues" dxfId="75" priority="3"/>
  </conditionalFormatting>
  <conditionalFormatting sqref="A53">
    <cfRule type="duplicateValues" dxfId="74" priority="2"/>
  </conditionalFormatting>
  <conditionalFormatting sqref="A77">
    <cfRule type="duplicateValues" dxfId="73" priority="1"/>
  </conditionalFormatting>
  <pageMargins left="0.7" right="0.7" top="0.75" bottom="0.75" header="0.3" footer="0.3"/>
  <pageSetup paperSize="9" orientation="portrait" r:id="rId1"/>
  <customProperties>
    <customPr name="Longview.RefreshTimestamp" r:id="rId2"/>
  </customProperties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C14D-C7F8-46C7-A473-CE1E5D542D05}">
  <sheetPr>
    <tabColor rgb="FFFF0000"/>
  </sheetPr>
  <dimension ref="B1:GY90"/>
  <sheetViews>
    <sheetView zoomScale="70" zoomScaleNormal="70" workbookViewId="0">
      <pane xSplit="4" ySplit="4" topLeftCell="GG8" activePane="bottomRight" state="frozen"/>
      <selection pane="topRight" activeCell="E1" sqref="E1"/>
      <selection pane="bottomLeft" activeCell="A5" sqref="A5"/>
      <selection pane="bottomRight" activeCell="GL58" activeCellId="2" sqref="GL48:GW49 GL51:GW51 GL58:GW58"/>
    </sheetView>
  </sheetViews>
  <sheetFormatPr baseColWidth="10" defaultRowHeight="15"/>
  <cols>
    <col min="2" max="2" width="30.5703125" bestFit="1" customWidth="1"/>
    <col min="3" max="3" width="15.85546875" bestFit="1" customWidth="1"/>
    <col min="4" max="4" width="30.5703125" bestFit="1" customWidth="1"/>
    <col min="5" max="5" width="16" bestFit="1" customWidth="1"/>
    <col min="6" max="8" width="16.42578125" bestFit="1" customWidth="1"/>
    <col min="9" max="9" width="17.85546875" bestFit="1" customWidth="1"/>
    <col min="10" max="10" width="17.42578125" bestFit="1" customWidth="1"/>
    <col min="11" max="11" width="17.85546875" bestFit="1" customWidth="1"/>
    <col min="12" max="12" width="17.140625" bestFit="1" customWidth="1"/>
    <col min="13" max="13" width="17.42578125" bestFit="1" customWidth="1"/>
    <col min="14" max="14" width="18.5703125" bestFit="1" customWidth="1"/>
    <col min="15" max="15" width="17.85546875" bestFit="1" customWidth="1"/>
    <col min="16" max="16" width="18.5703125" bestFit="1" customWidth="1"/>
    <col min="17" max="17" width="18.85546875" bestFit="1" customWidth="1"/>
    <col min="18" max="18" width="18.5703125" bestFit="1" customWidth="1"/>
    <col min="19" max="19" width="18.140625" bestFit="1" customWidth="1"/>
    <col min="20" max="20" width="18.85546875" bestFit="1" customWidth="1"/>
    <col min="21" max="21" width="15.7109375" bestFit="1" customWidth="1"/>
    <col min="22" max="22" width="16" bestFit="1" customWidth="1"/>
    <col min="23" max="24" width="16.42578125" bestFit="1" customWidth="1"/>
    <col min="25" max="26" width="17.85546875" bestFit="1" customWidth="1"/>
    <col min="27" max="27" width="17.140625" bestFit="1" customWidth="1"/>
    <col min="28" max="28" width="17.42578125" bestFit="1" customWidth="1"/>
    <col min="29" max="31" width="17.85546875" bestFit="1" customWidth="1"/>
    <col min="32" max="34" width="18.5703125" bestFit="1" customWidth="1"/>
    <col min="35" max="36" width="18.85546875" bestFit="1" customWidth="1"/>
    <col min="37" max="37" width="15.7109375" bestFit="1" customWidth="1"/>
    <col min="38" max="40" width="16.42578125" bestFit="1" customWidth="1"/>
    <col min="41" max="41" width="17.140625" bestFit="1" customWidth="1"/>
    <col min="42" max="42" width="17.42578125" bestFit="1" customWidth="1"/>
    <col min="43" max="47" width="17.85546875" bestFit="1" customWidth="1"/>
    <col min="48" max="49" width="18.5703125" bestFit="1" customWidth="1"/>
    <col min="50" max="50" width="18.140625" bestFit="1" customWidth="1"/>
    <col min="51" max="51" width="18.5703125" bestFit="1" customWidth="1"/>
    <col min="52" max="52" width="18.85546875" bestFit="1" customWidth="1"/>
    <col min="53" max="53" width="16.42578125" bestFit="1" customWidth="1"/>
    <col min="54" max="55" width="16" bestFit="1" customWidth="1"/>
    <col min="56" max="56" width="16.42578125" bestFit="1" customWidth="1"/>
    <col min="57" max="58" width="17.42578125" bestFit="1" customWidth="1"/>
    <col min="59" max="59" width="17.140625" bestFit="1" customWidth="1"/>
    <col min="60" max="61" width="17.42578125" bestFit="1" customWidth="1"/>
    <col min="62" max="62" width="18.5703125" bestFit="1" customWidth="1"/>
    <col min="63" max="64" width="17.85546875" bestFit="1" customWidth="1"/>
    <col min="65" max="65" width="18.85546875" bestFit="1" customWidth="1"/>
    <col min="66" max="66" width="18.140625" bestFit="1" customWidth="1"/>
    <col min="67" max="67" width="17.85546875" bestFit="1" customWidth="1"/>
    <col min="68" max="68" width="18.5703125" bestFit="1" customWidth="1"/>
    <col min="69" max="69" width="15.7109375" bestFit="1" customWidth="1"/>
    <col min="70" max="71" width="16" bestFit="1" customWidth="1"/>
    <col min="72" max="72" width="16.42578125" bestFit="1" customWidth="1"/>
    <col min="73" max="73" width="17.85546875" bestFit="1" customWidth="1"/>
    <col min="74" max="74" width="17.140625" bestFit="1" customWidth="1"/>
    <col min="75" max="77" width="17.85546875" bestFit="1" customWidth="1"/>
    <col min="78" max="79" width="17.42578125" bestFit="1" customWidth="1"/>
    <col min="80" max="80" width="18.140625" bestFit="1" customWidth="1"/>
    <col min="81" max="81" width="18.5703125" bestFit="1" customWidth="1"/>
    <col min="82" max="82" width="18.140625" bestFit="1" customWidth="1"/>
    <col min="83" max="84" width="17.85546875" bestFit="1" customWidth="1"/>
    <col min="85" max="86" width="16" bestFit="1" customWidth="1"/>
    <col min="87" max="88" width="16.42578125" bestFit="1" customWidth="1"/>
    <col min="89" max="90" width="17.42578125" bestFit="1" customWidth="1"/>
    <col min="91" max="91" width="17.85546875" bestFit="1" customWidth="1"/>
    <col min="92" max="93" width="17.42578125" bestFit="1" customWidth="1"/>
    <col min="94" max="94" width="17.85546875" bestFit="1" customWidth="1"/>
    <col min="95" max="96" width="17.42578125" bestFit="1" customWidth="1"/>
    <col min="97" max="97" width="17.85546875" bestFit="1" customWidth="1"/>
    <col min="98" max="100" width="17.42578125" bestFit="1" customWidth="1"/>
    <col min="101" max="101" width="14.5703125" bestFit="1" customWidth="1"/>
    <col min="102" max="102" width="16" bestFit="1" customWidth="1"/>
    <col min="103" max="104" width="16.42578125" bestFit="1" customWidth="1"/>
    <col min="105" max="105" width="17.85546875" bestFit="1" customWidth="1"/>
    <col min="106" max="106" width="17.140625" bestFit="1" customWidth="1"/>
    <col min="107" max="108" width="17.42578125" bestFit="1" customWidth="1"/>
    <col min="109" max="109" width="17.85546875" bestFit="1" customWidth="1"/>
    <col min="110" max="112" width="17.42578125" bestFit="1" customWidth="1"/>
    <col min="113" max="114" width="17.85546875" bestFit="1" customWidth="1"/>
    <col min="115" max="115" width="17.42578125" bestFit="1" customWidth="1"/>
    <col min="116" max="116" width="17.85546875" bestFit="1" customWidth="1"/>
    <col min="117" max="117" width="13.85546875" bestFit="1" customWidth="1"/>
    <col min="118" max="119" width="16" bestFit="1" customWidth="1"/>
    <col min="120" max="120" width="16.42578125" bestFit="1" customWidth="1"/>
    <col min="121" max="121" width="17.85546875" bestFit="1" customWidth="1"/>
    <col min="122" max="124" width="17.42578125" bestFit="1" customWidth="1"/>
    <col min="125" max="125" width="17.85546875" bestFit="1" customWidth="1"/>
    <col min="126" max="127" width="17.42578125" bestFit="1" customWidth="1"/>
    <col min="128" max="129" width="17.85546875" bestFit="1" customWidth="1"/>
    <col min="130" max="132" width="17.42578125" bestFit="1" customWidth="1"/>
    <col min="133" max="133" width="15.7109375" bestFit="1" customWidth="1"/>
    <col min="134" max="135" width="16" bestFit="1" customWidth="1"/>
    <col min="136" max="136" width="16.42578125" bestFit="1" customWidth="1"/>
    <col min="137" max="140" width="17.85546875" bestFit="1" customWidth="1"/>
    <col min="141" max="143" width="17.42578125" bestFit="1" customWidth="1"/>
    <col min="144" max="144" width="17.85546875" bestFit="1" customWidth="1"/>
    <col min="145" max="145" width="18.85546875" bestFit="1" customWidth="1"/>
    <col min="146" max="147" width="17.85546875" bestFit="1" customWidth="1"/>
    <col min="148" max="148" width="16" bestFit="1" customWidth="1"/>
    <col min="149" max="149" width="16.42578125" bestFit="1" customWidth="1"/>
    <col min="150" max="150" width="16" bestFit="1" customWidth="1"/>
    <col min="151" max="151" width="16.42578125" bestFit="1" customWidth="1"/>
    <col min="152" max="153" width="17.85546875" bestFit="1" customWidth="1"/>
    <col min="154" max="154" width="17.42578125" bestFit="1" customWidth="1"/>
    <col min="155" max="156" width="17.85546875" bestFit="1" customWidth="1"/>
    <col min="157" max="157" width="18.85546875" bestFit="1" customWidth="1"/>
    <col min="158" max="158" width="18.5703125" bestFit="1" customWidth="1"/>
    <col min="159" max="159" width="17.42578125" bestFit="1" customWidth="1"/>
    <col min="160" max="160" width="17.85546875" bestFit="1" customWidth="1"/>
    <col min="161" max="161" width="17.42578125" bestFit="1" customWidth="1"/>
    <col min="162" max="162" width="18.85546875" bestFit="1" customWidth="1"/>
    <col min="163" max="163" width="16" bestFit="1" customWidth="1"/>
    <col min="164" max="165" width="13.140625" bestFit="1" customWidth="1"/>
    <col min="166" max="166" width="16.42578125" bestFit="1" customWidth="1"/>
    <col min="167" max="167" width="17.140625" bestFit="1" customWidth="1"/>
    <col min="168" max="170" width="17.85546875" bestFit="1" customWidth="1"/>
    <col min="171" max="171" width="17.42578125" bestFit="1" customWidth="1"/>
    <col min="172" max="172" width="17.85546875" bestFit="1" customWidth="1"/>
    <col min="173" max="173" width="18.85546875" bestFit="1" customWidth="1"/>
    <col min="174" max="174" width="18.5703125" bestFit="1" customWidth="1"/>
    <col min="175" max="175" width="18.85546875" bestFit="1" customWidth="1"/>
    <col min="176" max="176" width="18.140625" bestFit="1" customWidth="1"/>
    <col min="177" max="177" width="18.85546875" bestFit="1" customWidth="1"/>
    <col min="178" max="179" width="16" bestFit="1" customWidth="1"/>
    <col min="180" max="181" width="16.42578125" bestFit="1" customWidth="1"/>
    <col min="182" max="182" width="17.85546875" bestFit="1" customWidth="1"/>
    <col min="183" max="183" width="17.140625" bestFit="1" customWidth="1"/>
    <col min="184" max="185" width="17.42578125" bestFit="1" customWidth="1"/>
    <col min="186" max="186" width="18.5703125" bestFit="1" customWidth="1"/>
    <col min="187" max="187" width="18.85546875" bestFit="1" customWidth="1"/>
    <col min="188" max="188" width="18.140625" bestFit="1" customWidth="1"/>
    <col min="189" max="190" width="18.5703125" bestFit="1" customWidth="1"/>
    <col min="191" max="191" width="17.42578125" bestFit="1" customWidth="1"/>
    <col min="192" max="192" width="18.85546875" bestFit="1" customWidth="1"/>
    <col min="193" max="193" width="18.5703125" customWidth="1"/>
    <col min="194" max="194" width="13.5703125" customWidth="1"/>
    <col min="195" max="202" width="13.5703125" bestFit="1" customWidth="1"/>
    <col min="203" max="203" width="14.5703125" customWidth="1"/>
    <col min="204" max="204" width="13.5703125" bestFit="1" customWidth="1"/>
    <col min="205" max="205" width="13.5703125" customWidth="1"/>
    <col min="207" max="207" width="24.5703125" bestFit="1" customWidth="1"/>
  </cols>
  <sheetData>
    <row r="1" spans="2:205" ht="21">
      <c r="B1" s="165" t="s">
        <v>2604</v>
      </c>
      <c r="C1" s="164"/>
      <c r="D1" s="164"/>
    </row>
    <row r="3" spans="2:205">
      <c r="E3" t="s">
        <v>388</v>
      </c>
    </row>
    <row r="4" spans="2:205">
      <c r="B4" t="s">
        <v>810</v>
      </c>
      <c r="C4" t="s">
        <v>322</v>
      </c>
      <c r="D4" t="s">
        <v>278</v>
      </c>
      <c r="E4" t="s">
        <v>602</v>
      </c>
      <c r="F4" t="s">
        <v>603</v>
      </c>
      <c r="G4" t="s">
        <v>604</v>
      </c>
      <c r="H4" t="s">
        <v>605</v>
      </c>
      <c r="I4" t="s">
        <v>606</v>
      </c>
      <c r="J4" t="s">
        <v>607</v>
      </c>
      <c r="K4" t="s">
        <v>608</v>
      </c>
      <c r="L4" t="s">
        <v>609</v>
      </c>
      <c r="M4" t="s">
        <v>610</v>
      </c>
      <c r="N4" t="s">
        <v>611</v>
      </c>
      <c r="O4" t="s">
        <v>612</v>
      </c>
      <c r="P4" t="s">
        <v>613</v>
      </c>
      <c r="Q4" t="s">
        <v>614</v>
      </c>
      <c r="R4" t="s">
        <v>615</v>
      </c>
      <c r="S4" t="s">
        <v>616</v>
      </c>
      <c r="T4" t="s">
        <v>617</v>
      </c>
      <c r="U4" t="s">
        <v>618</v>
      </c>
      <c r="V4" t="s">
        <v>619</v>
      </c>
      <c r="W4" t="s">
        <v>620</v>
      </c>
      <c r="X4" t="s">
        <v>621</v>
      </c>
      <c r="Y4" t="s">
        <v>622</v>
      </c>
      <c r="Z4" t="s">
        <v>623</v>
      </c>
      <c r="AA4" t="s">
        <v>624</v>
      </c>
      <c r="AB4" t="s">
        <v>625</v>
      </c>
      <c r="AC4" t="s">
        <v>626</v>
      </c>
      <c r="AD4" t="s">
        <v>627</v>
      </c>
      <c r="AE4" t="s">
        <v>628</v>
      </c>
      <c r="AF4" t="s">
        <v>629</v>
      </c>
      <c r="AG4" t="s">
        <v>630</v>
      </c>
      <c r="AH4" t="s">
        <v>631</v>
      </c>
      <c r="AI4" t="s">
        <v>632</v>
      </c>
      <c r="AJ4" t="s">
        <v>633</v>
      </c>
      <c r="AK4" t="s">
        <v>634</v>
      </c>
      <c r="AL4" t="s">
        <v>635</v>
      </c>
      <c r="AM4" t="s">
        <v>636</v>
      </c>
      <c r="AN4" t="s">
        <v>637</v>
      </c>
      <c r="AO4" t="s">
        <v>638</v>
      </c>
      <c r="AP4" t="s">
        <v>639</v>
      </c>
      <c r="AQ4" t="s">
        <v>640</v>
      </c>
      <c r="AR4" t="s">
        <v>734</v>
      </c>
      <c r="AS4" t="s">
        <v>2623</v>
      </c>
      <c r="AT4" t="s">
        <v>735</v>
      </c>
      <c r="AU4" t="s">
        <v>736</v>
      </c>
      <c r="AV4" t="s">
        <v>737</v>
      </c>
      <c r="AW4" t="s">
        <v>738</v>
      </c>
      <c r="AX4" t="s">
        <v>739</v>
      </c>
      <c r="AY4" t="s">
        <v>740</v>
      </c>
      <c r="AZ4" t="s">
        <v>741</v>
      </c>
      <c r="BA4" t="s">
        <v>641</v>
      </c>
      <c r="BB4" t="s">
        <v>642</v>
      </c>
      <c r="BC4" t="s">
        <v>643</v>
      </c>
      <c r="BD4" t="s">
        <v>644</v>
      </c>
      <c r="BE4" t="s">
        <v>645</v>
      </c>
      <c r="BF4" t="s">
        <v>646</v>
      </c>
      <c r="BG4" t="s">
        <v>647</v>
      </c>
      <c r="BH4" t="s">
        <v>648</v>
      </c>
      <c r="BI4" t="s">
        <v>649</v>
      </c>
      <c r="BJ4" t="s">
        <v>650</v>
      </c>
      <c r="BK4" t="s">
        <v>651</v>
      </c>
      <c r="BL4" t="s">
        <v>652</v>
      </c>
      <c r="BM4" t="s">
        <v>653</v>
      </c>
      <c r="BN4" t="s">
        <v>654</v>
      </c>
      <c r="BO4" t="s">
        <v>655</v>
      </c>
      <c r="BP4" t="s">
        <v>656</v>
      </c>
      <c r="BQ4" t="s">
        <v>657</v>
      </c>
      <c r="BR4" t="s">
        <v>658</v>
      </c>
      <c r="BS4" t="s">
        <v>659</v>
      </c>
      <c r="BT4" t="s">
        <v>660</v>
      </c>
      <c r="BU4" t="s">
        <v>661</v>
      </c>
      <c r="BV4" t="s">
        <v>662</v>
      </c>
      <c r="BW4" t="s">
        <v>663</v>
      </c>
      <c r="BX4" t="s">
        <v>664</v>
      </c>
      <c r="BY4" t="s">
        <v>665</v>
      </c>
      <c r="BZ4" t="s">
        <v>666</v>
      </c>
      <c r="CA4" t="s">
        <v>667</v>
      </c>
      <c r="CB4" t="s">
        <v>668</v>
      </c>
      <c r="CC4" t="s">
        <v>669</v>
      </c>
      <c r="CD4" t="s">
        <v>670</v>
      </c>
      <c r="CE4" t="s">
        <v>671</v>
      </c>
      <c r="CF4" t="s">
        <v>672</v>
      </c>
      <c r="CG4" t="s">
        <v>673</v>
      </c>
      <c r="CH4" t="s">
        <v>674</v>
      </c>
      <c r="CI4" t="s">
        <v>675</v>
      </c>
      <c r="CJ4" t="s">
        <v>676</v>
      </c>
      <c r="CK4" t="s">
        <v>677</v>
      </c>
      <c r="CL4" t="s">
        <v>678</v>
      </c>
      <c r="CM4" t="s">
        <v>679</v>
      </c>
      <c r="CN4" t="s">
        <v>680</v>
      </c>
      <c r="CO4" t="s">
        <v>681</v>
      </c>
      <c r="CP4" t="s">
        <v>682</v>
      </c>
      <c r="CQ4" t="s">
        <v>683</v>
      </c>
      <c r="CR4" t="s">
        <v>684</v>
      </c>
      <c r="CS4" t="s">
        <v>685</v>
      </c>
      <c r="CT4" t="s">
        <v>686</v>
      </c>
      <c r="CU4" t="s">
        <v>687</v>
      </c>
      <c r="CV4" t="s">
        <v>688</v>
      </c>
      <c r="CW4" t="s">
        <v>689</v>
      </c>
      <c r="CX4" t="s">
        <v>690</v>
      </c>
      <c r="CY4" t="s">
        <v>691</v>
      </c>
      <c r="CZ4" t="s">
        <v>692</v>
      </c>
      <c r="DA4" t="s">
        <v>693</v>
      </c>
      <c r="DB4" t="s">
        <v>694</v>
      </c>
      <c r="DC4" t="s">
        <v>695</v>
      </c>
      <c r="DD4" t="s">
        <v>696</v>
      </c>
      <c r="DE4" t="s">
        <v>697</v>
      </c>
      <c r="DF4" t="s">
        <v>698</v>
      </c>
      <c r="DG4" t="s">
        <v>699</v>
      </c>
      <c r="DH4" t="s">
        <v>700</v>
      </c>
      <c r="DI4" t="s">
        <v>701</v>
      </c>
      <c r="DJ4" t="s">
        <v>702</v>
      </c>
      <c r="DK4" t="s">
        <v>703</v>
      </c>
      <c r="DL4" t="s">
        <v>2605</v>
      </c>
      <c r="DM4" t="s">
        <v>704</v>
      </c>
      <c r="DN4" t="s">
        <v>705</v>
      </c>
      <c r="DO4" t="s">
        <v>706</v>
      </c>
      <c r="DP4" t="s">
        <v>707</v>
      </c>
      <c r="DQ4" t="s">
        <v>708</v>
      </c>
      <c r="DR4" t="s">
        <v>709</v>
      </c>
      <c r="DS4" t="s">
        <v>710</v>
      </c>
      <c r="DT4" t="s">
        <v>711</v>
      </c>
      <c r="DU4" t="s">
        <v>712</v>
      </c>
      <c r="DV4" t="s">
        <v>713</v>
      </c>
      <c r="DW4" t="s">
        <v>714</v>
      </c>
      <c r="DX4" t="s">
        <v>715</v>
      </c>
      <c r="DY4" t="s">
        <v>716</v>
      </c>
      <c r="DZ4" t="s">
        <v>717</v>
      </c>
      <c r="EA4" t="s">
        <v>718</v>
      </c>
      <c r="EB4" t="s">
        <v>2606</v>
      </c>
      <c r="EC4" t="s">
        <v>742</v>
      </c>
      <c r="ED4" t="s">
        <v>743</v>
      </c>
      <c r="EE4" t="s">
        <v>744</v>
      </c>
      <c r="EF4" t="s">
        <v>745</v>
      </c>
      <c r="EG4" t="s">
        <v>746</v>
      </c>
      <c r="EH4" t="s">
        <v>747</v>
      </c>
      <c r="EI4" t="s">
        <v>748</v>
      </c>
      <c r="EJ4" t="s">
        <v>749</v>
      </c>
      <c r="EK4" t="s">
        <v>750</v>
      </c>
      <c r="EL4" t="s">
        <v>751</v>
      </c>
      <c r="EM4" t="s">
        <v>752</v>
      </c>
      <c r="EN4" t="s">
        <v>753</v>
      </c>
      <c r="EO4" t="s">
        <v>754</v>
      </c>
      <c r="EP4" t="s">
        <v>755</v>
      </c>
      <c r="EQ4" t="s">
        <v>756</v>
      </c>
      <c r="ER4" t="s">
        <v>757</v>
      </c>
      <c r="ES4" t="s">
        <v>758</v>
      </c>
      <c r="ET4" t="s">
        <v>759</v>
      </c>
      <c r="EU4" t="s">
        <v>760</v>
      </c>
      <c r="EV4" t="s">
        <v>761</v>
      </c>
      <c r="EW4" t="s">
        <v>762</v>
      </c>
      <c r="EX4" t="s">
        <v>763</v>
      </c>
      <c r="EY4" t="s">
        <v>764</v>
      </c>
      <c r="EZ4" t="s">
        <v>765</v>
      </c>
      <c r="FA4" t="s">
        <v>766</v>
      </c>
      <c r="FB4" t="s">
        <v>767</v>
      </c>
      <c r="FC4" t="s">
        <v>768</v>
      </c>
      <c r="FD4" t="s">
        <v>769</v>
      </c>
      <c r="FE4" t="s">
        <v>770</v>
      </c>
      <c r="FF4" t="s">
        <v>771</v>
      </c>
      <c r="FG4" t="s">
        <v>772</v>
      </c>
      <c r="FH4" t="s">
        <v>2624</v>
      </c>
      <c r="FI4" t="s">
        <v>2625</v>
      </c>
      <c r="FJ4" t="s">
        <v>773</v>
      </c>
      <c r="FK4" t="s">
        <v>774</v>
      </c>
      <c r="FL4" t="s">
        <v>775</v>
      </c>
      <c r="FM4" t="s">
        <v>776</v>
      </c>
      <c r="FN4" t="s">
        <v>777</v>
      </c>
      <c r="FO4" t="s">
        <v>778</v>
      </c>
      <c r="FP4" t="s">
        <v>779</v>
      </c>
      <c r="FQ4" t="s">
        <v>780</v>
      </c>
      <c r="FR4" t="s">
        <v>781</v>
      </c>
      <c r="FS4" t="s">
        <v>782</v>
      </c>
      <c r="FT4" t="s">
        <v>783</v>
      </c>
      <c r="FU4" t="s">
        <v>784</v>
      </c>
      <c r="FV4" t="s">
        <v>719</v>
      </c>
      <c r="FW4" t="s">
        <v>720</v>
      </c>
      <c r="FX4" t="s">
        <v>721</v>
      </c>
      <c r="FY4" t="s">
        <v>722</v>
      </c>
      <c r="FZ4" t="s">
        <v>723</v>
      </c>
      <c r="GA4" t="s">
        <v>724</v>
      </c>
      <c r="GB4" t="s">
        <v>725</v>
      </c>
      <c r="GC4" t="s">
        <v>726</v>
      </c>
      <c r="GD4" t="s">
        <v>727</v>
      </c>
      <c r="GE4" t="s">
        <v>728</v>
      </c>
      <c r="GF4" t="s">
        <v>729</v>
      </c>
      <c r="GG4" t="s">
        <v>730</v>
      </c>
      <c r="GH4" t="s">
        <v>731</v>
      </c>
      <c r="GI4" t="s">
        <v>732</v>
      </c>
      <c r="GJ4" t="s">
        <v>733</v>
      </c>
      <c r="GL4" t="s">
        <v>394</v>
      </c>
      <c r="GM4" t="s">
        <v>812</v>
      </c>
      <c r="GN4" t="s">
        <v>396</v>
      </c>
      <c r="GO4" t="s">
        <v>397</v>
      </c>
      <c r="GP4" t="s">
        <v>398</v>
      </c>
      <c r="GQ4" t="s">
        <v>399</v>
      </c>
      <c r="GR4" t="s">
        <v>400</v>
      </c>
      <c r="GS4" t="s">
        <v>813</v>
      </c>
      <c r="GT4" t="s">
        <v>402</v>
      </c>
      <c r="GU4" t="s">
        <v>403</v>
      </c>
      <c r="GV4" t="s">
        <v>404</v>
      </c>
      <c r="GW4" t="s">
        <v>814</v>
      </c>
    </row>
    <row r="5" spans="2:205">
      <c r="B5" t="s">
        <v>787</v>
      </c>
      <c r="C5" t="s">
        <v>476</v>
      </c>
      <c r="D5" t="s">
        <v>294</v>
      </c>
      <c r="E5" s="61">
        <v>0</v>
      </c>
      <c r="F5" s="61">
        <v>0</v>
      </c>
      <c r="G5" s="61">
        <v>0</v>
      </c>
      <c r="H5" s="61">
        <v>0</v>
      </c>
      <c r="I5" s="61">
        <v>6630396</v>
      </c>
      <c r="J5" s="61">
        <v>9546162</v>
      </c>
      <c r="K5" s="61">
        <v>5743533</v>
      </c>
      <c r="L5" s="61">
        <v>3367450</v>
      </c>
      <c r="M5" s="61">
        <v>4723855</v>
      </c>
      <c r="N5" s="61">
        <v>6353869</v>
      </c>
      <c r="O5" s="61">
        <v>5223743</v>
      </c>
      <c r="P5" s="61">
        <v>8963513</v>
      </c>
      <c r="Q5" s="61">
        <v>6173640</v>
      </c>
      <c r="R5" s="61">
        <v>10785429</v>
      </c>
      <c r="S5" s="61">
        <v>4839030</v>
      </c>
      <c r="T5" s="61">
        <v>10472307</v>
      </c>
      <c r="U5" s="61">
        <v>0</v>
      </c>
      <c r="V5" s="61">
        <v>0</v>
      </c>
      <c r="W5" s="61">
        <v>0</v>
      </c>
      <c r="X5" s="61">
        <v>0</v>
      </c>
      <c r="Y5" s="61">
        <v>10220374</v>
      </c>
      <c r="Z5" s="61">
        <v>5107637</v>
      </c>
      <c r="AA5" s="61">
        <v>5444227</v>
      </c>
      <c r="AB5" s="61">
        <v>7524970</v>
      </c>
      <c r="AC5" s="61">
        <v>2816755</v>
      </c>
      <c r="AD5" s="61">
        <v>4386340</v>
      </c>
      <c r="AE5" s="61">
        <v>5932111</v>
      </c>
      <c r="AF5" s="61">
        <v>9783807</v>
      </c>
      <c r="AG5" s="61">
        <v>5154928</v>
      </c>
      <c r="AH5" s="61">
        <v>8312663</v>
      </c>
      <c r="AI5" s="61">
        <v>9422880</v>
      </c>
      <c r="AJ5" s="61">
        <v>4937407</v>
      </c>
      <c r="AK5" s="61">
        <v>0</v>
      </c>
      <c r="AL5" s="61">
        <v>0</v>
      </c>
      <c r="AM5" s="61">
        <v>0</v>
      </c>
      <c r="AN5" s="61">
        <v>0</v>
      </c>
      <c r="AO5" s="61">
        <v>8446995</v>
      </c>
      <c r="AP5" s="61">
        <v>11690735</v>
      </c>
      <c r="AQ5" s="61">
        <v>8159333</v>
      </c>
      <c r="AR5" s="61">
        <v>8506690</v>
      </c>
      <c r="AS5" s="61">
        <v>4460642</v>
      </c>
      <c r="AT5" s="61">
        <v>6060265</v>
      </c>
      <c r="AU5" s="61">
        <v>6379992</v>
      </c>
      <c r="AV5" s="61">
        <v>5743124</v>
      </c>
      <c r="AW5" s="61">
        <v>6589960</v>
      </c>
      <c r="AX5" s="61">
        <v>8060031</v>
      </c>
      <c r="AY5" s="61">
        <v>6543980</v>
      </c>
      <c r="AZ5" s="61">
        <v>8559570</v>
      </c>
      <c r="BA5" s="61">
        <v>0</v>
      </c>
      <c r="BB5" s="61">
        <v>0</v>
      </c>
      <c r="BC5" s="61">
        <v>0</v>
      </c>
      <c r="BD5" s="61">
        <v>0</v>
      </c>
      <c r="BE5" s="61">
        <v>2584952</v>
      </c>
      <c r="BF5" s="61">
        <v>7068473</v>
      </c>
      <c r="BG5" s="61">
        <v>6178708</v>
      </c>
      <c r="BH5" s="61">
        <v>3948176</v>
      </c>
      <c r="BI5" s="61">
        <v>3856023</v>
      </c>
      <c r="BJ5" s="61">
        <v>9709823</v>
      </c>
      <c r="BK5" s="61">
        <v>5865014</v>
      </c>
      <c r="BL5" s="61">
        <v>3717118</v>
      </c>
      <c r="BM5" s="61">
        <v>5319099</v>
      </c>
      <c r="BN5" s="61">
        <v>6144427</v>
      </c>
      <c r="BO5" s="61">
        <v>4836340</v>
      </c>
      <c r="BP5" s="61">
        <v>6367980</v>
      </c>
      <c r="BQ5" s="61">
        <v>0</v>
      </c>
      <c r="BR5" s="61">
        <v>0</v>
      </c>
      <c r="BS5" s="61">
        <v>0</v>
      </c>
      <c r="BT5" s="61">
        <v>0</v>
      </c>
      <c r="BU5" s="61">
        <v>8119135</v>
      </c>
      <c r="BV5" s="61">
        <v>4050282</v>
      </c>
      <c r="BW5" s="61">
        <v>6734427</v>
      </c>
      <c r="BX5" s="61">
        <v>5788763</v>
      </c>
      <c r="BY5" s="61">
        <v>4100278.0000000005</v>
      </c>
      <c r="BZ5" s="61">
        <v>5253292</v>
      </c>
      <c r="CA5" s="61">
        <v>5253282</v>
      </c>
      <c r="CB5" s="61">
        <v>8672190</v>
      </c>
      <c r="CC5" s="61">
        <v>8007227</v>
      </c>
      <c r="CD5" s="61">
        <v>7663745</v>
      </c>
      <c r="CE5" s="61">
        <v>4052303</v>
      </c>
      <c r="CF5" s="61">
        <v>3036507</v>
      </c>
      <c r="CG5" s="61">
        <v>0</v>
      </c>
      <c r="CH5" s="61">
        <v>0</v>
      </c>
      <c r="CI5" s="61">
        <v>0</v>
      </c>
      <c r="CJ5" s="61">
        <v>0</v>
      </c>
      <c r="CK5" s="61">
        <v>4829405</v>
      </c>
      <c r="CL5" s="61">
        <v>2893844</v>
      </c>
      <c r="CM5" s="61">
        <v>5936481</v>
      </c>
      <c r="CN5" s="61">
        <v>5043592</v>
      </c>
      <c r="CO5" s="61">
        <v>3228670</v>
      </c>
      <c r="CP5" s="61">
        <v>5273371</v>
      </c>
      <c r="CQ5" s="61">
        <v>5872541</v>
      </c>
      <c r="CR5" s="61">
        <v>4946939</v>
      </c>
      <c r="CS5" s="61">
        <v>2945973</v>
      </c>
      <c r="CT5" s="61">
        <v>3089781</v>
      </c>
      <c r="CU5" s="61">
        <v>5098040</v>
      </c>
      <c r="CV5" s="61">
        <v>2440977</v>
      </c>
      <c r="CW5" s="61">
        <v>0</v>
      </c>
      <c r="CX5" s="61">
        <v>0</v>
      </c>
      <c r="CY5" s="61">
        <v>0</v>
      </c>
      <c r="CZ5" s="61">
        <v>0</v>
      </c>
      <c r="DA5" s="61">
        <v>6339681</v>
      </c>
      <c r="DB5" s="61">
        <v>2772410</v>
      </c>
      <c r="DC5" s="61">
        <v>4890958</v>
      </c>
      <c r="DD5" s="61">
        <v>2744177</v>
      </c>
      <c r="DE5" s="61">
        <v>4306710</v>
      </c>
      <c r="DF5" s="61">
        <v>3943743</v>
      </c>
      <c r="DG5" s="61">
        <v>2959065</v>
      </c>
      <c r="DH5" s="61">
        <v>3694707</v>
      </c>
      <c r="DI5" s="61">
        <v>4434035</v>
      </c>
      <c r="DJ5" s="61">
        <v>2516070</v>
      </c>
      <c r="DK5" s="61">
        <v>3858307.17</v>
      </c>
      <c r="DL5" s="61">
        <v>1995095</v>
      </c>
      <c r="DM5" s="61">
        <v>0</v>
      </c>
      <c r="DN5" s="61">
        <v>0</v>
      </c>
      <c r="DO5" s="61">
        <v>0</v>
      </c>
      <c r="DP5" s="61">
        <v>0</v>
      </c>
      <c r="DQ5" s="61">
        <v>4419052</v>
      </c>
      <c r="DR5" s="61">
        <v>3376554</v>
      </c>
      <c r="DS5" s="61">
        <v>3112856</v>
      </c>
      <c r="DT5" s="61">
        <v>4176997.9999999995</v>
      </c>
      <c r="DU5" s="61">
        <v>4518252</v>
      </c>
      <c r="DV5" s="61">
        <v>3418107</v>
      </c>
      <c r="DW5" s="61">
        <v>3321713</v>
      </c>
      <c r="DX5" s="61">
        <v>3545938</v>
      </c>
      <c r="DY5" s="61">
        <v>5165810</v>
      </c>
      <c r="DZ5" s="61">
        <v>2455400</v>
      </c>
      <c r="EA5" s="61">
        <v>2772513</v>
      </c>
      <c r="EB5" s="61">
        <v>3061915</v>
      </c>
      <c r="EC5" s="61">
        <v>0</v>
      </c>
      <c r="ED5" s="61">
        <v>0</v>
      </c>
      <c r="EE5" s="61">
        <v>0</v>
      </c>
      <c r="EF5" s="61">
        <v>0</v>
      </c>
      <c r="EG5" s="61">
        <v>5442426</v>
      </c>
      <c r="EH5" s="61">
        <v>4373621</v>
      </c>
      <c r="EI5" s="61">
        <v>3718917</v>
      </c>
      <c r="EJ5" s="61">
        <v>3485344</v>
      </c>
      <c r="EK5" s="61">
        <v>3430961</v>
      </c>
      <c r="EL5" s="61">
        <v>5736570</v>
      </c>
      <c r="EM5" s="61">
        <v>4147457.9999999995</v>
      </c>
      <c r="EN5" s="61">
        <v>2878473</v>
      </c>
      <c r="EO5" s="61">
        <v>5068245</v>
      </c>
      <c r="EP5" s="61">
        <v>4227860</v>
      </c>
      <c r="EQ5" s="61">
        <v>3840775.5</v>
      </c>
      <c r="ER5" s="61">
        <v>0</v>
      </c>
      <c r="ES5" s="61">
        <v>0</v>
      </c>
      <c r="ET5" s="61">
        <v>0</v>
      </c>
      <c r="EU5" s="61">
        <v>0</v>
      </c>
      <c r="EV5" s="61">
        <v>4872795</v>
      </c>
      <c r="EW5" s="61">
        <v>6488124</v>
      </c>
      <c r="EX5" s="61">
        <v>6754797</v>
      </c>
      <c r="EY5" s="61">
        <v>7437669</v>
      </c>
      <c r="EZ5" s="61">
        <v>4939969</v>
      </c>
      <c r="FA5" s="61">
        <v>7829297</v>
      </c>
      <c r="FB5" s="61">
        <v>9283298</v>
      </c>
      <c r="FC5" s="61">
        <v>5447258</v>
      </c>
      <c r="FD5" s="61">
        <v>3521825</v>
      </c>
      <c r="FE5" s="61">
        <v>2979920</v>
      </c>
      <c r="FF5" s="61">
        <v>4628784</v>
      </c>
      <c r="FG5" s="61">
        <v>0</v>
      </c>
      <c r="FH5" s="168">
        <v>0</v>
      </c>
      <c r="FI5" s="168">
        <v>0</v>
      </c>
      <c r="FJ5" s="61">
        <v>0</v>
      </c>
      <c r="FK5" s="61">
        <v>6120944</v>
      </c>
      <c r="FL5" s="61">
        <v>7300652</v>
      </c>
      <c r="FM5" s="61">
        <v>10281418</v>
      </c>
      <c r="FN5" s="61">
        <v>7338209</v>
      </c>
      <c r="FO5" s="61">
        <v>4721550</v>
      </c>
      <c r="FP5" s="61">
        <v>6758846</v>
      </c>
      <c r="FQ5" s="61">
        <v>6586533</v>
      </c>
      <c r="FR5" s="61">
        <v>6794221</v>
      </c>
      <c r="FS5" s="61">
        <v>6079105</v>
      </c>
      <c r="FT5" s="61">
        <v>7938110</v>
      </c>
      <c r="FU5" s="61">
        <v>6849147</v>
      </c>
      <c r="FV5" s="61">
        <v>0</v>
      </c>
      <c r="FW5" s="61">
        <v>0</v>
      </c>
      <c r="FX5" s="61">
        <v>0</v>
      </c>
      <c r="FY5" s="61">
        <v>0</v>
      </c>
      <c r="FZ5" s="61">
        <v>7372643</v>
      </c>
      <c r="GA5" s="61">
        <v>5477834</v>
      </c>
      <c r="GB5" s="61">
        <v>8014001</v>
      </c>
      <c r="GC5" s="61">
        <v>5248791</v>
      </c>
      <c r="GD5" s="61">
        <v>11852093</v>
      </c>
      <c r="GE5" s="61">
        <v>11226915</v>
      </c>
      <c r="GF5" s="61">
        <v>7644343</v>
      </c>
      <c r="GG5" s="61">
        <v>5489121</v>
      </c>
      <c r="GH5" s="61">
        <v>5532611.1666670004</v>
      </c>
      <c r="GI5" s="61">
        <v>1890020</v>
      </c>
      <c r="GJ5" s="61">
        <v>9720883</v>
      </c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</row>
    <row r="6" spans="2:205">
      <c r="D6" t="s">
        <v>811</v>
      </c>
      <c r="E6" s="61">
        <v>0</v>
      </c>
      <c r="F6" s="61">
        <v>0</v>
      </c>
      <c r="G6" s="61">
        <v>0</v>
      </c>
      <c r="H6" s="61">
        <v>0</v>
      </c>
      <c r="I6" s="61">
        <v>5351769</v>
      </c>
      <c r="J6" s="61">
        <v>5263278</v>
      </c>
      <c r="K6" s="61">
        <v>3232103</v>
      </c>
      <c r="L6" s="61">
        <v>2798682</v>
      </c>
      <c r="M6" s="61">
        <v>4086177</v>
      </c>
      <c r="N6" s="61">
        <v>6045184</v>
      </c>
      <c r="O6" s="61">
        <v>4044725</v>
      </c>
      <c r="P6" s="61">
        <v>4581873</v>
      </c>
      <c r="Q6" s="61">
        <v>4432141</v>
      </c>
      <c r="R6" s="61">
        <v>3957880</v>
      </c>
      <c r="S6" s="61">
        <v>4362040</v>
      </c>
      <c r="T6" s="61">
        <v>6692420</v>
      </c>
      <c r="U6" s="61">
        <v>0</v>
      </c>
      <c r="V6" s="61">
        <v>0</v>
      </c>
      <c r="W6" s="61">
        <v>0</v>
      </c>
      <c r="X6" s="61">
        <v>0</v>
      </c>
      <c r="Y6" s="61">
        <v>3663971</v>
      </c>
      <c r="Z6" s="61">
        <v>3055238</v>
      </c>
      <c r="AA6" s="61">
        <v>3777875</v>
      </c>
      <c r="AB6" s="61">
        <v>2277698</v>
      </c>
      <c r="AC6" s="61">
        <v>3787034</v>
      </c>
      <c r="AD6" s="61">
        <v>5671946</v>
      </c>
      <c r="AE6" s="61">
        <v>4233731</v>
      </c>
      <c r="AF6" s="61">
        <v>4611012</v>
      </c>
      <c r="AG6" s="61">
        <v>2291021</v>
      </c>
      <c r="AH6" s="61">
        <v>4465369</v>
      </c>
      <c r="AI6" s="61">
        <v>5658000</v>
      </c>
      <c r="AJ6" s="61">
        <v>2983720</v>
      </c>
      <c r="AK6" s="61">
        <v>0</v>
      </c>
      <c r="AL6" s="61">
        <v>0</v>
      </c>
      <c r="AM6" s="61">
        <v>0</v>
      </c>
      <c r="AN6" s="61">
        <v>0</v>
      </c>
      <c r="AO6" s="61">
        <v>5300724</v>
      </c>
      <c r="AP6" s="61">
        <v>6833931</v>
      </c>
      <c r="AQ6" s="61">
        <v>7897076</v>
      </c>
      <c r="AR6" s="61">
        <v>5892519</v>
      </c>
      <c r="AS6" s="61">
        <v>4225447</v>
      </c>
      <c r="AT6" s="61">
        <v>5401344</v>
      </c>
      <c r="AU6" s="61">
        <v>3766326</v>
      </c>
      <c r="AV6" s="61">
        <v>5948251</v>
      </c>
      <c r="AW6" s="61">
        <v>6519153</v>
      </c>
      <c r="AX6" s="61">
        <v>4824338</v>
      </c>
      <c r="AY6" s="61">
        <v>5395580</v>
      </c>
      <c r="AZ6" s="61">
        <v>5082593</v>
      </c>
      <c r="BA6" s="61">
        <v>0</v>
      </c>
      <c r="BB6" s="61">
        <v>0</v>
      </c>
      <c r="BC6" s="61">
        <v>0</v>
      </c>
      <c r="BD6" s="61">
        <v>0</v>
      </c>
      <c r="BE6" s="61">
        <v>2440357</v>
      </c>
      <c r="BF6" s="61">
        <v>5900604</v>
      </c>
      <c r="BG6" s="61">
        <v>5307428</v>
      </c>
      <c r="BH6" s="61">
        <v>3531849</v>
      </c>
      <c r="BI6" s="61">
        <v>4963119</v>
      </c>
      <c r="BJ6" s="61">
        <v>5432741</v>
      </c>
      <c r="BK6" s="61">
        <v>3158415</v>
      </c>
      <c r="BL6" s="61">
        <v>5430716</v>
      </c>
      <c r="BM6" s="61">
        <v>4856065</v>
      </c>
      <c r="BN6" s="61">
        <v>5908302</v>
      </c>
      <c r="BO6" s="61">
        <v>5668800</v>
      </c>
      <c r="BP6" s="61">
        <v>4300000</v>
      </c>
      <c r="BQ6" s="61">
        <v>0</v>
      </c>
      <c r="BR6" s="61">
        <v>0</v>
      </c>
      <c r="BS6" s="61">
        <v>0</v>
      </c>
      <c r="BT6" s="61">
        <v>0</v>
      </c>
      <c r="BU6" s="61">
        <v>6030786</v>
      </c>
      <c r="BV6" s="61">
        <v>4467355</v>
      </c>
      <c r="BW6" s="61">
        <v>6324400</v>
      </c>
      <c r="BX6" s="61">
        <v>4921716</v>
      </c>
      <c r="BY6" s="61">
        <v>3542432</v>
      </c>
      <c r="BZ6" s="61">
        <v>4035301</v>
      </c>
      <c r="CA6" s="61">
        <v>5269867</v>
      </c>
      <c r="CB6" s="61">
        <v>6951368</v>
      </c>
      <c r="CC6" s="61">
        <v>5853221</v>
      </c>
      <c r="CD6" s="61">
        <v>7062070</v>
      </c>
      <c r="CE6" s="61">
        <v>4269676</v>
      </c>
      <c r="CF6" s="61">
        <v>3393317</v>
      </c>
      <c r="CG6" s="61">
        <v>0</v>
      </c>
      <c r="CH6" s="61">
        <v>0</v>
      </c>
      <c r="CI6" s="61">
        <v>0</v>
      </c>
      <c r="CJ6" s="61">
        <v>0</v>
      </c>
      <c r="CK6" s="61">
        <v>2206078</v>
      </c>
      <c r="CL6" s="61">
        <v>4299780</v>
      </c>
      <c r="CM6" s="61">
        <v>4541577</v>
      </c>
      <c r="CN6" s="61">
        <v>5188486</v>
      </c>
      <c r="CO6" s="61">
        <v>3577198</v>
      </c>
      <c r="CP6" s="61">
        <v>3157915</v>
      </c>
      <c r="CQ6" s="61">
        <v>5859016</v>
      </c>
      <c r="CR6" s="61">
        <v>3955784</v>
      </c>
      <c r="CS6" s="61">
        <v>3552736</v>
      </c>
      <c r="CT6" s="61">
        <v>3301951</v>
      </c>
      <c r="CU6" s="61">
        <v>1986720</v>
      </c>
      <c r="CV6" s="61">
        <v>2644292</v>
      </c>
      <c r="CW6" s="61">
        <v>0</v>
      </c>
      <c r="CX6" s="61">
        <v>0</v>
      </c>
      <c r="CY6" s="61">
        <v>0</v>
      </c>
      <c r="CZ6" s="61">
        <v>0</v>
      </c>
      <c r="DA6" s="61">
        <v>3300550</v>
      </c>
      <c r="DB6" s="61">
        <v>3495520</v>
      </c>
      <c r="DC6" s="61">
        <v>4070876</v>
      </c>
      <c r="DD6" s="61">
        <v>4197111</v>
      </c>
      <c r="DE6" s="61">
        <v>4764657</v>
      </c>
      <c r="DF6" s="61">
        <v>2998516</v>
      </c>
      <c r="DG6" s="61">
        <v>2855156</v>
      </c>
      <c r="DH6" s="61">
        <v>5389184</v>
      </c>
      <c r="DI6" s="61">
        <v>3652741</v>
      </c>
      <c r="DJ6" s="61">
        <v>4442810</v>
      </c>
      <c r="DK6" s="61">
        <v>4310477.84</v>
      </c>
      <c r="DL6" s="61">
        <v>2424070</v>
      </c>
      <c r="DM6" s="61">
        <v>0</v>
      </c>
      <c r="DN6" s="61">
        <v>0</v>
      </c>
      <c r="DO6" s="61">
        <v>0</v>
      </c>
      <c r="DP6" s="61">
        <v>0</v>
      </c>
      <c r="DQ6" s="61">
        <v>3596445</v>
      </c>
      <c r="DR6" s="61">
        <v>3602250</v>
      </c>
      <c r="DS6" s="61">
        <v>3446121</v>
      </c>
      <c r="DT6" s="61">
        <v>4266693</v>
      </c>
      <c r="DU6" s="61">
        <v>3373521</v>
      </c>
      <c r="DV6" s="61">
        <v>2930310</v>
      </c>
      <c r="DW6" s="61">
        <v>4205404</v>
      </c>
      <c r="DX6" s="61">
        <v>3261801</v>
      </c>
      <c r="DY6" s="61">
        <v>4066374</v>
      </c>
      <c r="DZ6" s="61">
        <v>3937950</v>
      </c>
      <c r="EA6" s="61">
        <v>3595246</v>
      </c>
      <c r="EB6" s="61">
        <v>3595181</v>
      </c>
      <c r="EC6" s="61">
        <v>0</v>
      </c>
      <c r="ED6" s="61">
        <v>0</v>
      </c>
      <c r="EE6" s="61">
        <v>0</v>
      </c>
      <c r="EF6" s="61">
        <v>0</v>
      </c>
      <c r="EG6" s="61">
        <v>5362031</v>
      </c>
      <c r="EH6" s="61">
        <v>4259976</v>
      </c>
      <c r="EI6" s="61">
        <v>3485841</v>
      </c>
      <c r="EJ6" s="61">
        <v>4173863.9999999995</v>
      </c>
      <c r="EK6" s="61">
        <v>3475487</v>
      </c>
      <c r="EL6" s="61">
        <v>4999042</v>
      </c>
      <c r="EM6" s="61">
        <v>4652846</v>
      </c>
      <c r="EN6" s="61">
        <v>4291840</v>
      </c>
      <c r="EO6" s="61">
        <v>5072521</v>
      </c>
      <c r="EP6" s="61">
        <v>362230</v>
      </c>
      <c r="EQ6" s="61">
        <v>3850563.67</v>
      </c>
      <c r="ER6" s="61">
        <v>0</v>
      </c>
      <c r="ES6" s="61">
        <v>0</v>
      </c>
      <c r="ET6" s="61">
        <v>0</v>
      </c>
      <c r="EU6" s="61">
        <v>0</v>
      </c>
      <c r="EV6" s="61">
        <v>5632128</v>
      </c>
      <c r="EW6" s="61">
        <v>3503480</v>
      </c>
      <c r="EX6" s="61">
        <v>7225896</v>
      </c>
      <c r="EY6" s="61">
        <v>5299564</v>
      </c>
      <c r="EZ6" s="61">
        <v>5765001</v>
      </c>
      <c r="FA6" s="61">
        <v>5147894</v>
      </c>
      <c r="FB6" s="61">
        <v>6138712</v>
      </c>
      <c r="FC6" s="61">
        <v>4209225</v>
      </c>
      <c r="FD6" s="61">
        <v>4392985</v>
      </c>
      <c r="FE6" s="61">
        <v>3897250</v>
      </c>
      <c r="FF6" s="61">
        <v>5697176</v>
      </c>
      <c r="FG6" s="61">
        <v>0</v>
      </c>
      <c r="FH6" s="168">
        <v>0</v>
      </c>
      <c r="FI6" s="168">
        <v>0</v>
      </c>
      <c r="FJ6" s="61">
        <v>0</v>
      </c>
      <c r="FK6" s="61">
        <v>6317673</v>
      </c>
      <c r="FL6" s="61">
        <v>4542021</v>
      </c>
      <c r="FM6" s="61">
        <v>4714068</v>
      </c>
      <c r="FN6" s="61">
        <v>3092203</v>
      </c>
      <c r="FO6" s="61">
        <v>5260269</v>
      </c>
      <c r="FP6" s="61">
        <v>3941792</v>
      </c>
      <c r="FQ6" s="61">
        <v>3938938</v>
      </c>
      <c r="FR6" s="61">
        <v>5116079</v>
      </c>
      <c r="FS6" s="61">
        <v>5571288</v>
      </c>
      <c r="FT6" s="61">
        <v>3900530</v>
      </c>
      <c r="FU6" s="61">
        <v>6157581</v>
      </c>
      <c r="FV6" s="61">
        <v>0</v>
      </c>
      <c r="FW6" s="61">
        <v>0</v>
      </c>
      <c r="FX6" s="61">
        <v>0</v>
      </c>
      <c r="FY6" s="61">
        <v>0</v>
      </c>
      <c r="FZ6" s="61">
        <v>4367009</v>
      </c>
      <c r="GA6" s="61">
        <v>2873400</v>
      </c>
      <c r="GB6" s="61">
        <v>4346950</v>
      </c>
      <c r="GC6" s="61">
        <v>3726661</v>
      </c>
      <c r="GD6" s="61">
        <v>6616352</v>
      </c>
      <c r="GE6" s="61">
        <v>5317316</v>
      </c>
      <c r="GF6" s="61">
        <v>5073554</v>
      </c>
      <c r="GG6" s="61">
        <v>4990143</v>
      </c>
      <c r="GH6" s="61">
        <v>4642230</v>
      </c>
      <c r="GI6" s="61">
        <v>5737660</v>
      </c>
      <c r="GJ6" s="61">
        <v>4491699</v>
      </c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</row>
    <row r="7" spans="2:205">
      <c r="D7" t="s">
        <v>300</v>
      </c>
      <c r="E7" s="61">
        <v>0</v>
      </c>
      <c r="F7" s="61">
        <v>0</v>
      </c>
      <c r="G7" s="61">
        <v>0</v>
      </c>
      <c r="H7" s="61">
        <v>0</v>
      </c>
      <c r="I7" s="61">
        <v>0</v>
      </c>
      <c r="J7" s="61">
        <v>0</v>
      </c>
      <c r="K7" s="61">
        <v>0</v>
      </c>
      <c r="L7" s="61">
        <v>0</v>
      </c>
      <c r="M7" s="61">
        <v>0</v>
      </c>
      <c r="N7" s="61">
        <v>0</v>
      </c>
      <c r="O7" s="61">
        <v>0</v>
      </c>
      <c r="P7" s="61">
        <v>7037476</v>
      </c>
      <c r="Q7" s="61">
        <v>7486525</v>
      </c>
      <c r="R7" s="61">
        <v>8684046</v>
      </c>
      <c r="S7" s="61">
        <v>5449290</v>
      </c>
      <c r="T7" s="61">
        <v>9153058</v>
      </c>
      <c r="U7" s="61">
        <v>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  <c r="AE7" s="61">
        <v>0</v>
      </c>
      <c r="AF7" s="61">
        <v>10209967</v>
      </c>
      <c r="AG7" s="61">
        <v>6734435</v>
      </c>
      <c r="AH7" s="61">
        <v>8857081</v>
      </c>
      <c r="AI7" s="61">
        <v>6808060</v>
      </c>
      <c r="AJ7" s="61">
        <v>5463666</v>
      </c>
      <c r="AK7" s="61">
        <v>0</v>
      </c>
      <c r="AL7" s="61">
        <v>0</v>
      </c>
      <c r="AM7" s="61">
        <v>0</v>
      </c>
      <c r="AN7" s="61">
        <v>0</v>
      </c>
      <c r="AO7" s="61">
        <v>0</v>
      </c>
      <c r="AP7" s="61">
        <v>0</v>
      </c>
      <c r="AQ7" s="61">
        <v>0</v>
      </c>
      <c r="AR7" s="61">
        <v>0</v>
      </c>
      <c r="AS7" s="61">
        <v>0</v>
      </c>
      <c r="AT7" s="61">
        <v>0</v>
      </c>
      <c r="AU7" s="61">
        <v>0</v>
      </c>
      <c r="AV7" s="61">
        <v>4487324</v>
      </c>
      <c r="AW7" s="61">
        <v>6187769</v>
      </c>
      <c r="AX7" s="61">
        <v>7492264</v>
      </c>
      <c r="AY7" s="61">
        <v>5795320</v>
      </c>
      <c r="AZ7" s="61">
        <v>6779933</v>
      </c>
      <c r="BA7" s="61">
        <v>0</v>
      </c>
      <c r="BB7" s="61">
        <v>0</v>
      </c>
      <c r="BC7" s="61">
        <v>0</v>
      </c>
      <c r="BD7" s="61">
        <v>0</v>
      </c>
      <c r="BE7" s="61">
        <v>0</v>
      </c>
      <c r="BF7" s="61">
        <v>0</v>
      </c>
      <c r="BG7" s="61">
        <v>0</v>
      </c>
      <c r="BH7" s="61">
        <v>0</v>
      </c>
      <c r="BI7" s="61">
        <v>0</v>
      </c>
      <c r="BJ7" s="61">
        <v>0</v>
      </c>
      <c r="BK7" s="61">
        <v>0</v>
      </c>
      <c r="BL7" s="61">
        <v>4239860</v>
      </c>
      <c r="BM7" s="61">
        <v>5632001</v>
      </c>
      <c r="BN7" s="61">
        <v>3757305</v>
      </c>
      <c r="BO7" s="61">
        <v>3951690</v>
      </c>
      <c r="BP7" s="61">
        <v>3981877</v>
      </c>
      <c r="BQ7" s="61">
        <v>0</v>
      </c>
      <c r="BR7" s="61">
        <v>0</v>
      </c>
      <c r="BS7" s="61">
        <v>0</v>
      </c>
      <c r="BT7" s="61">
        <v>0</v>
      </c>
      <c r="BU7" s="61">
        <v>0</v>
      </c>
      <c r="BV7" s="61">
        <v>0</v>
      </c>
      <c r="BW7" s="61">
        <v>0</v>
      </c>
      <c r="BX7" s="61">
        <v>0</v>
      </c>
      <c r="BY7" s="61">
        <v>0</v>
      </c>
      <c r="BZ7" s="61">
        <v>0</v>
      </c>
      <c r="CA7" s="61">
        <v>0</v>
      </c>
      <c r="CB7" s="61">
        <v>5891904</v>
      </c>
      <c r="CC7" s="61">
        <v>5265527</v>
      </c>
      <c r="CD7" s="61">
        <v>4400253</v>
      </c>
      <c r="CE7" s="61">
        <v>4169984</v>
      </c>
      <c r="CF7" s="61">
        <v>2519791</v>
      </c>
      <c r="CG7" s="61">
        <v>0</v>
      </c>
      <c r="CH7" s="61">
        <v>0</v>
      </c>
      <c r="CI7" s="61">
        <v>0</v>
      </c>
      <c r="CJ7" s="61">
        <v>0</v>
      </c>
      <c r="CK7" s="61">
        <v>0</v>
      </c>
      <c r="CL7" s="61">
        <v>0</v>
      </c>
      <c r="CM7" s="61">
        <v>0</v>
      </c>
      <c r="CN7" s="61">
        <v>0</v>
      </c>
      <c r="CO7" s="61">
        <v>0</v>
      </c>
      <c r="CP7" s="61">
        <v>0</v>
      </c>
      <c r="CQ7" s="61">
        <v>0</v>
      </c>
      <c r="CR7" s="61">
        <v>3926467</v>
      </c>
      <c r="CS7" s="61">
        <v>3532817</v>
      </c>
      <c r="CT7" s="61">
        <v>3580819</v>
      </c>
      <c r="CU7" s="61">
        <v>4017030</v>
      </c>
      <c r="CV7" s="61">
        <v>3306145</v>
      </c>
      <c r="CW7" s="61">
        <v>0</v>
      </c>
      <c r="CX7" s="61">
        <v>0</v>
      </c>
      <c r="CY7" s="61">
        <v>0</v>
      </c>
      <c r="CZ7" s="61">
        <v>0</v>
      </c>
      <c r="DA7" s="61">
        <v>0</v>
      </c>
      <c r="DB7" s="61">
        <v>0</v>
      </c>
      <c r="DC7" s="61">
        <v>0</v>
      </c>
      <c r="DD7" s="61">
        <v>0</v>
      </c>
      <c r="DE7" s="61">
        <v>0</v>
      </c>
      <c r="DF7" s="61">
        <v>0</v>
      </c>
      <c r="DG7" s="61">
        <v>0</v>
      </c>
      <c r="DH7" s="61">
        <v>3244572</v>
      </c>
      <c r="DI7" s="61">
        <v>3893162</v>
      </c>
      <c r="DJ7" s="61">
        <v>2799470</v>
      </c>
      <c r="DK7" s="61">
        <v>4729281.83</v>
      </c>
      <c r="DL7" s="61">
        <v>2168821</v>
      </c>
      <c r="DM7" s="61">
        <v>0</v>
      </c>
      <c r="DN7" s="61">
        <v>0</v>
      </c>
      <c r="DO7" s="61">
        <v>0</v>
      </c>
      <c r="DP7" s="61">
        <v>0</v>
      </c>
      <c r="DQ7" s="61">
        <v>0</v>
      </c>
      <c r="DR7" s="61">
        <v>0</v>
      </c>
      <c r="DS7" s="61">
        <v>0</v>
      </c>
      <c r="DT7" s="61">
        <v>0</v>
      </c>
      <c r="DU7" s="61">
        <v>0</v>
      </c>
      <c r="DV7" s="61">
        <v>0</v>
      </c>
      <c r="DW7" s="61">
        <v>0</v>
      </c>
      <c r="DX7" s="61">
        <v>3610867</v>
      </c>
      <c r="DY7" s="61">
        <v>3121977</v>
      </c>
      <c r="DZ7" s="61">
        <v>2934740</v>
      </c>
      <c r="EA7" s="61">
        <v>3574341</v>
      </c>
      <c r="EB7" s="61">
        <v>2920896</v>
      </c>
      <c r="EC7" s="61">
        <v>0</v>
      </c>
      <c r="ED7" s="61">
        <v>0</v>
      </c>
      <c r="EE7" s="61">
        <v>0</v>
      </c>
      <c r="EF7" s="61">
        <v>0</v>
      </c>
      <c r="EG7" s="61">
        <v>0</v>
      </c>
      <c r="EH7" s="61">
        <v>0</v>
      </c>
      <c r="EI7" s="61">
        <v>0</v>
      </c>
      <c r="EJ7" s="61">
        <v>0</v>
      </c>
      <c r="EK7" s="61">
        <v>0</v>
      </c>
      <c r="EL7" s="61">
        <v>0</v>
      </c>
      <c r="EM7" s="61">
        <v>0</v>
      </c>
      <c r="EN7" s="61">
        <v>2790666</v>
      </c>
      <c r="EO7" s="61">
        <v>5833335</v>
      </c>
      <c r="EP7" s="61">
        <v>2044240</v>
      </c>
      <c r="EQ7" s="61">
        <v>4399548.67</v>
      </c>
      <c r="ER7" s="61">
        <v>0</v>
      </c>
      <c r="ES7" s="61">
        <v>0</v>
      </c>
      <c r="ET7" s="61">
        <v>0</v>
      </c>
      <c r="EU7" s="61">
        <v>0</v>
      </c>
      <c r="EV7" s="61">
        <v>0</v>
      </c>
      <c r="EW7" s="61">
        <v>0</v>
      </c>
      <c r="EX7" s="61">
        <v>0</v>
      </c>
      <c r="EY7" s="61">
        <v>0</v>
      </c>
      <c r="EZ7" s="61">
        <v>0</v>
      </c>
      <c r="FA7" s="61">
        <v>0</v>
      </c>
      <c r="FB7" s="61">
        <v>0</v>
      </c>
      <c r="FC7" s="61">
        <v>3499579</v>
      </c>
      <c r="FD7" s="61">
        <v>4368788</v>
      </c>
      <c r="FE7" s="61">
        <v>3934500</v>
      </c>
      <c r="FF7" s="61">
        <v>4204669</v>
      </c>
      <c r="FG7" s="61">
        <v>0</v>
      </c>
      <c r="FH7" s="168">
        <v>0</v>
      </c>
      <c r="FI7" s="168">
        <v>0</v>
      </c>
      <c r="FJ7" s="61">
        <v>0</v>
      </c>
      <c r="FK7" s="61">
        <v>0</v>
      </c>
      <c r="FL7" s="61">
        <v>0</v>
      </c>
      <c r="FM7" s="61">
        <v>0</v>
      </c>
      <c r="FN7" s="61">
        <v>0</v>
      </c>
      <c r="FO7" s="61">
        <v>0</v>
      </c>
      <c r="FP7" s="61">
        <v>0</v>
      </c>
      <c r="FQ7" s="61">
        <v>0</v>
      </c>
      <c r="FR7" s="61">
        <v>4310376</v>
      </c>
      <c r="FS7" s="61">
        <v>7266901</v>
      </c>
      <c r="FT7" s="61">
        <v>6025270</v>
      </c>
      <c r="FU7" s="61">
        <v>5179858</v>
      </c>
      <c r="FV7" s="61">
        <v>0</v>
      </c>
      <c r="FW7" s="61">
        <v>0</v>
      </c>
      <c r="FX7" s="61">
        <v>0</v>
      </c>
      <c r="FY7" s="61">
        <v>0</v>
      </c>
      <c r="FZ7" s="61">
        <v>0</v>
      </c>
      <c r="GA7" s="61">
        <v>0</v>
      </c>
      <c r="GB7" s="61">
        <v>0</v>
      </c>
      <c r="GC7" s="61">
        <v>0</v>
      </c>
      <c r="GD7" s="61">
        <v>0</v>
      </c>
      <c r="GE7" s="61">
        <v>0</v>
      </c>
      <c r="GF7" s="61">
        <v>4516167</v>
      </c>
      <c r="GG7" s="61">
        <v>5120081</v>
      </c>
      <c r="GH7" s="61">
        <v>4887688.9989999998</v>
      </c>
      <c r="GI7" s="61">
        <v>2895670</v>
      </c>
      <c r="GJ7" s="61">
        <v>8370891</v>
      </c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</row>
    <row r="8" spans="2:205">
      <c r="D8" t="s">
        <v>358</v>
      </c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>
        <v>595324</v>
      </c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>
        <v>603220</v>
      </c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>
        <v>1085000</v>
      </c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168"/>
      <c r="FI8" s="168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</row>
    <row r="9" spans="2:205">
      <c r="D9" t="s">
        <v>367</v>
      </c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>
        <v>292321</v>
      </c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>
        <v>581601</v>
      </c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>
        <v>915873</v>
      </c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168"/>
      <c r="FI9" s="168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</row>
    <row r="10" spans="2:205">
      <c r="D10" t="s">
        <v>359</v>
      </c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>
        <v>431643</v>
      </c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>
        <v>521885</v>
      </c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>
        <v>693560</v>
      </c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168"/>
      <c r="FI10" s="168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</row>
    <row r="11" spans="2:205">
      <c r="D11" t="s">
        <v>360</v>
      </c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>
        <v>692509</v>
      </c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>
        <v>799648</v>
      </c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>
        <v>896619</v>
      </c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168"/>
      <c r="FI11" s="168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</row>
    <row r="12" spans="2:205">
      <c r="D12" t="s">
        <v>361</v>
      </c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>
        <v>228185</v>
      </c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>
        <v>600641</v>
      </c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>
        <v>782779</v>
      </c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168"/>
      <c r="FI12" s="168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</row>
    <row r="13" spans="2:205">
      <c r="D13" t="s">
        <v>362</v>
      </c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>
        <v>888171</v>
      </c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>
        <v>911648</v>
      </c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>
        <v>1171728</v>
      </c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168"/>
      <c r="FI13" s="168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</row>
    <row r="14" spans="2:205">
      <c r="D14" t="s">
        <v>363</v>
      </c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>
        <v>117053</v>
      </c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>
        <v>506646</v>
      </c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>
        <v>644929</v>
      </c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168"/>
      <c r="FI14" s="168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</row>
    <row r="15" spans="2:205">
      <c r="D15" t="s">
        <v>364</v>
      </c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>
        <v>300293</v>
      </c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>
        <v>479624</v>
      </c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>
        <v>674966</v>
      </c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168"/>
      <c r="FI15" s="168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</row>
    <row r="16" spans="2:205">
      <c r="D16" t="s">
        <v>369</v>
      </c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>
        <v>634883</v>
      </c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>
        <v>951013</v>
      </c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>
        <v>1082474</v>
      </c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168"/>
      <c r="FI16" s="168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</row>
    <row r="17" spans="2:207">
      <c r="D17" t="s">
        <v>372</v>
      </c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>
        <v>359348</v>
      </c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>
        <v>769637</v>
      </c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>
        <v>1248725</v>
      </c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168"/>
      <c r="FI17" s="168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</row>
    <row r="18" spans="2:207">
      <c r="D18" t="s">
        <v>365</v>
      </c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>
        <v>549670</v>
      </c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>
        <v>758607</v>
      </c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>
        <v>826398</v>
      </c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168"/>
      <c r="FI18" s="168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</row>
    <row r="19" spans="2:207">
      <c r="D19" t="s">
        <v>366</v>
      </c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>
        <v>717033</v>
      </c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>
        <v>948013</v>
      </c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>
        <v>1083275</v>
      </c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168"/>
      <c r="FI19" s="168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</row>
    <row r="20" spans="2:207">
      <c r="D20" t="s">
        <v>368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>
        <v>341016</v>
      </c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>
        <v>618123</v>
      </c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>
        <v>943769</v>
      </c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168"/>
      <c r="FI20" s="168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</row>
    <row r="21" spans="2:207">
      <c r="D21" t="s">
        <v>371</v>
      </c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>
        <v>767751</v>
      </c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>
        <v>1082058</v>
      </c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>
        <v>1561717</v>
      </c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168"/>
      <c r="FI21" s="168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</row>
    <row r="22" spans="2:207">
      <c r="D22" t="s">
        <v>370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>
        <v>695138</v>
      </c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>
        <v>958688</v>
      </c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>
        <v>1052668</v>
      </c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168"/>
      <c r="FI22" s="168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</row>
    <row r="23" spans="2:207">
      <c r="D23" t="s">
        <v>2622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2992933</v>
      </c>
      <c r="M23" s="61">
        <v>10522409</v>
      </c>
      <c r="N23" s="61">
        <v>10046864</v>
      </c>
      <c r="O23" s="61">
        <v>8304429</v>
      </c>
      <c r="P23" s="61">
        <v>13637486</v>
      </c>
      <c r="Q23" s="61">
        <v>10794636</v>
      </c>
      <c r="R23" s="61">
        <v>13210811</v>
      </c>
      <c r="S23" s="61">
        <v>5969860</v>
      </c>
      <c r="T23" s="61">
        <v>12389993</v>
      </c>
      <c r="U23" s="61">
        <v>0</v>
      </c>
      <c r="V23" s="61">
        <v>0</v>
      </c>
      <c r="W23" s="61">
        <v>0</v>
      </c>
      <c r="X23" s="61">
        <v>0</v>
      </c>
      <c r="Y23" s="61">
        <v>0</v>
      </c>
      <c r="Z23" s="61">
        <v>0</v>
      </c>
      <c r="AA23" s="61">
        <v>0</v>
      </c>
      <c r="AB23" s="61">
        <v>5581754</v>
      </c>
      <c r="AC23" s="61">
        <v>8297629</v>
      </c>
      <c r="AD23" s="61">
        <v>7442966</v>
      </c>
      <c r="AE23" s="61">
        <v>9180243</v>
      </c>
      <c r="AF23" s="61">
        <v>14156030</v>
      </c>
      <c r="AG23" s="61">
        <v>8007497</v>
      </c>
      <c r="AH23" s="61">
        <v>10721997</v>
      </c>
      <c r="AI23" s="61">
        <v>9272280</v>
      </c>
      <c r="AJ23" s="61">
        <v>8974688</v>
      </c>
      <c r="AK23" s="61">
        <v>0</v>
      </c>
      <c r="AL23" s="61">
        <v>0</v>
      </c>
      <c r="AM23" s="61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8972503</v>
      </c>
      <c r="AS23" s="61">
        <v>7942356</v>
      </c>
      <c r="AT23" s="61">
        <v>4601851</v>
      </c>
      <c r="AU23" s="61">
        <v>7590267</v>
      </c>
      <c r="AV23" s="61">
        <v>7233118</v>
      </c>
      <c r="AW23" s="61">
        <v>9079137</v>
      </c>
      <c r="AX23" s="61">
        <v>8828151</v>
      </c>
      <c r="AY23" s="61">
        <v>10764790</v>
      </c>
      <c r="AZ23" s="61">
        <v>9112139</v>
      </c>
      <c r="BA23" s="61">
        <v>0</v>
      </c>
      <c r="BB23" s="61">
        <v>0</v>
      </c>
      <c r="BC23" s="61">
        <v>0</v>
      </c>
      <c r="BD23" s="61">
        <v>0</v>
      </c>
      <c r="BE23" s="61">
        <v>0</v>
      </c>
      <c r="BF23" s="61">
        <v>0</v>
      </c>
      <c r="BG23" s="61">
        <v>0</v>
      </c>
      <c r="BH23" s="61">
        <v>6528703</v>
      </c>
      <c r="BI23" s="61">
        <v>5690189</v>
      </c>
      <c r="BJ23" s="61">
        <v>8261652</v>
      </c>
      <c r="BK23" s="61">
        <v>8847933</v>
      </c>
      <c r="BL23" s="61">
        <v>4850213</v>
      </c>
      <c r="BM23" s="61">
        <v>6539563</v>
      </c>
      <c r="BN23" s="61">
        <v>6933332</v>
      </c>
      <c r="BO23" s="61">
        <v>3979790</v>
      </c>
      <c r="BP23" s="61">
        <v>6536125</v>
      </c>
      <c r="BQ23" s="61">
        <v>0</v>
      </c>
      <c r="BR23" s="61">
        <v>0</v>
      </c>
      <c r="BS23" s="61">
        <v>0</v>
      </c>
      <c r="BT23" s="61">
        <v>0</v>
      </c>
      <c r="BU23" s="61">
        <v>0</v>
      </c>
      <c r="BV23" s="61">
        <v>0</v>
      </c>
      <c r="BW23" s="61">
        <v>0</v>
      </c>
      <c r="BX23" s="61">
        <v>5841236</v>
      </c>
      <c r="BY23" s="61">
        <v>7173486</v>
      </c>
      <c r="BZ23" s="61">
        <v>4938169</v>
      </c>
      <c r="CA23" s="61">
        <v>7226035</v>
      </c>
      <c r="CB23" s="61">
        <v>7410118</v>
      </c>
      <c r="CC23" s="61">
        <v>7957217</v>
      </c>
      <c r="CD23" s="61">
        <v>5685227</v>
      </c>
      <c r="CE23" s="61">
        <v>4882727</v>
      </c>
      <c r="CF23" s="61">
        <v>4714545</v>
      </c>
      <c r="CG23" s="61">
        <v>0</v>
      </c>
      <c r="CH23" s="61">
        <v>0</v>
      </c>
      <c r="CI23" s="61">
        <v>0</v>
      </c>
      <c r="CJ23" s="61">
        <v>0</v>
      </c>
      <c r="CK23" s="61">
        <v>0</v>
      </c>
      <c r="CL23" s="61">
        <v>0</v>
      </c>
      <c r="CM23" s="61">
        <v>0</v>
      </c>
      <c r="CN23" s="61">
        <v>3950622</v>
      </c>
      <c r="CO23" s="61">
        <v>7108919</v>
      </c>
      <c r="CP23" s="61">
        <v>6134040</v>
      </c>
      <c r="CQ23" s="61">
        <v>7660803</v>
      </c>
      <c r="CR23" s="61">
        <v>3420629</v>
      </c>
      <c r="CS23" s="61">
        <v>6708845</v>
      </c>
      <c r="CT23" s="61">
        <v>5814650</v>
      </c>
      <c r="CU23" s="61">
        <v>7160460</v>
      </c>
      <c r="CV23" s="61">
        <v>5590701</v>
      </c>
      <c r="CW23" s="61">
        <v>0</v>
      </c>
      <c r="CX23" s="61">
        <v>0</v>
      </c>
      <c r="CY23" s="61">
        <v>0</v>
      </c>
      <c r="CZ23" s="61">
        <v>0</v>
      </c>
      <c r="DA23" s="61">
        <v>0</v>
      </c>
      <c r="DB23" s="61">
        <v>0</v>
      </c>
      <c r="DC23" s="61">
        <v>2109</v>
      </c>
      <c r="DD23" s="61">
        <v>4040617</v>
      </c>
      <c r="DE23" s="61">
        <v>5257567</v>
      </c>
      <c r="DF23" s="61">
        <v>6256451</v>
      </c>
      <c r="DG23" s="61">
        <v>5067145</v>
      </c>
      <c r="DH23" s="61">
        <v>4279050</v>
      </c>
      <c r="DI23" s="61">
        <v>7936154</v>
      </c>
      <c r="DJ23" s="61">
        <v>5674480</v>
      </c>
      <c r="DK23" s="61">
        <v>6324435.8300000001</v>
      </c>
      <c r="DL23" s="61">
        <v>3139625</v>
      </c>
      <c r="DM23" s="61">
        <v>0</v>
      </c>
      <c r="DN23" s="61">
        <v>0</v>
      </c>
      <c r="DO23" s="61">
        <v>0</v>
      </c>
      <c r="DP23" s="61">
        <v>0</v>
      </c>
      <c r="DQ23" s="61">
        <v>0</v>
      </c>
      <c r="DR23" s="61">
        <v>0</v>
      </c>
      <c r="DS23" s="61">
        <v>6721</v>
      </c>
      <c r="DT23" s="61">
        <v>6079805</v>
      </c>
      <c r="DU23" s="61">
        <v>6001333</v>
      </c>
      <c r="DV23" s="61">
        <v>5739230</v>
      </c>
      <c r="DW23" s="61">
        <v>3916533</v>
      </c>
      <c r="DX23" s="61">
        <v>6392641</v>
      </c>
      <c r="DY23" s="61">
        <v>4407493</v>
      </c>
      <c r="DZ23" s="61">
        <v>6474670</v>
      </c>
      <c r="EA23" s="61">
        <v>4408831</v>
      </c>
      <c r="EB23" s="61">
        <v>5072787</v>
      </c>
      <c r="EC23" s="61">
        <v>0</v>
      </c>
      <c r="ED23" s="61">
        <v>0</v>
      </c>
      <c r="EE23" s="61">
        <v>0</v>
      </c>
      <c r="EF23" s="61">
        <v>0</v>
      </c>
      <c r="EG23" s="61">
        <v>0</v>
      </c>
      <c r="EH23" s="61">
        <v>0</v>
      </c>
      <c r="EI23" s="61">
        <v>569481</v>
      </c>
      <c r="EJ23" s="61">
        <v>4813130</v>
      </c>
      <c r="EK23" s="61">
        <v>7305447</v>
      </c>
      <c r="EL23" s="61">
        <v>4673615</v>
      </c>
      <c r="EM23" s="61">
        <v>4444768</v>
      </c>
      <c r="EN23" s="61">
        <v>2739485</v>
      </c>
      <c r="EO23" s="61">
        <v>5836599</v>
      </c>
      <c r="EP23" s="61">
        <v>4861230</v>
      </c>
      <c r="EQ23" s="61">
        <v>4851111</v>
      </c>
      <c r="ER23" s="61">
        <v>0</v>
      </c>
      <c r="ES23" s="61">
        <v>0</v>
      </c>
      <c r="ET23" s="61">
        <v>0</v>
      </c>
      <c r="EU23" s="61">
        <v>0</v>
      </c>
      <c r="EV23" s="61">
        <v>0</v>
      </c>
      <c r="EW23" s="61">
        <v>0</v>
      </c>
      <c r="EX23" s="61">
        <v>3488426</v>
      </c>
      <c r="EY23" s="61">
        <v>7320825</v>
      </c>
      <c r="EZ23" s="61">
        <v>8595215</v>
      </c>
      <c r="FA23" s="61">
        <v>8101406</v>
      </c>
      <c r="FB23" s="61">
        <v>9851045</v>
      </c>
      <c r="FC23" s="61">
        <v>8638219</v>
      </c>
      <c r="FD23" s="61">
        <v>4413304</v>
      </c>
      <c r="FE23" s="61">
        <v>4190800</v>
      </c>
      <c r="FF23" s="61">
        <v>9136393</v>
      </c>
      <c r="FG23" s="61">
        <v>0</v>
      </c>
      <c r="FH23" s="168">
        <v>0</v>
      </c>
      <c r="FI23" s="168">
        <v>0</v>
      </c>
      <c r="FJ23" s="61">
        <v>0</v>
      </c>
      <c r="FK23" s="61">
        <v>0</v>
      </c>
      <c r="FL23" s="61">
        <v>0</v>
      </c>
      <c r="FM23" s="61">
        <v>6697218</v>
      </c>
      <c r="FN23" s="61">
        <v>6773549</v>
      </c>
      <c r="FO23" s="61">
        <v>6636360</v>
      </c>
      <c r="FP23" s="61">
        <v>8696108</v>
      </c>
      <c r="FQ23" s="61">
        <v>8078683</v>
      </c>
      <c r="FR23" s="61">
        <v>7230595</v>
      </c>
      <c r="FS23" s="61">
        <v>12342033</v>
      </c>
      <c r="FT23" s="61">
        <v>8514380</v>
      </c>
      <c r="FU23" s="61">
        <v>6655230</v>
      </c>
      <c r="FV23" s="61">
        <v>0</v>
      </c>
      <c r="FW23" s="61">
        <v>0</v>
      </c>
      <c r="FX23" s="61">
        <v>0</v>
      </c>
      <c r="FY23" s="61">
        <v>0</v>
      </c>
      <c r="FZ23" s="61">
        <v>0</v>
      </c>
      <c r="GA23" s="61">
        <v>0</v>
      </c>
      <c r="GB23" s="61">
        <v>5231422</v>
      </c>
      <c r="GC23" s="61">
        <v>6266899</v>
      </c>
      <c r="GD23" s="61">
        <v>13634092</v>
      </c>
      <c r="GE23" s="61">
        <v>12513482</v>
      </c>
      <c r="GF23" s="61">
        <v>11798850</v>
      </c>
      <c r="GG23" s="61">
        <v>10479735</v>
      </c>
      <c r="GH23" s="61">
        <v>15894931</v>
      </c>
      <c r="GI23" s="61">
        <v>6502050</v>
      </c>
      <c r="GJ23" s="61">
        <v>10889352</v>
      </c>
      <c r="GK23" s="61"/>
    </row>
    <row r="24" spans="2:207">
      <c r="D24" s="3" t="s">
        <v>2626</v>
      </c>
      <c r="E24" s="61"/>
      <c r="F24" s="61"/>
      <c r="G24" s="61"/>
      <c r="H24" s="61"/>
      <c r="I24" s="61"/>
      <c r="J24" s="61"/>
      <c r="K24" s="61"/>
      <c r="L24" s="61"/>
      <c r="M24" s="61">
        <v>6826641</v>
      </c>
      <c r="N24" s="61">
        <v>7757729</v>
      </c>
      <c r="O24" s="61">
        <v>5454082</v>
      </c>
      <c r="P24" s="61">
        <v>9735906</v>
      </c>
      <c r="Q24" s="61">
        <v>8276453</v>
      </c>
      <c r="R24" s="61">
        <v>9767409.166666666</v>
      </c>
      <c r="S24" s="61">
        <v>4221994</v>
      </c>
      <c r="T24" s="61">
        <v>9322891.5</v>
      </c>
      <c r="U24" s="61"/>
      <c r="V24" s="61"/>
      <c r="W24" s="61"/>
      <c r="X24" s="61"/>
      <c r="Y24" s="61"/>
      <c r="Z24" s="61"/>
      <c r="AA24" s="61"/>
      <c r="AB24" s="61"/>
      <c r="AC24" s="61">
        <v>5764908</v>
      </c>
      <c r="AD24" s="61">
        <v>4578614</v>
      </c>
      <c r="AE24" s="61">
        <v>5349208</v>
      </c>
      <c r="AF24" s="61">
        <v>10204239</v>
      </c>
      <c r="AG24" s="61">
        <v>6194485</v>
      </c>
      <c r="AH24" s="61">
        <v>8875826.9999999981</v>
      </c>
      <c r="AI24" s="61">
        <v>6975818</v>
      </c>
      <c r="AJ24" s="61">
        <v>7114328.5</v>
      </c>
      <c r="AK24" s="61"/>
      <c r="AL24" s="61"/>
      <c r="AM24" s="61"/>
      <c r="AN24" s="61"/>
      <c r="AO24" s="61"/>
      <c r="AP24" s="61"/>
      <c r="AQ24" s="61"/>
      <c r="AR24" s="61"/>
      <c r="AS24" s="61">
        <v>5610133</v>
      </c>
      <c r="AT24" s="61">
        <v>3487474</v>
      </c>
      <c r="AU24" s="61">
        <v>5631499</v>
      </c>
      <c r="AV24" s="61">
        <v>5003435</v>
      </c>
      <c r="AW24" s="61">
        <v>7032682</v>
      </c>
      <c r="AX24" s="61">
        <v>6491126.166666667</v>
      </c>
      <c r="AY24" s="61">
        <v>7467891.833333334</v>
      </c>
      <c r="AZ24" s="61">
        <v>6972601.4999999991</v>
      </c>
      <c r="BA24" s="61"/>
      <c r="BB24" s="61"/>
      <c r="BC24" s="61"/>
      <c r="BD24" s="61"/>
      <c r="BE24" s="61"/>
      <c r="BF24" s="61"/>
      <c r="BG24" s="61"/>
      <c r="BH24" s="61"/>
      <c r="BI24" s="61">
        <v>2872972</v>
      </c>
      <c r="BJ24" s="61">
        <v>6627680</v>
      </c>
      <c r="BK24" s="61">
        <v>5918581</v>
      </c>
      <c r="BL24" s="61">
        <v>3235871</v>
      </c>
      <c r="BM24" s="61">
        <v>4398472</v>
      </c>
      <c r="BN24" s="61">
        <v>4629024.333333333</v>
      </c>
      <c r="BO24" s="61">
        <v>2521805.666666666</v>
      </c>
      <c r="BP24" s="61">
        <v>4687787</v>
      </c>
      <c r="BQ24" s="61"/>
      <c r="BR24" s="61"/>
      <c r="BS24" s="61"/>
      <c r="BT24" s="61"/>
      <c r="BU24" s="61"/>
      <c r="BV24" s="61"/>
      <c r="BW24" s="61"/>
      <c r="BX24" s="61"/>
      <c r="BY24" s="61">
        <v>3984047</v>
      </c>
      <c r="BZ24" s="61">
        <v>4084100</v>
      </c>
      <c r="CA24" s="61">
        <v>4286991</v>
      </c>
      <c r="CB24" s="61">
        <v>5024617</v>
      </c>
      <c r="CC24" s="61">
        <v>4741306</v>
      </c>
      <c r="CD24" s="61">
        <v>3648753.666666666</v>
      </c>
      <c r="CE24" s="61">
        <v>3587356.166666667</v>
      </c>
      <c r="CF24" s="61">
        <v>3266536</v>
      </c>
      <c r="CG24" s="61"/>
      <c r="CH24" s="61"/>
      <c r="CI24" s="61"/>
      <c r="CJ24" s="61"/>
      <c r="CK24" s="61"/>
      <c r="CL24" s="61"/>
      <c r="CM24" s="61"/>
      <c r="CN24" s="61">
        <v>887872</v>
      </c>
      <c r="CO24" s="61">
        <v>4080730</v>
      </c>
      <c r="CP24" s="61">
        <v>4464006</v>
      </c>
      <c r="CQ24" s="61">
        <v>4522680</v>
      </c>
      <c r="CR24" s="61">
        <v>2498948</v>
      </c>
      <c r="CS24" s="61">
        <v>4373545</v>
      </c>
      <c r="CT24" s="61">
        <v>2948695.0003333334</v>
      </c>
      <c r="CU24" s="61">
        <v>3738945.4999999995</v>
      </c>
      <c r="CV24" s="61">
        <v>2715264</v>
      </c>
      <c r="CW24" s="61"/>
      <c r="CX24" s="61"/>
      <c r="CY24" s="61"/>
      <c r="CZ24" s="61"/>
      <c r="DA24" s="61"/>
      <c r="DB24" s="61"/>
      <c r="DC24" s="61"/>
      <c r="DD24" s="61">
        <v>1331337</v>
      </c>
      <c r="DE24" s="61">
        <v>3434877</v>
      </c>
      <c r="DF24" s="61">
        <v>3732561</v>
      </c>
      <c r="DG24" s="61">
        <v>3222703</v>
      </c>
      <c r="DH24" s="61">
        <v>2980954</v>
      </c>
      <c r="DI24" s="61">
        <v>4153475</v>
      </c>
      <c r="DJ24" s="61">
        <v>2736082.9999999995</v>
      </c>
      <c r="DK24" s="61">
        <v>3943207.333333333</v>
      </c>
      <c r="DL24" s="61">
        <v>2155381.3333333335</v>
      </c>
      <c r="DM24" s="61"/>
      <c r="DN24" s="61"/>
      <c r="DO24" s="61"/>
      <c r="DP24" s="61"/>
      <c r="DQ24" s="61"/>
      <c r="DR24" s="61"/>
      <c r="DS24" s="61"/>
      <c r="DT24" s="61">
        <v>2380060</v>
      </c>
      <c r="DU24" s="61">
        <v>2888081</v>
      </c>
      <c r="DV24" s="61">
        <v>3686130</v>
      </c>
      <c r="DW24" s="61">
        <v>2759363</v>
      </c>
      <c r="DX24" s="61">
        <v>3794776</v>
      </c>
      <c r="DY24" s="61">
        <v>3323970.333333333</v>
      </c>
      <c r="DZ24" s="61">
        <v>3491642.5</v>
      </c>
      <c r="EA24" s="61">
        <v>2559840</v>
      </c>
      <c r="EB24" s="61">
        <v>2999997.5</v>
      </c>
      <c r="EC24" s="61"/>
      <c r="ED24" s="61"/>
      <c r="EE24" s="61"/>
      <c r="EF24" s="61"/>
      <c r="EG24" s="61"/>
      <c r="EH24" s="61"/>
      <c r="EI24" s="61"/>
      <c r="EJ24" s="61">
        <v>2407651</v>
      </c>
      <c r="EK24" s="61">
        <v>4178220.0000000005</v>
      </c>
      <c r="EL24" s="61">
        <v>3138635</v>
      </c>
      <c r="EM24" s="61">
        <v>2994669</v>
      </c>
      <c r="EN24" s="61">
        <v>1850982</v>
      </c>
      <c r="EO24" s="61">
        <v>4840567</v>
      </c>
      <c r="EP24" s="61">
        <v>2836271.9999999991</v>
      </c>
      <c r="EQ24" s="61">
        <v>4191897.833333334</v>
      </c>
      <c r="ER24" s="61"/>
      <c r="ES24" s="61"/>
      <c r="ET24" s="61"/>
      <c r="EU24" s="61"/>
      <c r="EV24" s="61"/>
      <c r="EW24" s="61"/>
      <c r="EX24" s="61"/>
      <c r="EY24" s="61">
        <v>5485591</v>
      </c>
      <c r="EZ24" s="61">
        <v>5175616</v>
      </c>
      <c r="FA24" s="61">
        <v>5956500</v>
      </c>
      <c r="FB24" s="61">
        <v>6628092</v>
      </c>
      <c r="FC24" s="61">
        <v>5377612</v>
      </c>
      <c r="FD24" s="61">
        <v>3416596</v>
      </c>
      <c r="FE24" s="61">
        <v>3307691.666666667</v>
      </c>
      <c r="FF24" s="61">
        <v>5781472.8330000006</v>
      </c>
      <c r="FG24" s="61"/>
      <c r="FH24" s="168"/>
      <c r="FI24" s="168"/>
      <c r="FJ24" s="61"/>
      <c r="FK24" s="61"/>
      <c r="FL24" s="61"/>
      <c r="FM24" s="61"/>
      <c r="FN24" s="61">
        <v>5273829</v>
      </c>
      <c r="FO24" s="61">
        <v>4233438</v>
      </c>
      <c r="FP24" s="61">
        <v>5875331</v>
      </c>
      <c r="FQ24" s="61">
        <v>6083605</v>
      </c>
      <c r="FR24" s="61">
        <v>5266763</v>
      </c>
      <c r="FS24" s="61">
        <v>8656093</v>
      </c>
      <c r="FT24" s="61">
        <v>6485690.333333333</v>
      </c>
      <c r="FU24" s="61">
        <v>4488161.833333334</v>
      </c>
      <c r="FV24" s="61"/>
      <c r="FW24" s="61"/>
      <c r="FX24" s="61"/>
      <c r="FY24" s="61"/>
      <c r="FZ24" s="61"/>
      <c r="GA24" s="61"/>
      <c r="GB24" s="61"/>
      <c r="GC24" s="61">
        <v>3848812</v>
      </c>
      <c r="GD24" s="61">
        <v>9698284</v>
      </c>
      <c r="GE24" s="61">
        <v>9384131</v>
      </c>
      <c r="GF24" s="61">
        <v>8485116</v>
      </c>
      <c r="GG24" s="61">
        <v>7531133</v>
      </c>
      <c r="GH24" s="61">
        <v>9950260.166666666</v>
      </c>
      <c r="GI24" s="61">
        <v>4696645.8333333349</v>
      </c>
      <c r="GJ24" s="61">
        <v>7703725</v>
      </c>
      <c r="GK24" s="61"/>
      <c r="GL24" s="275">
        <f>AVERAGE(M24:T24)</f>
        <v>7670388.208333333</v>
      </c>
      <c r="GM24" s="275">
        <f>AVERAGE(AC24:AJ24)</f>
        <v>6882178.4375</v>
      </c>
      <c r="GN24" s="275">
        <f>AVERAGE(AS24:AZ24)</f>
        <v>5962105.3125</v>
      </c>
      <c r="GO24" s="275">
        <f>AVERAGE(BI24:BP24)</f>
        <v>4361524.125</v>
      </c>
      <c r="GP24" s="275">
        <f>AVERAGE(BY24:CF24)</f>
        <v>4077963.3541666665</v>
      </c>
      <c r="GQ24" s="275">
        <f>AVERAGE(CN24:CV24)</f>
        <v>3358965.0555925923</v>
      </c>
      <c r="GR24" s="275">
        <f>AVERAGE(DD24:DL24)</f>
        <v>3076730.9629629627</v>
      </c>
      <c r="GS24" s="275">
        <f>AVERAGE(DT24:EB24)</f>
        <v>3098206.7037037034</v>
      </c>
      <c r="GT24" s="275">
        <f>AVERAGE(EJ24:EQ24)</f>
        <v>3304861.729166667</v>
      </c>
      <c r="GU24" s="275">
        <f>AVERAGE(EY24:FF24)</f>
        <v>5141146.4374583326</v>
      </c>
      <c r="GV24" s="275">
        <f>AVERAGE(FN24:FU24)</f>
        <v>5795363.895833334</v>
      </c>
      <c r="GW24" s="275">
        <f>AVERAGE(GC24:GJ24)</f>
        <v>7662263.375</v>
      </c>
      <c r="GX24" t="s">
        <v>846</v>
      </c>
      <c r="GY24" s="3" t="s">
        <v>2626</v>
      </c>
    </row>
    <row r="25" spans="2:207">
      <c r="B25" t="s">
        <v>2608</v>
      </c>
      <c r="E25" s="61">
        <v>0</v>
      </c>
      <c r="F25" s="61">
        <v>0</v>
      </c>
      <c r="G25" s="61">
        <v>0</v>
      </c>
      <c r="H25" s="61">
        <v>0</v>
      </c>
      <c r="I25" s="61">
        <v>11982165</v>
      </c>
      <c r="J25" s="61">
        <v>14809440</v>
      </c>
      <c r="K25" s="61">
        <v>8975636</v>
      </c>
      <c r="L25" s="61">
        <v>9159065</v>
      </c>
      <c r="M25" s="61">
        <v>26159082</v>
      </c>
      <c r="N25" s="61">
        <v>30203646</v>
      </c>
      <c r="O25" s="61">
        <v>23026979</v>
      </c>
      <c r="P25" s="61">
        <v>43956254</v>
      </c>
      <c r="Q25" s="61">
        <v>37163395</v>
      </c>
      <c r="R25" s="61">
        <v>46405575.166666664</v>
      </c>
      <c r="S25" s="61">
        <v>24842214</v>
      </c>
      <c r="T25" s="61">
        <v>48030669.5</v>
      </c>
      <c r="U25" s="61">
        <v>0</v>
      </c>
      <c r="V25" s="61">
        <v>0</v>
      </c>
      <c r="W25" s="61">
        <v>0</v>
      </c>
      <c r="X25" s="61">
        <v>0</v>
      </c>
      <c r="Y25" s="61">
        <v>13884345</v>
      </c>
      <c r="Z25" s="61">
        <v>8162875</v>
      </c>
      <c r="AA25" s="61">
        <v>9222102</v>
      </c>
      <c r="AB25" s="61">
        <v>15384422</v>
      </c>
      <c r="AC25" s="61">
        <v>20666326</v>
      </c>
      <c r="AD25" s="61">
        <v>22079866</v>
      </c>
      <c r="AE25" s="61">
        <v>24695293</v>
      </c>
      <c r="AF25" s="61">
        <v>48965055</v>
      </c>
      <c r="AG25" s="61">
        <v>28382366</v>
      </c>
      <c r="AH25" s="61">
        <v>41232937</v>
      </c>
      <c r="AI25" s="61">
        <v>38137038</v>
      </c>
      <c r="AJ25" s="61">
        <v>29473809.5</v>
      </c>
      <c r="AK25" s="61">
        <v>0</v>
      </c>
      <c r="AL25" s="61">
        <v>0</v>
      </c>
      <c r="AM25" s="61">
        <v>0</v>
      </c>
      <c r="AN25" s="61">
        <v>0</v>
      </c>
      <c r="AO25" s="61">
        <v>13747719</v>
      </c>
      <c r="AP25" s="61">
        <v>18524666</v>
      </c>
      <c r="AQ25" s="61">
        <v>16056409</v>
      </c>
      <c r="AR25" s="61">
        <v>23371712</v>
      </c>
      <c r="AS25" s="61">
        <v>22238578</v>
      </c>
      <c r="AT25" s="61">
        <v>19550934</v>
      </c>
      <c r="AU25" s="61">
        <v>23368084</v>
      </c>
      <c r="AV25" s="61">
        <v>28415252</v>
      </c>
      <c r="AW25" s="61">
        <v>35408701</v>
      </c>
      <c r="AX25" s="61">
        <v>35695910.166666664</v>
      </c>
      <c r="AY25" s="61">
        <v>35967561.833333336</v>
      </c>
      <c r="AZ25" s="61">
        <v>36506836.5</v>
      </c>
      <c r="BA25" s="61">
        <v>0</v>
      </c>
      <c r="BB25" s="61">
        <v>0</v>
      </c>
      <c r="BC25" s="61">
        <v>0</v>
      </c>
      <c r="BD25" s="61">
        <v>0</v>
      </c>
      <c r="BE25" s="61">
        <v>5025309</v>
      </c>
      <c r="BF25" s="61">
        <v>12969077</v>
      </c>
      <c r="BG25" s="61">
        <v>11486136</v>
      </c>
      <c r="BH25" s="61">
        <v>14008728</v>
      </c>
      <c r="BI25" s="61">
        <v>17382303</v>
      </c>
      <c r="BJ25" s="61">
        <v>30031896</v>
      </c>
      <c r="BK25" s="61">
        <v>23789943</v>
      </c>
      <c r="BL25" s="61">
        <v>21473778</v>
      </c>
      <c r="BM25" s="61">
        <v>26745200</v>
      </c>
      <c r="BN25" s="61">
        <v>27372390.333333332</v>
      </c>
      <c r="BO25" s="61">
        <v>20958425.666666664</v>
      </c>
      <c r="BP25" s="61">
        <v>25873769</v>
      </c>
      <c r="BQ25" s="61">
        <v>0</v>
      </c>
      <c r="BR25" s="61">
        <v>0</v>
      </c>
      <c r="BS25" s="61">
        <v>0</v>
      </c>
      <c r="BT25" s="61">
        <v>0</v>
      </c>
      <c r="BU25" s="61">
        <v>14149921</v>
      </c>
      <c r="BV25" s="61">
        <v>8517637</v>
      </c>
      <c r="BW25" s="61">
        <v>13058827</v>
      </c>
      <c r="BX25" s="61">
        <v>16551715</v>
      </c>
      <c r="BY25" s="61">
        <v>18800243</v>
      </c>
      <c r="BZ25" s="61">
        <v>18310862</v>
      </c>
      <c r="CA25" s="61">
        <v>22036175</v>
      </c>
      <c r="CB25" s="61">
        <v>33950197</v>
      </c>
      <c r="CC25" s="61">
        <v>31824498</v>
      </c>
      <c r="CD25" s="61">
        <v>28460048.666666664</v>
      </c>
      <c r="CE25" s="61">
        <v>20962046.166666668</v>
      </c>
      <c r="CF25" s="61">
        <v>16930696</v>
      </c>
      <c r="CG25" s="61">
        <v>0</v>
      </c>
      <c r="CH25" s="61">
        <v>0</v>
      </c>
      <c r="CI25" s="61">
        <v>0</v>
      </c>
      <c r="CJ25" s="61">
        <v>0</v>
      </c>
      <c r="CK25" s="61">
        <v>7035483</v>
      </c>
      <c r="CL25" s="61">
        <v>7193624</v>
      </c>
      <c r="CM25" s="61">
        <v>10478058</v>
      </c>
      <c r="CN25" s="61">
        <v>15070572</v>
      </c>
      <c r="CO25" s="61">
        <v>17995517</v>
      </c>
      <c r="CP25" s="61">
        <v>19029332</v>
      </c>
      <c r="CQ25" s="61">
        <v>23915040</v>
      </c>
      <c r="CR25" s="61">
        <v>18748767</v>
      </c>
      <c r="CS25" s="61">
        <v>21113916</v>
      </c>
      <c r="CT25" s="61">
        <v>18735896.000333332</v>
      </c>
      <c r="CU25" s="61">
        <v>22001195.5</v>
      </c>
      <c r="CV25" s="61">
        <v>24307717</v>
      </c>
      <c r="CW25" s="61">
        <v>0</v>
      </c>
      <c r="CX25" s="61">
        <v>0</v>
      </c>
      <c r="CY25" s="61">
        <v>0</v>
      </c>
      <c r="CZ25" s="61">
        <v>0</v>
      </c>
      <c r="DA25" s="61">
        <v>9640231</v>
      </c>
      <c r="DB25" s="61">
        <v>6267930</v>
      </c>
      <c r="DC25" s="61">
        <v>8963943</v>
      </c>
      <c r="DD25" s="61">
        <v>12313242</v>
      </c>
      <c r="DE25" s="61">
        <v>17763811</v>
      </c>
      <c r="DF25" s="61">
        <v>16931271</v>
      </c>
      <c r="DG25" s="61">
        <v>14104069</v>
      </c>
      <c r="DH25" s="61">
        <v>19588467</v>
      </c>
      <c r="DI25" s="61">
        <v>24069567</v>
      </c>
      <c r="DJ25" s="61">
        <v>18168913</v>
      </c>
      <c r="DK25" s="61">
        <v>23165710.003333334</v>
      </c>
      <c r="DL25" s="61">
        <v>22974044.333333332</v>
      </c>
      <c r="DM25" s="61">
        <v>0</v>
      </c>
      <c r="DN25" s="61">
        <v>0</v>
      </c>
      <c r="DO25" s="61">
        <v>0</v>
      </c>
      <c r="DP25" s="61">
        <v>0</v>
      </c>
      <c r="DQ25" s="61">
        <v>8015497</v>
      </c>
      <c r="DR25" s="61">
        <v>6978804</v>
      </c>
      <c r="DS25" s="61">
        <v>6565698</v>
      </c>
      <c r="DT25" s="61">
        <v>16903556</v>
      </c>
      <c r="DU25" s="61">
        <v>16781187</v>
      </c>
      <c r="DV25" s="61">
        <v>15773777</v>
      </c>
      <c r="DW25" s="61">
        <v>14203013</v>
      </c>
      <c r="DX25" s="61">
        <v>20606023</v>
      </c>
      <c r="DY25" s="61">
        <v>20085624.333333332</v>
      </c>
      <c r="DZ25" s="61">
        <v>19294402.5</v>
      </c>
      <c r="EA25" s="61">
        <v>16910771</v>
      </c>
      <c r="EB25" s="61">
        <v>32315256.5</v>
      </c>
      <c r="EC25" s="61">
        <v>0</v>
      </c>
      <c r="ED25" s="61">
        <v>0</v>
      </c>
      <c r="EE25" s="61">
        <v>0</v>
      </c>
      <c r="EF25" s="61">
        <v>0</v>
      </c>
      <c r="EG25" s="61">
        <v>10804457</v>
      </c>
      <c r="EH25" s="61">
        <v>8633597</v>
      </c>
      <c r="EI25" s="61">
        <v>7774239</v>
      </c>
      <c r="EJ25" s="61">
        <v>14879989</v>
      </c>
      <c r="EK25" s="61">
        <v>18390115</v>
      </c>
      <c r="EL25" s="61">
        <v>18547862</v>
      </c>
      <c r="EM25" s="61">
        <v>16239741</v>
      </c>
      <c r="EN25" s="61">
        <v>14551446</v>
      </c>
      <c r="EO25" s="61">
        <v>26651267</v>
      </c>
      <c r="EP25" s="61">
        <v>14331832</v>
      </c>
      <c r="EQ25" s="61">
        <v>21133896.673333332</v>
      </c>
      <c r="ER25" s="61">
        <v>0</v>
      </c>
      <c r="ES25" s="61">
        <v>0</v>
      </c>
      <c r="ET25" s="61">
        <v>0</v>
      </c>
      <c r="EU25" s="61">
        <v>0</v>
      </c>
      <c r="EV25" s="61">
        <v>10504923</v>
      </c>
      <c r="EW25" s="61">
        <v>9991604</v>
      </c>
      <c r="EX25" s="61">
        <v>17469119</v>
      </c>
      <c r="EY25" s="61">
        <v>25543649</v>
      </c>
      <c r="EZ25" s="61">
        <v>24475801</v>
      </c>
      <c r="FA25" s="61">
        <v>27035097</v>
      </c>
      <c r="FB25" s="61">
        <v>31901147</v>
      </c>
      <c r="FC25" s="61">
        <v>27171893</v>
      </c>
      <c r="FD25" s="61">
        <v>20113498</v>
      </c>
      <c r="FE25" s="61">
        <v>18310161.666666668</v>
      </c>
      <c r="FF25" s="61">
        <v>29448494.833000001</v>
      </c>
      <c r="FG25" s="61">
        <v>0</v>
      </c>
      <c r="FH25" s="168">
        <v>0</v>
      </c>
      <c r="FI25" s="168">
        <v>0</v>
      </c>
      <c r="FJ25" s="61">
        <v>0</v>
      </c>
      <c r="FK25" s="61">
        <v>12438617</v>
      </c>
      <c r="FL25" s="61">
        <v>11842673</v>
      </c>
      <c r="FM25" s="61">
        <v>21692704</v>
      </c>
      <c r="FN25" s="61">
        <v>22477790</v>
      </c>
      <c r="FO25" s="61">
        <v>20851617</v>
      </c>
      <c r="FP25" s="61">
        <v>25272077</v>
      </c>
      <c r="FQ25" s="61">
        <v>24687759</v>
      </c>
      <c r="FR25" s="61">
        <v>28718034</v>
      </c>
      <c r="FS25" s="61">
        <v>39915420</v>
      </c>
      <c r="FT25" s="61">
        <v>32863980.333333332</v>
      </c>
      <c r="FU25" s="61">
        <v>29329977.833333336</v>
      </c>
      <c r="FV25" s="61">
        <v>0</v>
      </c>
      <c r="FW25" s="61">
        <v>0</v>
      </c>
      <c r="FX25" s="61">
        <v>0</v>
      </c>
      <c r="FY25" s="61">
        <v>0</v>
      </c>
      <c r="FZ25" s="61">
        <v>11739652</v>
      </c>
      <c r="GA25" s="61">
        <v>8351234</v>
      </c>
      <c r="GB25" s="61">
        <v>17592373</v>
      </c>
      <c r="GC25" s="61">
        <v>19091163</v>
      </c>
      <c r="GD25" s="61">
        <v>41800821</v>
      </c>
      <c r="GE25" s="61">
        <v>38441844</v>
      </c>
      <c r="GF25" s="61">
        <v>37518030</v>
      </c>
      <c r="GG25" s="61">
        <v>33610213</v>
      </c>
      <c r="GH25" s="61">
        <v>40907721.332333662</v>
      </c>
      <c r="GI25" s="61">
        <v>21722045.833333336</v>
      </c>
      <c r="GJ25" s="61">
        <v>41176550</v>
      </c>
      <c r="GK25" s="61"/>
    </row>
    <row r="26" spans="2:207">
      <c r="B26" t="s">
        <v>788</v>
      </c>
      <c r="C26" t="s">
        <v>789</v>
      </c>
      <c r="D26" s="3" t="s">
        <v>282</v>
      </c>
      <c r="E26" s="61">
        <v>1792924</v>
      </c>
      <c r="F26" s="61">
        <v>1882625</v>
      </c>
      <c r="G26" s="61">
        <v>2158684</v>
      </c>
      <c r="H26" s="61">
        <v>1789404</v>
      </c>
      <c r="I26" s="61">
        <v>894720</v>
      </c>
      <c r="J26" s="61">
        <v>1576691</v>
      </c>
      <c r="K26" s="61">
        <v>1131665</v>
      </c>
      <c r="L26" s="61">
        <v>1779195</v>
      </c>
      <c r="M26" s="61">
        <v>1710663</v>
      </c>
      <c r="N26" s="61">
        <v>1108767</v>
      </c>
      <c r="O26" s="61">
        <v>1117627</v>
      </c>
      <c r="P26" s="61">
        <v>2290700</v>
      </c>
      <c r="Q26" s="61">
        <v>1449854</v>
      </c>
      <c r="R26" s="61">
        <v>1680604</v>
      </c>
      <c r="S26" s="61">
        <v>1383490</v>
      </c>
      <c r="T26" s="61">
        <v>1803967</v>
      </c>
      <c r="U26" s="61">
        <v>1561822</v>
      </c>
      <c r="V26" s="61">
        <v>1072098</v>
      </c>
      <c r="W26" s="61">
        <v>1923957</v>
      </c>
      <c r="X26" s="61">
        <v>775965</v>
      </c>
      <c r="Y26" s="61">
        <v>1281015</v>
      </c>
      <c r="Z26" s="61">
        <v>2370593</v>
      </c>
      <c r="AA26" s="61">
        <v>1452814</v>
      </c>
      <c r="AB26" s="61">
        <v>1685068</v>
      </c>
      <c r="AC26" s="61">
        <v>1311778</v>
      </c>
      <c r="AD26" s="61">
        <v>1382101</v>
      </c>
      <c r="AE26" s="61">
        <v>1882103</v>
      </c>
      <c r="AF26" s="61">
        <v>1860151</v>
      </c>
      <c r="AG26" s="61">
        <v>1541635</v>
      </c>
      <c r="AH26" s="61">
        <v>1515181</v>
      </c>
      <c r="AI26" s="61">
        <v>1682780</v>
      </c>
      <c r="AJ26" s="61">
        <v>925472</v>
      </c>
      <c r="AK26" s="61">
        <v>2611652</v>
      </c>
      <c r="AL26" s="61">
        <v>1728406</v>
      </c>
      <c r="AM26" s="61">
        <v>2070751</v>
      </c>
      <c r="AN26" s="61">
        <v>2151107</v>
      </c>
      <c r="AO26" s="61">
        <v>1653481</v>
      </c>
      <c r="AP26" s="61">
        <v>2233372</v>
      </c>
      <c r="AQ26" s="61">
        <v>1166327</v>
      </c>
      <c r="AR26" s="61">
        <v>2120015</v>
      </c>
      <c r="AS26" s="61">
        <v>2123241</v>
      </c>
      <c r="AT26" s="61">
        <v>1505988</v>
      </c>
      <c r="AU26" s="61">
        <v>1825775</v>
      </c>
      <c r="AV26" s="61">
        <v>2207103</v>
      </c>
      <c r="AW26" s="61">
        <v>1960814</v>
      </c>
      <c r="AX26" s="61">
        <v>1718887</v>
      </c>
      <c r="AY26" s="61">
        <v>1483670</v>
      </c>
      <c r="AZ26" s="61">
        <v>1887419</v>
      </c>
      <c r="BA26" s="61">
        <v>2064698</v>
      </c>
      <c r="BB26" s="61">
        <v>1463369</v>
      </c>
      <c r="BC26" s="61">
        <v>2064192</v>
      </c>
      <c r="BD26" s="61">
        <v>1398045</v>
      </c>
      <c r="BE26" s="61">
        <v>1139482</v>
      </c>
      <c r="BF26" s="61">
        <v>1740714</v>
      </c>
      <c r="BG26" s="61">
        <v>1442818</v>
      </c>
      <c r="BH26" s="61">
        <v>1115294</v>
      </c>
      <c r="BI26" s="61">
        <v>1874891</v>
      </c>
      <c r="BJ26" s="61">
        <v>1834810</v>
      </c>
      <c r="BK26" s="61">
        <v>1491878</v>
      </c>
      <c r="BL26" s="61">
        <v>1280175</v>
      </c>
      <c r="BM26" s="61">
        <v>1686039</v>
      </c>
      <c r="BN26" s="61">
        <v>1639909</v>
      </c>
      <c r="BO26" s="61">
        <v>1266510</v>
      </c>
      <c r="BP26" s="61">
        <v>1834801</v>
      </c>
      <c r="BQ26" s="61">
        <v>1086318</v>
      </c>
      <c r="BR26" s="61">
        <v>1114826</v>
      </c>
      <c r="BS26" s="61">
        <v>1626251</v>
      </c>
      <c r="BT26" s="61">
        <v>1510875</v>
      </c>
      <c r="BU26" s="61">
        <v>1448960</v>
      </c>
      <c r="BV26" s="61">
        <v>1593610</v>
      </c>
      <c r="BW26" s="61">
        <v>1597127</v>
      </c>
      <c r="BX26" s="61">
        <v>1050483</v>
      </c>
      <c r="BY26" s="61">
        <v>1327450</v>
      </c>
      <c r="BZ26" s="61">
        <v>1795319</v>
      </c>
      <c r="CA26" s="61">
        <v>1318088</v>
      </c>
      <c r="CB26" s="61">
        <v>1359524</v>
      </c>
      <c r="CC26" s="61">
        <v>1707008</v>
      </c>
      <c r="CD26" s="61">
        <v>2322927</v>
      </c>
      <c r="CE26" s="61">
        <v>1581458</v>
      </c>
      <c r="CF26" s="61">
        <v>842284</v>
      </c>
      <c r="CG26" s="61">
        <v>1254877</v>
      </c>
      <c r="CH26" s="61">
        <v>1205330</v>
      </c>
      <c r="CI26" s="61">
        <v>1150410</v>
      </c>
      <c r="CJ26" s="61">
        <v>1140679</v>
      </c>
      <c r="CK26" s="61">
        <v>903824</v>
      </c>
      <c r="CL26" s="61">
        <v>879670</v>
      </c>
      <c r="CM26" s="61">
        <v>499191</v>
      </c>
      <c r="CN26" s="61">
        <v>828179</v>
      </c>
      <c r="CO26" s="61">
        <v>817360</v>
      </c>
      <c r="CP26" s="61">
        <v>1110665</v>
      </c>
      <c r="CQ26" s="61">
        <v>1234441</v>
      </c>
      <c r="CR26" s="61">
        <v>1048035.0000000001</v>
      </c>
      <c r="CS26" s="61">
        <v>813418</v>
      </c>
      <c r="CT26" s="61">
        <v>903840</v>
      </c>
      <c r="CU26" s="61">
        <v>974890</v>
      </c>
      <c r="CV26" s="61">
        <v>569602</v>
      </c>
      <c r="CW26" s="61">
        <v>699545</v>
      </c>
      <c r="CX26" s="61">
        <v>1157172</v>
      </c>
      <c r="CY26" s="61">
        <v>1002161</v>
      </c>
      <c r="CZ26" s="61">
        <v>735702</v>
      </c>
      <c r="DA26" s="61">
        <v>1311624</v>
      </c>
      <c r="DB26" s="61">
        <v>617450</v>
      </c>
      <c r="DC26" s="61">
        <v>1013246</v>
      </c>
      <c r="DD26" s="61">
        <v>843702</v>
      </c>
      <c r="DE26" s="61">
        <v>825186</v>
      </c>
      <c r="DF26" s="61">
        <v>685481</v>
      </c>
      <c r="DG26" s="61">
        <v>773638</v>
      </c>
      <c r="DH26" s="61">
        <v>1307982</v>
      </c>
      <c r="DI26" s="61">
        <v>887834</v>
      </c>
      <c r="DJ26" s="61">
        <v>806200</v>
      </c>
      <c r="DK26" s="61">
        <v>1385119.83</v>
      </c>
      <c r="DL26" s="61">
        <v>390883</v>
      </c>
      <c r="DM26" s="61">
        <v>618165</v>
      </c>
      <c r="DN26" s="61">
        <v>1111594</v>
      </c>
      <c r="DO26" s="61">
        <v>1327329</v>
      </c>
      <c r="DP26" s="61">
        <v>1255489</v>
      </c>
      <c r="DQ26" s="61">
        <v>1094665</v>
      </c>
      <c r="DR26" s="61">
        <v>661981</v>
      </c>
      <c r="DS26" s="61">
        <v>717588</v>
      </c>
      <c r="DT26" s="61">
        <v>664946</v>
      </c>
      <c r="DU26" s="61">
        <v>1119442</v>
      </c>
      <c r="DV26" s="61">
        <v>1140210</v>
      </c>
      <c r="DW26" s="61">
        <v>814016</v>
      </c>
      <c r="DX26" s="61">
        <v>498202</v>
      </c>
      <c r="DY26" s="61">
        <v>1554628</v>
      </c>
      <c r="DZ26" s="61">
        <v>1123480</v>
      </c>
      <c r="EA26" s="61">
        <v>1097749</v>
      </c>
      <c r="EB26" s="61">
        <v>637534</v>
      </c>
      <c r="EC26" s="61">
        <v>1630918</v>
      </c>
      <c r="ED26" s="61">
        <v>1633166</v>
      </c>
      <c r="EE26" s="61">
        <v>616357</v>
      </c>
      <c r="EF26" s="61">
        <v>1924625</v>
      </c>
      <c r="EG26" s="61">
        <v>1129250</v>
      </c>
      <c r="EH26" s="61">
        <v>1062400</v>
      </c>
      <c r="EI26" s="61">
        <v>689400</v>
      </c>
      <c r="EJ26" s="61">
        <v>982566</v>
      </c>
      <c r="EK26" s="61">
        <v>1138592</v>
      </c>
      <c r="EL26" s="61">
        <v>1341593</v>
      </c>
      <c r="EM26" s="61">
        <v>1386439</v>
      </c>
      <c r="EN26" s="61">
        <v>973703</v>
      </c>
      <c r="EO26" s="61">
        <v>882876</v>
      </c>
      <c r="EP26" s="61">
        <v>1101040</v>
      </c>
      <c r="EQ26" s="61">
        <v>781844.33</v>
      </c>
      <c r="ER26" s="61">
        <v>2045130</v>
      </c>
      <c r="ES26" s="61">
        <v>1775520</v>
      </c>
      <c r="ET26" s="61">
        <v>2814757</v>
      </c>
      <c r="EU26" s="61">
        <v>2200116</v>
      </c>
      <c r="EV26" s="61">
        <v>1239901</v>
      </c>
      <c r="EW26" s="61">
        <v>1103352</v>
      </c>
      <c r="EX26" s="61">
        <v>1425304</v>
      </c>
      <c r="EY26" s="61">
        <v>2336040</v>
      </c>
      <c r="EZ26" s="61">
        <v>1527492</v>
      </c>
      <c r="FA26" s="61">
        <v>1538206</v>
      </c>
      <c r="FB26" s="61">
        <v>1767476</v>
      </c>
      <c r="FC26" s="61">
        <v>1615918</v>
      </c>
      <c r="FD26" s="61">
        <v>1650498</v>
      </c>
      <c r="FE26" s="61">
        <v>1089550</v>
      </c>
      <c r="FF26" s="61">
        <v>1447550</v>
      </c>
      <c r="FG26" s="61">
        <v>2155844</v>
      </c>
      <c r="FH26" s="168">
        <v>1003271</v>
      </c>
      <c r="FI26" s="168">
        <v>1165828</v>
      </c>
      <c r="FJ26" s="61">
        <v>1624683</v>
      </c>
      <c r="FK26" s="61">
        <v>1162023</v>
      </c>
      <c r="FL26" s="61">
        <v>1152675</v>
      </c>
      <c r="FM26" s="61">
        <v>2239525</v>
      </c>
      <c r="FN26" s="61">
        <v>1100635</v>
      </c>
      <c r="FO26" s="61">
        <v>2159233</v>
      </c>
      <c r="FP26" s="61">
        <v>1921004</v>
      </c>
      <c r="FQ26" s="61">
        <v>1600947</v>
      </c>
      <c r="FR26" s="61">
        <v>1954279</v>
      </c>
      <c r="FS26" s="61">
        <v>1396722</v>
      </c>
      <c r="FT26" s="61">
        <v>1481490</v>
      </c>
      <c r="FU26" s="61">
        <v>1686285</v>
      </c>
      <c r="FV26" s="61">
        <v>2126339</v>
      </c>
      <c r="FW26" s="61">
        <v>1596738</v>
      </c>
      <c r="FX26" s="61">
        <v>1114954</v>
      </c>
      <c r="FY26" s="61">
        <v>1131107</v>
      </c>
      <c r="FZ26" s="61">
        <v>1687748</v>
      </c>
      <c r="GA26" s="61">
        <v>1682878</v>
      </c>
      <c r="GB26" s="61">
        <v>1471552</v>
      </c>
      <c r="GC26" s="61">
        <v>2394515</v>
      </c>
      <c r="GD26" s="61">
        <v>1821741</v>
      </c>
      <c r="GE26" s="61">
        <v>1855551</v>
      </c>
      <c r="GF26" s="61">
        <v>1954382</v>
      </c>
      <c r="GG26" s="61">
        <v>1352651</v>
      </c>
      <c r="GH26" s="61">
        <v>2534702.6669999999</v>
      </c>
      <c r="GI26" s="61">
        <v>1287030</v>
      </c>
      <c r="GJ26" s="61">
        <v>1466061</v>
      </c>
      <c r="GK26" s="61"/>
      <c r="GL26" s="275">
        <f>AVERAGE(E26:T26)</f>
        <v>1596973.75</v>
      </c>
      <c r="GM26" s="275">
        <f>AVERAGE(U26:AJ26)</f>
        <v>1514033.3125</v>
      </c>
      <c r="GN26" s="275">
        <f>AVERAGE(AK26:AZ26)</f>
        <v>1903000.5</v>
      </c>
      <c r="GO26" s="275">
        <f>AVERAGE(BA26:BP26)</f>
        <v>1583601.5625</v>
      </c>
      <c r="GP26" s="275">
        <f>AVERAGE(BQ26:CF26)</f>
        <v>1455156.75</v>
      </c>
      <c r="GQ26" s="275">
        <f>AVERAGE(CG26:CV26)</f>
        <v>958400.6875</v>
      </c>
      <c r="GR26" s="275">
        <f>AVERAGE(CW26:DL26)</f>
        <v>902682.864375</v>
      </c>
      <c r="GS26" s="275">
        <f>AVERAGE(DM26:EB26)</f>
        <v>964813.625</v>
      </c>
      <c r="GT26" s="275">
        <f>AVERAGE(EC26:EQ26)</f>
        <v>1151651.2886666665</v>
      </c>
      <c r="GU26" s="275">
        <f>AVERAGE(ER26:FF26)</f>
        <v>1705120.6666666667</v>
      </c>
      <c r="GV26" s="275">
        <f>AVERAGE(FG26:FU26)</f>
        <v>1586962.9333333333</v>
      </c>
      <c r="GW26" s="275">
        <f>AVERAGE(FV26:GJ26)</f>
        <v>1698529.9778</v>
      </c>
      <c r="GX26" t="s">
        <v>846</v>
      </c>
      <c r="GY26" s="3" t="s">
        <v>282</v>
      </c>
    </row>
    <row r="27" spans="2:207">
      <c r="B27" t="s">
        <v>2609</v>
      </c>
      <c r="E27" s="61">
        <v>1792924</v>
      </c>
      <c r="F27" s="61">
        <v>1882625</v>
      </c>
      <c r="G27" s="61">
        <v>2158684</v>
      </c>
      <c r="H27" s="61">
        <v>1789404</v>
      </c>
      <c r="I27" s="61">
        <v>894720</v>
      </c>
      <c r="J27" s="61">
        <v>1576691</v>
      </c>
      <c r="K27" s="61">
        <v>1131665</v>
      </c>
      <c r="L27" s="61">
        <v>1779195</v>
      </c>
      <c r="M27" s="61">
        <v>1710663</v>
      </c>
      <c r="N27" s="61">
        <v>1108767</v>
      </c>
      <c r="O27" s="61">
        <v>1117627</v>
      </c>
      <c r="P27" s="61">
        <v>2290700</v>
      </c>
      <c r="Q27" s="61">
        <v>1449854</v>
      </c>
      <c r="R27" s="61">
        <v>1680604</v>
      </c>
      <c r="S27" s="61">
        <v>1383490</v>
      </c>
      <c r="T27" s="61">
        <v>1803967</v>
      </c>
      <c r="U27" s="61">
        <v>1561822</v>
      </c>
      <c r="V27" s="61">
        <v>1072098</v>
      </c>
      <c r="W27" s="61">
        <v>1923957</v>
      </c>
      <c r="X27" s="61">
        <v>775965</v>
      </c>
      <c r="Y27" s="61">
        <v>1281015</v>
      </c>
      <c r="Z27" s="61">
        <v>2370593</v>
      </c>
      <c r="AA27" s="61">
        <v>1452814</v>
      </c>
      <c r="AB27" s="61">
        <v>1685068</v>
      </c>
      <c r="AC27" s="61">
        <v>1311778</v>
      </c>
      <c r="AD27" s="61">
        <v>1382101</v>
      </c>
      <c r="AE27" s="61">
        <v>1882103</v>
      </c>
      <c r="AF27" s="61">
        <v>1860151</v>
      </c>
      <c r="AG27" s="61">
        <v>1541635</v>
      </c>
      <c r="AH27" s="61">
        <v>1515181</v>
      </c>
      <c r="AI27" s="61">
        <v>1682780</v>
      </c>
      <c r="AJ27" s="61">
        <v>925472</v>
      </c>
      <c r="AK27" s="61">
        <v>2611652</v>
      </c>
      <c r="AL27" s="61">
        <v>1728406</v>
      </c>
      <c r="AM27" s="61">
        <v>2070751</v>
      </c>
      <c r="AN27" s="61">
        <v>2151107</v>
      </c>
      <c r="AO27" s="61">
        <v>1653481</v>
      </c>
      <c r="AP27" s="61">
        <v>2233372</v>
      </c>
      <c r="AQ27" s="61">
        <v>1166327</v>
      </c>
      <c r="AR27" s="61">
        <v>2120015</v>
      </c>
      <c r="AS27" s="61">
        <v>2123241</v>
      </c>
      <c r="AT27" s="61">
        <v>1505988</v>
      </c>
      <c r="AU27" s="61">
        <v>1825775</v>
      </c>
      <c r="AV27" s="61">
        <v>2207103</v>
      </c>
      <c r="AW27" s="61">
        <v>1960814</v>
      </c>
      <c r="AX27" s="61">
        <v>1718887</v>
      </c>
      <c r="AY27" s="61">
        <v>1483670</v>
      </c>
      <c r="AZ27" s="61">
        <v>1887419</v>
      </c>
      <c r="BA27" s="61">
        <v>2064698</v>
      </c>
      <c r="BB27" s="61">
        <v>1463369</v>
      </c>
      <c r="BC27" s="61">
        <v>2064192</v>
      </c>
      <c r="BD27" s="61">
        <v>1398045</v>
      </c>
      <c r="BE27" s="61">
        <v>1139482</v>
      </c>
      <c r="BF27" s="61">
        <v>1740714</v>
      </c>
      <c r="BG27" s="61">
        <v>1442818</v>
      </c>
      <c r="BH27" s="61">
        <v>1115294</v>
      </c>
      <c r="BI27" s="61">
        <v>1874891</v>
      </c>
      <c r="BJ27" s="61">
        <v>1834810</v>
      </c>
      <c r="BK27" s="61">
        <v>1491878</v>
      </c>
      <c r="BL27" s="61">
        <v>1280175</v>
      </c>
      <c r="BM27" s="61">
        <v>1686039</v>
      </c>
      <c r="BN27" s="61">
        <v>1639909</v>
      </c>
      <c r="BO27" s="61">
        <v>1266510</v>
      </c>
      <c r="BP27" s="61">
        <v>1834801</v>
      </c>
      <c r="BQ27" s="61">
        <v>1086318</v>
      </c>
      <c r="BR27" s="61">
        <v>1114826</v>
      </c>
      <c r="BS27" s="61">
        <v>1626251</v>
      </c>
      <c r="BT27" s="61">
        <v>1510875</v>
      </c>
      <c r="BU27" s="61">
        <v>1448960</v>
      </c>
      <c r="BV27" s="61">
        <v>1593610</v>
      </c>
      <c r="BW27" s="61">
        <v>1597127</v>
      </c>
      <c r="BX27" s="61">
        <v>1050483</v>
      </c>
      <c r="BY27" s="61">
        <v>1327450</v>
      </c>
      <c r="BZ27" s="61">
        <v>1795319</v>
      </c>
      <c r="CA27" s="61">
        <v>1318088</v>
      </c>
      <c r="CB27" s="61">
        <v>1359524</v>
      </c>
      <c r="CC27" s="61">
        <v>1707008</v>
      </c>
      <c r="CD27" s="61">
        <v>2322927</v>
      </c>
      <c r="CE27" s="61">
        <v>1581458</v>
      </c>
      <c r="CF27" s="61">
        <v>842284</v>
      </c>
      <c r="CG27" s="61">
        <v>1254877</v>
      </c>
      <c r="CH27" s="61">
        <v>1205330</v>
      </c>
      <c r="CI27" s="61">
        <v>1150410</v>
      </c>
      <c r="CJ27" s="61">
        <v>1140679</v>
      </c>
      <c r="CK27" s="61">
        <v>903824</v>
      </c>
      <c r="CL27" s="61">
        <v>879670</v>
      </c>
      <c r="CM27" s="61">
        <v>499191</v>
      </c>
      <c r="CN27" s="61">
        <v>828179</v>
      </c>
      <c r="CO27" s="61">
        <v>817360</v>
      </c>
      <c r="CP27" s="61">
        <v>1110665</v>
      </c>
      <c r="CQ27" s="61">
        <v>1234441</v>
      </c>
      <c r="CR27" s="61">
        <v>1048035.0000000001</v>
      </c>
      <c r="CS27" s="61">
        <v>813418</v>
      </c>
      <c r="CT27" s="61">
        <v>903840</v>
      </c>
      <c r="CU27" s="61">
        <v>974890</v>
      </c>
      <c r="CV27" s="61">
        <v>569602</v>
      </c>
      <c r="CW27" s="61">
        <v>699545</v>
      </c>
      <c r="CX27" s="61">
        <v>1157172</v>
      </c>
      <c r="CY27" s="61">
        <v>1002161</v>
      </c>
      <c r="CZ27" s="61">
        <v>735702</v>
      </c>
      <c r="DA27" s="61">
        <v>1311624</v>
      </c>
      <c r="DB27" s="61">
        <v>617450</v>
      </c>
      <c r="DC27" s="61">
        <v>1013246</v>
      </c>
      <c r="DD27" s="61">
        <v>843702</v>
      </c>
      <c r="DE27" s="61">
        <v>825186</v>
      </c>
      <c r="DF27" s="61">
        <v>685481</v>
      </c>
      <c r="DG27" s="61">
        <v>773638</v>
      </c>
      <c r="DH27" s="61">
        <v>1307982</v>
      </c>
      <c r="DI27" s="61">
        <v>887834</v>
      </c>
      <c r="DJ27" s="61">
        <v>806200</v>
      </c>
      <c r="DK27" s="61">
        <v>1385119.83</v>
      </c>
      <c r="DL27" s="61">
        <v>390883</v>
      </c>
      <c r="DM27" s="61">
        <v>618165</v>
      </c>
      <c r="DN27" s="61">
        <v>1111594</v>
      </c>
      <c r="DO27" s="61">
        <v>1327329</v>
      </c>
      <c r="DP27" s="61">
        <v>1255489</v>
      </c>
      <c r="DQ27" s="61">
        <v>1094665</v>
      </c>
      <c r="DR27" s="61">
        <v>661981</v>
      </c>
      <c r="DS27" s="61">
        <v>717588</v>
      </c>
      <c r="DT27" s="61">
        <v>664946</v>
      </c>
      <c r="DU27" s="61">
        <v>1119442</v>
      </c>
      <c r="DV27" s="61">
        <v>1140210</v>
      </c>
      <c r="DW27" s="61">
        <v>814016</v>
      </c>
      <c r="DX27" s="61">
        <v>498202</v>
      </c>
      <c r="DY27" s="61">
        <v>1554628</v>
      </c>
      <c r="DZ27" s="61">
        <v>1123480</v>
      </c>
      <c r="EA27" s="61">
        <v>1097749</v>
      </c>
      <c r="EB27" s="61">
        <v>637534</v>
      </c>
      <c r="EC27" s="61">
        <v>1630918</v>
      </c>
      <c r="ED27" s="61">
        <v>1633166</v>
      </c>
      <c r="EE27" s="61">
        <v>616357</v>
      </c>
      <c r="EF27" s="61">
        <v>1924625</v>
      </c>
      <c r="EG27" s="61">
        <v>1129250</v>
      </c>
      <c r="EH27" s="61">
        <v>1062400</v>
      </c>
      <c r="EI27" s="61">
        <v>689400</v>
      </c>
      <c r="EJ27" s="61">
        <v>982566</v>
      </c>
      <c r="EK27" s="61">
        <v>1138592</v>
      </c>
      <c r="EL27" s="61">
        <v>1341593</v>
      </c>
      <c r="EM27" s="61">
        <v>1386439</v>
      </c>
      <c r="EN27" s="61">
        <v>973703</v>
      </c>
      <c r="EO27" s="61">
        <v>882876</v>
      </c>
      <c r="EP27" s="61">
        <v>1101040</v>
      </c>
      <c r="EQ27" s="61">
        <v>781844.33</v>
      </c>
      <c r="ER27" s="61">
        <v>2045130</v>
      </c>
      <c r="ES27" s="61">
        <v>1775520</v>
      </c>
      <c r="ET27" s="61">
        <v>2814757</v>
      </c>
      <c r="EU27" s="61">
        <v>2200116</v>
      </c>
      <c r="EV27" s="61">
        <v>1239901</v>
      </c>
      <c r="EW27" s="61">
        <v>1103352</v>
      </c>
      <c r="EX27" s="61">
        <v>1425304</v>
      </c>
      <c r="EY27" s="61">
        <v>2336040</v>
      </c>
      <c r="EZ27" s="61">
        <v>1527492</v>
      </c>
      <c r="FA27" s="61">
        <v>1538206</v>
      </c>
      <c r="FB27" s="61">
        <v>1767476</v>
      </c>
      <c r="FC27" s="61">
        <v>1615918</v>
      </c>
      <c r="FD27" s="61">
        <v>1650498</v>
      </c>
      <c r="FE27" s="61">
        <v>1089550</v>
      </c>
      <c r="FF27" s="61">
        <v>1447550</v>
      </c>
      <c r="FG27" s="61">
        <v>2155844</v>
      </c>
      <c r="FH27" s="168">
        <v>1003271</v>
      </c>
      <c r="FI27" s="168">
        <v>1165828</v>
      </c>
      <c r="FJ27" s="61">
        <v>1624683</v>
      </c>
      <c r="FK27" s="61">
        <v>1162023</v>
      </c>
      <c r="FL27" s="61">
        <v>1152675</v>
      </c>
      <c r="FM27" s="61">
        <v>2239525</v>
      </c>
      <c r="FN27" s="61">
        <v>1100635</v>
      </c>
      <c r="FO27" s="61">
        <v>2159233</v>
      </c>
      <c r="FP27" s="61">
        <v>1921004</v>
      </c>
      <c r="FQ27" s="61">
        <v>1600947</v>
      </c>
      <c r="FR27" s="61">
        <v>1954279</v>
      </c>
      <c r="FS27" s="61">
        <v>1396722</v>
      </c>
      <c r="FT27" s="61">
        <v>1481490</v>
      </c>
      <c r="FU27" s="61">
        <v>1686285</v>
      </c>
      <c r="FV27" s="61">
        <v>2126339</v>
      </c>
      <c r="FW27" s="61">
        <v>1596738</v>
      </c>
      <c r="FX27" s="61">
        <v>1114954</v>
      </c>
      <c r="FY27" s="61">
        <v>1131107</v>
      </c>
      <c r="FZ27" s="61">
        <v>1687748</v>
      </c>
      <c r="GA27" s="61">
        <v>1682878</v>
      </c>
      <c r="GB27" s="61">
        <v>1471552</v>
      </c>
      <c r="GC27" s="61">
        <v>2394515</v>
      </c>
      <c r="GD27" s="61">
        <v>1821741</v>
      </c>
      <c r="GE27" s="61">
        <v>1855551</v>
      </c>
      <c r="GF27" s="61">
        <v>1954382</v>
      </c>
      <c r="GG27" s="61">
        <v>1352651</v>
      </c>
      <c r="GH27" s="61">
        <v>2534702.6669999999</v>
      </c>
      <c r="GI27" s="61">
        <v>1287030</v>
      </c>
      <c r="GJ27" s="61">
        <v>1466061</v>
      </c>
      <c r="GK27" s="61"/>
    </row>
    <row r="28" spans="2:207">
      <c r="B28" t="s">
        <v>798</v>
      </c>
      <c r="C28" t="s">
        <v>789</v>
      </c>
      <c r="D28" s="3" t="s">
        <v>284</v>
      </c>
      <c r="E28" s="61"/>
      <c r="F28" s="61">
        <v>1045174</v>
      </c>
      <c r="G28" s="61">
        <v>1038574</v>
      </c>
      <c r="H28" s="61">
        <v>484627</v>
      </c>
      <c r="I28" s="61">
        <v>1187040</v>
      </c>
      <c r="J28" s="61">
        <v>1241448</v>
      </c>
      <c r="K28" s="61">
        <v>796346</v>
      </c>
      <c r="L28" s="61">
        <v>430489</v>
      </c>
      <c r="M28" s="61">
        <v>623005</v>
      </c>
      <c r="N28" s="61">
        <v>914035</v>
      </c>
      <c r="O28" s="61">
        <v>636863</v>
      </c>
      <c r="P28" s="61">
        <v>1125427</v>
      </c>
      <c r="Q28" s="61">
        <v>1001588</v>
      </c>
      <c r="R28" s="61">
        <v>1154295</v>
      </c>
      <c r="S28" s="61">
        <v>423300</v>
      </c>
      <c r="T28" s="61">
        <v>996853</v>
      </c>
      <c r="U28" s="61"/>
      <c r="V28" s="61">
        <v>708827</v>
      </c>
      <c r="W28" s="61">
        <v>502254</v>
      </c>
      <c r="X28" s="61">
        <v>571531</v>
      </c>
      <c r="Y28" s="61">
        <v>856511</v>
      </c>
      <c r="Z28" s="61">
        <v>700469</v>
      </c>
      <c r="AA28" s="61">
        <v>413320</v>
      </c>
      <c r="AB28" s="61">
        <v>715370</v>
      </c>
      <c r="AC28" s="61">
        <v>526724</v>
      </c>
      <c r="AD28" s="61">
        <v>431259</v>
      </c>
      <c r="AE28" s="61">
        <v>580655</v>
      </c>
      <c r="AF28" s="61">
        <v>1168482</v>
      </c>
      <c r="AG28" s="61">
        <v>607516</v>
      </c>
      <c r="AH28" s="61">
        <v>871060</v>
      </c>
      <c r="AI28" s="61">
        <v>741180</v>
      </c>
      <c r="AJ28" s="61">
        <v>600247</v>
      </c>
      <c r="AK28" s="61"/>
      <c r="AL28" s="61">
        <v>652257</v>
      </c>
      <c r="AM28" s="61">
        <v>534399</v>
      </c>
      <c r="AN28" s="61">
        <v>824043</v>
      </c>
      <c r="AO28" s="61">
        <v>736700</v>
      </c>
      <c r="AP28" s="61">
        <v>1135335</v>
      </c>
      <c r="AQ28" s="61">
        <v>731474</v>
      </c>
      <c r="AR28" s="61">
        <v>730198</v>
      </c>
      <c r="AS28" s="61">
        <v>371994</v>
      </c>
      <c r="AT28" s="61">
        <v>301162</v>
      </c>
      <c r="AU28" s="61">
        <v>404919</v>
      </c>
      <c r="AV28" s="61">
        <v>468748</v>
      </c>
      <c r="AW28" s="61">
        <v>716751</v>
      </c>
      <c r="AX28" s="61">
        <v>634098</v>
      </c>
      <c r="AY28" s="61">
        <v>756780</v>
      </c>
      <c r="AZ28" s="61">
        <v>670946</v>
      </c>
      <c r="BA28" s="61"/>
      <c r="BB28" s="61">
        <v>467310</v>
      </c>
      <c r="BC28" s="61">
        <v>386038</v>
      </c>
      <c r="BD28" s="61">
        <v>552844</v>
      </c>
      <c r="BE28" s="61">
        <v>207721</v>
      </c>
      <c r="BF28" s="61">
        <v>414485</v>
      </c>
      <c r="BG28" s="61">
        <v>286767</v>
      </c>
      <c r="BH28" s="61">
        <v>384561</v>
      </c>
      <c r="BI28" s="61">
        <v>248240</v>
      </c>
      <c r="BJ28" s="61">
        <v>623596</v>
      </c>
      <c r="BK28" s="61">
        <v>478878</v>
      </c>
      <c r="BL28" s="61">
        <v>305161</v>
      </c>
      <c r="BM28" s="61">
        <v>363203</v>
      </c>
      <c r="BN28" s="61">
        <v>357528</v>
      </c>
      <c r="BO28" s="61">
        <v>247910</v>
      </c>
      <c r="BP28" s="61">
        <v>480225</v>
      </c>
      <c r="BQ28" s="61"/>
      <c r="BR28" s="61">
        <v>293581</v>
      </c>
      <c r="BS28" s="61">
        <v>467902</v>
      </c>
      <c r="BT28" s="61">
        <v>626716</v>
      </c>
      <c r="BU28" s="61">
        <v>630996</v>
      </c>
      <c r="BV28" s="61">
        <v>251675</v>
      </c>
      <c r="BW28" s="61">
        <v>442008</v>
      </c>
      <c r="BX28" s="61">
        <v>357288</v>
      </c>
      <c r="BY28" s="61">
        <v>435943</v>
      </c>
      <c r="BZ28" s="61">
        <v>313549</v>
      </c>
      <c r="CA28" s="61">
        <v>421582</v>
      </c>
      <c r="CB28" s="61">
        <v>488314</v>
      </c>
      <c r="CC28" s="61">
        <v>478410</v>
      </c>
      <c r="CD28" s="61">
        <v>340201</v>
      </c>
      <c r="CE28" s="61">
        <v>277508</v>
      </c>
      <c r="CF28" s="61">
        <v>219613</v>
      </c>
      <c r="CG28" s="61"/>
      <c r="CH28" s="61">
        <v>423885</v>
      </c>
      <c r="CI28" s="61">
        <v>265524</v>
      </c>
      <c r="CJ28" s="61">
        <v>182766</v>
      </c>
      <c r="CK28" s="61">
        <v>324527</v>
      </c>
      <c r="CL28" s="61">
        <v>291397</v>
      </c>
      <c r="CM28" s="61">
        <v>237994</v>
      </c>
      <c r="CN28" s="61">
        <v>248115</v>
      </c>
      <c r="CO28" s="61">
        <v>464948</v>
      </c>
      <c r="CP28" s="61">
        <v>421062</v>
      </c>
      <c r="CQ28" s="61">
        <v>384177</v>
      </c>
      <c r="CR28" s="61">
        <v>161117</v>
      </c>
      <c r="CS28" s="61">
        <v>418590</v>
      </c>
      <c r="CT28" s="61">
        <v>254821</v>
      </c>
      <c r="CU28" s="61">
        <v>410820</v>
      </c>
      <c r="CV28" s="61">
        <v>210366</v>
      </c>
      <c r="CW28" s="61"/>
      <c r="CX28" s="61">
        <v>379573</v>
      </c>
      <c r="CY28" s="61">
        <v>387513</v>
      </c>
      <c r="CZ28" s="61">
        <v>222547</v>
      </c>
      <c r="DA28" s="61">
        <v>589503</v>
      </c>
      <c r="DB28" s="61">
        <v>418840</v>
      </c>
      <c r="DC28" s="61">
        <v>434543</v>
      </c>
      <c r="DD28" s="61">
        <v>240474</v>
      </c>
      <c r="DE28" s="61">
        <v>331942</v>
      </c>
      <c r="DF28" s="61">
        <v>351345</v>
      </c>
      <c r="DG28" s="61">
        <v>217066</v>
      </c>
      <c r="DH28" s="61">
        <v>225903</v>
      </c>
      <c r="DI28" s="61">
        <v>451331</v>
      </c>
      <c r="DJ28" s="61">
        <v>280130</v>
      </c>
      <c r="DK28" s="61">
        <v>341302.83</v>
      </c>
      <c r="DL28" s="61">
        <v>167282</v>
      </c>
      <c r="DM28" s="61"/>
      <c r="DN28" s="61">
        <v>422651</v>
      </c>
      <c r="DO28" s="61">
        <v>279632</v>
      </c>
      <c r="DP28" s="61">
        <v>545010</v>
      </c>
      <c r="DQ28" s="61">
        <v>391776</v>
      </c>
      <c r="DR28" s="61">
        <v>411129</v>
      </c>
      <c r="DS28" s="61">
        <v>296004</v>
      </c>
      <c r="DT28" s="61">
        <v>445639</v>
      </c>
      <c r="DU28" s="61">
        <v>304002</v>
      </c>
      <c r="DV28" s="61">
        <v>369351</v>
      </c>
      <c r="DW28" s="61">
        <v>239573</v>
      </c>
      <c r="DX28" s="61">
        <v>361064</v>
      </c>
      <c r="DY28" s="61">
        <v>274368</v>
      </c>
      <c r="DZ28" s="61">
        <v>324500</v>
      </c>
      <c r="EA28" s="61">
        <v>242603</v>
      </c>
      <c r="EB28" s="61">
        <v>278554</v>
      </c>
      <c r="EC28" s="61"/>
      <c r="ED28" s="61">
        <v>588119</v>
      </c>
      <c r="EE28" s="61">
        <v>249609</v>
      </c>
      <c r="EF28" s="61">
        <v>371535</v>
      </c>
      <c r="EG28" s="61">
        <v>321024</v>
      </c>
      <c r="EH28" s="61">
        <v>414327</v>
      </c>
      <c r="EI28" s="61">
        <v>397097</v>
      </c>
      <c r="EJ28" s="61">
        <v>343348</v>
      </c>
      <c r="EK28" s="61">
        <v>449379</v>
      </c>
      <c r="EL28" s="61">
        <v>320129</v>
      </c>
      <c r="EM28" s="61">
        <v>297133</v>
      </c>
      <c r="EN28" s="61">
        <v>137366</v>
      </c>
      <c r="EO28" s="61">
        <v>384900</v>
      </c>
      <c r="EP28" s="61">
        <v>264310</v>
      </c>
      <c r="EQ28" s="61">
        <v>336284.67</v>
      </c>
      <c r="ER28" s="61"/>
      <c r="ES28" s="61">
        <v>802236</v>
      </c>
      <c r="ET28" s="61">
        <v>545113</v>
      </c>
      <c r="EU28" s="61">
        <v>729274</v>
      </c>
      <c r="EV28" s="61">
        <v>184753</v>
      </c>
      <c r="EW28" s="61">
        <v>513277.00000000006</v>
      </c>
      <c r="EX28" s="61">
        <v>416268</v>
      </c>
      <c r="EY28" s="61">
        <v>514909.99999999994</v>
      </c>
      <c r="EZ28" s="61">
        <v>687415</v>
      </c>
      <c r="FA28" s="61">
        <v>514856</v>
      </c>
      <c r="FB28" s="61">
        <v>771701</v>
      </c>
      <c r="FC28" s="61">
        <v>553377</v>
      </c>
      <c r="FD28" s="61">
        <v>314461</v>
      </c>
      <c r="FE28" s="61">
        <v>272520</v>
      </c>
      <c r="FF28" s="61">
        <v>572120</v>
      </c>
      <c r="FG28" s="61"/>
      <c r="FH28" s="168">
        <v>391628</v>
      </c>
      <c r="FI28" s="168">
        <v>622939</v>
      </c>
      <c r="FJ28" s="61">
        <v>879371</v>
      </c>
      <c r="FK28" s="61">
        <v>677928</v>
      </c>
      <c r="FL28" s="61">
        <v>714757</v>
      </c>
      <c r="FM28" s="61">
        <v>1296130</v>
      </c>
      <c r="FN28" s="61">
        <v>542243</v>
      </c>
      <c r="FO28" s="61">
        <v>477386</v>
      </c>
      <c r="FP28" s="61">
        <v>641154</v>
      </c>
      <c r="FQ28" s="61">
        <v>614883</v>
      </c>
      <c r="FR28" s="61">
        <v>541689</v>
      </c>
      <c r="FS28" s="61">
        <v>1015422</v>
      </c>
      <c r="FT28" s="61">
        <v>604760</v>
      </c>
      <c r="FU28" s="61">
        <v>507792</v>
      </c>
      <c r="FV28" s="61"/>
      <c r="FW28" s="61">
        <v>587875</v>
      </c>
      <c r="FX28" s="61">
        <v>622374</v>
      </c>
      <c r="FY28" s="61">
        <v>954371</v>
      </c>
      <c r="FZ28" s="61">
        <v>1003285</v>
      </c>
      <c r="GA28" s="61">
        <v>513888.00000000006</v>
      </c>
      <c r="GB28" s="61">
        <v>711639</v>
      </c>
      <c r="GC28" s="61">
        <v>492847</v>
      </c>
      <c r="GD28" s="61">
        <v>1180348</v>
      </c>
      <c r="GE28" s="61">
        <v>1074486</v>
      </c>
      <c r="GF28" s="61">
        <v>980166</v>
      </c>
      <c r="GG28" s="61">
        <v>889377</v>
      </c>
      <c r="GH28" s="61">
        <v>1061995.6669999999</v>
      </c>
      <c r="GI28" s="61">
        <v>408250</v>
      </c>
      <c r="GJ28" s="61">
        <v>934264</v>
      </c>
      <c r="GK28" s="61"/>
      <c r="GL28" s="275">
        <f>AVERAGE(F28:T28)</f>
        <v>873270.93333333335</v>
      </c>
      <c r="GM28" s="275">
        <f>AVERAGE(V28:AJ28)</f>
        <v>666360.33333333337</v>
      </c>
      <c r="GN28" s="275">
        <f>AVERAGE(AL28:AZ28)</f>
        <v>644653.6</v>
      </c>
      <c r="GO28" s="275">
        <f>AVERAGE(BB28:BP28)</f>
        <v>386964.46666666667</v>
      </c>
      <c r="GP28" s="275">
        <f>AVERAGE(BR28:CF28)</f>
        <v>403019.06666666665</v>
      </c>
      <c r="GQ28" s="275">
        <f>AVERAGE(CH28:CV28)</f>
        <v>313340.59999999998</v>
      </c>
      <c r="GR28" s="275">
        <f>AVERAGE(CX28:DL28)</f>
        <v>335952.98866666667</v>
      </c>
      <c r="GS28" s="275">
        <f>AVERAGE(DN28:EB28)</f>
        <v>345723.73333333334</v>
      </c>
      <c r="GT28" s="275">
        <f>AVERAGE(ED28:EQ28)</f>
        <v>348182.90499999997</v>
      </c>
      <c r="GU28" s="275">
        <f>AVERAGE(ES28:FF28)</f>
        <v>528020.07142857148</v>
      </c>
      <c r="GV28" s="275">
        <f>AVERAGE(FH28:FU28)</f>
        <v>680577.28571428568</v>
      </c>
      <c r="GW28" s="275">
        <f>AVERAGE(FW28:GJ28)</f>
        <v>815368.97621428571</v>
      </c>
      <c r="GX28" t="s">
        <v>846</v>
      </c>
      <c r="GY28" s="3" t="s">
        <v>284</v>
      </c>
    </row>
    <row r="29" spans="2:207">
      <c r="B29" t="s">
        <v>2610</v>
      </c>
      <c r="E29" s="61"/>
      <c r="F29" s="61">
        <v>1045174</v>
      </c>
      <c r="G29" s="61">
        <v>1038574</v>
      </c>
      <c r="H29" s="61">
        <v>484627</v>
      </c>
      <c r="I29" s="61">
        <v>1187040</v>
      </c>
      <c r="J29" s="61">
        <v>1241448</v>
      </c>
      <c r="K29" s="61">
        <v>796346</v>
      </c>
      <c r="L29" s="61">
        <v>430489</v>
      </c>
      <c r="M29" s="61">
        <v>623005</v>
      </c>
      <c r="N29" s="61">
        <v>914035</v>
      </c>
      <c r="O29" s="61">
        <v>636863</v>
      </c>
      <c r="P29" s="61">
        <v>1125427</v>
      </c>
      <c r="Q29" s="61">
        <v>1001588</v>
      </c>
      <c r="R29" s="61">
        <v>1154295</v>
      </c>
      <c r="S29" s="61">
        <v>423300</v>
      </c>
      <c r="T29" s="61">
        <v>996853</v>
      </c>
      <c r="U29" s="61"/>
      <c r="V29" s="61">
        <v>708827</v>
      </c>
      <c r="W29" s="61">
        <v>502254</v>
      </c>
      <c r="X29" s="61">
        <v>571531</v>
      </c>
      <c r="Y29" s="61">
        <v>856511</v>
      </c>
      <c r="Z29" s="61">
        <v>700469</v>
      </c>
      <c r="AA29" s="61">
        <v>413320</v>
      </c>
      <c r="AB29" s="61">
        <v>715370</v>
      </c>
      <c r="AC29" s="61">
        <v>526724</v>
      </c>
      <c r="AD29" s="61">
        <v>431259</v>
      </c>
      <c r="AE29" s="61">
        <v>580655</v>
      </c>
      <c r="AF29" s="61">
        <v>1168482</v>
      </c>
      <c r="AG29" s="61">
        <v>607516</v>
      </c>
      <c r="AH29" s="61">
        <v>871060</v>
      </c>
      <c r="AI29" s="61">
        <v>741180</v>
      </c>
      <c r="AJ29" s="61">
        <v>600247</v>
      </c>
      <c r="AK29" s="61"/>
      <c r="AL29" s="61">
        <v>652257</v>
      </c>
      <c r="AM29" s="61">
        <v>534399</v>
      </c>
      <c r="AN29" s="61">
        <v>824043</v>
      </c>
      <c r="AO29" s="61">
        <v>736700</v>
      </c>
      <c r="AP29" s="61">
        <v>1135335</v>
      </c>
      <c r="AQ29" s="61">
        <v>731474</v>
      </c>
      <c r="AR29" s="61">
        <v>730198</v>
      </c>
      <c r="AS29" s="61">
        <v>371994</v>
      </c>
      <c r="AT29" s="61">
        <v>301162</v>
      </c>
      <c r="AU29" s="61">
        <v>404919</v>
      </c>
      <c r="AV29" s="61">
        <v>468748</v>
      </c>
      <c r="AW29" s="61">
        <v>716751</v>
      </c>
      <c r="AX29" s="61">
        <v>634098</v>
      </c>
      <c r="AY29" s="61">
        <v>756780</v>
      </c>
      <c r="AZ29" s="61">
        <v>670946</v>
      </c>
      <c r="BA29" s="61"/>
      <c r="BB29" s="61">
        <v>467310</v>
      </c>
      <c r="BC29" s="61">
        <v>386038</v>
      </c>
      <c r="BD29" s="61">
        <v>552844</v>
      </c>
      <c r="BE29" s="61">
        <v>207721</v>
      </c>
      <c r="BF29" s="61">
        <v>414485</v>
      </c>
      <c r="BG29" s="61">
        <v>286767</v>
      </c>
      <c r="BH29" s="61">
        <v>384561</v>
      </c>
      <c r="BI29" s="61">
        <v>248240</v>
      </c>
      <c r="BJ29" s="61">
        <v>623596</v>
      </c>
      <c r="BK29" s="61">
        <v>478878</v>
      </c>
      <c r="BL29" s="61">
        <v>305161</v>
      </c>
      <c r="BM29" s="61">
        <v>363203</v>
      </c>
      <c r="BN29" s="61">
        <v>357528</v>
      </c>
      <c r="BO29" s="61">
        <v>247910</v>
      </c>
      <c r="BP29" s="61">
        <v>480225</v>
      </c>
      <c r="BQ29" s="61"/>
      <c r="BR29" s="61">
        <v>293581</v>
      </c>
      <c r="BS29" s="61">
        <v>467902</v>
      </c>
      <c r="BT29" s="61">
        <v>626716</v>
      </c>
      <c r="BU29" s="61">
        <v>630996</v>
      </c>
      <c r="BV29" s="61">
        <v>251675</v>
      </c>
      <c r="BW29" s="61">
        <v>442008</v>
      </c>
      <c r="BX29" s="61">
        <v>357288</v>
      </c>
      <c r="BY29" s="61">
        <v>435943</v>
      </c>
      <c r="BZ29" s="61">
        <v>313549</v>
      </c>
      <c r="CA29" s="61">
        <v>421582</v>
      </c>
      <c r="CB29" s="61">
        <v>488314</v>
      </c>
      <c r="CC29" s="61">
        <v>478410</v>
      </c>
      <c r="CD29" s="61">
        <v>340201</v>
      </c>
      <c r="CE29" s="61">
        <v>277508</v>
      </c>
      <c r="CF29" s="61">
        <v>219613</v>
      </c>
      <c r="CG29" s="61"/>
      <c r="CH29" s="61">
        <v>423885</v>
      </c>
      <c r="CI29" s="61">
        <v>265524</v>
      </c>
      <c r="CJ29" s="61">
        <v>182766</v>
      </c>
      <c r="CK29" s="61">
        <v>324527</v>
      </c>
      <c r="CL29" s="61">
        <v>291397</v>
      </c>
      <c r="CM29" s="61">
        <v>237994</v>
      </c>
      <c r="CN29" s="61">
        <v>248115</v>
      </c>
      <c r="CO29" s="61">
        <v>464948</v>
      </c>
      <c r="CP29" s="61">
        <v>421062</v>
      </c>
      <c r="CQ29" s="61">
        <v>384177</v>
      </c>
      <c r="CR29" s="61">
        <v>161117</v>
      </c>
      <c r="CS29" s="61">
        <v>418590</v>
      </c>
      <c r="CT29" s="61">
        <v>254821</v>
      </c>
      <c r="CU29" s="61">
        <v>410820</v>
      </c>
      <c r="CV29" s="61">
        <v>210366</v>
      </c>
      <c r="CW29" s="61"/>
      <c r="CX29" s="61">
        <v>379573</v>
      </c>
      <c r="CY29" s="61">
        <v>387513</v>
      </c>
      <c r="CZ29" s="61">
        <v>222547</v>
      </c>
      <c r="DA29" s="61">
        <v>589503</v>
      </c>
      <c r="DB29" s="61">
        <v>418840</v>
      </c>
      <c r="DC29" s="61">
        <v>434543</v>
      </c>
      <c r="DD29" s="61">
        <v>240474</v>
      </c>
      <c r="DE29" s="61">
        <v>331942</v>
      </c>
      <c r="DF29" s="61">
        <v>351345</v>
      </c>
      <c r="DG29" s="61">
        <v>217066</v>
      </c>
      <c r="DH29" s="61">
        <v>225903</v>
      </c>
      <c r="DI29" s="61">
        <v>451331</v>
      </c>
      <c r="DJ29" s="61">
        <v>280130</v>
      </c>
      <c r="DK29" s="61">
        <v>341302.83</v>
      </c>
      <c r="DL29" s="61">
        <v>167282</v>
      </c>
      <c r="DM29" s="61"/>
      <c r="DN29" s="61">
        <v>422651</v>
      </c>
      <c r="DO29" s="61">
        <v>279632</v>
      </c>
      <c r="DP29" s="61">
        <v>545010</v>
      </c>
      <c r="DQ29" s="61">
        <v>391776</v>
      </c>
      <c r="DR29" s="61">
        <v>411129</v>
      </c>
      <c r="DS29" s="61">
        <v>296004</v>
      </c>
      <c r="DT29" s="61">
        <v>445639</v>
      </c>
      <c r="DU29" s="61">
        <v>304002</v>
      </c>
      <c r="DV29" s="61">
        <v>369351</v>
      </c>
      <c r="DW29" s="61">
        <v>239573</v>
      </c>
      <c r="DX29" s="61">
        <v>361064</v>
      </c>
      <c r="DY29" s="61">
        <v>274368</v>
      </c>
      <c r="DZ29" s="61">
        <v>324500</v>
      </c>
      <c r="EA29" s="61">
        <v>242603</v>
      </c>
      <c r="EB29" s="61">
        <v>278554</v>
      </c>
      <c r="EC29" s="61"/>
      <c r="ED29" s="61">
        <v>588119</v>
      </c>
      <c r="EE29" s="61">
        <v>249609</v>
      </c>
      <c r="EF29" s="61">
        <v>371535</v>
      </c>
      <c r="EG29" s="61">
        <v>321024</v>
      </c>
      <c r="EH29" s="61">
        <v>414327</v>
      </c>
      <c r="EI29" s="61">
        <v>397097</v>
      </c>
      <c r="EJ29" s="61">
        <v>343348</v>
      </c>
      <c r="EK29" s="61">
        <v>449379</v>
      </c>
      <c r="EL29" s="61">
        <v>320129</v>
      </c>
      <c r="EM29" s="61">
        <v>297133</v>
      </c>
      <c r="EN29" s="61">
        <v>137366</v>
      </c>
      <c r="EO29" s="61">
        <v>384900</v>
      </c>
      <c r="EP29" s="61">
        <v>264310</v>
      </c>
      <c r="EQ29" s="61">
        <v>336284.67</v>
      </c>
      <c r="ER29" s="61"/>
      <c r="ES29" s="61">
        <v>802236</v>
      </c>
      <c r="ET29" s="61">
        <v>545113</v>
      </c>
      <c r="EU29" s="61">
        <v>729274</v>
      </c>
      <c r="EV29" s="61">
        <v>184753</v>
      </c>
      <c r="EW29" s="61">
        <v>513277.00000000006</v>
      </c>
      <c r="EX29" s="61">
        <v>416268</v>
      </c>
      <c r="EY29" s="61">
        <v>514909.99999999994</v>
      </c>
      <c r="EZ29" s="61">
        <v>687415</v>
      </c>
      <c r="FA29" s="61">
        <v>514856</v>
      </c>
      <c r="FB29" s="61">
        <v>771701</v>
      </c>
      <c r="FC29" s="61">
        <v>553377</v>
      </c>
      <c r="FD29" s="61">
        <v>314461</v>
      </c>
      <c r="FE29" s="61">
        <v>272520</v>
      </c>
      <c r="FF29" s="61">
        <v>572120</v>
      </c>
      <c r="FG29" s="61"/>
      <c r="FH29" s="168">
        <v>391628</v>
      </c>
      <c r="FI29" s="168">
        <v>622939</v>
      </c>
      <c r="FJ29" s="61">
        <v>879371</v>
      </c>
      <c r="FK29" s="61">
        <v>677928</v>
      </c>
      <c r="FL29" s="61">
        <v>714757</v>
      </c>
      <c r="FM29" s="61">
        <v>1296130</v>
      </c>
      <c r="FN29" s="61">
        <v>542243</v>
      </c>
      <c r="FO29" s="61">
        <v>477386</v>
      </c>
      <c r="FP29" s="61">
        <v>641154</v>
      </c>
      <c r="FQ29" s="61">
        <v>614883</v>
      </c>
      <c r="FR29" s="61">
        <v>541689</v>
      </c>
      <c r="FS29" s="61">
        <v>1015422</v>
      </c>
      <c r="FT29" s="61">
        <v>604760</v>
      </c>
      <c r="FU29" s="61">
        <v>507792</v>
      </c>
      <c r="FV29" s="61"/>
      <c r="FW29" s="61">
        <v>587875</v>
      </c>
      <c r="FX29" s="61">
        <v>622374</v>
      </c>
      <c r="FY29" s="61">
        <v>954371</v>
      </c>
      <c r="FZ29" s="61">
        <v>1003285</v>
      </c>
      <c r="GA29" s="61">
        <v>513888.00000000006</v>
      </c>
      <c r="GB29" s="61">
        <v>711639</v>
      </c>
      <c r="GC29" s="61">
        <v>492847</v>
      </c>
      <c r="GD29" s="61">
        <v>1180348</v>
      </c>
      <c r="GE29" s="61">
        <v>1074486</v>
      </c>
      <c r="GF29" s="61">
        <v>980166</v>
      </c>
      <c r="GG29" s="61">
        <v>889377</v>
      </c>
      <c r="GH29" s="61">
        <v>1061995.6669999999</v>
      </c>
      <c r="GI29" s="61">
        <v>408250</v>
      </c>
      <c r="GJ29" s="61">
        <v>934264</v>
      </c>
      <c r="GK29" s="61"/>
    </row>
    <row r="30" spans="2:207">
      <c r="B30" t="s">
        <v>804</v>
      </c>
      <c r="C30" t="s">
        <v>786</v>
      </c>
      <c r="D30" s="3" t="s">
        <v>285</v>
      </c>
      <c r="E30" s="61"/>
      <c r="F30" s="61"/>
      <c r="G30" s="61">
        <v>3151316</v>
      </c>
      <c r="H30" s="61">
        <v>1299960</v>
      </c>
      <c r="I30" s="61">
        <v>3763661</v>
      </c>
      <c r="J30" s="61">
        <v>3572955</v>
      </c>
      <c r="K30" s="61">
        <v>2029142</v>
      </c>
      <c r="L30" s="61">
        <v>1235521</v>
      </c>
      <c r="M30" s="61">
        <v>1791620</v>
      </c>
      <c r="N30" s="61">
        <v>2573826</v>
      </c>
      <c r="O30" s="61">
        <v>1933188</v>
      </c>
      <c r="P30" s="61">
        <v>2804351</v>
      </c>
      <c r="Q30" s="61">
        <v>2912197</v>
      </c>
      <c r="R30" s="61">
        <v>3134376</v>
      </c>
      <c r="S30" s="61">
        <v>1193210</v>
      </c>
      <c r="T30" s="61">
        <v>2494262</v>
      </c>
      <c r="U30" s="61"/>
      <c r="V30" s="61"/>
      <c r="W30" s="61">
        <v>2159772</v>
      </c>
      <c r="X30" s="61">
        <v>1738357</v>
      </c>
      <c r="Y30" s="61">
        <v>2514976</v>
      </c>
      <c r="Z30" s="61">
        <v>2122227</v>
      </c>
      <c r="AA30" s="61">
        <v>1253416</v>
      </c>
      <c r="AB30" s="61">
        <v>1835294</v>
      </c>
      <c r="AC30" s="61">
        <v>1694658</v>
      </c>
      <c r="AD30" s="61">
        <v>1384591</v>
      </c>
      <c r="AE30" s="61">
        <v>1694780</v>
      </c>
      <c r="AF30" s="61">
        <v>3121096</v>
      </c>
      <c r="AG30" s="61">
        <v>1608360</v>
      </c>
      <c r="AH30" s="61">
        <v>2521746</v>
      </c>
      <c r="AI30" s="61">
        <v>2141800</v>
      </c>
      <c r="AJ30" s="61">
        <v>1470942</v>
      </c>
      <c r="AK30" s="61"/>
      <c r="AL30" s="61"/>
      <c r="AM30" s="61">
        <v>1477575</v>
      </c>
      <c r="AN30" s="61">
        <v>2579546</v>
      </c>
      <c r="AO30" s="61">
        <v>2263104</v>
      </c>
      <c r="AP30" s="61">
        <v>3349890</v>
      </c>
      <c r="AQ30" s="61">
        <v>2402650</v>
      </c>
      <c r="AR30" s="61">
        <v>1977276</v>
      </c>
      <c r="AS30" s="61">
        <v>1180348</v>
      </c>
      <c r="AT30" s="61">
        <v>890465</v>
      </c>
      <c r="AU30" s="61">
        <v>1443936</v>
      </c>
      <c r="AV30" s="61">
        <v>1342092</v>
      </c>
      <c r="AW30" s="61">
        <v>2090833.9999999998</v>
      </c>
      <c r="AX30" s="61">
        <v>1841498</v>
      </c>
      <c r="AY30" s="61">
        <v>2446330</v>
      </c>
      <c r="AZ30" s="61">
        <v>1530964</v>
      </c>
      <c r="BA30" s="61"/>
      <c r="BB30" s="61"/>
      <c r="BC30" s="61">
        <v>1190829</v>
      </c>
      <c r="BD30" s="61">
        <v>1890847</v>
      </c>
      <c r="BE30" s="61">
        <v>419311</v>
      </c>
      <c r="BF30" s="61">
        <v>1188797</v>
      </c>
      <c r="BG30" s="61">
        <v>706028</v>
      </c>
      <c r="BH30" s="61">
        <v>1039828</v>
      </c>
      <c r="BI30" s="61">
        <v>712583</v>
      </c>
      <c r="BJ30" s="61">
        <v>1708992</v>
      </c>
      <c r="BK30" s="61">
        <v>1464301</v>
      </c>
      <c r="BL30" s="61">
        <v>832915</v>
      </c>
      <c r="BM30" s="61">
        <v>1120370</v>
      </c>
      <c r="BN30" s="61">
        <v>1260611</v>
      </c>
      <c r="BO30" s="61">
        <v>746260</v>
      </c>
      <c r="BP30" s="61">
        <v>1100000</v>
      </c>
      <c r="BQ30" s="61"/>
      <c r="BR30" s="61"/>
      <c r="BS30" s="61">
        <v>1433066</v>
      </c>
      <c r="BT30" s="61">
        <v>2300852</v>
      </c>
      <c r="BU30" s="61">
        <v>2028133</v>
      </c>
      <c r="BV30" s="61">
        <v>608339</v>
      </c>
      <c r="BW30" s="61">
        <v>1362117</v>
      </c>
      <c r="BX30" s="61">
        <v>962969</v>
      </c>
      <c r="BY30" s="61">
        <v>1532843</v>
      </c>
      <c r="BZ30" s="61">
        <v>965377</v>
      </c>
      <c r="CA30" s="61">
        <v>1502620</v>
      </c>
      <c r="CB30" s="61">
        <v>1538421</v>
      </c>
      <c r="CC30" s="61">
        <v>1517948</v>
      </c>
      <c r="CD30" s="61">
        <v>906594</v>
      </c>
      <c r="CE30" s="61">
        <v>747046</v>
      </c>
      <c r="CF30" s="61">
        <v>457949</v>
      </c>
      <c r="CG30" s="61"/>
      <c r="CH30" s="61"/>
      <c r="CI30" s="61">
        <v>879126</v>
      </c>
      <c r="CJ30" s="61">
        <v>566412</v>
      </c>
      <c r="CK30" s="61">
        <v>970588</v>
      </c>
      <c r="CL30" s="61">
        <v>1040365</v>
      </c>
      <c r="CM30" s="61">
        <v>659453</v>
      </c>
      <c r="CN30" s="61">
        <v>670839</v>
      </c>
      <c r="CO30" s="61">
        <v>1533822</v>
      </c>
      <c r="CP30" s="61">
        <v>1369914</v>
      </c>
      <c r="CQ30" s="61">
        <v>1086397</v>
      </c>
      <c r="CR30" s="61">
        <v>481000</v>
      </c>
      <c r="CS30" s="61">
        <v>1206744</v>
      </c>
      <c r="CT30" s="61">
        <v>835095</v>
      </c>
      <c r="CU30" s="61">
        <v>1401780</v>
      </c>
      <c r="CV30" s="61">
        <v>464445</v>
      </c>
      <c r="CW30" s="61"/>
      <c r="CX30" s="61"/>
      <c r="CY30" s="61">
        <v>1419404</v>
      </c>
      <c r="CZ30" s="61">
        <v>628703</v>
      </c>
      <c r="DA30" s="61">
        <v>1996603</v>
      </c>
      <c r="DB30" s="61">
        <v>1338480</v>
      </c>
      <c r="DC30" s="61">
        <v>1532409</v>
      </c>
      <c r="DD30" s="61">
        <v>715900</v>
      </c>
      <c r="DE30" s="61">
        <v>1038332.0000000001</v>
      </c>
      <c r="DF30" s="61">
        <v>1056618</v>
      </c>
      <c r="DG30" s="61">
        <v>670566</v>
      </c>
      <c r="DH30" s="61">
        <v>739009</v>
      </c>
      <c r="DI30" s="61">
        <v>1563361</v>
      </c>
      <c r="DJ30" s="61">
        <v>950990</v>
      </c>
      <c r="DK30" s="61">
        <v>1069742.33</v>
      </c>
      <c r="DL30" s="61">
        <v>375189</v>
      </c>
      <c r="DM30" s="61"/>
      <c r="DN30" s="61"/>
      <c r="DO30" s="61">
        <v>1034573</v>
      </c>
      <c r="DP30" s="61">
        <v>1910102</v>
      </c>
      <c r="DQ30" s="61">
        <v>1118628</v>
      </c>
      <c r="DR30" s="61">
        <v>1352405</v>
      </c>
      <c r="DS30" s="61">
        <v>995180</v>
      </c>
      <c r="DT30" s="61">
        <v>1400832</v>
      </c>
      <c r="DU30" s="61">
        <v>1026272.9999999999</v>
      </c>
      <c r="DV30" s="61">
        <v>1066381</v>
      </c>
      <c r="DW30" s="61">
        <v>808006</v>
      </c>
      <c r="DX30" s="61">
        <v>1210974</v>
      </c>
      <c r="DY30" s="61">
        <v>732325</v>
      </c>
      <c r="DZ30" s="61">
        <v>1032810</v>
      </c>
      <c r="EA30" s="61">
        <v>760116</v>
      </c>
      <c r="EB30" s="61">
        <v>728134</v>
      </c>
      <c r="EC30" s="61"/>
      <c r="ED30" s="61"/>
      <c r="EE30" s="61">
        <v>814974</v>
      </c>
      <c r="EF30" s="61">
        <v>1057874</v>
      </c>
      <c r="EG30" s="61">
        <v>902765</v>
      </c>
      <c r="EH30" s="61">
        <v>1116304</v>
      </c>
      <c r="EI30" s="61">
        <v>1048209.0000000001</v>
      </c>
      <c r="EJ30" s="61">
        <v>1151609</v>
      </c>
      <c r="EK30" s="61">
        <v>1507585</v>
      </c>
      <c r="EL30" s="61">
        <v>993483</v>
      </c>
      <c r="EM30" s="61">
        <v>989186</v>
      </c>
      <c r="EN30" s="61">
        <v>338473</v>
      </c>
      <c r="EO30" s="61">
        <v>1023106</v>
      </c>
      <c r="EP30" s="61">
        <v>767160</v>
      </c>
      <c r="EQ30" s="61">
        <v>968238</v>
      </c>
      <c r="ER30" s="61"/>
      <c r="ES30" s="61"/>
      <c r="ET30" s="61">
        <v>1448051</v>
      </c>
      <c r="EU30" s="61">
        <v>1952392</v>
      </c>
      <c r="EV30" s="61">
        <v>481819</v>
      </c>
      <c r="EW30" s="61">
        <v>1449925</v>
      </c>
      <c r="EX30" s="61">
        <v>1294342</v>
      </c>
      <c r="EY30" s="61">
        <v>1295063</v>
      </c>
      <c r="EZ30" s="61">
        <v>2278659</v>
      </c>
      <c r="FA30" s="61">
        <v>1393862</v>
      </c>
      <c r="FB30" s="61">
        <v>2099412</v>
      </c>
      <c r="FC30" s="61">
        <v>1443306</v>
      </c>
      <c r="FD30" s="61">
        <v>830228</v>
      </c>
      <c r="FE30" s="61">
        <v>806770</v>
      </c>
      <c r="FF30" s="61">
        <v>1505311</v>
      </c>
      <c r="FG30" s="61"/>
      <c r="FH30" s="168"/>
      <c r="FI30" s="168">
        <v>1681383</v>
      </c>
      <c r="FJ30" s="61">
        <v>2352006</v>
      </c>
      <c r="FK30" s="61">
        <v>2005510</v>
      </c>
      <c r="FL30" s="61">
        <v>1941539</v>
      </c>
      <c r="FM30" s="61">
        <v>3326958</v>
      </c>
      <c r="FN30" s="61">
        <v>1855086</v>
      </c>
      <c r="FO30" s="61">
        <v>1248467</v>
      </c>
      <c r="FP30" s="61">
        <v>1746113</v>
      </c>
      <c r="FQ30" s="61">
        <v>1801151</v>
      </c>
      <c r="FR30" s="61">
        <v>1300682</v>
      </c>
      <c r="FS30" s="61">
        <v>2895446</v>
      </c>
      <c r="FT30" s="61">
        <v>1604870</v>
      </c>
      <c r="FU30" s="61">
        <v>1522162</v>
      </c>
      <c r="FV30" s="61"/>
      <c r="FW30" s="61"/>
      <c r="FX30" s="61">
        <v>1936101</v>
      </c>
      <c r="FY30" s="61">
        <v>2638869</v>
      </c>
      <c r="FZ30" s="61">
        <v>2919968</v>
      </c>
      <c r="GA30" s="61">
        <v>1744561</v>
      </c>
      <c r="GB30" s="61">
        <v>1902068</v>
      </c>
      <c r="GC30" s="61">
        <v>1062682</v>
      </c>
      <c r="GD30" s="61">
        <v>3903297</v>
      </c>
      <c r="GE30" s="61">
        <v>2958815</v>
      </c>
      <c r="GF30" s="61">
        <v>2545658</v>
      </c>
      <c r="GG30" s="61">
        <v>2733233</v>
      </c>
      <c r="GH30" s="61">
        <v>2525426.8333330001</v>
      </c>
      <c r="GI30" s="61">
        <v>1032810</v>
      </c>
      <c r="GJ30" s="61">
        <v>2513630</v>
      </c>
      <c r="GK30" s="61"/>
      <c r="GL30" s="275">
        <f>AVERAGE(G30:T30)</f>
        <v>2420684.6428571427</v>
      </c>
      <c r="GM30" s="275">
        <f>AVERAGE(W30:AJ30)</f>
        <v>1947286.7857142857</v>
      </c>
      <c r="GN30" s="275">
        <f>AVERAGE(AM30:AZ30)</f>
        <v>1915464.857142857</v>
      </c>
      <c r="GO30" s="275">
        <f>AVERAGE(BC30:BP30)</f>
        <v>1098690.857142857</v>
      </c>
      <c r="GP30" s="275">
        <f>AVERAGE(BS30:CF30)</f>
        <v>1276019.5714285714</v>
      </c>
      <c r="GQ30" s="275">
        <f>AVERAGE(CI30:CV30)</f>
        <v>940427.14285714284</v>
      </c>
      <c r="GR30" s="275">
        <f>AVERAGE(CY30:DL30)</f>
        <v>1078236.1664285713</v>
      </c>
      <c r="GS30" s="275">
        <f>AVERAGE(DO30:EB30)</f>
        <v>1084052.7857142857</v>
      </c>
      <c r="GT30" s="275">
        <f>AVERAGE(EE30:EQ30)</f>
        <v>975305.07692307688</v>
      </c>
      <c r="GU30" s="275">
        <f>AVERAGE(ET30:FF30)</f>
        <v>1406087.6923076923</v>
      </c>
      <c r="GV30" s="275">
        <f>AVERAGE(FI30:FU30)</f>
        <v>1944721</v>
      </c>
      <c r="GW30" s="275">
        <f>AVERAGE(FX30:GJ30)</f>
        <v>2339778.3717948464</v>
      </c>
      <c r="GX30" t="s">
        <v>846</v>
      </c>
      <c r="GY30" s="3" t="s">
        <v>285</v>
      </c>
    </row>
    <row r="31" spans="2:207">
      <c r="B31" t="s">
        <v>2611</v>
      </c>
      <c r="E31" s="61"/>
      <c r="F31" s="61"/>
      <c r="G31" s="61">
        <v>3151316</v>
      </c>
      <c r="H31" s="61">
        <v>1299960</v>
      </c>
      <c r="I31" s="61">
        <v>3763661</v>
      </c>
      <c r="J31" s="61">
        <v>3572955</v>
      </c>
      <c r="K31" s="61">
        <v>2029142</v>
      </c>
      <c r="L31" s="61">
        <v>1235521</v>
      </c>
      <c r="M31" s="61">
        <v>1791620</v>
      </c>
      <c r="N31" s="61">
        <v>2573826</v>
      </c>
      <c r="O31" s="61">
        <v>1933188</v>
      </c>
      <c r="P31" s="61">
        <v>2804351</v>
      </c>
      <c r="Q31" s="61">
        <v>2912197</v>
      </c>
      <c r="R31" s="61">
        <v>3134376</v>
      </c>
      <c r="S31" s="61">
        <v>1193210</v>
      </c>
      <c r="T31" s="61">
        <v>2494262</v>
      </c>
      <c r="U31" s="61"/>
      <c r="V31" s="61"/>
      <c r="W31" s="61">
        <v>2159772</v>
      </c>
      <c r="X31" s="61">
        <v>1738357</v>
      </c>
      <c r="Y31" s="61">
        <v>2514976</v>
      </c>
      <c r="Z31" s="61">
        <v>2122227</v>
      </c>
      <c r="AA31" s="61">
        <v>1253416</v>
      </c>
      <c r="AB31" s="61">
        <v>1835294</v>
      </c>
      <c r="AC31" s="61">
        <v>1694658</v>
      </c>
      <c r="AD31" s="61">
        <v>1384591</v>
      </c>
      <c r="AE31" s="61">
        <v>1694780</v>
      </c>
      <c r="AF31" s="61">
        <v>3121096</v>
      </c>
      <c r="AG31" s="61">
        <v>1608360</v>
      </c>
      <c r="AH31" s="61">
        <v>2521746</v>
      </c>
      <c r="AI31" s="61">
        <v>2141800</v>
      </c>
      <c r="AJ31" s="61">
        <v>1470942</v>
      </c>
      <c r="AK31" s="61"/>
      <c r="AL31" s="61"/>
      <c r="AM31" s="61">
        <v>1477575</v>
      </c>
      <c r="AN31" s="61">
        <v>2579546</v>
      </c>
      <c r="AO31" s="61">
        <v>2263104</v>
      </c>
      <c r="AP31" s="61">
        <v>3349890</v>
      </c>
      <c r="AQ31" s="61">
        <v>2402650</v>
      </c>
      <c r="AR31" s="61">
        <v>1977276</v>
      </c>
      <c r="AS31" s="61">
        <v>1180348</v>
      </c>
      <c r="AT31" s="61">
        <v>890465</v>
      </c>
      <c r="AU31" s="61">
        <v>1443936</v>
      </c>
      <c r="AV31" s="61">
        <v>1342092</v>
      </c>
      <c r="AW31" s="61">
        <v>2090833.9999999998</v>
      </c>
      <c r="AX31" s="61">
        <v>1841498</v>
      </c>
      <c r="AY31" s="61">
        <v>2446330</v>
      </c>
      <c r="AZ31" s="61">
        <v>1530964</v>
      </c>
      <c r="BA31" s="61"/>
      <c r="BB31" s="61"/>
      <c r="BC31" s="61">
        <v>1190829</v>
      </c>
      <c r="BD31" s="61">
        <v>1890847</v>
      </c>
      <c r="BE31" s="61">
        <v>419311</v>
      </c>
      <c r="BF31" s="61">
        <v>1188797</v>
      </c>
      <c r="BG31" s="61">
        <v>706028</v>
      </c>
      <c r="BH31" s="61">
        <v>1039828</v>
      </c>
      <c r="BI31" s="61">
        <v>712583</v>
      </c>
      <c r="BJ31" s="61">
        <v>1708992</v>
      </c>
      <c r="BK31" s="61">
        <v>1464301</v>
      </c>
      <c r="BL31" s="61">
        <v>832915</v>
      </c>
      <c r="BM31" s="61">
        <v>1120370</v>
      </c>
      <c r="BN31" s="61">
        <v>1260611</v>
      </c>
      <c r="BO31" s="61">
        <v>746260</v>
      </c>
      <c r="BP31" s="61">
        <v>1100000</v>
      </c>
      <c r="BQ31" s="61"/>
      <c r="BR31" s="61"/>
      <c r="BS31" s="61">
        <v>1433066</v>
      </c>
      <c r="BT31" s="61">
        <v>2300852</v>
      </c>
      <c r="BU31" s="61">
        <v>2028133</v>
      </c>
      <c r="BV31" s="61">
        <v>608339</v>
      </c>
      <c r="BW31" s="61">
        <v>1362117</v>
      </c>
      <c r="BX31" s="61">
        <v>962969</v>
      </c>
      <c r="BY31" s="61">
        <v>1532843</v>
      </c>
      <c r="BZ31" s="61">
        <v>965377</v>
      </c>
      <c r="CA31" s="61">
        <v>1502620</v>
      </c>
      <c r="CB31" s="61">
        <v>1538421</v>
      </c>
      <c r="CC31" s="61">
        <v>1517948</v>
      </c>
      <c r="CD31" s="61">
        <v>906594</v>
      </c>
      <c r="CE31" s="61">
        <v>747046</v>
      </c>
      <c r="CF31" s="61">
        <v>457949</v>
      </c>
      <c r="CG31" s="61"/>
      <c r="CH31" s="61"/>
      <c r="CI31" s="61">
        <v>879126</v>
      </c>
      <c r="CJ31" s="61">
        <v>566412</v>
      </c>
      <c r="CK31" s="61">
        <v>970588</v>
      </c>
      <c r="CL31" s="61">
        <v>1040365</v>
      </c>
      <c r="CM31" s="61">
        <v>659453</v>
      </c>
      <c r="CN31" s="61">
        <v>670839</v>
      </c>
      <c r="CO31" s="61">
        <v>1533822</v>
      </c>
      <c r="CP31" s="61">
        <v>1369914</v>
      </c>
      <c r="CQ31" s="61">
        <v>1086397</v>
      </c>
      <c r="CR31" s="61">
        <v>481000</v>
      </c>
      <c r="CS31" s="61">
        <v>1206744</v>
      </c>
      <c r="CT31" s="61">
        <v>835095</v>
      </c>
      <c r="CU31" s="61">
        <v>1401780</v>
      </c>
      <c r="CV31" s="61">
        <v>464445</v>
      </c>
      <c r="CW31" s="61"/>
      <c r="CX31" s="61"/>
      <c r="CY31" s="61">
        <v>1419404</v>
      </c>
      <c r="CZ31" s="61">
        <v>628703</v>
      </c>
      <c r="DA31" s="61">
        <v>1996603</v>
      </c>
      <c r="DB31" s="61">
        <v>1338480</v>
      </c>
      <c r="DC31" s="61">
        <v>1532409</v>
      </c>
      <c r="DD31" s="61">
        <v>715900</v>
      </c>
      <c r="DE31" s="61">
        <v>1038332.0000000001</v>
      </c>
      <c r="DF31" s="61">
        <v>1056618</v>
      </c>
      <c r="DG31" s="61">
        <v>670566</v>
      </c>
      <c r="DH31" s="61">
        <v>739009</v>
      </c>
      <c r="DI31" s="61">
        <v>1563361</v>
      </c>
      <c r="DJ31" s="61">
        <v>950990</v>
      </c>
      <c r="DK31" s="61">
        <v>1069742.33</v>
      </c>
      <c r="DL31" s="61">
        <v>375189</v>
      </c>
      <c r="DM31" s="61"/>
      <c r="DN31" s="61"/>
      <c r="DO31" s="61">
        <v>1034573</v>
      </c>
      <c r="DP31" s="61">
        <v>1910102</v>
      </c>
      <c r="DQ31" s="61">
        <v>1118628</v>
      </c>
      <c r="DR31" s="61">
        <v>1352405</v>
      </c>
      <c r="DS31" s="61">
        <v>995180</v>
      </c>
      <c r="DT31" s="61">
        <v>1400832</v>
      </c>
      <c r="DU31" s="61">
        <v>1026272.9999999999</v>
      </c>
      <c r="DV31" s="61">
        <v>1066381</v>
      </c>
      <c r="DW31" s="61">
        <v>808006</v>
      </c>
      <c r="DX31" s="61">
        <v>1210974</v>
      </c>
      <c r="DY31" s="61">
        <v>732325</v>
      </c>
      <c r="DZ31" s="61">
        <v>1032810</v>
      </c>
      <c r="EA31" s="61">
        <v>760116</v>
      </c>
      <c r="EB31" s="61">
        <v>728134</v>
      </c>
      <c r="EC31" s="61"/>
      <c r="ED31" s="61"/>
      <c r="EE31" s="61">
        <v>814974</v>
      </c>
      <c r="EF31" s="61">
        <v>1057874</v>
      </c>
      <c r="EG31" s="61">
        <v>902765</v>
      </c>
      <c r="EH31" s="61">
        <v>1116304</v>
      </c>
      <c r="EI31" s="61">
        <v>1048209.0000000001</v>
      </c>
      <c r="EJ31" s="61">
        <v>1151609</v>
      </c>
      <c r="EK31" s="61">
        <v>1507585</v>
      </c>
      <c r="EL31" s="61">
        <v>993483</v>
      </c>
      <c r="EM31" s="61">
        <v>989186</v>
      </c>
      <c r="EN31" s="61">
        <v>338473</v>
      </c>
      <c r="EO31" s="61">
        <v>1023106</v>
      </c>
      <c r="EP31" s="61">
        <v>767160</v>
      </c>
      <c r="EQ31" s="61">
        <v>968238</v>
      </c>
      <c r="ER31" s="61"/>
      <c r="ES31" s="61"/>
      <c r="ET31" s="61">
        <v>1448051</v>
      </c>
      <c r="EU31" s="61">
        <v>1952392</v>
      </c>
      <c r="EV31" s="61">
        <v>481819</v>
      </c>
      <c r="EW31" s="61">
        <v>1449925</v>
      </c>
      <c r="EX31" s="61">
        <v>1294342</v>
      </c>
      <c r="EY31" s="61">
        <v>1295063</v>
      </c>
      <c r="EZ31" s="61">
        <v>2278659</v>
      </c>
      <c r="FA31" s="61">
        <v>1393862</v>
      </c>
      <c r="FB31" s="61">
        <v>2099412</v>
      </c>
      <c r="FC31" s="61">
        <v>1443306</v>
      </c>
      <c r="FD31" s="61">
        <v>830228</v>
      </c>
      <c r="FE31" s="61">
        <v>806770</v>
      </c>
      <c r="FF31" s="61">
        <v>1505311</v>
      </c>
      <c r="FG31" s="61"/>
      <c r="FH31" s="168"/>
      <c r="FI31" s="168">
        <v>1681383</v>
      </c>
      <c r="FJ31" s="61">
        <v>2352006</v>
      </c>
      <c r="FK31" s="61">
        <v>2005510</v>
      </c>
      <c r="FL31" s="61">
        <v>1941539</v>
      </c>
      <c r="FM31" s="61">
        <v>3326958</v>
      </c>
      <c r="FN31" s="61">
        <v>1855086</v>
      </c>
      <c r="FO31" s="61">
        <v>1248467</v>
      </c>
      <c r="FP31" s="61">
        <v>1746113</v>
      </c>
      <c r="FQ31" s="61">
        <v>1801151</v>
      </c>
      <c r="FR31" s="61">
        <v>1300682</v>
      </c>
      <c r="FS31" s="61">
        <v>2895446</v>
      </c>
      <c r="FT31" s="61">
        <v>1604870</v>
      </c>
      <c r="FU31" s="61">
        <v>1522162</v>
      </c>
      <c r="FV31" s="61"/>
      <c r="FW31" s="61"/>
      <c r="FX31" s="61">
        <v>1936101</v>
      </c>
      <c r="FY31" s="61">
        <v>2638869</v>
      </c>
      <c r="FZ31" s="61">
        <v>2919968</v>
      </c>
      <c r="GA31" s="61">
        <v>1744561</v>
      </c>
      <c r="GB31" s="61">
        <v>1902068</v>
      </c>
      <c r="GC31" s="61">
        <v>1062682</v>
      </c>
      <c r="GD31" s="61">
        <v>3903297</v>
      </c>
      <c r="GE31" s="61">
        <v>2958815</v>
      </c>
      <c r="GF31" s="61">
        <v>2545658</v>
      </c>
      <c r="GG31" s="61">
        <v>2733233</v>
      </c>
      <c r="GH31" s="61">
        <v>2525426.8333330001</v>
      </c>
      <c r="GI31" s="61">
        <v>1032810</v>
      </c>
      <c r="GJ31" s="61">
        <v>2513630</v>
      </c>
      <c r="GK31" s="61"/>
    </row>
    <row r="32" spans="2:207">
      <c r="B32" t="s">
        <v>785</v>
      </c>
      <c r="C32" t="s">
        <v>786</v>
      </c>
      <c r="D32" s="3" t="s">
        <v>290</v>
      </c>
      <c r="E32" s="61">
        <v>0</v>
      </c>
      <c r="F32" s="61">
        <v>0</v>
      </c>
      <c r="G32" s="61">
        <v>0</v>
      </c>
      <c r="H32" s="61">
        <v>0</v>
      </c>
      <c r="I32" s="61">
        <v>1649362</v>
      </c>
      <c r="J32" s="61">
        <v>2778002</v>
      </c>
      <c r="K32" s="61">
        <v>1587329</v>
      </c>
      <c r="L32" s="61">
        <v>1023722</v>
      </c>
      <c r="M32" s="61">
        <v>1246453</v>
      </c>
      <c r="N32" s="61">
        <v>1836150</v>
      </c>
      <c r="O32" s="61">
        <v>1474148</v>
      </c>
      <c r="P32" s="61">
        <v>2455176</v>
      </c>
      <c r="Q32" s="61">
        <v>1684562</v>
      </c>
      <c r="R32" s="61">
        <v>3052634</v>
      </c>
      <c r="S32" s="61">
        <v>1400150</v>
      </c>
      <c r="T32" s="61">
        <v>2999839</v>
      </c>
      <c r="U32" s="61">
        <v>0</v>
      </c>
      <c r="V32" s="61">
        <v>0</v>
      </c>
      <c r="W32" s="61">
        <v>0</v>
      </c>
      <c r="X32" s="61">
        <v>0</v>
      </c>
      <c r="Y32" s="61">
        <v>2634041</v>
      </c>
      <c r="Z32" s="61">
        <v>1470573</v>
      </c>
      <c r="AA32" s="61">
        <v>1454386</v>
      </c>
      <c r="AB32" s="61">
        <v>2081018</v>
      </c>
      <c r="AC32" s="61">
        <v>841183</v>
      </c>
      <c r="AD32" s="61">
        <v>1212538</v>
      </c>
      <c r="AE32" s="61">
        <v>1636636</v>
      </c>
      <c r="AF32" s="61">
        <v>2666582</v>
      </c>
      <c r="AG32" s="61">
        <v>1492969</v>
      </c>
      <c r="AH32" s="61">
        <v>2321083</v>
      </c>
      <c r="AI32" s="61">
        <v>2620160</v>
      </c>
      <c r="AJ32" s="61">
        <v>1332901</v>
      </c>
      <c r="AK32" s="61">
        <v>0</v>
      </c>
      <c r="AL32" s="61">
        <v>0</v>
      </c>
      <c r="AM32" s="61">
        <v>0</v>
      </c>
      <c r="AN32" s="61">
        <v>0</v>
      </c>
      <c r="AO32" s="61">
        <v>2384239</v>
      </c>
      <c r="AP32" s="61">
        <v>3280768</v>
      </c>
      <c r="AQ32" s="61">
        <v>2268822</v>
      </c>
      <c r="AR32" s="61">
        <v>2240933</v>
      </c>
      <c r="AS32" s="61">
        <v>1270884</v>
      </c>
      <c r="AT32" s="61">
        <v>1670495</v>
      </c>
      <c r="AU32" s="61">
        <v>1762362</v>
      </c>
      <c r="AV32" s="61">
        <v>1686085</v>
      </c>
      <c r="AW32" s="61">
        <v>1803894</v>
      </c>
      <c r="AX32" s="61">
        <v>2226547</v>
      </c>
      <c r="AY32" s="61">
        <v>1796450</v>
      </c>
      <c r="AZ32" s="61">
        <v>2391194</v>
      </c>
      <c r="BA32" s="61">
        <v>0</v>
      </c>
      <c r="BB32" s="61">
        <v>0</v>
      </c>
      <c r="BC32" s="61">
        <v>0</v>
      </c>
      <c r="BD32" s="61">
        <v>0</v>
      </c>
      <c r="BE32" s="61">
        <v>705520</v>
      </c>
      <c r="BF32" s="61">
        <v>1859570</v>
      </c>
      <c r="BG32" s="61">
        <v>1686279</v>
      </c>
      <c r="BH32" s="61">
        <v>1079441</v>
      </c>
      <c r="BI32" s="61">
        <v>1100814</v>
      </c>
      <c r="BJ32" s="61">
        <v>2528917</v>
      </c>
      <c r="BK32" s="61">
        <v>1625295</v>
      </c>
      <c r="BL32" s="61">
        <v>1073363</v>
      </c>
      <c r="BM32" s="61">
        <v>1503635</v>
      </c>
      <c r="BN32" s="61">
        <v>1613645</v>
      </c>
      <c r="BO32" s="61">
        <v>1370690</v>
      </c>
      <c r="BP32" s="61">
        <v>1898629</v>
      </c>
      <c r="BQ32" s="61">
        <v>0</v>
      </c>
      <c r="BR32" s="61">
        <v>0</v>
      </c>
      <c r="BS32" s="61">
        <v>0</v>
      </c>
      <c r="BT32" s="61">
        <v>0</v>
      </c>
      <c r="BU32" s="61">
        <v>2253260</v>
      </c>
      <c r="BV32" s="61">
        <v>1136952</v>
      </c>
      <c r="BW32" s="61">
        <v>1866885</v>
      </c>
      <c r="BX32" s="61">
        <v>1598236</v>
      </c>
      <c r="BY32" s="61">
        <v>1094881</v>
      </c>
      <c r="BZ32" s="61">
        <v>1458112</v>
      </c>
      <c r="CA32" s="61">
        <v>1484352</v>
      </c>
      <c r="CB32" s="61">
        <v>2423783</v>
      </c>
      <c r="CC32" s="61">
        <v>2203922</v>
      </c>
      <c r="CD32" s="61">
        <v>2151162</v>
      </c>
      <c r="CE32" s="61">
        <v>1419043</v>
      </c>
      <c r="CF32" s="61">
        <v>921955</v>
      </c>
      <c r="CG32" s="61">
        <v>0</v>
      </c>
      <c r="CH32" s="61">
        <v>0</v>
      </c>
      <c r="CI32" s="61">
        <v>0</v>
      </c>
      <c r="CJ32" s="61">
        <v>0</v>
      </c>
      <c r="CK32" s="61">
        <v>1329356</v>
      </c>
      <c r="CL32" s="61">
        <v>845434</v>
      </c>
      <c r="CM32" s="61">
        <v>1651154</v>
      </c>
      <c r="CN32" s="61">
        <v>1429432</v>
      </c>
      <c r="CO32" s="61">
        <v>853923</v>
      </c>
      <c r="CP32" s="61">
        <v>1444811</v>
      </c>
      <c r="CQ32" s="61">
        <v>1691946</v>
      </c>
      <c r="CR32" s="61">
        <v>1392093</v>
      </c>
      <c r="CS32" s="61">
        <v>759722</v>
      </c>
      <c r="CT32" s="61">
        <v>887301</v>
      </c>
      <c r="CU32" s="61">
        <v>1139480</v>
      </c>
      <c r="CV32" s="61">
        <v>706435</v>
      </c>
      <c r="CW32" s="61">
        <v>0</v>
      </c>
      <c r="CX32" s="61">
        <v>0</v>
      </c>
      <c r="CY32" s="61">
        <v>0</v>
      </c>
      <c r="CZ32" s="61">
        <v>0</v>
      </c>
      <c r="DA32" s="61">
        <v>1824658</v>
      </c>
      <c r="DB32" s="61">
        <v>819690</v>
      </c>
      <c r="DC32" s="61">
        <v>1391202</v>
      </c>
      <c r="DD32" s="61">
        <v>807261</v>
      </c>
      <c r="DE32" s="61">
        <v>1195920</v>
      </c>
      <c r="DF32" s="61">
        <v>1118668</v>
      </c>
      <c r="DG32" s="61">
        <v>774432</v>
      </c>
      <c r="DH32" s="61">
        <v>1093965</v>
      </c>
      <c r="DI32" s="61">
        <v>1166107</v>
      </c>
      <c r="DJ32" s="61">
        <v>780960</v>
      </c>
      <c r="DK32" s="61">
        <v>1015067.67</v>
      </c>
      <c r="DL32" s="61">
        <v>541721</v>
      </c>
      <c r="DM32" s="61">
        <v>0</v>
      </c>
      <c r="DN32" s="61">
        <v>0</v>
      </c>
      <c r="DO32" s="61">
        <v>0</v>
      </c>
      <c r="DP32" s="61">
        <v>0</v>
      </c>
      <c r="DQ32" s="61">
        <v>1249722</v>
      </c>
      <c r="DR32" s="61">
        <v>955545</v>
      </c>
      <c r="DS32" s="61">
        <v>834651</v>
      </c>
      <c r="DT32" s="61">
        <v>1204168</v>
      </c>
      <c r="DU32" s="61">
        <v>1254228</v>
      </c>
      <c r="DV32" s="61">
        <v>1004674</v>
      </c>
      <c r="DW32" s="61">
        <v>956532</v>
      </c>
      <c r="DX32" s="61">
        <v>898929</v>
      </c>
      <c r="DY32" s="61">
        <v>1346914</v>
      </c>
      <c r="DZ32" s="61">
        <v>744810</v>
      </c>
      <c r="EA32" s="61">
        <v>835253</v>
      </c>
      <c r="EB32" s="61">
        <v>836917</v>
      </c>
      <c r="EC32" s="61">
        <v>0</v>
      </c>
      <c r="ED32" s="61">
        <v>0</v>
      </c>
      <c r="EE32" s="61">
        <v>0</v>
      </c>
      <c r="EF32" s="61">
        <v>0</v>
      </c>
      <c r="EG32" s="61">
        <v>1570773</v>
      </c>
      <c r="EH32" s="61">
        <v>1202618</v>
      </c>
      <c r="EI32" s="61">
        <v>1057482</v>
      </c>
      <c r="EJ32" s="61">
        <v>1016623</v>
      </c>
      <c r="EK32" s="61">
        <v>1012225</v>
      </c>
      <c r="EL32" s="61">
        <v>1675837</v>
      </c>
      <c r="EM32" s="61">
        <v>1228987</v>
      </c>
      <c r="EN32" s="61">
        <v>815333</v>
      </c>
      <c r="EO32" s="61">
        <v>1374772</v>
      </c>
      <c r="EP32" s="61">
        <v>1159890</v>
      </c>
      <c r="EQ32" s="61">
        <v>1135635</v>
      </c>
      <c r="ER32" s="61">
        <v>0</v>
      </c>
      <c r="ES32" s="61">
        <v>0</v>
      </c>
      <c r="ET32" s="61">
        <v>0</v>
      </c>
      <c r="EU32" s="61">
        <v>0</v>
      </c>
      <c r="EV32" s="61">
        <v>1318866</v>
      </c>
      <c r="EW32" s="61">
        <v>1856090</v>
      </c>
      <c r="EX32" s="61">
        <v>1904187</v>
      </c>
      <c r="EY32" s="61">
        <v>1986443</v>
      </c>
      <c r="EZ32" s="61">
        <v>1438127</v>
      </c>
      <c r="FA32" s="61">
        <v>2093002</v>
      </c>
      <c r="FB32" s="61">
        <v>2507389</v>
      </c>
      <c r="FC32" s="61">
        <v>1526081</v>
      </c>
      <c r="FD32" s="61">
        <v>1043491</v>
      </c>
      <c r="FE32" s="61">
        <v>939340</v>
      </c>
      <c r="FF32" s="61">
        <v>1278324</v>
      </c>
      <c r="FG32" s="61">
        <v>0</v>
      </c>
      <c r="FH32" s="168">
        <v>0</v>
      </c>
      <c r="FI32" s="168">
        <v>0</v>
      </c>
      <c r="FJ32" s="61">
        <v>0</v>
      </c>
      <c r="FK32" s="61">
        <v>1569756</v>
      </c>
      <c r="FL32" s="61">
        <v>2020055</v>
      </c>
      <c r="FM32" s="61">
        <v>2827914</v>
      </c>
      <c r="FN32" s="61">
        <v>2017668</v>
      </c>
      <c r="FO32" s="61">
        <v>1384240</v>
      </c>
      <c r="FP32" s="61">
        <v>1633310</v>
      </c>
      <c r="FQ32" s="61">
        <v>1792175</v>
      </c>
      <c r="FR32" s="61">
        <v>1954804</v>
      </c>
      <c r="FS32" s="61">
        <v>1686308</v>
      </c>
      <c r="FT32" s="61">
        <v>2132220</v>
      </c>
      <c r="FU32" s="61">
        <v>1948325</v>
      </c>
      <c r="FV32" s="61">
        <v>0</v>
      </c>
      <c r="FW32" s="61">
        <v>0</v>
      </c>
      <c r="FX32" s="61">
        <v>0</v>
      </c>
      <c r="FY32" s="61">
        <v>0</v>
      </c>
      <c r="FZ32" s="61">
        <v>2000742</v>
      </c>
      <c r="GA32" s="61">
        <v>1622342</v>
      </c>
      <c r="GB32" s="61">
        <v>2182442</v>
      </c>
      <c r="GC32" s="61">
        <v>1327538</v>
      </c>
      <c r="GD32" s="61">
        <v>3399439</v>
      </c>
      <c r="GE32" s="61">
        <v>3088802</v>
      </c>
      <c r="GF32" s="61">
        <v>2175442</v>
      </c>
      <c r="GG32" s="61">
        <v>1546124</v>
      </c>
      <c r="GH32" s="61">
        <v>1850260</v>
      </c>
      <c r="GI32" s="61">
        <v>653720</v>
      </c>
      <c r="GJ32" s="61">
        <v>2805095</v>
      </c>
      <c r="GK32" s="61"/>
      <c r="GL32" s="275">
        <f t="shared" ref="GL32:GL37" si="0">AVERAGE(I32:T32)</f>
        <v>1932293.9166666667</v>
      </c>
      <c r="GM32" s="275">
        <f t="shared" ref="GM32:GM37" si="1">AVERAGE(Y32:AJ32)</f>
        <v>1813672.5</v>
      </c>
      <c r="GN32" s="275">
        <f t="shared" ref="GN32:GN37" si="2">AVERAGE(AO32:AZ32)</f>
        <v>2065222.75</v>
      </c>
      <c r="GO32" s="275">
        <f t="shared" ref="GO32:GO37" si="3">AVERAGE(BE32:BP32)</f>
        <v>1503816.5</v>
      </c>
      <c r="GP32" s="275">
        <f t="shared" ref="GP32:GP37" si="4">AVERAGE(BU32:CF32)</f>
        <v>1667711.9166666667</v>
      </c>
      <c r="GQ32" s="275">
        <f t="shared" ref="GQ32:GQ37" si="5">AVERAGE(CK32:CV32)</f>
        <v>1177590.5833333333</v>
      </c>
      <c r="GR32" s="275">
        <f t="shared" ref="GR32:GR37" si="6">AVERAGE(DA32:DL32)</f>
        <v>1044137.6391666667</v>
      </c>
      <c r="GS32" s="275">
        <f t="shared" ref="GS32:GS37" si="7">AVERAGE(DQ32:EB32)</f>
        <v>1010195.25</v>
      </c>
      <c r="GT32" s="275">
        <f t="shared" ref="GT32:GT37" si="8">AVERAGE(EG32:EQ32)</f>
        <v>1204561.3636363635</v>
      </c>
      <c r="GU32" s="275">
        <f t="shared" ref="GU32:GU37" si="9">AVERAGE(EV32:FF32)</f>
        <v>1626485.4545454546</v>
      </c>
      <c r="GV32" s="275">
        <f t="shared" ref="GV32:GV37" si="10">AVERAGE(FK32:FU32)</f>
        <v>1906070.4545454546</v>
      </c>
      <c r="GW32" s="275">
        <f t="shared" ref="GW32:GW37" si="11">AVERAGE(FZ32:GJ32)</f>
        <v>2059267.8181818181</v>
      </c>
      <c r="GX32" t="s">
        <v>846</v>
      </c>
      <c r="GY32" s="3" t="s">
        <v>290</v>
      </c>
    </row>
    <row r="33" spans="2:207">
      <c r="D33" s="3" t="s">
        <v>291</v>
      </c>
      <c r="E33" s="61">
        <v>0</v>
      </c>
      <c r="F33" s="61">
        <v>0</v>
      </c>
      <c r="G33" s="61">
        <v>0</v>
      </c>
      <c r="H33" s="61">
        <v>0</v>
      </c>
      <c r="I33" s="61">
        <v>1287269</v>
      </c>
      <c r="J33" s="61">
        <v>1840815</v>
      </c>
      <c r="K33" s="61">
        <v>1113595</v>
      </c>
      <c r="L33" s="61">
        <v>598145</v>
      </c>
      <c r="M33" s="61">
        <v>905805</v>
      </c>
      <c r="N33" s="61">
        <v>1171051</v>
      </c>
      <c r="O33" s="61">
        <v>978161</v>
      </c>
      <c r="P33" s="61">
        <v>1767633</v>
      </c>
      <c r="Q33" s="61">
        <v>1194694</v>
      </c>
      <c r="R33" s="61">
        <v>2045370</v>
      </c>
      <c r="S33" s="61">
        <v>867420</v>
      </c>
      <c r="T33" s="61">
        <v>1857453</v>
      </c>
      <c r="U33" s="61">
        <v>0</v>
      </c>
      <c r="V33" s="61">
        <v>0</v>
      </c>
      <c r="W33" s="61">
        <v>0</v>
      </c>
      <c r="X33" s="61">
        <v>0</v>
      </c>
      <c r="Y33" s="61">
        <v>2018415</v>
      </c>
      <c r="Z33" s="61">
        <v>993085</v>
      </c>
      <c r="AA33" s="61">
        <v>999432</v>
      </c>
      <c r="AB33" s="61">
        <v>1446935</v>
      </c>
      <c r="AC33" s="61">
        <v>452428</v>
      </c>
      <c r="AD33" s="61">
        <v>861783</v>
      </c>
      <c r="AE33" s="61">
        <v>1087029</v>
      </c>
      <c r="AF33" s="61">
        <v>1886128</v>
      </c>
      <c r="AG33" s="61">
        <v>932583</v>
      </c>
      <c r="AH33" s="61">
        <v>1592489</v>
      </c>
      <c r="AI33" s="61">
        <v>1776850</v>
      </c>
      <c r="AJ33" s="61">
        <v>882460</v>
      </c>
      <c r="AK33" s="61">
        <v>0</v>
      </c>
      <c r="AL33" s="61">
        <v>0</v>
      </c>
      <c r="AM33" s="61">
        <v>0</v>
      </c>
      <c r="AN33" s="61">
        <v>0</v>
      </c>
      <c r="AO33" s="61">
        <v>1531607</v>
      </c>
      <c r="AP33" s="61">
        <v>2238558</v>
      </c>
      <c r="AQ33" s="61">
        <v>1479079</v>
      </c>
      <c r="AR33" s="61">
        <v>1639613</v>
      </c>
      <c r="AS33" s="61">
        <v>811087</v>
      </c>
      <c r="AT33" s="61">
        <v>1122861</v>
      </c>
      <c r="AU33" s="61">
        <v>1201733</v>
      </c>
      <c r="AV33" s="61">
        <v>997400</v>
      </c>
      <c r="AW33" s="61">
        <v>1319789</v>
      </c>
      <c r="AX33" s="61">
        <v>1522060</v>
      </c>
      <c r="AY33" s="61">
        <v>1215450</v>
      </c>
      <c r="AZ33" s="61">
        <v>1558047</v>
      </c>
      <c r="BA33" s="61">
        <v>0</v>
      </c>
      <c r="BB33" s="61">
        <v>0</v>
      </c>
      <c r="BC33" s="61">
        <v>0</v>
      </c>
      <c r="BD33" s="61">
        <v>0</v>
      </c>
      <c r="BE33" s="61">
        <v>472374</v>
      </c>
      <c r="BF33" s="61">
        <v>1436794</v>
      </c>
      <c r="BG33" s="61">
        <v>1114412</v>
      </c>
      <c r="BH33" s="61">
        <v>745787</v>
      </c>
      <c r="BI33" s="61">
        <v>675216</v>
      </c>
      <c r="BJ33" s="61">
        <v>1860707</v>
      </c>
      <c r="BK33" s="61">
        <v>1113550</v>
      </c>
      <c r="BL33" s="61">
        <v>656665</v>
      </c>
      <c r="BM33" s="61">
        <v>1004460</v>
      </c>
      <c r="BN33" s="61">
        <v>1183449</v>
      </c>
      <c r="BO33" s="61">
        <v>813810</v>
      </c>
      <c r="BP33" s="61">
        <v>1185102</v>
      </c>
      <c r="BQ33" s="61">
        <v>0</v>
      </c>
      <c r="BR33" s="61">
        <v>0</v>
      </c>
      <c r="BS33" s="61">
        <v>0</v>
      </c>
      <c r="BT33" s="61">
        <v>0</v>
      </c>
      <c r="BU33" s="61">
        <v>1533027</v>
      </c>
      <c r="BV33" s="61">
        <v>743383</v>
      </c>
      <c r="BW33" s="61">
        <v>1238979</v>
      </c>
      <c r="BX33" s="61">
        <v>1018702</v>
      </c>
      <c r="BY33" s="61">
        <v>756631</v>
      </c>
      <c r="BZ33" s="61">
        <v>984543</v>
      </c>
      <c r="CA33" s="61">
        <v>931204</v>
      </c>
      <c r="CB33" s="61">
        <v>1598432</v>
      </c>
      <c r="CC33" s="61">
        <v>1489908</v>
      </c>
      <c r="CD33" s="61">
        <v>1402285</v>
      </c>
      <c r="CE33" s="61">
        <v>910959</v>
      </c>
      <c r="CF33" s="61">
        <v>494924</v>
      </c>
      <c r="CG33" s="61">
        <v>0</v>
      </c>
      <c r="CH33" s="61">
        <v>0</v>
      </c>
      <c r="CI33" s="61">
        <v>0</v>
      </c>
      <c r="CJ33" s="61">
        <v>0</v>
      </c>
      <c r="CK33" s="61">
        <v>899101</v>
      </c>
      <c r="CL33" s="61">
        <v>510760</v>
      </c>
      <c r="CM33" s="61">
        <v>1095866</v>
      </c>
      <c r="CN33" s="61">
        <v>867277</v>
      </c>
      <c r="CO33" s="61">
        <v>623969</v>
      </c>
      <c r="CP33" s="61">
        <v>1015745</v>
      </c>
      <c r="CQ33" s="61">
        <v>1029890.0000000001</v>
      </c>
      <c r="CR33" s="61">
        <v>893692</v>
      </c>
      <c r="CS33" s="61">
        <v>547485</v>
      </c>
      <c r="CT33" s="61">
        <v>552144</v>
      </c>
      <c r="CU33" s="61">
        <v>801600</v>
      </c>
      <c r="CV33" s="61">
        <v>323947</v>
      </c>
      <c r="CW33" s="61">
        <v>0</v>
      </c>
      <c r="CX33" s="61">
        <v>0</v>
      </c>
      <c r="CY33" s="61">
        <v>0</v>
      </c>
      <c r="CZ33" s="61">
        <v>0</v>
      </c>
      <c r="DA33" s="61">
        <v>1184833</v>
      </c>
      <c r="DB33" s="61">
        <v>495630</v>
      </c>
      <c r="DC33" s="61">
        <v>953468</v>
      </c>
      <c r="DD33" s="61">
        <v>445246</v>
      </c>
      <c r="DE33" s="61">
        <v>696601</v>
      </c>
      <c r="DF33" s="61">
        <v>727901</v>
      </c>
      <c r="DG33" s="61">
        <v>571432</v>
      </c>
      <c r="DH33" s="61">
        <v>645745</v>
      </c>
      <c r="DI33" s="61">
        <v>851371</v>
      </c>
      <c r="DJ33" s="61">
        <v>434990</v>
      </c>
      <c r="DK33" s="61">
        <v>728100</v>
      </c>
      <c r="DL33" s="61">
        <v>331758</v>
      </c>
      <c r="DM33" s="61">
        <v>0</v>
      </c>
      <c r="DN33" s="61">
        <v>0</v>
      </c>
      <c r="DO33" s="61">
        <v>0</v>
      </c>
      <c r="DP33" s="61">
        <v>0</v>
      </c>
      <c r="DQ33" s="61">
        <v>803804</v>
      </c>
      <c r="DR33" s="61">
        <v>618078</v>
      </c>
      <c r="DS33" s="61">
        <v>580539</v>
      </c>
      <c r="DT33" s="61">
        <v>732390</v>
      </c>
      <c r="DU33" s="61">
        <v>848315</v>
      </c>
      <c r="DV33" s="61">
        <v>596750</v>
      </c>
      <c r="DW33" s="61">
        <v>580147</v>
      </c>
      <c r="DX33" s="61">
        <v>721990</v>
      </c>
      <c r="DY33" s="61">
        <v>1006319</v>
      </c>
      <c r="DZ33" s="61">
        <v>421070</v>
      </c>
      <c r="EA33" s="61">
        <v>486735</v>
      </c>
      <c r="EB33" s="61">
        <v>563638</v>
      </c>
      <c r="EC33" s="61">
        <v>0</v>
      </c>
      <c r="ED33" s="61">
        <v>0</v>
      </c>
      <c r="EE33" s="61">
        <v>0</v>
      </c>
      <c r="EF33" s="61">
        <v>0</v>
      </c>
      <c r="EG33" s="61">
        <v>923638</v>
      </c>
      <c r="EH33" s="61">
        <v>807609</v>
      </c>
      <c r="EI33" s="61">
        <v>674967</v>
      </c>
      <c r="EJ33" s="61">
        <v>622755</v>
      </c>
      <c r="EK33" s="61">
        <v>596940</v>
      </c>
      <c r="EL33" s="61">
        <v>1018344</v>
      </c>
      <c r="EM33" s="61">
        <v>766366</v>
      </c>
      <c r="EN33" s="61">
        <v>541619</v>
      </c>
      <c r="EO33" s="61">
        <v>951034</v>
      </c>
      <c r="EP33" s="61">
        <v>777990</v>
      </c>
      <c r="EQ33" s="61">
        <v>682057.83</v>
      </c>
      <c r="ER33" s="61">
        <v>0</v>
      </c>
      <c r="ES33" s="61">
        <v>0</v>
      </c>
      <c r="ET33" s="61">
        <v>0</v>
      </c>
      <c r="EU33" s="61">
        <v>0</v>
      </c>
      <c r="EV33" s="61">
        <v>900808</v>
      </c>
      <c r="EW33" s="61">
        <v>1206467</v>
      </c>
      <c r="EX33" s="61">
        <v>1257545</v>
      </c>
      <c r="EY33" s="61">
        <v>1458317</v>
      </c>
      <c r="EZ33" s="61">
        <v>833953</v>
      </c>
      <c r="FA33" s="61">
        <v>1475512</v>
      </c>
      <c r="FB33" s="61">
        <v>1816552</v>
      </c>
      <c r="FC33" s="61">
        <v>1076440</v>
      </c>
      <c r="FD33" s="61">
        <v>666696</v>
      </c>
      <c r="FE33" s="61">
        <v>516340.00000000006</v>
      </c>
      <c r="FF33" s="61">
        <v>776845</v>
      </c>
      <c r="FG33" s="61">
        <v>0</v>
      </c>
      <c r="FH33" s="168">
        <v>0</v>
      </c>
      <c r="FI33" s="168">
        <v>0</v>
      </c>
      <c r="FJ33" s="61">
        <v>0</v>
      </c>
      <c r="FK33" s="61">
        <v>1177274</v>
      </c>
      <c r="FL33" s="61">
        <v>1352046</v>
      </c>
      <c r="FM33" s="61">
        <v>2012523</v>
      </c>
      <c r="FN33" s="61">
        <v>1397506</v>
      </c>
      <c r="FO33" s="61">
        <v>864840</v>
      </c>
      <c r="FP33" s="61">
        <v>1423290</v>
      </c>
      <c r="FQ33" s="61">
        <v>1288263</v>
      </c>
      <c r="FR33" s="61">
        <v>1187891</v>
      </c>
      <c r="FS33" s="61">
        <v>1112765</v>
      </c>
      <c r="FT33" s="61">
        <v>1565000</v>
      </c>
      <c r="FU33" s="61">
        <v>1249031</v>
      </c>
      <c r="FV33" s="61">
        <v>0</v>
      </c>
      <c r="FW33" s="61">
        <v>0</v>
      </c>
      <c r="FX33" s="61">
        <v>0</v>
      </c>
      <c r="FY33" s="61">
        <v>0</v>
      </c>
      <c r="FZ33" s="61">
        <v>1366724</v>
      </c>
      <c r="GA33" s="61">
        <v>955253</v>
      </c>
      <c r="GB33" s="61">
        <v>1577442</v>
      </c>
      <c r="GC33" s="61">
        <v>1077992</v>
      </c>
      <c r="GD33" s="61">
        <v>2235065</v>
      </c>
      <c r="GE33" s="61">
        <v>2154771</v>
      </c>
      <c r="GF33" s="61">
        <v>1443458</v>
      </c>
      <c r="GG33" s="61">
        <v>1170725</v>
      </c>
      <c r="GH33" s="61">
        <v>1049195</v>
      </c>
      <c r="GI33" s="61">
        <v>306510</v>
      </c>
      <c r="GJ33" s="61">
        <v>1711575</v>
      </c>
      <c r="GK33" s="61"/>
      <c r="GL33" s="275">
        <f t="shared" si="0"/>
        <v>1302284.25</v>
      </c>
      <c r="GM33" s="275">
        <f t="shared" si="1"/>
        <v>1244134.75</v>
      </c>
      <c r="GN33" s="275">
        <f t="shared" si="2"/>
        <v>1386440.3333333333</v>
      </c>
      <c r="GO33" s="275">
        <f t="shared" si="3"/>
        <v>1021860.5</v>
      </c>
      <c r="GP33" s="275">
        <f t="shared" si="4"/>
        <v>1091914.75</v>
      </c>
      <c r="GQ33" s="275">
        <f t="shared" si="5"/>
        <v>763456.33333333337</v>
      </c>
      <c r="GR33" s="275">
        <f t="shared" si="6"/>
        <v>672256.25</v>
      </c>
      <c r="GS33" s="275">
        <f t="shared" si="7"/>
        <v>663314.58333333337</v>
      </c>
      <c r="GT33" s="275">
        <f t="shared" si="8"/>
        <v>760301.80272727273</v>
      </c>
      <c r="GU33" s="275">
        <f t="shared" si="9"/>
        <v>1089588.6363636365</v>
      </c>
      <c r="GV33" s="275">
        <f t="shared" si="10"/>
        <v>1330039</v>
      </c>
      <c r="GW33" s="275">
        <f t="shared" si="11"/>
        <v>1368064.5454545454</v>
      </c>
      <c r="GX33" t="s">
        <v>846</v>
      </c>
      <c r="GY33" s="3" t="s">
        <v>291</v>
      </c>
    </row>
    <row r="34" spans="2:207">
      <c r="D34" s="3" t="s">
        <v>292</v>
      </c>
      <c r="E34" s="61">
        <v>0</v>
      </c>
      <c r="F34" s="61">
        <v>0</v>
      </c>
      <c r="G34" s="61">
        <v>0</v>
      </c>
      <c r="H34" s="61">
        <v>0</v>
      </c>
      <c r="I34" s="61">
        <v>1571561</v>
      </c>
      <c r="J34" s="61">
        <v>2197285</v>
      </c>
      <c r="K34" s="61">
        <v>1296577</v>
      </c>
      <c r="L34" s="61">
        <v>778115</v>
      </c>
      <c r="M34" s="61">
        <v>1185113</v>
      </c>
      <c r="N34" s="61">
        <v>1578875</v>
      </c>
      <c r="O34" s="61">
        <v>1256741</v>
      </c>
      <c r="P34" s="61">
        <v>2013375</v>
      </c>
      <c r="Q34" s="61">
        <v>1504944</v>
      </c>
      <c r="R34" s="61">
        <v>2476112</v>
      </c>
      <c r="S34" s="61">
        <v>1195400</v>
      </c>
      <c r="T34" s="61">
        <v>2642601</v>
      </c>
      <c r="U34" s="61">
        <v>0</v>
      </c>
      <c r="V34" s="61">
        <v>0</v>
      </c>
      <c r="W34" s="61">
        <v>0</v>
      </c>
      <c r="X34" s="61">
        <v>0</v>
      </c>
      <c r="Y34" s="61">
        <v>2408712</v>
      </c>
      <c r="Z34" s="61">
        <v>1085431</v>
      </c>
      <c r="AA34" s="61">
        <v>1483398</v>
      </c>
      <c r="AB34" s="61">
        <v>1790959</v>
      </c>
      <c r="AC34" s="61">
        <v>716533</v>
      </c>
      <c r="AD34" s="61">
        <v>1170521</v>
      </c>
      <c r="AE34" s="61">
        <v>1614320</v>
      </c>
      <c r="AF34" s="61">
        <v>2345656</v>
      </c>
      <c r="AG34" s="61">
        <v>1213229</v>
      </c>
      <c r="AH34" s="61">
        <v>2077592.9999999998</v>
      </c>
      <c r="AI34" s="61">
        <v>2285860</v>
      </c>
      <c r="AJ34" s="61">
        <v>1366261</v>
      </c>
      <c r="AK34" s="61">
        <v>0</v>
      </c>
      <c r="AL34" s="61">
        <v>0</v>
      </c>
      <c r="AM34" s="61">
        <v>0</v>
      </c>
      <c r="AN34" s="61">
        <v>0</v>
      </c>
      <c r="AO34" s="61">
        <v>2062121</v>
      </c>
      <c r="AP34" s="61">
        <v>2829646</v>
      </c>
      <c r="AQ34" s="61">
        <v>2099151</v>
      </c>
      <c r="AR34" s="61">
        <v>2021705</v>
      </c>
      <c r="AS34" s="61">
        <v>1111156</v>
      </c>
      <c r="AT34" s="61">
        <v>1517354</v>
      </c>
      <c r="AU34" s="61">
        <v>1575310</v>
      </c>
      <c r="AV34" s="61">
        <v>1400097</v>
      </c>
      <c r="AW34" s="61">
        <v>1667693</v>
      </c>
      <c r="AX34" s="61">
        <v>1937915</v>
      </c>
      <c r="AY34" s="61">
        <v>1611790</v>
      </c>
      <c r="AZ34" s="61">
        <v>2095639</v>
      </c>
      <c r="BA34" s="61">
        <v>0</v>
      </c>
      <c r="BB34" s="61">
        <v>0</v>
      </c>
      <c r="BC34" s="61">
        <v>0</v>
      </c>
      <c r="BD34" s="61">
        <v>0</v>
      </c>
      <c r="BE34" s="61">
        <v>689435</v>
      </c>
      <c r="BF34" s="61">
        <v>1543321</v>
      </c>
      <c r="BG34" s="61">
        <v>1661660</v>
      </c>
      <c r="BH34" s="61">
        <v>1023837</v>
      </c>
      <c r="BI34" s="61">
        <v>954474</v>
      </c>
      <c r="BJ34" s="61">
        <v>2441565</v>
      </c>
      <c r="BK34" s="61">
        <v>1333168</v>
      </c>
      <c r="BL34" s="61">
        <v>906126</v>
      </c>
      <c r="BM34" s="61">
        <v>1302373</v>
      </c>
      <c r="BN34" s="61">
        <v>1571457</v>
      </c>
      <c r="BO34" s="61">
        <v>1193620</v>
      </c>
      <c r="BP34" s="61">
        <v>1582408</v>
      </c>
      <c r="BQ34" s="61">
        <v>0</v>
      </c>
      <c r="BR34" s="61">
        <v>0</v>
      </c>
      <c r="BS34" s="61">
        <v>0</v>
      </c>
      <c r="BT34" s="61">
        <v>0</v>
      </c>
      <c r="BU34" s="61">
        <v>1950317</v>
      </c>
      <c r="BV34" s="61">
        <v>955903</v>
      </c>
      <c r="BW34" s="61">
        <v>1592393</v>
      </c>
      <c r="BX34" s="61">
        <v>1509128</v>
      </c>
      <c r="BY34" s="61">
        <v>987415</v>
      </c>
      <c r="BZ34" s="61">
        <v>1282706</v>
      </c>
      <c r="CA34" s="61">
        <v>1289699</v>
      </c>
      <c r="CB34" s="61">
        <v>2155923</v>
      </c>
      <c r="CC34" s="61">
        <v>1980355</v>
      </c>
      <c r="CD34" s="61">
        <v>1836019</v>
      </c>
      <c r="CE34" s="61">
        <v>208378</v>
      </c>
      <c r="CF34" s="61">
        <v>809275</v>
      </c>
      <c r="CG34" s="61">
        <v>0</v>
      </c>
      <c r="CH34" s="61">
        <v>0</v>
      </c>
      <c r="CI34" s="61">
        <v>0</v>
      </c>
      <c r="CJ34" s="61">
        <v>0</v>
      </c>
      <c r="CK34" s="61">
        <v>1131986</v>
      </c>
      <c r="CL34" s="61">
        <v>686371</v>
      </c>
      <c r="CM34" s="61">
        <v>1443023</v>
      </c>
      <c r="CN34" s="61">
        <v>1274634</v>
      </c>
      <c r="CO34" s="61">
        <v>790421</v>
      </c>
      <c r="CP34" s="61">
        <v>1218562</v>
      </c>
      <c r="CQ34" s="61">
        <v>1442415</v>
      </c>
      <c r="CR34" s="61">
        <v>1159442</v>
      </c>
      <c r="CS34" s="61">
        <v>751646</v>
      </c>
      <c r="CT34" s="61">
        <v>734289</v>
      </c>
      <c r="CU34" s="61">
        <v>1844960</v>
      </c>
      <c r="CV34" s="61">
        <v>678717</v>
      </c>
      <c r="CW34" s="61">
        <v>0</v>
      </c>
      <c r="CX34" s="61">
        <v>0</v>
      </c>
      <c r="CY34" s="61">
        <v>0</v>
      </c>
      <c r="CZ34" s="61">
        <v>0</v>
      </c>
      <c r="DA34" s="61">
        <v>1495704</v>
      </c>
      <c r="DB34" s="61">
        <v>631820</v>
      </c>
      <c r="DC34" s="61">
        <v>1125780</v>
      </c>
      <c r="DD34" s="61">
        <v>685209</v>
      </c>
      <c r="DE34" s="61">
        <v>1114073</v>
      </c>
      <c r="DF34" s="61">
        <v>917813</v>
      </c>
      <c r="DG34" s="61">
        <v>768043</v>
      </c>
      <c r="DH34" s="61">
        <v>910302</v>
      </c>
      <c r="DI34" s="61">
        <v>1024265.0000000001</v>
      </c>
      <c r="DJ34" s="61">
        <v>564490</v>
      </c>
      <c r="DK34" s="61">
        <v>840653</v>
      </c>
      <c r="DL34" s="61">
        <v>554073</v>
      </c>
      <c r="DM34" s="61">
        <v>0</v>
      </c>
      <c r="DN34" s="61">
        <v>0</v>
      </c>
      <c r="DO34" s="61">
        <v>0</v>
      </c>
      <c r="DP34" s="61">
        <v>0</v>
      </c>
      <c r="DQ34" s="61">
        <v>1036215.9999999999</v>
      </c>
      <c r="DR34" s="61">
        <v>776892</v>
      </c>
      <c r="DS34" s="61">
        <v>753010</v>
      </c>
      <c r="DT34" s="61">
        <v>1012033</v>
      </c>
      <c r="DU34" s="61">
        <v>1055611</v>
      </c>
      <c r="DV34" s="61">
        <v>821137</v>
      </c>
      <c r="DW34" s="61">
        <v>801099</v>
      </c>
      <c r="DX34" s="61">
        <v>851179</v>
      </c>
      <c r="DY34" s="61">
        <v>1238039</v>
      </c>
      <c r="DZ34" s="61">
        <v>558000</v>
      </c>
      <c r="EA34" s="61">
        <v>586161</v>
      </c>
      <c r="EB34" s="61">
        <v>733959</v>
      </c>
      <c r="EC34" s="61">
        <v>0</v>
      </c>
      <c r="ED34" s="61">
        <v>0</v>
      </c>
      <c r="EE34" s="61">
        <v>0</v>
      </c>
      <c r="EF34" s="61">
        <v>0</v>
      </c>
      <c r="EG34" s="61">
        <v>1313619</v>
      </c>
      <c r="EH34" s="61">
        <v>1069976</v>
      </c>
      <c r="EI34" s="61">
        <v>913825</v>
      </c>
      <c r="EJ34" s="61">
        <v>784349</v>
      </c>
      <c r="EK34" s="61">
        <v>790940</v>
      </c>
      <c r="EL34" s="61">
        <v>1346481</v>
      </c>
      <c r="EM34" s="61">
        <v>936906</v>
      </c>
      <c r="EN34" s="61">
        <v>648760</v>
      </c>
      <c r="EO34" s="61">
        <v>1249805</v>
      </c>
      <c r="EP34" s="61">
        <v>1016760</v>
      </c>
      <c r="EQ34" s="61">
        <v>913916</v>
      </c>
      <c r="ER34" s="61">
        <v>0</v>
      </c>
      <c r="ES34" s="61">
        <v>0</v>
      </c>
      <c r="ET34" s="61">
        <v>0</v>
      </c>
      <c r="EU34" s="61">
        <v>0</v>
      </c>
      <c r="EV34" s="61">
        <v>1203889</v>
      </c>
      <c r="EW34" s="61">
        <v>1472633</v>
      </c>
      <c r="EX34" s="61">
        <v>1599062</v>
      </c>
      <c r="EY34" s="61">
        <v>1839466</v>
      </c>
      <c r="EZ34" s="61">
        <v>1187843</v>
      </c>
      <c r="FA34" s="61">
        <v>1984718</v>
      </c>
      <c r="FB34" s="61">
        <v>2201217</v>
      </c>
      <c r="FC34" s="61">
        <v>1288610</v>
      </c>
      <c r="FD34" s="61">
        <v>760331</v>
      </c>
      <c r="FE34" s="61">
        <v>587910</v>
      </c>
      <c r="FF34" s="61">
        <v>1106598</v>
      </c>
      <c r="FG34" s="61">
        <v>0</v>
      </c>
      <c r="FH34" s="168">
        <v>0</v>
      </c>
      <c r="FI34" s="168">
        <v>0</v>
      </c>
      <c r="FJ34" s="61">
        <v>0</v>
      </c>
      <c r="FK34" s="61">
        <v>1647376</v>
      </c>
      <c r="FL34" s="61">
        <v>1859336</v>
      </c>
      <c r="FM34" s="61">
        <v>2317187</v>
      </c>
      <c r="FN34" s="61">
        <v>1877593</v>
      </c>
      <c r="FO34" s="61">
        <v>1082439</v>
      </c>
      <c r="FP34" s="61">
        <v>1770305</v>
      </c>
      <c r="FQ34" s="61">
        <v>1605560</v>
      </c>
      <c r="FR34" s="61">
        <v>1597957</v>
      </c>
      <c r="FS34" s="61">
        <v>1592086</v>
      </c>
      <c r="FT34" s="61">
        <v>2000890</v>
      </c>
      <c r="FU34" s="61">
        <v>1722992</v>
      </c>
      <c r="FV34" s="61">
        <v>0</v>
      </c>
      <c r="FW34" s="61">
        <v>0</v>
      </c>
      <c r="FX34" s="61">
        <v>0</v>
      </c>
      <c r="FY34" s="61">
        <v>0</v>
      </c>
      <c r="FZ34" s="61">
        <v>1819122</v>
      </c>
      <c r="GA34" s="61">
        <v>1227155</v>
      </c>
      <c r="GB34" s="61">
        <v>1951919</v>
      </c>
      <c r="GC34" s="61">
        <v>1252646</v>
      </c>
      <c r="GD34" s="61">
        <v>2908380</v>
      </c>
      <c r="GE34" s="61">
        <v>2775659</v>
      </c>
      <c r="GF34" s="61">
        <v>1751113</v>
      </c>
      <c r="GG34" s="61">
        <v>1331701</v>
      </c>
      <c r="GH34" s="61">
        <v>709570</v>
      </c>
      <c r="GI34" s="61">
        <v>353930</v>
      </c>
      <c r="GJ34" s="61">
        <v>2508209</v>
      </c>
      <c r="GK34" s="61"/>
      <c r="GL34" s="275">
        <f t="shared" si="0"/>
        <v>1641391.5833333333</v>
      </c>
      <c r="GM34" s="275">
        <f t="shared" si="1"/>
        <v>1629872.75</v>
      </c>
      <c r="GN34" s="275">
        <f t="shared" si="2"/>
        <v>1827464.75</v>
      </c>
      <c r="GO34" s="275">
        <f t="shared" si="3"/>
        <v>1350287</v>
      </c>
      <c r="GP34" s="275">
        <f t="shared" si="4"/>
        <v>1379792.5833333333</v>
      </c>
      <c r="GQ34" s="275">
        <f t="shared" si="5"/>
        <v>1096372.1666666667</v>
      </c>
      <c r="GR34" s="275">
        <f t="shared" si="6"/>
        <v>886018.75</v>
      </c>
      <c r="GS34" s="275">
        <f t="shared" si="7"/>
        <v>851944.66666666663</v>
      </c>
      <c r="GT34" s="275">
        <f t="shared" si="8"/>
        <v>998667</v>
      </c>
      <c r="GU34" s="275">
        <f t="shared" si="9"/>
        <v>1384752.4545454546</v>
      </c>
      <c r="GV34" s="275">
        <f t="shared" si="10"/>
        <v>1733974.6363636365</v>
      </c>
      <c r="GW34" s="275">
        <f t="shared" si="11"/>
        <v>1689945.8181818181</v>
      </c>
      <c r="GX34" t="s">
        <v>846</v>
      </c>
      <c r="GY34" s="3" t="s">
        <v>292</v>
      </c>
    </row>
    <row r="35" spans="2:207">
      <c r="D35" s="3" t="s">
        <v>293</v>
      </c>
      <c r="E35" s="61">
        <v>0</v>
      </c>
      <c r="F35" s="61">
        <v>0</v>
      </c>
      <c r="G35" s="61">
        <v>0</v>
      </c>
      <c r="H35" s="61">
        <v>0</v>
      </c>
      <c r="I35" s="61">
        <v>2122204</v>
      </c>
      <c r="J35" s="61">
        <v>2730060</v>
      </c>
      <c r="K35" s="61">
        <v>1746032</v>
      </c>
      <c r="L35" s="61">
        <v>967468</v>
      </c>
      <c r="M35" s="61">
        <v>1386484</v>
      </c>
      <c r="N35" s="61">
        <v>1767793</v>
      </c>
      <c r="O35" s="61">
        <v>1514693</v>
      </c>
      <c r="P35" s="61">
        <v>2727329</v>
      </c>
      <c r="Q35" s="61">
        <v>1789440</v>
      </c>
      <c r="R35" s="61">
        <v>3211313</v>
      </c>
      <c r="S35" s="61">
        <v>1376060</v>
      </c>
      <c r="T35" s="61">
        <v>2972414</v>
      </c>
      <c r="U35" s="61">
        <v>0</v>
      </c>
      <c r="V35" s="61">
        <v>0</v>
      </c>
      <c r="W35" s="61">
        <v>0</v>
      </c>
      <c r="X35" s="61">
        <v>0</v>
      </c>
      <c r="Y35" s="61">
        <v>3159206</v>
      </c>
      <c r="Z35" s="61">
        <v>1558548</v>
      </c>
      <c r="AA35" s="61">
        <v>1507011</v>
      </c>
      <c r="AB35" s="61">
        <v>2206058</v>
      </c>
      <c r="AC35" s="61">
        <v>806611</v>
      </c>
      <c r="AD35" s="61">
        <v>1141498</v>
      </c>
      <c r="AE35" s="61">
        <v>1594126</v>
      </c>
      <c r="AF35" s="61">
        <v>2885441</v>
      </c>
      <c r="AG35" s="61">
        <v>1516147</v>
      </c>
      <c r="AH35" s="61">
        <v>2321498</v>
      </c>
      <c r="AI35" s="61">
        <v>2740010</v>
      </c>
      <c r="AJ35" s="61">
        <v>1355785</v>
      </c>
      <c r="AK35" s="61">
        <v>0</v>
      </c>
      <c r="AL35" s="61">
        <v>0</v>
      </c>
      <c r="AM35" s="61">
        <v>0</v>
      </c>
      <c r="AN35" s="61">
        <v>0</v>
      </c>
      <c r="AO35" s="61">
        <v>2469028</v>
      </c>
      <c r="AP35" s="61">
        <v>3341763</v>
      </c>
      <c r="AQ35" s="61">
        <v>2312281</v>
      </c>
      <c r="AR35" s="61">
        <v>2604439</v>
      </c>
      <c r="AS35" s="61">
        <v>1267515</v>
      </c>
      <c r="AT35" s="61">
        <v>1749555</v>
      </c>
      <c r="AU35" s="61">
        <v>1840587</v>
      </c>
      <c r="AV35" s="61">
        <v>1659542</v>
      </c>
      <c r="AW35" s="61">
        <v>1798584</v>
      </c>
      <c r="AX35" s="61">
        <v>2373509</v>
      </c>
      <c r="AY35" s="61">
        <v>1920290</v>
      </c>
      <c r="AZ35" s="61">
        <v>2514690</v>
      </c>
      <c r="BA35" s="61">
        <v>0</v>
      </c>
      <c r="BB35" s="61">
        <v>0</v>
      </c>
      <c r="BC35" s="61">
        <v>0</v>
      </c>
      <c r="BD35" s="61">
        <v>0</v>
      </c>
      <c r="BE35" s="61">
        <v>717623</v>
      </c>
      <c r="BF35" s="61">
        <v>2228788</v>
      </c>
      <c r="BG35" s="61">
        <v>1716357</v>
      </c>
      <c r="BH35" s="61">
        <v>1099111</v>
      </c>
      <c r="BI35" s="61">
        <v>1125519</v>
      </c>
      <c r="BJ35" s="61">
        <v>2878634</v>
      </c>
      <c r="BK35" s="61">
        <v>1793001</v>
      </c>
      <c r="BL35" s="61">
        <v>1080964</v>
      </c>
      <c r="BM35" s="61">
        <v>1508631</v>
      </c>
      <c r="BN35" s="61">
        <v>1775876</v>
      </c>
      <c r="BO35" s="61">
        <v>1458220</v>
      </c>
      <c r="BP35" s="61">
        <v>1701841</v>
      </c>
      <c r="BQ35" s="61">
        <v>0</v>
      </c>
      <c r="BR35" s="61">
        <v>0</v>
      </c>
      <c r="BS35" s="61">
        <v>0</v>
      </c>
      <c r="BT35" s="61">
        <v>0</v>
      </c>
      <c r="BU35" s="61">
        <v>2382531</v>
      </c>
      <c r="BV35" s="61">
        <v>1214044</v>
      </c>
      <c r="BW35" s="61">
        <v>2036170</v>
      </c>
      <c r="BX35" s="61">
        <v>1662697</v>
      </c>
      <c r="BY35" s="61">
        <v>1261351</v>
      </c>
      <c r="BZ35" s="61">
        <v>1527931</v>
      </c>
      <c r="CA35" s="61">
        <v>1548027</v>
      </c>
      <c r="CB35" s="61">
        <v>2494052</v>
      </c>
      <c r="CC35" s="61">
        <v>2333042</v>
      </c>
      <c r="CD35" s="61">
        <v>2274279</v>
      </c>
      <c r="CE35" s="61">
        <v>1513923</v>
      </c>
      <c r="CF35" s="61">
        <v>810353</v>
      </c>
      <c r="CG35" s="61">
        <v>0</v>
      </c>
      <c r="CH35" s="61">
        <v>0</v>
      </c>
      <c r="CI35" s="61">
        <v>0</v>
      </c>
      <c r="CJ35" s="61">
        <v>0</v>
      </c>
      <c r="CK35" s="61">
        <v>1468962</v>
      </c>
      <c r="CL35" s="61">
        <v>851279</v>
      </c>
      <c r="CM35" s="61">
        <v>1746438</v>
      </c>
      <c r="CN35" s="61">
        <v>1472249</v>
      </c>
      <c r="CO35" s="61">
        <v>960357</v>
      </c>
      <c r="CP35" s="61">
        <v>1594253</v>
      </c>
      <c r="CQ35" s="61">
        <v>1708290</v>
      </c>
      <c r="CR35" s="61">
        <v>1501712</v>
      </c>
      <c r="CS35" s="61">
        <v>887120</v>
      </c>
      <c r="CT35" s="61">
        <v>916047</v>
      </c>
      <c r="CU35" s="61">
        <v>1312000</v>
      </c>
      <c r="CV35" s="61">
        <v>731878</v>
      </c>
      <c r="CW35" s="61">
        <v>0</v>
      </c>
      <c r="CX35" s="61">
        <v>0</v>
      </c>
      <c r="CY35" s="61">
        <v>0</v>
      </c>
      <c r="CZ35" s="61">
        <v>0</v>
      </c>
      <c r="DA35" s="61">
        <v>1834486</v>
      </c>
      <c r="DB35" s="61">
        <v>825270</v>
      </c>
      <c r="DC35" s="61">
        <v>1420508</v>
      </c>
      <c r="DD35" s="61">
        <v>806461</v>
      </c>
      <c r="DE35" s="61">
        <v>1300116</v>
      </c>
      <c r="DF35" s="61">
        <v>1179361</v>
      </c>
      <c r="DG35" s="61">
        <v>845158</v>
      </c>
      <c r="DH35" s="61">
        <v>1044694.9999999999</v>
      </c>
      <c r="DI35" s="61">
        <v>1392292</v>
      </c>
      <c r="DJ35" s="61">
        <v>735630</v>
      </c>
      <c r="DK35" s="61">
        <v>1274486.5</v>
      </c>
      <c r="DL35" s="61">
        <v>567543</v>
      </c>
      <c r="DM35" s="61">
        <v>0</v>
      </c>
      <c r="DN35" s="61">
        <v>0</v>
      </c>
      <c r="DO35" s="61">
        <v>0</v>
      </c>
      <c r="DP35" s="61">
        <v>0</v>
      </c>
      <c r="DQ35" s="61">
        <v>1329310</v>
      </c>
      <c r="DR35" s="61">
        <v>1026039</v>
      </c>
      <c r="DS35" s="61">
        <v>944656</v>
      </c>
      <c r="DT35" s="61">
        <v>1228407</v>
      </c>
      <c r="DU35" s="61">
        <v>1360098</v>
      </c>
      <c r="DV35" s="61">
        <v>995546</v>
      </c>
      <c r="DW35" s="61">
        <v>983935</v>
      </c>
      <c r="DX35" s="61">
        <v>1073840</v>
      </c>
      <c r="DY35" s="61">
        <v>1574538</v>
      </c>
      <c r="DZ35" s="61">
        <v>731520</v>
      </c>
      <c r="EA35" s="61">
        <v>864364</v>
      </c>
      <c r="EB35" s="61">
        <v>927401</v>
      </c>
      <c r="EC35" s="61">
        <v>0</v>
      </c>
      <c r="ED35" s="61">
        <v>0</v>
      </c>
      <c r="EE35" s="61">
        <v>0</v>
      </c>
      <c r="EF35" s="61">
        <v>0</v>
      </c>
      <c r="EG35" s="61">
        <v>1634396</v>
      </c>
      <c r="EH35" s="61">
        <v>1293418</v>
      </c>
      <c r="EI35" s="61">
        <v>1072643</v>
      </c>
      <c r="EJ35" s="61">
        <v>1061617</v>
      </c>
      <c r="EK35" s="61">
        <v>1030856</v>
      </c>
      <c r="EL35" s="61">
        <v>1695908</v>
      </c>
      <c r="EM35" s="61">
        <v>1215199</v>
      </c>
      <c r="EN35" s="61">
        <v>872761</v>
      </c>
      <c r="EO35" s="61">
        <v>1492634</v>
      </c>
      <c r="EP35" s="61">
        <v>1273220</v>
      </c>
      <c r="EQ35" s="61">
        <v>1109166.67</v>
      </c>
      <c r="ER35" s="61">
        <v>0</v>
      </c>
      <c r="ES35" s="61">
        <v>0</v>
      </c>
      <c r="ET35" s="61">
        <v>0</v>
      </c>
      <c r="EU35" s="61">
        <v>0</v>
      </c>
      <c r="EV35" s="61">
        <v>1449232</v>
      </c>
      <c r="EW35" s="61">
        <v>1952934</v>
      </c>
      <c r="EX35" s="61">
        <v>1994003</v>
      </c>
      <c r="EY35" s="61">
        <v>2153443</v>
      </c>
      <c r="EZ35" s="61">
        <v>1480046</v>
      </c>
      <c r="FA35" s="61">
        <v>2276065</v>
      </c>
      <c r="FB35" s="61">
        <v>2758140</v>
      </c>
      <c r="FC35" s="61">
        <v>1556127</v>
      </c>
      <c r="FD35" s="61">
        <v>1051307</v>
      </c>
      <c r="FE35" s="61">
        <v>936330</v>
      </c>
      <c r="FF35" s="61">
        <v>1467017</v>
      </c>
      <c r="FG35" s="61">
        <v>0</v>
      </c>
      <c r="FH35" s="168">
        <v>0</v>
      </c>
      <c r="FI35" s="168">
        <v>0</v>
      </c>
      <c r="FJ35" s="61">
        <v>0</v>
      </c>
      <c r="FK35" s="61">
        <v>1726538</v>
      </c>
      <c r="FL35" s="61">
        <v>2069215.0000000002</v>
      </c>
      <c r="FM35" s="61">
        <v>3123794</v>
      </c>
      <c r="FN35" s="61">
        <v>2045442</v>
      </c>
      <c r="FO35" s="61">
        <v>1390031</v>
      </c>
      <c r="FP35" s="61">
        <v>1931941</v>
      </c>
      <c r="FQ35" s="61">
        <v>1900535</v>
      </c>
      <c r="FR35" s="61">
        <v>2053569</v>
      </c>
      <c r="FS35" s="61">
        <v>1687946</v>
      </c>
      <c r="FT35" s="61">
        <v>2240000</v>
      </c>
      <c r="FU35" s="61">
        <v>1928799</v>
      </c>
      <c r="FV35" s="61">
        <v>0</v>
      </c>
      <c r="FW35" s="61">
        <v>0</v>
      </c>
      <c r="FX35" s="61">
        <v>0</v>
      </c>
      <c r="FY35" s="61">
        <v>0</v>
      </c>
      <c r="FZ35" s="61">
        <v>2186055</v>
      </c>
      <c r="GA35" s="61">
        <v>1673084</v>
      </c>
      <c r="GB35" s="61">
        <v>2302198</v>
      </c>
      <c r="GC35" s="61">
        <v>1590615</v>
      </c>
      <c r="GD35" s="61">
        <v>3309209</v>
      </c>
      <c r="GE35" s="61">
        <v>3207683</v>
      </c>
      <c r="GF35" s="61">
        <v>2274330</v>
      </c>
      <c r="GG35" s="61">
        <v>1440571</v>
      </c>
      <c r="GH35" s="61">
        <v>1923586.1666670002</v>
      </c>
      <c r="GI35" s="61">
        <v>575860</v>
      </c>
      <c r="GJ35" s="61">
        <v>2696004</v>
      </c>
      <c r="GK35" s="61"/>
      <c r="GL35" s="275">
        <f t="shared" si="0"/>
        <v>2025940.8333333333</v>
      </c>
      <c r="GM35" s="275">
        <f t="shared" si="1"/>
        <v>1899328.25</v>
      </c>
      <c r="GN35" s="275">
        <f t="shared" si="2"/>
        <v>2154315.25</v>
      </c>
      <c r="GO35" s="275">
        <f t="shared" si="3"/>
        <v>1590380.4166666667</v>
      </c>
      <c r="GP35" s="275">
        <f t="shared" si="4"/>
        <v>1754866.6666666667</v>
      </c>
      <c r="GQ35" s="275">
        <f t="shared" si="5"/>
        <v>1262548.75</v>
      </c>
      <c r="GR35" s="275">
        <f t="shared" si="6"/>
        <v>1102167.2083333333</v>
      </c>
      <c r="GS35" s="275">
        <f t="shared" si="7"/>
        <v>1086637.8333333333</v>
      </c>
      <c r="GT35" s="275">
        <f t="shared" si="8"/>
        <v>1250165.3336363637</v>
      </c>
      <c r="GU35" s="275">
        <f t="shared" si="9"/>
        <v>1734058.5454545454</v>
      </c>
      <c r="GV35" s="275">
        <f t="shared" si="10"/>
        <v>2008891.8181818181</v>
      </c>
      <c r="GW35" s="275">
        <f t="shared" si="11"/>
        <v>2107199.5606060908</v>
      </c>
      <c r="GX35" t="s">
        <v>846</v>
      </c>
      <c r="GY35" s="3" t="s">
        <v>293</v>
      </c>
    </row>
    <row r="36" spans="2:207">
      <c r="D36" s="3" t="s">
        <v>286</v>
      </c>
      <c r="E36" s="61"/>
      <c r="F36" s="61"/>
      <c r="G36" s="61"/>
      <c r="H36" s="61">
        <v>0</v>
      </c>
      <c r="I36" s="61">
        <v>2394196</v>
      </c>
      <c r="J36" s="61">
        <v>2654928</v>
      </c>
      <c r="K36" s="61">
        <v>1641683</v>
      </c>
      <c r="L36" s="61">
        <v>1478058</v>
      </c>
      <c r="M36" s="61">
        <v>2094607</v>
      </c>
      <c r="N36" s="61">
        <v>3214236</v>
      </c>
      <c r="O36" s="61">
        <v>2127660</v>
      </c>
      <c r="P36" s="61">
        <v>2378227</v>
      </c>
      <c r="Q36" s="61">
        <v>2303624</v>
      </c>
      <c r="R36" s="61">
        <v>2032816</v>
      </c>
      <c r="S36" s="61">
        <v>2134700</v>
      </c>
      <c r="T36" s="61">
        <v>3406110</v>
      </c>
      <c r="U36" s="61"/>
      <c r="V36" s="61"/>
      <c r="W36" s="61"/>
      <c r="X36" s="61">
        <v>0</v>
      </c>
      <c r="Y36" s="61">
        <v>1703979</v>
      </c>
      <c r="Z36" s="61">
        <v>1518741</v>
      </c>
      <c r="AA36" s="61">
        <v>1918582</v>
      </c>
      <c r="AB36" s="61">
        <v>1202095</v>
      </c>
      <c r="AC36" s="61">
        <v>1879976</v>
      </c>
      <c r="AD36" s="61">
        <v>2825926</v>
      </c>
      <c r="AE36" s="61">
        <v>2232130</v>
      </c>
      <c r="AF36" s="61">
        <v>2373499</v>
      </c>
      <c r="AG36" s="61">
        <v>1232721</v>
      </c>
      <c r="AH36" s="61">
        <v>2307344</v>
      </c>
      <c r="AI36" s="61">
        <v>2819000</v>
      </c>
      <c r="AJ36" s="61">
        <v>1661444</v>
      </c>
      <c r="AK36" s="61"/>
      <c r="AL36" s="61"/>
      <c r="AM36" s="61"/>
      <c r="AN36" s="61">
        <v>0</v>
      </c>
      <c r="AO36" s="61">
        <v>2454243</v>
      </c>
      <c r="AP36" s="61">
        <v>3556876</v>
      </c>
      <c r="AQ36" s="61">
        <v>4080114</v>
      </c>
      <c r="AR36" s="61">
        <v>2973957</v>
      </c>
      <c r="AS36" s="61">
        <v>2106666</v>
      </c>
      <c r="AT36" s="61">
        <v>2738953</v>
      </c>
      <c r="AU36" s="61">
        <v>1880309</v>
      </c>
      <c r="AV36" s="61">
        <v>3006333</v>
      </c>
      <c r="AW36" s="61">
        <v>3305707</v>
      </c>
      <c r="AX36" s="61">
        <v>2196726</v>
      </c>
      <c r="AY36" s="61">
        <v>2623710</v>
      </c>
      <c r="AZ36" s="61">
        <v>2569529</v>
      </c>
      <c r="BA36" s="61"/>
      <c r="BB36" s="61"/>
      <c r="BC36" s="61"/>
      <c r="BD36" s="61">
        <v>0</v>
      </c>
      <c r="BE36" s="61">
        <v>1201927</v>
      </c>
      <c r="BF36" s="61">
        <v>2838924</v>
      </c>
      <c r="BG36" s="61">
        <v>2644161</v>
      </c>
      <c r="BH36" s="61">
        <v>1757700</v>
      </c>
      <c r="BI36" s="61">
        <v>2624270</v>
      </c>
      <c r="BJ36" s="61">
        <v>2716790</v>
      </c>
      <c r="BK36" s="61">
        <v>1592182</v>
      </c>
      <c r="BL36" s="61">
        <v>2790203</v>
      </c>
      <c r="BM36" s="61">
        <v>2390393</v>
      </c>
      <c r="BN36" s="61">
        <v>2962935</v>
      </c>
      <c r="BO36" s="61">
        <v>2581300</v>
      </c>
      <c r="BP36" s="61">
        <v>2000000</v>
      </c>
      <c r="BQ36" s="61"/>
      <c r="BR36" s="61"/>
      <c r="BS36" s="61"/>
      <c r="BT36" s="61">
        <v>0</v>
      </c>
      <c r="BU36" s="61">
        <v>3106216</v>
      </c>
      <c r="BV36" s="61">
        <v>2208428</v>
      </c>
      <c r="BW36" s="61">
        <v>3049118</v>
      </c>
      <c r="BX36" s="61">
        <v>2458833</v>
      </c>
      <c r="BY36" s="61">
        <v>1990460</v>
      </c>
      <c r="BZ36" s="61">
        <v>1999180</v>
      </c>
      <c r="CA36" s="61">
        <v>2733202</v>
      </c>
      <c r="CB36" s="61">
        <v>3447633</v>
      </c>
      <c r="CC36" s="61">
        <v>2989854</v>
      </c>
      <c r="CD36" s="61">
        <v>3556591</v>
      </c>
      <c r="CE36" s="61">
        <v>2205246</v>
      </c>
      <c r="CF36" s="61">
        <v>1590236</v>
      </c>
      <c r="CG36" s="61"/>
      <c r="CH36" s="61"/>
      <c r="CI36" s="61"/>
      <c r="CJ36" s="61">
        <v>0</v>
      </c>
      <c r="CK36" s="61">
        <v>1098273</v>
      </c>
      <c r="CL36" s="61">
        <v>2219113</v>
      </c>
      <c r="CM36" s="61">
        <v>2284879</v>
      </c>
      <c r="CN36" s="61">
        <v>2577442</v>
      </c>
      <c r="CO36" s="61">
        <v>2028352</v>
      </c>
      <c r="CP36" s="61">
        <v>1761914</v>
      </c>
      <c r="CQ36" s="61">
        <v>3120190</v>
      </c>
      <c r="CR36" s="61">
        <v>1999028</v>
      </c>
      <c r="CS36" s="61">
        <v>1823158</v>
      </c>
      <c r="CT36" s="61">
        <v>1753532</v>
      </c>
      <c r="CU36" s="61">
        <v>1032630</v>
      </c>
      <c r="CV36" s="61">
        <v>1295613</v>
      </c>
      <c r="CW36" s="61"/>
      <c r="CX36" s="61"/>
      <c r="CY36" s="61"/>
      <c r="CZ36" s="61">
        <v>0</v>
      </c>
      <c r="DA36" s="61">
        <v>1779259</v>
      </c>
      <c r="DB36" s="61">
        <v>1725480</v>
      </c>
      <c r="DC36" s="61">
        <v>2039969</v>
      </c>
      <c r="DD36" s="61">
        <v>2298538</v>
      </c>
      <c r="DE36" s="61">
        <v>2492022</v>
      </c>
      <c r="DF36" s="61">
        <v>1739875</v>
      </c>
      <c r="DG36" s="61">
        <v>1483995</v>
      </c>
      <c r="DH36" s="61">
        <v>2872110</v>
      </c>
      <c r="DI36" s="61">
        <v>1819884</v>
      </c>
      <c r="DJ36" s="61">
        <v>2263550</v>
      </c>
      <c r="DK36" s="61">
        <v>2141372.17</v>
      </c>
      <c r="DL36" s="61">
        <v>1176094</v>
      </c>
      <c r="DM36" s="61"/>
      <c r="DN36" s="61"/>
      <c r="DO36" s="61"/>
      <c r="DP36" s="61">
        <v>0</v>
      </c>
      <c r="DQ36" s="61">
        <v>2021632</v>
      </c>
      <c r="DR36" s="61">
        <v>1893215</v>
      </c>
      <c r="DS36" s="61">
        <v>1763094</v>
      </c>
      <c r="DT36" s="61">
        <v>2258757</v>
      </c>
      <c r="DU36" s="61">
        <v>1701739</v>
      </c>
      <c r="DV36" s="61">
        <v>1588240</v>
      </c>
      <c r="DW36" s="61">
        <v>2154832</v>
      </c>
      <c r="DX36" s="61">
        <v>1726569</v>
      </c>
      <c r="DY36" s="61">
        <v>2011302</v>
      </c>
      <c r="DZ36" s="61">
        <v>2040000</v>
      </c>
      <c r="EA36" s="61">
        <v>1788477</v>
      </c>
      <c r="EB36" s="61">
        <v>1844509</v>
      </c>
      <c r="EC36" s="61"/>
      <c r="ED36" s="61"/>
      <c r="EE36" s="61"/>
      <c r="EF36" s="61">
        <v>0</v>
      </c>
      <c r="EG36" s="61">
        <v>3026106</v>
      </c>
      <c r="EH36" s="61">
        <v>2143648</v>
      </c>
      <c r="EI36" s="61">
        <v>1709825</v>
      </c>
      <c r="EJ36" s="61">
        <v>2109929</v>
      </c>
      <c r="EK36" s="61">
        <v>1736445</v>
      </c>
      <c r="EL36" s="61">
        <v>2475367</v>
      </c>
      <c r="EM36" s="61">
        <v>2441273</v>
      </c>
      <c r="EN36" s="61">
        <v>2134235</v>
      </c>
      <c r="EO36" s="61">
        <v>2609767</v>
      </c>
      <c r="EP36" s="61">
        <v>171190</v>
      </c>
      <c r="EQ36" s="61">
        <v>2006893</v>
      </c>
      <c r="ER36" s="61"/>
      <c r="ES36" s="61"/>
      <c r="ET36" s="61"/>
      <c r="EU36" s="61">
        <v>0</v>
      </c>
      <c r="EV36" s="61">
        <v>2817601</v>
      </c>
      <c r="EW36" s="61">
        <v>1793045</v>
      </c>
      <c r="EX36" s="61">
        <v>3572652</v>
      </c>
      <c r="EY36" s="61">
        <v>2341928</v>
      </c>
      <c r="EZ36" s="61">
        <v>2947858</v>
      </c>
      <c r="FA36" s="61">
        <v>2578693</v>
      </c>
      <c r="FB36" s="61">
        <v>3152555</v>
      </c>
      <c r="FC36" s="61">
        <v>2082408</v>
      </c>
      <c r="FD36" s="61">
        <v>2243428</v>
      </c>
      <c r="FE36" s="61">
        <v>1998260</v>
      </c>
      <c r="FF36" s="61">
        <v>2763248</v>
      </c>
      <c r="FG36" s="61"/>
      <c r="FH36" s="168"/>
      <c r="FI36" s="168"/>
      <c r="FJ36" s="61">
        <v>0</v>
      </c>
      <c r="FK36" s="61">
        <v>2869850</v>
      </c>
      <c r="FL36" s="61">
        <v>2190940</v>
      </c>
      <c r="FM36" s="61">
        <v>2323227</v>
      </c>
      <c r="FN36" s="61">
        <v>1575587</v>
      </c>
      <c r="FO36" s="61">
        <v>2688405</v>
      </c>
      <c r="FP36" s="61">
        <v>1893792</v>
      </c>
      <c r="FQ36" s="61">
        <v>2011253</v>
      </c>
      <c r="FR36" s="61">
        <v>2620499</v>
      </c>
      <c r="FS36" s="61">
        <v>3044194</v>
      </c>
      <c r="FT36" s="61">
        <v>1992070</v>
      </c>
      <c r="FU36" s="61">
        <v>2998169</v>
      </c>
      <c r="FV36" s="61"/>
      <c r="FW36" s="61"/>
      <c r="FX36" s="61"/>
      <c r="FY36" s="61">
        <v>0</v>
      </c>
      <c r="FZ36" s="61">
        <v>2174830</v>
      </c>
      <c r="GA36" s="61">
        <v>1423601</v>
      </c>
      <c r="GB36" s="61">
        <v>2232728</v>
      </c>
      <c r="GC36" s="61">
        <v>1844601</v>
      </c>
      <c r="GD36" s="61">
        <v>3522263</v>
      </c>
      <c r="GE36" s="61">
        <v>2677920</v>
      </c>
      <c r="GF36" s="61">
        <v>2573383</v>
      </c>
      <c r="GG36" s="61">
        <v>2642088</v>
      </c>
      <c r="GH36" s="61">
        <v>2217895.3330000001</v>
      </c>
      <c r="GI36" s="61">
        <v>2754500</v>
      </c>
      <c r="GJ36" s="61">
        <v>2341847</v>
      </c>
      <c r="GK36" s="61"/>
      <c r="GL36" s="275">
        <f t="shared" si="0"/>
        <v>2321737.0833333335</v>
      </c>
      <c r="GM36" s="275">
        <f t="shared" si="1"/>
        <v>1972953.0833333333</v>
      </c>
      <c r="GN36" s="275">
        <f t="shared" si="2"/>
        <v>2791093.5833333335</v>
      </c>
      <c r="GO36" s="275">
        <f t="shared" si="3"/>
        <v>2341732.0833333335</v>
      </c>
      <c r="GP36" s="275">
        <f t="shared" si="4"/>
        <v>2611249.75</v>
      </c>
      <c r="GQ36" s="275">
        <f t="shared" si="5"/>
        <v>1916177</v>
      </c>
      <c r="GR36" s="275">
        <f t="shared" si="6"/>
        <v>1986012.3475000001</v>
      </c>
      <c r="GS36" s="275">
        <f t="shared" si="7"/>
        <v>1899363.8333333333</v>
      </c>
      <c r="GT36" s="275">
        <f t="shared" si="8"/>
        <v>2051334.3636363635</v>
      </c>
      <c r="GU36" s="275">
        <f t="shared" si="9"/>
        <v>2571970.5454545454</v>
      </c>
      <c r="GV36" s="275">
        <f t="shared" si="10"/>
        <v>2382544.1818181816</v>
      </c>
      <c r="GW36" s="275">
        <f t="shared" si="11"/>
        <v>2400514.212090909</v>
      </c>
      <c r="GX36" t="s">
        <v>846</v>
      </c>
      <c r="GY36" s="3" t="s">
        <v>286</v>
      </c>
    </row>
    <row r="37" spans="2:207">
      <c r="D37" s="3" t="s">
        <v>287</v>
      </c>
      <c r="E37" s="61">
        <v>0</v>
      </c>
      <c r="F37" s="61">
        <v>0</v>
      </c>
      <c r="G37" s="61">
        <v>0</v>
      </c>
      <c r="H37" s="61">
        <v>0</v>
      </c>
      <c r="I37" s="61">
        <v>2957573</v>
      </c>
      <c r="J37" s="61">
        <v>2608350</v>
      </c>
      <c r="K37" s="61">
        <v>1590420</v>
      </c>
      <c r="L37" s="61">
        <v>1320624</v>
      </c>
      <c r="M37" s="61">
        <v>1991570</v>
      </c>
      <c r="N37" s="61">
        <v>2830948</v>
      </c>
      <c r="O37" s="61">
        <v>1917065</v>
      </c>
      <c r="P37" s="61">
        <v>2203646</v>
      </c>
      <c r="Q37" s="61">
        <v>2128517</v>
      </c>
      <c r="R37" s="61">
        <v>1925064</v>
      </c>
      <c r="S37" s="61">
        <v>2227340</v>
      </c>
      <c r="T37" s="61">
        <v>3286310</v>
      </c>
      <c r="U37" s="61">
        <v>0</v>
      </c>
      <c r="V37" s="61">
        <v>0</v>
      </c>
      <c r="W37" s="61">
        <v>0</v>
      </c>
      <c r="X37" s="61">
        <v>0</v>
      </c>
      <c r="Y37" s="61">
        <v>1959992</v>
      </c>
      <c r="Z37" s="61">
        <v>1536497</v>
      </c>
      <c r="AA37" s="61">
        <v>1859293</v>
      </c>
      <c r="AB37" s="61">
        <v>1075603</v>
      </c>
      <c r="AC37" s="61">
        <v>1907058</v>
      </c>
      <c r="AD37" s="61">
        <v>2846020</v>
      </c>
      <c r="AE37" s="61">
        <v>2001601</v>
      </c>
      <c r="AF37" s="61">
        <v>2237513</v>
      </c>
      <c r="AG37" s="61">
        <v>1058300</v>
      </c>
      <c r="AH37" s="61">
        <v>2158025</v>
      </c>
      <c r="AI37" s="61">
        <v>2839000</v>
      </c>
      <c r="AJ37" s="61">
        <v>1322276</v>
      </c>
      <c r="AK37" s="61">
        <v>0</v>
      </c>
      <c r="AL37" s="61">
        <v>0</v>
      </c>
      <c r="AM37" s="61">
        <v>0</v>
      </c>
      <c r="AN37" s="61">
        <v>0</v>
      </c>
      <c r="AO37" s="61">
        <v>2846481</v>
      </c>
      <c r="AP37" s="61">
        <v>3277055</v>
      </c>
      <c r="AQ37" s="61">
        <v>3816962</v>
      </c>
      <c r="AR37" s="61">
        <v>2918562</v>
      </c>
      <c r="AS37" s="61">
        <v>2118781</v>
      </c>
      <c r="AT37" s="61">
        <v>2662391</v>
      </c>
      <c r="AU37" s="61">
        <v>1886017</v>
      </c>
      <c r="AV37" s="61">
        <v>2941918</v>
      </c>
      <c r="AW37" s="61">
        <v>3213446</v>
      </c>
      <c r="AX37" s="61">
        <v>2627612</v>
      </c>
      <c r="AY37" s="61">
        <v>2771870</v>
      </c>
      <c r="AZ37" s="61">
        <v>2513064</v>
      </c>
      <c r="BA37" s="61">
        <v>0</v>
      </c>
      <c r="BB37" s="61">
        <v>0</v>
      </c>
      <c r="BC37" s="61">
        <v>0</v>
      </c>
      <c r="BD37" s="61">
        <v>0</v>
      </c>
      <c r="BE37" s="61">
        <v>1238430</v>
      </c>
      <c r="BF37" s="61">
        <v>3061680</v>
      </c>
      <c r="BG37" s="61">
        <v>2663267</v>
      </c>
      <c r="BH37" s="61">
        <v>1774149</v>
      </c>
      <c r="BI37" s="61">
        <v>2338849</v>
      </c>
      <c r="BJ37" s="61">
        <v>2715951</v>
      </c>
      <c r="BK37" s="61">
        <v>1566233</v>
      </c>
      <c r="BL37" s="61">
        <v>2640513</v>
      </c>
      <c r="BM37" s="61">
        <v>2465672</v>
      </c>
      <c r="BN37" s="61">
        <v>2945367</v>
      </c>
      <c r="BO37" s="61">
        <v>3087500</v>
      </c>
      <c r="BP37" s="61">
        <v>2300000</v>
      </c>
      <c r="BQ37" s="61">
        <v>0</v>
      </c>
      <c r="BR37" s="61">
        <v>0</v>
      </c>
      <c r="BS37" s="61">
        <v>0</v>
      </c>
      <c r="BT37" s="61">
        <v>0</v>
      </c>
      <c r="BU37" s="61">
        <v>2924570</v>
      </c>
      <c r="BV37" s="61">
        <v>2258927</v>
      </c>
      <c r="BW37" s="61">
        <v>3275282</v>
      </c>
      <c r="BX37" s="61">
        <v>2462883</v>
      </c>
      <c r="BY37" s="61">
        <v>1551972</v>
      </c>
      <c r="BZ37" s="61">
        <v>2036121</v>
      </c>
      <c r="CA37" s="61">
        <v>2536665</v>
      </c>
      <c r="CB37" s="61">
        <v>3503735</v>
      </c>
      <c r="CC37" s="61">
        <v>2863367</v>
      </c>
      <c r="CD37" s="61">
        <v>3505479</v>
      </c>
      <c r="CE37" s="61">
        <v>2064430</v>
      </c>
      <c r="CF37" s="61">
        <v>1803081</v>
      </c>
      <c r="CG37" s="61">
        <v>0</v>
      </c>
      <c r="CH37" s="61">
        <v>0</v>
      </c>
      <c r="CI37" s="61">
        <v>0</v>
      </c>
      <c r="CJ37" s="61">
        <v>0</v>
      </c>
      <c r="CK37" s="61">
        <v>1107805</v>
      </c>
      <c r="CL37" s="61">
        <v>2080667</v>
      </c>
      <c r="CM37" s="61">
        <v>2256698</v>
      </c>
      <c r="CN37" s="61">
        <v>2611044</v>
      </c>
      <c r="CO37" s="61">
        <v>1548846</v>
      </c>
      <c r="CP37" s="61">
        <v>1396001</v>
      </c>
      <c r="CQ37" s="61">
        <v>2738826</v>
      </c>
      <c r="CR37" s="61">
        <v>1956756</v>
      </c>
      <c r="CS37" s="61">
        <v>1729578</v>
      </c>
      <c r="CT37" s="61">
        <v>1548419</v>
      </c>
      <c r="CU37" s="61">
        <v>954090</v>
      </c>
      <c r="CV37" s="61">
        <v>1348679</v>
      </c>
      <c r="CW37" s="61">
        <v>0</v>
      </c>
      <c r="CX37" s="61">
        <v>0</v>
      </c>
      <c r="CY37" s="61">
        <v>0</v>
      </c>
      <c r="CZ37" s="61">
        <v>0</v>
      </c>
      <c r="DA37" s="61">
        <v>1521291</v>
      </c>
      <c r="DB37" s="61">
        <v>1770040</v>
      </c>
      <c r="DC37" s="61">
        <v>2030907</v>
      </c>
      <c r="DD37" s="61">
        <v>1898573</v>
      </c>
      <c r="DE37" s="61">
        <v>2272635</v>
      </c>
      <c r="DF37" s="61">
        <v>1258641</v>
      </c>
      <c r="DG37" s="61">
        <v>1371161</v>
      </c>
      <c r="DH37" s="61">
        <v>2517074</v>
      </c>
      <c r="DI37" s="61">
        <v>1832857</v>
      </c>
      <c r="DJ37" s="61">
        <v>2179260</v>
      </c>
      <c r="DK37" s="61">
        <v>2169105.67</v>
      </c>
      <c r="DL37" s="61">
        <v>1247976</v>
      </c>
      <c r="DM37" s="61">
        <v>0</v>
      </c>
      <c r="DN37" s="61">
        <v>0</v>
      </c>
      <c r="DO37" s="61">
        <v>0</v>
      </c>
      <c r="DP37" s="61">
        <v>0</v>
      </c>
      <c r="DQ37" s="61">
        <v>1574813</v>
      </c>
      <c r="DR37" s="61">
        <v>1709035</v>
      </c>
      <c r="DS37" s="61">
        <v>1683027</v>
      </c>
      <c r="DT37" s="61">
        <v>2007936</v>
      </c>
      <c r="DU37" s="61">
        <v>1671782</v>
      </c>
      <c r="DV37" s="61">
        <v>1342070</v>
      </c>
      <c r="DW37" s="61">
        <v>2050572</v>
      </c>
      <c r="DX37" s="61">
        <v>1535232</v>
      </c>
      <c r="DY37" s="61">
        <v>2055072</v>
      </c>
      <c r="DZ37" s="61">
        <v>1897950</v>
      </c>
      <c r="EA37" s="61">
        <v>1806769</v>
      </c>
      <c r="EB37" s="61">
        <v>1750672</v>
      </c>
      <c r="EC37" s="61">
        <v>0</v>
      </c>
      <c r="ED37" s="61">
        <v>0</v>
      </c>
      <c r="EE37" s="61">
        <v>0</v>
      </c>
      <c r="EF37" s="61">
        <v>0</v>
      </c>
      <c r="EG37" s="61">
        <v>2335925</v>
      </c>
      <c r="EH37" s="61">
        <v>2116328</v>
      </c>
      <c r="EI37" s="61">
        <v>1776016</v>
      </c>
      <c r="EJ37" s="61">
        <v>2063935</v>
      </c>
      <c r="EK37" s="61">
        <v>1739042</v>
      </c>
      <c r="EL37" s="61">
        <v>2523675</v>
      </c>
      <c r="EM37" s="61">
        <v>2211573</v>
      </c>
      <c r="EN37" s="61">
        <v>2157605</v>
      </c>
      <c r="EO37" s="61">
        <v>2462754</v>
      </c>
      <c r="EP37" s="61">
        <v>191040</v>
      </c>
      <c r="EQ37" s="61">
        <v>1843670.67</v>
      </c>
      <c r="ER37" s="61">
        <v>0</v>
      </c>
      <c r="ES37" s="61">
        <v>0</v>
      </c>
      <c r="ET37" s="61">
        <v>0</v>
      </c>
      <c r="EU37" s="61">
        <v>0</v>
      </c>
      <c r="EV37" s="61">
        <v>2814527</v>
      </c>
      <c r="EW37" s="61">
        <v>1710435</v>
      </c>
      <c r="EX37" s="61">
        <v>3653244</v>
      </c>
      <c r="EY37" s="61">
        <v>2957636</v>
      </c>
      <c r="EZ37" s="61">
        <v>2817143</v>
      </c>
      <c r="FA37" s="61">
        <v>2569201</v>
      </c>
      <c r="FB37" s="61">
        <v>2986157</v>
      </c>
      <c r="FC37" s="61">
        <v>2126817</v>
      </c>
      <c r="FD37" s="61">
        <v>2149557</v>
      </c>
      <c r="FE37" s="61">
        <v>1898990</v>
      </c>
      <c r="FF37" s="61">
        <v>2933928</v>
      </c>
      <c r="FG37" s="61">
        <v>0</v>
      </c>
      <c r="FH37" s="168">
        <v>0</v>
      </c>
      <c r="FI37" s="168">
        <v>0</v>
      </c>
      <c r="FJ37" s="61">
        <v>0</v>
      </c>
      <c r="FK37" s="61">
        <v>3447823</v>
      </c>
      <c r="FL37" s="61">
        <v>2351081</v>
      </c>
      <c r="FM37" s="61">
        <v>2390841</v>
      </c>
      <c r="FN37" s="61">
        <v>1516616</v>
      </c>
      <c r="FO37" s="61">
        <v>2571864</v>
      </c>
      <c r="FP37" s="61">
        <v>2048000</v>
      </c>
      <c r="FQ37" s="61">
        <v>1927685</v>
      </c>
      <c r="FR37" s="61">
        <v>2495580</v>
      </c>
      <c r="FS37" s="61">
        <v>2527094</v>
      </c>
      <c r="FT37" s="61">
        <v>1908460</v>
      </c>
      <c r="FU37" s="61">
        <v>3159412</v>
      </c>
      <c r="FV37" s="61">
        <v>0</v>
      </c>
      <c r="FW37" s="61">
        <v>0</v>
      </c>
      <c r="FX37" s="61">
        <v>0</v>
      </c>
      <c r="FY37" s="61">
        <v>0</v>
      </c>
      <c r="FZ37" s="61">
        <v>2192179</v>
      </c>
      <c r="GA37" s="61">
        <v>1449799</v>
      </c>
      <c r="GB37" s="61">
        <v>2114222</v>
      </c>
      <c r="GC37" s="61">
        <v>1882060</v>
      </c>
      <c r="GD37" s="61">
        <v>3094089</v>
      </c>
      <c r="GE37" s="61">
        <v>2639396</v>
      </c>
      <c r="GF37" s="61">
        <v>2500171</v>
      </c>
      <c r="GG37" s="61">
        <v>2348055</v>
      </c>
      <c r="GH37" s="61">
        <v>2424334.6669999999</v>
      </c>
      <c r="GI37" s="61">
        <v>2983160</v>
      </c>
      <c r="GJ37" s="61">
        <v>2149852</v>
      </c>
      <c r="GK37" s="61"/>
      <c r="GL37" s="275">
        <f t="shared" si="0"/>
        <v>2248952.25</v>
      </c>
      <c r="GM37" s="275">
        <f t="shared" si="1"/>
        <v>1900098.1666666667</v>
      </c>
      <c r="GN37" s="275">
        <f t="shared" si="2"/>
        <v>2799513.25</v>
      </c>
      <c r="GO37" s="275">
        <f t="shared" si="3"/>
        <v>2399800.9166666665</v>
      </c>
      <c r="GP37" s="275">
        <f t="shared" si="4"/>
        <v>2565542.6666666665</v>
      </c>
      <c r="GQ37" s="275">
        <f t="shared" si="5"/>
        <v>1773117.4166666667</v>
      </c>
      <c r="GR37" s="275">
        <f t="shared" si="6"/>
        <v>1839126.7225000001</v>
      </c>
      <c r="GS37" s="275">
        <f t="shared" si="7"/>
        <v>1757077.5</v>
      </c>
      <c r="GT37" s="275">
        <f t="shared" si="8"/>
        <v>1947414.8790909091</v>
      </c>
      <c r="GU37" s="275">
        <f t="shared" si="9"/>
        <v>2601603.1818181816</v>
      </c>
      <c r="GV37" s="275">
        <f t="shared" si="10"/>
        <v>2394950.5454545454</v>
      </c>
      <c r="GW37" s="275">
        <f t="shared" si="11"/>
        <v>2343392.515181818</v>
      </c>
      <c r="GX37" t="s">
        <v>846</v>
      </c>
      <c r="GY37" s="3" t="s">
        <v>287</v>
      </c>
    </row>
    <row r="38" spans="2:207">
      <c r="B38" t="s">
        <v>2612</v>
      </c>
      <c r="E38" s="61">
        <v>0</v>
      </c>
      <c r="F38" s="61">
        <v>0</v>
      </c>
      <c r="G38" s="61">
        <v>0</v>
      </c>
      <c r="H38" s="61">
        <v>0</v>
      </c>
      <c r="I38" s="61">
        <v>11982165</v>
      </c>
      <c r="J38" s="61">
        <v>14809440</v>
      </c>
      <c r="K38" s="61">
        <v>8975636</v>
      </c>
      <c r="L38" s="61">
        <v>6166132</v>
      </c>
      <c r="M38" s="61">
        <v>8810032</v>
      </c>
      <c r="N38" s="61">
        <v>12399053</v>
      </c>
      <c r="O38" s="61">
        <v>9268468</v>
      </c>
      <c r="P38" s="61">
        <v>13545386</v>
      </c>
      <c r="Q38" s="61">
        <v>10605781</v>
      </c>
      <c r="R38" s="61">
        <v>14743309</v>
      </c>
      <c r="S38" s="61">
        <v>9201070</v>
      </c>
      <c r="T38" s="61">
        <v>17164727</v>
      </c>
      <c r="U38" s="61">
        <v>0</v>
      </c>
      <c r="V38" s="61">
        <v>0</v>
      </c>
      <c r="W38" s="61">
        <v>0</v>
      </c>
      <c r="X38" s="61">
        <v>0</v>
      </c>
      <c r="Y38" s="61">
        <v>13884345</v>
      </c>
      <c r="Z38" s="61">
        <v>8162875</v>
      </c>
      <c r="AA38" s="61">
        <v>9222102</v>
      </c>
      <c r="AB38" s="61">
        <v>9802668</v>
      </c>
      <c r="AC38" s="61">
        <v>6603789</v>
      </c>
      <c r="AD38" s="61">
        <v>10058286</v>
      </c>
      <c r="AE38" s="61">
        <v>10165842</v>
      </c>
      <c r="AF38" s="61">
        <v>14394819</v>
      </c>
      <c r="AG38" s="61">
        <v>7445949</v>
      </c>
      <c r="AH38" s="61">
        <v>12778032</v>
      </c>
      <c r="AI38" s="61">
        <v>15080880</v>
      </c>
      <c r="AJ38" s="61">
        <v>7921127</v>
      </c>
      <c r="AK38" s="61">
        <v>0</v>
      </c>
      <c r="AL38" s="61">
        <v>0</v>
      </c>
      <c r="AM38" s="61">
        <v>0</v>
      </c>
      <c r="AN38" s="61">
        <v>0</v>
      </c>
      <c r="AO38" s="61">
        <v>13747719</v>
      </c>
      <c r="AP38" s="61">
        <v>18524666</v>
      </c>
      <c r="AQ38" s="61">
        <v>16056409</v>
      </c>
      <c r="AR38" s="61">
        <v>14399209</v>
      </c>
      <c r="AS38" s="61">
        <v>8686089</v>
      </c>
      <c r="AT38" s="61">
        <v>11461609</v>
      </c>
      <c r="AU38" s="61">
        <v>10146318</v>
      </c>
      <c r="AV38" s="61">
        <v>11691375</v>
      </c>
      <c r="AW38" s="61">
        <v>13109113</v>
      </c>
      <c r="AX38" s="61">
        <v>12884369</v>
      </c>
      <c r="AY38" s="61">
        <v>11939560</v>
      </c>
      <c r="AZ38" s="61">
        <v>13642163</v>
      </c>
      <c r="BA38" s="61">
        <v>0</v>
      </c>
      <c r="BB38" s="61">
        <v>0</v>
      </c>
      <c r="BC38" s="61">
        <v>0</v>
      </c>
      <c r="BD38" s="61">
        <v>0</v>
      </c>
      <c r="BE38" s="61">
        <v>5025309</v>
      </c>
      <c r="BF38" s="61">
        <v>12969077</v>
      </c>
      <c r="BG38" s="61">
        <v>11486136</v>
      </c>
      <c r="BH38" s="61">
        <v>7480025</v>
      </c>
      <c r="BI38" s="61">
        <v>8819142</v>
      </c>
      <c r="BJ38" s="61">
        <v>15142564</v>
      </c>
      <c r="BK38" s="61">
        <v>9023429</v>
      </c>
      <c r="BL38" s="61">
        <v>9147834</v>
      </c>
      <c r="BM38" s="61">
        <v>10175164</v>
      </c>
      <c r="BN38" s="61">
        <v>12052729</v>
      </c>
      <c r="BO38" s="61">
        <v>10505140</v>
      </c>
      <c r="BP38" s="61">
        <v>10667980</v>
      </c>
      <c r="BQ38" s="61">
        <v>0</v>
      </c>
      <c r="BR38" s="61">
        <v>0</v>
      </c>
      <c r="BS38" s="61">
        <v>0</v>
      </c>
      <c r="BT38" s="61">
        <v>0</v>
      </c>
      <c r="BU38" s="61">
        <v>14149921</v>
      </c>
      <c r="BV38" s="61">
        <v>8517637</v>
      </c>
      <c r="BW38" s="61">
        <v>13058827</v>
      </c>
      <c r="BX38" s="61">
        <v>10710479</v>
      </c>
      <c r="BY38" s="61">
        <v>7642710</v>
      </c>
      <c r="BZ38" s="61">
        <v>9288593</v>
      </c>
      <c r="CA38" s="61">
        <v>10523149</v>
      </c>
      <c r="CB38" s="61">
        <v>15623558</v>
      </c>
      <c r="CC38" s="61">
        <v>13860448</v>
      </c>
      <c r="CD38" s="61">
        <v>14725815</v>
      </c>
      <c r="CE38" s="61">
        <v>8321979</v>
      </c>
      <c r="CF38" s="61">
        <v>6429824</v>
      </c>
      <c r="CG38" s="61">
        <v>0</v>
      </c>
      <c r="CH38" s="61">
        <v>0</v>
      </c>
      <c r="CI38" s="61">
        <v>0</v>
      </c>
      <c r="CJ38" s="61">
        <v>0</v>
      </c>
      <c r="CK38" s="61">
        <v>7035483</v>
      </c>
      <c r="CL38" s="61">
        <v>7193624</v>
      </c>
      <c r="CM38" s="61">
        <v>10478058</v>
      </c>
      <c r="CN38" s="61">
        <v>10232078</v>
      </c>
      <c r="CO38" s="61">
        <v>6805868</v>
      </c>
      <c r="CP38" s="61">
        <v>8431286</v>
      </c>
      <c r="CQ38" s="61">
        <v>11731557</v>
      </c>
      <c r="CR38" s="61">
        <v>8902723</v>
      </c>
      <c r="CS38" s="61">
        <v>6498709</v>
      </c>
      <c r="CT38" s="61">
        <v>6391732</v>
      </c>
      <c r="CU38" s="61">
        <v>7084760</v>
      </c>
      <c r="CV38" s="61">
        <v>5085269</v>
      </c>
      <c r="CW38" s="61">
        <v>0</v>
      </c>
      <c r="CX38" s="61">
        <v>0</v>
      </c>
      <c r="CY38" s="61">
        <v>0</v>
      </c>
      <c r="CZ38" s="61">
        <v>0</v>
      </c>
      <c r="DA38" s="61">
        <v>9640231</v>
      </c>
      <c r="DB38" s="61">
        <v>6267930</v>
      </c>
      <c r="DC38" s="61">
        <v>8961834</v>
      </c>
      <c r="DD38" s="61">
        <v>6941288</v>
      </c>
      <c r="DE38" s="61">
        <v>9071367</v>
      </c>
      <c r="DF38" s="61">
        <v>6942259</v>
      </c>
      <c r="DG38" s="61">
        <v>5814221</v>
      </c>
      <c r="DH38" s="61">
        <v>9083891</v>
      </c>
      <c r="DI38" s="61">
        <v>8086776</v>
      </c>
      <c r="DJ38" s="61">
        <v>6958880</v>
      </c>
      <c r="DK38" s="61">
        <v>8168785.0099999998</v>
      </c>
      <c r="DL38" s="61">
        <v>4419165</v>
      </c>
      <c r="DM38" s="61">
        <v>0</v>
      </c>
      <c r="DN38" s="61">
        <v>0</v>
      </c>
      <c r="DO38" s="61">
        <v>0</v>
      </c>
      <c r="DP38" s="61">
        <v>0</v>
      </c>
      <c r="DQ38" s="61">
        <v>8015497</v>
      </c>
      <c r="DR38" s="61">
        <v>6978804</v>
      </c>
      <c r="DS38" s="61">
        <v>6558977</v>
      </c>
      <c r="DT38" s="61">
        <v>8443691</v>
      </c>
      <c r="DU38" s="61">
        <v>7891773</v>
      </c>
      <c r="DV38" s="61">
        <v>6348417</v>
      </c>
      <c r="DW38" s="61">
        <v>7527117</v>
      </c>
      <c r="DX38" s="61">
        <v>6807739</v>
      </c>
      <c r="DY38" s="61">
        <v>9232184</v>
      </c>
      <c r="DZ38" s="61">
        <v>6393350</v>
      </c>
      <c r="EA38" s="61">
        <v>6367759</v>
      </c>
      <c r="EB38" s="61">
        <v>6657096</v>
      </c>
      <c r="EC38" s="61">
        <v>0</v>
      </c>
      <c r="ED38" s="61">
        <v>0</v>
      </c>
      <c r="EE38" s="61">
        <v>0</v>
      </c>
      <c r="EF38" s="61">
        <v>0</v>
      </c>
      <c r="EG38" s="61">
        <v>10804457</v>
      </c>
      <c r="EH38" s="61">
        <v>8633597</v>
      </c>
      <c r="EI38" s="61">
        <v>7204758</v>
      </c>
      <c r="EJ38" s="61">
        <v>7659208</v>
      </c>
      <c r="EK38" s="61">
        <v>6906448</v>
      </c>
      <c r="EL38" s="61">
        <v>10735612</v>
      </c>
      <c r="EM38" s="61">
        <v>8800304</v>
      </c>
      <c r="EN38" s="61">
        <v>7170313</v>
      </c>
      <c r="EO38" s="61">
        <v>10140766</v>
      </c>
      <c r="EP38" s="61">
        <v>4590090</v>
      </c>
      <c r="EQ38" s="61">
        <v>7691339.1699999999</v>
      </c>
      <c r="ER38" s="61">
        <v>0</v>
      </c>
      <c r="ES38" s="61">
        <v>0</v>
      </c>
      <c r="ET38" s="61">
        <v>0</v>
      </c>
      <c r="EU38" s="61">
        <v>0</v>
      </c>
      <c r="EV38" s="61">
        <v>10504923</v>
      </c>
      <c r="EW38" s="61">
        <v>9991604</v>
      </c>
      <c r="EX38" s="61">
        <v>13980693</v>
      </c>
      <c r="EY38" s="61">
        <v>12737233</v>
      </c>
      <c r="EZ38" s="61">
        <v>10704970</v>
      </c>
      <c r="FA38" s="61">
        <v>12977191</v>
      </c>
      <c r="FB38" s="61">
        <v>15422010</v>
      </c>
      <c r="FC38" s="61">
        <v>9656483</v>
      </c>
      <c r="FD38" s="61">
        <v>7914810</v>
      </c>
      <c r="FE38" s="61">
        <v>6877170</v>
      </c>
      <c r="FF38" s="61">
        <v>10325960</v>
      </c>
      <c r="FG38" s="61">
        <v>0</v>
      </c>
      <c r="FH38" s="168">
        <v>0</v>
      </c>
      <c r="FI38" s="168">
        <v>0</v>
      </c>
      <c r="FJ38" s="61">
        <v>0</v>
      </c>
      <c r="FK38" s="61">
        <v>12438617</v>
      </c>
      <c r="FL38" s="61">
        <v>11842673</v>
      </c>
      <c r="FM38" s="61">
        <v>14995486</v>
      </c>
      <c r="FN38" s="61">
        <v>10430412</v>
      </c>
      <c r="FO38" s="61">
        <v>9981819</v>
      </c>
      <c r="FP38" s="61">
        <v>10700638</v>
      </c>
      <c r="FQ38" s="61">
        <v>10525471</v>
      </c>
      <c r="FR38" s="61">
        <v>11910300</v>
      </c>
      <c r="FS38" s="61">
        <v>11650393</v>
      </c>
      <c r="FT38" s="61">
        <v>11838640</v>
      </c>
      <c r="FU38" s="61">
        <v>13006728</v>
      </c>
      <c r="FV38" s="61">
        <v>0</v>
      </c>
      <c r="FW38" s="61">
        <v>0</v>
      </c>
      <c r="FX38" s="61">
        <v>0</v>
      </c>
      <c r="FY38" s="61">
        <v>0</v>
      </c>
      <c r="FZ38" s="61">
        <v>11739652</v>
      </c>
      <c r="GA38" s="61">
        <v>8351234</v>
      </c>
      <c r="GB38" s="61">
        <v>12360951</v>
      </c>
      <c r="GC38" s="61">
        <v>8975452</v>
      </c>
      <c r="GD38" s="61">
        <v>18468445</v>
      </c>
      <c r="GE38" s="61">
        <v>16544231</v>
      </c>
      <c r="GF38" s="61">
        <v>12717897</v>
      </c>
      <c r="GG38" s="61">
        <v>10479264</v>
      </c>
      <c r="GH38" s="61">
        <v>10174841.166666999</v>
      </c>
      <c r="GI38" s="61">
        <v>7627680</v>
      </c>
      <c r="GJ38" s="61">
        <v>14212582</v>
      </c>
      <c r="GK38" s="61"/>
    </row>
    <row r="39" spans="2:207">
      <c r="B39" t="s">
        <v>808</v>
      </c>
      <c r="C39" t="s">
        <v>809</v>
      </c>
      <c r="D39" s="3" t="s">
        <v>288</v>
      </c>
      <c r="E39" s="61"/>
      <c r="F39" s="61"/>
      <c r="G39" s="61"/>
      <c r="H39" s="61">
        <v>1518376</v>
      </c>
      <c r="I39" s="61">
        <v>2867286</v>
      </c>
      <c r="J39" s="61">
        <v>2388554</v>
      </c>
      <c r="K39" s="61">
        <v>1501627</v>
      </c>
      <c r="L39" s="61">
        <v>1731665</v>
      </c>
      <c r="M39" s="61">
        <v>2345437</v>
      </c>
      <c r="N39" s="61">
        <v>1775318</v>
      </c>
      <c r="O39" s="61">
        <v>1985439</v>
      </c>
      <c r="P39" s="61">
        <v>2842746</v>
      </c>
      <c r="Q39" s="61">
        <v>2685106</v>
      </c>
      <c r="R39" s="61">
        <v>3251102</v>
      </c>
      <c r="S39" s="61">
        <v>1574520</v>
      </c>
      <c r="T39" s="61">
        <v>2934544</v>
      </c>
      <c r="U39" s="61"/>
      <c r="V39" s="61"/>
      <c r="W39" s="61"/>
      <c r="X39" s="61">
        <v>1466477</v>
      </c>
      <c r="Y39" s="61">
        <v>2322728</v>
      </c>
      <c r="Z39" s="61">
        <v>1536291</v>
      </c>
      <c r="AA39" s="61">
        <v>950483</v>
      </c>
      <c r="AB39" s="61">
        <v>1689516</v>
      </c>
      <c r="AC39" s="61">
        <v>1959606</v>
      </c>
      <c r="AD39" s="61">
        <v>845331</v>
      </c>
      <c r="AE39" s="61">
        <v>1872063</v>
      </c>
      <c r="AF39" s="61">
        <v>2866427</v>
      </c>
      <c r="AG39" s="61">
        <v>2065534.9999999998</v>
      </c>
      <c r="AH39" s="61">
        <v>2344601</v>
      </c>
      <c r="AI39" s="61">
        <v>2016220</v>
      </c>
      <c r="AJ39" s="61">
        <v>2047865</v>
      </c>
      <c r="AK39" s="61"/>
      <c r="AL39" s="61"/>
      <c r="AM39" s="61"/>
      <c r="AN39" s="61">
        <v>2699230</v>
      </c>
      <c r="AO39" s="61">
        <v>2020789</v>
      </c>
      <c r="AP39" s="61">
        <v>2751072</v>
      </c>
      <c r="AQ39" s="61">
        <v>1687579</v>
      </c>
      <c r="AR39" s="61">
        <v>2388715</v>
      </c>
      <c r="AS39" s="61">
        <v>1319453</v>
      </c>
      <c r="AT39" s="61">
        <v>1077580</v>
      </c>
      <c r="AU39" s="61">
        <v>1809360</v>
      </c>
      <c r="AV39" s="61">
        <v>1535680</v>
      </c>
      <c r="AW39" s="61">
        <v>2113200</v>
      </c>
      <c r="AX39" s="61">
        <v>2376645</v>
      </c>
      <c r="AY39" s="61">
        <v>2219660</v>
      </c>
      <c r="AZ39" s="61">
        <v>1793285</v>
      </c>
      <c r="BA39" s="61"/>
      <c r="BB39" s="61"/>
      <c r="BC39" s="61"/>
      <c r="BD39" s="61">
        <v>1120590</v>
      </c>
      <c r="BE39" s="61">
        <v>1070177</v>
      </c>
      <c r="BF39" s="61">
        <v>870244</v>
      </c>
      <c r="BG39" s="61">
        <v>952239</v>
      </c>
      <c r="BH39" s="61">
        <v>1651973</v>
      </c>
      <c r="BI39" s="61">
        <v>885975</v>
      </c>
      <c r="BJ39" s="61">
        <v>2294898</v>
      </c>
      <c r="BK39" s="61">
        <v>2290836</v>
      </c>
      <c r="BL39" s="61">
        <v>1324759</v>
      </c>
      <c r="BM39" s="61">
        <v>1214565</v>
      </c>
      <c r="BN39" s="61">
        <v>1396087</v>
      </c>
      <c r="BO39" s="61">
        <v>974610</v>
      </c>
      <c r="BP39" s="61">
        <v>1531124</v>
      </c>
      <c r="BQ39" s="61"/>
      <c r="BR39" s="61"/>
      <c r="BS39" s="61"/>
      <c r="BT39" s="61">
        <v>1497800</v>
      </c>
      <c r="BU39" s="61">
        <v>2036347</v>
      </c>
      <c r="BV39" s="61">
        <v>589102</v>
      </c>
      <c r="BW39" s="61">
        <v>1401968</v>
      </c>
      <c r="BX39" s="61">
        <v>1164652</v>
      </c>
      <c r="BY39" s="61">
        <v>973216</v>
      </c>
      <c r="BZ39" s="61">
        <v>1157111</v>
      </c>
      <c r="CA39" s="61">
        <v>1752885</v>
      </c>
      <c r="CB39" s="61">
        <v>1307618</v>
      </c>
      <c r="CC39" s="61">
        <v>1426506</v>
      </c>
      <c r="CD39" s="61">
        <v>861870</v>
      </c>
      <c r="CE39" s="61">
        <v>1086052</v>
      </c>
      <c r="CF39" s="61">
        <v>796785</v>
      </c>
      <c r="CG39" s="61"/>
      <c r="CH39" s="61"/>
      <c r="CI39" s="61"/>
      <c r="CJ39" s="61">
        <v>746975</v>
      </c>
      <c r="CK39" s="61">
        <v>1338074</v>
      </c>
      <c r="CL39" s="61">
        <v>765014</v>
      </c>
      <c r="CM39" s="61">
        <v>696896</v>
      </c>
      <c r="CN39" s="61">
        <v>910891</v>
      </c>
      <c r="CO39" s="61">
        <v>1509341</v>
      </c>
      <c r="CP39" s="61">
        <v>1715533</v>
      </c>
      <c r="CQ39" s="61">
        <v>1438387</v>
      </c>
      <c r="CR39" s="61">
        <v>998056</v>
      </c>
      <c r="CS39" s="61">
        <v>1059999</v>
      </c>
      <c r="CT39" s="61">
        <v>721216</v>
      </c>
      <c r="CU39" s="61">
        <v>1125670</v>
      </c>
      <c r="CV39" s="61">
        <v>639838</v>
      </c>
      <c r="CW39" s="61"/>
      <c r="CX39" s="61"/>
      <c r="CY39" s="61"/>
      <c r="CZ39" s="61">
        <v>793374</v>
      </c>
      <c r="DA39" s="61">
        <v>1583537</v>
      </c>
      <c r="DB39" s="61">
        <v>1504490</v>
      </c>
      <c r="DC39" s="61">
        <v>1576847</v>
      </c>
      <c r="DD39" s="61">
        <v>880950</v>
      </c>
      <c r="DE39" s="61">
        <v>888497</v>
      </c>
      <c r="DF39" s="61">
        <v>1079322</v>
      </c>
      <c r="DG39" s="61">
        <v>1157218</v>
      </c>
      <c r="DH39" s="61">
        <v>612923</v>
      </c>
      <c r="DI39" s="61">
        <v>1096240</v>
      </c>
      <c r="DJ39" s="61">
        <v>709850</v>
      </c>
      <c r="DK39" s="61">
        <v>1036955.17</v>
      </c>
      <c r="DL39" s="61">
        <v>613341</v>
      </c>
      <c r="DM39" s="61"/>
      <c r="DN39" s="61"/>
      <c r="DO39" s="61"/>
      <c r="DP39" s="61">
        <v>823769</v>
      </c>
      <c r="DQ39" s="61">
        <v>1379175</v>
      </c>
      <c r="DR39" s="61">
        <v>1454344</v>
      </c>
      <c r="DS39" s="61">
        <v>776733</v>
      </c>
      <c r="DT39" s="61">
        <v>1152453</v>
      </c>
      <c r="DU39" s="61">
        <v>612396</v>
      </c>
      <c r="DV39" s="61">
        <v>1497936</v>
      </c>
      <c r="DW39" s="61">
        <v>681891</v>
      </c>
      <c r="DX39" s="61">
        <v>878113</v>
      </c>
      <c r="DY39" s="61">
        <v>1066283</v>
      </c>
      <c r="DZ39" s="61">
        <v>1019170</v>
      </c>
      <c r="EA39" s="61">
        <v>919119</v>
      </c>
      <c r="EB39" s="61">
        <v>515582</v>
      </c>
      <c r="EC39" s="61"/>
      <c r="ED39" s="61"/>
      <c r="EE39" s="61"/>
      <c r="EF39" s="61">
        <v>1324409</v>
      </c>
      <c r="EG39" s="61">
        <v>842674</v>
      </c>
      <c r="EH39" s="61">
        <v>1502617</v>
      </c>
      <c r="EI39" s="61">
        <v>1361316</v>
      </c>
      <c r="EJ39" s="61">
        <v>735789</v>
      </c>
      <c r="EK39" s="61">
        <v>1376704</v>
      </c>
      <c r="EL39" s="61">
        <v>806562</v>
      </c>
      <c r="EM39" s="61">
        <v>835194</v>
      </c>
      <c r="EN39" s="61">
        <v>517191.00000000006</v>
      </c>
      <c r="EO39" s="61">
        <v>1204433</v>
      </c>
      <c r="EP39" s="61">
        <v>880130</v>
      </c>
      <c r="EQ39" s="61">
        <v>1440644.33</v>
      </c>
      <c r="ER39" s="61"/>
      <c r="ES39" s="61"/>
      <c r="ET39" s="61"/>
      <c r="EU39" s="61">
        <v>1807503</v>
      </c>
      <c r="EV39" s="61">
        <v>837499</v>
      </c>
      <c r="EW39" s="61">
        <v>1447217</v>
      </c>
      <c r="EX39" s="61">
        <v>1106448</v>
      </c>
      <c r="EY39" s="61">
        <v>1648452</v>
      </c>
      <c r="EZ39" s="61">
        <v>1090807</v>
      </c>
      <c r="FA39" s="61">
        <v>1546552</v>
      </c>
      <c r="FB39" s="61">
        <v>2030181</v>
      </c>
      <c r="FC39" s="61">
        <v>1693816</v>
      </c>
      <c r="FD39" s="61">
        <v>1404324</v>
      </c>
      <c r="FE39" s="61">
        <v>919160</v>
      </c>
      <c r="FF39" s="61">
        <v>1237505</v>
      </c>
      <c r="FG39" s="61"/>
      <c r="FH39" s="168"/>
      <c r="FI39" s="168"/>
      <c r="FJ39" s="61">
        <v>2343124</v>
      </c>
      <c r="FK39" s="61">
        <v>985010</v>
      </c>
      <c r="FL39" s="61">
        <v>1837697</v>
      </c>
      <c r="FM39" s="61">
        <v>3494116</v>
      </c>
      <c r="FN39" s="61">
        <v>1778402</v>
      </c>
      <c r="FO39" s="61">
        <v>1236912</v>
      </c>
      <c r="FP39" s="61">
        <v>1735353</v>
      </c>
      <c r="FQ39" s="61">
        <v>2062413</v>
      </c>
      <c r="FR39" s="61">
        <v>1572075</v>
      </c>
      <c r="FS39" s="61">
        <v>2695850</v>
      </c>
      <c r="FT39" s="61">
        <v>1871600</v>
      </c>
      <c r="FU39" s="61">
        <v>1463076</v>
      </c>
      <c r="FV39" s="61"/>
      <c r="FW39" s="61"/>
      <c r="FX39" s="61"/>
      <c r="FY39" s="61">
        <v>2814804</v>
      </c>
      <c r="FZ39" s="61">
        <v>2597457</v>
      </c>
      <c r="GA39" s="61">
        <v>1758644</v>
      </c>
      <c r="GB39" s="61">
        <v>2067117.0000000002</v>
      </c>
      <c r="GC39" s="61">
        <v>1636252</v>
      </c>
      <c r="GD39" s="61">
        <v>3019106</v>
      </c>
      <c r="GE39" s="61">
        <v>3195809</v>
      </c>
      <c r="GF39" s="61">
        <v>2289693</v>
      </c>
      <c r="GG39" s="61">
        <v>2189167</v>
      </c>
      <c r="GH39" s="61">
        <v>3423666</v>
      </c>
      <c r="GI39" s="61">
        <v>1133880</v>
      </c>
      <c r="GJ39" s="61">
        <v>2374559</v>
      </c>
      <c r="GK39" s="61"/>
      <c r="GL39" s="275">
        <f>AVERAGE(H39:T39)</f>
        <v>2261670.769230769</v>
      </c>
      <c r="GM39" s="275">
        <f>AVERAGE(X39:AJ39)</f>
        <v>1844857.1538461538</v>
      </c>
      <c r="GN39" s="275">
        <f>AVERAGE(AN39:AZ39)</f>
        <v>1984019.076923077</v>
      </c>
      <c r="GO39" s="275">
        <f>AVERAGE(BD39:BP39)</f>
        <v>1352159.7692307692</v>
      </c>
      <c r="GP39" s="275">
        <f>AVERAGE(BT39:CF39)</f>
        <v>1234762.4615384615</v>
      </c>
      <c r="GQ39" s="275">
        <f>AVERAGE(CJ39:CV39)</f>
        <v>1051222.3076923077</v>
      </c>
      <c r="GR39" s="275">
        <f>AVERAGE(CZ39:DL39)</f>
        <v>1041041.8592307692</v>
      </c>
      <c r="GS39" s="275">
        <f>AVERAGE(DP39:EB39)</f>
        <v>982843.38461538462</v>
      </c>
      <c r="GT39" s="275">
        <f>AVERAGE(EF39:EQ39)</f>
        <v>1068971.9441666666</v>
      </c>
      <c r="GU39" s="275">
        <f>AVERAGE(EU39:FF39)</f>
        <v>1397455.3333333333</v>
      </c>
      <c r="GV39" s="275">
        <f>AVERAGE(FJ39:FU39)</f>
        <v>1922969</v>
      </c>
      <c r="GW39" s="275">
        <f>AVERAGE(FY39:GJ39)</f>
        <v>2375012.8333333335</v>
      </c>
      <c r="GX39" t="s">
        <v>846</v>
      </c>
      <c r="GY39" s="3" t="s">
        <v>288</v>
      </c>
    </row>
    <row r="40" spans="2:207">
      <c r="B40" t="s">
        <v>2613</v>
      </c>
      <c r="E40" s="61"/>
      <c r="F40" s="61"/>
      <c r="G40" s="61"/>
      <c r="H40" s="61">
        <v>1518376</v>
      </c>
      <c r="I40" s="61">
        <v>2867286</v>
      </c>
      <c r="J40" s="61">
        <v>2388554</v>
      </c>
      <c r="K40" s="61">
        <v>1501627</v>
      </c>
      <c r="L40" s="61">
        <v>1731665</v>
      </c>
      <c r="M40" s="61">
        <v>2345437</v>
      </c>
      <c r="N40" s="61">
        <v>1775318</v>
      </c>
      <c r="O40" s="61">
        <v>1985439</v>
      </c>
      <c r="P40" s="61">
        <v>2842746</v>
      </c>
      <c r="Q40" s="61">
        <v>2685106</v>
      </c>
      <c r="R40" s="61">
        <v>3251102</v>
      </c>
      <c r="S40" s="61">
        <v>1574520</v>
      </c>
      <c r="T40" s="61">
        <v>2934544</v>
      </c>
      <c r="U40" s="61"/>
      <c r="V40" s="61"/>
      <c r="W40" s="61"/>
      <c r="X40" s="61">
        <v>1466477</v>
      </c>
      <c r="Y40" s="61">
        <v>2322728</v>
      </c>
      <c r="Z40" s="61">
        <v>1536291</v>
      </c>
      <c r="AA40" s="61">
        <v>950483</v>
      </c>
      <c r="AB40" s="61">
        <v>1689516</v>
      </c>
      <c r="AC40" s="61">
        <v>1959606</v>
      </c>
      <c r="AD40" s="61">
        <v>845331</v>
      </c>
      <c r="AE40" s="61">
        <v>1872063</v>
      </c>
      <c r="AF40" s="61">
        <v>2866427</v>
      </c>
      <c r="AG40" s="61">
        <v>2065534.9999999998</v>
      </c>
      <c r="AH40" s="61">
        <v>2344601</v>
      </c>
      <c r="AI40" s="61">
        <v>2016220</v>
      </c>
      <c r="AJ40" s="61">
        <v>2047865</v>
      </c>
      <c r="AK40" s="61"/>
      <c r="AL40" s="61"/>
      <c r="AM40" s="61"/>
      <c r="AN40" s="61">
        <v>2699230</v>
      </c>
      <c r="AO40" s="61">
        <v>2020789</v>
      </c>
      <c r="AP40" s="61">
        <v>2751072</v>
      </c>
      <c r="AQ40" s="61">
        <v>1687579</v>
      </c>
      <c r="AR40" s="61">
        <v>2388715</v>
      </c>
      <c r="AS40" s="61">
        <v>1319453</v>
      </c>
      <c r="AT40" s="61">
        <v>1077580</v>
      </c>
      <c r="AU40" s="61">
        <v>1809360</v>
      </c>
      <c r="AV40" s="61">
        <v>1535680</v>
      </c>
      <c r="AW40" s="61">
        <v>2113200</v>
      </c>
      <c r="AX40" s="61">
        <v>2376645</v>
      </c>
      <c r="AY40" s="61">
        <v>2219660</v>
      </c>
      <c r="AZ40" s="61">
        <v>1793285</v>
      </c>
      <c r="BA40" s="61"/>
      <c r="BB40" s="61"/>
      <c r="BC40" s="61"/>
      <c r="BD40" s="61">
        <v>1120590</v>
      </c>
      <c r="BE40" s="61">
        <v>1070177</v>
      </c>
      <c r="BF40" s="61">
        <v>870244</v>
      </c>
      <c r="BG40" s="61">
        <v>952239</v>
      </c>
      <c r="BH40" s="61">
        <v>1651973</v>
      </c>
      <c r="BI40" s="61">
        <v>885975</v>
      </c>
      <c r="BJ40" s="61">
        <v>2294898</v>
      </c>
      <c r="BK40" s="61">
        <v>2290836</v>
      </c>
      <c r="BL40" s="61">
        <v>1324759</v>
      </c>
      <c r="BM40" s="61">
        <v>1214565</v>
      </c>
      <c r="BN40" s="61">
        <v>1396087</v>
      </c>
      <c r="BO40" s="61">
        <v>974610</v>
      </c>
      <c r="BP40" s="61">
        <v>1531124</v>
      </c>
      <c r="BQ40" s="61"/>
      <c r="BR40" s="61"/>
      <c r="BS40" s="61"/>
      <c r="BT40" s="61">
        <v>1497800</v>
      </c>
      <c r="BU40" s="61">
        <v>2036347</v>
      </c>
      <c r="BV40" s="61">
        <v>589102</v>
      </c>
      <c r="BW40" s="61">
        <v>1401968</v>
      </c>
      <c r="BX40" s="61">
        <v>1164652</v>
      </c>
      <c r="BY40" s="61">
        <v>973216</v>
      </c>
      <c r="BZ40" s="61">
        <v>1157111</v>
      </c>
      <c r="CA40" s="61">
        <v>1752885</v>
      </c>
      <c r="CB40" s="61">
        <v>1307618</v>
      </c>
      <c r="CC40" s="61">
        <v>1426506</v>
      </c>
      <c r="CD40" s="61">
        <v>861870</v>
      </c>
      <c r="CE40" s="61">
        <v>1086052</v>
      </c>
      <c r="CF40" s="61">
        <v>796785</v>
      </c>
      <c r="CG40" s="61"/>
      <c r="CH40" s="61"/>
      <c r="CI40" s="61"/>
      <c r="CJ40" s="61">
        <v>746975</v>
      </c>
      <c r="CK40" s="61">
        <v>1338074</v>
      </c>
      <c r="CL40" s="61">
        <v>765014</v>
      </c>
      <c r="CM40" s="61">
        <v>696896</v>
      </c>
      <c r="CN40" s="61">
        <v>910891</v>
      </c>
      <c r="CO40" s="61">
        <v>1509341</v>
      </c>
      <c r="CP40" s="61">
        <v>1715533</v>
      </c>
      <c r="CQ40" s="61">
        <v>1438387</v>
      </c>
      <c r="CR40" s="61">
        <v>998056</v>
      </c>
      <c r="CS40" s="61">
        <v>1059999</v>
      </c>
      <c r="CT40" s="61">
        <v>721216</v>
      </c>
      <c r="CU40" s="61">
        <v>1125670</v>
      </c>
      <c r="CV40" s="61">
        <v>639838</v>
      </c>
      <c r="CW40" s="61"/>
      <c r="CX40" s="61"/>
      <c r="CY40" s="61"/>
      <c r="CZ40" s="61">
        <v>793374</v>
      </c>
      <c r="DA40" s="61">
        <v>1583537</v>
      </c>
      <c r="DB40" s="61">
        <v>1504490</v>
      </c>
      <c r="DC40" s="61">
        <v>1576847</v>
      </c>
      <c r="DD40" s="61">
        <v>880950</v>
      </c>
      <c r="DE40" s="61">
        <v>888497</v>
      </c>
      <c r="DF40" s="61">
        <v>1079322</v>
      </c>
      <c r="DG40" s="61">
        <v>1157218</v>
      </c>
      <c r="DH40" s="61">
        <v>612923</v>
      </c>
      <c r="DI40" s="61">
        <v>1096240</v>
      </c>
      <c r="DJ40" s="61">
        <v>709850</v>
      </c>
      <c r="DK40" s="61">
        <v>1036955.17</v>
      </c>
      <c r="DL40" s="61">
        <v>613341</v>
      </c>
      <c r="DM40" s="61"/>
      <c r="DN40" s="61"/>
      <c r="DO40" s="61"/>
      <c r="DP40" s="61">
        <v>823769</v>
      </c>
      <c r="DQ40" s="61">
        <v>1379175</v>
      </c>
      <c r="DR40" s="61">
        <v>1454344</v>
      </c>
      <c r="DS40" s="61">
        <v>776733</v>
      </c>
      <c r="DT40" s="61">
        <v>1152453</v>
      </c>
      <c r="DU40" s="61">
        <v>612396</v>
      </c>
      <c r="DV40" s="61">
        <v>1497936</v>
      </c>
      <c r="DW40" s="61">
        <v>681891</v>
      </c>
      <c r="DX40" s="61">
        <v>878113</v>
      </c>
      <c r="DY40" s="61">
        <v>1066283</v>
      </c>
      <c r="DZ40" s="61">
        <v>1019170</v>
      </c>
      <c r="EA40" s="61">
        <v>919119</v>
      </c>
      <c r="EB40" s="61">
        <v>515582</v>
      </c>
      <c r="EC40" s="61"/>
      <c r="ED40" s="61"/>
      <c r="EE40" s="61"/>
      <c r="EF40" s="61">
        <v>1324409</v>
      </c>
      <c r="EG40" s="61">
        <v>842674</v>
      </c>
      <c r="EH40" s="61">
        <v>1502617</v>
      </c>
      <c r="EI40" s="61">
        <v>1361316</v>
      </c>
      <c r="EJ40" s="61">
        <v>735789</v>
      </c>
      <c r="EK40" s="61">
        <v>1376704</v>
      </c>
      <c r="EL40" s="61">
        <v>806562</v>
      </c>
      <c r="EM40" s="61">
        <v>835194</v>
      </c>
      <c r="EN40" s="61">
        <v>517191.00000000006</v>
      </c>
      <c r="EO40" s="61">
        <v>1204433</v>
      </c>
      <c r="EP40" s="61">
        <v>880130</v>
      </c>
      <c r="EQ40" s="61">
        <v>1440644.33</v>
      </c>
      <c r="ER40" s="61"/>
      <c r="ES40" s="61"/>
      <c r="ET40" s="61"/>
      <c r="EU40" s="61">
        <v>1807503</v>
      </c>
      <c r="EV40" s="61">
        <v>837499</v>
      </c>
      <c r="EW40" s="61">
        <v>1447217</v>
      </c>
      <c r="EX40" s="61">
        <v>1106448</v>
      </c>
      <c r="EY40" s="61">
        <v>1648452</v>
      </c>
      <c r="EZ40" s="61">
        <v>1090807</v>
      </c>
      <c r="FA40" s="61">
        <v>1546552</v>
      </c>
      <c r="FB40" s="61">
        <v>2030181</v>
      </c>
      <c r="FC40" s="61">
        <v>1693816</v>
      </c>
      <c r="FD40" s="61">
        <v>1404324</v>
      </c>
      <c r="FE40" s="61">
        <v>919160</v>
      </c>
      <c r="FF40" s="61">
        <v>1237505</v>
      </c>
      <c r="FG40" s="61"/>
      <c r="FH40" s="168"/>
      <c r="FI40" s="168"/>
      <c r="FJ40" s="61">
        <v>2343124</v>
      </c>
      <c r="FK40" s="61">
        <v>985010</v>
      </c>
      <c r="FL40" s="61">
        <v>1837697</v>
      </c>
      <c r="FM40" s="61">
        <v>3494116</v>
      </c>
      <c r="FN40" s="61">
        <v>1778402</v>
      </c>
      <c r="FO40" s="61">
        <v>1236912</v>
      </c>
      <c r="FP40" s="61">
        <v>1735353</v>
      </c>
      <c r="FQ40" s="61">
        <v>2062413</v>
      </c>
      <c r="FR40" s="61">
        <v>1572075</v>
      </c>
      <c r="FS40" s="61">
        <v>2695850</v>
      </c>
      <c r="FT40" s="61">
        <v>1871600</v>
      </c>
      <c r="FU40" s="61">
        <v>1463076</v>
      </c>
      <c r="FV40" s="61"/>
      <c r="FW40" s="61"/>
      <c r="FX40" s="61"/>
      <c r="FY40" s="61">
        <v>2814804</v>
      </c>
      <c r="FZ40" s="61">
        <v>2597457</v>
      </c>
      <c r="GA40" s="61">
        <v>1758644</v>
      </c>
      <c r="GB40" s="61">
        <v>2067117.0000000002</v>
      </c>
      <c r="GC40" s="61">
        <v>1636252</v>
      </c>
      <c r="GD40" s="61">
        <v>3019106</v>
      </c>
      <c r="GE40" s="61">
        <v>3195809</v>
      </c>
      <c r="GF40" s="61">
        <v>2289693</v>
      </c>
      <c r="GG40" s="61">
        <v>2189167</v>
      </c>
      <c r="GH40" s="61">
        <v>3423666</v>
      </c>
      <c r="GI40" s="61">
        <v>1133880</v>
      </c>
      <c r="GJ40" s="61">
        <v>2374559</v>
      </c>
      <c r="GK40" s="61"/>
    </row>
    <row r="41" spans="2:207" s="277" customFormat="1">
      <c r="B41" s="277" t="s">
        <v>803</v>
      </c>
      <c r="C41" s="277" t="s">
        <v>796</v>
      </c>
      <c r="D41" s="277" t="s">
        <v>289</v>
      </c>
      <c r="E41" s="278"/>
      <c r="F41" s="278"/>
      <c r="G41" s="278"/>
      <c r="H41" s="278"/>
      <c r="I41" s="278"/>
      <c r="J41" s="278">
        <v>3549606</v>
      </c>
      <c r="K41" s="278">
        <v>2108369</v>
      </c>
      <c r="L41" s="278">
        <v>2035885</v>
      </c>
      <c r="M41" s="278">
        <v>2587395</v>
      </c>
      <c r="N41" s="278">
        <v>3194007</v>
      </c>
      <c r="O41" s="278">
        <v>2668971</v>
      </c>
      <c r="P41" s="278">
        <v>2663057</v>
      </c>
      <c r="Q41" s="278">
        <v>2145660</v>
      </c>
      <c r="R41" s="278">
        <v>2260610</v>
      </c>
      <c r="S41" s="278">
        <v>3333840</v>
      </c>
      <c r="T41" s="278">
        <v>3623096</v>
      </c>
      <c r="U41" s="278"/>
      <c r="V41" s="278"/>
      <c r="W41" s="278"/>
      <c r="X41" s="278"/>
      <c r="Y41" s="278"/>
      <c r="Z41" s="278">
        <v>1824917</v>
      </c>
      <c r="AA41" s="278">
        <v>3033748</v>
      </c>
      <c r="AB41" s="278">
        <v>3122632</v>
      </c>
      <c r="AC41" s="278">
        <v>2028490</v>
      </c>
      <c r="AD41" s="278">
        <v>3629823</v>
      </c>
      <c r="AE41" s="278">
        <v>2739408</v>
      </c>
      <c r="AF41" s="278">
        <v>3253080</v>
      </c>
      <c r="AG41" s="278">
        <v>2026671</v>
      </c>
      <c r="AH41" s="278">
        <v>2845282</v>
      </c>
      <c r="AI41" s="278">
        <v>3355000</v>
      </c>
      <c r="AJ41" s="278">
        <v>2430564</v>
      </c>
      <c r="AK41" s="278"/>
      <c r="AL41" s="278"/>
      <c r="AM41" s="278"/>
      <c r="AN41" s="278"/>
      <c r="AO41" s="278"/>
      <c r="AP41" s="278">
        <v>3971688</v>
      </c>
      <c r="AQ41" s="278">
        <v>3507078</v>
      </c>
      <c r="AR41" s="278">
        <v>3392429</v>
      </c>
      <c r="AS41" s="278">
        <v>1971352</v>
      </c>
      <c r="AT41" s="278">
        <v>2516345</v>
      </c>
      <c r="AU41" s="278">
        <v>2291429</v>
      </c>
      <c r="AV41" s="278">
        <v>2831113</v>
      </c>
      <c r="AW41" s="278">
        <v>2296233</v>
      </c>
      <c r="AX41" s="278">
        <v>2799153</v>
      </c>
      <c r="AY41" s="278">
        <v>2580490</v>
      </c>
      <c r="AZ41" s="278">
        <v>3391621</v>
      </c>
      <c r="BA41" s="278"/>
      <c r="BB41" s="278"/>
      <c r="BC41" s="278"/>
      <c r="BD41" s="278"/>
      <c r="BE41" s="278"/>
      <c r="BF41" s="278">
        <v>3274391</v>
      </c>
      <c r="BG41" s="278">
        <v>2585067</v>
      </c>
      <c r="BH41" s="278">
        <v>1447819</v>
      </c>
      <c r="BI41" s="278">
        <v>2093634</v>
      </c>
      <c r="BJ41" s="278">
        <v>3257702</v>
      </c>
      <c r="BK41" s="278">
        <v>2048831.0000000002</v>
      </c>
      <c r="BL41" s="278">
        <v>2204140</v>
      </c>
      <c r="BM41" s="278">
        <v>2395524</v>
      </c>
      <c r="BN41" s="278">
        <v>3060999</v>
      </c>
      <c r="BO41" s="278">
        <v>2746290</v>
      </c>
      <c r="BP41" s="278">
        <v>2486204</v>
      </c>
      <c r="BQ41" s="278"/>
      <c r="BR41" s="278"/>
      <c r="BS41" s="278"/>
      <c r="BT41" s="278"/>
      <c r="BU41" s="278"/>
      <c r="BV41" s="278">
        <v>1865797</v>
      </c>
      <c r="BW41" s="278">
        <v>3007163</v>
      </c>
      <c r="BX41" s="278">
        <v>2736060</v>
      </c>
      <c r="BY41" s="278">
        <v>2067786</v>
      </c>
      <c r="BZ41" s="278">
        <v>2401574</v>
      </c>
      <c r="CA41" s="278">
        <v>2521664</v>
      </c>
      <c r="CB41" s="278">
        <v>3324721</v>
      </c>
      <c r="CC41" s="278">
        <v>3052022</v>
      </c>
      <c r="CD41" s="278">
        <v>3691582</v>
      </c>
      <c r="CE41" s="278">
        <v>2094500</v>
      </c>
      <c r="CF41" s="278">
        <v>1935274</v>
      </c>
      <c r="CG41" s="278"/>
      <c r="CH41" s="278"/>
      <c r="CI41" s="278"/>
      <c r="CJ41" s="278"/>
      <c r="CK41" s="278"/>
      <c r="CL41" s="278">
        <v>1491712</v>
      </c>
      <c r="CM41" s="278">
        <v>1931220</v>
      </c>
      <c r="CN41" s="278">
        <v>2531309</v>
      </c>
      <c r="CO41" s="278">
        <v>1720917</v>
      </c>
      <c r="CP41" s="278">
        <v>2065503.0000000002</v>
      </c>
      <c r="CQ41" s="278">
        <v>2780852</v>
      </c>
      <c r="CR41" s="278">
        <v>1651094</v>
      </c>
      <c r="CS41" s="278">
        <v>1569053</v>
      </c>
      <c r="CT41" s="278">
        <v>1412619</v>
      </c>
      <c r="CU41" s="278">
        <v>1235350</v>
      </c>
      <c r="CV41" s="278">
        <v>1627568</v>
      </c>
      <c r="CW41" s="278"/>
      <c r="CX41" s="278"/>
      <c r="CY41" s="278"/>
      <c r="CZ41" s="278"/>
      <c r="DA41" s="278">
        <v>1171160</v>
      </c>
      <c r="DB41" s="278">
        <v>1517130</v>
      </c>
      <c r="DC41" s="278">
        <v>1877171</v>
      </c>
      <c r="DD41" s="278">
        <v>1840410</v>
      </c>
      <c r="DE41" s="278">
        <v>1823381</v>
      </c>
      <c r="DF41" s="278">
        <v>1480375</v>
      </c>
      <c r="DG41" s="278">
        <v>1259864</v>
      </c>
      <c r="DH41" s="278">
        <v>2497900</v>
      </c>
      <c r="DI41" s="278">
        <v>1676956</v>
      </c>
      <c r="DJ41" s="278">
        <v>1470610</v>
      </c>
      <c r="DK41" s="278">
        <v>2267398.83</v>
      </c>
      <c r="DL41" s="278">
        <v>1209088</v>
      </c>
      <c r="DM41" s="278"/>
      <c r="DN41" s="278"/>
      <c r="DO41" s="278"/>
      <c r="DP41" s="278"/>
      <c r="DQ41" s="278">
        <v>2075096</v>
      </c>
      <c r="DR41" s="278">
        <v>1320517</v>
      </c>
      <c r="DS41" s="278">
        <v>1212148</v>
      </c>
      <c r="DT41" s="278">
        <v>2010979</v>
      </c>
      <c r="DU41" s="278">
        <v>1809192</v>
      </c>
      <c r="DV41" s="278">
        <v>1553123</v>
      </c>
      <c r="DW41" s="278">
        <v>1871030</v>
      </c>
      <c r="DX41" s="278">
        <v>1321342</v>
      </c>
      <c r="DY41" s="278">
        <v>2035961</v>
      </c>
      <c r="DZ41" s="278">
        <v>1584790</v>
      </c>
      <c r="EA41" s="278">
        <v>1726713</v>
      </c>
      <c r="EB41" s="278">
        <v>1412872</v>
      </c>
      <c r="EC41" s="278"/>
      <c r="ED41" s="278"/>
      <c r="EE41" s="278"/>
      <c r="EF41" s="278"/>
      <c r="EG41" s="278">
        <v>3044925</v>
      </c>
      <c r="EH41" s="278">
        <v>1971165</v>
      </c>
      <c r="EI41" s="278">
        <v>1578098</v>
      </c>
      <c r="EJ41" s="278">
        <v>1882247</v>
      </c>
      <c r="EK41" s="278">
        <v>1415677</v>
      </c>
      <c r="EL41" s="278">
        <v>2914083</v>
      </c>
      <c r="EM41" s="278">
        <v>1799475</v>
      </c>
      <c r="EN41" s="278">
        <v>1897794</v>
      </c>
      <c r="EO41" s="278">
        <v>2263942.3000000003</v>
      </c>
      <c r="EP41" s="278">
        <v>1813770</v>
      </c>
      <c r="EQ41" s="278">
        <v>1585612.83</v>
      </c>
      <c r="ER41" s="278"/>
      <c r="ES41" s="278"/>
      <c r="ET41" s="278"/>
      <c r="EU41" s="278"/>
      <c r="EV41" s="278">
        <v>2627069</v>
      </c>
      <c r="EW41" s="278">
        <v>2040580</v>
      </c>
      <c r="EX41" s="278">
        <v>3421210</v>
      </c>
      <c r="EY41" s="278">
        <v>3789331</v>
      </c>
      <c r="EZ41" s="278">
        <v>2602565</v>
      </c>
      <c r="FA41" s="278">
        <v>2871704</v>
      </c>
      <c r="FB41" s="278">
        <v>3218949</v>
      </c>
      <c r="FC41" s="278">
        <v>1629490</v>
      </c>
      <c r="FD41" s="278">
        <v>2233076</v>
      </c>
      <c r="FE41" s="278">
        <v>1979460</v>
      </c>
      <c r="FF41" s="278">
        <v>2824509</v>
      </c>
      <c r="FG41" s="278"/>
      <c r="FH41" s="279"/>
      <c r="FI41" s="279"/>
      <c r="FJ41" s="278"/>
      <c r="FK41" s="278">
        <v>4502356</v>
      </c>
      <c r="FL41" s="278">
        <v>3001768</v>
      </c>
      <c r="FM41" s="278">
        <v>2874836</v>
      </c>
      <c r="FN41" s="278">
        <v>2369421</v>
      </c>
      <c r="FO41" s="278">
        <v>2389491</v>
      </c>
      <c r="FP41" s="278">
        <v>3070698</v>
      </c>
      <c r="FQ41" s="278">
        <v>2657827</v>
      </c>
      <c r="FR41" s="278">
        <v>2580273</v>
      </c>
      <c r="FS41" s="278">
        <v>2641111</v>
      </c>
      <c r="FT41" s="278">
        <v>2463170</v>
      </c>
      <c r="FU41" s="278">
        <v>3574611</v>
      </c>
      <c r="FV41" s="278"/>
      <c r="FW41" s="278"/>
      <c r="FX41" s="278"/>
      <c r="FY41" s="278"/>
      <c r="FZ41" s="278">
        <v>2996534</v>
      </c>
      <c r="GA41" s="278">
        <v>3160463</v>
      </c>
      <c r="GB41" s="278">
        <v>2489754</v>
      </c>
      <c r="GC41" s="278">
        <v>3194425</v>
      </c>
      <c r="GD41" s="278">
        <v>3830134</v>
      </c>
      <c r="GE41" s="278">
        <v>4054935</v>
      </c>
      <c r="GF41" s="278">
        <v>3361022</v>
      </c>
      <c r="GG41" s="278">
        <v>3014831</v>
      </c>
      <c r="GH41" s="278">
        <v>2528702.8333330001</v>
      </c>
      <c r="GI41" s="278">
        <v>2042320</v>
      </c>
      <c r="GJ41" s="278">
        <v>3757519</v>
      </c>
      <c r="GK41" s="278"/>
      <c r="GL41" s="275">
        <f>AVERAGE(J41:T41)</f>
        <v>2742772.3636363638</v>
      </c>
      <c r="GM41" s="275">
        <f>AVERAGE(Z41:AJ41)</f>
        <v>2753601.3636363638</v>
      </c>
      <c r="GN41" s="275">
        <f>AVERAGE(AP41:AZ41)</f>
        <v>2868084.6363636362</v>
      </c>
      <c r="GO41" s="275">
        <f>AVERAGE(BF41:BP41)</f>
        <v>2509145.5454545454</v>
      </c>
      <c r="GP41" s="275">
        <f>AVERAGE(BV41:CF41)</f>
        <v>2608922.0909090908</v>
      </c>
      <c r="GQ41" s="275">
        <f>AVERAGE(CL41:CV41)</f>
        <v>1819745.1818181819</v>
      </c>
      <c r="GR41" s="280">
        <f>AVERAGE(DB41:DL41)</f>
        <v>1720025.8027272725</v>
      </c>
      <c r="GS41" s="275">
        <f>AVERAGE(DQ41:EB41)</f>
        <v>1661146.9166666667</v>
      </c>
      <c r="GT41" s="275">
        <f>AVERAGE(EG41:EQ41)</f>
        <v>2015162.6481818184</v>
      </c>
      <c r="GU41" s="275">
        <f>AVERAGE(EV41:FF41)</f>
        <v>2657994.8181818184</v>
      </c>
      <c r="GV41" s="275">
        <f>AVERAGE(FK41:FU41)</f>
        <v>2920505.6363636362</v>
      </c>
      <c r="GW41" s="275">
        <f>AVERAGE(FZ41:GJ41)</f>
        <v>3130058.1666666362</v>
      </c>
      <c r="GX41" s="277" t="s">
        <v>846</v>
      </c>
      <c r="GY41" s="277" t="s">
        <v>289</v>
      </c>
    </row>
    <row r="42" spans="2:207">
      <c r="B42" t="s">
        <v>2614</v>
      </c>
      <c r="E42" s="61"/>
      <c r="F42" s="61"/>
      <c r="G42" s="61"/>
      <c r="H42" s="61"/>
      <c r="I42" s="61"/>
      <c r="J42" s="61">
        <v>3549606</v>
      </c>
      <c r="K42" s="61">
        <v>2108369</v>
      </c>
      <c r="L42" s="61">
        <v>2035885</v>
      </c>
      <c r="M42" s="61">
        <v>2587395</v>
      </c>
      <c r="N42" s="61">
        <v>3194007</v>
      </c>
      <c r="O42" s="61">
        <v>2668971</v>
      </c>
      <c r="P42" s="61">
        <v>2663057</v>
      </c>
      <c r="Q42" s="61">
        <v>2145660</v>
      </c>
      <c r="R42" s="61">
        <v>2260610</v>
      </c>
      <c r="S42" s="61">
        <v>3333840</v>
      </c>
      <c r="T42" s="61">
        <v>3623096</v>
      </c>
      <c r="U42" s="61"/>
      <c r="V42" s="61"/>
      <c r="W42" s="61"/>
      <c r="X42" s="61"/>
      <c r="Y42" s="61"/>
      <c r="Z42" s="61">
        <v>1824917</v>
      </c>
      <c r="AA42" s="61">
        <v>3033748</v>
      </c>
      <c r="AB42" s="61">
        <v>3122632</v>
      </c>
      <c r="AC42" s="61">
        <v>2028490</v>
      </c>
      <c r="AD42" s="61">
        <v>3629823</v>
      </c>
      <c r="AE42" s="61">
        <v>2739408</v>
      </c>
      <c r="AF42" s="61">
        <v>3253080</v>
      </c>
      <c r="AG42" s="61">
        <v>2026671</v>
      </c>
      <c r="AH42" s="61">
        <v>2845282</v>
      </c>
      <c r="AI42" s="61">
        <v>3355000</v>
      </c>
      <c r="AJ42" s="61">
        <v>2430564</v>
      </c>
      <c r="AK42" s="61"/>
      <c r="AL42" s="61"/>
      <c r="AM42" s="61"/>
      <c r="AN42" s="61"/>
      <c r="AO42" s="61"/>
      <c r="AP42" s="61">
        <v>3971688</v>
      </c>
      <c r="AQ42" s="61">
        <v>3507078</v>
      </c>
      <c r="AR42" s="61">
        <v>3392429</v>
      </c>
      <c r="AS42" s="61">
        <v>1971352</v>
      </c>
      <c r="AT42" s="61">
        <v>2516345</v>
      </c>
      <c r="AU42" s="61">
        <v>2291429</v>
      </c>
      <c r="AV42" s="61">
        <v>2831113</v>
      </c>
      <c r="AW42" s="61">
        <v>2296233</v>
      </c>
      <c r="AX42" s="61">
        <v>2799153</v>
      </c>
      <c r="AY42" s="61">
        <v>2580490</v>
      </c>
      <c r="AZ42" s="61">
        <v>3391621</v>
      </c>
      <c r="BA42" s="61"/>
      <c r="BB42" s="61"/>
      <c r="BC42" s="61"/>
      <c r="BD42" s="61"/>
      <c r="BE42" s="61"/>
      <c r="BF42" s="61">
        <v>3274391</v>
      </c>
      <c r="BG42" s="61">
        <v>2585067</v>
      </c>
      <c r="BH42" s="61">
        <v>1447819</v>
      </c>
      <c r="BI42" s="61">
        <v>2093634</v>
      </c>
      <c r="BJ42" s="61">
        <v>3257702</v>
      </c>
      <c r="BK42" s="61">
        <v>2048831.0000000002</v>
      </c>
      <c r="BL42" s="61">
        <v>2204140</v>
      </c>
      <c r="BM42" s="61">
        <v>2395524</v>
      </c>
      <c r="BN42" s="61">
        <v>3060999</v>
      </c>
      <c r="BO42" s="61">
        <v>2746290</v>
      </c>
      <c r="BP42" s="61">
        <v>2486204</v>
      </c>
      <c r="BQ42" s="61"/>
      <c r="BR42" s="61"/>
      <c r="BS42" s="61"/>
      <c r="BT42" s="61"/>
      <c r="BU42" s="61"/>
      <c r="BV42" s="61">
        <v>1865797</v>
      </c>
      <c r="BW42" s="61">
        <v>3007163</v>
      </c>
      <c r="BX42" s="61">
        <v>2736060</v>
      </c>
      <c r="BY42" s="61">
        <v>2067786</v>
      </c>
      <c r="BZ42" s="61">
        <v>2401574</v>
      </c>
      <c r="CA42" s="61">
        <v>2521664</v>
      </c>
      <c r="CB42" s="61">
        <v>3324721</v>
      </c>
      <c r="CC42" s="61">
        <v>3052022</v>
      </c>
      <c r="CD42" s="61">
        <v>3691582</v>
      </c>
      <c r="CE42" s="61">
        <v>2094500</v>
      </c>
      <c r="CF42" s="61">
        <v>1935274</v>
      </c>
      <c r="CG42" s="61"/>
      <c r="CH42" s="61"/>
      <c r="CI42" s="61"/>
      <c r="CJ42" s="61"/>
      <c r="CK42" s="61"/>
      <c r="CL42" s="61">
        <v>1491712</v>
      </c>
      <c r="CM42" s="61">
        <v>1931220</v>
      </c>
      <c r="CN42" s="61">
        <v>2531309</v>
      </c>
      <c r="CO42" s="61">
        <v>1720917</v>
      </c>
      <c r="CP42" s="61">
        <v>2065503.0000000002</v>
      </c>
      <c r="CQ42" s="61">
        <v>2780852</v>
      </c>
      <c r="CR42" s="61">
        <v>1651094</v>
      </c>
      <c r="CS42" s="61">
        <v>1569053</v>
      </c>
      <c r="CT42" s="61">
        <v>1412619</v>
      </c>
      <c r="CU42" s="61">
        <v>1235350</v>
      </c>
      <c r="CV42" s="61">
        <v>1627568</v>
      </c>
      <c r="CW42" s="61"/>
      <c r="CX42" s="61"/>
      <c r="CY42" s="61"/>
      <c r="CZ42" s="61"/>
      <c r="DA42" s="61">
        <v>1171160</v>
      </c>
      <c r="DB42" s="61">
        <v>1517130</v>
      </c>
      <c r="DC42" s="61">
        <v>1877171</v>
      </c>
      <c r="DD42" s="61">
        <v>1840410</v>
      </c>
      <c r="DE42" s="61">
        <v>1823381</v>
      </c>
      <c r="DF42" s="61">
        <v>1480375</v>
      </c>
      <c r="DG42" s="61">
        <v>1259864</v>
      </c>
      <c r="DH42" s="61">
        <v>2497900</v>
      </c>
      <c r="DI42" s="61">
        <v>1676956</v>
      </c>
      <c r="DJ42" s="61">
        <v>1470610</v>
      </c>
      <c r="DK42" s="61">
        <v>2267398.83</v>
      </c>
      <c r="DL42" s="61">
        <v>1209088</v>
      </c>
      <c r="DM42" s="61"/>
      <c r="DN42" s="61"/>
      <c r="DO42" s="61"/>
      <c r="DP42" s="61"/>
      <c r="DQ42" s="61">
        <v>2075096</v>
      </c>
      <c r="DR42" s="61">
        <v>1320517</v>
      </c>
      <c r="DS42" s="61">
        <v>1212148</v>
      </c>
      <c r="DT42" s="61">
        <v>2010979</v>
      </c>
      <c r="DU42" s="61">
        <v>1809192</v>
      </c>
      <c r="DV42" s="61">
        <v>1553123</v>
      </c>
      <c r="DW42" s="61">
        <v>1871030</v>
      </c>
      <c r="DX42" s="61">
        <v>1321342</v>
      </c>
      <c r="DY42" s="61">
        <v>2035961</v>
      </c>
      <c r="DZ42" s="61">
        <v>1584790</v>
      </c>
      <c r="EA42" s="61">
        <v>1726713</v>
      </c>
      <c r="EB42" s="61">
        <v>1412872</v>
      </c>
      <c r="EC42" s="61"/>
      <c r="ED42" s="61"/>
      <c r="EE42" s="61"/>
      <c r="EF42" s="61"/>
      <c r="EG42" s="61">
        <v>3044925</v>
      </c>
      <c r="EH42" s="61">
        <v>1971165</v>
      </c>
      <c r="EI42" s="61">
        <v>1578098</v>
      </c>
      <c r="EJ42" s="61">
        <v>1882247</v>
      </c>
      <c r="EK42" s="61">
        <v>1415677</v>
      </c>
      <c r="EL42" s="61">
        <v>2914083</v>
      </c>
      <c r="EM42" s="61">
        <v>1799475</v>
      </c>
      <c r="EN42" s="61">
        <v>1897794</v>
      </c>
      <c r="EO42" s="61">
        <v>2263942.3000000003</v>
      </c>
      <c r="EP42" s="61">
        <v>1813770</v>
      </c>
      <c r="EQ42" s="61">
        <v>1585612.83</v>
      </c>
      <c r="ER42" s="61"/>
      <c r="ES42" s="61"/>
      <c r="ET42" s="61"/>
      <c r="EU42" s="61"/>
      <c r="EV42" s="61">
        <v>2627069</v>
      </c>
      <c r="EW42" s="61">
        <v>2040580</v>
      </c>
      <c r="EX42" s="61">
        <v>3421210</v>
      </c>
      <c r="EY42" s="61">
        <v>3789331</v>
      </c>
      <c r="EZ42" s="61">
        <v>2602565</v>
      </c>
      <c r="FA42" s="61">
        <v>2871704</v>
      </c>
      <c r="FB42" s="61">
        <v>3218949</v>
      </c>
      <c r="FC42" s="61">
        <v>1629490</v>
      </c>
      <c r="FD42" s="61">
        <v>2233076</v>
      </c>
      <c r="FE42" s="61">
        <v>1979460</v>
      </c>
      <c r="FF42" s="61">
        <v>2824509</v>
      </c>
      <c r="FG42" s="61"/>
      <c r="FH42" s="168"/>
      <c r="FI42" s="168"/>
      <c r="FJ42" s="61"/>
      <c r="FK42" s="61">
        <v>4502356</v>
      </c>
      <c r="FL42" s="61">
        <v>3001768</v>
      </c>
      <c r="FM42" s="61">
        <v>2874836</v>
      </c>
      <c r="FN42" s="61">
        <v>2369421</v>
      </c>
      <c r="FO42" s="61">
        <v>2389491</v>
      </c>
      <c r="FP42" s="61">
        <v>3070698</v>
      </c>
      <c r="FQ42" s="61">
        <v>2657827</v>
      </c>
      <c r="FR42" s="61">
        <v>2580273</v>
      </c>
      <c r="FS42" s="61">
        <v>2641111</v>
      </c>
      <c r="FT42" s="61">
        <v>2463170</v>
      </c>
      <c r="FU42" s="61">
        <v>3574611</v>
      </c>
      <c r="FV42" s="61"/>
      <c r="FW42" s="61"/>
      <c r="FX42" s="61"/>
      <c r="FY42" s="61"/>
      <c r="FZ42" s="61">
        <v>2996534</v>
      </c>
      <c r="GA42" s="61">
        <v>3160463</v>
      </c>
      <c r="GB42" s="61">
        <v>2489754</v>
      </c>
      <c r="GC42" s="61">
        <v>3194425</v>
      </c>
      <c r="GD42" s="61">
        <v>3830134</v>
      </c>
      <c r="GE42" s="61">
        <v>4054935</v>
      </c>
      <c r="GF42" s="61">
        <v>3361022</v>
      </c>
      <c r="GG42" s="61">
        <v>3014831</v>
      </c>
      <c r="GH42" s="61">
        <v>2528702.8333330001</v>
      </c>
      <c r="GI42" s="61">
        <v>2042320</v>
      </c>
      <c r="GJ42" s="61">
        <v>3757519</v>
      </c>
      <c r="GK42" s="61"/>
    </row>
    <row r="43" spans="2:207">
      <c r="B43" t="s">
        <v>790</v>
      </c>
      <c r="C43" t="s">
        <v>794</v>
      </c>
      <c r="D43" s="60" t="s">
        <v>279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1306567</v>
      </c>
      <c r="L43" s="61">
        <v>895633</v>
      </c>
      <c r="M43" s="61">
        <v>1338137</v>
      </c>
      <c r="N43" s="61">
        <v>893754</v>
      </c>
      <c r="O43" s="61">
        <v>1091560</v>
      </c>
      <c r="P43" s="61">
        <v>1609913</v>
      </c>
      <c r="Q43" s="61">
        <v>1436000</v>
      </c>
      <c r="R43" s="61">
        <v>1503000</v>
      </c>
      <c r="S43" s="61">
        <v>739550</v>
      </c>
      <c r="T43" s="61">
        <v>1717585</v>
      </c>
      <c r="U43" s="61">
        <v>0</v>
      </c>
      <c r="V43" s="61">
        <v>0</v>
      </c>
      <c r="W43" s="61">
        <v>0</v>
      </c>
      <c r="X43" s="61">
        <v>0</v>
      </c>
      <c r="Y43" s="61">
        <v>0</v>
      </c>
      <c r="Z43" s="61">
        <v>0</v>
      </c>
      <c r="AA43" s="61">
        <v>600523</v>
      </c>
      <c r="AB43" s="61">
        <v>997787</v>
      </c>
      <c r="AC43" s="61">
        <v>1127032</v>
      </c>
      <c r="AD43" s="61">
        <v>429099</v>
      </c>
      <c r="AE43" s="61">
        <v>943690</v>
      </c>
      <c r="AF43" s="61">
        <v>1837737</v>
      </c>
      <c r="AG43" s="61">
        <v>1002000</v>
      </c>
      <c r="AH43" s="61">
        <v>1258599</v>
      </c>
      <c r="AI43" s="61">
        <v>1072110</v>
      </c>
      <c r="AJ43" s="61">
        <v>930144</v>
      </c>
      <c r="AK43" s="61">
        <v>0</v>
      </c>
      <c r="AL43" s="61">
        <v>0</v>
      </c>
      <c r="AM43" s="61">
        <v>0</v>
      </c>
      <c r="AN43" s="61">
        <v>0</v>
      </c>
      <c r="AO43" s="61">
        <v>0</v>
      </c>
      <c r="AP43" s="61">
        <v>1070606</v>
      </c>
      <c r="AQ43" s="61">
        <v>817636</v>
      </c>
      <c r="AR43" s="61">
        <v>1333299</v>
      </c>
      <c r="AS43" s="61">
        <v>579506</v>
      </c>
      <c r="AT43" s="61">
        <v>485635</v>
      </c>
      <c r="AU43" s="61">
        <v>959926</v>
      </c>
      <c r="AV43" s="61">
        <v>707518</v>
      </c>
      <c r="AW43" s="61">
        <v>1059000</v>
      </c>
      <c r="AX43" s="61">
        <v>1275143</v>
      </c>
      <c r="AY43" s="61">
        <v>1089370</v>
      </c>
      <c r="AZ43" s="61">
        <v>1131250</v>
      </c>
      <c r="BA43" s="61">
        <v>0</v>
      </c>
      <c r="BB43" s="61">
        <v>0</v>
      </c>
      <c r="BC43" s="61">
        <v>0</v>
      </c>
      <c r="BD43" s="61">
        <v>0</v>
      </c>
      <c r="BE43" s="61">
        <v>0</v>
      </c>
      <c r="BF43" s="61">
        <v>604947</v>
      </c>
      <c r="BG43" s="61">
        <v>510111</v>
      </c>
      <c r="BH43" s="61">
        <v>725072</v>
      </c>
      <c r="BI43" s="61">
        <v>391388</v>
      </c>
      <c r="BJ43" s="61">
        <v>1313919</v>
      </c>
      <c r="BK43" s="61">
        <v>1253652</v>
      </c>
      <c r="BL43" s="61">
        <v>699138</v>
      </c>
      <c r="BM43" s="61">
        <v>485000</v>
      </c>
      <c r="BN43" s="61">
        <v>670524</v>
      </c>
      <c r="BO43" s="61">
        <v>359230</v>
      </c>
      <c r="BP43" s="61">
        <v>868367</v>
      </c>
      <c r="BQ43" s="61">
        <v>0</v>
      </c>
      <c r="BR43" s="61">
        <v>0</v>
      </c>
      <c r="BS43" s="61">
        <v>0</v>
      </c>
      <c r="BT43" s="61">
        <v>0</v>
      </c>
      <c r="BU43" s="61">
        <v>0</v>
      </c>
      <c r="BV43" s="61">
        <v>274400</v>
      </c>
      <c r="BW43" s="61">
        <v>714214</v>
      </c>
      <c r="BX43" s="61">
        <v>479214</v>
      </c>
      <c r="BY43" s="61">
        <v>482288</v>
      </c>
      <c r="BZ43" s="61">
        <v>554469</v>
      </c>
      <c r="CA43" s="61">
        <v>798225</v>
      </c>
      <c r="CB43" s="61">
        <v>617014</v>
      </c>
      <c r="CC43" s="61">
        <v>725511</v>
      </c>
      <c r="CD43" s="61">
        <v>438042</v>
      </c>
      <c r="CE43" s="61">
        <v>533171</v>
      </c>
      <c r="CF43" s="61">
        <v>313672</v>
      </c>
      <c r="CG43" s="61">
        <v>0</v>
      </c>
      <c r="CH43" s="61">
        <v>0</v>
      </c>
      <c r="CI43" s="61">
        <v>0</v>
      </c>
      <c r="CJ43" s="61">
        <v>0</v>
      </c>
      <c r="CK43" s="61">
        <v>0</v>
      </c>
      <c r="CL43" s="61">
        <v>368530</v>
      </c>
      <c r="CM43" s="61">
        <v>254965</v>
      </c>
      <c r="CN43" s="61">
        <v>390140</v>
      </c>
      <c r="CO43" s="61">
        <v>725850</v>
      </c>
      <c r="CP43" s="61">
        <v>976115</v>
      </c>
      <c r="CQ43" s="61">
        <v>635582</v>
      </c>
      <c r="CR43" s="61">
        <v>419217</v>
      </c>
      <c r="CS43" s="61">
        <v>527000</v>
      </c>
      <c r="CT43" s="61">
        <v>341291</v>
      </c>
      <c r="CU43" s="61">
        <v>467530</v>
      </c>
      <c r="CV43" s="61">
        <v>280577</v>
      </c>
      <c r="CW43" s="61">
        <v>0</v>
      </c>
      <c r="CX43" s="61">
        <v>0</v>
      </c>
      <c r="CY43" s="61">
        <v>0</v>
      </c>
      <c r="CZ43" s="61">
        <v>0</v>
      </c>
      <c r="DA43" s="61">
        <v>0</v>
      </c>
      <c r="DB43" s="61">
        <v>677341</v>
      </c>
      <c r="DC43" s="61">
        <v>762379</v>
      </c>
      <c r="DD43" s="61">
        <v>438482</v>
      </c>
      <c r="DE43" s="61">
        <v>446300</v>
      </c>
      <c r="DF43" s="61">
        <v>534054</v>
      </c>
      <c r="DG43" s="61">
        <v>453974</v>
      </c>
      <c r="DH43" s="61">
        <v>314250</v>
      </c>
      <c r="DI43" s="61">
        <v>546000</v>
      </c>
      <c r="DJ43" s="61">
        <v>303810</v>
      </c>
      <c r="DK43" s="61">
        <v>421222.17</v>
      </c>
      <c r="DL43" s="61">
        <v>286975</v>
      </c>
      <c r="DM43" s="61">
        <v>0</v>
      </c>
      <c r="DN43" s="61">
        <v>0</v>
      </c>
      <c r="DO43" s="61">
        <v>0</v>
      </c>
      <c r="DP43" s="61">
        <v>0</v>
      </c>
      <c r="DQ43" s="61">
        <v>0</v>
      </c>
      <c r="DR43" s="61">
        <v>770903</v>
      </c>
      <c r="DS43" s="61">
        <v>436353</v>
      </c>
      <c r="DT43" s="61">
        <v>548965</v>
      </c>
      <c r="DU43" s="61">
        <v>323631</v>
      </c>
      <c r="DV43" s="61">
        <v>827931</v>
      </c>
      <c r="DW43" s="61">
        <v>354152</v>
      </c>
      <c r="DX43" s="61">
        <v>477300</v>
      </c>
      <c r="DY43" s="61">
        <v>496050</v>
      </c>
      <c r="DZ43" s="61">
        <v>442850</v>
      </c>
      <c r="EA43" s="61">
        <v>391624</v>
      </c>
      <c r="EB43" s="61">
        <v>258418</v>
      </c>
      <c r="EC43" s="61">
        <v>0</v>
      </c>
      <c r="ED43" s="61">
        <v>0</v>
      </c>
      <c r="EE43" s="61">
        <v>0</v>
      </c>
      <c r="EF43" s="61">
        <v>0</v>
      </c>
      <c r="EG43" s="61">
        <v>0</v>
      </c>
      <c r="EH43" s="61">
        <v>639215</v>
      </c>
      <c r="EI43" s="61">
        <v>654427</v>
      </c>
      <c r="EJ43" s="61">
        <v>356963</v>
      </c>
      <c r="EK43" s="61">
        <v>793500</v>
      </c>
      <c r="EL43" s="61">
        <v>272148</v>
      </c>
      <c r="EM43" s="61">
        <v>391623</v>
      </c>
      <c r="EN43" s="61">
        <v>170669</v>
      </c>
      <c r="EO43" s="61">
        <v>467665</v>
      </c>
      <c r="EP43" s="61">
        <v>425320</v>
      </c>
      <c r="EQ43" s="61">
        <v>650505.67000000004</v>
      </c>
      <c r="ER43" s="61">
        <v>0</v>
      </c>
      <c r="ES43" s="61">
        <v>0</v>
      </c>
      <c r="ET43" s="61">
        <v>0</v>
      </c>
      <c r="EU43" s="61">
        <v>0</v>
      </c>
      <c r="EV43" s="61">
        <v>0</v>
      </c>
      <c r="EW43" s="61">
        <v>801038</v>
      </c>
      <c r="EX43" s="61">
        <v>479864</v>
      </c>
      <c r="EY43" s="61">
        <v>792187</v>
      </c>
      <c r="EZ43" s="61">
        <v>618189</v>
      </c>
      <c r="FA43" s="61">
        <v>753500</v>
      </c>
      <c r="FB43" s="61">
        <v>1126290</v>
      </c>
      <c r="FC43" s="61">
        <v>815770</v>
      </c>
      <c r="FD43" s="61">
        <v>561135</v>
      </c>
      <c r="FE43" s="61">
        <v>339770</v>
      </c>
      <c r="FF43" s="61">
        <v>610906</v>
      </c>
      <c r="FG43" s="61">
        <v>0</v>
      </c>
      <c r="FH43" s="168">
        <v>0</v>
      </c>
      <c r="FI43" s="168">
        <v>0</v>
      </c>
      <c r="FJ43" s="61">
        <v>0</v>
      </c>
      <c r="FK43" s="61">
        <v>0</v>
      </c>
      <c r="FL43" s="61">
        <v>986971</v>
      </c>
      <c r="FM43" s="61">
        <v>2213629</v>
      </c>
      <c r="FN43" s="61">
        <v>716431</v>
      </c>
      <c r="FO43" s="61">
        <v>769159</v>
      </c>
      <c r="FP43" s="61">
        <v>881389</v>
      </c>
      <c r="FQ43" s="61">
        <v>962180</v>
      </c>
      <c r="FR43" s="61">
        <v>720170</v>
      </c>
      <c r="FS43" s="61">
        <v>1392322</v>
      </c>
      <c r="FT43" s="61">
        <v>851260</v>
      </c>
      <c r="FU43" s="61">
        <v>646990</v>
      </c>
      <c r="FV43" s="61">
        <v>0</v>
      </c>
      <c r="FW43" s="61">
        <v>0</v>
      </c>
      <c r="FX43" s="61">
        <v>0</v>
      </c>
      <c r="FY43" s="61">
        <v>0</v>
      </c>
      <c r="FZ43" s="61">
        <v>0</v>
      </c>
      <c r="GA43" s="61">
        <v>784316</v>
      </c>
      <c r="GB43" s="61">
        <v>947489</v>
      </c>
      <c r="GC43" s="61">
        <v>738822</v>
      </c>
      <c r="GD43" s="61">
        <v>1249835</v>
      </c>
      <c r="GE43" s="61">
        <v>1777121</v>
      </c>
      <c r="GF43" s="61">
        <v>1339960</v>
      </c>
      <c r="GG43" s="61">
        <v>980003</v>
      </c>
      <c r="GH43" s="61">
        <v>1992997</v>
      </c>
      <c r="GI43" s="61">
        <v>490510</v>
      </c>
      <c r="GJ43" s="61">
        <v>1235251</v>
      </c>
      <c r="GK43" s="61"/>
      <c r="GL43" s="275">
        <f>AVERAGE(K43:T43)</f>
        <v>1253169.8999999999</v>
      </c>
      <c r="GM43" s="275">
        <f>AVERAGE(AA43:AJ43)</f>
        <v>1019872.1</v>
      </c>
      <c r="GN43" s="275">
        <f>AVERAGE(AP43:AZ43)</f>
        <v>955353.54545454541</v>
      </c>
      <c r="GO43" s="275">
        <f>AVERAGE(BF43:BP43)</f>
        <v>716486.18181818177</v>
      </c>
      <c r="GP43" s="275">
        <f>AVERAGE(BV43:CF43)</f>
        <v>539110.90909090906</v>
      </c>
      <c r="GQ43" s="275">
        <f>AVERAGE(CL43:CV43)</f>
        <v>489708.81818181818</v>
      </c>
      <c r="GR43" s="275">
        <f>AVERAGE(DB43:DL43)</f>
        <v>471344.28818181815</v>
      </c>
      <c r="GS43" s="275">
        <f>AVERAGE(DR43:EB43)</f>
        <v>484379.72727272729</v>
      </c>
      <c r="GT43" s="275">
        <f>AVERAGE(EH43:EQ43)</f>
        <v>482203.56699999998</v>
      </c>
      <c r="GU43" s="275">
        <f>AVERAGE(EW43:FF43)</f>
        <v>689864.9</v>
      </c>
      <c r="GV43" s="275">
        <f>AVERAGE(FL43:FU43)</f>
        <v>1014050.1</v>
      </c>
      <c r="GW43" s="275">
        <f>AVERAGE(GA43:GJ43)</f>
        <v>1153630.3999999999</v>
      </c>
      <c r="GX43" t="s">
        <v>846</v>
      </c>
      <c r="GY43" s="60" t="s">
        <v>279</v>
      </c>
    </row>
    <row r="44" spans="2:207">
      <c r="C44" t="s">
        <v>786</v>
      </c>
      <c r="D44" s="3" t="s">
        <v>283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762682</v>
      </c>
      <c r="L44" s="61">
        <v>1126428</v>
      </c>
      <c r="M44" s="61">
        <v>1010837</v>
      </c>
      <c r="N44" s="61">
        <v>676461</v>
      </c>
      <c r="O44" s="61">
        <v>678123</v>
      </c>
      <c r="P44" s="61">
        <v>1355872</v>
      </c>
      <c r="Q44" s="61">
        <v>809728</v>
      </c>
      <c r="R44" s="61">
        <v>1018806</v>
      </c>
      <c r="S44" s="61">
        <v>796970</v>
      </c>
      <c r="T44" s="61">
        <v>1118641</v>
      </c>
      <c r="U44" s="61">
        <v>0</v>
      </c>
      <c r="V44" s="61">
        <v>0</v>
      </c>
      <c r="W44" s="61">
        <v>0</v>
      </c>
      <c r="X44" s="61">
        <v>0</v>
      </c>
      <c r="Y44" s="61">
        <v>0</v>
      </c>
      <c r="Z44" s="61">
        <v>0</v>
      </c>
      <c r="AA44" s="61">
        <v>873203</v>
      </c>
      <c r="AB44" s="61">
        <v>1053990</v>
      </c>
      <c r="AC44" s="61">
        <v>812517</v>
      </c>
      <c r="AD44" s="61">
        <v>811913</v>
      </c>
      <c r="AE44" s="61">
        <v>1135706</v>
      </c>
      <c r="AF44" s="61">
        <v>1136238</v>
      </c>
      <c r="AG44" s="61">
        <v>898927</v>
      </c>
      <c r="AH44" s="61">
        <v>889738</v>
      </c>
      <c r="AI44" s="61">
        <v>1192890</v>
      </c>
      <c r="AJ44" s="61">
        <v>507893</v>
      </c>
      <c r="AK44" s="61">
        <v>0</v>
      </c>
      <c r="AL44" s="61">
        <v>0</v>
      </c>
      <c r="AM44" s="61">
        <v>0</v>
      </c>
      <c r="AN44" s="61">
        <v>0</v>
      </c>
      <c r="AO44" s="61">
        <v>0</v>
      </c>
      <c r="AP44" s="61">
        <v>0</v>
      </c>
      <c r="AQ44" s="61">
        <v>705350</v>
      </c>
      <c r="AR44" s="61">
        <v>1276207</v>
      </c>
      <c r="AS44" s="61">
        <v>1355899</v>
      </c>
      <c r="AT44" s="61">
        <v>941855</v>
      </c>
      <c r="AU44" s="61">
        <v>978824</v>
      </c>
      <c r="AV44" s="61">
        <v>1333587</v>
      </c>
      <c r="AW44" s="61">
        <v>1137435</v>
      </c>
      <c r="AX44" s="61">
        <v>1035438.0000000001</v>
      </c>
      <c r="AY44" s="61">
        <v>904130</v>
      </c>
      <c r="AZ44" s="61">
        <v>1192257</v>
      </c>
      <c r="BA44" s="61">
        <v>0</v>
      </c>
      <c r="BB44" s="61">
        <v>0</v>
      </c>
      <c r="BC44" s="61">
        <v>0</v>
      </c>
      <c r="BD44" s="61">
        <v>0</v>
      </c>
      <c r="BE44" s="61">
        <v>0</v>
      </c>
      <c r="BF44" s="61">
        <v>0</v>
      </c>
      <c r="BG44" s="61">
        <v>1086235</v>
      </c>
      <c r="BH44" s="61">
        <v>699186</v>
      </c>
      <c r="BI44" s="61">
        <v>1200767</v>
      </c>
      <c r="BJ44" s="61">
        <v>1052740</v>
      </c>
      <c r="BK44" s="61">
        <v>866651</v>
      </c>
      <c r="BL44" s="61">
        <v>712334</v>
      </c>
      <c r="BM44" s="61">
        <v>1072164</v>
      </c>
      <c r="BN44" s="61">
        <v>1046368.9999999999</v>
      </c>
      <c r="BO44" s="61">
        <v>737060</v>
      </c>
      <c r="BP44" s="61">
        <v>1272051</v>
      </c>
      <c r="BQ44" s="61">
        <v>0</v>
      </c>
      <c r="BR44" s="61">
        <v>0</v>
      </c>
      <c r="BS44" s="61">
        <v>0</v>
      </c>
      <c r="BT44" s="61">
        <v>0</v>
      </c>
      <c r="BU44" s="61">
        <v>0</v>
      </c>
      <c r="BV44" s="61">
        <v>0</v>
      </c>
      <c r="BW44" s="61">
        <v>922847</v>
      </c>
      <c r="BX44" s="61">
        <v>861768</v>
      </c>
      <c r="BY44" s="61">
        <v>956630</v>
      </c>
      <c r="BZ44" s="61">
        <v>925506</v>
      </c>
      <c r="CA44" s="61">
        <v>756469</v>
      </c>
      <c r="CB44" s="61">
        <v>1006794</v>
      </c>
      <c r="CC44" s="61">
        <v>1042439.0000000001</v>
      </c>
      <c r="CD44" s="61">
        <v>1476156</v>
      </c>
      <c r="CE44" s="61">
        <v>994809</v>
      </c>
      <c r="CF44" s="61">
        <v>697181</v>
      </c>
      <c r="CG44" s="61">
        <v>0</v>
      </c>
      <c r="CH44" s="61">
        <v>0</v>
      </c>
      <c r="CI44" s="61">
        <v>0</v>
      </c>
      <c r="CJ44" s="61">
        <v>0</v>
      </c>
      <c r="CK44" s="61">
        <v>0</v>
      </c>
      <c r="CL44" s="61">
        <v>0</v>
      </c>
      <c r="CM44" s="61">
        <v>317038</v>
      </c>
      <c r="CN44" s="61">
        <v>532196</v>
      </c>
      <c r="CO44" s="61">
        <v>438977</v>
      </c>
      <c r="CP44" s="61">
        <v>680202</v>
      </c>
      <c r="CQ44" s="61">
        <v>737228</v>
      </c>
      <c r="CR44" s="61">
        <v>755166</v>
      </c>
      <c r="CS44" s="61">
        <v>564558</v>
      </c>
      <c r="CT44" s="61">
        <v>521345</v>
      </c>
      <c r="CU44" s="61">
        <v>593800</v>
      </c>
      <c r="CV44" s="61">
        <v>443945</v>
      </c>
      <c r="CW44" s="61">
        <v>0</v>
      </c>
      <c r="CX44" s="61">
        <v>0</v>
      </c>
      <c r="CY44" s="61">
        <v>0</v>
      </c>
      <c r="CZ44" s="61">
        <v>0</v>
      </c>
      <c r="DA44" s="61">
        <v>0</v>
      </c>
      <c r="DB44" s="61">
        <v>0</v>
      </c>
      <c r="DC44" s="61">
        <v>596233</v>
      </c>
      <c r="DD44" s="61">
        <v>529606</v>
      </c>
      <c r="DE44" s="61">
        <v>497897</v>
      </c>
      <c r="DF44" s="61">
        <v>435263</v>
      </c>
      <c r="DG44" s="61">
        <v>441028</v>
      </c>
      <c r="DH44" s="61">
        <v>827814</v>
      </c>
      <c r="DI44" s="61">
        <v>694737</v>
      </c>
      <c r="DJ44" s="61">
        <v>516370</v>
      </c>
      <c r="DK44" s="61">
        <v>857953.83</v>
      </c>
      <c r="DL44" s="61">
        <v>267468</v>
      </c>
      <c r="DM44" s="61">
        <v>0</v>
      </c>
      <c r="DN44" s="61">
        <v>0</v>
      </c>
      <c r="DO44" s="61">
        <v>0</v>
      </c>
      <c r="DP44" s="61">
        <v>0</v>
      </c>
      <c r="DQ44" s="61">
        <v>0</v>
      </c>
      <c r="DR44" s="61">
        <v>0</v>
      </c>
      <c r="DS44" s="61">
        <v>471959</v>
      </c>
      <c r="DT44" s="61">
        <v>464233</v>
      </c>
      <c r="DU44" s="61">
        <v>597225</v>
      </c>
      <c r="DV44" s="61">
        <v>607312</v>
      </c>
      <c r="DW44" s="61">
        <v>521254</v>
      </c>
      <c r="DX44" s="61">
        <v>335004</v>
      </c>
      <c r="DY44" s="61">
        <v>780019</v>
      </c>
      <c r="DZ44" s="61">
        <v>720520</v>
      </c>
      <c r="EA44" s="61">
        <v>697071</v>
      </c>
      <c r="EB44" s="61">
        <v>262949</v>
      </c>
      <c r="EC44" s="61">
        <v>0</v>
      </c>
      <c r="ED44" s="61">
        <v>0</v>
      </c>
      <c r="EE44" s="61">
        <v>0</v>
      </c>
      <c r="EF44" s="61">
        <v>0</v>
      </c>
      <c r="EG44" s="61">
        <v>0</v>
      </c>
      <c r="EH44" s="61">
        <v>0</v>
      </c>
      <c r="EI44" s="61">
        <v>458515</v>
      </c>
      <c r="EJ44" s="61">
        <v>584910</v>
      </c>
      <c r="EK44" s="61">
        <v>715013</v>
      </c>
      <c r="EL44" s="61">
        <v>824363</v>
      </c>
      <c r="EM44" s="61">
        <v>895304</v>
      </c>
      <c r="EN44" s="61">
        <v>663169</v>
      </c>
      <c r="EO44" s="61">
        <v>492634</v>
      </c>
      <c r="EP44" s="61">
        <v>723600</v>
      </c>
      <c r="EQ44" s="61">
        <v>480740.67</v>
      </c>
      <c r="ER44" s="61">
        <v>0</v>
      </c>
      <c r="ES44" s="61">
        <v>0</v>
      </c>
      <c r="ET44" s="61">
        <v>0</v>
      </c>
      <c r="EU44" s="61">
        <v>0</v>
      </c>
      <c r="EV44" s="61">
        <v>0</v>
      </c>
      <c r="EW44" s="61">
        <v>0</v>
      </c>
      <c r="EX44" s="61">
        <v>903633</v>
      </c>
      <c r="EY44" s="61">
        <v>1453442</v>
      </c>
      <c r="EZ44" s="61">
        <v>952133</v>
      </c>
      <c r="FA44" s="61">
        <v>1105941</v>
      </c>
      <c r="FB44" s="61">
        <v>1132644</v>
      </c>
      <c r="FC44" s="61">
        <v>1093482</v>
      </c>
      <c r="FD44" s="61">
        <v>1035534.0000000001</v>
      </c>
      <c r="FE44" s="61">
        <v>699370</v>
      </c>
      <c r="FF44" s="61">
        <v>899570</v>
      </c>
      <c r="FG44" s="61">
        <v>0</v>
      </c>
      <c r="FH44" s="168">
        <v>0</v>
      </c>
      <c r="FI44" s="168">
        <v>0</v>
      </c>
      <c r="FJ44" s="61">
        <v>0</v>
      </c>
      <c r="FK44" s="61">
        <v>0</v>
      </c>
      <c r="FL44" s="61">
        <v>0</v>
      </c>
      <c r="FM44" s="61">
        <v>1361931</v>
      </c>
      <c r="FN44" s="61">
        <v>698520</v>
      </c>
      <c r="FO44" s="61">
        <v>1297542</v>
      </c>
      <c r="FP44" s="61">
        <v>1229140</v>
      </c>
      <c r="FQ44" s="61">
        <v>989169</v>
      </c>
      <c r="FR44" s="61">
        <v>1189128</v>
      </c>
      <c r="FS44" s="61">
        <v>717301</v>
      </c>
      <c r="FT44" s="61">
        <v>908770</v>
      </c>
      <c r="FU44" s="61">
        <v>1021480</v>
      </c>
      <c r="FV44" s="61">
        <v>0</v>
      </c>
      <c r="FW44" s="61">
        <v>0</v>
      </c>
      <c r="FX44" s="61">
        <v>0</v>
      </c>
      <c r="FY44" s="61">
        <v>0</v>
      </c>
      <c r="FZ44" s="61">
        <v>0</v>
      </c>
      <c r="GA44" s="61">
        <v>970918</v>
      </c>
      <c r="GB44" s="61">
        <v>973195</v>
      </c>
      <c r="GC44" s="61">
        <v>1500705</v>
      </c>
      <c r="GD44" s="61">
        <v>1101670</v>
      </c>
      <c r="GE44" s="61">
        <v>1131893</v>
      </c>
      <c r="GF44" s="61">
        <v>1097668</v>
      </c>
      <c r="GG44" s="61">
        <v>781055</v>
      </c>
      <c r="GH44" s="61">
        <v>1592301.6666999999</v>
      </c>
      <c r="GI44" s="61">
        <v>835950</v>
      </c>
      <c r="GJ44" s="61">
        <v>847924</v>
      </c>
      <c r="GK44" s="61"/>
      <c r="GL44" s="275">
        <f>AVERAGE(K44:T44)</f>
        <v>935454.8</v>
      </c>
      <c r="GM44" s="275">
        <f>AVERAGE(AA44:AJ44)</f>
        <v>931301.5</v>
      </c>
      <c r="GN44" s="275">
        <f>AVERAGE(AQ44:AZ44)</f>
        <v>1086098.2</v>
      </c>
      <c r="GO44" s="275">
        <f>AVERAGE(BG44:BP44)</f>
        <v>974555.7</v>
      </c>
      <c r="GP44" s="275">
        <f>AVERAGE(BW44:CF44)</f>
        <v>964059.9</v>
      </c>
      <c r="GQ44" s="275">
        <f>AVERAGE(CM44:CV44)</f>
        <v>558445.5</v>
      </c>
      <c r="GR44" s="275">
        <f>AVERAGE(DC44:DL44)</f>
        <v>566436.98300000001</v>
      </c>
      <c r="GS44" s="275">
        <f>AVERAGE(DS44:EB44)</f>
        <v>545754.6</v>
      </c>
      <c r="GT44" s="275">
        <f>AVERAGE(EI44:EQ44)</f>
        <v>648694.29666666663</v>
      </c>
      <c r="GU44" s="275">
        <f>AVERAGE(EX44:FF44)</f>
        <v>1030638.7777777778</v>
      </c>
      <c r="GV44" s="275">
        <f>AVERAGE(FM44:FU44)</f>
        <v>1045886.7777777778</v>
      </c>
      <c r="GW44" s="275">
        <f>AVERAGE(GA44:GJ44)</f>
        <v>1083327.96667</v>
      </c>
      <c r="GX44" t="s">
        <v>846</v>
      </c>
      <c r="GY44" s="3" t="s">
        <v>283</v>
      </c>
    </row>
    <row r="45" spans="2:207">
      <c r="D45" s="60" t="s">
        <v>303</v>
      </c>
      <c r="E45" s="61">
        <v>0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1">
        <v>420215</v>
      </c>
      <c r="L45" s="61">
        <v>1180127</v>
      </c>
      <c r="M45" s="61">
        <v>2094050</v>
      </c>
      <c r="N45" s="61">
        <v>1064219</v>
      </c>
      <c r="O45" s="61">
        <v>1334640</v>
      </c>
      <c r="P45" s="61">
        <v>2140358</v>
      </c>
      <c r="Q45" s="61">
        <v>1947000</v>
      </c>
      <c r="R45" s="61">
        <v>2138000</v>
      </c>
      <c r="S45" s="61">
        <v>1021570</v>
      </c>
      <c r="T45" s="61">
        <v>2373001</v>
      </c>
      <c r="U45" s="61">
        <v>0</v>
      </c>
      <c r="V45" s="61">
        <v>0</v>
      </c>
      <c r="W45" s="61">
        <v>0</v>
      </c>
      <c r="X45" s="61">
        <v>0</v>
      </c>
      <c r="Y45" s="61">
        <v>0</v>
      </c>
      <c r="Z45" s="61">
        <v>0</v>
      </c>
      <c r="AA45" s="61">
        <v>173201</v>
      </c>
      <c r="AB45" s="61">
        <v>1507603</v>
      </c>
      <c r="AC45" s="61">
        <v>1623952</v>
      </c>
      <c r="AD45" s="61">
        <v>758680</v>
      </c>
      <c r="AE45" s="61">
        <v>1346533</v>
      </c>
      <c r="AF45" s="61">
        <v>2554869</v>
      </c>
      <c r="AG45" s="61">
        <v>1609000</v>
      </c>
      <c r="AH45" s="61">
        <v>1879647</v>
      </c>
      <c r="AI45" s="61">
        <v>1573030</v>
      </c>
      <c r="AJ45" s="61">
        <v>1560911</v>
      </c>
      <c r="AK45" s="61">
        <v>0</v>
      </c>
      <c r="AL45" s="61">
        <v>0</v>
      </c>
      <c r="AM45" s="61">
        <v>0</v>
      </c>
      <c r="AN45" s="61">
        <v>0</v>
      </c>
      <c r="AO45" s="61">
        <v>0</v>
      </c>
      <c r="AP45" s="61">
        <v>0</v>
      </c>
      <c r="AQ45" s="61">
        <v>982565</v>
      </c>
      <c r="AR45" s="61">
        <v>2006048</v>
      </c>
      <c r="AS45" s="61">
        <v>992194</v>
      </c>
      <c r="AT45" s="61">
        <v>788798</v>
      </c>
      <c r="AU45" s="61">
        <v>1223468</v>
      </c>
      <c r="AV45" s="61">
        <v>1047742.9999999999</v>
      </c>
      <c r="AW45" s="61">
        <v>1599000</v>
      </c>
      <c r="AX45" s="61">
        <v>1984820</v>
      </c>
      <c r="AY45" s="61">
        <v>1636980</v>
      </c>
      <c r="AZ45" s="61">
        <v>1682136</v>
      </c>
      <c r="BA45" s="61">
        <v>0</v>
      </c>
      <c r="BB45" s="61">
        <v>0</v>
      </c>
      <c r="BC45" s="61">
        <v>0</v>
      </c>
      <c r="BD45" s="61">
        <v>0</v>
      </c>
      <c r="BE45" s="61">
        <v>0</v>
      </c>
      <c r="BF45" s="61">
        <v>0</v>
      </c>
      <c r="BG45" s="61">
        <v>783998</v>
      </c>
      <c r="BH45" s="61">
        <v>1270713</v>
      </c>
      <c r="BI45" s="61">
        <v>613263</v>
      </c>
      <c r="BJ45" s="61">
        <v>1898616</v>
      </c>
      <c r="BK45" s="61">
        <v>1855024</v>
      </c>
      <c r="BL45" s="61">
        <v>1052352</v>
      </c>
      <c r="BM45" s="61">
        <v>866000</v>
      </c>
      <c r="BN45" s="61">
        <v>1066314</v>
      </c>
      <c r="BO45" s="61">
        <v>695830</v>
      </c>
      <c r="BP45" s="61">
        <v>1200899</v>
      </c>
      <c r="BQ45" s="61">
        <v>0</v>
      </c>
      <c r="BR45" s="61">
        <v>0</v>
      </c>
      <c r="BS45" s="61">
        <v>0</v>
      </c>
      <c r="BT45" s="61">
        <v>0</v>
      </c>
      <c r="BU45" s="61">
        <v>0</v>
      </c>
      <c r="BV45" s="61">
        <v>0</v>
      </c>
      <c r="BW45" s="61">
        <v>1048988</v>
      </c>
      <c r="BX45" s="61">
        <v>931910</v>
      </c>
      <c r="BY45" s="61">
        <v>706403</v>
      </c>
      <c r="BZ45" s="61">
        <v>944022</v>
      </c>
      <c r="CA45" s="61">
        <v>1269671</v>
      </c>
      <c r="CB45" s="61">
        <v>979630</v>
      </c>
      <c r="CC45" s="61">
        <v>1142506</v>
      </c>
      <c r="CD45" s="61">
        <v>671100</v>
      </c>
      <c r="CE45" s="61">
        <v>556352</v>
      </c>
      <c r="CF45" s="61">
        <v>656660</v>
      </c>
      <c r="CG45" s="61">
        <v>0</v>
      </c>
      <c r="CH45" s="61">
        <v>0</v>
      </c>
      <c r="CI45" s="61">
        <v>0</v>
      </c>
      <c r="CJ45" s="61">
        <v>0</v>
      </c>
      <c r="CK45" s="61">
        <v>0</v>
      </c>
      <c r="CL45" s="61">
        <v>0</v>
      </c>
      <c r="CM45" s="61">
        <v>490915</v>
      </c>
      <c r="CN45" s="61">
        <v>836679</v>
      </c>
      <c r="CO45" s="61">
        <v>1131072</v>
      </c>
      <c r="CP45" s="61">
        <v>1434785</v>
      </c>
      <c r="CQ45" s="61">
        <v>1087666</v>
      </c>
      <c r="CR45" s="61">
        <v>710450</v>
      </c>
      <c r="CS45" s="61">
        <v>917000</v>
      </c>
      <c r="CT45" s="61">
        <v>588827</v>
      </c>
      <c r="CU45" s="61">
        <v>808330</v>
      </c>
      <c r="CV45" s="61">
        <v>634038</v>
      </c>
      <c r="CW45" s="61">
        <v>0</v>
      </c>
      <c r="CX45" s="61">
        <v>0</v>
      </c>
      <c r="CY45" s="61">
        <v>0</v>
      </c>
      <c r="CZ45" s="61">
        <v>0</v>
      </c>
      <c r="DA45" s="61">
        <v>0</v>
      </c>
      <c r="DB45" s="61">
        <v>0</v>
      </c>
      <c r="DC45" s="61">
        <v>1206080</v>
      </c>
      <c r="DD45" s="61">
        <v>732180</v>
      </c>
      <c r="DE45" s="61">
        <v>697672</v>
      </c>
      <c r="DF45" s="61">
        <v>855285</v>
      </c>
      <c r="DG45" s="61">
        <v>935556</v>
      </c>
      <c r="DH45" s="61">
        <v>635421</v>
      </c>
      <c r="DI45" s="61">
        <v>851000</v>
      </c>
      <c r="DJ45" s="61">
        <v>555480</v>
      </c>
      <c r="DK45" s="61">
        <v>874555.67</v>
      </c>
      <c r="DL45" s="61">
        <v>564302</v>
      </c>
      <c r="DM45" s="61">
        <v>0</v>
      </c>
      <c r="DN45" s="61">
        <v>0</v>
      </c>
      <c r="DO45" s="61">
        <v>0</v>
      </c>
      <c r="DP45" s="61">
        <v>0</v>
      </c>
      <c r="DQ45" s="61">
        <v>0</v>
      </c>
      <c r="DR45" s="61">
        <v>0</v>
      </c>
      <c r="DS45" s="61">
        <v>642400</v>
      </c>
      <c r="DT45" s="61">
        <v>869872</v>
      </c>
      <c r="DU45" s="61">
        <v>421921</v>
      </c>
      <c r="DV45" s="61">
        <v>1137834</v>
      </c>
      <c r="DW45" s="61">
        <v>637630</v>
      </c>
      <c r="DX45" s="61">
        <v>770996</v>
      </c>
      <c r="DY45" s="61">
        <v>801323</v>
      </c>
      <c r="DZ45" s="61">
        <v>719940</v>
      </c>
      <c r="EA45" s="61">
        <v>576872</v>
      </c>
      <c r="EB45" s="61">
        <v>464870</v>
      </c>
      <c r="EC45" s="61">
        <v>0</v>
      </c>
      <c r="ED45" s="61">
        <v>0</v>
      </c>
      <c r="EE45" s="61">
        <v>0</v>
      </c>
      <c r="EF45" s="61">
        <v>0</v>
      </c>
      <c r="EG45" s="61">
        <v>0</v>
      </c>
      <c r="EH45" s="61">
        <v>0</v>
      </c>
      <c r="EI45" s="61">
        <v>1182729</v>
      </c>
      <c r="EJ45" s="61">
        <v>556680</v>
      </c>
      <c r="EK45" s="61">
        <v>1015031</v>
      </c>
      <c r="EL45" s="61">
        <v>636106</v>
      </c>
      <c r="EM45" s="61">
        <v>633233</v>
      </c>
      <c r="EN45" s="61">
        <v>346332</v>
      </c>
      <c r="EO45" s="61">
        <v>926032</v>
      </c>
      <c r="EP45" s="61">
        <v>634420</v>
      </c>
      <c r="EQ45" s="61">
        <v>1043832.33</v>
      </c>
      <c r="ER45" s="61">
        <v>0</v>
      </c>
      <c r="ES45" s="61">
        <v>0</v>
      </c>
      <c r="ET45" s="61">
        <v>0</v>
      </c>
      <c r="EU45" s="61">
        <v>0</v>
      </c>
      <c r="EV45" s="61">
        <v>0</v>
      </c>
      <c r="EW45" s="61">
        <v>0</v>
      </c>
      <c r="EX45" s="61">
        <v>705271</v>
      </c>
      <c r="EY45" s="61">
        <v>1316967</v>
      </c>
      <c r="EZ45" s="61">
        <v>816848</v>
      </c>
      <c r="FA45" s="61">
        <v>1220606</v>
      </c>
      <c r="FB45" s="61">
        <v>1665631</v>
      </c>
      <c r="FC45" s="61">
        <v>1191948</v>
      </c>
      <c r="FD45" s="61">
        <v>1035661</v>
      </c>
      <c r="FE45" s="61">
        <v>680950</v>
      </c>
      <c r="FF45" s="61">
        <v>918940</v>
      </c>
      <c r="FG45" s="61">
        <v>0</v>
      </c>
      <c r="FH45" s="168">
        <v>0</v>
      </c>
      <c r="FI45" s="168">
        <v>0</v>
      </c>
      <c r="FJ45" s="61">
        <v>0</v>
      </c>
      <c r="FK45" s="61">
        <v>0</v>
      </c>
      <c r="FL45" s="61">
        <v>0</v>
      </c>
      <c r="FM45" s="61">
        <v>2965460</v>
      </c>
      <c r="FN45" s="61">
        <v>1150850</v>
      </c>
      <c r="FO45" s="61">
        <v>988228</v>
      </c>
      <c r="FP45" s="61">
        <v>1296992</v>
      </c>
      <c r="FQ45" s="61">
        <v>1486601</v>
      </c>
      <c r="FR45" s="61">
        <v>1128892</v>
      </c>
      <c r="FS45" s="61">
        <v>2118836</v>
      </c>
      <c r="FT45" s="61">
        <v>1384380</v>
      </c>
      <c r="FU45" s="61">
        <v>1173882</v>
      </c>
      <c r="FV45" s="61">
        <v>0</v>
      </c>
      <c r="FW45" s="61">
        <v>0</v>
      </c>
      <c r="FX45" s="61">
        <v>0</v>
      </c>
      <c r="FY45" s="61">
        <v>0</v>
      </c>
      <c r="FZ45" s="61">
        <v>0</v>
      </c>
      <c r="GA45" s="61">
        <v>0</v>
      </c>
      <c r="GB45" s="61">
        <v>1439808</v>
      </c>
      <c r="GC45" s="61">
        <v>1112390</v>
      </c>
      <c r="GD45" s="61">
        <v>1935679</v>
      </c>
      <c r="GE45" s="61">
        <v>2473750</v>
      </c>
      <c r="GF45" s="61">
        <v>1721580</v>
      </c>
      <c r="GG45" s="61">
        <v>1590558</v>
      </c>
      <c r="GH45" s="61">
        <v>2599520</v>
      </c>
      <c r="GI45" s="61">
        <v>702760</v>
      </c>
      <c r="GJ45" s="61">
        <v>1905750</v>
      </c>
      <c r="GK45" s="61"/>
      <c r="GL45" s="275">
        <f>AVERAGE(K45:T45)</f>
        <v>1571318</v>
      </c>
      <c r="GM45" s="275">
        <f>AVERAGE(AA45:AJ45)</f>
        <v>1458742.6</v>
      </c>
      <c r="GN45" s="275">
        <f>AVERAGE(AQ45:AZ45)</f>
        <v>1394375.2</v>
      </c>
      <c r="GO45" s="275">
        <f>AVERAGE(BG45:BP45)</f>
        <v>1130300.8999999999</v>
      </c>
      <c r="GP45" s="275">
        <f>AVERAGE(BW45:CF45)</f>
        <v>890724.2</v>
      </c>
      <c r="GQ45" s="275">
        <f>AVERAGE(CM45:CV45)</f>
        <v>863976.2</v>
      </c>
      <c r="GR45" s="275">
        <f>AVERAGE(DC45:DL45)</f>
        <v>790753.16700000002</v>
      </c>
      <c r="GS45" s="275">
        <f>AVERAGE(DS45:EB45)</f>
        <v>704365.8</v>
      </c>
      <c r="GT45" s="275">
        <f>AVERAGE(EI45:EQ45)</f>
        <v>774932.81444444449</v>
      </c>
      <c r="GU45" s="275">
        <f>AVERAGE(EX45:FF45)</f>
        <v>1061424.6666666667</v>
      </c>
      <c r="GV45" s="275">
        <f>AVERAGE(FM45:FU45)</f>
        <v>1521569</v>
      </c>
      <c r="GW45" s="275">
        <f>AVERAGE(GB45:GJ45)</f>
        <v>1720199.4444444445</v>
      </c>
      <c r="GX45" t="s">
        <v>846</v>
      </c>
      <c r="GY45" s="60" t="s">
        <v>303</v>
      </c>
    </row>
    <row r="46" spans="2:207" s="277" customFormat="1">
      <c r="D46" s="277" t="s">
        <v>280</v>
      </c>
      <c r="E46" s="278">
        <v>0</v>
      </c>
      <c r="F46" s="278">
        <v>0</v>
      </c>
      <c r="G46" s="278">
        <v>0</v>
      </c>
      <c r="H46" s="278">
        <v>0</v>
      </c>
      <c r="I46" s="278">
        <v>0</v>
      </c>
      <c r="J46" s="278">
        <v>0</v>
      </c>
      <c r="K46" s="278"/>
      <c r="L46" s="278">
        <v>1011910</v>
      </c>
      <c r="M46" s="278">
        <v>1890615</v>
      </c>
      <c r="N46" s="278">
        <v>2638829</v>
      </c>
      <c r="O46" s="278">
        <v>1387253</v>
      </c>
      <c r="P46" s="278">
        <v>2508292</v>
      </c>
      <c r="Q46" s="278">
        <v>2382000</v>
      </c>
      <c r="R46" s="278">
        <v>2765000</v>
      </c>
      <c r="S46" s="278">
        <v>1930800</v>
      </c>
      <c r="T46" s="278">
        <v>3175181</v>
      </c>
      <c r="U46" s="278">
        <v>0</v>
      </c>
      <c r="V46" s="278">
        <v>0</v>
      </c>
      <c r="W46" s="278">
        <v>0</v>
      </c>
      <c r="X46" s="278">
        <v>0</v>
      </c>
      <c r="Y46" s="278">
        <v>0</v>
      </c>
      <c r="Z46" s="278">
        <v>0</v>
      </c>
      <c r="AA46" s="278"/>
      <c r="AB46" s="278">
        <v>2188674</v>
      </c>
      <c r="AC46" s="278">
        <v>951373</v>
      </c>
      <c r="AD46" s="278">
        <v>1542779</v>
      </c>
      <c r="AE46" s="278">
        <v>1677066</v>
      </c>
      <c r="AF46" s="278">
        <v>3063401</v>
      </c>
      <c r="AG46" s="278">
        <v>1905000</v>
      </c>
      <c r="AH46" s="278">
        <v>2876387</v>
      </c>
      <c r="AI46" s="278">
        <v>1978940</v>
      </c>
      <c r="AJ46" s="278">
        <v>1966476</v>
      </c>
      <c r="AK46" s="278">
        <v>0</v>
      </c>
      <c r="AL46" s="278">
        <v>0</v>
      </c>
      <c r="AM46" s="278">
        <v>0</v>
      </c>
      <c r="AN46" s="278">
        <v>0</v>
      </c>
      <c r="AO46" s="278">
        <v>0</v>
      </c>
      <c r="AP46" s="278">
        <v>0</v>
      </c>
      <c r="AQ46" s="278">
        <v>332750.83</v>
      </c>
      <c r="AR46" s="278">
        <v>2653201</v>
      </c>
      <c r="AS46" s="278">
        <v>2172445</v>
      </c>
      <c r="AT46" s="278">
        <v>1280190</v>
      </c>
      <c r="AU46" s="278">
        <v>1521442</v>
      </c>
      <c r="AV46" s="278">
        <v>1470364</v>
      </c>
      <c r="AW46" s="278">
        <v>1857000</v>
      </c>
      <c r="AX46" s="278">
        <v>2361523</v>
      </c>
      <c r="AY46" s="278">
        <v>2331580</v>
      </c>
      <c r="AZ46" s="278">
        <v>2011353</v>
      </c>
      <c r="BA46" s="278">
        <v>0</v>
      </c>
      <c r="BB46" s="278">
        <v>0</v>
      </c>
      <c r="BC46" s="278">
        <v>0</v>
      </c>
      <c r="BD46" s="278">
        <v>0</v>
      </c>
      <c r="BE46" s="278">
        <v>0</v>
      </c>
      <c r="BF46" s="278">
        <v>0</v>
      </c>
      <c r="BG46" s="278">
        <v>650637.5</v>
      </c>
      <c r="BH46" s="278">
        <v>1510961</v>
      </c>
      <c r="BI46" s="278">
        <v>1087736</v>
      </c>
      <c r="BJ46" s="278">
        <v>1926908</v>
      </c>
      <c r="BK46" s="278">
        <v>1766991</v>
      </c>
      <c r="BL46" s="278">
        <v>1120792</v>
      </c>
      <c r="BM46" s="278">
        <v>1445000</v>
      </c>
      <c r="BN46" s="278">
        <v>1366943</v>
      </c>
      <c r="BO46" s="278">
        <v>941780</v>
      </c>
      <c r="BP46" s="278">
        <v>1765529</v>
      </c>
      <c r="BQ46" s="278">
        <v>0</v>
      </c>
      <c r="BR46" s="278">
        <v>0</v>
      </c>
      <c r="BS46" s="278">
        <v>0</v>
      </c>
      <c r="BT46" s="278">
        <v>0</v>
      </c>
      <c r="BU46" s="278">
        <v>0</v>
      </c>
      <c r="BV46" s="278">
        <v>0</v>
      </c>
      <c r="BW46" s="278">
        <v>1134692</v>
      </c>
      <c r="BX46" s="278">
        <v>1182741</v>
      </c>
      <c r="BY46" s="278">
        <v>1151015</v>
      </c>
      <c r="BZ46" s="278">
        <v>1448943</v>
      </c>
      <c r="CA46" s="278">
        <v>1049578</v>
      </c>
      <c r="CB46" s="278">
        <v>1754890</v>
      </c>
      <c r="CC46" s="278">
        <v>1357353</v>
      </c>
      <c r="CD46" s="278">
        <v>1324000</v>
      </c>
      <c r="CE46" s="278">
        <v>1123208</v>
      </c>
      <c r="CF46" s="278">
        <v>1112819</v>
      </c>
      <c r="CG46" s="278">
        <v>0</v>
      </c>
      <c r="CH46" s="278">
        <v>0</v>
      </c>
      <c r="CI46" s="278">
        <v>0</v>
      </c>
      <c r="CJ46" s="278">
        <v>0</v>
      </c>
      <c r="CK46" s="278">
        <v>0</v>
      </c>
      <c r="CL46" s="278">
        <v>0</v>
      </c>
      <c r="CM46" s="278">
        <v>1246805</v>
      </c>
      <c r="CN46" s="278">
        <v>1073786</v>
      </c>
      <c r="CO46" s="278">
        <v>1305403</v>
      </c>
      <c r="CP46" s="278">
        <v>1184055</v>
      </c>
      <c r="CQ46" s="278">
        <v>1270176</v>
      </c>
      <c r="CR46" s="278">
        <v>1079941</v>
      </c>
      <c r="CS46" s="278">
        <v>1072000</v>
      </c>
      <c r="CT46" s="278">
        <v>785742</v>
      </c>
      <c r="CU46" s="278">
        <v>1177160</v>
      </c>
      <c r="CV46" s="278">
        <v>775122</v>
      </c>
      <c r="CW46" s="278">
        <v>0</v>
      </c>
      <c r="CX46" s="278">
        <v>0</v>
      </c>
      <c r="CY46" s="278">
        <v>0</v>
      </c>
      <c r="CZ46" s="278">
        <v>0</v>
      </c>
      <c r="DA46" s="278">
        <v>0</v>
      </c>
      <c r="DB46" s="278">
        <v>0</v>
      </c>
      <c r="DC46" s="278">
        <v>1409204</v>
      </c>
      <c r="DD46" s="278">
        <v>817276</v>
      </c>
      <c r="DE46" s="278">
        <v>1164021</v>
      </c>
      <c r="DF46" s="278">
        <v>1477284</v>
      </c>
      <c r="DG46" s="278">
        <v>1106539</v>
      </c>
      <c r="DH46" s="278">
        <v>1098794</v>
      </c>
      <c r="DI46" s="278">
        <v>1510000</v>
      </c>
      <c r="DJ46" s="278">
        <v>715390</v>
      </c>
      <c r="DK46" s="278">
        <v>974584</v>
      </c>
      <c r="DL46" s="278">
        <v>757212</v>
      </c>
      <c r="DM46" s="278">
        <v>0</v>
      </c>
      <c r="DN46" s="278">
        <v>0</v>
      </c>
      <c r="DO46" s="278">
        <v>0</v>
      </c>
      <c r="DP46" s="278">
        <v>0</v>
      </c>
      <c r="DQ46" s="278">
        <v>0</v>
      </c>
      <c r="DR46" s="278">
        <v>0</v>
      </c>
      <c r="DS46" s="278">
        <v>821463</v>
      </c>
      <c r="DT46" s="278">
        <v>1378725</v>
      </c>
      <c r="DU46" s="278">
        <v>1091396</v>
      </c>
      <c r="DV46" s="278">
        <v>1198424</v>
      </c>
      <c r="DW46" s="278">
        <v>718904</v>
      </c>
      <c r="DX46" s="278">
        <v>1025875</v>
      </c>
      <c r="DY46" s="278">
        <v>1131056</v>
      </c>
      <c r="DZ46" s="278">
        <v>757090</v>
      </c>
      <c r="EA46" s="278">
        <v>805176</v>
      </c>
      <c r="EB46" s="278">
        <v>862812</v>
      </c>
      <c r="EC46" s="278">
        <v>0</v>
      </c>
      <c r="ED46" s="278">
        <v>0</v>
      </c>
      <c r="EE46" s="278">
        <v>0</v>
      </c>
      <c r="EF46" s="278">
        <v>0</v>
      </c>
      <c r="EG46" s="278">
        <v>0</v>
      </c>
      <c r="EH46" s="278">
        <v>0</v>
      </c>
      <c r="EI46" s="278">
        <v>1165169</v>
      </c>
      <c r="EJ46" s="278">
        <v>1064358</v>
      </c>
      <c r="EK46" s="278">
        <v>1260623</v>
      </c>
      <c r="EL46" s="278">
        <v>1341333</v>
      </c>
      <c r="EM46" s="278">
        <v>1235033</v>
      </c>
      <c r="EN46" s="278">
        <v>871621</v>
      </c>
      <c r="EO46" s="278">
        <v>2054768</v>
      </c>
      <c r="EP46" s="278">
        <v>779360</v>
      </c>
      <c r="EQ46" s="278">
        <v>1223594</v>
      </c>
      <c r="ER46" s="278">
        <v>0</v>
      </c>
      <c r="ES46" s="278">
        <v>0</v>
      </c>
      <c r="ET46" s="278">
        <v>0</v>
      </c>
      <c r="EU46" s="278">
        <v>0</v>
      </c>
      <c r="EV46" s="278">
        <v>0</v>
      </c>
      <c r="EW46" s="278">
        <v>0</v>
      </c>
      <c r="EX46" s="278">
        <v>1528024</v>
      </c>
      <c r="EY46" s="278">
        <v>2134257</v>
      </c>
      <c r="EZ46" s="278">
        <v>1764462</v>
      </c>
      <c r="FA46" s="278">
        <v>2176206</v>
      </c>
      <c r="FB46" s="278">
        <v>1941275</v>
      </c>
      <c r="FC46" s="278">
        <v>1308710</v>
      </c>
      <c r="FD46" s="278">
        <v>1263631</v>
      </c>
      <c r="FE46" s="278">
        <v>1529880</v>
      </c>
      <c r="FF46" s="278">
        <v>1522200</v>
      </c>
      <c r="FG46" s="278">
        <v>0</v>
      </c>
      <c r="FH46" s="279">
        <v>0</v>
      </c>
      <c r="FI46" s="279">
        <v>0</v>
      </c>
      <c r="FJ46" s="278">
        <v>0</v>
      </c>
      <c r="FK46" s="278">
        <v>0</v>
      </c>
      <c r="FL46" s="278">
        <v>0</v>
      </c>
      <c r="FM46" s="278">
        <v>2988240</v>
      </c>
      <c r="FN46" s="278">
        <v>1673228</v>
      </c>
      <c r="FO46" s="278">
        <v>1541631</v>
      </c>
      <c r="FP46" s="278">
        <v>1452709</v>
      </c>
      <c r="FQ46" s="278">
        <v>1999719</v>
      </c>
      <c r="FR46" s="278">
        <v>1615344</v>
      </c>
      <c r="FS46" s="278">
        <v>2346561</v>
      </c>
      <c r="FT46" s="278">
        <v>2324660</v>
      </c>
      <c r="FU46" s="278">
        <v>1717420</v>
      </c>
      <c r="FV46" s="278">
        <v>0</v>
      </c>
      <c r="FW46" s="278">
        <v>0</v>
      </c>
      <c r="FX46" s="278">
        <v>0</v>
      </c>
      <c r="FY46" s="278">
        <v>0</v>
      </c>
      <c r="FZ46" s="278">
        <v>0</v>
      </c>
      <c r="GA46" s="278">
        <v>0</v>
      </c>
      <c r="GB46" s="278">
        <v>2334272</v>
      </c>
      <c r="GC46" s="278">
        <v>1138557</v>
      </c>
      <c r="GD46" s="278">
        <v>3482770</v>
      </c>
      <c r="GE46" s="278">
        <v>3086099</v>
      </c>
      <c r="GF46" s="278">
        <v>2656827</v>
      </c>
      <c r="GG46" s="278">
        <v>1973432</v>
      </c>
      <c r="GH46" s="278">
        <v>2087447.9999999998</v>
      </c>
      <c r="GI46" s="278">
        <v>1259440</v>
      </c>
      <c r="GJ46" s="278">
        <v>2567303</v>
      </c>
      <c r="GK46" s="278"/>
      <c r="GL46" s="275">
        <f>AVERAGE(L46:T46)</f>
        <v>2187764.4444444445</v>
      </c>
      <c r="GM46" s="275">
        <f>AVERAGE(AB46:AJ46)</f>
        <v>2016677.3333333333</v>
      </c>
      <c r="GN46" s="278">
        <f>AVERAGE(AR46:AZ46)</f>
        <v>1962122</v>
      </c>
      <c r="GO46" s="278">
        <f>AVERAGE(BH46:BP46)</f>
        <v>1436960</v>
      </c>
      <c r="GP46" s="275">
        <f>AVERAGE(BW46:CF46)</f>
        <v>1263923.8999999999</v>
      </c>
      <c r="GQ46" s="275">
        <f>AVERAGE(CM46:CV46)</f>
        <v>1097019</v>
      </c>
      <c r="GR46" s="275">
        <f>AVERAGE(DC46:DL46)</f>
        <v>1103030.3999999999</v>
      </c>
      <c r="GS46" s="275">
        <f>AVERAGE(DS46:EB46)</f>
        <v>979092.1</v>
      </c>
      <c r="GT46" s="275">
        <f>AVERAGE(EI46:EQ46)</f>
        <v>1221762.111111111</v>
      </c>
      <c r="GU46" s="275">
        <f>AVERAGE(EX46:FF46)</f>
        <v>1685405</v>
      </c>
      <c r="GV46" s="275">
        <f>AVERAGE(FM46:FU46)</f>
        <v>1962168</v>
      </c>
      <c r="GW46" s="275">
        <f>AVERAGE(GB46:GJ46)</f>
        <v>2287349.777777778</v>
      </c>
      <c r="GX46" s="277" t="s">
        <v>846</v>
      </c>
      <c r="GY46" s="277" t="s">
        <v>280</v>
      </c>
    </row>
    <row r="47" spans="2:207">
      <c r="B47" t="s">
        <v>2615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2489464</v>
      </c>
      <c r="L47" s="61">
        <v>4214098</v>
      </c>
      <c r="M47" s="61">
        <v>6333639</v>
      </c>
      <c r="N47" s="61">
        <v>5273263</v>
      </c>
      <c r="O47" s="61">
        <v>4491576</v>
      </c>
      <c r="P47" s="61">
        <v>7614435</v>
      </c>
      <c r="Q47" s="61">
        <v>6574728</v>
      </c>
      <c r="R47" s="61">
        <v>7424806</v>
      </c>
      <c r="S47" s="61">
        <v>4488890</v>
      </c>
      <c r="T47" s="61">
        <v>8384408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61">
        <v>0</v>
      </c>
      <c r="AA47" s="61">
        <v>1646927</v>
      </c>
      <c r="AB47" s="61">
        <v>5748054</v>
      </c>
      <c r="AC47" s="61">
        <v>4514874</v>
      </c>
      <c r="AD47" s="61">
        <v>3542471</v>
      </c>
      <c r="AE47" s="61">
        <v>5102995</v>
      </c>
      <c r="AF47" s="61">
        <v>8592245</v>
      </c>
      <c r="AG47" s="61">
        <v>5414927</v>
      </c>
      <c r="AH47" s="61">
        <v>6904371</v>
      </c>
      <c r="AI47" s="61">
        <v>5816970</v>
      </c>
      <c r="AJ47" s="61">
        <v>4965424</v>
      </c>
      <c r="AK47" s="61">
        <v>0</v>
      </c>
      <c r="AL47" s="61">
        <v>0</v>
      </c>
      <c r="AM47" s="61">
        <v>0</v>
      </c>
      <c r="AN47" s="61">
        <v>0</v>
      </c>
      <c r="AO47" s="61">
        <v>0</v>
      </c>
      <c r="AP47" s="61">
        <v>1070606</v>
      </c>
      <c r="AQ47" s="61">
        <v>2838301.83</v>
      </c>
      <c r="AR47" s="61">
        <v>7268755</v>
      </c>
      <c r="AS47" s="61">
        <v>5100044</v>
      </c>
      <c r="AT47" s="61">
        <v>3496478</v>
      </c>
      <c r="AU47" s="61">
        <v>4683660</v>
      </c>
      <c r="AV47" s="61">
        <v>4559212</v>
      </c>
      <c r="AW47" s="61">
        <v>5652435</v>
      </c>
      <c r="AX47" s="61">
        <v>6656924</v>
      </c>
      <c r="AY47" s="61">
        <v>5962060</v>
      </c>
      <c r="AZ47" s="61">
        <v>6016996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604947</v>
      </c>
      <c r="BG47" s="61">
        <v>3030981.5</v>
      </c>
      <c r="BH47" s="61">
        <v>4205932</v>
      </c>
      <c r="BI47" s="61">
        <v>3293154</v>
      </c>
      <c r="BJ47" s="61">
        <v>6192183</v>
      </c>
      <c r="BK47" s="61">
        <v>5742318</v>
      </c>
      <c r="BL47" s="61">
        <v>3584616</v>
      </c>
      <c r="BM47" s="61">
        <v>3868164</v>
      </c>
      <c r="BN47" s="61">
        <v>4150150</v>
      </c>
      <c r="BO47" s="61">
        <v>2733900</v>
      </c>
      <c r="BP47" s="61">
        <v>5106846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61">
        <v>274400</v>
      </c>
      <c r="BW47" s="61">
        <v>3820741</v>
      </c>
      <c r="BX47" s="61">
        <v>3455633</v>
      </c>
      <c r="BY47" s="61">
        <v>3296336</v>
      </c>
      <c r="BZ47" s="61">
        <v>3872940</v>
      </c>
      <c r="CA47" s="61">
        <v>3873943</v>
      </c>
      <c r="CB47" s="61">
        <v>4358328</v>
      </c>
      <c r="CC47" s="61">
        <v>4267809</v>
      </c>
      <c r="CD47" s="61">
        <v>3909298</v>
      </c>
      <c r="CE47" s="61">
        <v>3207540</v>
      </c>
      <c r="CF47" s="61">
        <v>2780332</v>
      </c>
      <c r="CG47" s="61">
        <v>0</v>
      </c>
      <c r="CH47" s="61">
        <v>0</v>
      </c>
      <c r="CI47" s="61">
        <v>0</v>
      </c>
      <c r="CJ47" s="61">
        <v>0</v>
      </c>
      <c r="CK47" s="61">
        <v>0</v>
      </c>
      <c r="CL47" s="61">
        <v>368530</v>
      </c>
      <c r="CM47" s="61">
        <v>2309723</v>
      </c>
      <c r="CN47" s="61">
        <v>2832801</v>
      </c>
      <c r="CO47" s="61">
        <v>3601302</v>
      </c>
      <c r="CP47" s="61">
        <v>4275157</v>
      </c>
      <c r="CQ47" s="61">
        <v>3730652</v>
      </c>
      <c r="CR47" s="61">
        <v>2964774</v>
      </c>
      <c r="CS47" s="61">
        <v>3080558</v>
      </c>
      <c r="CT47" s="61">
        <v>2237205</v>
      </c>
      <c r="CU47" s="61">
        <v>3046820</v>
      </c>
      <c r="CV47" s="61">
        <v>2133682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677341</v>
      </c>
      <c r="DC47" s="61">
        <v>3973896</v>
      </c>
      <c r="DD47" s="61">
        <v>2517544</v>
      </c>
      <c r="DE47" s="61">
        <v>2805890</v>
      </c>
      <c r="DF47" s="61">
        <v>3301886</v>
      </c>
      <c r="DG47" s="61">
        <v>2937097</v>
      </c>
      <c r="DH47" s="61">
        <v>2876279</v>
      </c>
      <c r="DI47" s="61">
        <v>3601737</v>
      </c>
      <c r="DJ47" s="61">
        <v>2091050</v>
      </c>
      <c r="DK47" s="61">
        <v>3128315.67</v>
      </c>
      <c r="DL47" s="61">
        <v>1875957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61">
        <v>770903</v>
      </c>
      <c r="DS47" s="61">
        <v>2372175</v>
      </c>
      <c r="DT47" s="61">
        <v>3261795</v>
      </c>
      <c r="DU47" s="61">
        <v>2434173</v>
      </c>
      <c r="DV47" s="61">
        <v>3771501</v>
      </c>
      <c r="DW47" s="61">
        <v>2231940</v>
      </c>
      <c r="DX47" s="61">
        <v>2609175</v>
      </c>
      <c r="DY47" s="61">
        <v>3208448</v>
      </c>
      <c r="DZ47" s="61">
        <v>2640400</v>
      </c>
      <c r="EA47" s="61">
        <v>2470743</v>
      </c>
      <c r="EB47" s="61">
        <v>1849049</v>
      </c>
      <c r="EC47" s="61">
        <v>0</v>
      </c>
      <c r="ED47" s="61">
        <v>0</v>
      </c>
      <c r="EE47" s="61">
        <v>0</v>
      </c>
      <c r="EF47" s="61">
        <v>0</v>
      </c>
      <c r="EG47" s="61">
        <v>0</v>
      </c>
      <c r="EH47" s="61">
        <v>639215</v>
      </c>
      <c r="EI47" s="61">
        <v>3460840</v>
      </c>
      <c r="EJ47" s="61">
        <v>2562911</v>
      </c>
      <c r="EK47" s="61">
        <v>3784167</v>
      </c>
      <c r="EL47" s="61">
        <v>3073950</v>
      </c>
      <c r="EM47" s="61">
        <v>3155193</v>
      </c>
      <c r="EN47" s="61">
        <v>2051791</v>
      </c>
      <c r="EO47" s="61">
        <v>3941099</v>
      </c>
      <c r="EP47" s="61">
        <v>2562700</v>
      </c>
      <c r="EQ47" s="61">
        <v>3398672.67</v>
      </c>
      <c r="ER47" s="61">
        <v>0</v>
      </c>
      <c r="ES47" s="61">
        <v>0</v>
      </c>
      <c r="ET47" s="61">
        <v>0</v>
      </c>
      <c r="EU47" s="61">
        <v>0</v>
      </c>
      <c r="EV47" s="61">
        <v>0</v>
      </c>
      <c r="EW47" s="61">
        <v>801038</v>
      </c>
      <c r="EX47" s="61">
        <v>3616792</v>
      </c>
      <c r="EY47" s="61">
        <v>5696853</v>
      </c>
      <c r="EZ47" s="61">
        <v>4151632</v>
      </c>
      <c r="FA47" s="61">
        <v>5256253</v>
      </c>
      <c r="FB47" s="61">
        <v>5865840</v>
      </c>
      <c r="FC47" s="61">
        <v>4409910</v>
      </c>
      <c r="FD47" s="61">
        <v>3895961</v>
      </c>
      <c r="FE47" s="61">
        <v>3249970</v>
      </c>
      <c r="FF47" s="61">
        <v>3951616</v>
      </c>
      <c r="FG47" s="61">
        <v>0</v>
      </c>
      <c r="FH47" s="168">
        <v>0</v>
      </c>
      <c r="FI47" s="168">
        <v>0</v>
      </c>
      <c r="FJ47" s="61">
        <v>0</v>
      </c>
      <c r="FK47" s="61">
        <v>0</v>
      </c>
      <c r="FL47" s="61">
        <v>986971</v>
      </c>
      <c r="FM47" s="61">
        <v>9529260</v>
      </c>
      <c r="FN47" s="61">
        <v>4239029</v>
      </c>
      <c r="FO47" s="61">
        <v>4596560</v>
      </c>
      <c r="FP47" s="61">
        <v>4860230</v>
      </c>
      <c r="FQ47" s="61">
        <v>5437669</v>
      </c>
      <c r="FR47" s="61">
        <v>4653534</v>
      </c>
      <c r="FS47" s="61">
        <v>6575020</v>
      </c>
      <c r="FT47" s="61">
        <v>5469070</v>
      </c>
      <c r="FU47" s="61">
        <v>4559772</v>
      </c>
      <c r="FV47" s="61">
        <v>0</v>
      </c>
      <c r="FW47" s="61">
        <v>0</v>
      </c>
      <c r="FX47" s="61">
        <v>0</v>
      </c>
      <c r="FY47" s="61">
        <v>0</v>
      </c>
      <c r="FZ47" s="61">
        <v>0</v>
      </c>
      <c r="GA47" s="61">
        <v>1755234</v>
      </c>
      <c r="GB47" s="61">
        <v>5694764</v>
      </c>
      <c r="GC47" s="61">
        <v>4490474</v>
      </c>
      <c r="GD47" s="61">
        <v>7769954</v>
      </c>
      <c r="GE47" s="61">
        <v>8468863</v>
      </c>
      <c r="GF47" s="61">
        <v>6816035</v>
      </c>
      <c r="GG47" s="61">
        <v>5325048</v>
      </c>
      <c r="GH47" s="61">
        <v>8272266.6666999999</v>
      </c>
      <c r="GI47" s="61">
        <v>3288660</v>
      </c>
      <c r="GJ47" s="61">
        <v>6556228</v>
      </c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</row>
    <row r="48" spans="2:207">
      <c r="B48" t="s">
        <v>805</v>
      </c>
      <c r="C48" t="s">
        <v>796</v>
      </c>
      <c r="D48" s="3" t="s">
        <v>533</v>
      </c>
      <c r="E48" s="61"/>
      <c r="F48" s="61"/>
      <c r="G48" s="61"/>
      <c r="H48" s="61"/>
      <c r="I48" s="61"/>
      <c r="J48" s="61"/>
      <c r="K48" s="61"/>
      <c r="L48" s="61">
        <v>1363096</v>
      </c>
      <c r="M48" s="61">
        <v>2818887</v>
      </c>
      <c r="N48" s="61">
        <v>2533712</v>
      </c>
      <c r="O48" s="61">
        <v>2166729</v>
      </c>
      <c r="P48" s="61">
        <v>3414696</v>
      </c>
      <c r="Q48" s="61">
        <v>2876996</v>
      </c>
      <c r="R48" s="61">
        <v>3318626.3333333335</v>
      </c>
      <c r="S48" s="61">
        <v>1556666</v>
      </c>
      <c r="T48" s="61">
        <v>3278420.333333334</v>
      </c>
      <c r="U48" s="61"/>
      <c r="V48" s="61"/>
      <c r="W48" s="61"/>
      <c r="X48" s="61"/>
      <c r="Y48" s="61"/>
      <c r="Z48" s="61"/>
      <c r="AA48" s="61"/>
      <c r="AB48" s="61">
        <v>1767514</v>
      </c>
      <c r="AC48" s="61">
        <v>2137341</v>
      </c>
      <c r="AD48" s="61">
        <v>2099524</v>
      </c>
      <c r="AE48" s="61">
        <v>2163972</v>
      </c>
      <c r="AF48" s="61">
        <v>3674080</v>
      </c>
      <c r="AG48" s="61">
        <v>2142059</v>
      </c>
      <c r="AH48" s="61">
        <v>2939856.8333333335</v>
      </c>
      <c r="AI48" s="61">
        <v>2420835.3333333335</v>
      </c>
      <c r="AJ48" s="61">
        <v>2035101</v>
      </c>
      <c r="AK48" s="61"/>
      <c r="AL48" s="61"/>
      <c r="AM48" s="61"/>
      <c r="AN48" s="61"/>
      <c r="AO48" s="61"/>
      <c r="AP48" s="61"/>
      <c r="AQ48" s="61"/>
      <c r="AR48" s="61">
        <v>2180122</v>
      </c>
      <c r="AS48" s="61">
        <v>2274551</v>
      </c>
      <c r="AT48" s="61">
        <v>1289445</v>
      </c>
      <c r="AU48" s="61">
        <v>2130133</v>
      </c>
      <c r="AV48" s="61">
        <v>1789520</v>
      </c>
      <c r="AW48" s="61">
        <v>2455923</v>
      </c>
      <c r="AX48" s="61">
        <v>2325778.5</v>
      </c>
      <c r="AY48" s="61">
        <v>2879812.1666666665</v>
      </c>
      <c r="AZ48" s="61">
        <v>1916274.8333333333</v>
      </c>
      <c r="BA48" s="61"/>
      <c r="BB48" s="61"/>
      <c r="BC48" s="61"/>
      <c r="BD48" s="61"/>
      <c r="BE48" s="61"/>
      <c r="BF48" s="61"/>
      <c r="BG48" s="61"/>
      <c r="BH48" s="61">
        <v>1688487</v>
      </c>
      <c r="BI48" s="61">
        <v>1562836</v>
      </c>
      <c r="BJ48" s="61">
        <v>2484508</v>
      </c>
      <c r="BK48" s="61">
        <v>2467289</v>
      </c>
      <c r="BL48" s="61">
        <v>1258792</v>
      </c>
      <c r="BM48" s="61">
        <v>1861191</v>
      </c>
      <c r="BN48" s="61">
        <v>1857396.3333333333</v>
      </c>
      <c r="BO48" s="61">
        <v>1043930.0000000001</v>
      </c>
      <c r="BP48" s="61">
        <v>1342863</v>
      </c>
      <c r="BQ48" s="61"/>
      <c r="BR48" s="61"/>
      <c r="BS48" s="61"/>
      <c r="BT48" s="61"/>
      <c r="BU48" s="61"/>
      <c r="BV48" s="61"/>
      <c r="BW48" s="61"/>
      <c r="BX48" s="61">
        <v>1565665</v>
      </c>
      <c r="BY48" s="61">
        <v>1881641</v>
      </c>
      <c r="BZ48" s="61">
        <v>1471871</v>
      </c>
      <c r="CA48" s="61">
        <v>1936875</v>
      </c>
      <c r="CB48" s="61">
        <v>1950920</v>
      </c>
      <c r="CC48" s="61">
        <v>2128825</v>
      </c>
      <c r="CD48" s="61">
        <v>1539023.6669999999</v>
      </c>
      <c r="CE48" s="61">
        <v>1345047.6666666665</v>
      </c>
      <c r="CF48" s="61">
        <v>1163880</v>
      </c>
      <c r="CG48" s="61"/>
      <c r="CH48" s="61"/>
      <c r="CI48" s="61"/>
      <c r="CJ48" s="61"/>
      <c r="CK48" s="61"/>
      <c r="CL48" s="61"/>
      <c r="CM48" s="61"/>
      <c r="CN48" s="61">
        <v>996372</v>
      </c>
      <c r="CO48" s="61">
        <v>1961270</v>
      </c>
      <c r="CP48" s="61">
        <v>1856276</v>
      </c>
      <c r="CQ48" s="61">
        <v>2144452</v>
      </c>
      <c r="CR48" s="61">
        <v>912736</v>
      </c>
      <c r="CS48" s="61">
        <v>1833303</v>
      </c>
      <c r="CT48" s="61">
        <v>1571047</v>
      </c>
      <c r="CU48" s="61">
        <v>1928725.333333333</v>
      </c>
      <c r="CV48" s="61">
        <v>1443812</v>
      </c>
      <c r="CW48" s="61"/>
      <c r="CX48" s="61"/>
      <c r="CY48" s="61"/>
      <c r="CZ48" s="61"/>
      <c r="DA48" s="61"/>
      <c r="DB48" s="61"/>
      <c r="DC48" s="61">
        <v>2109</v>
      </c>
      <c r="DD48" s="61">
        <v>1037016</v>
      </c>
      <c r="DE48" s="61">
        <v>1393198</v>
      </c>
      <c r="DF48" s="61">
        <v>1748361</v>
      </c>
      <c r="DG48" s="61">
        <v>1566395</v>
      </c>
      <c r="DH48" s="61">
        <v>1139360</v>
      </c>
      <c r="DI48" s="61">
        <v>2216382</v>
      </c>
      <c r="DJ48" s="61">
        <v>1594147.3333333333</v>
      </c>
      <c r="DK48" s="61">
        <v>1668470.166666667</v>
      </c>
      <c r="DL48" s="61">
        <v>831086</v>
      </c>
      <c r="DM48" s="61"/>
      <c r="DN48" s="61"/>
      <c r="DO48" s="61"/>
      <c r="DP48" s="61"/>
      <c r="DQ48" s="61"/>
      <c r="DR48" s="61"/>
      <c r="DS48" s="61">
        <v>6721</v>
      </c>
      <c r="DT48" s="61">
        <v>1578818</v>
      </c>
      <c r="DU48" s="61">
        <v>1602759</v>
      </c>
      <c r="DV48" s="61">
        <v>1516352</v>
      </c>
      <c r="DW48" s="61">
        <v>1135765</v>
      </c>
      <c r="DX48" s="61">
        <v>1672240</v>
      </c>
      <c r="DY48" s="61">
        <v>1164281.6666666667</v>
      </c>
      <c r="DZ48" s="61">
        <v>1654660</v>
      </c>
      <c r="EA48" s="61">
        <v>1189592</v>
      </c>
      <c r="EB48" s="61">
        <v>1329357.5</v>
      </c>
      <c r="EC48" s="61"/>
      <c r="ED48" s="61"/>
      <c r="EE48" s="61"/>
      <c r="EF48" s="61"/>
      <c r="EG48" s="61"/>
      <c r="EH48" s="61"/>
      <c r="EI48" s="61">
        <v>432129</v>
      </c>
      <c r="EJ48" s="61">
        <v>1255354</v>
      </c>
      <c r="EK48" s="61">
        <v>2031063</v>
      </c>
      <c r="EL48" s="61">
        <v>949553</v>
      </c>
      <c r="EM48" s="61">
        <v>1180032</v>
      </c>
      <c r="EN48" s="61">
        <v>764728</v>
      </c>
      <c r="EO48" s="61">
        <v>1538281</v>
      </c>
      <c r="EP48" s="61">
        <v>1249565.1666666667</v>
      </c>
      <c r="EQ48" s="61">
        <v>1230722.6666666665</v>
      </c>
      <c r="ER48" s="61"/>
      <c r="ES48" s="61"/>
      <c r="ET48" s="61"/>
      <c r="EU48" s="61"/>
      <c r="EV48" s="61"/>
      <c r="EW48" s="61"/>
      <c r="EX48" s="61">
        <v>1520375</v>
      </c>
      <c r="EY48" s="61">
        <v>1882077</v>
      </c>
      <c r="EZ48" s="61">
        <v>2220167</v>
      </c>
      <c r="FA48" s="61">
        <v>2148222</v>
      </c>
      <c r="FB48" s="61">
        <v>2529039</v>
      </c>
      <c r="FC48" s="61">
        <v>2230600</v>
      </c>
      <c r="FD48" s="61">
        <v>1115401</v>
      </c>
      <c r="FE48" s="61">
        <v>1208353.1666666667</v>
      </c>
      <c r="FF48" s="61">
        <v>2401153.1666666665</v>
      </c>
      <c r="FG48" s="61"/>
      <c r="FH48" s="168"/>
      <c r="FI48" s="168"/>
      <c r="FJ48" s="61"/>
      <c r="FK48" s="61"/>
      <c r="FL48" s="61"/>
      <c r="FM48" s="61">
        <v>2968166</v>
      </c>
      <c r="FN48" s="61">
        <v>1647827</v>
      </c>
      <c r="FO48" s="61">
        <v>1680900</v>
      </c>
      <c r="FP48" s="61">
        <v>2147558</v>
      </c>
      <c r="FQ48" s="61">
        <v>2125853</v>
      </c>
      <c r="FR48" s="61">
        <v>1794872</v>
      </c>
      <c r="FS48" s="61">
        <v>3292192.8330000001</v>
      </c>
      <c r="FT48" s="61">
        <v>2327686.5</v>
      </c>
      <c r="FU48" s="61">
        <v>1642828.5000000002</v>
      </c>
      <c r="FV48" s="61"/>
      <c r="FW48" s="61"/>
      <c r="FX48" s="61"/>
      <c r="FY48" s="61"/>
      <c r="FZ48" s="61"/>
      <c r="GA48" s="61"/>
      <c r="GB48" s="61">
        <v>2290138</v>
      </c>
      <c r="GC48" s="61">
        <v>1671897</v>
      </c>
      <c r="GD48" s="61">
        <v>3526058</v>
      </c>
      <c r="GE48" s="61">
        <v>3201562</v>
      </c>
      <c r="GF48" s="61">
        <v>2971353</v>
      </c>
      <c r="GG48" s="61">
        <v>2750952</v>
      </c>
      <c r="GH48" s="61">
        <v>4063581.1666666665</v>
      </c>
      <c r="GI48" s="61">
        <v>1618839</v>
      </c>
      <c r="GJ48" s="61">
        <v>2756191</v>
      </c>
      <c r="GK48" s="61"/>
      <c r="GL48" s="61">
        <f t="shared" ref="GL48:GL54" si="12">AVERAGE(L48:T48)</f>
        <v>2591980.9629629627</v>
      </c>
      <c r="GM48" s="61">
        <f t="shared" ref="GM48:GM54" si="13">AVERAGE(AB48:AJ48)</f>
        <v>2375587.0185185182</v>
      </c>
      <c r="GN48" s="61">
        <f t="shared" ref="GN48:GN54" si="14">AVERAGE(AR48:AZ48)</f>
        <v>2137951.0555555555</v>
      </c>
      <c r="GO48" s="61">
        <f t="shared" ref="GO48:GO54" si="15">AVERAGE(BH48:BP48)</f>
        <v>1729699.1481481483</v>
      </c>
      <c r="GP48" s="61">
        <f t="shared" ref="GP48:GP54" si="16">AVERAGE(BX48:CF48)</f>
        <v>1664860.9259629629</v>
      </c>
      <c r="GQ48" s="61">
        <f>AVERAGE(CN48:CV48)</f>
        <v>1627554.8148148146</v>
      </c>
      <c r="GR48" s="278">
        <f>AVERAGE(DD48:DL48)</f>
        <v>1466046.1666666667</v>
      </c>
      <c r="GS48" s="278">
        <f>AVERAGE(DT48:EB48)</f>
        <v>1427091.6851851852</v>
      </c>
      <c r="GT48" s="278">
        <f>AVERAGE(EJ48:EQ48)</f>
        <v>1274912.3541666665</v>
      </c>
      <c r="GU48" s="61">
        <f>AVERAGE(EX48:FF48)</f>
        <v>1917265.2592592591</v>
      </c>
      <c r="GV48" s="61">
        <f t="shared" ref="GV48:GV53" si="17">AVERAGE(FM48:FU48)</f>
        <v>2180875.9814444445</v>
      </c>
      <c r="GW48" s="61">
        <f t="shared" ref="GW48:GW54" si="18">AVERAGE(GB48:GJ48)</f>
        <v>2761174.5740740742</v>
      </c>
      <c r="GX48" t="s">
        <v>846</v>
      </c>
      <c r="GY48" s="3" t="s">
        <v>533</v>
      </c>
    </row>
    <row r="49" spans="2:207">
      <c r="C49" t="s">
        <v>801</v>
      </c>
      <c r="D49" s="3" t="s">
        <v>534</v>
      </c>
      <c r="E49" s="61"/>
      <c r="F49" s="61"/>
      <c r="G49" s="61"/>
      <c r="H49" s="61"/>
      <c r="I49" s="61"/>
      <c r="J49" s="61"/>
      <c r="K49" s="61"/>
      <c r="L49" s="61">
        <v>1420914</v>
      </c>
      <c r="M49" s="61">
        <v>2865778</v>
      </c>
      <c r="N49" s="61">
        <v>2629504</v>
      </c>
      <c r="O49" s="61">
        <v>2323544</v>
      </c>
      <c r="P49" s="61">
        <v>3414696</v>
      </c>
      <c r="Q49" s="61">
        <v>2631782</v>
      </c>
      <c r="R49" s="61">
        <v>3566082.5</v>
      </c>
      <c r="S49" s="61">
        <v>1570835</v>
      </c>
      <c r="T49" s="61">
        <v>3449434.5</v>
      </c>
      <c r="U49" s="61"/>
      <c r="V49" s="61"/>
      <c r="W49" s="61"/>
      <c r="X49" s="61"/>
      <c r="Y49" s="61"/>
      <c r="Z49" s="61"/>
      <c r="AA49" s="61"/>
      <c r="AB49" s="61">
        <v>1898240</v>
      </c>
      <c r="AC49" s="61">
        <v>2265306</v>
      </c>
      <c r="AD49" s="61">
        <v>2023960</v>
      </c>
      <c r="AE49" s="61">
        <v>3392664</v>
      </c>
      <c r="AF49" s="61">
        <v>3674080</v>
      </c>
      <c r="AG49" s="61">
        <v>2183032</v>
      </c>
      <c r="AH49" s="61">
        <v>3000953.1666666665</v>
      </c>
      <c r="AI49" s="61">
        <v>2521568.166666667</v>
      </c>
      <c r="AJ49" s="61">
        <v>2600022.6666666665</v>
      </c>
      <c r="AK49" s="61"/>
      <c r="AL49" s="61"/>
      <c r="AM49" s="61"/>
      <c r="AN49" s="61"/>
      <c r="AO49" s="61"/>
      <c r="AP49" s="61"/>
      <c r="AQ49" s="61"/>
      <c r="AR49" s="61">
        <v>2242870</v>
      </c>
      <c r="AS49" s="61">
        <v>2293178</v>
      </c>
      <c r="AT49" s="61">
        <v>1310404</v>
      </c>
      <c r="AU49" s="61">
        <v>2062381</v>
      </c>
      <c r="AV49" s="61">
        <v>1789520</v>
      </c>
      <c r="AW49" s="61">
        <v>2525478</v>
      </c>
      <c r="AX49" s="61">
        <v>2470244.8330000001</v>
      </c>
      <c r="AY49" s="61">
        <v>2976163.6666666665</v>
      </c>
      <c r="AZ49" s="61">
        <v>2662648.833333333</v>
      </c>
      <c r="BA49" s="61"/>
      <c r="BB49" s="61"/>
      <c r="BC49" s="61"/>
      <c r="BD49" s="61"/>
      <c r="BE49" s="61"/>
      <c r="BF49" s="61"/>
      <c r="BG49" s="61"/>
      <c r="BH49" s="61">
        <v>1708631</v>
      </c>
      <c r="BI49" s="61">
        <v>1549550</v>
      </c>
      <c r="BJ49" s="61">
        <v>1819968</v>
      </c>
      <c r="BK49" s="61">
        <v>2418634</v>
      </c>
      <c r="BL49" s="61">
        <v>1258792</v>
      </c>
      <c r="BM49" s="61">
        <v>1853140</v>
      </c>
      <c r="BN49" s="61">
        <v>1865874</v>
      </c>
      <c r="BO49" s="61">
        <v>998148</v>
      </c>
      <c r="BP49" s="61">
        <v>1929386</v>
      </c>
      <c r="BQ49" s="61"/>
      <c r="BR49" s="61"/>
      <c r="BS49" s="61"/>
      <c r="BT49" s="61"/>
      <c r="BU49" s="61"/>
      <c r="BV49" s="61"/>
      <c r="BW49" s="61"/>
      <c r="BX49" s="61">
        <v>1527256</v>
      </c>
      <c r="BY49" s="61">
        <v>1976804</v>
      </c>
      <c r="BZ49" s="61">
        <v>1061392</v>
      </c>
      <c r="CA49" s="61">
        <v>1910706</v>
      </c>
      <c r="CB49" s="61">
        <v>1950920</v>
      </c>
      <c r="CC49" s="61">
        <v>2205512</v>
      </c>
      <c r="CD49" s="61">
        <v>1558242.8330000001</v>
      </c>
      <c r="CE49" s="61">
        <v>1356700.3333333335</v>
      </c>
      <c r="CF49" s="61">
        <v>1171401</v>
      </c>
      <c r="CG49" s="61"/>
      <c r="CH49" s="61"/>
      <c r="CI49" s="61"/>
      <c r="CJ49" s="61"/>
      <c r="CK49" s="61"/>
      <c r="CL49" s="61"/>
      <c r="CM49" s="61"/>
      <c r="CN49" s="61">
        <v>1002109</v>
      </c>
      <c r="CO49" s="61">
        <v>1980996</v>
      </c>
      <c r="CP49" s="61">
        <v>1410752</v>
      </c>
      <c r="CQ49" s="61">
        <v>1940993</v>
      </c>
      <c r="CR49" s="61">
        <v>912736</v>
      </c>
      <c r="CS49" s="61">
        <v>1845779</v>
      </c>
      <c r="CT49" s="61">
        <v>1561776</v>
      </c>
      <c r="CU49" s="61">
        <v>1954684</v>
      </c>
      <c r="CV49" s="61">
        <v>1511411</v>
      </c>
      <c r="CW49" s="61"/>
      <c r="CX49" s="61"/>
      <c r="CY49" s="61"/>
      <c r="CZ49" s="61"/>
      <c r="DA49" s="61"/>
      <c r="DB49" s="61"/>
      <c r="DC49" s="61"/>
      <c r="DD49" s="61">
        <v>1053384</v>
      </c>
      <c r="DE49" s="61">
        <v>1424392</v>
      </c>
      <c r="DF49" s="61">
        <v>1562844</v>
      </c>
      <c r="DG49" s="61">
        <v>1156098</v>
      </c>
      <c r="DH49" s="61">
        <v>1139360</v>
      </c>
      <c r="DI49" s="61">
        <v>2064605</v>
      </c>
      <c r="DJ49" s="61">
        <v>1428052</v>
      </c>
      <c r="DK49" s="61">
        <v>1718084</v>
      </c>
      <c r="DL49" s="61">
        <v>828545.99999999988</v>
      </c>
      <c r="DM49" s="61"/>
      <c r="DN49" s="61"/>
      <c r="DO49" s="61"/>
      <c r="DP49" s="61"/>
      <c r="DQ49" s="61"/>
      <c r="DR49" s="61"/>
      <c r="DS49" s="61"/>
      <c r="DT49" s="61">
        <v>1601652</v>
      </c>
      <c r="DU49" s="61">
        <v>1677828</v>
      </c>
      <c r="DV49" s="61">
        <v>1437576</v>
      </c>
      <c r="DW49" s="61">
        <v>848695</v>
      </c>
      <c r="DX49" s="61">
        <v>1672240</v>
      </c>
      <c r="DY49" s="61">
        <v>1207038.3333333333</v>
      </c>
      <c r="DZ49" s="61">
        <v>1840046</v>
      </c>
      <c r="EA49" s="61">
        <v>1159758</v>
      </c>
      <c r="EB49" s="61">
        <v>1414251</v>
      </c>
      <c r="EC49" s="61"/>
      <c r="ED49" s="61"/>
      <c r="EE49" s="61"/>
      <c r="EF49" s="61"/>
      <c r="EG49" s="61"/>
      <c r="EH49" s="61"/>
      <c r="EI49" s="61">
        <v>107864</v>
      </c>
      <c r="EJ49" s="61">
        <v>1272756</v>
      </c>
      <c r="EK49" s="61">
        <v>1987896</v>
      </c>
      <c r="EL49" s="61">
        <v>1487628</v>
      </c>
      <c r="EM49" s="61">
        <v>1213018</v>
      </c>
      <c r="EN49" s="61">
        <v>764728</v>
      </c>
      <c r="EO49" s="61">
        <v>1542949</v>
      </c>
      <c r="EP49" s="61">
        <v>1350777.3333333333</v>
      </c>
      <c r="EQ49" s="61">
        <v>1416413</v>
      </c>
      <c r="ER49" s="61"/>
      <c r="ES49" s="61"/>
      <c r="ET49" s="61"/>
      <c r="EU49" s="61"/>
      <c r="EV49" s="61"/>
      <c r="EW49" s="61"/>
      <c r="EX49" s="61">
        <v>1612558</v>
      </c>
      <c r="EY49" s="61">
        <v>1954068</v>
      </c>
      <c r="EZ49" s="61">
        <v>2375664</v>
      </c>
      <c r="FA49" s="61">
        <v>2290712</v>
      </c>
      <c r="FB49" s="61">
        <v>2679033</v>
      </c>
      <c r="FC49" s="61">
        <v>2230600</v>
      </c>
      <c r="FD49" s="61">
        <v>1215779</v>
      </c>
      <c r="FE49" s="61">
        <v>1197807.5</v>
      </c>
      <c r="FF49" s="61">
        <v>2488760.8333333335</v>
      </c>
      <c r="FG49" s="61"/>
      <c r="FH49" s="168"/>
      <c r="FI49" s="168"/>
      <c r="FJ49" s="61"/>
      <c r="FK49" s="61"/>
      <c r="FL49" s="61"/>
      <c r="FM49" s="61">
        <v>2985126</v>
      </c>
      <c r="FN49" s="61">
        <v>1617592</v>
      </c>
      <c r="FO49" s="61">
        <v>1714416</v>
      </c>
      <c r="FP49" s="61">
        <v>2323544</v>
      </c>
      <c r="FQ49" s="61">
        <v>2115697</v>
      </c>
      <c r="FR49" s="61">
        <v>1794872</v>
      </c>
      <c r="FS49" s="61">
        <v>3455183.6669999999</v>
      </c>
      <c r="FT49" s="61">
        <v>2397556.5</v>
      </c>
      <c r="FU49" s="61">
        <v>1715705.1666666665</v>
      </c>
      <c r="FV49" s="61"/>
      <c r="FW49" s="61"/>
      <c r="FX49" s="61"/>
      <c r="FY49" s="61"/>
      <c r="FZ49" s="61"/>
      <c r="GA49" s="61"/>
      <c r="GB49" s="61">
        <v>2376735</v>
      </c>
      <c r="GC49" s="61">
        <v>1650578</v>
      </c>
      <c r="GD49" s="61">
        <v>3734468</v>
      </c>
      <c r="GE49" s="61">
        <v>3392664</v>
      </c>
      <c r="GF49" s="61">
        <v>3175934</v>
      </c>
      <c r="GG49" s="61">
        <v>2750952</v>
      </c>
      <c r="GH49" s="61">
        <v>4370626.666666667</v>
      </c>
      <c r="GI49" s="61">
        <v>1556339</v>
      </c>
      <c r="GJ49" s="61">
        <v>2894685</v>
      </c>
      <c r="GK49" s="61"/>
      <c r="GL49" s="61">
        <f t="shared" si="12"/>
        <v>2652507.777777778</v>
      </c>
      <c r="GM49" s="61">
        <f t="shared" si="13"/>
        <v>2617758.444444445</v>
      </c>
      <c r="GN49" s="61">
        <f t="shared" si="14"/>
        <v>2259209.814777778</v>
      </c>
      <c r="GO49" s="61">
        <f t="shared" si="15"/>
        <v>1711347</v>
      </c>
      <c r="GP49" s="61">
        <f t="shared" si="16"/>
        <v>1635437.1295925928</v>
      </c>
      <c r="GQ49" s="61">
        <f>AVERAGE(CN49:CV49)</f>
        <v>1569026.2222222222</v>
      </c>
      <c r="GR49" s="61">
        <f>AVERAGE(DD49:DL49)</f>
        <v>1375040.5555555555</v>
      </c>
      <c r="GS49" s="61">
        <f>AVERAGE(DT49:EB49)</f>
        <v>1428787.1481481483</v>
      </c>
      <c r="GT49" s="278">
        <f>AVERAGE(EJ49:EQ49)</f>
        <v>1379520.6666666667</v>
      </c>
      <c r="GU49" s="61">
        <f>AVERAGE(EX49:FF49)</f>
        <v>2004998.0370370368</v>
      </c>
      <c r="GV49" s="61">
        <f t="shared" si="17"/>
        <v>2235521.3704074076</v>
      </c>
      <c r="GW49" s="61">
        <f t="shared" si="18"/>
        <v>2878109.0740740742</v>
      </c>
      <c r="GX49" t="s">
        <v>846</v>
      </c>
      <c r="GY49" s="3" t="s">
        <v>534</v>
      </c>
    </row>
    <row r="50" spans="2:207">
      <c r="C50" t="s">
        <v>806</v>
      </c>
      <c r="D50" s="60" t="s">
        <v>343</v>
      </c>
      <c r="E50" s="61"/>
      <c r="F50" s="61"/>
      <c r="G50" s="61"/>
      <c r="H50" s="61"/>
      <c r="I50" s="61"/>
      <c r="J50" s="61"/>
      <c r="K50" s="61"/>
      <c r="L50" s="61">
        <v>1962167</v>
      </c>
      <c r="M50" s="61">
        <v>2460945</v>
      </c>
      <c r="N50" s="61">
        <v>2213004</v>
      </c>
      <c r="O50" s="61">
        <v>1863273</v>
      </c>
      <c r="P50" s="61">
        <v>2639699</v>
      </c>
      <c r="Q50" s="61">
        <v>2329668</v>
      </c>
      <c r="R50" s="61">
        <v>2770000</v>
      </c>
      <c r="S50" s="61">
        <v>1665231</v>
      </c>
      <c r="T50" s="61">
        <v>2384808.4999999995</v>
      </c>
      <c r="U50" s="61"/>
      <c r="V50" s="61"/>
      <c r="W50" s="61"/>
      <c r="X50" s="61"/>
      <c r="Y50" s="61"/>
      <c r="Z50" s="61"/>
      <c r="AA50" s="61"/>
      <c r="AB50" s="61">
        <v>2892810</v>
      </c>
      <c r="AC50" s="61">
        <v>1731218</v>
      </c>
      <c r="AD50" s="61">
        <v>1299853</v>
      </c>
      <c r="AE50" s="61">
        <v>2308810</v>
      </c>
      <c r="AF50" s="61">
        <v>3657985</v>
      </c>
      <c r="AG50" s="61">
        <v>2341387</v>
      </c>
      <c r="AH50" s="61">
        <v>2491501</v>
      </c>
      <c r="AI50" s="61">
        <v>2346283.666666667</v>
      </c>
      <c r="AJ50" s="61">
        <v>1938263.5000000002</v>
      </c>
      <c r="AK50" s="61"/>
      <c r="AL50" s="61"/>
      <c r="AM50" s="61"/>
      <c r="AN50" s="61"/>
      <c r="AO50" s="61"/>
      <c r="AP50" s="61"/>
      <c r="AQ50" s="61"/>
      <c r="AR50" s="61">
        <v>2974893</v>
      </c>
      <c r="AS50" s="61">
        <v>2110248</v>
      </c>
      <c r="AT50" s="61">
        <v>1936006</v>
      </c>
      <c r="AU50" s="61">
        <v>2176989</v>
      </c>
      <c r="AV50" s="61">
        <v>1629184</v>
      </c>
      <c r="AW50" s="61">
        <v>2110773</v>
      </c>
      <c r="AX50" s="61">
        <v>2609857</v>
      </c>
      <c r="AY50" s="61">
        <v>2023072.1666666665</v>
      </c>
      <c r="AZ50" s="61">
        <v>2148413</v>
      </c>
      <c r="BA50" s="61"/>
      <c r="BB50" s="61"/>
      <c r="BC50" s="61"/>
      <c r="BD50" s="61"/>
      <c r="BE50" s="61"/>
      <c r="BF50" s="61"/>
      <c r="BG50" s="61"/>
      <c r="BH50" s="61">
        <v>2171119</v>
      </c>
      <c r="BI50" s="61">
        <v>1176434</v>
      </c>
      <c r="BJ50" s="61">
        <v>2733054</v>
      </c>
      <c r="BK50" s="61">
        <v>2303432</v>
      </c>
      <c r="BL50" s="61">
        <v>1367937</v>
      </c>
      <c r="BM50" s="61">
        <v>1471665</v>
      </c>
      <c r="BN50" s="61">
        <v>1624033.9999999995</v>
      </c>
      <c r="BO50" s="61">
        <v>1343457.6666666667</v>
      </c>
      <c r="BP50" s="61">
        <v>1251121.9999999998</v>
      </c>
      <c r="BQ50" s="61"/>
      <c r="BR50" s="61"/>
      <c r="BS50" s="61"/>
      <c r="BT50" s="61"/>
      <c r="BU50" s="61"/>
      <c r="BV50" s="61"/>
      <c r="BW50" s="61"/>
      <c r="BX50" s="61">
        <v>1712271</v>
      </c>
      <c r="BY50" s="61">
        <v>955519</v>
      </c>
      <c r="BZ50" s="61">
        <v>1678101</v>
      </c>
      <c r="CA50" s="61">
        <v>1566107</v>
      </c>
      <c r="CB50" s="61">
        <v>1658875</v>
      </c>
      <c r="CC50" s="61">
        <v>1221759</v>
      </c>
      <c r="CD50" s="61">
        <v>1300766.9999999998</v>
      </c>
      <c r="CE50" s="61">
        <v>1301822.6666666667</v>
      </c>
      <c r="CF50" s="61">
        <v>1234020</v>
      </c>
      <c r="CG50" s="61"/>
      <c r="CH50" s="61"/>
      <c r="CI50" s="61"/>
      <c r="CJ50" s="61"/>
      <c r="CK50" s="61"/>
      <c r="CL50" s="61"/>
      <c r="CM50" s="61">
        <v>1189000</v>
      </c>
      <c r="CN50" s="61">
        <v>1210191</v>
      </c>
      <c r="CO50" s="61">
        <v>1645821</v>
      </c>
      <c r="CP50" s="61">
        <v>866687</v>
      </c>
      <c r="CQ50" s="61">
        <v>1356518</v>
      </c>
      <c r="CR50" s="61">
        <v>1100579</v>
      </c>
      <c r="CS50" s="61">
        <v>1159744</v>
      </c>
      <c r="CT50" s="61">
        <v>810104.49999999988</v>
      </c>
      <c r="CU50" s="61">
        <v>928644.1669999999</v>
      </c>
      <c r="CV50" s="61">
        <v>996842</v>
      </c>
      <c r="CW50" s="61"/>
      <c r="CX50" s="61"/>
      <c r="CY50" s="61"/>
      <c r="CZ50" s="61"/>
      <c r="DA50" s="61"/>
      <c r="DB50" s="61"/>
      <c r="DC50" s="61">
        <v>1612319</v>
      </c>
      <c r="DD50" s="61">
        <v>988188</v>
      </c>
      <c r="DE50" s="61">
        <v>1518625</v>
      </c>
      <c r="DF50" s="61">
        <v>1171951</v>
      </c>
      <c r="DG50" s="61">
        <v>1503271</v>
      </c>
      <c r="DH50" s="61">
        <v>1093976</v>
      </c>
      <c r="DI50" s="61">
        <v>1272329</v>
      </c>
      <c r="DJ50" s="61">
        <v>862598.99999999988</v>
      </c>
      <c r="DK50" s="61">
        <v>1295394.6666666665</v>
      </c>
      <c r="DL50" s="61">
        <v>823050.83333333349</v>
      </c>
      <c r="DM50" s="61"/>
      <c r="DN50" s="61"/>
      <c r="DO50" s="61"/>
      <c r="DP50" s="61"/>
      <c r="DQ50" s="61"/>
      <c r="DR50" s="61"/>
      <c r="DS50" s="61">
        <v>573900</v>
      </c>
      <c r="DT50" s="61">
        <v>1157770</v>
      </c>
      <c r="DU50" s="61">
        <v>941365</v>
      </c>
      <c r="DV50" s="61">
        <v>1680726</v>
      </c>
      <c r="DW50" s="61">
        <v>1020162</v>
      </c>
      <c r="DX50" s="61">
        <v>1126570</v>
      </c>
      <c r="DY50" s="61">
        <v>1002739</v>
      </c>
      <c r="DZ50" s="61">
        <v>1136351</v>
      </c>
      <c r="EA50" s="61">
        <v>1083278</v>
      </c>
      <c r="EB50" s="61">
        <v>668462.33333333326</v>
      </c>
      <c r="EC50" s="61"/>
      <c r="ED50" s="61"/>
      <c r="EE50" s="61"/>
      <c r="EF50" s="61"/>
      <c r="EG50" s="61"/>
      <c r="EH50" s="61"/>
      <c r="EI50" s="61">
        <v>1549022</v>
      </c>
      <c r="EJ50" s="61">
        <v>1103478</v>
      </c>
      <c r="EK50" s="61">
        <v>1436102</v>
      </c>
      <c r="EL50" s="61">
        <v>1340306</v>
      </c>
      <c r="EM50" s="61">
        <v>1300693</v>
      </c>
      <c r="EN50" s="61">
        <v>879380</v>
      </c>
      <c r="EO50" s="61">
        <v>1569632</v>
      </c>
      <c r="EP50" s="61">
        <v>827160.99999999988</v>
      </c>
      <c r="EQ50" s="61">
        <v>1176967.8333333335</v>
      </c>
      <c r="ER50" s="61"/>
      <c r="ES50" s="61"/>
      <c r="ET50" s="61"/>
      <c r="EU50" s="61"/>
      <c r="EV50" s="61"/>
      <c r="EW50" s="61"/>
      <c r="EX50" s="61">
        <v>1261752</v>
      </c>
      <c r="EY50" s="61">
        <v>2002021</v>
      </c>
      <c r="EZ50" s="61">
        <v>1604184</v>
      </c>
      <c r="FA50" s="61">
        <v>1701404</v>
      </c>
      <c r="FB50" s="61">
        <v>2038715</v>
      </c>
      <c r="FC50" s="61">
        <v>1373008</v>
      </c>
      <c r="FD50" s="61">
        <v>1475402</v>
      </c>
      <c r="FE50" s="61">
        <v>1396681.9999999998</v>
      </c>
      <c r="FF50" s="61">
        <v>1210926.1666666667</v>
      </c>
      <c r="FG50" s="61"/>
      <c r="FH50" s="168"/>
      <c r="FI50" s="168"/>
      <c r="FJ50" s="61"/>
      <c r="FK50" s="61"/>
      <c r="FL50" s="61"/>
      <c r="FM50" s="61">
        <v>3690369</v>
      </c>
      <c r="FN50" s="61">
        <v>2118379</v>
      </c>
      <c r="FO50" s="61">
        <v>1662833</v>
      </c>
      <c r="FP50" s="61">
        <v>1916064</v>
      </c>
      <c r="FQ50" s="61">
        <v>2683465</v>
      </c>
      <c r="FR50" s="61">
        <v>1920511</v>
      </c>
      <c r="FS50" s="61">
        <v>2103690</v>
      </c>
      <c r="FT50" s="61">
        <v>2086199.9999999998</v>
      </c>
      <c r="FU50" s="61">
        <v>1598767</v>
      </c>
      <c r="FV50" s="61"/>
      <c r="FW50" s="61"/>
      <c r="FX50" s="61"/>
      <c r="FY50" s="61"/>
      <c r="FZ50" s="61"/>
      <c r="GA50" s="61"/>
      <c r="GB50" s="61">
        <v>3078066</v>
      </c>
      <c r="GC50" s="61">
        <v>2201434</v>
      </c>
      <c r="GD50" s="61">
        <v>2928831</v>
      </c>
      <c r="GE50" s="61">
        <v>3717486</v>
      </c>
      <c r="GF50" s="61">
        <v>2416160</v>
      </c>
      <c r="GG50" s="61">
        <v>1955066</v>
      </c>
      <c r="GH50" s="61">
        <v>2448416</v>
      </c>
      <c r="GI50" s="61">
        <v>1283537.1666666665</v>
      </c>
      <c r="GJ50" s="61">
        <v>2282047</v>
      </c>
      <c r="GK50" s="61"/>
      <c r="GL50" s="275">
        <f t="shared" si="12"/>
        <v>2254310.611111111</v>
      </c>
      <c r="GM50" s="275">
        <f t="shared" si="13"/>
        <v>2334234.5740740742</v>
      </c>
      <c r="GN50" s="275">
        <f t="shared" si="14"/>
        <v>2191048.3518518521</v>
      </c>
      <c r="GO50" s="275">
        <f t="shared" si="15"/>
        <v>1715806.0740740739</v>
      </c>
      <c r="GP50" s="275">
        <f t="shared" si="16"/>
        <v>1403249.0740740739</v>
      </c>
      <c r="GQ50" s="275">
        <f>AVERAGE(CM50:CV50)</f>
        <v>1126413.0666999999</v>
      </c>
      <c r="GR50" s="275">
        <f>AVERAGE(DC50:DL50)</f>
        <v>1214170.3500000001</v>
      </c>
      <c r="GS50" s="275">
        <f>AVERAGE(DS50:EB50)</f>
        <v>1039132.3333333334</v>
      </c>
      <c r="GT50" s="275">
        <f>AVERAGE(EI50:EQ50)</f>
        <v>1242526.8703703703</v>
      </c>
      <c r="GU50" s="275">
        <f>AVERAGE(EX50:FF50)</f>
        <v>1562677.1296296297</v>
      </c>
      <c r="GV50" s="275">
        <f t="shared" si="17"/>
        <v>2197808.6666666665</v>
      </c>
      <c r="GW50" s="275">
        <f t="shared" si="18"/>
        <v>2479004.7962962966</v>
      </c>
      <c r="GX50" t="s">
        <v>846</v>
      </c>
      <c r="GY50" s="60" t="s">
        <v>343</v>
      </c>
    </row>
    <row r="51" spans="2:207">
      <c r="D51" s="3" t="s">
        <v>535</v>
      </c>
      <c r="E51" s="61"/>
      <c r="F51" s="61"/>
      <c r="G51" s="61"/>
      <c r="H51" s="61"/>
      <c r="I51" s="61"/>
      <c r="J51" s="61"/>
      <c r="K51" s="61"/>
      <c r="L51" s="61">
        <v>206081</v>
      </c>
      <c r="M51" s="61">
        <v>1414854</v>
      </c>
      <c r="N51" s="61">
        <v>1294136</v>
      </c>
      <c r="O51" s="61">
        <v>1092753</v>
      </c>
      <c r="P51" s="61">
        <v>1945169.7142857139</v>
      </c>
      <c r="Q51" s="61">
        <v>1427149</v>
      </c>
      <c r="R51" s="61">
        <v>1722905</v>
      </c>
      <c r="S51" s="61">
        <v>800513</v>
      </c>
      <c r="T51" s="61">
        <v>1647419.5</v>
      </c>
      <c r="U51" s="61"/>
      <c r="V51" s="61"/>
      <c r="W51" s="61"/>
      <c r="X51" s="61"/>
      <c r="Y51" s="61"/>
      <c r="Z51" s="61"/>
      <c r="AA51" s="61"/>
      <c r="AB51" s="61">
        <v>322492</v>
      </c>
      <c r="AC51" s="61">
        <v>1094880</v>
      </c>
      <c r="AD51" s="61">
        <v>1005218</v>
      </c>
      <c r="AE51" s="61">
        <v>1115309</v>
      </c>
      <c r="AF51" s="61">
        <v>1945105.7142857139</v>
      </c>
      <c r="AG51" s="61">
        <v>1082536</v>
      </c>
      <c r="AH51" s="61">
        <v>1492795</v>
      </c>
      <c r="AI51" s="61">
        <v>1221969.8333333333</v>
      </c>
      <c r="AJ51" s="61">
        <v>1346771.4999999998</v>
      </c>
      <c r="AK51" s="61"/>
      <c r="AL51" s="61"/>
      <c r="AM51" s="61"/>
      <c r="AN51" s="61"/>
      <c r="AO51" s="61"/>
      <c r="AP51" s="61"/>
      <c r="AQ51" s="61"/>
      <c r="AR51" s="61">
        <v>1213765</v>
      </c>
      <c r="AS51" s="61">
        <v>1153323</v>
      </c>
      <c r="AT51" s="61">
        <v>626370</v>
      </c>
      <c r="AU51" s="61">
        <v>1089306</v>
      </c>
      <c r="AV51" s="61">
        <v>1044022.2857142856</v>
      </c>
      <c r="AW51" s="61">
        <v>1244004</v>
      </c>
      <c r="AX51" s="61">
        <v>1243138.5</v>
      </c>
      <c r="AY51" s="61">
        <v>1458360.5</v>
      </c>
      <c r="AZ51" s="61">
        <v>1337919.3333333335</v>
      </c>
      <c r="BA51" s="61"/>
      <c r="BB51" s="61"/>
      <c r="BC51" s="61"/>
      <c r="BD51" s="61"/>
      <c r="BE51" s="61"/>
      <c r="BF51" s="61"/>
      <c r="BG51" s="61"/>
      <c r="BH51" s="61">
        <v>862189</v>
      </c>
      <c r="BI51" s="61">
        <v>802849</v>
      </c>
      <c r="BJ51" s="61">
        <v>914412</v>
      </c>
      <c r="BK51" s="61">
        <v>1076092</v>
      </c>
      <c r="BL51" s="61">
        <v>666465.42857142852</v>
      </c>
      <c r="BM51" s="61">
        <v>956555</v>
      </c>
      <c r="BN51" s="61">
        <v>934312</v>
      </c>
      <c r="BO51" s="61">
        <v>515838.83333333314</v>
      </c>
      <c r="BP51" s="61">
        <v>941835</v>
      </c>
      <c r="BQ51" s="61"/>
      <c r="BR51" s="61"/>
      <c r="BS51" s="61"/>
      <c r="BT51" s="61"/>
      <c r="BU51" s="61"/>
      <c r="BV51" s="61"/>
      <c r="BW51" s="61"/>
      <c r="BX51" s="61">
        <v>800677</v>
      </c>
      <c r="BY51" s="61">
        <v>933893</v>
      </c>
      <c r="BZ51" s="61">
        <v>481070</v>
      </c>
      <c r="CA51" s="61">
        <v>968789</v>
      </c>
      <c r="CB51" s="61">
        <v>1002365.1428571426</v>
      </c>
      <c r="CC51" s="61">
        <v>994518</v>
      </c>
      <c r="CD51" s="61">
        <v>807252.33330000006</v>
      </c>
      <c r="CE51" s="61">
        <v>671317.16666666663</v>
      </c>
      <c r="CF51" s="61">
        <v>690585</v>
      </c>
      <c r="CG51" s="61"/>
      <c r="CH51" s="61"/>
      <c r="CI51" s="61"/>
      <c r="CJ51" s="61"/>
      <c r="CK51" s="61"/>
      <c r="CL51" s="61"/>
      <c r="CM51" s="61"/>
      <c r="CN51" s="61">
        <v>531647</v>
      </c>
      <c r="CO51" s="61">
        <v>982193</v>
      </c>
      <c r="CP51" s="61">
        <v>648708</v>
      </c>
      <c r="CQ51" s="61">
        <v>1093851</v>
      </c>
      <c r="CR51" s="61">
        <v>455759.14285714278</v>
      </c>
      <c r="CS51" s="61">
        <v>897468</v>
      </c>
      <c r="CT51" s="61">
        <v>761538</v>
      </c>
      <c r="CU51" s="61">
        <v>918109.83333333337</v>
      </c>
      <c r="CV51" s="61">
        <v>822459</v>
      </c>
      <c r="CW51" s="61"/>
      <c r="CX51" s="61"/>
      <c r="CY51" s="61"/>
      <c r="CZ51" s="61"/>
      <c r="DA51" s="61"/>
      <c r="DB51" s="61"/>
      <c r="DC51" s="61"/>
      <c r="DD51" s="61">
        <v>480427</v>
      </c>
      <c r="DE51" s="61">
        <v>655449</v>
      </c>
      <c r="DF51" s="61">
        <v>788470</v>
      </c>
      <c r="DG51" s="61">
        <v>793298</v>
      </c>
      <c r="DH51" s="61">
        <v>571522.85714285704</v>
      </c>
      <c r="DI51" s="61">
        <v>1067487</v>
      </c>
      <c r="DJ51" s="61">
        <v>708822.66666666663</v>
      </c>
      <c r="DK51" s="61">
        <v>808030.16666666651</v>
      </c>
      <c r="DL51" s="61">
        <v>471964.00000000006</v>
      </c>
      <c r="DM51" s="61"/>
      <c r="DN51" s="61"/>
      <c r="DO51" s="61"/>
      <c r="DP51" s="61"/>
      <c r="DQ51" s="61"/>
      <c r="DR51" s="61"/>
      <c r="DS51" s="61"/>
      <c r="DT51" s="61">
        <v>733131</v>
      </c>
      <c r="DU51" s="61">
        <v>785826</v>
      </c>
      <c r="DV51" s="61">
        <v>713014</v>
      </c>
      <c r="DW51" s="61">
        <v>540609</v>
      </c>
      <c r="DX51" s="61">
        <v>870903.14285714272</v>
      </c>
      <c r="DY51" s="61">
        <v>602183</v>
      </c>
      <c r="DZ51" s="61">
        <v>806919</v>
      </c>
      <c r="EA51" s="61">
        <v>577229</v>
      </c>
      <c r="EB51" s="61">
        <v>677697.16666666674</v>
      </c>
      <c r="EC51" s="61"/>
      <c r="ED51" s="61"/>
      <c r="EE51" s="61"/>
      <c r="EF51" s="61"/>
      <c r="EG51" s="61"/>
      <c r="EH51" s="61"/>
      <c r="EI51" s="61">
        <v>29488</v>
      </c>
      <c r="EJ51" s="61">
        <v>573617</v>
      </c>
      <c r="EK51" s="61">
        <v>994992</v>
      </c>
      <c r="EL51" s="61">
        <v>449018</v>
      </c>
      <c r="EM51" s="61">
        <v>577176</v>
      </c>
      <c r="EN51" s="61">
        <v>345722.57142857136</v>
      </c>
      <c r="EO51" s="61">
        <v>778995</v>
      </c>
      <c r="EP51" s="61">
        <v>637329.33333333337</v>
      </c>
      <c r="EQ51" s="61">
        <v>632227.5</v>
      </c>
      <c r="ER51" s="61"/>
      <c r="ES51" s="61"/>
      <c r="ET51" s="61"/>
      <c r="EU51" s="61"/>
      <c r="EV51" s="61"/>
      <c r="EW51" s="61"/>
      <c r="EX51" s="61">
        <v>355493</v>
      </c>
      <c r="EY51" s="61">
        <v>962950</v>
      </c>
      <c r="EZ51" s="61">
        <v>1117984</v>
      </c>
      <c r="FA51" s="61">
        <v>1080560</v>
      </c>
      <c r="FB51" s="61">
        <v>1267892</v>
      </c>
      <c r="FC51" s="61">
        <v>1193433.9999999998</v>
      </c>
      <c r="FD51" s="61">
        <v>617648</v>
      </c>
      <c r="FE51" s="61">
        <v>592154.66666666663</v>
      </c>
      <c r="FF51" s="61">
        <v>1145010.3333333335</v>
      </c>
      <c r="FG51" s="61"/>
      <c r="FH51" s="168"/>
      <c r="FI51" s="168"/>
      <c r="FJ51" s="61"/>
      <c r="FK51" s="61"/>
      <c r="FL51" s="61"/>
      <c r="FM51" s="61">
        <v>743926</v>
      </c>
      <c r="FN51" s="61">
        <v>822234</v>
      </c>
      <c r="FO51" s="61">
        <v>923852</v>
      </c>
      <c r="FP51" s="61">
        <v>1140230</v>
      </c>
      <c r="FQ51" s="61">
        <v>1077701</v>
      </c>
      <c r="FR51" s="61">
        <v>1040243.1428571427</v>
      </c>
      <c r="FS51" s="61">
        <v>1503183.5</v>
      </c>
      <c r="FT51" s="61">
        <v>1183826.8333333333</v>
      </c>
      <c r="FU51" s="61">
        <v>850482</v>
      </c>
      <c r="FV51" s="61"/>
      <c r="FW51" s="61"/>
      <c r="FX51" s="61"/>
      <c r="FY51" s="61"/>
      <c r="FZ51" s="61"/>
      <c r="GA51" s="61"/>
      <c r="GB51" s="61">
        <v>564549</v>
      </c>
      <c r="GC51" s="61">
        <v>854890</v>
      </c>
      <c r="GD51" s="61">
        <v>1733798</v>
      </c>
      <c r="GE51" s="61">
        <v>1608552</v>
      </c>
      <c r="GF51" s="61">
        <v>1500293</v>
      </c>
      <c r="GG51" s="61">
        <v>1422237.4285714284</v>
      </c>
      <c r="GH51" s="61">
        <v>2036413.1666666667</v>
      </c>
      <c r="GI51" s="61">
        <v>860857</v>
      </c>
      <c r="GJ51" s="61">
        <v>1388231</v>
      </c>
      <c r="GK51" s="61"/>
      <c r="GL51" s="61">
        <f t="shared" si="12"/>
        <v>1283442.2460317458</v>
      </c>
      <c r="GM51" s="61">
        <f t="shared" si="13"/>
        <v>1180786.3386243386</v>
      </c>
      <c r="GN51" s="61">
        <f t="shared" si="14"/>
        <v>1156689.8465608465</v>
      </c>
      <c r="GO51" s="61">
        <f t="shared" si="15"/>
        <v>852283.14021164016</v>
      </c>
      <c r="GP51" s="61">
        <f t="shared" si="16"/>
        <v>816718.51586931222</v>
      </c>
      <c r="GQ51" s="61">
        <f>AVERAGE(CN51:CV51)</f>
        <v>790192.55291005282</v>
      </c>
      <c r="GR51" s="61">
        <f>AVERAGE(DD51:DL51)</f>
        <v>705052.29894179897</v>
      </c>
      <c r="GS51" s="61">
        <f>AVERAGE(DT51:EB51)</f>
        <v>700834.58994709002</v>
      </c>
      <c r="GT51" s="278">
        <f>AVERAGE(EJ51:EQ51)</f>
        <v>623634.67559523811</v>
      </c>
      <c r="GU51" s="61">
        <f>AVERAGE(EX51:FF51)</f>
        <v>925902.88888888888</v>
      </c>
      <c r="GV51" s="61">
        <f t="shared" si="17"/>
        <v>1031742.0529100528</v>
      </c>
      <c r="GW51" s="61">
        <f t="shared" si="18"/>
        <v>1329980.0661375662</v>
      </c>
      <c r="GX51" t="s">
        <v>846</v>
      </c>
      <c r="GY51" s="3" t="s">
        <v>535</v>
      </c>
    </row>
    <row r="52" spans="2:207" s="277" customFormat="1">
      <c r="C52" s="277" t="s">
        <v>797</v>
      </c>
      <c r="D52" s="277" t="s">
        <v>345</v>
      </c>
      <c r="E52" s="278"/>
      <c r="F52" s="278"/>
      <c r="G52" s="278"/>
      <c r="H52" s="278"/>
      <c r="I52" s="278"/>
      <c r="J52" s="278"/>
      <c r="K52" s="278">
        <v>0</v>
      </c>
      <c r="L52" s="278">
        <v>911997</v>
      </c>
      <c r="M52" s="278">
        <v>1431403</v>
      </c>
      <c r="N52" s="278">
        <v>1649953</v>
      </c>
      <c r="O52" s="278">
        <v>1045066</v>
      </c>
      <c r="P52" s="278">
        <v>2077237.9999999998</v>
      </c>
      <c r="Q52" s="278">
        <v>1826756</v>
      </c>
      <c r="R52" s="278">
        <v>2098000</v>
      </c>
      <c r="S52" s="278">
        <v>1129831</v>
      </c>
      <c r="T52" s="278">
        <v>2083408.3333333333</v>
      </c>
      <c r="U52" s="278"/>
      <c r="V52" s="278"/>
      <c r="W52" s="278"/>
      <c r="X52" s="278"/>
      <c r="Y52" s="278"/>
      <c r="Z52" s="278"/>
      <c r="AA52" s="278">
        <v>0</v>
      </c>
      <c r="AB52" s="278">
        <v>1459118</v>
      </c>
      <c r="AC52" s="278">
        <v>922555</v>
      </c>
      <c r="AD52" s="278">
        <v>1093277</v>
      </c>
      <c r="AE52" s="278">
        <v>1325604</v>
      </c>
      <c r="AF52" s="278">
        <v>2153084</v>
      </c>
      <c r="AG52" s="278">
        <v>1250995</v>
      </c>
      <c r="AH52" s="278">
        <v>2058487.9999999993</v>
      </c>
      <c r="AI52" s="278">
        <v>1427587.6666666667</v>
      </c>
      <c r="AJ52" s="278">
        <v>1231348.166666667</v>
      </c>
      <c r="AK52" s="278"/>
      <c r="AL52" s="278"/>
      <c r="AM52" s="278"/>
      <c r="AN52" s="278"/>
      <c r="AO52" s="278"/>
      <c r="AP52" s="278"/>
      <c r="AQ52" s="278">
        <v>0</v>
      </c>
      <c r="AR52" s="278">
        <v>1840282</v>
      </c>
      <c r="AS52" s="278">
        <v>1422372</v>
      </c>
      <c r="AT52" s="278">
        <v>968234</v>
      </c>
      <c r="AU52" s="278">
        <v>1068996</v>
      </c>
      <c r="AV52" s="278">
        <v>943342</v>
      </c>
      <c r="AW52" s="278">
        <v>1215547</v>
      </c>
      <c r="AX52" s="278">
        <v>1524074.9999999998</v>
      </c>
      <c r="AY52" s="278">
        <v>1593440.6666666667</v>
      </c>
      <c r="AZ52" s="278">
        <v>1645972.1666666667</v>
      </c>
      <c r="BA52" s="278"/>
      <c r="BB52" s="278"/>
      <c r="BC52" s="278"/>
      <c r="BD52" s="278"/>
      <c r="BE52" s="278"/>
      <c r="BF52" s="278"/>
      <c r="BG52" s="278">
        <v>0</v>
      </c>
      <c r="BH52" s="278">
        <v>1032883</v>
      </c>
      <c r="BI52" s="278">
        <v>790815</v>
      </c>
      <c r="BJ52" s="278">
        <v>1576527</v>
      </c>
      <c r="BK52" s="278">
        <v>1217263</v>
      </c>
      <c r="BL52" s="278">
        <v>755008</v>
      </c>
      <c r="BM52" s="278">
        <v>1089107</v>
      </c>
      <c r="BN52" s="278">
        <v>1030945.0000000001</v>
      </c>
      <c r="BO52" s="278">
        <v>682592.66666666674</v>
      </c>
      <c r="BP52" s="278">
        <v>1354628</v>
      </c>
      <c r="BQ52" s="278"/>
      <c r="BR52" s="278"/>
      <c r="BS52" s="278"/>
      <c r="BT52" s="278"/>
      <c r="BU52" s="278"/>
      <c r="BV52" s="278"/>
      <c r="BW52" s="278">
        <v>0</v>
      </c>
      <c r="BX52" s="278">
        <v>898013</v>
      </c>
      <c r="BY52" s="278">
        <v>817195</v>
      </c>
      <c r="BZ52" s="278">
        <v>1025692</v>
      </c>
      <c r="CA52" s="278">
        <v>772832</v>
      </c>
      <c r="CB52" s="278">
        <v>1367441</v>
      </c>
      <c r="CC52" s="278">
        <v>1045569</v>
      </c>
      <c r="CD52" s="278">
        <v>1027759.9999999998</v>
      </c>
      <c r="CE52" s="278">
        <v>932687.16666666663</v>
      </c>
      <c r="CF52" s="278">
        <v>700024</v>
      </c>
      <c r="CG52" s="278"/>
      <c r="CH52" s="278"/>
      <c r="CI52" s="278"/>
      <c r="CJ52" s="278"/>
      <c r="CK52" s="278"/>
      <c r="CL52" s="278"/>
      <c r="CM52" s="278">
        <v>0</v>
      </c>
      <c r="CN52" s="278">
        <v>748058</v>
      </c>
      <c r="CO52" s="278">
        <v>907165</v>
      </c>
      <c r="CP52" s="278">
        <v>992442</v>
      </c>
      <c r="CQ52" s="278">
        <v>967693</v>
      </c>
      <c r="CR52" s="278">
        <v>864016</v>
      </c>
      <c r="CS52" s="278">
        <v>803874</v>
      </c>
      <c r="CT52" s="278">
        <v>559286.33333333326</v>
      </c>
      <c r="CU52" s="278">
        <v>785040.5</v>
      </c>
      <c r="CV52" s="278">
        <v>643686</v>
      </c>
      <c r="CW52" s="278"/>
      <c r="CX52" s="278"/>
      <c r="CY52" s="278"/>
      <c r="CZ52" s="278"/>
      <c r="DA52" s="278"/>
      <c r="DB52" s="278"/>
      <c r="DC52" s="278">
        <v>0</v>
      </c>
      <c r="DD52" s="278">
        <v>484924</v>
      </c>
      <c r="DE52" s="278">
        <v>884426</v>
      </c>
      <c r="DF52" s="278">
        <v>1043843.0000000001</v>
      </c>
      <c r="DG52" s="278">
        <v>762818</v>
      </c>
      <c r="DH52" s="278">
        <v>717993</v>
      </c>
      <c r="DI52" s="278">
        <v>794381</v>
      </c>
      <c r="DJ52" s="278">
        <v>467058.00000000012</v>
      </c>
      <c r="DK52" s="278">
        <v>945165</v>
      </c>
      <c r="DL52" s="278">
        <v>523261.33333333326</v>
      </c>
      <c r="DM52" s="278"/>
      <c r="DN52" s="278"/>
      <c r="DO52" s="278"/>
      <c r="DP52" s="278"/>
      <c r="DQ52" s="278"/>
      <c r="DR52" s="278"/>
      <c r="DS52" s="278">
        <v>0</v>
      </c>
      <c r="DT52" s="278">
        <v>607114</v>
      </c>
      <c r="DU52" s="278">
        <v>820105</v>
      </c>
      <c r="DV52" s="278">
        <v>847644</v>
      </c>
      <c r="DW52" s="278">
        <v>525883</v>
      </c>
      <c r="DX52" s="278">
        <v>833607</v>
      </c>
      <c r="DY52" s="278">
        <v>993660</v>
      </c>
      <c r="DZ52" s="278">
        <v>569410.99999999988</v>
      </c>
      <c r="EA52" s="278">
        <v>708579</v>
      </c>
      <c r="EB52" s="278">
        <v>629857.66666666674</v>
      </c>
      <c r="EC52" s="278"/>
      <c r="ED52" s="278"/>
      <c r="EE52" s="278"/>
      <c r="EF52" s="278"/>
      <c r="EG52" s="278"/>
      <c r="EH52" s="278"/>
      <c r="EI52" s="278">
        <v>0</v>
      </c>
      <c r="EJ52" s="278">
        <v>720439</v>
      </c>
      <c r="EK52" s="278">
        <v>1038244.9999999999</v>
      </c>
      <c r="EL52" s="278">
        <v>967858</v>
      </c>
      <c r="EM52" s="278">
        <v>950300</v>
      </c>
      <c r="EN52" s="278">
        <v>651353</v>
      </c>
      <c r="EO52" s="278">
        <v>1282919</v>
      </c>
      <c r="EP52" s="278">
        <v>691163.00000000012</v>
      </c>
      <c r="EQ52" s="278">
        <v>1000356.5</v>
      </c>
      <c r="ER52" s="278"/>
      <c r="ES52" s="278"/>
      <c r="ET52" s="278"/>
      <c r="EU52" s="278"/>
      <c r="EV52" s="278"/>
      <c r="EW52" s="278"/>
      <c r="EX52" s="278">
        <v>678138</v>
      </c>
      <c r="EY52" s="278">
        <v>1550212</v>
      </c>
      <c r="EZ52" s="278">
        <v>1157562</v>
      </c>
      <c r="FA52" s="278">
        <v>1538088</v>
      </c>
      <c r="FB52" s="278">
        <v>1653778</v>
      </c>
      <c r="FC52" s="278">
        <v>1131703</v>
      </c>
      <c r="FD52" s="278">
        <v>985940</v>
      </c>
      <c r="FE52" s="278">
        <v>948827</v>
      </c>
      <c r="FF52" s="278">
        <v>1203682</v>
      </c>
      <c r="FG52" s="278"/>
      <c r="FH52" s="279"/>
      <c r="FI52" s="279"/>
      <c r="FJ52" s="278"/>
      <c r="FK52" s="278"/>
      <c r="FL52" s="278"/>
      <c r="FM52" s="278">
        <v>2223809</v>
      </c>
      <c r="FN52" s="278">
        <v>1291152</v>
      </c>
      <c r="FO52" s="278">
        <v>1260744</v>
      </c>
      <c r="FP52" s="278">
        <v>1371583</v>
      </c>
      <c r="FQ52" s="278">
        <v>1671846</v>
      </c>
      <c r="FR52" s="278">
        <v>1428551</v>
      </c>
      <c r="FS52" s="278">
        <v>1938569</v>
      </c>
      <c r="FT52" s="278">
        <v>1529561.0000000002</v>
      </c>
      <c r="FU52" s="278">
        <v>1357742</v>
      </c>
      <c r="FV52" s="278"/>
      <c r="FW52" s="278"/>
      <c r="FX52" s="278"/>
      <c r="FY52" s="278"/>
      <c r="FZ52" s="278"/>
      <c r="GA52" s="278"/>
      <c r="GB52" s="278">
        <v>1760356</v>
      </c>
      <c r="GC52" s="278">
        <v>1069385</v>
      </c>
      <c r="GD52" s="278">
        <v>2349255</v>
      </c>
      <c r="GE52" s="278">
        <v>2279482</v>
      </c>
      <c r="GF52" s="278">
        <v>2013334</v>
      </c>
      <c r="GG52" s="278">
        <v>1502717</v>
      </c>
      <c r="GH52" s="278">
        <v>2056130</v>
      </c>
      <c r="GI52" s="278">
        <v>1048266.6666666666</v>
      </c>
      <c r="GJ52" s="278">
        <v>1864960</v>
      </c>
      <c r="GK52" s="278"/>
      <c r="GL52" s="275">
        <f t="shared" si="12"/>
        <v>1583739.1481481483</v>
      </c>
      <c r="GM52" s="275">
        <f t="shared" si="13"/>
        <v>1435784.0925925924</v>
      </c>
      <c r="GN52" s="275">
        <f t="shared" si="14"/>
        <v>1358028.9814814813</v>
      </c>
      <c r="GO52" s="275">
        <f t="shared" si="15"/>
        <v>1058863.1851851854</v>
      </c>
      <c r="GP52" s="275">
        <f t="shared" si="16"/>
        <v>954134.79629629641</v>
      </c>
      <c r="GQ52" s="275">
        <f>AVERAGE(CN52:CV52)</f>
        <v>807917.87037037034</v>
      </c>
      <c r="GR52" s="275">
        <f>AVERAGE(DD52:DL52)</f>
        <v>735985.48148148146</v>
      </c>
      <c r="GS52" s="275">
        <f>AVERAGE(DT52:EB52)</f>
        <v>726206.74074074079</v>
      </c>
      <c r="GT52" s="275">
        <f>AVERAGE(EJ52:EQ52)</f>
        <v>912829.1875</v>
      </c>
      <c r="GU52" s="278">
        <f>AVERAGE(EY52:FF52)</f>
        <v>1271224</v>
      </c>
      <c r="GV52" s="275">
        <f t="shared" si="17"/>
        <v>1563728.5555555555</v>
      </c>
      <c r="GW52" s="275">
        <f t="shared" si="18"/>
        <v>1771542.8518518517</v>
      </c>
      <c r="GX52" s="277" t="s">
        <v>846</v>
      </c>
      <c r="GY52" s="277" t="s">
        <v>345</v>
      </c>
    </row>
    <row r="53" spans="2:207" s="277" customFormat="1">
      <c r="D53" s="277" t="s">
        <v>346</v>
      </c>
      <c r="E53" s="278"/>
      <c r="F53" s="278"/>
      <c r="G53" s="278"/>
      <c r="H53" s="278"/>
      <c r="I53" s="278"/>
      <c r="J53" s="278"/>
      <c r="K53" s="278">
        <v>0</v>
      </c>
      <c r="L53" s="278">
        <v>1721051</v>
      </c>
      <c r="M53" s="278">
        <v>2741603</v>
      </c>
      <c r="N53" s="278">
        <v>3387921</v>
      </c>
      <c r="O53" s="278">
        <v>1826039</v>
      </c>
      <c r="P53" s="278">
        <v>3919047</v>
      </c>
      <c r="Q53" s="278">
        <v>3476046</v>
      </c>
      <c r="R53" s="278">
        <v>4120000</v>
      </c>
      <c r="S53" s="278">
        <v>2350583</v>
      </c>
      <c r="T53" s="278">
        <v>3986048.666666666</v>
      </c>
      <c r="U53" s="278"/>
      <c r="V53" s="278"/>
      <c r="W53" s="278"/>
      <c r="X53" s="278"/>
      <c r="Y53" s="278"/>
      <c r="Z53" s="278"/>
      <c r="AA53" s="278">
        <v>0</v>
      </c>
      <c r="AB53" s="278">
        <v>3163104</v>
      </c>
      <c r="AC53" s="278">
        <v>1760506</v>
      </c>
      <c r="AD53" s="278">
        <v>2059279</v>
      </c>
      <c r="AE53" s="278">
        <v>2428807</v>
      </c>
      <c r="AF53" s="278">
        <v>4361416</v>
      </c>
      <c r="AG53" s="278">
        <v>2692324</v>
      </c>
      <c r="AH53" s="278">
        <v>3922232</v>
      </c>
      <c r="AI53" s="278">
        <v>2948876.1666666665</v>
      </c>
      <c r="AJ53" s="278">
        <v>2326408.833333334</v>
      </c>
      <c r="AK53" s="278"/>
      <c r="AL53" s="278"/>
      <c r="AM53" s="278"/>
      <c r="AN53" s="278"/>
      <c r="AO53" s="278"/>
      <c r="AP53" s="278"/>
      <c r="AQ53" s="278">
        <v>0</v>
      </c>
      <c r="AR53" s="278">
        <v>3500890</v>
      </c>
      <c r="AS53" s="278">
        <v>2832728</v>
      </c>
      <c r="AT53" s="278">
        <v>1970512</v>
      </c>
      <c r="AU53" s="278">
        <v>2101754</v>
      </c>
      <c r="AV53" s="278">
        <v>1884197</v>
      </c>
      <c r="AW53" s="278">
        <v>2604433</v>
      </c>
      <c r="AX53" s="278">
        <v>3005506.9999999995</v>
      </c>
      <c r="AY53" s="278">
        <v>3113729.333333333</v>
      </c>
      <c r="AZ53" s="278">
        <v>3179203</v>
      </c>
      <c r="BA53" s="278"/>
      <c r="BB53" s="278"/>
      <c r="BC53" s="278"/>
      <c r="BD53" s="278"/>
      <c r="BE53" s="278"/>
      <c r="BF53" s="278"/>
      <c r="BG53" s="278">
        <v>0</v>
      </c>
      <c r="BH53" s="278">
        <v>2201458</v>
      </c>
      <c r="BI53" s="278">
        <v>1728105</v>
      </c>
      <c r="BJ53" s="278">
        <v>2944256</v>
      </c>
      <c r="BK53" s="278">
        <v>2290766</v>
      </c>
      <c r="BL53" s="278">
        <v>1646200</v>
      </c>
      <c r="BM53" s="278">
        <v>2179296</v>
      </c>
      <c r="BN53" s="278">
        <v>2001895.9999999998</v>
      </c>
      <c r="BO53" s="278">
        <v>1471637.8333333337</v>
      </c>
      <c r="BP53" s="278">
        <v>2581054</v>
      </c>
      <c r="BQ53" s="278"/>
      <c r="BR53" s="278"/>
      <c r="BS53" s="278"/>
      <c r="BT53" s="278"/>
      <c r="BU53" s="278"/>
      <c r="BV53" s="278"/>
      <c r="BW53" s="278">
        <v>0</v>
      </c>
      <c r="BX53" s="278">
        <v>1729311</v>
      </c>
      <c r="BY53" s="278">
        <v>1609240</v>
      </c>
      <c r="BZ53" s="278">
        <v>2061293.0000000002</v>
      </c>
      <c r="CA53" s="278">
        <v>1733551</v>
      </c>
      <c r="CB53" s="278">
        <v>2739344</v>
      </c>
      <c r="CC53" s="278">
        <v>2036227</v>
      </c>
      <c r="CD53" s="278">
        <v>2106449.0000000005</v>
      </c>
      <c r="CE53" s="278">
        <v>1831044</v>
      </c>
      <c r="CF53" s="278">
        <v>1576480.9999999998</v>
      </c>
      <c r="CG53" s="278"/>
      <c r="CH53" s="278"/>
      <c r="CI53" s="278"/>
      <c r="CJ53" s="278"/>
      <c r="CK53" s="278"/>
      <c r="CL53" s="278"/>
      <c r="CM53" s="278">
        <v>0</v>
      </c>
      <c r="CN53" s="278">
        <v>1562622</v>
      </c>
      <c r="CO53" s="278">
        <v>1794856</v>
      </c>
      <c r="CP53" s="278">
        <v>1652595</v>
      </c>
      <c r="CQ53" s="278">
        <v>1795407</v>
      </c>
      <c r="CR53" s="278">
        <v>1822456</v>
      </c>
      <c r="CS53" s="278">
        <v>1582110</v>
      </c>
      <c r="CT53" s="278">
        <v>1185090.3329999996</v>
      </c>
      <c r="CU53" s="278">
        <v>1389571.8333333333</v>
      </c>
      <c r="CV53" s="278">
        <v>1285467</v>
      </c>
      <c r="CW53" s="278"/>
      <c r="CX53" s="278"/>
      <c r="CY53" s="278"/>
      <c r="CZ53" s="278"/>
      <c r="DA53" s="278"/>
      <c r="DB53" s="278"/>
      <c r="DC53" s="278">
        <v>0</v>
      </c>
      <c r="DD53" s="278">
        <v>1115292</v>
      </c>
      <c r="DE53" s="278">
        <v>1768921</v>
      </c>
      <c r="DF53" s="278">
        <v>1697473</v>
      </c>
      <c r="DG53" s="278">
        <v>1321980</v>
      </c>
      <c r="DH53" s="278">
        <v>1502317</v>
      </c>
      <c r="DI53" s="278">
        <v>1724198</v>
      </c>
      <c r="DJ53" s="278">
        <v>951491.00000000023</v>
      </c>
      <c r="DK53" s="278">
        <v>1717273.1666666665</v>
      </c>
      <c r="DL53" s="278">
        <v>1059118.1666666667</v>
      </c>
      <c r="DM53" s="278"/>
      <c r="DN53" s="278"/>
      <c r="DO53" s="278"/>
      <c r="DP53" s="278"/>
      <c r="DQ53" s="278"/>
      <c r="DR53" s="278"/>
      <c r="DS53" s="278">
        <v>0</v>
      </c>
      <c r="DT53" s="278">
        <v>1877244</v>
      </c>
      <c r="DU53" s="278">
        <v>1340128</v>
      </c>
      <c r="DV53" s="278">
        <v>1750526</v>
      </c>
      <c r="DW53" s="278">
        <v>969214</v>
      </c>
      <c r="DX53" s="278">
        <v>1557369</v>
      </c>
      <c r="DY53" s="278">
        <v>1922465</v>
      </c>
      <c r="DZ53" s="278">
        <v>1163583.0000000002</v>
      </c>
      <c r="EA53" s="278">
        <v>1280682</v>
      </c>
      <c r="EB53" s="278">
        <v>1341582.1666666665</v>
      </c>
      <c r="EC53" s="278"/>
      <c r="ED53" s="278"/>
      <c r="EE53" s="278"/>
      <c r="EF53" s="278"/>
      <c r="EG53" s="278"/>
      <c r="EH53" s="278"/>
      <c r="EI53" s="278">
        <v>0</v>
      </c>
      <c r="EJ53" s="278">
        <v>1522217</v>
      </c>
      <c r="EK53" s="278">
        <v>1666232</v>
      </c>
      <c r="EL53" s="278">
        <v>1990918</v>
      </c>
      <c r="EM53" s="278">
        <v>1790501</v>
      </c>
      <c r="EN53" s="278">
        <v>1338149</v>
      </c>
      <c r="EO53" s="278">
        <v>2610012</v>
      </c>
      <c r="EP53" s="278">
        <v>1378576.9999999998</v>
      </c>
      <c r="EQ53" s="278">
        <v>1873966</v>
      </c>
      <c r="ER53" s="278"/>
      <c r="ES53" s="278"/>
      <c r="ET53" s="278"/>
      <c r="EU53" s="278"/>
      <c r="EV53" s="278"/>
      <c r="EW53" s="278"/>
      <c r="EX53" s="278">
        <v>2026683</v>
      </c>
      <c r="EY53" s="278">
        <v>3144660</v>
      </c>
      <c r="EZ53" s="278">
        <v>2105155</v>
      </c>
      <c r="FA53" s="278">
        <v>2985932</v>
      </c>
      <c r="FB53" s="278">
        <v>3118162</v>
      </c>
      <c r="FC53" s="278">
        <v>2108293</v>
      </c>
      <c r="FD53" s="278">
        <v>1956824</v>
      </c>
      <c r="FE53" s="278">
        <v>1930352</v>
      </c>
      <c r="FF53" s="278">
        <v>2315584.6666666665</v>
      </c>
      <c r="FG53" s="278"/>
      <c r="FH53" s="279"/>
      <c r="FI53" s="279"/>
      <c r="FJ53" s="278"/>
      <c r="FK53" s="278"/>
      <c r="FL53" s="278"/>
      <c r="FM53" s="278">
        <v>4288464</v>
      </c>
      <c r="FN53" s="278">
        <v>2479383</v>
      </c>
      <c r="FO53" s="278">
        <v>2551267</v>
      </c>
      <c r="FP53" s="278">
        <v>2563238</v>
      </c>
      <c r="FQ53" s="278">
        <v>3254202</v>
      </c>
      <c r="FR53" s="278">
        <v>2606889</v>
      </c>
      <c r="FS53" s="278">
        <v>3690247</v>
      </c>
      <c r="FT53" s="278">
        <v>2799745</v>
      </c>
      <c r="FU53" s="278">
        <v>2728935.9999999995</v>
      </c>
      <c r="FV53" s="278"/>
      <c r="FW53" s="278"/>
      <c r="FX53" s="278"/>
      <c r="FY53" s="278"/>
      <c r="FZ53" s="278"/>
      <c r="GA53" s="278"/>
      <c r="GB53" s="278">
        <v>3421805</v>
      </c>
      <c r="GC53" s="278">
        <v>1939708</v>
      </c>
      <c r="GD53" s="278">
        <v>4658896</v>
      </c>
      <c r="GE53" s="278">
        <v>3916536</v>
      </c>
      <c r="GF53" s="278">
        <v>3704682</v>
      </c>
      <c r="GG53" s="278">
        <v>2892868</v>
      </c>
      <c r="GH53" s="278">
        <v>3724479</v>
      </c>
      <c r="GI53" s="278">
        <v>2143290.1666666665</v>
      </c>
      <c r="GJ53" s="278">
        <v>3646570</v>
      </c>
      <c r="GK53" s="278"/>
      <c r="GL53" s="275">
        <f t="shared" si="12"/>
        <v>3058704.2962962962</v>
      </c>
      <c r="GM53" s="275">
        <f t="shared" si="13"/>
        <v>2851439.222222222</v>
      </c>
      <c r="GN53" s="275">
        <f t="shared" si="14"/>
        <v>2688105.9259259258</v>
      </c>
      <c r="GO53" s="275">
        <f t="shared" si="15"/>
        <v>2116074.3148148153</v>
      </c>
      <c r="GP53" s="275">
        <f t="shared" si="16"/>
        <v>1935882.2222222222</v>
      </c>
      <c r="GQ53" s="275">
        <f>AVERAGE(CN53:CV53)</f>
        <v>1563352.7962592593</v>
      </c>
      <c r="GR53" s="275">
        <f>AVERAGE(DD53:DL53)</f>
        <v>1428673.7037037036</v>
      </c>
      <c r="GS53" s="275">
        <f>AVERAGE(DT53:EB53)</f>
        <v>1466977.0185185184</v>
      </c>
      <c r="GT53" s="275">
        <f>AVERAGE(EJ53:EQ53)</f>
        <v>1771321.5</v>
      </c>
      <c r="GU53" s="278">
        <f>AVERAGE(EY53:FF53)</f>
        <v>2458120.3333333335</v>
      </c>
      <c r="GV53" s="275">
        <f t="shared" si="17"/>
        <v>2995819</v>
      </c>
      <c r="GW53" s="275">
        <f t="shared" si="18"/>
        <v>3338759.3518518521</v>
      </c>
      <c r="GX53" s="277" t="s">
        <v>846</v>
      </c>
      <c r="GY53" s="277" t="s">
        <v>346</v>
      </c>
    </row>
    <row r="54" spans="2:207">
      <c r="C54" t="s">
        <v>786</v>
      </c>
      <c r="D54" s="60" t="s">
        <v>344</v>
      </c>
      <c r="E54" s="61">
        <v>0</v>
      </c>
      <c r="F54" s="61">
        <v>0</v>
      </c>
      <c r="G54" s="61">
        <v>0</v>
      </c>
      <c r="H54" s="61">
        <v>0</v>
      </c>
      <c r="I54" s="61">
        <v>0</v>
      </c>
      <c r="J54" s="61">
        <v>0</v>
      </c>
      <c r="K54" s="61">
        <v>0</v>
      </c>
      <c r="L54" s="61">
        <v>1871369</v>
      </c>
      <c r="M54" s="61">
        <v>2937746</v>
      </c>
      <c r="N54" s="61">
        <v>3254717</v>
      </c>
      <c r="O54" s="61">
        <v>2118628</v>
      </c>
      <c r="P54" s="61">
        <v>4103259</v>
      </c>
      <c r="Q54" s="61">
        <v>3764579</v>
      </c>
      <c r="R54" s="61">
        <v>4322000</v>
      </c>
      <c r="S54" s="61">
        <v>2335010</v>
      </c>
      <c r="T54" s="61">
        <v>4084221.0000000005</v>
      </c>
      <c r="U54" s="61">
        <v>0</v>
      </c>
      <c r="V54" s="61">
        <v>0</v>
      </c>
      <c r="W54" s="61">
        <v>0</v>
      </c>
      <c r="X54" s="61">
        <v>0</v>
      </c>
      <c r="Y54" s="61">
        <v>0</v>
      </c>
      <c r="Z54" s="61">
        <v>0</v>
      </c>
      <c r="AA54" s="61">
        <v>0</v>
      </c>
      <c r="AB54" s="61">
        <v>3331051</v>
      </c>
      <c r="AC54" s="61">
        <v>1862331</v>
      </c>
      <c r="AD54" s="61">
        <v>2082190.9999999998</v>
      </c>
      <c r="AE54" s="61">
        <v>2656197</v>
      </c>
      <c r="AF54" s="61">
        <v>4544158</v>
      </c>
      <c r="AG54" s="61">
        <v>2691189</v>
      </c>
      <c r="AH54" s="61">
        <v>4177199.0000000005</v>
      </c>
      <c r="AI54" s="61">
        <v>2594255.8333333335</v>
      </c>
      <c r="AJ54" s="61">
        <v>2533146.666666666</v>
      </c>
      <c r="AK54" s="61">
        <v>0</v>
      </c>
      <c r="AL54" s="61">
        <v>0</v>
      </c>
      <c r="AM54" s="61">
        <v>0</v>
      </c>
      <c r="AN54" s="61">
        <v>0</v>
      </c>
      <c r="AO54" s="61">
        <v>0</v>
      </c>
      <c r="AP54" s="61">
        <v>0</v>
      </c>
      <c r="AQ54" s="61">
        <v>0</v>
      </c>
      <c r="AR54" s="61">
        <v>3754482</v>
      </c>
      <c r="AS54" s="61">
        <v>2842155</v>
      </c>
      <c r="AT54" s="61">
        <v>1691922</v>
      </c>
      <c r="AU54" s="61">
        <v>2183796</v>
      </c>
      <c r="AV54" s="61">
        <v>1855185</v>
      </c>
      <c r="AW54" s="61">
        <v>2485436</v>
      </c>
      <c r="AX54" s="61">
        <v>3028118.0000000005</v>
      </c>
      <c r="AY54" s="61">
        <v>3195614.833333333</v>
      </c>
      <c r="AZ54" s="61">
        <v>3442312.3333333335</v>
      </c>
      <c r="BA54" s="61">
        <v>0</v>
      </c>
      <c r="BB54" s="61">
        <v>0</v>
      </c>
      <c r="BC54" s="61">
        <v>0</v>
      </c>
      <c r="BD54" s="61">
        <v>0</v>
      </c>
      <c r="BE54" s="61">
        <v>0</v>
      </c>
      <c r="BF54" s="61">
        <v>0</v>
      </c>
      <c r="BG54" s="61">
        <v>0</v>
      </c>
      <c r="BH54" s="61">
        <v>2105813</v>
      </c>
      <c r="BI54" s="61">
        <v>1503131</v>
      </c>
      <c r="BJ54" s="61">
        <v>3205467</v>
      </c>
      <c r="BK54" s="61">
        <v>2404876</v>
      </c>
      <c r="BL54" s="61">
        <v>1614876</v>
      </c>
      <c r="BM54" s="61">
        <v>2073668.0000000002</v>
      </c>
      <c r="BN54" s="61">
        <v>1943855.9999999998</v>
      </c>
      <c r="BO54" s="61">
        <v>1267749.3333333337</v>
      </c>
      <c r="BP54" s="61">
        <v>2747543</v>
      </c>
      <c r="BQ54" s="61">
        <v>0</v>
      </c>
      <c r="BR54" s="61">
        <v>0</v>
      </c>
      <c r="BS54" s="61">
        <v>0</v>
      </c>
      <c r="BT54" s="61">
        <v>0</v>
      </c>
      <c r="BU54" s="61">
        <v>0</v>
      </c>
      <c r="BV54" s="61">
        <v>0</v>
      </c>
      <c r="BW54" s="61">
        <v>0</v>
      </c>
      <c r="BX54" s="61">
        <v>1729341</v>
      </c>
      <c r="BY54" s="61">
        <v>1604042</v>
      </c>
      <c r="BZ54" s="61">
        <v>2091833</v>
      </c>
      <c r="CA54" s="61">
        <v>1655143</v>
      </c>
      <c r="CB54" s="61">
        <v>2550904</v>
      </c>
      <c r="CC54" s="61">
        <v>1966148</v>
      </c>
      <c r="CD54" s="61">
        <v>2077990.0000000007</v>
      </c>
      <c r="CE54" s="61">
        <v>1788063</v>
      </c>
      <c r="CF54" s="61">
        <v>1193239</v>
      </c>
      <c r="CG54" s="61">
        <v>0</v>
      </c>
      <c r="CH54" s="61">
        <v>0</v>
      </c>
      <c r="CI54" s="61">
        <v>0</v>
      </c>
      <c r="CJ54" s="61">
        <v>0</v>
      </c>
      <c r="CK54" s="61">
        <v>0</v>
      </c>
      <c r="CL54" s="61">
        <v>0</v>
      </c>
      <c r="CM54" s="61">
        <v>0</v>
      </c>
      <c r="CN54" s="61">
        <v>1444668</v>
      </c>
      <c r="CO54" s="61">
        <v>1812506</v>
      </c>
      <c r="CP54" s="61">
        <v>1913369</v>
      </c>
      <c r="CQ54" s="61">
        <v>1898689</v>
      </c>
      <c r="CR54" s="61">
        <v>1608285</v>
      </c>
      <c r="CS54" s="61">
        <v>1563505</v>
      </c>
      <c r="CT54" s="61">
        <v>1129779.5</v>
      </c>
      <c r="CU54" s="61">
        <v>1690977.1666666667</v>
      </c>
      <c r="CV54" s="61">
        <v>1230386</v>
      </c>
      <c r="CW54" s="61">
        <v>0</v>
      </c>
      <c r="CX54" s="61">
        <v>0</v>
      </c>
      <c r="CY54" s="61">
        <v>0</v>
      </c>
      <c r="CZ54" s="61">
        <v>0</v>
      </c>
      <c r="DA54" s="61">
        <v>0</v>
      </c>
      <c r="DB54" s="61">
        <v>0</v>
      </c>
      <c r="DC54" s="61">
        <v>0</v>
      </c>
      <c r="DD54" s="61">
        <v>1040050.9999999999</v>
      </c>
      <c r="DE54" s="61">
        <v>1769761</v>
      </c>
      <c r="DF54" s="61">
        <v>2025175</v>
      </c>
      <c r="DG54" s="61">
        <v>1486482</v>
      </c>
      <c r="DH54" s="61">
        <v>1361475</v>
      </c>
      <c r="DI54" s="61">
        <v>1778647</v>
      </c>
      <c r="DJ54" s="61">
        <v>901445.99999999988</v>
      </c>
      <c r="DK54" s="61">
        <v>1852129.5</v>
      </c>
      <c r="DL54" s="61">
        <v>999827</v>
      </c>
      <c r="DM54" s="61">
        <v>0</v>
      </c>
      <c r="DN54" s="61">
        <v>0</v>
      </c>
      <c r="DO54" s="61">
        <v>0</v>
      </c>
      <c r="DP54" s="61">
        <v>0</v>
      </c>
      <c r="DQ54" s="61">
        <v>0</v>
      </c>
      <c r="DR54" s="61">
        <v>0</v>
      </c>
      <c r="DS54" s="61">
        <v>0</v>
      </c>
      <c r="DT54" s="61">
        <v>1829375</v>
      </c>
      <c r="DU54" s="61">
        <v>1672927</v>
      </c>
      <c r="DV54" s="61">
        <v>1794035</v>
      </c>
      <c r="DW54" s="61">
        <v>1049180</v>
      </c>
      <c r="DX54" s="61">
        <v>1659333</v>
      </c>
      <c r="DY54" s="61">
        <v>1997497</v>
      </c>
      <c r="DZ54" s="61">
        <v>1048476.0000000001</v>
      </c>
      <c r="EA54" s="61">
        <v>1399257</v>
      </c>
      <c r="EB54" s="61">
        <v>1242692.6666666665</v>
      </c>
      <c r="EC54" s="61">
        <v>0</v>
      </c>
      <c r="ED54" s="61">
        <v>0</v>
      </c>
      <c r="EE54" s="61">
        <v>0</v>
      </c>
      <c r="EF54" s="61">
        <v>0</v>
      </c>
      <c r="EG54" s="61">
        <v>0</v>
      </c>
      <c r="EH54" s="61">
        <v>0</v>
      </c>
      <c r="EI54" s="61">
        <v>0</v>
      </c>
      <c r="EJ54" s="61">
        <v>1594883</v>
      </c>
      <c r="EK54" s="61">
        <v>1985320</v>
      </c>
      <c r="EL54" s="61">
        <v>1789000</v>
      </c>
      <c r="EM54" s="61">
        <v>1888133</v>
      </c>
      <c r="EN54" s="61">
        <v>1249336</v>
      </c>
      <c r="EO54" s="61">
        <v>2491803</v>
      </c>
      <c r="EP54" s="61">
        <v>1164051</v>
      </c>
      <c r="EQ54" s="61">
        <v>1953930.8333333333</v>
      </c>
      <c r="ER54" s="61">
        <v>0</v>
      </c>
      <c r="ES54" s="61">
        <v>0</v>
      </c>
      <c r="ET54" s="61">
        <v>0</v>
      </c>
      <c r="EU54" s="61">
        <v>0</v>
      </c>
      <c r="EV54" s="61">
        <v>0</v>
      </c>
      <c r="EW54" s="61">
        <v>0</v>
      </c>
      <c r="EX54" s="61">
        <v>0</v>
      </c>
      <c r="EY54" s="61">
        <v>3262809</v>
      </c>
      <c r="EZ54" s="61">
        <v>2375728</v>
      </c>
      <c r="FA54" s="61">
        <v>3087705</v>
      </c>
      <c r="FB54" s="61">
        <v>3266090</v>
      </c>
      <c r="FC54" s="61">
        <v>2407070</v>
      </c>
      <c r="FD54" s="61">
        <v>1835562</v>
      </c>
      <c r="FE54" s="61">
        <v>1895242</v>
      </c>
      <c r="FF54" s="61">
        <v>2377703.333333333</v>
      </c>
      <c r="FG54" s="61">
        <v>0</v>
      </c>
      <c r="FH54" s="168">
        <v>0</v>
      </c>
      <c r="FI54" s="168">
        <v>0</v>
      </c>
      <c r="FJ54" s="61">
        <v>0</v>
      </c>
      <c r="FK54" s="61">
        <v>0</v>
      </c>
      <c r="FL54" s="61">
        <v>0</v>
      </c>
      <c r="FM54" s="61">
        <v>0</v>
      </c>
      <c r="FN54" s="61">
        <v>2529927</v>
      </c>
      <c r="FO54" s="61">
        <v>2904398</v>
      </c>
      <c r="FP54" s="61">
        <v>2784421</v>
      </c>
      <c r="FQ54" s="61">
        <v>3406909</v>
      </c>
      <c r="FR54" s="61">
        <v>2918391</v>
      </c>
      <c r="FS54" s="61">
        <v>3762972</v>
      </c>
      <c r="FT54" s="61">
        <v>3007153.0000000005</v>
      </c>
      <c r="FU54" s="61">
        <v>2757260</v>
      </c>
      <c r="FV54" s="61">
        <v>0</v>
      </c>
      <c r="FW54" s="61">
        <v>0</v>
      </c>
      <c r="FX54" s="61">
        <v>0</v>
      </c>
      <c r="FY54" s="61">
        <v>0</v>
      </c>
      <c r="FZ54" s="61">
        <v>0</v>
      </c>
      <c r="GA54" s="61">
        <v>0</v>
      </c>
      <c r="GB54" s="61">
        <v>3524197</v>
      </c>
      <c r="GC54" s="61">
        <v>2092061.0000000002</v>
      </c>
      <c r="GD54" s="61">
        <v>4737639</v>
      </c>
      <c r="GE54" s="61">
        <v>5030161</v>
      </c>
      <c r="GF54" s="61">
        <v>4173902</v>
      </c>
      <c r="GG54" s="61">
        <v>3003131</v>
      </c>
      <c r="GH54" s="61">
        <v>4329323</v>
      </c>
      <c r="GI54" s="61">
        <v>2096641.9999999998</v>
      </c>
      <c r="GJ54" s="61">
        <v>3795388.9999999995</v>
      </c>
      <c r="GK54" s="61"/>
      <c r="GL54" s="275">
        <f t="shared" si="12"/>
        <v>3199058.777777778</v>
      </c>
      <c r="GM54" s="275">
        <f t="shared" si="13"/>
        <v>2941302.0555555555</v>
      </c>
      <c r="GN54" s="275">
        <f t="shared" si="14"/>
        <v>2719891.2407407407</v>
      </c>
      <c r="GO54" s="275">
        <f t="shared" si="15"/>
        <v>2096331.0370370373</v>
      </c>
      <c r="GP54" s="275">
        <f t="shared" si="16"/>
        <v>1850744.7777777778</v>
      </c>
      <c r="GQ54" s="275">
        <f>AVERAGE(CN54:CV54)</f>
        <v>1588018.2962962962</v>
      </c>
      <c r="GR54" s="275">
        <f>AVERAGE(DD54:DL54)</f>
        <v>1468332.611111111</v>
      </c>
      <c r="GS54" s="275">
        <f>AVERAGE(DT54:EB54)</f>
        <v>1521419.1851851852</v>
      </c>
      <c r="GT54" s="275">
        <f>AVERAGE(EJ54:EQ54)</f>
        <v>1764557.1041666667</v>
      </c>
      <c r="GU54" s="275">
        <f>AVERAGE(EY54:FF54)</f>
        <v>2563488.6666666665</v>
      </c>
      <c r="GV54" s="275">
        <f>AVERAGE(FN54:FU54)</f>
        <v>3008928.875</v>
      </c>
      <c r="GW54" s="275">
        <f t="shared" si="18"/>
        <v>3642493.888888889</v>
      </c>
      <c r="GX54" t="s">
        <v>846</v>
      </c>
      <c r="GY54" s="60" t="s">
        <v>344</v>
      </c>
    </row>
    <row r="55" spans="2:207">
      <c r="B55" t="s">
        <v>2616</v>
      </c>
      <c r="E55" s="61">
        <v>0</v>
      </c>
      <c r="F55" s="61">
        <v>0</v>
      </c>
      <c r="G55" s="61">
        <v>0</v>
      </c>
      <c r="H55" s="61">
        <v>0</v>
      </c>
      <c r="I55" s="61">
        <v>0</v>
      </c>
      <c r="J55" s="61">
        <v>0</v>
      </c>
      <c r="K55" s="61">
        <v>0</v>
      </c>
      <c r="L55" s="61">
        <v>9456675</v>
      </c>
      <c r="M55" s="61">
        <v>16671216</v>
      </c>
      <c r="N55" s="61">
        <v>16962947</v>
      </c>
      <c r="O55" s="61">
        <v>12436032</v>
      </c>
      <c r="P55" s="61">
        <v>21513804.714285716</v>
      </c>
      <c r="Q55" s="61">
        <v>18332976</v>
      </c>
      <c r="R55" s="61">
        <v>21917613.833333336</v>
      </c>
      <c r="S55" s="61">
        <v>11408669</v>
      </c>
      <c r="T55" s="61">
        <v>20913760.833333336</v>
      </c>
      <c r="U55" s="61">
        <v>0</v>
      </c>
      <c r="V55" s="61">
        <v>0</v>
      </c>
      <c r="W55" s="61">
        <v>0</v>
      </c>
      <c r="X55" s="61">
        <v>0</v>
      </c>
      <c r="Y55" s="61">
        <v>0</v>
      </c>
      <c r="Z55" s="61">
        <v>0</v>
      </c>
      <c r="AA55" s="61">
        <v>0</v>
      </c>
      <c r="AB55" s="61">
        <v>14834329</v>
      </c>
      <c r="AC55" s="61">
        <v>11774137</v>
      </c>
      <c r="AD55" s="61">
        <v>11663302</v>
      </c>
      <c r="AE55" s="61">
        <v>15391363</v>
      </c>
      <c r="AF55" s="61">
        <v>24009908.714285716</v>
      </c>
      <c r="AG55" s="61">
        <v>14383522</v>
      </c>
      <c r="AH55" s="61">
        <v>20083025</v>
      </c>
      <c r="AI55" s="61">
        <v>15481376.666666666</v>
      </c>
      <c r="AJ55" s="61">
        <v>14011062.333333332</v>
      </c>
      <c r="AK55" s="61">
        <v>0</v>
      </c>
      <c r="AL55" s="61">
        <v>0</v>
      </c>
      <c r="AM55" s="61">
        <v>0</v>
      </c>
      <c r="AN55" s="61">
        <v>0</v>
      </c>
      <c r="AO55" s="61">
        <v>0</v>
      </c>
      <c r="AP55" s="61">
        <v>0</v>
      </c>
      <c r="AQ55" s="61">
        <v>0</v>
      </c>
      <c r="AR55" s="61">
        <v>17707304</v>
      </c>
      <c r="AS55" s="61">
        <v>14928555</v>
      </c>
      <c r="AT55" s="61">
        <v>9792893</v>
      </c>
      <c r="AU55" s="61">
        <v>12813355</v>
      </c>
      <c r="AV55" s="61">
        <v>10934970.285714285</v>
      </c>
      <c r="AW55" s="61">
        <v>14641594</v>
      </c>
      <c r="AX55" s="61">
        <v>16206718.833000001</v>
      </c>
      <c r="AY55" s="61">
        <v>17240193.333333332</v>
      </c>
      <c r="AZ55" s="61">
        <v>16332743.5</v>
      </c>
      <c r="BA55" s="61">
        <v>0</v>
      </c>
      <c r="BB55" s="61">
        <v>0</v>
      </c>
      <c r="BC55" s="61">
        <v>0</v>
      </c>
      <c r="BD55" s="61">
        <v>0</v>
      </c>
      <c r="BE55" s="61">
        <v>0</v>
      </c>
      <c r="BF55" s="61">
        <v>0</v>
      </c>
      <c r="BG55" s="61">
        <v>0</v>
      </c>
      <c r="BH55" s="61">
        <v>11770580</v>
      </c>
      <c r="BI55" s="61">
        <v>9113720</v>
      </c>
      <c r="BJ55" s="61">
        <v>15678192</v>
      </c>
      <c r="BK55" s="61">
        <v>14178352</v>
      </c>
      <c r="BL55" s="61">
        <v>8568070.4285714291</v>
      </c>
      <c r="BM55" s="61">
        <v>11484622</v>
      </c>
      <c r="BN55" s="61">
        <v>11258313.333333332</v>
      </c>
      <c r="BO55" s="61">
        <v>7323354.3333333349</v>
      </c>
      <c r="BP55" s="61">
        <v>12148431</v>
      </c>
      <c r="BQ55" s="61">
        <v>0</v>
      </c>
      <c r="BR55" s="61">
        <v>0</v>
      </c>
      <c r="BS55" s="61">
        <v>0</v>
      </c>
      <c r="BT55" s="61">
        <v>0</v>
      </c>
      <c r="BU55" s="61">
        <v>0</v>
      </c>
      <c r="BV55" s="61">
        <v>0</v>
      </c>
      <c r="BW55" s="61">
        <v>0</v>
      </c>
      <c r="BX55" s="61">
        <v>9962534</v>
      </c>
      <c r="BY55" s="61">
        <v>9778334</v>
      </c>
      <c r="BZ55" s="61">
        <v>9871252</v>
      </c>
      <c r="CA55" s="61">
        <v>10544003</v>
      </c>
      <c r="CB55" s="61">
        <v>13220769.142857142</v>
      </c>
      <c r="CC55" s="61">
        <v>11598558</v>
      </c>
      <c r="CD55" s="61">
        <v>10417484.8333</v>
      </c>
      <c r="CE55" s="61">
        <v>9226682</v>
      </c>
      <c r="CF55" s="61">
        <v>7729630</v>
      </c>
      <c r="CG55" s="61">
        <v>0</v>
      </c>
      <c r="CH55" s="61">
        <v>0</v>
      </c>
      <c r="CI55" s="61">
        <v>0</v>
      </c>
      <c r="CJ55" s="61">
        <v>0</v>
      </c>
      <c r="CK55" s="61">
        <v>0</v>
      </c>
      <c r="CL55" s="61">
        <v>0</v>
      </c>
      <c r="CM55" s="61">
        <v>1189000</v>
      </c>
      <c r="CN55" s="61">
        <v>7495667</v>
      </c>
      <c r="CO55" s="61">
        <v>11084807</v>
      </c>
      <c r="CP55" s="61">
        <v>9340829</v>
      </c>
      <c r="CQ55" s="61">
        <v>11197603</v>
      </c>
      <c r="CR55" s="61">
        <v>7676567.1428571427</v>
      </c>
      <c r="CS55" s="61">
        <v>9685783</v>
      </c>
      <c r="CT55" s="61">
        <v>7578621.6663333327</v>
      </c>
      <c r="CU55" s="61">
        <v>9595752.8336666655</v>
      </c>
      <c r="CV55" s="61">
        <v>7934063</v>
      </c>
      <c r="CW55" s="61">
        <v>0</v>
      </c>
      <c r="CX55" s="61">
        <v>0</v>
      </c>
      <c r="CY55" s="61">
        <v>0</v>
      </c>
      <c r="CZ55" s="61">
        <v>0</v>
      </c>
      <c r="DA55" s="61">
        <v>0</v>
      </c>
      <c r="DB55" s="61">
        <v>0</v>
      </c>
      <c r="DC55" s="61">
        <v>1614428</v>
      </c>
      <c r="DD55" s="61">
        <v>6199282</v>
      </c>
      <c r="DE55" s="61">
        <v>9414772</v>
      </c>
      <c r="DF55" s="61">
        <v>10038117</v>
      </c>
      <c r="DG55" s="61">
        <v>8590342</v>
      </c>
      <c r="DH55" s="61">
        <v>7526003.8571428573</v>
      </c>
      <c r="DI55" s="61">
        <v>10918029</v>
      </c>
      <c r="DJ55" s="61">
        <v>6913616</v>
      </c>
      <c r="DK55" s="61">
        <v>10004546.666666666</v>
      </c>
      <c r="DL55" s="61">
        <v>5536853.333333334</v>
      </c>
      <c r="DM55" s="61">
        <v>0</v>
      </c>
      <c r="DN55" s="61">
        <v>0</v>
      </c>
      <c r="DO55" s="61">
        <v>0</v>
      </c>
      <c r="DP55" s="61">
        <v>0</v>
      </c>
      <c r="DQ55" s="61">
        <v>0</v>
      </c>
      <c r="DR55" s="61">
        <v>0</v>
      </c>
      <c r="DS55" s="61">
        <v>580621</v>
      </c>
      <c r="DT55" s="61">
        <v>9385104</v>
      </c>
      <c r="DU55" s="61">
        <v>8840938</v>
      </c>
      <c r="DV55" s="61">
        <v>9739873</v>
      </c>
      <c r="DW55" s="61">
        <v>6089508</v>
      </c>
      <c r="DX55" s="61">
        <v>9392262.1428571418</v>
      </c>
      <c r="DY55" s="61">
        <v>8889864</v>
      </c>
      <c r="DZ55" s="61">
        <v>8219446</v>
      </c>
      <c r="EA55" s="61">
        <v>7398375</v>
      </c>
      <c r="EB55" s="61">
        <v>7303900.5</v>
      </c>
      <c r="EC55" s="61">
        <v>0</v>
      </c>
      <c r="ED55" s="61">
        <v>0</v>
      </c>
      <c r="EE55" s="61">
        <v>0</v>
      </c>
      <c r="EF55" s="61">
        <v>0</v>
      </c>
      <c r="EG55" s="61">
        <v>0</v>
      </c>
      <c r="EH55" s="61">
        <v>0</v>
      </c>
      <c r="EI55" s="61">
        <v>2118503</v>
      </c>
      <c r="EJ55" s="61">
        <v>8042744</v>
      </c>
      <c r="EK55" s="61">
        <v>11139850</v>
      </c>
      <c r="EL55" s="61">
        <v>8974281</v>
      </c>
      <c r="EM55" s="61">
        <v>8899853</v>
      </c>
      <c r="EN55" s="61">
        <v>5993396.5714285709</v>
      </c>
      <c r="EO55" s="61">
        <v>11814591</v>
      </c>
      <c r="EP55" s="61">
        <v>7298623.833333334</v>
      </c>
      <c r="EQ55" s="61">
        <v>9284584.333333334</v>
      </c>
      <c r="ER55" s="61">
        <v>0</v>
      </c>
      <c r="ES55" s="61">
        <v>0</v>
      </c>
      <c r="ET55" s="61">
        <v>0</v>
      </c>
      <c r="EU55" s="61">
        <v>0</v>
      </c>
      <c r="EV55" s="61">
        <v>0</v>
      </c>
      <c r="EW55" s="61">
        <v>0</v>
      </c>
      <c r="EX55" s="61">
        <v>7454999</v>
      </c>
      <c r="EY55" s="61">
        <v>14758797</v>
      </c>
      <c r="EZ55" s="61">
        <v>12956444</v>
      </c>
      <c r="FA55" s="61">
        <v>14832623</v>
      </c>
      <c r="FB55" s="61">
        <v>16552709</v>
      </c>
      <c r="FC55" s="61">
        <v>12674708</v>
      </c>
      <c r="FD55" s="61">
        <v>9202556</v>
      </c>
      <c r="FE55" s="61">
        <v>9169418.333333334</v>
      </c>
      <c r="FF55" s="61">
        <v>13142820.5</v>
      </c>
      <c r="FG55" s="61">
        <v>0</v>
      </c>
      <c r="FH55" s="168">
        <v>0</v>
      </c>
      <c r="FI55" s="168">
        <v>0</v>
      </c>
      <c r="FJ55" s="61">
        <v>0</v>
      </c>
      <c r="FK55" s="61">
        <v>0</v>
      </c>
      <c r="FL55" s="61">
        <v>0</v>
      </c>
      <c r="FM55" s="61">
        <v>16899860</v>
      </c>
      <c r="FN55" s="61">
        <v>12506494</v>
      </c>
      <c r="FO55" s="61">
        <v>12698410</v>
      </c>
      <c r="FP55" s="61">
        <v>14246638</v>
      </c>
      <c r="FQ55" s="61">
        <v>16335673</v>
      </c>
      <c r="FR55" s="61">
        <v>13504329.142857142</v>
      </c>
      <c r="FS55" s="61">
        <v>19746038</v>
      </c>
      <c r="FT55" s="61">
        <v>15331728.833333334</v>
      </c>
      <c r="FU55" s="61">
        <v>12651720.666666666</v>
      </c>
      <c r="FV55" s="61">
        <v>0</v>
      </c>
      <c r="FW55" s="61">
        <v>0</v>
      </c>
      <c r="FX55" s="61">
        <v>0</v>
      </c>
      <c r="FY55" s="61">
        <v>0</v>
      </c>
      <c r="FZ55" s="61">
        <v>0</v>
      </c>
      <c r="GA55" s="61">
        <v>0</v>
      </c>
      <c r="GB55" s="61">
        <v>17015846</v>
      </c>
      <c r="GC55" s="61">
        <v>11479953</v>
      </c>
      <c r="GD55" s="61">
        <v>23668945</v>
      </c>
      <c r="GE55" s="61">
        <v>23146443</v>
      </c>
      <c r="GF55" s="61">
        <v>19955658</v>
      </c>
      <c r="GG55" s="61">
        <v>16277923.428571429</v>
      </c>
      <c r="GH55" s="61">
        <v>23028969</v>
      </c>
      <c r="GI55" s="61">
        <v>10607771</v>
      </c>
      <c r="GJ55" s="61">
        <v>18628073</v>
      </c>
      <c r="GK55" s="61"/>
    </row>
    <row r="56" spans="2:207">
      <c r="B56" t="s">
        <v>793</v>
      </c>
      <c r="C56" t="s">
        <v>794</v>
      </c>
      <c r="D56" s="3" t="s">
        <v>295</v>
      </c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1044772.9999999999</v>
      </c>
      <c r="N56" s="61">
        <v>1461405</v>
      </c>
      <c r="O56" s="61">
        <v>1239561</v>
      </c>
      <c r="P56" s="61">
        <v>1121272</v>
      </c>
      <c r="Q56" s="61">
        <v>1202193</v>
      </c>
      <c r="R56" s="61">
        <v>817781</v>
      </c>
      <c r="S56" s="61">
        <v>1315610</v>
      </c>
      <c r="T56" s="61">
        <v>1422724</v>
      </c>
      <c r="U56" s="61">
        <v>0</v>
      </c>
      <c r="V56" s="61">
        <v>0</v>
      </c>
      <c r="W56" s="61">
        <v>0</v>
      </c>
      <c r="X56" s="61">
        <v>0</v>
      </c>
      <c r="Y56" s="61">
        <v>0</v>
      </c>
      <c r="Z56" s="61">
        <v>0</v>
      </c>
      <c r="AA56" s="61">
        <v>0</v>
      </c>
      <c r="AB56" s="61">
        <v>928754</v>
      </c>
      <c r="AC56" s="61">
        <v>927018</v>
      </c>
      <c r="AD56" s="61">
        <v>1642715</v>
      </c>
      <c r="AE56" s="61">
        <v>1117735</v>
      </c>
      <c r="AF56" s="61">
        <v>1109904</v>
      </c>
      <c r="AG56" s="61">
        <v>1073578</v>
      </c>
      <c r="AH56" s="61">
        <v>1089465</v>
      </c>
      <c r="AI56" s="61">
        <v>1286000</v>
      </c>
      <c r="AJ56" s="61">
        <v>638627</v>
      </c>
      <c r="AK56" s="61">
        <v>0</v>
      </c>
      <c r="AL56" s="61">
        <v>0</v>
      </c>
      <c r="AM56" s="61">
        <v>0</v>
      </c>
      <c r="AN56" s="61">
        <v>0</v>
      </c>
      <c r="AO56" s="61">
        <v>0</v>
      </c>
      <c r="AP56" s="61">
        <v>0</v>
      </c>
      <c r="AQ56" s="61">
        <v>0</v>
      </c>
      <c r="AR56" s="61">
        <v>1264505</v>
      </c>
      <c r="AS56" s="61">
        <v>927483</v>
      </c>
      <c r="AT56" s="61">
        <v>960541</v>
      </c>
      <c r="AU56" s="61">
        <v>976236</v>
      </c>
      <c r="AV56" s="61">
        <v>1169211</v>
      </c>
      <c r="AW56" s="61">
        <v>1377270</v>
      </c>
      <c r="AX56" s="61">
        <v>1165922</v>
      </c>
      <c r="AY56" s="61">
        <v>1114060</v>
      </c>
      <c r="AZ56" s="61">
        <v>1176326</v>
      </c>
      <c r="BA56" s="61">
        <v>0</v>
      </c>
      <c r="BB56" s="61">
        <v>0</v>
      </c>
      <c r="BC56" s="61">
        <v>0</v>
      </c>
      <c r="BD56" s="61">
        <v>0</v>
      </c>
      <c r="BE56" s="61">
        <v>0</v>
      </c>
      <c r="BF56" s="61">
        <v>0</v>
      </c>
      <c r="BG56" s="61">
        <v>0</v>
      </c>
      <c r="BH56" s="61">
        <v>750643</v>
      </c>
      <c r="BI56" s="61">
        <v>959011</v>
      </c>
      <c r="BJ56" s="61">
        <v>1277407</v>
      </c>
      <c r="BK56" s="61">
        <v>724883</v>
      </c>
      <c r="BL56" s="61">
        <v>987952</v>
      </c>
      <c r="BM56" s="61">
        <v>1028593.0000000001</v>
      </c>
      <c r="BN56" s="61">
        <v>1235079</v>
      </c>
      <c r="BO56" s="61">
        <v>1230710</v>
      </c>
      <c r="BP56" s="61">
        <v>900628</v>
      </c>
      <c r="BQ56" s="61">
        <v>0</v>
      </c>
      <c r="BR56" s="61">
        <v>0</v>
      </c>
      <c r="BS56" s="61">
        <v>0</v>
      </c>
      <c r="BT56" s="61">
        <v>0</v>
      </c>
      <c r="BU56" s="61">
        <v>0</v>
      </c>
      <c r="BV56" s="61">
        <v>0</v>
      </c>
      <c r="BW56" s="61">
        <v>0</v>
      </c>
      <c r="BX56" s="61">
        <v>1096648</v>
      </c>
      <c r="BY56" s="61">
        <v>676224</v>
      </c>
      <c r="BZ56" s="61">
        <v>960510</v>
      </c>
      <c r="CA56" s="61">
        <v>1021447</v>
      </c>
      <c r="CB56" s="61">
        <v>1441317</v>
      </c>
      <c r="CC56" s="61">
        <v>1178905</v>
      </c>
      <c r="CD56" s="61">
        <v>1384731</v>
      </c>
      <c r="CE56" s="61">
        <v>815716</v>
      </c>
      <c r="CF56" s="61">
        <v>646109</v>
      </c>
      <c r="CG56" s="61">
        <v>0</v>
      </c>
      <c r="CH56" s="61">
        <v>0</v>
      </c>
      <c r="CI56" s="61">
        <v>0</v>
      </c>
      <c r="CJ56" s="61">
        <v>0</v>
      </c>
      <c r="CK56" s="61">
        <v>0</v>
      </c>
      <c r="CL56" s="61">
        <v>0</v>
      </c>
      <c r="CM56" s="61">
        <v>0</v>
      </c>
      <c r="CN56" s="61">
        <v>1026007.0000000001</v>
      </c>
      <c r="CO56" s="61">
        <v>701775</v>
      </c>
      <c r="CP56" s="61">
        <v>778771</v>
      </c>
      <c r="CQ56" s="61">
        <v>1229520</v>
      </c>
      <c r="CR56" s="61">
        <v>795043</v>
      </c>
      <c r="CS56" s="61">
        <v>708535</v>
      </c>
      <c r="CT56" s="61">
        <v>573266</v>
      </c>
      <c r="CU56" s="61">
        <v>359390</v>
      </c>
      <c r="CV56" s="61">
        <v>527637</v>
      </c>
      <c r="CW56" s="61">
        <v>0</v>
      </c>
      <c r="CX56" s="61">
        <v>0</v>
      </c>
      <c r="CY56" s="61">
        <v>0</v>
      </c>
      <c r="CZ56" s="61">
        <v>0</v>
      </c>
      <c r="DA56" s="61">
        <v>0</v>
      </c>
      <c r="DB56" s="61">
        <v>0</v>
      </c>
      <c r="DC56" s="61">
        <v>0</v>
      </c>
      <c r="DD56" s="61">
        <v>857887</v>
      </c>
      <c r="DE56" s="61">
        <v>866188</v>
      </c>
      <c r="DF56" s="61">
        <v>688407</v>
      </c>
      <c r="DG56" s="61">
        <v>606882</v>
      </c>
      <c r="DH56" s="61">
        <v>1058799</v>
      </c>
      <c r="DI56" s="61">
        <v>828692</v>
      </c>
      <c r="DJ56" s="61">
        <v>828130</v>
      </c>
      <c r="DK56" s="61">
        <v>970639.67</v>
      </c>
      <c r="DL56" s="61">
        <v>486816</v>
      </c>
      <c r="DM56" s="61">
        <v>0</v>
      </c>
      <c r="DN56" s="61">
        <v>0</v>
      </c>
      <c r="DO56" s="61">
        <v>0</v>
      </c>
      <c r="DP56" s="61">
        <v>0</v>
      </c>
      <c r="DQ56" s="61">
        <v>0</v>
      </c>
      <c r="DR56" s="61">
        <v>0</v>
      </c>
      <c r="DS56" s="61">
        <v>0</v>
      </c>
      <c r="DT56" s="61">
        <v>858167</v>
      </c>
      <c r="DU56" s="61">
        <v>742259</v>
      </c>
      <c r="DV56" s="61">
        <v>669972</v>
      </c>
      <c r="DW56" s="61">
        <v>855297</v>
      </c>
      <c r="DX56" s="61">
        <v>555456</v>
      </c>
      <c r="DY56" s="61">
        <v>812235</v>
      </c>
      <c r="DZ56" s="61">
        <v>815230</v>
      </c>
      <c r="EA56" s="61">
        <v>773900</v>
      </c>
      <c r="EB56" s="61">
        <v>642784</v>
      </c>
      <c r="EC56" s="61">
        <v>0</v>
      </c>
      <c r="ED56" s="61">
        <v>0</v>
      </c>
      <c r="EE56" s="61">
        <v>0</v>
      </c>
      <c r="EF56" s="61">
        <v>0</v>
      </c>
      <c r="EG56" s="61">
        <v>0</v>
      </c>
      <c r="EH56" s="61">
        <v>0</v>
      </c>
      <c r="EI56" s="61">
        <v>0</v>
      </c>
      <c r="EJ56" s="61">
        <v>781080</v>
      </c>
      <c r="EK56" s="61">
        <v>704642</v>
      </c>
      <c r="EL56" s="61">
        <v>1141240</v>
      </c>
      <c r="EM56" s="61">
        <v>901741</v>
      </c>
      <c r="EN56" s="61">
        <v>828931</v>
      </c>
      <c r="EO56" s="61">
        <v>918627</v>
      </c>
      <c r="EP56" s="61">
        <v>60820</v>
      </c>
      <c r="EQ56" s="61">
        <v>643317.82999999996</v>
      </c>
      <c r="ER56" s="61">
        <v>0</v>
      </c>
      <c r="ES56" s="61">
        <v>0</v>
      </c>
      <c r="ET56" s="61">
        <v>0</v>
      </c>
      <c r="EU56" s="61">
        <v>0</v>
      </c>
      <c r="EV56" s="61">
        <v>0</v>
      </c>
      <c r="EW56" s="61">
        <v>0</v>
      </c>
      <c r="EX56" s="61">
        <v>0</v>
      </c>
      <c r="EY56" s="61">
        <v>1517629</v>
      </c>
      <c r="EZ56" s="61">
        <v>1187914</v>
      </c>
      <c r="FA56" s="61">
        <v>1120765</v>
      </c>
      <c r="FB56" s="61">
        <v>1135384</v>
      </c>
      <c r="FC56" s="61">
        <v>866014</v>
      </c>
      <c r="FD56" s="61">
        <v>920575</v>
      </c>
      <c r="FE56" s="61">
        <v>719940</v>
      </c>
      <c r="FF56" s="61">
        <v>1155744</v>
      </c>
      <c r="FG56" s="61">
        <v>0</v>
      </c>
      <c r="FH56" s="168">
        <v>0</v>
      </c>
      <c r="FI56" s="168">
        <v>0</v>
      </c>
      <c r="FJ56" s="61">
        <v>0</v>
      </c>
      <c r="FK56" s="61">
        <v>0</v>
      </c>
      <c r="FL56" s="61">
        <v>0</v>
      </c>
      <c r="FM56" s="61">
        <v>0</v>
      </c>
      <c r="FN56" s="61">
        <v>929977</v>
      </c>
      <c r="FO56" s="61">
        <v>1114456</v>
      </c>
      <c r="FP56" s="61">
        <v>971156</v>
      </c>
      <c r="FQ56" s="61">
        <v>1066526</v>
      </c>
      <c r="FR56" s="61">
        <v>1104374</v>
      </c>
      <c r="FS56" s="61">
        <v>1263328</v>
      </c>
      <c r="FT56" s="61">
        <v>1011370</v>
      </c>
      <c r="FU56" s="61">
        <v>1379107</v>
      </c>
      <c r="FV56" s="61">
        <v>0</v>
      </c>
      <c r="FW56" s="61">
        <v>0</v>
      </c>
      <c r="FX56" s="61">
        <v>0</v>
      </c>
      <c r="FY56" s="61">
        <v>0</v>
      </c>
      <c r="FZ56" s="61">
        <v>0</v>
      </c>
      <c r="GA56" s="61">
        <v>0</v>
      </c>
      <c r="GB56" s="61">
        <v>0</v>
      </c>
      <c r="GC56" s="61">
        <v>1441595</v>
      </c>
      <c r="GD56" s="61">
        <v>1248780</v>
      </c>
      <c r="GE56" s="61">
        <v>1375057</v>
      </c>
      <c r="GF56" s="61">
        <v>1328537</v>
      </c>
      <c r="GG56" s="61">
        <v>1334153</v>
      </c>
      <c r="GH56" s="61">
        <v>943001</v>
      </c>
      <c r="GI56" s="61">
        <v>1145540</v>
      </c>
      <c r="GJ56" s="61">
        <v>1381077</v>
      </c>
      <c r="GK56" s="61"/>
      <c r="GL56" s="275">
        <f>AVERAGE(M56:T56)</f>
        <v>1203164.875</v>
      </c>
      <c r="GM56" s="275">
        <f>AVERAGE(AB56:AJ56)</f>
        <v>1090421.7777777778</v>
      </c>
      <c r="GN56" s="275">
        <f>AVERAGE(AR56:AZ56)</f>
        <v>1125728.2222222222</v>
      </c>
      <c r="GO56" s="275">
        <f>AVERAGE(BH56:BP56)</f>
        <v>1010545.1111111111</v>
      </c>
      <c r="GP56" s="275">
        <f>AVERAGE(BX56:CF56)</f>
        <v>1024623</v>
      </c>
      <c r="GQ56" s="275">
        <f>AVERAGE(CN56:CV56)</f>
        <v>744438.22222222225</v>
      </c>
      <c r="GR56" s="275">
        <f>AVERAGE(DD56:DL56)</f>
        <v>799160.07444444438</v>
      </c>
      <c r="GS56" s="275">
        <f>AVERAGE(DT56:EB56)</f>
        <v>747255.5555555555</v>
      </c>
      <c r="GT56" s="275">
        <f>AVERAGE(EJ56:EQ56)</f>
        <v>747549.85375000001</v>
      </c>
      <c r="GU56" s="275">
        <f>AVERAGE(EY56:FF56)</f>
        <v>1077995.625</v>
      </c>
      <c r="GV56" s="275">
        <f>AVERAGE(FN56:FU56)</f>
        <v>1105036.75</v>
      </c>
      <c r="GW56" s="275">
        <f>AVERAGE(GC56:GJ56)</f>
        <v>1274717.5</v>
      </c>
      <c r="GX56" t="s">
        <v>846</v>
      </c>
      <c r="GY56" s="3" t="s">
        <v>295</v>
      </c>
    </row>
    <row r="57" spans="2:207">
      <c r="D57" s="60" t="s">
        <v>325</v>
      </c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/>
      <c r="L57" s="61"/>
      <c r="M57" s="61"/>
      <c r="N57" s="61"/>
      <c r="O57" s="61">
        <v>0</v>
      </c>
      <c r="P57" s="61">
        <v>2361652</v>
      </c>
      <c r="Q57" s="61">
        <v>2141083</v>
      </c>
      <c r="R57" s="61">
        <v>2452000</v>
      </c>
      <c r="S57" s="61">
        <v>1376060</v>
      </c>
      <c r="T57" s="61">
        <v>2472938.166666667</v>
      </c>
      <c r="U57" s="61">
        <v>0</v>
      </c>
      <c r="V57" s="61">
        <v>0</v>
      </c>
      <c r="W57" s="61">
        <v>0</v>
      </c>
      <c r="X57" s="61">
        <v>0</v>
      </c>
      <c r="Y57" s="61">
        <v>0</v>
      </c>
      <c r="Z57" s="61">
        <v>0</v>
      </c>
      <c r="AA57" s="61"/>
      <c r="AB57" s="61"/>
      <c r="AC57" s="61"/>
      <c r="AD57" s="61"/>
      <c r="AE57" s="61">
        <v>0</v>
      </c>
      <c r="AF57" s="61">
        <v>3214863</v>
      </c>
      <c r="AG57" s="61">
        <v>2061809.0000000002</v>
      </c>
      <c r="AH57" s="61">
        <v>2335202.9999999995</v>
      </c>
      <c r="AI57" s="61">
        <v>1746067.3333333335</v>
      </c>
      <c r="AJ57" s="61">
        <v>1982337.9999999998</v>
      </c>
      <c r="AK57" s="61">
        <v>0</v>
      </c>
      <c r="AL57" s="61">
        <v>0</v>
      </c>
      <c r="AM57" s="61">
        <v>0</v>
      </c>
      <c r="AN57" s="61">
        <v>0</v>
      </c>
      <c r="AO57" s="61">
        <v>0</v>
      </c>
      <c r="AP57" s="61">
        <v>0</v>
      </c>
      <c r="AQ57" s="61"/>
      <c r="AR57" s="61"/>
      <c r="AS57" s="61"/>
      <c r="AT57" s="61"/>
      <c r="AU57" s="61">
        <v>0</v>
      </c>
      <c r="AV57" s="61">
        <v>1348639</v>
      </c>
      <c r="AW57" s="61">
        <v>1873743</v>
      </c>
      <c r="AX57" s="61">
        <v>2274867</v>
      </c>
      <c r="AY57" s="61">
        <v>1789119.4999999998</v>
      </c>
      <c r="AZ57" s="61">
        <v>2163375.8333333335</v>
      </c>
      <c r="BA57" s="61">
        <v>0</v>
      </c>
      <c r="BB57" s="61">
        <v>0</v>
      </c>
      <c r="BC57" s="61">
        <v>0</v>
      </c>
      <c r="BD57" s="61">
        <v>0</v>
      </c>
      <c r="BE57" s="61">
        <v>0</v>
      </c>
      <c r="BF57" s="61">
        <v>0</v>
      </c>
      <c r="BG57" s="61"/>
      <c r="BH57" s="61"/>
      <c r="BI57" s="61"/>
      <c r="BJ57" s="61"/>
      <c r="BK57" s="61">
        <v>2018455</v>
      </c>
      <c r="BL57" s="61">
        <v>1281140</v>
      </c>
      <c r="BM57" s="61">
        <v>1446603</v>
      </c>
      <c r="BN57" s="61">
        <v>1367501.0000000002</v>
      </c>
      <c r="BO57" s="61">
        <v>1047769.6666666669</v>
      </c>
      <c r="BP57" s="61">
        <v>1138426.9999999998</v>
      </c>
      <c r="BQ57" s="61">
        <v>0</v>
      </c>
      <c r="BR57" s="61">
        <v>0</v>
      </c>
      <c r="BS57" s="61">
        <v>0</v>
      </c>
      <c r="BT57" s="61">
        <v>0</v>
      </c>
      <c r="BU57" s="61">
        <v>0</v>
      </c>
      <c r="BV57" s="61">
        <v>0</v>
      </c>
      <c r="BW57" s="61"/>
      <c r="BX57" s="61"/>
      <c r="BY57" s="61"/>
      <c r="BZ57" s="61"/>
      <c r="CA57" s="61">
        <v>1400335</v>
      </c>
      <c r="CB57" s="61">
        <v>1686268</v>
      </c>
      <c r="CC57" s="61">
        <v>1402072</v>
      </c>
      <c r="CD57" s="61">
        <v>990176.99999999988</v>
      </c>
      <c r="CE57" s="61">
        <v>1159160</v>
      </c>
      <c r="CF57" s="61">
        <v>1093450.9999999998</v>
      </c>
      <c r="CG57" s="61">
        <v>0</v>
      </c>
      <c r="CH57" s="61">
        <v>0</v>
      </c>
      <c r="CI57" s="61">
        <v>0</v>
      </c>
      <c r="CJ57" s="61">
        <v>0</v>
      </c>
      <c r="CK57" s="61">
        <v>0</v>
      </c>
      <c r="CL57" s="61">
        <v>0</v>
      </c>
      <c r="CM57" s="61"/>
      <c r="CN57" s="61"/>
      <c r="CO57" s="61"/>
      <c r="CP57" s="61"/>
      <c r="CQ57" s="61">
        <v>1265304</v>
      </c>
      <c r="CR57" s="61">
        <v>938047</v>
      </c>
      <c r="CS57" s="61">
        <v>1119716</v>
      </c>
      <c r="CT57" s="61">
        <v>870253.66670000006</v>
      </c>
      <c r="CU57" s="61">
        <v>979637.5</v>
      </c>
      <c r="CV57" s="61">
        <v>967061.00000000012</v>
      </c>
      <c r="CW57" s="61">
        <v>0</v>
      </c>
      <c r="CX57" s="61">
        <v>0</v>
      </c>
      <c r="CY57" s="61">
        <v>0</v>
      </c>
      <c r="CZ57" s="61">
        <v>0</v>
      </c>
      <c r="DA57" s="61">
        <v>0</v>
      </c>
      <c r="DB57" s="61">
        <v>0</v>
      </c>
      <c r="DC57" s="61"/>
      <c r="DD57" s="61"/>
      <c r="DE57" s="61"/>
      <c r="DF57" s="61"/>
      <c r="DG57" s="61">
        <v>1390015</v>
      </c>
      <c r="DH57" s="61">
        <v>962363</v>
      </c>
      <c r="DI57" s="61">
        <v>1265495</v>
      </c>
      <c r="DJ57" s="61">
        <v>817677</v>
      </c>
      <c r="DK57" s="61">
        <v>1251039</v>
      </c>
      <c r="DL57" s="61">
        <v>702804.83333333326</v>
      </c>
      <c r="DM57" s="61">
        <v>0</v>
      </c>
      <c r="DN57" s="61">
        <v>0</v>
      </c>
      <c r="DO57" s="61">
        <v>0</v>
      </c>
      <c r="DP57" s="61">
        <v>0</v>
      </c>
      <c r="DQ57" s="61">
        <v>0</v>
      </c>
      <c r="DR57" s="61">
        <v>0</v>
      </c>
      <c r="DS57" s="61"/>
      <c r="DT57" s="61"/>
      <c r="DU57" s="61"/>
      <c r="DV57" s="61"/>
      <c r="DW57" s="61">
        <v>925352</v>
      </c>
      <c r="DX57" s="61">
        <v>1012615</v>
      </c>
      <c r="DY57" s="61">
        <v>909430</v>
      </c>
      <c r="DZ57" s="61">
        <v>1068687</v>
      </c>
      <c r="EA57" s="61">
        <v>935731.00000000012</v>
      </c>
      <c r="EB57" s="61">
        <v>465887.16666666669</v>
      </c>
      <c r="EC57" s="61">
        <v>0</v>
      </c>
      <c r="ED57" s="61">
        <v>0</v>
      </c>
      <c r="EE57" s="61">
        <v>0</v>
      </c>
      <c r="EF57" s="61">
        <v>0</v>
      </c>
      <c r="EG57" s="61">
        <v>0</v>
      </c>
      <c r="EH57" s="61">
        <v>0</v>
      </c>
      <c r="EI57" s="61"/>
      <c r="EJ57" s="61"/>
      <c r="EK57" s="61"/>
      <c r="EL57" s="61"/>
      <c r="EM57" s="61">
        <v>1105123</v>
      </c>
      <c r="EN57" s="61">
        <v>862587</v>
      </c>
      <c r="EO57" s="61">
        <v>1409705</v>
      </c>
      <c r="EP57" s="61">
        <v>704312.99999999988</v>
      </c>
      <c r="EQ57" s="61">
        <v>1095167.1666666665</v>
      </c>
      <c r="ER57" s="61">
        <v>0</v>
      </c>
      <c r="ES57" s="61">
        <v>0</v>
      </c>
      <c r="ET57" s="61">
        <v>0</v>
      </c>
      <c r="EU57" s="61">
        <v>0</v>
      </c>
      <c r="EV57" s="61">
        <v>0</v>
      </c>
      <c r="EW57" s="61">
        <v>0</v>
      </c>
      <c r="EX57" s="61"/>
      <c r="EY57" s="61"/>
      <c r="EZ57" s="61"/>
      <c r="FA57" s="61"/>
      <c r="FB57" s="61">
        <v>1764557</v>
      </c>
      <c r="FC57" s="61">
        <v>1271198</v>
      </c>
      <c r="FD57" s="61">
        <v>1181558</v>
      </c>
      <c r="FE57" s="61">
        <v>1234734</v>
      </c>
      <c r="FF57" s="61">
        <v>1108726.8333333333</v>
      </c>
      <c r="FG57" s="61">
        <v>0</v>
      </c>
      <c r="FH57" s="168">
        <v>0</v>
      </c>
      <c r="FI57" s="168">
        <v>0</v>
      </c>
      <c r="FJ57" s="61">
        <v>0</v>
      </c>
      <c r="FK57" s="61">
        <v>0</v>
      </c>
      <c r="FL57" s="61">
        <v>0</v>
      </c>
      <c r="FM57" s="61"/>
      <c r="FN57" s="61"/>
      <c r="FO57" s="61"/>
      <c r="FP57" s="61"/>
      <c r="FQ57" s="61">
        <v>2306816</v>
      </c>
      <c r="FR57" s="61">
        <v>1665409</v>
      </c>
      <c r="FS57" s="61">
        <v>1934320</v>
      </c>
      <c r="FT57" s="61">
        <v>1889330.0000000005</v>
      </c>
      <c r="FU57" s="61">
        <v>1382938.5000000002</v>
      </c>
      <c r="FV57" s="61">
        <v>0</v>
      </c>
      <c r="FW57" s="61">
        <v>0</v>
      </c>
      <c r="FX57" s="61">
        <v>0</v>
      </c>
      <c r="FY57" s="61">
        <v>0</v>
      </c>
      <c r="FZ57" s="61">
        <v>0</v>
      </c>
      <c r="GA57" s="61">
        <v>0</v>
      </c>
      <c r="GB57" s="61"/>
      <c r="GC57" s="61"/>
      <c r="GD57" s="61"/>
      <c r="GE57" s="61"/>
      <c r="GF57" s="61">
        <v>2228585</v>
      </c>
      <c r="GG57" s="61">
        <v>1821372</v>
      </c>
      <c r="GH57" s="61">
        <v>2234116</v>
      </c>
      <c r="GI57" s="61">
        <v>1120179</v>
      </c>
      <c r="GJ57" s="61">
        <v>1970419</v>
      </c>
      <c r="GK57" s="61"/>
      <c r="GL57" s="275">
        <f>AVERAGE(P57:T57)</f>
        <v>2160746.6333333338</v>
      </c>
      <c r="GM57" s="275">
        <f>AVERAGE(AF57:AJ57)</f>
        <v>2268056.0666666669</v>
      </c>
      <c r="GN57" s="275">
        <f>AVERAGE(AV57:AZ57)</f>
        <v>1889948.8666666667</v>
      </c>
      <c r="GO57" s="275">
        <f>AVERAGE(BK57:BP57)</f>
        <v>1383315.9444444445</v>
      </c>
      <c r="GP57" s="275">
        <f>AVERAGE(CA57:CF57)</f>
        <v>1288577.1666666667</v>
      </c>
      <c r="GQ57" s="275">
        <f>AVERAGE(CQ57:CV57)</f>
        <v>1023336.5277833333</v>
      </c>
      <c r="GR57" s="275">
        <f>AVERAGE(DG57:DL57)</f>
        <v>1064898.9722222222</v>
      </c>
      <c r="GS57" s="275">
        <f>AVERAGE(DW57:EB57)</f>
        <v>886283.6944444445</v>
      </c>
      <c r="GT57" s="275">
        <f>AVERAGE(EM57:EQ57)</f>
        <v>1035379.0333333332</v>
      </c>
      <c r="GU57" s="275">
        <f>AVERAGE(FB57:FF57)</f>
        <v>1312154.7666666666</v>
      </c>
      <c r="GV57" s="275">
        <f>AVERAGE(FQ57:FU57)</f>
        <v>1835762.7</v>
      </c>
      <c r="GW57" s="275">
        <f>AVERAGE(GF57:GJ57)</f>
        <v>1874934.2</v>
      </c>
      <c r="GX57" t="s">
        <v>846</v>
      </c>
      <c r="GY57" s="60" t="s">
        <v>325</v>
      </c>
    </row>
    <row r="58" spans="2:207">
      <c r="D58" s="3" t="s">
        <v>536</v>
      </c>
      <c r="E58" s="61"/>
      <c r="F58" s="61"/>
      <c r="G58" s="61"/>
      <c r="H58" s="61"/>
      <c r="I58" s="61"/>
      <c r="J58" s="61"/>
      <c r="K58" s="61"/>
      <c r="L58" s="61">
        <v>2842</v>
      </c>
      <c r="M58" s="61">
        <v>3422890</v>
      </c>
      <c r="N58" s="61">
        <v>3589512</v>
      </c>
      <c r="O58" s="61">
        <v>2721403</v>
      </c>
      <c r="P58" s="61">
        <v>4862924.2857142854</v>
      </c>
      <c r="Q58" s="61">
        <v>3858704</v>
      </c>
      <c r="R58" s="61">
        <v>4602343.5</v>
      </c>
      <c r="S58" s="61">
        <v>2041842</v>
      </c>
      <c r="T58" s="61">
        <v>4014718.1666666665</v>
      </c>
      <c r="U58" s="61"/>
      <c r="V58" s="61"/>
      <c r="W58" s="61"/>
      <c r="X58" s="61"/>
      <c r="Y58" s="61"/>
      <c r="Z58" s="61"/>
      <c r="AA58" s="61"/>
      <c r="AB58" s="61">
        <v>1593508</v>
      </c>
      <c r="AC58" s="61">
        <v>2800102</v>
      </c>
      <c r="AD58" s="61">
        <v>2314264</v>
      </c>
      <c r="AE58" s="61">
        <v>2508298</v>
      </c>
      <c r="AF58" s="61">
        <v>4862764.2857142845</v>
      </c>
      <c r="AG58" s="61">
        <v>2599900</v>
      </c>
      <c r="AH58" s="61">
        <v>3287850</v>
      </c>
      <c r="AI58" s="61">
        <v>3107908.5</v>
      </c>
      <c r="AJ58" s="61">
        <v>2992792.6666666665</v>
      </c>
      <c r="AK58" s="61"/>
      <c r="AL58" s="61"/>
      <c r="AM58" s="61"/>
      <c r="AN58" s="61"/>
      <c r="AO58" s="61"/>
      <c r="AP58" s="61"/>
      <c r="AQ58" s="61"/>
      <c r="AR58" s="61">
        <v>3335746</v>
      </c>
      <c r="AS58" s="61">
        <v>2221304</v>
      </c>
      <c r="AT58" s="61">
        <v>1375632</v>
      </c>
      <c r="AU58" s="61">
        <v>2308447</v>
      </c>
      <c r="AV58" s="61">
        <v>2610055.7142857141</v>
      </c>
      <c r="AW58" s="61">
        <v>2853702</v>
      </c>
      <c r="AX58" s="61">
        <v>2788988</v>
      </c>
      <c r="AY58" s="61">
        <v>3450450</v>
      </c>
      <c r="AZ58" s="61">
        <v>3195295.6666666665</v>
      </c>
      <c r="BA58" s="61"/>
      <c r="BB58" s="61"/>
      <c r="BC58" s="61"/>
      <c r="BD58" s="61"/>
      <c r="BE58" s="61"/>
      <c r="BF58" s="61"/>
      <c r="BG58" s="61"/>
      <c r="BH58" s="61">
        <v>2269396</v>
      </c>
      <c r="BI58" s="61">
        <v>1774954</v>
      </c>
      <c r="BJ58" s="61">
        <v>3042764</v>
      </c>
      <c r="BK58" s="61">
        <v>2885918</v>
      </c>
      <c r="BL58" s="61">
        <v>1666163.5714285714</v>
      </c>
      <c r="BM58" s="61">
        <v>1868696</v>
      </c>
      <c r="BN58" s="61">
        <v>2275750.8333333335</v>
      </c>
      <c r="BO58" s="61">
        <v>1421869.8333333335</v>
      </c>
      <c r="BP58" s="61">
        <v>2322041</v>
      </c>
      <c r="BQ58" s="61"/>
      <c r="BR58" s="61"/>
      <c r="BS58" s="61"/>
      <c r="BT58" s="61"/>
      <c r="BU58" s="61"/>
      <c r="BV58" s="61"/>
      <c r="BW58" s="61"/>
      <c r="BX58" s="61">
        <v>1947638</v>
      </c>
      <c r="BY58" s="61">
        <v>2381148</v>
      </c>
      <c r="BZ58" s="61">
        <v>1923836</v>
      </c>
      <c r="CA58" s="61">
        <v>2409665</v>
      </c>
      <c r="CB58" s="61">
        <v>2505912.8571428568</v>
      </c>
      <c r="CC58" s="61">
        <v>2628886</v>
      </c>
      <c r="CD58" s="61">
        <v>1780892</v>
      </c>
      <c r="CE58" s="61">
        <v>1509661.8333333333</v>
      </c>
      <c r="CF58" s="61">
        <v>1688678.9999999998</v>
      </c>
      <c r="CG58" s="61"/>
      <c r="CH58" s="61"/>
      <c r="CI58" s="61"/>
      <c r="CJ58" s="61"/>
      <c r="CK58" s="61"/>
      <c r="CL58" s="61"/>
      <c r="CM58" s="61"/>
      <c r="CN58" s="61">
        <v>1420494</v>
      </c>
      <c r="CO58" s="61">
        <v>2184460</v>
      </c>
      <c r="CP58" s="61">
        <v>2218304</v>
      </c>
      <c r="CQ58" s="61">
        <v>2481507</v>
      </c>
      <c r="CR58" s="61">
        <v>1139397.857142857</v>
      </c>
      <c r="CS58" s="61">
        <v>2131752</v>
      </c>
      <c r="CT58" s="61">
        <v>1920105</v>
      </c>
      <c r="CU58" s="61">
        <v>2358939.5</v>
      </c>
      <c r="CV58" s="61">
        <v>1813019</v>
      </c>
      <c r="CW58" s="61"/>
      <c r="CX58" s="61"/>
      <c r="CY58" s="61"/>
      <c r="CZ58" s="61"/>
      <c r="DA58" s="61"/>
      <c r="DB58" s="61"/>
      <c r="DC58" s="61">
        <v>0</v>
      </c>
      <c r="DD58" s="61">
        <v>1469790</v>
      </c>
      <c r="DE58" s="61">
        <v>1784528</v>
      </c>
      <c r="DF58" s="61">
        <v>2156776</v>
      </c>
      <c r="DG58" s="61">
        <v>1551354</v>
      </c>
      <c r="DH58" s="61">
        <v>1428807.1428571427</v>
      </c>
      <c r="DI58" s="61">
        <v>2587680</v>
      </c>
      <c r="DJ58" s="61">
        <v>1943461.1666666667</v>
      </c>
      <c r="DK58" s="61">
        <v>2129851.4999999995</v>
      </c>
      <c r="DL58" s="61">
        <v>1008029.1666666667</v>
      </c>
      <c r="DM58" s="61"/>
      <c r="DN58" s="61"/>
      <c r="DO58" s="61"/>
      <c r="DP58" s="61"/>
      <c r="DQ58" s="61"/>
      <c r="DR58" s="61"/>
      <c r="DS58" s="61">
        <v>0</v>
      </c>
      <c r="DT58" s="61">
        <v>2166204</v>
      </c>
      <c r="DU58" s="61">
        <v>1934920</v>
      </c>
      <c r="DV58" s="61">
        <v>2072288</v>
      </c>
      <c r="DW58" s="61">
        <v>1391464</v>
      </c>
      <c r="DX58" s="61">
        <v>2177257.8571428573</v>
      </c>
      <c r="DY58" s="61">
        <v>1434402</v>
      </c>
      <c r="DZ58" s="61">
        <v>2173044</v>
      </c>
      <c r="EA58" s="61">
        <v>1482252.0000000002</v>
      </c>
      <c r="EB58" s="61">
        <v>1651481.1666666665</v>
      </c>
      <c r="EC58" s="61"/>
      <c r="ED58" s="61"/>
      <c r="EE58" s="61"/>
      <c r="EF58" s="61"/>
      <c r="EG58" s="61"/>
      <c r="EH58" s="61"/>
      <c r="EI58" s="61">
        <v>0</v>
      </c>
      <c r="EJ58" s="61">
        <v>1711403</v>
      </c>
      <c r="EK58" s="61">
        <v>2291496</v>
      </c>
      <c r="EL58" s="61">
        <v>1787416</v>
      </c>
      <c r="EM58" s="61">
        <v>1474542</v>
      </c>
      <c r="EN58" s="61">
        <v>864306.42857142841</v>
      </c>
      <c r="EO58" s="61">
        <v>1975962</v>
      </c>
      <c r="EP58" s="61">
        <v>1623569.6666666667</v>
      </c>
      <c r="EQ58" s="61">
        <v>1571747.8333333333</v>
      </c>
      <c r="ER58" s="61"/>
      <c r="ES58" s="61"/>
      <c r="ET58" s="61"/>
      <c r="EU58" s="61"/>
      <c r="EV58" s="61"/>
      <c r="EW58" s="61"/>
      <c r="EX58" s="61">
        <v>0</v>
      </c>
      <c r="EY58" s="61">
        <v>2521730</v>
      </c>
      <c r="EZ58" s="61">
        <v>2881400</v>
      </c>
      <c r="FA58" s="61">
        <v>2581912</v>
      </c>
      <c r="FB58" s="61">
        <v>3375081</v>
      </c>
      <c r="FC58" s="61">
        <v>2983585</v>
      </c>
      <c r="FD58" s="61">
        <v>1464558</v>
      </c>
      <c r="FE58" s="61">
        <v>1192945.1666666667</v>
      </c>
      <c r="FF58" s="61">
        <v>3101468.333333333</v>
      </c>
      <c r="FG58" s="61"/>
      <c r="FH58" s="168"/>
      <c r="FI58" s="168"/>
      <c r="FJ58" s="61"/>
      <c r="FK58" s="61"/>
      <c r="FL58" s="61"/>
      <c r="FM58" s="61">
        <v>0</v>
      </c>
      <c r="FN58" s="61">
        <v>2685896</v>
      </c>
      <c r="FO58" s="61">
        <v>2317192</v>
      </c>
      <c r="FP58" s="61">
        <v>3084776</v>
      </c>
      <c r="FQ58" s="61">
        <v>2759432</v>
      </c>
      <c r="FR58" s="61">
        <v>2600607.8571428573</v>
      </c>
      <c r="FS58" s="61">
        <v>4091390</v>
      </c>
      <c r="FT58" s="61">
        <v>2604845.5</v>
      </c>
      <c r="FU58" s="61">
        <v>2446214.0000000005</v>
      </c>
      <c r="FV58" s="61"/>
      <c r="FW58" s="61"/>
      <c r="FX58" s="61"/>
      <c r="FY58" s="61"/>
      <c r="FZ58" s="61"/>
      <c r="GA58" s="61"/>
      <c r="GB58" s="61">
        <v>0</v>
      </c>
      <c r="GC58" s="61">
        <v>2089534</v>
      </c>
      <c r="GD58" s="61">
        <v>4639768</v>
      </c>
      <c r="GE58" s="61">
        <v>4310704</v>
      </c>
      <c r="GF58" s="61">
        <v>4151270</v>
      </c>
      <c r="GG58" s="61">
        <v>3555593.5714285714</v>
      </c>
      <c r="GH58" s="61">
        <v>5425706.833333333</v>
      </c>
      <c r="GI58" s="61">
        <v>2466003</v>
      </c>
      <c r="GJ58" s="61">
        <v>3850245</v>
      </c>
      <c r="GK58" s="61"/>
      <c r="GL58" s="275">
        <f t="shared" ref="GL58:GL63" si="19">AVERAGE(M58:T58)</f>
        <v>3639292.1190476189</v>
      </c>
      <c r="GM58" s="275">
        <f>AVERAGE(AB58:AJ58)</f>
        <v>2896376.3835978834</v>
      </c>
      <c r="GN58" s="275">
        <f>AVERAGE(AR58:AZ58)</f>
        <v>2682180.0423280429</v>
      </c>
      <c r="GO58" s="275">
        <f>AVERAGE(BH58:BP58)</f>
        <v>2169728.1375661376</v>
      </c>
      <c r="GP58" s="275">
        <f>AVERAGE(BX58:CF58)</f>
        <v>2086257.6322751322</v>
      </c>
      <c r="GQ58" s="275">
        <f>AVERAGE(CN58:CV58)</f>
        <v>1963108.7063492064</v>
      </c>
      <c r="GR58" s="275">
        <f>AVERAGE(DD58:DL58)</f>
        <v>1784475.2195767192</v>
      </c>
      <c r="GS58" s="275">
        <f>AVERAGE(DT58:EB58)</f>
        <v>1831479.2248677248</v>
      </c>
      <c r="GT58" s="275">
        <f>AVERAGE(EJ58:EQ58)</f>
        <v>1662555.3660714286</v>
      </c>
      <c r="GU58" s="275">
        <f>AVERAGE(EY58:FF58)</f>
        <v>2512834.9375</v>
      </c>
      <c r="GV58" s="275">
        <f>AVERAGE(FN58:FU58)</f>
        <v>2823794.1696428573</v>
      </c>
      <c r="GW58" s="275">
        <f>AVERAGE(GC58:GJ58)</f>
        <v>3811103.0505952379</v>
      </c>
      <c r="GX58" t="s">
        <v>846</v>
      </c>
      <c r="GY58" s="3" t="s">
        <v>536</v>
      </c>
    </row>
    <row r="59" spans="2:207">
      <c r="C59" t="s">
        <v>791</v>
      </c>
      <c r="D59" s="60" t="s">
        <v>304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1453697</v>
      </c>
      <c r="N59" s="61">
        <v>1775049</v>
      </c>
      <c r="O59" s="61">
        <v>1185369</v>
      </c>
      <c r="P59" s="61">
        <v>1817647</v>
      </c>
      <c r="Q59" s="61">
        <v>1129000</v>
      </c>
      <c r="R59" s="61">
        <v>1510000</v>
      </c>
      <c r="S59" s="61">
        <v>1463840</v>
      </c>
      <c r="T59" s="61">
        <v>2599956</v>
      </c>
      <c r="U59" s="61">
        <v>0</v>
      </c>
      <c r="V59" s="61">
        <v>0</v>
      </c>
      <c r="W59" s="61">
        <v>0</v>
      </c>
      <c r="X59" s="61">
        <v>0</v>
      </c>
      <c r="Y59" s="61">
        <v>0</v>
      </c>
      <c r="Z59" s="61">
        <v>0</v>
      </c>
      <c r="AA59" s="61">
        <v>0</v>
      </c>
      <c r="AB59" s="61">
        <v>0</v>
      </c>
      <c r="AC59" s="61">
        <v>858293</v>
      </c>
      <c r="AD59" s="61">
        <v>1241001</v>
      </c>
      <c r="AE59" s="61">
        <v>1584878</v>
      </c>
      <c r="AF59" s="61">
        <v>1905969</v>
      </c>
      <c r="AG59" s="61">
        <v>1404000</v>
      </c>
      <c r="AH59" s="61">
        <v>1940829</v>
      </c>
      <c r="AI59" s="61">
        <v>1777490</v>
      </c>
      <c r="AJ59" s="61">
        <v>1034805</v>
      </c>
      <c r="AK59" s="61">
        <v>0</v>
      </c>
      <c r="AL59" s="61">
        <v>0</v>
      </c>
      <c r="AM59" s="61">
        <v>0</v>
      </c>
      <c r="AN59" s="61">
        <v>0</v>
      </c>
      <c r="AO59" s="61">
        <v>0</v>
      </c>
      <c r="AP59" s="61">
        <v>0</v>
      </c>
      <c r="AQ59" s="61">
        <v>0</v>
      </c>
      <c r="AR59" s="61">
        <v>0</v>
      </c>
      <c r="AS59" s="61">
        <v>1985251</v>
      </c>
      <c r="AT59" s="61">
        <v>1513416</v>
      </c>
      <c r="AU59" s="61">
        <v>1894049</v>
      </c>
      <c r="AV59" s="61">
        <v>1775999</v>
      </c>
      <c r="AW59" s="61">
        <v>1833000</v>
      </c>
      <c r="AX59" s="61">
        <v>1648237</v>
      </c>
      <c r="AY59" s="61">
        <v>1448600</v>
      </c>
      <c r="AZ59" s="61">
        <v>2183672</v>
      </c>
      <c r="BA59" s="61">
        <v>0</v>
      </c>
      <c r="BB59" s="61">
        <v>0</v>
      </c>
      <c r="BC59" s="61">
        <v>0</v>
      </c>
      <c r="BD59" s="61">
        <v>0</v>
      </c>
      <c r="BE59" s="61">
        <v>0</v>
      </c>
      <c r="BF59" s="61">
        <v>0</v>
      </c>
      <c r="BG59" s="61">
        <v>0</v>
      </c>
      <c r="BH59" s="61">
        <v>0</v>
      </c>
      <c r="BI59" s="61">
        <v>1491446</v>
      </c>
      <c r="BJ59" s="61">
        <v>2142847</v>
      </c>
      <c r="BK59" s="61">
        <v>1428453</v>
      </c>
      <c r="BL59" s="61">
        <v>1374695</v>
      </c>
      <c r="BM59" s="61">
        <v>1572000</v>
      </c>
      <c r="BN59" s="61">
        <v>2040370</v>
      </c>
      <c r="BO59" s="61">
        <v>1120260</v>
      </c>
      <c r="BP59" s="61">
        <v>2076256</v>
      </c>
      <c r="BQ59" s="61">
        <v>0</v>
      </c>
      <c r="BR59" s="61">
        <v>0</v>
      </c>
      <c r="BS59" s="61">
        <v>0</v>
      </c>
      <c r="BT59" s="61">
        <v>0</v>
      </c>
      <c r="BU59" s="61">
        <v>0</v>
      </c>
      <c r="BV59" s="61">
        <v>0</v>
      </c>
      <c r="BW59" s="61">
        <v>0</v>
      </c>
      <c r="BX59" s="61">
        <v>0</v>
      </c>
      <c r="BY59" s="61">
        <v>1235926</v>
      </c>
      <c r="BZ59" s="61">
        <v>1198704</v>
      </c>
      <c r="CA59" s="61">
        <v>1423129</v>
      </c>
      <c r="CB59" s="61">
        <v>1792549</v>
      </c>
      <c r="CC59" s="61">
        <v>1351817</v>
      </c>
      <c r="CD59" s="61">
        <v>2532027</v>
      </c>
      <c r="CE59" s="61">
        <v>1476064</v>
      </c>
      <c r="CF59" s="61">
        <v>1091143</v>
      </c>
      <c r="CG59" s="61">
        <v>0</v>
      </c>
      <c r="CH59" s="61">
        <v>0</v>
      </c>
      <c r="CI59" s="61">
        <v>0</v>
      </c>
      <c r="CJ59" s="61">
        <v>0</v>
      </c>
      <c r="CK59" s="61">
        <v>0</v>
      </c>
      <c r="CL59" s="61">
        <v>0</v>
      </c>
      <c r="CM59" s="61">
        <v>0</v>
      </c>
      <c r="CN59" s="61">
        <v>0</v>
      </c>
      <c r="CO59" s="61">
        <v>779886</v>
      </c>
      <c r="CP59" s="61">
        <v>982212</v>
      </c>
      <c r="CQ59" s="61">
        <v>1517436</v>
      </c>
      <c r="CR59" s="61">
        <v>989622</v>
      </c>
      <c r="CS59" s="61">
        <v>839000</v>
      </c>
      <c r="CT59" s="61">
        <v>880365</v>
      </c>
      <c r="CU59" s="61">
        <v>824660</v>
      </c>
      <c r="CV59" s="61">
        <v>678574</v>
      </c>
      <c r="CW59" s="61">
        <v>0</v>
      </c>
      <c r="CX59" s="61">
        <v>0</v>
      </c>
      <c r="CY59" s="61">
        <v>0</v>
      </c>
      <c r="CZ59" s="61">
        <v>0</v>
      </c>
      <c r="DA59" s="61">
        <v>0</v>
      </c>
      <c r="DB59" s="61">
        <v>0</v>
      </c>
      <c r="DC59" s="61">
        <v>0</v>
      </c>
      <c r="DD59" s="61">
        <v>0</v>
      </c>
      <c r="DE59" s="61">
        <v>947360</v>
      </c>
      <c r="DF59" s="61">
        <v>719660</v>
      </c>
      <c r="DG59" s="61">
        <v>631883</v>
      </c>
      <c r="DH59" s="61">
        <v>1367157</v>
      </c>
      <c r="DI59" s="61">
        <v>1154000</v>
      </c>
      <c r="DJ59" s="61">
        <v>664080</v>
      </c>
      <c r="DK59" s="61">
        <v>1161911.5</v>
      </c>
      <c r="DL59" s="61">
        <v>402680</v>
      </c>
      <c r="DM59" s="61">
        <v>0</v>
      </c>
      <c r="DN59" s="61">
        <v>0</v>
      </c>
      <c r="DO59" s="61">
        <v>0</v>
      </c>
      <c r="DP59" s="61">
        <v>0</v>
      </c>
      <c r="DQ59" s="61">
        <v>0</v>
      </c>
      <c r="DR59" s="61">
        <v>0</v>
      </c>
      <c r="DS59" s="61">
        <v>0</v>
      </c>
      <c r="DT59" s="61">
        <v>0</v>
      </c>
      <c r="DU59" s="61">
        <v>1009194</v>
      </c>
      <c r="DV59" s="61">
        <v>824824</v>
      </c>
      <c r="DW59" s="61">
        <v>842718</v>
      </c>
      <c r="DX59" s="61">
        <v>500985</v>
      </c>
      <c r="DY59" s="61">
        <v>926279</v>
      </c>
      <c r="DZ59" s="61">
        <v>799800</v>
      </c>
      <c r="EA59" s="61">
        <v>628625</v>
      </c>
      <c r="EB59" s="61">
        <v>595864</v>
      </c>
      <c r="EC59" s="61">
        <v>0</v>
      </c>
      <c r="ED59" s="61">
        <v>0</v>
      </c>
      <c r="EE59" s="61">
        <v>0</v>
      </c>
      <c r="EF59" s="61">
        <v>0</v>
      </c>
      <c r="EG59" s="61">
        <v>0</v>
      </c>
      <c r="EH59" s="61">
        <v>0</v>
      </c>
      <c r="EI59" s="61">
        <v>0</v>
      </c>
      <c r="EJ59" s="61">
        <v>0</v>
      </c>
      <c r="EK59" s="61">
        <v>899872</v>
      </c>
      <c r="EL59" s="61">
        <v>1051228</v>
      </c>
      <c r="EM59" s="61">
        <v>1098516</v>
      </c>
      <c r="EN59" s="61">
        <v>942249</v>
      </c>
      <c r="EO59" s="61">
        <v>901624</v>
      </c>
      <c r="EP59" s="61">
        <v>967960</v>
      </c>
      <c r="EQ59" s="61">
        <v>594822.32999999996</v>
      </c>
      <c r="ER59" s="61">
        <v>0</v>
      </c>
      <c r="ES59" s="61">
        <v>0</v>
      </c>
      <c r="ET59" s="61">
        <v>0</v>
      </c>
      <c r="EU59" s="61">
        <v>0</v>
      </c>
      <c r="EV59" s="61">
        <v>0</v>
      </c>
      <c r="EW59" s="61">
        <v>0</v>
      </c>
      <c r="EX59" s="61">
        <v>0</v>
      </c>
      <c r="EY59" s="61">
        <v>0</v>
      </c>
      <c r="EZ59" s="61">
        <v>1798932</v>
      </c>
      <c r="FA59" s="61">
        <v>1986047</v>
      </c>
      <c r="FB59" s="61">
        <v>1871602</v>
      </c>
      <c r="FC59" s="61">
        <v>1147106</v>
      </c>
      <c r="FD59" s="61">
        <v>1239873</v>
      </c>
      <c r="FE59" s="61">
        <v>1139790</v>
      </c>
      <c r="FF59" s="61">
        <v>1352736</v>
      </c>
      <c r="FG59" s="61">
        <v>0</v>
      </c>
      <c r="FH59" s="168">
        <v>0</v>
      </c>
      <c r="FI59" s="168">
        <v>0</v>
      </c>
      <c r="FJ59" s="61">
        <v>0</v>
      </c>
      <c r="FK59" s="61">
        <v>0</v>
      </c>
      <c r="FL59" s="61">
        <v>0</v>
      </c>
      <c r="FM59" s="61">
        <v>0</v>
      </c>
      <c r="FN59" s="61">
        <v>0</v>
      </c>
      <c r="FO59" s="61">
        <v>2189627</v>
      </c>
      <c r="FP59" s="61">
        <v>1669409</v>
      </c>
      <c r="FQ59" s="61">
        <v>1958792</v>
      </c>
      <c r="FR59" s="61">
        <v>2117290</v>
      </c>
      <c r="FS59" s="61">
        <v>1478071</v>
      </c>
      <c r="FT59" s="61">
        <v>1718100</v>
      </c>
      <c r="FU59" s="61">
        <v>1571652</v>
      </c>
      <c r="FV59" s="61">
        <v>0</v>
      </c>
      <c r="FW59" s="61">
        <v>0</v>
      </c>
      <c r="FX59" s="61">
        <v>0</v>
      </c>
      <c r="FY59" s="61">
        <v>0</v>
      </c>
      <c r="FZ59" s="61">
        <v>0</v>
      </c>
      <c r="GA59" s="61">
        <v>0</v>
      </c>
      <c r="GB59" s="61">
        <v>0</v>
      </c>
      <c r="GC59" s="61">
        <v>0</v>
      </c>
      <c r="GD59" s="61">
        <v>2259430</v>
      </c>
      <c r="GE59" s="61">
        <v>2096393</v>
      </c>
      <c r="GF59" s="61">
        <v>1770133</v>
      </c>
      <c r="GG59" s="61">
        <v>1415695</v>
      </c>
      <c r="GH59" s="61">
        <v>1609721</v>
      </c>
      <c r="GI59" s="61">
        <v>1345660</v>
      </c>
      <c r="GJ59" s="61">
        <v>1555158</v>
      </c>
      <c r="GK59" s="61"/>
      <c r="GL59" s="275">
        <f t="shared" si="19"/>
        <v>1616819.75</v>
      </c>
      <c r="GM59" s="275">
        <f>AVERAGE(AC59:AJ59)</f>
        <v>1468408.125</v>
      </c>
      <c r="GN59" s="275">
        <f>AVERAGE(AS59:AZ59)</f>
        <v>1785278</v>
      </c>
      <c r="GO59" s="275">
        <f>AVERAGE(BI59:BP59)</f>
        <v>1655790.875</v>
      </c>
      <c r="GP59" s="275">
        <f>AVERAGE(BY59:CF59)</f>
        <v>1512669.875</v>
      </c>
      <c r="GQ59" s="275">
        <f>AVERAGE(CO59:CV59)</f>
        <v>936469.375</v>
      </c>
      <c r="GR59" s="275">
        <f>AVERAGE(DE59:DL59)</f>
        <v>881091.4375</v>
      </c>
      <c r="GS59" s="275">
        <f>AVERAGE(DU59:EB59)</f>
        <v>766036.125</v>
      </c>
      <c r="GT59" s="275">
        <f>AVERAGE(EK59:EQ59)</f>
        <v>922324.47571428574</v>
      </c>
      <c r="GU59" s="275">
        <f>AVERAGE(EZ59:FF59)</f>
        <v>1505155.142857143</v>
      </c>
      <c r="GV59" s="275">
        <f>AVERAGE(FO59:FU59)</f>
        <v>1814705.857142857</v>
      </c>
      <c r="GW59" s="275">
        <f>AVERAGE(GD59:GJ59)</f>
        <v>1721741.4285714286</v>
      </c>
      <c r="GX59" t="s">
        <v>846</v>
      </c>
      <c r="GY59" s="60" t="s">
        <v>304</v>
      </c>
    </row>
    <row r="60" spans="2:207">
      <c r="C60" t="s">
        <v>801</v>
      </c>
      <c r="D60" s="60" t="s">
        <v>350</v>
      </c>
      <c r="E60" s="61">
        <v>0</v>
      </c>
      <c r="F60" s="61">
        <v>0</v>
      </c>
      <c r="G60" s="61">
        <v>0</v>
      </c>
      <c r="H60" s="61">
        <v>0</v>
      </c>
      <c r="I60" s="61">
        <v>0</v>
      </c>
      <c r="J60" s="61">
        <v>0</v>
      </c>
      <c r="K60" s="61">
        <v>0</v>
      </c>
      <c r="L60" s="61">
        <v>0</v>
      </c>
      <c r="M60" s="61">
        <v>2117570</v>
      </c>
      <c r="N60" s="61">
        <v>2493151</v>
      </c>
      <c r="O60" s="61">
        <v>1564164</v>
      </c>
      <c r="P60" s="61">
        <v>2869067</v>
      </c>
      <c r="Q60" s="61">
        <v>2443996</v>
      </c>
      <c r="R60" s="61">
        <v>2989000</v>
      </c>
      <c r="S60" s="61">
        <v>1824636</v>
      </c>
      <c r="T60" s="61">
        <v>3108770.666666667</v>
      </c>
      <c r="U60" s="61">
        <v>0</v>
      </c>
      <c r="V60" s="61">
        <v>0</v>
      </c>
      <c r="W60" s="61">
        <v>0</v>
      </c>
      <c r="X60" s="61">
        <v>0</v>
      </c>
      <c r="Y60" s="61">
        <v>0</v>
      </c>
      <c r="Z60" s="61">
        <v>0</v>
      </c>
      <c r="AA60" s="61">
        <v>0</v>
      </c>
      <c r="AB60" s="61">
        <v>0</v>
      </c>
      <c r="AC60" s="61">
        <v>955438</v>
      </c>
      <c r="AD60" s="61">
        <v>1987002</v>
      </c>
      <c r="AE60" s="61">
        <v>1850592</v>
      </c>
      <c r="AF60" s="61">
        <v>3177961</v>
      </c>
      <c r="AG60" s="61">
        <v>2179162</v>
      </c>
      <c r="AH60" s="61">
        <v>3118138</v>
      </c>
      <c r="AI60" s="61">
        <v>1975748.6666666667</v>
      </c>
      <c r="AJ60" s="61">
        <v>1810017.5</v>
      </c>
      <c r="AK60" s="61">
        <v>0</v>
      </c>
      <c r="AL60" s="61">
        <v>0</v>
      </c>
      <c r="AM60" s="61">
        <v>0</v>
      </c>
      <c r="AN60" s="61">
        <v>0</v>
      </c>
      <c r="AO60" s="61">
        <v>0</v>
      </c>
      <c r="AP60" s="61">
        <v>0</v>
      </c>
      <c r="AQ60" s="61">
        <v>0</v>
      </c>
      <c r="AR60" s="61">
        <v>0</v>
      </c>
      <c r="AS60" s="61">
        <v>2030217</v>
      </c>
      <c r="AT60" s="61">
        <v>1383099</v>
      </c>
      <c r="AU60" s="61">
        <v>1405930</v>
      </c>
      <c r="AV60" s="61">
        <v>1332719</v>
      </c>
      <c r="AW60" s="61">
        <v>1949618</v>
      </c>
      <c r="AX60" s="61">
        <v>2402896.0000000005</v>
      </c>
      <c r="AY60" s="61">
        <v>2166461.166666667</v>
      </c>
      <c r="AZ60" s="61">
        <v>1984942.4999999998</v>
      </c>
      <c r="BA60" s="61">
        <v>0</v>
      </c>
      <c r="BB60" s="61">
        <v>0</v>
      </c>
      <c r="BC60" s="61">
        <v>0</v>
      </c>
      <c r="BD60" s="61">
        <v>0</v>
      </c>
      <c r="BE60" s="61">
        <v>0</v>
      </c>
      <c r="BF60" s="61">
        <v>0</v>
      </c>
      <c r="BG60" s="61">
        <v>0</v>
      </c>
      <c r="BH60" s="61">
        <v>0</v>
      </c>
      <c r="BI60" s="61">
        <v>1144279</v>
      </c>
      <c r="BJ60" s="61">
        <v>2357746</v>
      </c>
      <c r="BK60" s="61">
        <v>1715319</v>
      </c>
      <c r="BL60" s="61">
        <v>1156386</v>
      </c>
      <c r="BM60" s="61">
        <v>1628212</v>
      </c>
      <c r="BN60" s="61">
        <v>1314913.9999999998</v>
      </c>
      <c r="BO60" s="61">
        <v>976215.16666666674</v>
      </c>
      <c r="BP60" s="61">
        <v>1962921</v>
      </c>
      <c r="BQ60" s="61">
        <v>0</v>
      </c>
      <c r="BR60" s="61">
        <v>0</v>
      </c>
      <c r="BS60" s="61">
        <v>0</v>
      </c>
      <c r="BT60" s="61">
        <v>0</v>
      </c>
      <c r="BU60" s="61">
        <v>0</v>
      </c>
      <c r="BV60" s="61">
        <v>0</v>
      </c>
      <c r="BW60" s="61">
        <v>0</v>
      </c>
      <c r="BX60" s="61">
        <v>0</v>
      </c>
      <c r="BY60" s="61">
        <v>1176016</v>
      </c>
      <c r="BZ60" s="61">
        <v>1625806</v>
      </c>
      <c r="CA60" s="61">
        <v>1238411</v>
      </c>
      <c r="CB60" s="61">
        <v>2118420</v>
      </c>
      <c r="CC60" s="61">
        <v>1619979</v>
      </c>
      <c r="CD60" s="61">
        <v>1371081.9999999998</v>
      </c>
      <c r="CE60" s="61">
        <v>1284880.8333333335</v>
      </c>
      <c r="CF60" s="61">
        <v>1208146</v>
      </c>
      <c r="CG60" s="61">
        <v>0</v>
      </c>
      <c r="CH60" s="61">
        <v>0</v>
      </c>
      <c r="CI60" s="61">
        <v>0</v>
      </c>
      <c r="CJ60" s="61">
        <v>0</v>
      </c>
      <c r="CK60" s="61">
        <v>0</v>
      </c>
      <c r="CL60" s="61">
        <v>0</v>
      </c>
      <c r="CM60" s="61">
        <v>0</v>
      </c>
      <c r="CN60" s="61">
        <v>0</v>
      </c>
      <c r="CO60" s="61">
        <v>1350469</v>
      </c>
      <c r="CP60" s="61">
        <v>1293796</v>
      </c>
      <c r="CQ60" s="61">
        <v>1279280</v>
      </c>
      <c r="CR60" s="61">
        <v>1454062</v>
      </c>
      <c r="CS60" s="61">
        <v>1162619</v>
      </c>
      <c r="CT60" s="61">
        <v>774762.83300000022</v>
      </c>
      <c r="CU60" s="61">
        <v>1237469.833333333</v>
      </c>
      <c r="CV60" s="61">
        <v>954926.99999999988</v>
      </c>
      <c r="CW60" s="61">
        <v>0</v>
      </c>
      <c r="CX60" s="61">
        <v>0</v>
      </c>
      <c r="CY60" s="61">
        <v>0</v>
      </c>
      <c r="CZ60" s="61">
        <v>0</v>
      </c>
      <c r="DA60" s="61">
        <v>0</v>
      </c>
      <c r="DB60" s="61">
        <v>0</v>
      </c>
      <c r="DC60" s="61">
        <v>0</v>
      </c>
      <c r="DD60" s="61">
        <v>28300</v>
      </c>
      <c r="DE60" s="61">
        <v>1166590</v>
      </c>
      <c r="DF60" s="61">
        <v>1457264</v>
      </c>
      <c r="DG60" s="61">
        <v>1284521</v>
      </c>
      <c r="DH60" s="61">
        <v>1128515</v>
      </c>
      <c r="DI60" s="61">
        <v>1537090</v>
      </c>
      <c r="DJ60" s="61">
        <v>643102.99999999988</v>
      </c>
      <c r="DK60" s="61">
        <v>1202664</v>
      </c>
      <c r="DL60" s="61">
        <v>682990.33333333337</v>
      </c>
      <c r="DM60" s="61">
        <v>0</v>
      </c>
      <c r="DN60" s="61">
        <v>0</v>
      </c>
      <c r="DO60" s="61">
        <v>0</v>
      </c>
      <c r="DP60" s="61">
        <v>0</v>
      </c>
      <c r="DQ60" s="61">
        <v>0</v>
      </c>
      <c r="DR60" s="61">
        <v>0</v>
      </c>
      <c r="DS60" s="61">
        <v>0</v>
      </c>
      <c r="DT60" s="61">
        <v>1013852.0000000001</v>
      </c>
      <c r="DU60" s="61">
        <v>1099120</v>
      </c>
      <c r="DV60" s="61">
        <v>1405817</v>
      </c>
      <c r="DW60" s="61">
        <v>687726</v>
      </c>
      <c r="DX60" s="61">
        <v>991745</v>
      </c>
      <c r="DY60" s="61">
        <v>1326731</v>
      </c>
      <c r="DZ60" s="61">
        <v>799872.99999999988</v>
      </c>
      <c r="EA60" s="61">
        <v>923229</v>
      </c>
      <c r="EB60" s="61">
        <v>986978.49999999988</v>
      </c>
      <c r="EC60" s="61">
        <v>0</v>
      </c>
      <c r="ED60" s="61">
        <v>0</v>
      </c>
      <c r="EE60" s="61">
        <v>0</v>
      </c>
      <c r="EF60" s="61">
        <v>0</v>
      </c>
      <c r="EG60" s="61">
        <v>0</v>
      </c>
      <c r="EH60" s="61">
        <v>0</v>
      </c>
      <c r="EI60" s="61">
        <v>0</v>
      </c>
      <c r="EJ60" s="61">
        <v>1139342</v>
      </c>
      <c r="EK60" s="61">
        <v>1167497</v>
      </c>
      <c r="EL60" s="61">
        <v>1566894</v>
      </c>
      <c r="EM60" s="61">
        <v>1166922</v>
      </c>
      <c r="EN60" s="61">
        <v>978793</v>
      </c>
      <c r="EO60" s="61">
        <v>2061664.0000000002</v>
      </c>
      <c r="EP60" s="61">
        <v>844561.00000000012</v>
      </c>
      <c r="EQ60" s="61">
        <v>1259644.6666666665</v>
      </c>
      <c r="ER60" s="61">
        <v>0</v>
      </c>
      <c r="ES60" s="61">
        <v>0</v>
      </c>
      <c r="ET60" s="61">
        <v>0</v>
      </c>
      <c r="EU60" s="61">
        <v>0</v>
      </c>
      <c r="EV60" s="61">
        <v>0</v>
      </c>
      <c r="EW60" s="61">
        <v>0</v>
      </c>
      <c r="EX60" s="61">
        <v>0</v>
      </c>
      <c r="EY60" s="61">
        <v>2338822</v>
      </c>
      <c r="EZ60" s="61">
        <v>1745140</v>
      </c>
      <c r="FA60" s="61">
        <v>2373406</v>
      </c>
      <c r="FB60" s="61">
        <v>2391238</v>
      </c>
      <c r="FC60" s="61">
        <v>1361367</v>
      </c>
      <c r="FD60" s="61">
        <v>1230227</v>
      </c>
      <c r="FE60" s="61">
        <v>1638788.9999999998</v>
      </c>
      <c r="FF60" s="61">
        <v>1692045.5000000002</v>
      </c>
      <c r="FG60" s="61">
        <v>0</v>
      </c>
      <c r="FH60" s="168">
        <v>0</v>
      </c>
      <c r="FI60" s="168">
        <v>0</v>
      </c>
      <c r="FJ60" s="61">
        <v>0</v>
      </c>
      <c r="FK60" s="61">
        <v>0</v>
      </c>
      <c r="FL60" s="61">
        <v>0</v>
      </c>
      <c r="FM60" s="61">
        <v>0</v>
      </c>
      <c r="FN60" s="61">
        <v>1784373</v>
      </c>
      <c r="FO60" s="61">
        <v>1474783</v>
      </c>
      <c r="FP60" s="61">
        <v>1888678</v>
      </c>
      <c r="FQ60" s="61">
        <v>2496622</v>
      </c>
      <c r="FR60" s="61">
        <v>1908672</v>
      </c>
      <c r="FS60" s="61">
        <v>2306509</v>
      </c>
      <c r="FT60" s="61">
        <v>2232620</v>
      </c>
      <c r="FU60" s="61">
        <v>2119905.333333333</v>
      </c>
      <c r="FV60" s="61">
        <v>0</v>
      </c>
      <c r="FW60" s="61">
        <v>0</v>
      </c>
      <c r="FX60" s="61">
        <v>0</v>
      </c>
      <c r="FY60" s="61">
        <v>0</v>
      </c>
      <c r="FZ60" s="61">
        <v>0</v>
      </c>
      <c r="GA60" s="61">
        <v>0</v>
      </c>
      <c r="GB60" s="61">
        <v>0</v>
      </c>
      <c r="GC60" s="61">
        <v>1726229</v>
      </c>
      <c r="GD60" s="61">
        <v>3488902</v>
      </c>
      <c r="GE60" s="61">
        <v>3549151</v>
      </c>
      <c r="GF60" s="61">
        <v>3092523</v>
      </c>
      <c r="GG60" s="61">
        <v>2057724.0000000002</v>
      </c>
      <c r="GH60" s="61">
        <v>2654244</v>
      </c>
      <c r="GI60" s="61">
        <v>1339627.6666666663</v>
      </c>
      <c r="GJ60" s="61">
        <v>2798691</v>
      </c>
      <c r="GK60" s="61"/>
      <c r="GL60" s="275">
        <f t="shared" si="19"/>
        <v>2426294.3333333335</v>
      </c>
      <c r="GM60" s="275">
        <f>AVERAGE(AC60:AJ60)</f>
        <v>2131757.395833333</v>
      </c>
      <c r="GN60" s="275">
        <f>AVERAGE(AS60:AZ60)</f>
        <v>1831985.3333333335</v>
      </c>
      <c r="GO60" s="275">
        <f>AVERAGE(BI60:BP60)</f>
        <v>1531999.0208333333</v>
      </c>
      <c r="GP60" s="275">
        <f>AVERAGE(BY60:CF60)</f>
        <v>1455342.6041666667</v>
      </c>
      <c r="GQ60" s="275">
        <f>AVERAGE(CO60:CV60)</f>
        <v>1188423.2082916666</v>
      </c>
      <c r="GR60" s="275">
        <f>AVERAGE(DE60:DL60)</f>
        <v>1137842.1666666667</v>
      </c>
      <c r="GS60" s="275">
        <f>AVERAGE(DT60:EB60)</f>
        <v>1026119.0555555555</v>
      </c>
      <c r="GT60" s="275">
        <f>AVERAGE(EJ60:EQ60)</f>
        <v>1273164.7083333333</v>
      </c>
      <c r="GU60" s="275">
        <f>AVERAGE(EY60:FF60)</f>
        <v>1846379.3125</v>
      </c>
      <c r="GV60" s="275">
        <f>AVERAGE(FN60:FU60)</f>
        <v>2026520.2916666665</v>
      </c>
      <c r="GW60" s="275">
        <f>AVERAGE(GC60:GJ60)</f>
        <v>2588386.4583333335</v>
      </c>
      <c r="GX60" t="s">
        <v>846</v>
      </c>
      <c r="GY60" s="60" t="s">
        <v>350</v>
      </c>
    </row>
    <row r="61" spans="2:207">
      <c r="D61" s="60" t="s">
        <v>352</v>
      </c>
      <c r="E61" s="61"/>
      <c r="F61" s="61"/>
      <c r="G61" s="61"/>
      <c r="H61" s="61"/>
      <c r="I61" s="61"/>
      <c r="J61" s="61"/>
      <c r="K61" s="61"/>
      <c r="L61" s="61">
        <v>0</v>
      </c>
      <c r="M61" s="61">
        <v>2277764</v>
      </c>
      <c r="N61" s="61">
        <v>2475140</v>
      </c>
      <c r="O61" s="61">
        <v>1538784</v>
      </c>
      <c r="P61" s="61">
        <v>2739264</v>
      </c>
      <c r="Q61" s="61">
        <v>2456873</v>
      </c>
      <c r="R61" s="61">
        <v>2945000</v>
      </c>
      <c r="S61" s="61">
        <v>1901747</v>
      </c>
      <c r="T61" s="61">
        <v>3212345.8333333335</v>
      </c>
      <c r="U61" s="61"/>
      <c r="V61" s="61"/>
      <c r="W61" s="61"/>
      <c r="X61" s="61"/>
      <c r="Y61" s="61"/>
      <c r="Z61" s="61"/>
      <c r="AA61" s="61"/>
      <c r="AB61" s="61">
        <v>0</v>
      </c>
      <c r="AC61" s="61">
        <v>926957</v>
      </c>
      <c r="AD61" s="61">
        <v>2225281</v>
      </c>
      <c r="AE61" s="61">
        <v>1922625</v>
      </c>
      <c r="AF61" s="61">
        <v>3146663</v>
      </c>
      <c r="AG61" s="61">
        <v>2144583</v>
      </c>
      <c r="AH61" s="61">
        <v>3164565.0000000005</v>
      </c>
      <c r="AI61" s="61">
        <v>2010427.1666666667</v>
      </c>
      <c r="AJ61" s="61">
        <v>1609607.1666666667</v>
      </c>
      <c r="AK61" s="61"/>
      <c r="AL61" s="61"/>
      <c r="AM61" s="61"/>
      <c r="AN61" s="61"/>
      <c r="AO61" s="61"/>
      <c r="AP61" s="61"/>
      <c r="AQ61" s="61"/>
      <c r="AR61" s="61">
        <v>0</v>
      </c>
      <c r="AS61" s="61">
        <v>2224591</v>
      </c>
      <c r="AT61" s="61">
        <v>1585990</v>
      </c>
      <c r="AU61" s="61">
        <v>1574596</v>
      </c>
      <c r="AV61" s="61">
        <v>1367299</v>
      </c>
      <c r="AW61" s="61">
        <v>1999592</v>
      </c>
      <c r="AX61" s="61">
        <v>2504746.9999999995</v>
      </c>
      <c r="AY61" s="61">
        <v>2313421.1666666665</v>
      </c>
      <c r="AZ61" s="61">
        <v>1933897.6666666667</v>
      </c>
      <c r="BA61" s="61"/>
      <c r="BB61" s="61"/>
      <c r="BC61" s="61"/>
      <c r="BD61" s="61"/>
      <c r="BE61" s="61"/>
      <c r="BF61" s="61"/>
      <c r="BG61" s="61"/>
      <c r="BH61" s="61">
        <v>0</v>
      </c>
      <c r="BI61" s="61">
        <v>1267207</v>
      </c>
      <c r="BJ61" s="61">
        <v>2480895</v>
      </c>
      <c r="BK61" s="61">
        <v>1803156</v>
      </c>
      <c r="BL61" s="61">
        <v>1195807</v>
      </c>
      <c r="BM61" s="61">
        <v>1663025</v>
      </c>
      <c r="BN61" s="61">
        <v>1338045</v>
      </c>
      <c r="BO61" s="61">
        <v>1139023.1666666665</v>
      </c>
      <c r="BP61" s="61">
        <v>2011738</v>
      </c>
      <c r="BQ61" s="61"/>
      <c r="BR61" s="61"/>
      <c r="BS61" s="61"/>
      <c r="BT61" s="61"/>
      <c r="BU61" s="61"/>
      <c r="BV61" s="61"/>
      <c r="BW61" s="61"/>
      <c r="BX61" s="61">
        <v>0</v>
      </c>
      <c r="BY61" s="61">
        <v>1206844</v>
      </c>
      <c r="BZ61" s="61">
        <v>1650264</v>
      </c>
      <c r="CA61" s="61">
        <v>1080000</v>
      </c>
      <c r="CB61" s="61">
        <v>2132986</v>
      </c>
      <c r="CC61" s="61">
        <v>1513342</v>
      </c>
      <c r="CD61" s="61">
        <v>1376740</v>
      </c>
      <c r="CE61" s="61">
        <v>1318455.5</v>
      </c>
      <c r="CF61" s="61">
        <v>1165920</v>
      </c>
      <c r="CG61" s="61"/>
      <c r="CH61" s="61"/>
      <c r="CI61" s="61"/>
      <c r="CJ61" s="61"/>
      <c r="CK61" s="61"/>
      <c r="CL61" s="61"/>
      <c r="CM61" s="61"/>
      <c r="CN61" s="61">
        <v>0</v>
      </c>
      <c r="CO61" s="61">
        <v>1466756</v>
      </c>
      <c r="CP61" s="61">
        <v>1335528</v>
      </c>
      <c r="CQ61" s="61">
        <v>1317125</v>
      </c>
      <c r="CR61" s="61">
        <v>1493957</v>
      </c>
      <c r="CS61" s="61">
        <v>1209670</v>
      </c>
      <c r="CT61" s="61">
        <v>718952.16699999967</v>
      </c>
      <c r="CU61" s="61">
        <v>1270830</v>
      </c>
      <c r="CV61" s="61">
        <v>1014108</v>
      </c>
      <c r="CW61" s="61"/>
      <c r="CX61" s="61"/>
      <c r="CY61" s="61"/>
      <c r="CZ61" s="61"/>
      <c r="DA61" s="61"/>
      <c r="DB61" s="61"/>
      <c r="DC61" s="61"/>
      <c r="DD61" s="61">
        <v>25365</v>
      </c>
      <c r="DE61" s="61">
        <v>1184364</v>
      </c>
      <c r="DF61" s="61">
        <v>1559854</v>
      </c>
      <c r="DG61" s="61">
        <v>1426079</v>
      </c>
      <c r="DH61" s="61">
        <v>1110226</v>
      </c>
      <c r="DI61" s="61">
        <v>1464728</v>
      </c>
      <c r="DJ61" s="61">
        <v>652359.00000000012</v>
      </c>
      <c r="DK61" s="61">
        <v>1241487</v>
      </c>
      <c r="DL61" s="61">
        <v>751601</v>
      </c>
      <c r="DM61" s="61"/>
      <c r="DN61" s="61"/>
      <c r="DO61" s="61"/>
      <c r="DP61" s="61"/>
      <c r="DQ61" s="61"/>
      <c r="DR61" s="61"/>
      <c r="DS61" s="61"/>
      <c r="DT61" s="61">
        <v>1019917</v>
      </c>
      <c r="DU61" s="61">
        <v>1252543</v>
      </c>
      <c r="DV61" s="61">
        <v>1416117</v>
      </c>
      <c r="DW61" s="61">
        <v>751176</v>
      </c>
      <c r="DX61" s="61">
        <v>1062769</v>
      </c>
      <c r="DY61" s="61">
        <v>1321016</v>
      </c>
      <c r="DZ61" s="61">
        <v>880441.99999999988</v>
      </c>
      <c r="EA61" s="61">
        <v>970405</v>
      </c>
      <c r="EB61" s="61">
        <v>1062757.3333333335</v>
      </c>
      <c r="EC61" s="61"/>
      <c r="ED61" s="61"/>
      <c r="EE61" s="61"/>
      <c r="EF61" s="61"/>
      <c r="EG61" s="61"/>
      <c r="EH61" s="61"/>
      <c r="EI61" s="61"/>
      <c r="EJ61" s="61">
        <v>1156965</v>
      </c>
      <c r="EK61" s="61">
        <v>1286418</v>
      </c>
      <c r="EL61" s="61">
        <v>1637916</v>
      </c>
      <c r="EM61" s="61">
        <v>1201829</v>
      </c>
      <c r="EN61" s="61">
        <v>1074386</v>
      </c>
      <c r="EO61" s="61">
        <v>2014591</v>
      </c>
      <c r="EP61" s="61">
        <v>748138.00000000012</v>
      </c>
      <c r="EQ61" s="61">
        <v>1274260.6666666665</v>
      </c>
      <c r="ER61" s="61"/>
      <c r="ES61" s="61"/>
      <c r="ET61" s="61"/>
      <c r="EU61" s="61"/>
      <c r="EV61" s="61"/>
      <c r="EW61" s="61"/>
      <c r="EX61" s="61"/>
      <c r="EY61" s="61">
        <v>2383974</v>
      </c>
      <c r="EZ61" s="61">
        <v>1690174</v>
      </c>
      <c r="FA61" s="61">
        <v>2370479</v>
      </c>
      <c r="FB61" s="61">
        <v>2356414</v>
      </c>
      <c r="FC61" s="61">
        <v>1408364</v>
      </c>
      <c r="FD61" s="61">
        <v>1313452</v>
      </c>
      <c r="FE61" s="61">
        <v>1611205.0000000002</v>
      </c>
      <c r="FF61" s="61">
        <v>1735340.5</v>
      </c>
      <c r="FG61" s="61"/>
      <c r="FH61" s="168"/>
      <c r="FI61" s="168"/>
      <c r="FJ61" s="61"/>
      <c r="FK61" s="61"/>
      <c r="FL61" s="61"/>
      <c r="FM61" s="61"/>
      <c r="FN61" s="61">
        <v>1806034</v>
      </c>
      <c r="FO61" s="61">
        <v>1502577</v>
      </c>
      <c r="FP61" s="61">
        <v>1895337</v>
      </c>
      <c r="FQ61" s="61">
        <v>2527004</v>
      </c>
      <c r="FR61" s="61">
        <v>1858506</v>
      </c>
      <c r="FS61" s="61">
        <v>2244016</v>
      </c>
      <c r="FT61" s="61">
        <v>2237857</v>
      </c>
      <c r="FU61" s="61">
        <v>2047698.8333333333</v>
      </c>
      <c r="FV61" s="61"/>
      <c r="FW61" s="61"/>
      <c r="FX61" s="61"/>
      <c r="FY61" s="61"/>
      <c r="FZ61" s="61"/>
      <c r="GA61" s="61"/>
      <c r="GB61" s="61"/>
      <c r="GC61" s="61">
        <v>1509373</v>
      </c>
      <c r="GD61" s="61">
        <v>3301420</v>
      </c>
      <c r="GE61" s="61">
        <v>3439620</v>
      </c>
      <c r="GF61" s="61">
        <v>2934892</v>
      </c>
      <c r="GG61" s="61">
        <v>1990089</v>
      </c>
      <c r="GH61" s="61">
        <v>2557569</v>
      </c>
      <c r="GI61" s="61">
        <v>1396304</v>
      </c>
      <c r="GJ61" s="61">
        <v>2789141</v>
      </c>
      <c r="GK61" s="61"/>
      <c r="GL61" s="275">
        <f t="shared" si="19"/>
        <v>2443364.7291666665</v>
      </c>
      <c r="GM61" s="275">
        <f>AVERAGE(AC61:AJ61)</f>
        <v>2143838.5416666665</v>
      </c>
      <c r="GN61" s="275">
        <f>AVERAGE(AS61:AZ61)</f>
        <v>1938016.7291666665</v>
      </c>
      <c r="GO61" s="275">
        <f>AVERAGE(BI61:BP61)</f>
        <v>1612362.0208333333</v>
      </c>
      <c r="GP61" s="275">
        <f>AVERAGE(BY61:CF61)</f>
        <v>1430568.9375</v>
      </c>
      <c r="GQ61" s="275">
        <f>AVERAGE(CO61:CV61)</f>
        <v>1228365.7708749999</v>
      </c>
      <c r="GR61" s="275">
        <f>AVERAGE(DE61:DL61)</f>
        <v>1173837.25</v>
      </c>
      <c r="GS61" s="275">
        <f>AVERAGE(DT61:EB61)</f>
        <v>1081904.7037037038</v>
      </c>
      <c r="GT61" s="275">
        <f>AVERAGE(EJ61:EQ61)</f>
        <v>1299312.9583333333</v>
      </c>
      <c r="GU61" s="275">
        <f>AVERAGE(EY61:FF61)</f>
        <v>1858675.3125</v>
      </c>
      <c r="GV61" s="275">
        <f>AVERAGE(FN61:FU61)</f>
        <v>2014878.7291666667</v>
      </c>
      <c r="GW61" s="275">
        <f>AVERAGE(GC61:GJ61)</f>
        <v>2489801</v>
      </c>
      <c r="GX61" t="s">
        <v>846</v>
      </c>
      <c r="GY61" s="60" t="s">
        <v>352</v>
      </c>
    </row>
    <row r="62" spans="2:207">
      <c r="D62" s="3" t="s">
        <v>347</v>
      </c>
      <c r="E62" s="61"/>
      <c r="F62" s="61"/>
      <c r="G62" s="61"/>
      <c r="H62" s="61"/>
      <c r="I62" s="61"/>
      <c r="J62" s="61"/>
      <c r="K62" s="61"/>
      <c r="L62" s="61"/>
      <c r="M62" s="61">
        <v>6826641</v>
      </c>
      <c r="N62" s="61">
        <v>7757729</v>
      </c>
      <c r="O62" s="61">
        <v>5454082</v>
      </c>
      <c r="P62" s="61">
        <v>9735906</v>
      </c>
      <c r="Q62" s="61">
        <v>3343421</v>
      </c>
      <c r="R62" s="61">
        <v>3902409.1666666665</v>
      </c>
      <c r="S62" s="61">
        <v>1590789</v>
      </c>
      <c r="T62" s="61">
        <v>3853779.8333333335</v>
      </c>
      <c r="U62" s="61"/>
      <c r="V62" s="61"/>
      <c r="W62" s="61"/>
      <c r="X62" s="61"/>
      <c r="Y62" s="61"/>
      <c r="Z62" s="61"/>
      <c r="AA62" s="61"/>
      <c r="AB62" s="61"/>
      <c r="AC62" s="61">
        <v>5764908</v>
      </c>
      <c r="AD62" s="61">
        <v>4578614</v>
      </c>
      <c r="AE62" s="61">
        <v>5349208</v>
      </c>
      <c r="AF62" s="61">
        <v>10204239</v>
      </c>
      <c r="AG62" s="61">
        <v>2377177</v>
      </c>
      <c r="AH62" s="61">
        <v>3548520.166666666</v>
      </c>
      <c r="AI62" s="61">
        <v>2665431.833333333</v>
      </c>
      <c r="AJ62" s="61">
        <v>2603455.8333333335</v>
      </c>
      <c r="AK62" s="61"/>
      <c r="AL62" s="61"/>
      <c r="AM62" s="61"/>
      <c r="AN62" s="61"/>
      <c r="AO62" s="61"/>
      <c r="AP62" s="61"/>
      <c r="AQ62" s="61"/>
      <c r="AR62" s="61"/>
      <c r="AS62" s="61">
        <v>5610133</v>
      </c>
      <c r="AT62" s="61">
        <v>3487474</v>
      </c>
      <c r="AU62" s="61">
        <v>5631499</v>
      </c>
      <c r="AV62" s="61">
        <v>5003435</v>
      </c>
      <c r="AW62" s="61">
        <v>2717295</v>
      </c>
      <c r="AX62" s="61">
        <v>2619913.5000000005</v>
      </c>
      <c r="AY62" s="61">
        <v>2905297.333333334</v>
      </c>
      <c r="AZ62" s="61">
        <v>2621344</v>
      </c>
      <c r="BA62" s="61"/>
      <c r="BB62" s="61"/>
      <c r="BC62" s="61"/>
      <c r="BD62" s="61"/>
      <c r="BE62" s="61"/>
      <c r="BF62" s="61"/>
      <c r="BG62" s="61"/>
      <c r="BH62" s="61"/>
      <c r="BI62" s="61">
        <v>2872972</v>
      </c>
      <c r="BJ62" s="61">
        <v>6627680</v>
      </c>
      <c r="BK62" s="61">
        <v>5918581</v>
      </c>
      <c r="BL62" s="61">
        <v>3235871</v>
      </c>
      <c r="BM62" s="61">
        <v>1559725</v>
      </c>
      <c r="BN62" s="61">
        <v>1784469.4999999998</v>
      </c>
      <c r="BO62" s="61">
        <v>982601.16666666674</v>
      </c>
      <c r="BP62" s="61">
        <v>1721605</v>
      </c>
      <c r="BQ62" s="61"/>
      <c r="BR62" s="61"/>
      <c r="BS62" s="61"/>
      <c r="BT62" s="61"/>
      <c r="BU62" s="61"/>
      <c r="BV62" s="61"/>
      <c r="BW62" s="61"/>
      <c r="BX62" s="61"/>
      <c r="BY62" s="61">
        <v>3984047</v>
      </c>
      <c r="BZ62" s="61">
        <v>4084100</v>
      </c>
      <c r="CA62" s="61">
        <v>4286991</v>
      </c>
      <c r="CB62" s="61">
        <v>5024617</v>
      </c>
      <c r="CC62" s="61">
        <v>1846167</v>
      </c>
      <c r="CD62" s="61">
        <v>1310368.3333333333</v>
      </c>
      <c r="CE62" s="61">
        <v>1262395.5</v>
      </c>
      <c r="CF62" s="61">
        <v>1228086</v>
      </c>
      <c r="CG62" s="61"/>
      <c r="CH62" s="61"/>
      <c r="CI62" s="61"/>
      <c r="CJ62" s="61"/>
      <c r="CK62" s="61"/>
      <c r="CL62" s="61"/>
      <c r="CM62" s="61"/>
      <c r="CN62" s="61">
        <v>887872</v>
      </c>
      <c r="CO62" s="61">
        <v>4080730</v>
      </c>
      <c r="CP62" s="61">
        <v>4464006</v>
      </c>
      <c r="CQ62" s="61">
        <v>4522680</v>
      </c>
      <c r="CR62" s="61">
        <v>2498948</v>
      </c>
      <c r="CS62" s="61">
        <v>1620454</v>
      </c>
      <c r="CT62" s="61">
        <v>1164917.6666666667</v>
      </c>
      <c r="CU62" s="61">
        <v>1385310.8333333333</v>
      </c>
      <c r="CV62" s="61">
        <v>971210</v>
      </c>
      <c r="CW62" s="61"/>
      <c r="CX62" s="61"/>
      <c r="CY62" s="61"/>
      <c r="CZ62" s="61"/>
      <c r="DA62" s="61"/>
      <c r="DB62" s="61"/>
      <c r="DC62" s="61"/>
      <c r="DD62" s="61">
        <v>1331337</v>
      </c>
      <c r="DE62" s="61">
        <v>3434877</v>
      </c>
      <c r="DF62" s="61">
        <v>3732561</v>
      </c>
      <c r="DG62" s="61">
        <v>3222703</v>
      </c>
      <c r="DH62" s="61">
        <v>2980954</v>
      </c>
      <c r="DI62" s="61">
        <v>1625665</v>
      </c>
      <c r="DJ62" s="61">
        <v>1035923.9999999998</v>
      </c>
      <c r="DK62" s="61">
        <v>1512535.3333333333</v>
      </c>
      <c r="DL62" s="61">
        <v>754761.33333333337</v>
      </c>
      <c r="DM62" s="61"/>
      <c r="DN62" s="61"/>
      <c r="DO62" s="61"/>
      <c r="DP62" s="61"/>
      <c r="DQ62" s="61"/>
      <c r="DR62" s="61"/>
      <c r="DS62" s="61"/>
      <c r="DT62" s="61">
        <v>2380060</v>
      </c>
      <c r="DU62" s="61">
        <v>2888081</v>
      </c>
      <c r="DV62" s="61">
        <v>3686130</v>
      </c>
      <c r="DW62" s="61">
        <v>2759363</v>
      </c>
      <c r="DX62" s="61">
        <v>3794776</v>
      </c>
      <c r="DY62" s="61">
        <v>1245853.5</v>
      </c>
      <c r="DZ62" s="61">
        <v>1325141</v>
      </c>
      <c r="EA62" s="61">
        <v>1034380.9999999999</v>
      </c>
      <c r="EB62" s="61">
        <v>1177563.9999999998</v>
      </c>
      <c r="EC62" s="61"/>
      <c r="ED62" s="61"/>
      <c r="EE62" s="61"/>
      <c r="EF62" s="61"/>
      <c r="EG62" s="61"/>
      <c r="EH62" s="61"/>
      <c r="EI62" s="61"/>
      <c r="EJ62" s="61">
        <v>2407651</v>
      </c>
      <c r="EK62" s="61">
        <v>4178220.0000000005</v>
      </c>
      <c r="EL62" s="61">
        <v>3138635</v>
      </c>
      <c r="EM62" s="61">
        <v>2994669</v>
      </c>
      <c r="EN62" s="61">
        <v>1850982</v>
      </c>
      <c r="EO62" s="61">
        <v>1827276</v>
      </c>
      <c r="EP62" s="61">
        <v>1073706.9999999998</v>
      </c>
      <c r="EQ62" s="61">
        <v>1737799.6666666667</v>
      </c>
      <c r="ER62" s="61"/>
      <c r="ES62" s="61"/>
      <c r="ET62" s="61"/>
      <c r="EU62" s="61"/>
      <c r="EV62" s="61"/>
      <c r="EW62" s="61"/>
      <c r="EX62" s="61"/>
      <c r="EY62" s="61">
        <v>5485591</v>
      </c>
      <c r="EZ62" s="61">
        <v>5175616</v>
      </c>
      <c r="FA62" s="61">
        <v>5956500</v>
      </c>
      <c r="FB62" s="61">
        <v>6628092</v>
      </c>
      <c r="FC62" s="61">
        <v>5377612</v>
      </c>
      <c r="FD62" s="61">
        <v>1213040</v>
      </c>
      <c r="FE62" s="61">
        <v>1150438.666666667</v>
      </c>
      <c r="FF62" s="61">
        <v>2319091.5</v>
      </c>
      <c r="FG62" s="61"/>
      <c r="FH62" s="168"/>
      <c r="FI62" s="168"/>
      <c r="FJ62" s="61"/>
      <c r="FK62" s="61"/>
      <c r="FL62" s="61"/>
      <c r="FM62" s="61"/>
      <c r="FN62" s="61">
        <v>5273829</v>
      </c>
      <c r="FO62" s="61">
        <v>4233438</v>
      </c>
      <c r="FP62" s="61">
        <v>5875331</v>
      </c>
      <c r="FQ62" s="61">
        <v>6083605</v>
      </c>
      <c r="FR62" s="61">
        <v>5266763</v>
      </c>
      <c r="FS62" s="61">
        <v>3455188.8330000001</v>
      </c>
      <c r="FT62" s="61">
        <v>2406400.833333333</v>
      </c>
      <c r="FU62" s="61">
        <v>1978201.8333333337</v>
      </c>
      <c r="FV62" s="61"/>
      <c r="FW62" s="61"/>
      <c r="FX62" s="61"/>
      <c r="FY62" s="61"/>
      <c r="FZ62" s="61"/>
      <c r="GA62" s="61"/>
      <c r="GB62" s="61"/>
      <c r="GC62" s="61">
        <v>3848812</v>
      </c>
      <c r="GD62" s="61">
        <v>9698284</v>
      </c>
      <c r="GE62" s="61">
        <v>9384131</v>
      </c>
      <c r="GF62" s="61">
        <v>8485116</v>
      </c>
      <c r="GG62" s="61">
        <v>7531133</v>
      </c>
      <c r="GH62" s="61">
        <v>4107067.1666666665</v>
      </c>
      <c r="GI62" s="61">
        <v>1706824.333333334</v>
      </c>
      <c r="GJ62" s="61">
        <v>3152428</v>
      </c>
      <c r="GK62" s="61"/>
      <c r="GL62" s="61">
        <f t="shared" si="19"/>
        <v>5308094.625</v>
      </c>
      <c r="GM62" s="61">
        <f>AVERAGE(AC62:AJ62)</f>
        <v>4636444.229166667</v>
      </c>
      <c r="GN62" s="61">
        <f>AVERAGE(AS62:AZ62)</f>
        <v>3824548.854166667</v>
      </c>
      <c r="GO62" s="61">
        <f>AVERAGE(BI62:BP62)</f>
        <v>3087938.0833333335</v>
      </c>
      <c r="GP62" s="61">
        <f>AVERAGE(BY62:CF62)</f>
        <v>2878346.4791666665</v>
      </c>
      <c r="GQ62" s="61">
        <f>AVERAGE(CN62:CV62)</f>
        <v>2399569.8333333335</v>
      </c>
      <c r="GR62" s="61">
        <f>AVERAGE(DD62:DL62)</f>
        <v>2181257.5185185182</v>
      </c>
      <c r="GS62" s="61">
        <f>AVERAGE(DT62:EB62)</f>
        <v>2254594.388888889</v>
      </c>
      <c r="GT62" s="61">
        <f>AVERAGE(EJ62:EQ62)</f>
        <v>2401117.4583333335</v>
      </c>
      <c r="GU62" s="61">
        <f>AVERAGE(EY62:FF62)</f>
        <v>4163247.6458333335</v>
      </c>
      <c r="GV62" s="61">
        <f>AVERAGE(FN62:FU62)</f>
        <v>4321594.6874583336</v>
      </c>
      <c r="GW62" s="61">
        <f>AVERAGE(GC62:GJ62)</f>
        <v>5989224.4375</v>
      </c>
      <c r="GX62" t="s">
        <v>846</v>
      </c>
      <c r="GY62" s="3" t="s">
        <v>347</v>
      </c>
    </row>
    <row r="63" spans="2:207">
      <c r="D63" s="3" t="s">
        <v>348</v>
      </c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>
        <v>1664197</v>
      </c>
      <c r="R63" s="61">
        <v>1966640.8333333335</v>
      </c>
      <c r="S63" s="61">
        <v>860102</v>
      </c>
      <c r="T63" s="61">
        <v>1943813.5000000002</v>
      </c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>
        <v>1281785</v>
      </c>
      <c r="AH63" s="61">
        <v>1801483.3333333333</v>
      </c>
      <c r="AI63" s="61">
        <v>1423564</v>
      </c>
      <c r="AJ63" s="61">
        <v>1462047.6666666665</v>
      </c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>
        <v>1402434</v>
      </c>
      <c r="AX63" s="61">
        <v>1259349.1666666667</v>
      </c>
      <c r="AY63" s="61">
        <v>1545162.6666666667</v>
      </c>
      <c r="AZ63" s="61">
        <v>1411360.333333333</v>
      </c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>
        <v>902901</v>
      </c>
      <c r="BN63" s="61">
        <v>949200.00000000023</v>
      </c>
      <c r="BO63" s="61">
        <v>457171.33333333308</v>
      </c>
      <c r="BP63" s="61">
        <v>953572.00000000012</v>
      </c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>
        <v>969386</v>
      </c>
      <c r="CD63" s="61">
        <v>783903.99999999988</v>
      </c>
      <c r="CE63" s="61">
        <v>747375.5</v>
      </c>
      <c r="CF63" s="61">
        <v>721512</v>
      </c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>
        <v>926861</v>
      </c>
      <c r="CT63" s="61">
        <v>633430.16666666651</v>
      </c>
      <c r="CU63" s="61">
        <v>789774.33333333337</v>
      </c>
      <c r="CV63" s="61">
        <v>456379</v>
      </c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1">
        <v>874344</v>
      </c>
      <c r="DJ63" s="61">
        <v>564653.99999999988</v>
      </c>
      <c r="DK63" s="61">
        <v>799521.5</v>
      </c>
      <c r="DL63" s="61">
        <v>447203.66666666669</v>
      </c>
      <c r="DM63" s="61"/>
      <c r="DN63" s="61"/>
      <c r="DO63" s="61"/>
      <c r="DP63" s="61"/>
      <c r="DQ63" s="61"/>
      <c r="DR63" s="61"/>
      <c r="DS63" s="61"/>
      <c r="DT63" s="61"/>
      <c r="DU63" s="61"/>
      <c r="DV63" s="61"/>
      <c r="DW63" s="61"/>
      <c r="DX63" s="61"/>
      <c r="DY63" s="61">
        <v>671052</v>
      </c>
      <c r="DZ63" s="61">
        <v>725591.5</v>
      </c>
      <c r="EA63" s="61">
        <v>565002</v>
      </c>
      <c r="EB63" s="61">
        <v>577036.66666666663</v>
      </c>
      <c r="EC63" s="61"/>
      <c r="ED63" s="61"/>
      <c r="EE63" s="61"/>
      <c r="EF63" s="61"/>
      <c r="EG63" s="61"/>
      <c r="EH63" s="61"/>
      <c r="EI63" s="61"/>
      <c r="EJ63" s="61"/>
      <c r="EK63" s="61"/>
      <c r="EL63" s="61"/>
      <c r="EM63" s="61"/>
      <c r="EN63" s="61"/>
      <c r="EO63" s="61">
        <v>975701</v>
      </c>
      <c r="EP63" s="61">
        <v>605680.99999999988</v>
      </c>
      <c r="EQ63" s="61">
        <v>846526</v>
      </c>
      <c r="ER63" s="61"/>
      <c r="ES63" s="61"/>
      <c r="ET63" s="61"/>
      <c r="EU63" s="61"/>
      <c r="EV63" s="61"/>
      <c r="EW63" s="61"/>
      <c r="EX63" s="61"/>
      <c r="EY63" s="61"/>
      <c r="EZ63" s="61"/>
      <c r="FA63" s="61"/>
      <c r="FB63" s="61"/>
      <c r="FC63" s="61"/>
      <c r="FD63" s="61">
        <v>706453</v>
      </c>
      <c r="FE63" s="61">
        <v>672066.66666666663</v>
      </c>
      <c r="FF63" s="61">
        <v>1206630</v>
      </c>
      <c r="FG63" s="61"/>
      <c r="FH63" s="168"/>
      <c r="FI63" s="168"/>
      <c r="FJ63" s="61"/>
      <c r="FK63" s="61"/>
      <c r="FL63" s="61"/>
      <c r="FM63" s="61"/>
      <c r="FN63" s="61"/>
      <c r="FO63" s="61"/>
      <c r="FP63" s="61"/>
      <c r="FQ63" s="61"/>
      <c r="FR63" s="61"/>
      <c r="FS63" s="61">
        <v>1788786.5</v>
      </c>
      <c r="FT63" s="61">
        <v>1344815.8333333333</v>
      </c>
      <c r="FU63" s="61">
        <v>999814.5</v>
      </c>
      <c r="FV63" s="61"/>
      <c r="FW63" s="61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1">
        <v>2046701.8333333333</v>
      </c>
      <c r="GI63" s="61">
        <v>995400.50000000047</v>
      </c>
      <c r="GJ63" s="61">
        <v>1606934</v>
      </c>
      <c r="GK63" s="61"/>
      <c r="GL63" s="61">
        <f t="shared" si="19"/>
        <v>1608688.3333333335</v>
      </c>
      <c r="GM63" s="61">
        <f>AVERAGE(AC63:AJ63)</f>
        <v>1492220</v>
      </c>
      <c r="GN63" s="61">
        <f>AVERAGE(AS63:AZ63)</f>
        <v>1404576.5416666667</v>
      </c>
      <c r="GO63" s="61">
        <f>AVERAGE(BI63:BP63)</f>
        <v>815711.08333333337</v>
      </c>
      <c r="GP63" s="61">
        <f>AVERAGE(BY63:CF63)</f>
        <v>805544.375</v>
      </c>
      <c r="GQ63" s="61">
        <f>AVERAGE(CN63:CV63)</f>
        <v>701611.125</v>
      </c>
      <c r="GR63" s="61">
        <f>AVERAGE(DD63:DL63)</f>
        <v>671430.79166666663</v>
      </c>
      <c r="GS63" s="61">
        <f>AVERAGE(DT63:EB63)</f>
        <v>634670.54166666663</v>
      </c>
      <c r="GT63" s="61">
        <f>AVERAGE(EJ63:EQ63)</f>
        <v>809302.66666666663</v>
      </c>
      <c r="GU63" s="61">
        <f>AVERAGE(EY63:FF63)</f>
        <v>861716.5555555555</v>
      </c>
      <c r="GV63" s="61">
        <f>AVERAGE(FN63:FU63)</f>
        <v>1377805.611111111</v>
      </c>
      <c r="GW63" s="61">
        <f>AVERAGE(GC63:GJ63)</f>
        <v>1549678.777777778</v>
      </c>
      <c r="GX63" t="s">
        <v>846</v>
      </c>
      <c r="GY63" s="3" t="s">
        <v>348</v>
      </c>
    </row>
    <row r="64" spans="2:207">
      <c r="C64" t="s">
        <v>797</v>
      </c>
      <c r="D64" t="s">
        <v>296</v>
      </c>
      <c r="E64" s="61">
        <v>0</v>
      </c>
      <c r="F64" s="61">
        <v>0</v>
      </c>
      <c r="G64" s="61">
        <v>0</v>
      </c>
      <c r="H64" s="61">
        <v>0</v>
      </c>
      <c r="I64" s="61">
        <v>0</v>
      </c>
      <c r="J64" s="61">
        <v>0</v>
      </c>
      <c r="K64" s="61">
        <v>0</v>
      </c>
      <c r="L64" s="61">
        <v>0</v>
      </c>
      <c r="M64" s="61">
        <v>2055284.9999999998</v>
      </c>
      <c r="N64" s="61">
        <v>2616652</v>
      </c>
      <c r="O64" s="61">
        <v>2148021</v>
      </c>
      <c r="P64" s="61">
        <v>3235362</v>
      </c>
      <c r="Q64" s="61">
        <v>3012201</v>
      </c>
      <c r="R64" s="61">
        <v>3467131</v>
      </c>
      <c r="S64" s="61">
        <v>1549580</v>
      </c>
      <c r="T64" s="61">
        <v>2881677</v>
      </c>
      <c r="U64" s="61">
        <v>0</v>
      </c>
      <c r="V64" s="61">
        <v>0</v>
      </c>
      <c r="W64" s="61">
        <v>0</v>
      </c>
      <c r="X64" s="61">
        <v>0</v>
      </c>
      <c r="Y64" s="61">
        <v>0</v>
      </c>
      <c r="Z64" s="61">
        <v>0</v>
      </c>
      <c r="AA64" s="61">
        <v>0</v>
      </c>
      <c r="AB64" s="61">
        <v>0</v>
      </c>
      <c r="AC64" s="61">
        <v>1844767</v>
      </c>
      <c r="AD64" s="61">
        <v>1755856</v>
      </c>
      <c r="AE64" s="61">
        <v>2023381</v>
      </c>
      <c r="AF64" s="61">
        <v>3380000</v>
      </c>
      <c r="AG64" s="61">
        <v>2130223</v>
      </c>
      <c r="AH64" s="61">
        <v>2872835</v>
      </c>
      <c r="AI64" s="61">
        <v>2241750</v>
      </c>
      <c r="AJ64" s="61">
        <v>2007824</v>
      </c>
      <c r="AK64" s="61">
        <v>0</v>
      </c>
      <c r="AL64" s="61">
        <v>0</v>
      </c>
      <c r="AM64" s="61">
        <v>0</v>
      </c>
      <c r="AN64" s="61">
        <v>0</v>
      </c>
      <c r="AO64" s="61">
        <v>0</v>
      </c>
      <c r="AP64" s="61">
        <v>0</v>
      </c>
      <c r="AQ64" s="61">
        <v>0</v>
      </c>
      <c r="AR64" s="61">
        <v>0</v>
      </c>
      <c r="AS64" s="61">
        <v>1533034</v>
      </c>
      <c r="AT64" s="61">
        <v>1190016</v>
      </c>
      <c r="AU64" s="61">
        <v>1882868</v>
      </c>
      <c r="AV64" s="61">
        <v>1416199</v>
      </c>
      <c r="AW64" s="61">
        <v>2374810</v>
      </c>
      <c r="AX64" s="61">
        <v>2166033</v>
      </c>
      <c r="AY64" s="61">
        <v>2380860</v>
      </c>
      <c r="AZ64" s="61">
        <v>2037420</v>
      </c>
      <c r="BA64" s="61">
        <v>0</v>
      </c>
      <c r="BB64" s="61">
        <v>0</v>
      </c>
      <c r="BC64" s="61">
        <v>0</v>
      </c>
      <c r="BD64" s="61">
        <v>0</v>
      </c>
      <c r="BE64" s="61">
        <v>0</v>
      </c>
      <c r="BF64" s="61">
        <v>0</v>
      </c>
      <c r="BG64" s="61">
        <v>0</v>
      </c>
      <c r="BH64" s="61">
        <v>0</v>
      </c>
      <c r="BI64" s="61">
        <v>989175</v>
      </c>
      <c r="BJ64" s="61">
        <v>2112777</v>
      </c>
      <c r="BK64" s="61">
        <v>1859020</v>
      </c>
      <c r="BL64" s="61">
        <v>1274063</v>
      </c>
      <c r="BM64" s="61">
        <v>1365347</v>
      </c>
      <c r="BN64" s="61">
        <v>1519793</v>
      </c>
      <c r="BO64" s="61">
        <v>862400</v>
      </c>
      <c r="BP64" s="61">
        <v>1488548</v>
      </c>
      <c r="BQ64" s="61">
        <v>0</v>
      </c>
      <c r="BR64" s="61">
        <v>0</v>
      </c>
      <c r="BS64" s="61">
        <v>0</v>
      </c>
      <c r="BT64" s="61">
        <v>0</v>
      </c>
      <c r="BU64" s="61">
        <v>0</v>
      </c>
      <c r="BV64" s="61">
        <v>0</v>
      </c>
      <c r="BW64" s="61">
        <v>0</v>
      </c>
      <c r="BX64" s="61">
        <v>0</v>
      </c>
      <c r="BY64" s="61">
        <v>1577276</v>
      </c>
      <c r="BZ64" s="61">
        <v>1306972</v>
      </c>
      <c r="CA64" s="61">
        <v>1736418</v>
      </c>
      <c r="CB64" s="61">
        <v>1736313</v>
      </c>
      <c r="CC64" s="61">
        <v>1808257</v>
      </c>
      <c r="CD64" s="61">
        <v>1338422</v>
      </c>
      <c r="CE64" s="61">
        <v>974946</v>
      </c>
      <c r="CF64" s="61">
        <v>793097</v>
      </c>
      <c r="CG64" s="61">
        <v>0</v>
      </c>
      <c r="CH64" s="61">
        <v>0</v>
      </c>
      <c r="CI64" s="61">
        <v>0</v>
      </c>
      <c r="CJ64" s="61">
        <v>0</v>
      </c>
      <c r="CK64" s="61">
        <v>0</v>
      </c>
      <c r="CL64" s="61">
        <v>0</v>
      </c>
      <c r="CM64" s="61">
        <v>0</v>
      </c>
      <c r="CN64" s="61">
        <v>0</v>
      </c>
      <c r="CO64" s="61">
        <v>1533343</v>
      </c>
      <c r="CP64" s="61">
        <v>1646001</v>
      </c>
      <c r="CQ64" s="61">
        <v>1466525</v>
      </c>
      <c r="CR64" s="61">
        <v>758466</v>
      </c>
      <c r="CS64" s="61">
        <v>1542871</v>
      </c>
      <c r="CT64" s="61">
        <v>1114875</v>
      </c>
      <c r="CU64" s="61">
        <v>1399100</v>
      </c>
      <c r="CV64" s="61">
        <v>705284</v>
      </c>
      <c r="CW64" s="61">
        <v>0</v>
      </c>
      <c r="CX64" s="61">
        <v>0</v>
      </c>
      <c r="CY64" s="61">
        <v>0</v>
      </c>
      <c r="CZ64" s="61">
        <v>0</v>
      </c>
      <c r="DA64" s="61">
        <v>0</v>
      </c>
      <c r="DB64" s="61">
        <v>0</v>
      </c>
      <c r="DC64" s="61">
        <v>0</v>
      </c>
      <c r="DD64" s="61">
        <v>0</v>
      </c>
      <c r="DE64" s="61">
        <v>1214880</v>
      </c>
      <c r="DF64" s="61">
        <v>1443245</v>
      </c>
      <c r="DG64" s="61">
        <v>990251</v>
      </c>
      <c r="DH64" s="61">
        <v>1030861.0000000001</v>
      </c>
      <c r="DI64" s="61">
        <v>1734831</v>
      </c>
      <c r="DJ64" s="61">
        <v>1120980</v>
      </c>
      <c r="DK64" s="61">
        <v>1260576</v>
      </c>
      <c r="DL64" s="61">
        <v>578524</v>
      </c>
      <c r="DM64" s="61">
        <v>0</v>
      </c>
      <c r="DN64" s="61">
        <v>0</v>
      </c>
      <c r="DO64" s="61">
        <v>0</v>
      </c>
      <c r="DP64" s="61">
        <v>0</v>
      </c>
      <c r="DQ64" s="61">
        <v>0</v>
      </c>
      <c r="DR64" s="61">
        <v>0</v>
      </c>
      <c r="DS64" s="61">
        <v>0</v>
      </c>
      <c r="DT64" s="61">
        <v>57780</v>
      </c>
      <c r="DU64" s="61">
        <v>1250024</v>
      </c>
      <c r="DV64" s="61">
        <v>1399518</v>
      </c>
      <c r="DW64" s="61">
        <v>973460</v>
      </c>
      <c r="DX64" s="61">
        <v>1377671</v>
      </c>
      <c r="DY64" s="61">
        <v>1002116</v>
      </c>
      <c r="DZ64" s="61">
        <v>1303730</v>
      </c>
      <c r="EA64" s="61">
        <v>900113</v>
      </c>
      <c r="EB64" s="61">
        <v>982569</v>
      </c>
      <c r="EC64" s="61">
        <v>0</v>
      </c>
      <c r="ED64" s="61">
        <v>0</v>
      </c>
      <c r="EE64" s="61">
        <v>0</v>
      </c>
      <c r="EF64" s="61">
        <v>0</v>
      </c>
      <c r="EG64" s="61">
        <v>0</v>
      </c>
      <c r="EH64" s="61">
        <v>0</v>
      </c>
      <c r="EI64" s="61">
        <v>0</v>
      </c>
      <c r="EJ64" s="61">
        <v>775950</v>
      </c>
      <c r="EK64" s="61">
        <v>1664485</v>
      </c>
      <c r="EL64" s="61">
        <v>1262093</v>
      </c>
      <c r="EM64" s="61">
        <v>1182802</v>
      </c>
      <c r="EN64" s="61">
        <v>634081</v>
      </c>
      <c r="EO64" s="61">
        <v>1484713</v>
      </c>
      <c r="EP64" s="61">
        <v>1046800</v>
      </c>
      <c r="EQ64" s="61">
        <v>1242848.17</v>
      </c>
      <c r="ER64" s="61">
        <v>0</v>
      </c>
      <c r="ES64" s="61">
        <v>0</v>
      </c>
      <c r="ET64" s="61">
        <v>0</v>
      </c>
      <c r="EU64" s="61">
        <v>0</v>
      </c>
      <c r="EV64" s="61">
        <v>0</v>
      </c>
      <c r="EW64" s="61">
        <v>0</v>
      </c>
      <c r="EX64" s="61">
        <v>0</v>
      </c>
      <c r="EY64" s="61">
        <v>1806893</v>
      </c>
      <c r="EZ64" s="61">
        <v>2400220</v>
      </c>
      <c r="FA64" s="61">
        <v>1888269</v>
      </c>
      <c r="FB64" s="61">
        <v>2562779</v>
      </c>
      <c r="FC64" s="61">
        <v>1879317</v>
      </c>
      <c r="FD64" s="61">
        <v>1245831</v>
      </c>
      <c r="FE64" s="61">
        <v>1179320</v>
      </c>
      <c r="FF64" s="61">
        <v>1951758</v>
      </c>
      <c r="FG64" s="61">
        <v>0</v>
      </c>
      <c r="FH64" s="168">
        <v>0</v>
      </c>
      <c r="FI64" s="168">
        <v>0</v>
      </c>
      <c r="FJ64" s="61">
        <v>0</v>
      </c>
      <c r="FK64" s="61">
        <v>0</v>
      </c>
      <c r="FL64" s="61">
        <v>0</v>
      </c>
      <c r="FM64" s="61">
        <v>0</v>
      </c>
      <c r="FN64" s="61">
        <v>1849124</v>
      </c>
      <c r="FO64" s="61">
        <v>1748876</v>
      </c>
      <c r="FP64" s="61">
        <v>2003760</v>
      </c>
      <c r="FQ64" s="61">
        <v>2139163</v>
      </c>
      <c r="FR64" s="61">
        <v>1809384</v>
      </c>
      <c r="FS64" s="61">
        <v>3236916</v>
      </c>
      <c r="FT64" s="61">
        <v>1929980</v>
      </c>
      <c r="FU64" s="61">
        <v>1690846</v>
      </c>
      <c r="FV64" s="61">
        <v>0</v>
      </c>
      <c r="FW64" s="61">
        <v>0</v>
      </c>
      <c r="FX64" s="61">
        <v>0</v>
      </c>
      <c r="FY64" s="61">
        <v>0</v>
      </c>
      <c r="FZ64" s="61">
        <v>0</v>
      </c>
      <c r="GA64" s="61">
        <v>0</v>
      </c>
      <c r="GB64" s="61">
        <v>0</v>
      </c>
      <c r="GC64" s="61">
        <v>1643830</v>
      </c>
      <c r="GD64" s="61">
        <v>3908795</v>
      </c>
      <c r="GE64" s="61">
        <v>3354416</v>
      </c>
      <c r="GF64" s="61">
        <v>2859702</v>
      </c>
      <c r="GG64" s="61">
        <v>2937191</v>
      </c>
      <c r="GH64" s="61">
        <v>3092074.3330000001</v>
      </c>
      <c r="GI64" s="61">
        <v>1360700</v>
      </c>
      <c r="GJ64" s="61">
        <v>2710914</v>
      </c>
      <c r="GK64" s="61"/>
    </row>
    <row r="65" spans="2:207" s="277" customFormat="1">
      <c r="D65" s="277" t="s">
        <v>297</v>
      </c>
      <c r="E65" s="278">
        <v>0</v>
      </c>
      <c r="F65" s="278">
        <v>0</v>
      </c>
      <c r="G65" s="278">
        <v>0</v>
      </c>
      <c r="H65" s="278">
        <v>0</v>
      </c>
      <c r="I65" s="278">
        <v>0</v>
      </c>
      <c r="J65" s="278">
        <v>0</v>
      </c>
      <c r="K65" s="278">
        <v>0</v>
      </c>
      <c r="L65" s="278">
        <v>0</v>
      </c>
      <c r="M65" s="278">
        <v>2450502</v>
      </c>
      <c r="N65" s="278">
        <v>2660555</v>
      </c>
      <c r="O65" s="278">
        <v>1980988</v>
      </c>
      <c r="P65" s="278">
        <v>3367060</v>
      </c>
      <c r="Q65" s="278">
        <v>3067447</v>
      </c>
      <c r="R65" s="278">
        <v>3470542</v>
      </c>
      <c r="S65" s="278">
        <v>1891170</v>
      </c>
      <c r="T65" s="278">
        <v>3665225</v>
      </c>
      <c r="U65" s="278">
        <v>0</v>
      </c>
      <c r="V65" s="278">
        <v>0</v>
      </c>
      <c r="W65" s="278">
        <v>0</v>
      </c>
      <c r="X65" s="278">
        <v>0</v>
      </c>
      <c r="Y65" s="278">
        <v>0</v>
      </c>
      <c r="Z65" s="278">
        <v>0</v>
      </c>
      <c r="AA65" s="278">
        <v>0</v>
      </c>
      <c r="AB65" s="278">
        <v>0</v>
      </c>
      <c r="AC65" s="278">
        <v>1694658</v>
      </c>
      <c r="AD65" s="278">
        <v>1673429</v>
      </c>
      <c r="AE65" s="278">
        <v>2480564</v>
      </c>
      <c r="AF65" s="278">
        <v>4007545</v>
      </c>
      <c r="AG65" s="278">
        <v>2642420</v>
      </c>
      <c r="AH65" s="278">
        <v>3674391</v>
      </c>
      <c r="AI65" s="278">
        <v>2607370</v>
      </c>
      <c r="AJ65" s="278">
        <v>2197344</v>
      </c>
      <c r="AK65" s="278">
        <v>0</v>
      </c>
      <c r="AL65" s="278">
        <v>0</v>
      </c>
      <c r="AM65" s="278">
        <v>0</v>
      </c>
      <c r="AN65" s="278">
        <v>0</v>
      </c>
      <c r="AO65" s="278">
        <v>0</v>
      </c>
      <c r="AP65" s="278">
        <v>0</v>
      </c>
      <c r="AQ65" s="278">
        <v>0</v>
      </c>
      <c r="AR65" s="278">
        <v>0</v>
      </c>
      <c r="AS65" s="278">
        <v>2552926</v>
      </c>
      <c r="AT65" s="278">
        <v>1768019</v>
      </c>
      <c r="AU65" s="278">
        <v>1913913</v>
      </c>
      <c r="AV65" s="278">
        <v>1763402</v>
      </c>
      <c r="AW65" s="278">
        <v>2472169</v>
      </c>
      <c r="AX65" s="278">
        <v>2921424</v>
      </c>
      <c r="AY65" s="278">
        <v>2653010</v>
      </c>
      <c r="AZ65" s="278">
        <v>2575265</v>
      </c>
      <c r="BA65" s="278">
        <v>0</v>
      </c>
      <c r="BB65" s="278">
        <v>0</v>
      </c>
      <c r="BC65" s="278">
        <v>0</v>
      </c>
      <c r="BD65" s="278">
        <v>0</v>
      </c>
      <c r="BE65" s="278">
        <v>0</v>
      </c>
      <c r="BF65" s="278">
        <v>0</v>
      </c>
      <c r="BG65" s="278">
        <v>0</v>
      </c>
      <c r="BH65" s="278">
        <v>0</v>
      </c>
      <c r="BI65" s="278">
        <v>1238599</v>
      </c>
      <c r="BJ65" s="278">
        <v>2865283</v>
      </c>
      <c r="BK65" s="278">
        <v>2269862</v>
      </c>
      <c r="BL65" s="278">
        <v>1358004</v>
      </c>
      <c r="BM65" s="278">
        <v>1977565</v>
      </c>
      <c r="BN65" s="278">
        <v>1891627</v>
      </c>
      <c r="BO65" s="278">
        <v>1227770</v>
      </c>
      <c r="BP65" s="278">
        <v>1522009</v>
      </c>
      <c r="BQ65" s="278">
        <v>0</v>
      </c>
      <c r="BR65" s="278">
        <v>0</v>
      </c>
      <c r="BS65" s="278">
        <v>0</v>
      </c>
      <c r="BT65" s="278">
        <v>0</v>
      </c>
      <c r="BU65" s="278">
        <v>0</v>
      </c>
      <c r="BV65" s="278">
        <v>0</v>
      </c>
      <c r="BW65" s="278">
        <v>0</v>
      </c>
      <c r="BX65" s="278">
        <v>0</v>
      </c>
      <c r="BY65" s="278">
        <v>1407553</v>
      </c>
      <c r="BZ65" s="278">
        <v>1736921</v>
      </c>
      <c r="CA65" s="278">
        <v>1809511</v>
      </c>
      <c r="CB65" s="278">
        <v>2368150</v>
      </c>
      <c r="CC65" s="278">
        <v>1899947</v>
      </c>
      <c r="CD65" s="278">
        <v>1578846</v>
      </c>
      <c r="CE65" s="278">
        <v>1381137</v>
      </c>
      <c r="CF65" s="278">
        <v>1149168</v>
      </c>
      <c r="CG65" s="278">
        <v>0</v>
      </c>
      <c r="CH65" s="278">
        <v>0</v>
      </c>
      <c r="CI65" s="278">
        <v>0</v>
      </c>
      <c r="CJ65" s="278">
        <v>0</v>
      </c>
      <c r="CK65" s="278">
        <v>0</v>
      </c>
      <c r="CL65" s="278">
        <v>0</v>
      </c>
      <c r="CM65" s="278">
        <v>0</v>
      </c>
      <c r="CN65" s="278">
        <v>0</v>
      </c>
      <c r="CO65" s="278">
        <v>1583020</v>
      </c>
      <c r="CP65" s="278">
        <v>1874917</v>
      </c>
      <c r="CQ65" s="278">
        <v>1762964</v>
      </c>
      <c r="CR65" s="278">
        <v>1333310</v>
      </c>
      <c r="CS65" s="278">
        <v>1647830</v>
      </c>
      <c r="CT65" s="278">
        <v>1072150</v>
      </c>
      <c r="CU65" s="278">
        <v>1227910</v>
      </c>
      <c r="CV65" s="278">
        <v>928632</v>
      </c>
      <c r="CW65" s="278">
        <v>0</v>
      </c>
      <c r="CX65" s="278">
        <v>0</v>
      </c>
      <c r="CY65" s="278">
        <v>0</v>
      </c>
      <c r="CZ65" s="278">
        <v>0</v>
      </c>
      <c r="DA65" s="278">
        <v>0</v>
      </c>
      <c r="DB65" s="278">
        <v>0</v>
      </c>
      <c r="DC65" s="278">
        <v>0</v>
      </c>
      <c r="DD65" s="278">
        <v>0</v>
      </c>
      <c r="DE65" s="278">
        <v>1841255</v>
      </c>
      <c r="DF65" s="278">
        <v>1591821</v>
      </c>
      <c r="DG65" s="278">
        <v>1535907</v>
      </c>
      <c r="DH65" s="278">
        <v>1310388</v>
      </c>
      <c r="DI65" s="278">
        <v>1731840</v>
      </c>
      <c r="DJ65" s="278">
        <v>1231930</v>
      </c>
      <c r="DK65" s="278">
        <v>1576450.5</v>
      </c>
      <c r="DL65" s="278">
        <v>900492</v>
      </c>
      <c r="DM65" s="278">
        <v>0</v>
      </c>
      <c r="DN65" s="278">
        <v>0</v>
      </c>
      <c r="DO65" s="278">
        <v>0</v>
      </c>
      <c r="DP65" s="278">
        <v>0</v>
      </c>
      <c r="DQ65" s="278">
        <v>0</v>
      </c>
      <c r="DR65" s="278">
        <v>0</v>
      </c>
      <c r="DS65" s="278">
        <v>0</v>
      </c>
      <c r="DT65" s="278">
        <v>490550</v>
      </c>
      <c r="DU65" s="278">
        <v>1546706</v>
      </c>
      <c r="DV65" s="278">
        <v>1774032</v>
      </c>
      <c r="DW65" s="278">
        <v>1061950</v>
      </c>
      <c r="DX65" s="278">
        <v>1400964</v>
      </c>
      <c r="DY65" s="278">
        <v>1429696</v>
      </c>
      <c r="DZ65" s="278">
        <v>1304670</v>
      </c>
      <c r="EA65" s="278">
        <v>1248493</v>
      </c>
      <c r="EB65" s="278">
        <v>1121282</v>
      </c>
      <c r="EC65" s="278">
        <v>0</v>
      </c>
      <c r="ED65" s="278">
        <v>0</v>
      </c>
      <c r="EE65" s="278">
        <v>0</v>
      </c>
      <c r="EF65" s="278">
        <v>0</v>
      </c>
      <c r="EG65" s="278">
        <v>0</v>
      </c>
      <c r="EH65" s="278">
        <v>0</v>
      </c>
      <c r="EI65" s="278">
        <v>0</v>
      </c>
      <c r="EJ65" s="278">
        <v>886235</v>
      </c>
      <c r="EK65" s="278">
        <v>1716354</v>
      </c>
      <c r="EL65" s="278">
        <v>1727177</v>
      </c>
      <c r="EM65" s="278">
        <v>1541377</v>
      </c>
      <c r="EN65" s="278">
        <v>949659</v>
      </c>
      <c r="EO65" s="278">
        <v>2360111</v>
      </c>
      <c r="EP65" s="278">
        <v>952700</v>
      </c>
      <c r="EQ65" s="278">
        <v>1660068.17</v>
      </c>
      <c r="ER65" s="278">
        <v>0</v>
      </c>
      <c r="ES65" s="278">
        <v>0</v>
      </c>
      <c r="ET65" s="278">
        <v>0</v>
      </c>
      <c r="EU65" s="278">
        <v>0</v>
      </c>
      <c r="EV65" s="278">
        <v>0</v>
      </c>
      <c r="EW65" s="278">
        <v>0</v>
      </c>
      <c r="EX65" s="278">
        <v>0</v>
      </c>
      <c r="EY65" s="278">
        <v>1650447</v>
      </c>
      <c r="EZ65" s="278">
        <v>1714383</v>
      </c>
      <c r="FA65" s="278">
        <v>2319108</v>
      </c>
      <c r="FB65" s="278">
        <v>2292778</v>
      </c>
      <c r="FC65" s="278">
        <v>1597327</v>
      </c>
      <c r="FD65" s="278">
        <v>1415597</v>
      </c>
      <c r="FE65" s="278">
        <v>1662830</v>
      </c>
      <c r="FF65" s="278">
        <v>1795349</v>
      </c>
      <c r="FG65" s="278">
        <v>0</v>
      </c>
      <c r="FH65" s="279">
        <v>0</v>
      </c>
      <c r="FI65" s="279">
        <v>0</v>
      </c>
      <c r="FJ65" s="278">
        <v>0</v>
      </c>
      <c r="FK65" s="278">
        <v>0</v>
      </c>
      <c r="FL65" s="278">
        <v>0</v>
      </c>
      <c r="FM65" s="278">
        <v>0</v>
      </c>
      <c r="FN65" s="278">
        <v>1817542</v>
      </c>
      <c r="FO65" s="278">
        <v>1334358</v>
      </c>
      <c r="FP65" s="278">
        <v>2153362</v>
      </c>
      <c r="FQ65" s="278">
        <v>3019620</v>
      </c>
      <c r="FR65" s="278">
        <v>1779440</v>
      </c>
      <c r="FS65" s="278">
        <v>3077268</v>
      </c>
      <c r="FT65" s="278">
        <v>2627140</v>
      </c>
      <c r="FU65" s="278">
        <v>2220201</v>
      </c>
      <c r="FV65" s="278">
        <v>0</v>
      </c>
      <c r="FW65" s="278">
        <v>0</v>
      </c>
      <c r="FX65" s="278">
        <v>0</v>
      </c>
      <c r="FY65" s="278">
        <v>0</v>
      </c>
      <c r="FZ65" s="278">
        <v>0</v>
      </c>
      <c r="GA65" s="278">
        <v>0</v>
      </c>
      <c r="GB65" s="278">
        <v>0</v>
      </c>
      <c r="GC65" s="278">
        <v>2414458</v>
      </c>
      <c r="GD65" s="278">
        <v>3917976</v>
      </c>
      <c r="GE65" s="278">
        <v>4225327</v>
      </c>
      <c r="GF65" s="278">
        <v>2837785</v>
      </c>
      <c r="GG65" s="278">
        <v>2641866</v>
      </c>
      <c r="GH65" s="278">
        <v>2769622.1669999999</v>
      </c>
      <c r="GI65" s="278">
        <v>1185000</v>
      </c>
      <c r="GJ65" s="278">
        <v>3284849</v>
      </c>
      <c r="GK65" s="278"/>
      <c r="GL65" s="275">
        <f>AVERAGE(M65:T65)</f>
        <v>2819186.125</v>
      </c>
      <c r="GM65" s="275">
        <f>AVERAGE(AC65:AJ65)</f>
        <v>2622215.125</v>
      </c>
      <c r="GN65" s="275">
        <f>AVERAGE(AS65:AZ65)</f>
        <v>2327516</v>
      </c>
      <c r="GO65" s="275">
        <f>AVERAGE(BI65:BP65)</f>
        <v>1793839.875</v>
      </c>
      <c r="GP65" s="275">
        <f>AVERAGE(BY65:CF65)</f>
        <v>1666404.125</v>
      </c>
      <c r="GQ65" s="275">
        <f>AVERAGE(CO65:CV65)</f>
        <v>1428841.625</v>
      </c>
      <c r="GR65" s="275">
        <f>AVERAGE(DE65:DL65)</f>
        <v>1465010.4375</v>
      </c>
      <c r="GS65" s="278">
        <f>AVERAGE(DU65:EB65)</f>
        <v>1360974.125</v>
      </c>
      <c r="GT65" s="278">
        <f>AVERAGE(EK65:EQ65)</f>
        <v>1558206.5957142857</v>
      </c>
      <c r="GU65" s="275">
        <f>AVERAGE(EY65:FF65)</f>
        <v>1805977.375</v>
      </c>
      <c r="GV65" s="275">
        <f>AVERAGE(FN65:FU65)</f>
        <v>2253616.375</v>
      </c>
      <c r="GW65" s="275">
        <f>AVERAGE(GC65:GJ65)</f>
        <v>2909610.3958749999</v>
      </c>
      <c r="GX65" s="277" t="s">
        <v>846</v>
      </c>
      <c r="GY65" s="277" t="s">
        <v>297</v>
      </c>
    </row>
    <row r="66" spans="2:207">
      <c r="D66" s="3" t="s">
        <v>349</v>
      </c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>
        <v>3268835</v>
      </c>
      <c r="R66" s="61">
        <v>3898359.1666666665</v>
      </c>
      <c r="S66" s="61">
        <v>1771103</v>
      </c>
      <c r="T66" s="61">
        <v>3525298.1666666665</v>
      </c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>
        <v>2535523</v>
      </c>
      <c r="AH66" s="61">
        <v>3525823.4999999995</v>
      </c>
      <c r="AI66" s="61">
        <v>2886822.166666667</v>
      </c>
      <c r="AJ66" s="61">
        <v>3048825.0000000005</v>
      </c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>
        <v>2912953</v>
      </c>
      <c r="AX66" s="61">
        <v>2611863.5</v>
      </c>
      <c r="AY66" s="61">
        <v>3017431.8333333335</v>
      </c>
      <c r="AZ66" s="61">
        <v>2939897.166666666</v>
      </c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>
        <v>1935846</v>
      </c>
      <c r="BN66" s="61">
        <v>1895354.8333333333</v>
      </c>
      <c r="BO66" s="61">
        <v>1082033.1666666663</v>
      </c>
      <c r="BP66" s="61">
        <v>2012610.0000000005</v>
      </c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>
        <v>1925753</v>
      </c>
      <c r="CD66" s="61">
        <v>1554481.3333333333</v>
      </c>
      <c r="CE66" s="61">
        <v>1577585.1666666667</v>
      </c>
      <c r="CF66" s="61">
        <v>1316938</v>
      </c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>
        <v>1826230</v>
      </c>
      <c r="CT66" s="61">
        <v>1150347.1669999999</v>
      </c>
      <c r="CU66" s="61">
        <v>1563860.333333333</v>
      </c>
      <c r="CV66" s="61">
        <v>1287675</v>
      </c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  <c r="DH66" s="61"/>
      <c r="DI66" s="61">
        <v>1653466</v>
      </c>
      <c r="DJ66" s="61">
        <v>1135505</v>
      </c>
      <c r="DK66" s="61">
        <v>1631150.5000000002</v>
      </c>
      <c r="DL66" s="61">
        <v>953416.33333333349</v>
      </c>
      <c r="DM66" s="61"/>
      <c r="DN66" s="61"/>
      <c r="DO66" s="61"/>
      <c r="DP66" s="61"/>
      <c r="DQ66" s="61"/>
      <c r="DR66" s="61"/>
      <c r="DS66" s="61"/>
      <c r="DT66" s="61"/>
      <c r="DU66" s="61"/>
      <c r="DV66" s="61"/>
      <c r="DW66" s="61"/>
      <c r="DX66" s="61"/>
      <c r="DY66" s="61">
        <v>1407064.8333333333</v>
      </c>
      <c r="DZ66" s="61">
        <v>1440909.9999999998</v>
      </c>
      <c r="EA66" s="61">
        <v>960456.99999999988</v>
      </c>
      <c r="EB66" s="61">
        <v>1245396.8333333333</v>
      </c>
      <c r="EC66" s="61"/>
      <c r="ED66" s="61"/>
      <c r="EE66" s="61"/>
      <c r="EF66" s="61"/>
      <c r="EG66" s="61"/>
      <c r="EH66" s="61"/>
      <c r="EI66" s="61"/>
      <c r="EJ66" s="61"/>
      <c r="EK66" s="61"/>
      <c r="EL66" s="61"/>
      <c r="EM66" s="61"/>
      <c r="EN66" s="61"/>
      <c r="EO66" s="61">
        <v>2037590</v>
      </c>
      <c r="EP66" s="61">
        <v>1156883.9999999995</v>
      </c>
      <c r="EQ66" s="61">
        <v>1607572.1666666667</v>
      </c>
      <c r="ER66" s="61"/>
      <c r="ES66" s="61"/>
      <c r="ET66" s="61"/>
      <c r="EU66" s="61"/>
      <c r="EV66" s="61"/>
      <c r="EW66" s="61"/>
      <c r="EX66" s="61"/>
      <c r="EY66" s="61"/>
      <c r="EZ66" s="61"/>
      <c r="FA66" s="61"/>
      <c r="FB66" s="61"/>
      <c r="FC66" s="61"/>
      <c r="FD66" s="61">
        <v>1497103</v>
      </c>
      <c r="FE66" s="61">
        <v>1485186.3333333333</v>
      </c>
      <c r="FF66" s="61">
        <v>2255751.3330000001</v>
      </c>
      <c r="FG66" s="61"/>
      <c r="FH66" s="168"/>
      <c r="FI66" s="168"/>
      <c r="FJ66" s="61"/>
      <c r="FK66" s="61"/>
      <c r="FL66" s="61"/>
      <c r="FM66" s="61"/>
      <c r="FN66" s="61"/>
      <c r="FO66" s="61"/>
      <c r="FP66" s="61"/>
      <c r="FQ66" s="61"/>
      <c r="FR66" s="61"/>
      <c r="FS66" s="61">
        <v>3412117.6669999999</v>
      </c>
      <c r="FT66" s="61">
        <v>2734473.666666667</v>
      </c>
      <c r="FU66" s="61">
        <v>1510145.5</v>
      </c>
      <c r="FV66" s="61"/>
      <c r="FW66" s="61"/>
      <c r="FX66" s="61"/>
      <c r="FY66" s="61"/>
      <c r="FZ66" s="61"/>
      <c r="GA66" s="61"/>
      <c r="GB66" s="61"/>
      <c r="GC66" s="61"/>
      <c r="GD66" s="61"/>
      <c r="GE66" s="61"/>
      <c r="GF66" s="61"/>
      <c r="GG66" s="61"/>
      <c r="GH66" s="61">
        <v>3796491.1666666665</v>
      </c>
      <c r="GI66" s="61">
        <v>1994421.0000000002</v>
      </c>
      <c r="GJ66" s="61">
        <v>2944363.0000000005</v>
      </c>
      <c r="GK66" s="61"/>
      <c r="GL66" s="61">
        <f>AVERAGE(Q66:T66)</f>
        <v>3115898.833333333</v>
      </c>
      <c r="GM66" s="61">
        <f>AVERAGE(AG66:AJ66)</f>
        <v>2999248.416666667</v>
      </c>
      <c r="GN66" s="61">
        <f>AVERAGE(AW66:AZ66)</f>
        <v>2870536.375</v>
      </c>
      <c r="GO66" s="61">
        <f>AVERAGE(BM66:BP66)</f>
        <v>1731461</v>
      </c>
      <c r="GP66" s="61">
        <f>AVERAGE(CC66:CF66)</f>
        <v>1593689.375</v>
      </c>
      <c r="GQ66" s="61">
        <f>AVERAGE(CS66:CV66)</f>
        <v>1457028.1250833333</v>
      </c>
      <c r="GR66" s="61">
        <f>AVERAGE(DI66:DL66)</f>
        <v>1343384.4583333335</v>
      </c>
      <c r="GS66" s="61">
        <f>AVERAGE(DY66:EB66)</f>
        <v>1263457.1666666665</v>
      </c>
      <c r="GT66" s="61">
        <f>AVERAGE(EO66:EQ66)</f>
        <v>1600682.0555555553</v>
      </c>
      <c r="GU66" s="61">
        <f>AVERAGE(FD66:FF66)</f>
        <v>1746013.5554444443</v>
      </c>
      <c r="GV66" s="61">
        <f>AVERAGE(FS66:FU66)</f>
        <v>2552245.6112222224</v>
      </c>
      <c r="GW66" s="61">
        <f>AVERAGE(GH66:GJ66)</f>
        <v>2911758.3888888895</v>
      </c>
      <c r="GX66" t="s">
        <v>846</v>
      </c>
      <c r="GY66" s="3" t="s">
        <v>349</v>
      </c>
    </row>
    <row r="67" spans="2:207">
      <c r="B67" t="s">
        <v>2617</v>
      </c>
      <c r="E67" s="61">
        <v>0</v>
      </c>
      <c r="F67" s="61">
        <v>0</v>
      </c>
      <c r="G67" s="61">
        <v>0</v>
      </c>
      <c r="H67" s="61">
        <v>0</v>
      </c>
      <c r="I67" s="61">
        <v>0</v>
      </c>
      <c r="J67" s="61">
        <v>0</v>
      </c>
      <c r="K67" s="61">
        <v>0</v>
      </c>
      <c r="L67" s="61">
        <v>2842</v>
      </c>
      <c r="M67" s="61">
        <v>21649122</v>
      </c>
      <c r="N67" s="61">
        <v>24829193</v>
      </c>
      <c r="O67" s="61">
        <v>17832372</v>
      </c>
      <c r="P67" s="61">
        <v>32110154.285714284</v>
      </c>
      <c r="Q67" s="61">
        <v>27587950</v>
      </c>
      <c r="R67" s="61">
        <v>32021206.666666668</v>
      </c>
      <c r="S67" s="61">
        <v>17586479</v>
      </c>
      <c r="T67" s="61">
        <v>32701246.333333332</v>
      </c>
      <c r="U67" s="61">
        <v>0</v>
      </c>
      <c r="V67" s="61">
        <v>0</v>
      </c>
      <c r="W67" s="61">
        <v>0</v>
      </c>
      <c r="X67" s="61">
        <v>0</v>
      </c>
      <c r="Y67" s="61">
        <v>0</v>
      </c>
      <c r="Z67" s="61">
        <v>0</v>
      </c>
      <c r="AA67" s="61">
        <v>0</v>
      </c>
      <c r="AB67" s="61">
        <v>2522262</v>
      </c>
      <c r="AC67" s="61">
        <v>15772141</v>
      </c>
      <c r="AD67" s="61">
        <v>17418162</v>
      </c>
      <c r="AE67" s="61">
        <v>18837281</v>
      </c>
      <c r="AF67" s="61">
        <v>35009908.285714284</v>
      </c>
      <c r="AG67" s="61">
        <v>22430160</v>
      </c>
      <c r="AH67" s="61">
        <v>30359102.999999996</v>
      </c>
      <c r="AI67" s="61">
        <v>23728579.666666668</v>
      </c>
      <c r="AJ67" s="61">
        <v>21387683.833333332</v>
      </c>
      <c r="AK67" s="61">
        <v>0</v>
      </c>
      <c r="AL67" s="61">
        <v>0</v>
      </c>
      <c r="AM67" s="61">
        <v>0</v>
      </c>
      <c r="AN67" s="61">
        <v>0</v>
      </c>
      <c r="AO67" s="61">
        <v>0</v>
      </c>
      <c r="AP67" s="61">
        <v>0</v>
      </c>
      <c r="AQ67" s="61">
        <v>0</v>
      </c>
      <c r="AR67" s="61">
        <v>4600251</v>
      </c>
      <c r="AS67" s="61">
        <v>19084939</v>
      </c>
      <c r="AT67" s="61">
        <v>13264187</v>
      </c>
      <c r="AU67" s="61">
        <v>17587538</v>
      </c>
      <c r="AV67" s="61">
        <v>17786958.714285716</v>
      </c>
      <c r="AW67" s="61">
        <v>23766586</v>
      </c>
      <c r="AX67" s="61">
        <v>24364240.166666664</v>
      </c>
      <c r="AY67" s="61">
        <v>24783873.666666668</v>
      </c>
      <c r="AZ67" s="61">
        <v>24222796.166666664</v>
      </c>
      <c r="BA67" s="61">
        <v>0</v>
      </c>
      <c r="BB67" s="61">
        <v>0</v>
      </c>
      <c r="BC67" s="61">
        <v>0</v>
      </c>
      <c r="BD67" s="61">
        <v>0</v>
      </c>
      <c r="BE67" s="61">
        <v>0</v>
      </c>
      <c r="BF67" s="61">
        <v>0</v>
      </c>
      <c r="BG67" s="61">
        <v>0</v>
      </c>
      <c r="BH67" s="61">
        <v>3020039</v>
      </c>
      <c r="BI67" s="61">
        <v>11737643</v>
      </c>
      <c r="BJ67" s="61">
        <v>22907399</v>
      </c>
      <c r="BK67" s="61">
        <v>20623647</v>
      </c>
      <c r="BL67" s="61">
        <v>13530081.571428571</v>
      </c>
      <c r="BM67" s="61">
        <v>16948513</v>
      </c>
      <c r="BN67" s="61">
        <v>17612104.166666668</v>
      </c>
      <c r="BO67" s="61">
        <v>11547823.5</v>
      </c>
      <c r="BP67" s="61">
        <v>18110355</v>
      </c>
      <c r="BQ67" s="61">
        <v>0</v>
      </c>
      <c r="BR67" s="61">
        <v>0</v>
      </c>
      <c r="BS67" s="61">
        <v>0</v>
      </c>
      <c r="BT67" s="61">
        <v>0</v>
      </c>
      <c r="BU67" s="61">
        <v>0</v>
      </c>
      <c r="BV67" s="61">
        <v>0</v>
      </c>
      <c r="BW67" s="61">
        <v>0</v>
      </c>
      <c r="BX67" s="61">
        <v>3044286</v>
      </c>
      <c r="BY67" s="61">
        <v>13645034</v>
      </c>
      <c r="BZ67" s="61">
        <v>14487113</v>
      </c>
      <c r="CA67" s="61">
        <v>16405907</v>
      </c>
      <c r="CB67" s="61">
        <v>20806532.857142858</v>
      </c>
      <c r="CC67" s="61">
        <v>18144511</v>
      </c>
      <c r="CD67" s="61">
        <v>16001670.666666668</v>
      </c>
      <c r="CE67" s="61">
        <v>13507377.333333332</v>
      </c>
      <c r="CF67" s="61">
        <v>12102249</v>
      </c>
      <c r="CG67" s="61">
        <v>0</v>
      </c>
      <c r="CH67" s="61">
        <v>0</v>
      </c>
      <c r="CI67" s="61">
        <v>0</v>
      </c>
      <c r="CJ67" s="61">
        <v>0</v>
      </c>
      <c r="CK67" s="61">
        <v>0</v>
      </c>
      <c r="CL67" s="61">
        <v>0</v>
      </c>
      <c r="CM67" s="61">
        <v>0</v>
      </c>
      <c r="CN67" s="61">
        <v>3334373</v>
      </c>
      <c r="CO67" s="61">
        <v>13680439</v>
      </c>
      <c r="CP67" s="61">
        <v>14593535</v>
      </c>
      <c r="CQ67" s="61">
        <v>16842341</v>
      </c>
      <c r="CR67" s="61">
        <v>11400852.857142858</v>
      </c>
      <c r="CS67" s="61">
        <v>14735538</v>
      </c>
      <c r="CT67" s="61">
        <v>10873424.667033333</v>
      </c>
      <c r="CU67" s="61">
        <v>13396882.333333332</v>
      </c>
      <c r="CV67" s="61">
        <v>10304506</v>
      </c>
      <c r="CW67" s="61">
        <v>0</v>
      </c>
      <c r="CX67" s="61">
        <v>0</v>
      </c>
      <c r="CY67" s="61">
        <v>0</v>
      </c>
      <c r="CZ67" s="61">
        <v>0</v>
      </c>
      <c r="DA67" s="61">
        <v>0</v>
      </c>
      <c r="DB67" s="61">
        <v>0</v>
      </c>
      <c r="DC67" s="61">
        <v>0</v>
      </c>
      <c r="DD67" s="61">
        <v>3712679</v>
      </c>
      <c r="DE67" s="61">
        <v>12440042</v>
      </c>
      <c r="DF67" s="61">
        <v>13349588</v>
      </c>
      <c r="DG67" s="61">
        <v>12639595</v>
      </c>
      <c r="DH67" s="61">
        <v>12378070.142857142</v>
      </c>
      <c r="DI67" s="61">
        <v>16457831</v>
      </c>
      <c r="DJ67" s="61">
        <v>10637803.166666668</v>
      </c>
      <c r="DK67" s="61">
        <v>14737826.503333334</v>
      </c>
      <c r="DL67" s="61">
        <v>7669318.6666666679</v>
      </c>
      <c r="DM67" s="61">
        <v>0</v>
      </c>
      <c r="DN67" s="61">
        <v>0</v>
      </c>
      <c r="DO67" s="61">
        <v>0</v>
      </c>
      <c r="DP67" s="61">
        <v>0</v>
      </c>
      <c r="DQ67" s="61">
        <v>0</v>
      </c>
      <c r="DR67" s="61">
        <v>0</v>
      </c>
      <c r="DS67" s="61">
        <v>0</v>
      </c>
      <c r="DT67" s="61">
        <v>7986530</v>
      </c>
      <c r="DU67" s="61">
        <v>11722847</v>
      </c>
      <c r="DV67" s="61">
        <v>13248698</v>
      </c>
      <c r="DW67" s="61">
        <v>10248506</v>
      </c>
      <c r="DX67" s="61">
        <v>12874238.857142858</v>
      </c>
      <c r="DY67" s="61">
        <v>12485875.333333334</v>
      </c>
      <c r="DZ67" s="61">
        <v>12637118.5</v>
      </c>
      <c r="EA67" s="61">
        <v>10422588</v>
      </c>
      <c r="EB67" s="61">
        <v>10509600.666666666</v>
      </c>
      <c r="EC67" s="61">
        <v>0</v>
      </c>
      <c r="ED67" s="61">
        <v>0</v>
      </c>
      <c r="EE67" s="61">
        <v>0</v>
      </c>
      <c r="EF67" s="61">
        <v>0</v>
      </c>
      <c r="EG67" s="61">
        <v>0</v>
      </c>
      <c r="EH67" s="61">
        <v>0</v>
      </c>
      <c r="EI67" s="61">
        <v>0</v>
      </c>
      <c r="EJ67" s="61">
        <v>8858626</v>
      </c>
      <c r="EK67" s="61">
        <v>13908984</v>
      </c>
      <c r="EL67" s="61">
        <v>13312599</v>
      </c>
      <c r="EM67" s="61">
        <v>12667521</v>
      </c>
      <c r="EN67" s="61">
        <v>8985974.4285714291</v>
      </c>
      <c r="EO67" s="61">
        <v>17967564</v>
      </c>
      <c r="EP67" s="61">
        <v>9785133.6666666679</v>
      </c>
      <c r="EQ67" s="61">
        <v>13533774.666666666</v>
      </c>
      <c r="ER67" s="61">
        <v>0</v>
      </c>
      <c r="ES67" s="61">
        <v>0</v>
      </c>
      <c r="ET67" s="61">
        <v>0</v>
      </c>
      <c r="EU67" s="61">
        <v>0</v>
      </c>
      <c r="EV67" s="61">
        <v>0</v>
      </c>
      <c r="EW67" s="61">
        <v>0</v>
      </c>
      <c r="EX67" s="61">
        <v>0</v>
      </c>
      <c r="EY67" s="61">
        <v>17705086</v>
      </c>
      <c r="EZ67" s="61">
        <v>18593779</v>
      </c>
      <c r="FA67" s="61">
        <v>20596486</v>
      </c>
      <c r="FB67" s="61">
        <v>24377925</v>
      </c>
      <c r="FC67" s="61">
        <v>17891890</v>
      </c>
      <c r="FD67" s="61">
        <v>13428267</v>
      </c>
      <c r="FE67" s="61">
        <v>13687244.833333334</v>
      </c>
      <c r="FF67" s="61">
        <v>19674640.999666665</v>
      </c>
      <c r="FG67" s="61">
        <v>0</v>
      </c>
      <c r="FH67" s="168">
        <v>0</v>
      </c>
      <c r="FI67" s="168">
        <v>0</v>
      </c>
      <c r="FJ67" s="61">
        <v>0</v>
      </c>
      <c r="FK67" s="61">
        <v>0</v>
      </c>
      <c r="FL67" s="61">
        <v>0</v>
      </c>
      <c r="FM67" s="61">
        <v>0</v>
      </c>
      <c r="FN67" s="61">
        <v>16146775</v>
      </c>
      <c r="FO67" s="61">
        <v>15915307</v>
      </c>
      <c r="FP67" s="61">
        <v>19541809</v>
      </c>
      <c r="FQ67" s="61">
        <v>24357580</v>
      </c>
      <c r="FR67" s="61">
        <v>20110445.857142858</v>
      </c>
      <c r="FS67" s="61">
        <v>28287911</v>
      </c>
      <c r="FT67" s="61">
        <v>22736932.833333332</v>
      </c>
      <c r="FU67" s="61">
        <v>19346724.5</v>
      </c>
      <c r="FV67" s="61">
        <v>0</v>
      </c>
      <c r="FW67" s="61">
        <v>0</v>
      </c>
      <c r="FX67" s="61">
        <v>0</v>
      </c>
      <c r="FY67" s="61">
        <v>0</v>
      </c>
      <c r="FZ67" s="61">
        <v>0</v>
      </c>
      <c r="GA67" s="61">
        <v>0</v>
      </c>
      <c r="GB67" s="61">
        <v>0</v>
      </c>
      <c r="GC67" s="61">
        <v>14673831</v>
      </c>
      <c r="GD67" s="61">
        <v>32463355</v>
      </c>
      <c r="GE67" s="61">
        <v>31734799</v>
      </c>
      <c r="GF67" s="61">
        <v>29688543</v>
      </c>
      <c r="GG67" s="61">
        <v>25284816.571428571</v>
      </c>
      <c r="GH67" s="61">
        <v>31236314.5</v>
      </c>
      <c r="GI67" s="61">
        <v>16055659.5</v>
      </c>
      <c r="GJ67" s="61">
        <v>28044219</v>
      </c>
      <c r="GK67" s="61"/>
    </row>
    <row r="68" spans="2:207">
      <c r="B68" t="s">
        <v>795</v>
      </c>
      <c r="C68" t="s">
        <v>796</v>
      </c>
      <c r="D68" s="60" t="s">
        <v>305</v>
      </c>
      <c r="E68" s="61">
        <v>0</v>
      </c>
      <c r="F68" s="61">
        <v>0</v>
      </c>
      <c r="G68" s="61">
        <v>0</v>
      </c>
      <c r="H68" s="61">
        <v>0</v>
      </c>
      <c r="I68" s="61">
        <v>0</v>
      </c>
      <c r="J68" s="61">
        <v>0</v>
      </c>
      <c r="K68" s="61">
        <v>0</v>
      </c>
      <c r="L68" s="61">
        <v>0</v>
      </c>
      <c r="M68" s="61"/>
      <c r="N68" s="61">
        <v>2845919</v>
      </c>
      <c r="O68" s="61">
        <v>1500361</v>
      </c>
      <c r="P68" s="61">
        <v>3036225</v>
      </c>
      <c r="Q68" s="61">
        <v>2933000</v>
      </c>
      <c r="R68" s="61">
        <v>3330000</v>
      </c>
      <c r="S68" s="61">
        <v>2054870</v>
      </c>
      <c r="T68" s="61">
        <v>3548276</v>
      </c>
      <c r="U68" s="61">
        <v>0</v>
      </c>
      <c r="V68" s="61">
        <v>0</v>
      </c>
      <c r="W68" s="61">
        <v>0</v>
      </c>
      <c r="X68" s="61">
        <v>0</v>
      </c>
      <c r="Y68" s="61">
        <v>0</v>
      </c>
      <c r="Z68" s="61">
        <v>0</v>
      </c>
      <c r="AA68" s="61">
        <v>0</v>
      </c>
      <c r="AB68" s="61">
        <v>0</v>
      </c>
      <c r="AC68" s="61"/>
      <c r="AD68" s="61">
        <v>1775665</v>
      </c>
      <c r="AE68" s="61">
        <v>1980050</v>
      </c>
      <c r="AF68" s="61">
        <v>3586968</v>
      </c>
      <c r="AG68" s="61">
        <v>2404000</v>
      </c>
      <c r="AH68" s="61">
        <v>3570676</v>
      </c>
      <c r="AI68" s="61">
        <v>2472710</v>
      </c>
      <c r="AJ68" s="61">
        <v>2179349</v>
      </c>
      <c r="AK68" s="61">
        <v>0</v>
      </c>
      <c r="AL68" s="61">
        <v>0</v>
      </c>
      <c r="AM68" s="61">
        <v>0</v>
      </c>
      <c r="AN68" s="61">
        <v>0</v>
      </c>
      <c r="AO68" s="61">
        <v>0</v>
      </c>
      <c r="AP68" s="61">
        <v>0</v>
      </c>
      <c r="AQ68" s="61">
        <v>0</v>
      </c>
      <c r="AR68" s="61">
        <v>0</v>
      </c>
      <c r="AS68" s="61"/>
      <c r="AT68" s="61">
        <v>1554729</v>
      </c>
      <c r="AU68" s="61">
        <v>1944448</v>
      </c>
      <c r="AV68" s="61">
        <v>1576819</v>
      </c>
      <c r="AW68" s="61">
        <v>2107000</v>
      </c>
      <c r="AX68" s="61">
        <v>2721913</v>
      </c>
      <c r="AY68" s="61">
        <v>2598170</v>
      </c>
      <c r="AZ68" s="61">
        <v>2419058</v>
      </c>
      <c r="BA68" s="61">
        <v>0</v>
      </c>
      <c r="BB68" s="61">
        <v>0</v>
      </c>
      <c r="BC68" s="61">
        <v>0</v>
      </c>
      <c r="BD68" s="61">
        <v>0</v>
      </c>
      <c r="BE68" s="61">
        <v>0</v>
      </c>
      <c r="BF68" s="61">
        <v>0</v>
      </c>
      <c r="BG68" s="61">
        <v>0</v>
      </c>
      <c r="BH68" s="61">
        <v>0</v>
      </c>
      <c r="BI68" s="61"/>
      <c r="BJ68" s="61">
        <v>2605798</v>
      </c>
      <c r="BK68" s="61">
        <v>2275436</v>
      </c>
      <c r="BL68" s="61">
        <v>1089159</v>
      </c>
      <c r="BM68" s="61">
        <v>1745000</v>
      </c>
      <c r="BN68" s="61">
        <v>1691609</v>
      </c>
      <c r="BO68" s="61">
        <v>990240</v>
      </c>
      <c r="BP68" s="61">
        <v>1855341</v>
      </c>
      <c r="BQ68" s="61">
        <v>0</v>
      </c>
      <c r="BR68" s="61">
        <v>0</v>
      </c>
      <c r="BS68" s="61">
        <v>0</v>
      </c>
      <c r="BT68" s="61">
        <v>0</v>
      </c>
      <c r="BU68" s="61">
        <v>0</v>
      </c>
      <c r="BV68" s="61">
        <v>0</v>
      </c>
      <c r="BW68" s="61">
        <v>0</v>
      </c>
      <c r="BX68" s="61">
        <v>0</v>
      </c>
      <c r="BY68" s="61"/>
      <c r="BZ68" s="61">
        <v>1574090</v>
      </c>
      <c r="CA68" s="61">
        <v>1440463</v>
      </c>
      <c r="CB68" s="61">
        <v>2232299</v>
      </c>
      <c r="CC68" s="61">
        <v>1652314</v>
      </c>
      <c r="CD68" s="61">
        <v>1557025</v>
      </c>
      <c r="CE68" s="61">
        <v>1277831</v>
      </c>
      <c r="CF68" s="61">
        <v>1068319</v>
      </c>
      <c r="CG68" s="61">
        <v>0</v>
      </c>
      <c r="CH68" s="61">
        <v>0</v>
      </c>
      <c r="CI68" s="61">
        <v>0</v>
      </c>
      <c r="CJ68" s="61">
        <v>0</v>
      </c>
      <c r="CK68" s="61">
        <v>0</v>
      </c>
      <c r="CL68" s="61">
        <v>0</v>
      </c>
      <c r="CM68" s="61">
        <v>0</v>
      </c>
      <c r="CN68" s="61">
        <v>0</v>
      </c>
      <c r="CO68" s="61"/>
      <c r="CP68" s="61">
        <v>1635596</v>
      </c>
      <c r="CQ68" s="61">
        <v>1577571</v>
      </c>
      <c r="CR68" s="61">
        <v>1350712</v>
      </c>
      <c r="CS68" s="61">
        <v>1437000</v>
      </c>
      <c r="CT68" s="61">
        <v>970670</v>
      </c>
      <c r="CU68" s="61">
        <v>1315450</v>
      </c>
      <c r="CV68" s="61">
        <v>942005</v>
      </c>
      <c r="CW68" s="61">
        <v>0</v>
      </c>
      <c r="CX68" s="61">
        <v>0</v>
      </c>
      <c r="CY68" s="61">
        <v>0</v>
      </c>
      <c r="CZ68" s="61">
        <v>0</v>
      </c>
      <c r="DA68" s="61">
        <v>0</v>
      </c>
      <c r="DB68" s="61">
        <v>0</v>
      </c>
      <c r="DC68" s="61">
        <v>0</v>
      </c>
      <c r="DD68" s="61">
        <v>0</v>
      </c>
      <c r="DE68" s="61">
        <v>1037493</v>
      </c>
      <c r="DF68" s="61">
        <v>1504189</v>
      </c>
      <c r="DG68" s="61">
        <v>1556154</v>
      </c>
      <c r="DH68" s="61">
        <v>1167445</v>
      </c>
      <c r="DI68" s="61">
        <v>1642000</v>
      </c>
      <c r="DJ68" s="61">
        <v>871880</v>
      </c>
      <c r="DK68" s="61">
        <v>1538176</v>
      </c>
      <c r="DL68" s="61">
        <v>833665</v>
      </c>
      <c r="DM68" s="61">
        <v>0</v>
      </c>
      <c r="DN68" s="61">
        <v>0</v>
      </c>
      <c r="DO68" s="61">
        <v>0</v>
      </c>
      <c r="DP68" s="61">
        <v>0</v>
      </c>
      <c r="DQ68" s="61">
        <v>0</v>
      </c>
      <c r="DR68" s="61">
        <v>0</v>
      </c>
      <c r="DS68" s="61">
        <v>0</v>
      </c>
      <c r="DT68" s="61">
        <v>0</v>
      </c>
      <c r="DU68" s="61">
        <v>1239464</v>
      </c>
      <c r="DV68" s="61">
        <v>1613587</v>
      </c>
      <c r="DW68" s="61">
        <v>897654</v>
      </c>
      <c r="DX68" s="61">
        <v>1256873</v>
      </c>
      <c r="DY68" s="61">
        <v>1338728</v>
      </c>
      <c r="DZ68" s="61">
        <v>938960</v>
      </c>
      <c r="EA68" s="61">
        <v>1040225</v>
      </c>
      <c r="EB68" s="61">
        <v>1039298</v>
      </c>
      <c r="EC68" s="61">
        <v>0</v>
      </c>
      <c r="ED68" s="61">
        <v>0</v>
      </c>
      <c r="EE68" s="61">
        <v>0</v>
      </c>
      <c r="EF68" s="61">
        <v>0</v>
      </c>
      <c r="EG68" s="61">
        <v>0</v>
      </c>
      <c r="EH68" s="61">
        <v>0</v>
      </c>
      <c r="EI68" s="61">
        <v>0</v>
      </c>
      <c r="EJ68" s="61">
        <v>0</v>
      </c>
      <c r="EK68" s="61">
        <v>1297860</v>
      </c>
      <c r="EL68" s="61">
        <v>1051593</v>
      </c>
      <c r="EM68" s="61">
        <v>1450609</v>
      </c>
      <c r="EN68" s="61">
        <v>972386</v>
      </c>
      <c r="EO68" s="61">
        <v>2263679</v>
      </c>
      <c r="EP68" s="61">
        <v>822630</v>
      </c>
      <c r="EQ68" s="61">
        <v>1539031.67</v>
      </c>
      <c r="ER68" s="61">
        <v>0</v>
      </c>
      <c r="ES68" s="61">
        <v>0</v>
      </c>
      <c r="ET68" s="61">
        <v>0</v>
      </c>
      <c r="EU68" s="61">
        <v>0</v>
      </c>
      <c r="EV68" s="61">
        <v>0</v>
      </c>
      <c r="EW68" s="61">
        <v>0</v>
      </c>
      <c r="EX68" s="61">
        <v>0</v>
      </c>
      <c r="EY68" s="61">
        <v>0</v>
      </c>
      <c r="EZ68" s="61">
        <v>1658150</v>
      </c>
      <c r="FA68" s="61">
        <v>2376934</v>
      </c>
      <c r="FB68" s="61">
        <v>2184758</v>
      </c>
      <c r="FC68" s="61">
        <v>1371612</v>
      </c>
      <c r="FD68" s="61">
        <v>1346909</v>
      </c>
      <c r="FE68" s="61">
        <v>1573180</v>
      </c>
      <c r="FF68" s="61">
        <v>1751672</v>
      </c>
      <c r="FG68" s="61">
        <v>0</v>
      </c>
      <c r="FH68" s="168">
        <v>0</v>
      </c>
      <c r="FI68" s="168">
        <v>0</v>
      </c>
      <c r="FJ68" s="61">
        <v>0</v>
      </c>
      <c r="FK68" s="61">
        <v>0</v>
      </c>
      <c r="FL68" s="61">
        <v>0</v>
      </c>
      <c r="FM68" s="61">
        <v>0</v>
      </c>
      <c r="FN68" s="61">
        <v>0</v>
      </c>
      <c r="FO68" s="61">
        <v>950257</v>
      </c>
      <c r="FP68" s="61">
        <v>1784894</v>
      </c>
      <c r="FQ68" s="61">
        <v>2649903</v>
      </c>
      <c r="FR68" s="61">
        <v>1624416</v>
      </c>
      <c r="FS68" s="61">
        <v>3039280</v>
      </c>
      <c r="FT68" s="61">
        <v>2356540</v>
      </c>
      <c r="FU68" s="61">
        <v>2112017</v>
      </c>
      <c r="FV68" s="61">
        <v>0</v>
      </c>
      <c r="FW68" s="61">
        <v>0</v>
      </c>
      <c r="FX68" s="61">
        <v>0</v>
      </c>
      <c r="FY68" s="61">
        <v>0</v>
      </c>
      <c r="FZ68" s="61">
        <v>0</v>
      </c>
      <c r="GA68" s="61">
        <v>0</v>
      </c>
      <c r="GB68" s="61">
        <v>0</v>
      </c>
      <c r="GC68" s="61">
        <v>0</v>
      </c>
      <c r="GD68" s="61">
        <v>3808007</v>
      </c>
      <c r="GE68" s="61">
        <v>4023181</v>
      </c>
      <c r="GF68" s="61">
        <v>2699030</v>
      </c>
      <c r="GG68" s="61">
        <v>2585357</v>
      </c>
      <c r="GH68" s="61">
        <v>2370823</v>
      </c>
      <c r="GI68" s="61">
        <v>1149470</v>
      </c>
      <c r="GJ68" s="61">
        <v>3175369</v>
      </c>
      <c r="GK68" s="61"/>
      <c r="GL68" s="275">
        <f t="shared" ref="GL68:GL73" si="20">AVERAGE(N68:T68)</f>
        <v>2749807.2857142859</v>
      </c>
      <c r="GM68" s="275">
        <f t="shared" ref="GM68:GM73" si="21">AVERAGE(AD68:AJ68)</f>
        <v>2567059.7142857141</v>
      </c>
      <c r="GN68" s="275">
        <f t="shared" ref="GN68:GN73" si="22">AVERAGE(AT68:AZ68)</f>
        <v>2131733.8571428573</v>
      </c>
      <c r="GO68" s="275">
        <f t="shared" ref="GO68:GO73" si="23">AVERAGE(BJ68:BP68)</f>
        <v>1750369</v>
      </c>
      <c r="GP68" s="275">
        <f t="shared" ref="GP68:GP73" si="24">AVERAGE(BZ68:CF68)</f>
        <v>1543191.5714285714</v>
      </c>
      <c r="GQ68" s="275">
        <f t="shared" ref="GQ68:GQ73" si="25">AVERAGE(CP68:CV68)</f>
        <v>1318429.142857143</v>
      </c>
      <c r="GR68" s="275">
        <f>AVERAGE(DE68:DL68)</f>
        <v>1268875.25</v>
      </c>
      <c r="GS68" s="275">
        <f>AVERAGE(DU68:EB68)</f>
        <v>1170598.625</v>
      </c>
      <c r="GT68" s="275">
        <f t="shared" ref="GT68:GT73" si="26">AVERAGE(EK68:EQ68)</f>
        <v>1342541.2385714285</v>
      </c>
      <c r="GU68" s="275">
        <f t="shared" ref="GU68:GU73" si="27">AVERAGE(EZ68:FF68)</f>
        <v>1751887.857142857</v>
      </c>
      <c r="GV68" s="275">
        <f t="shared" ref="GV68:GV73" si="28">AVERAGE(FO68:FU68)</f>
        <v>2073901</v>
      </c>
      <c r="GW68" s="275">
        <f t="shared" ref="GW68:GW73" si="29">AVERAGE(GD68:GJ68)</f>
        <v>2830176.7142857141</v>
      </c>
      <c r="GX68" t="s">
        <v>846</v>
      </c>
      <c r="GY68" s="60" t="s">
        <v>305</v>
      </c>
    </row>
    <row r="69" spans="2:207" s="277" customFormat="1">
      <c r="D69" s="277" t="s">
        <v>355</v>
      </c>
      <c r="E69" s="278">
        <v>0</v>
      </c>
      <c r="F69" s="278">
        <v>0</v>
      </c>
      <c r="G69" s="278">
        <v>0</v>
      </c>
      <c r="H69" s="278">
        <v>0</v>
      </c>
      <c r="I69" s="278">
        <v>0</v>
      </c>
      <c r="J69" s="278">
        <v>0</v>
      </c>
      <c r="K69" s="278">
        <v>0</v>
      </c>
      <c r="L69" s="278">
        <v>0</v>
      </c>
      <c r="M69" s="278"/>
      <c r="N69" s="278">
        <v>2903950</v>
      </c>
      <c r="O69" s="278">
        <v>2250566</v>
      </c>
      <c r="P69" s="278">
        <v>3374564</v>
      </c>
      <c r="Q69" s="278">
        <v>3111560</v>
      </c>
      <c r="R69" s="278">
        <v>4073034</v>
      </c>
      <c r="S69" s="278">
        <v>2295196.8333333335</v>
      </c>
      <c r="T69" s="278">
        <v>4243351</v>
      </c>
      <c r="U69" s="278">
        <v>0</v>
      </c>
      <c r="V69" s="278">
        <v>0</v>
      </c>
      <c r="W69" s="278">
        <v>0</v>
      </c>
      <c r="X69" s="278">
        <v>0</v>
      </c>
      <c r="Y69" s="278">
        <v>0</v>
      </c>
      <c r="Z69" s="278">
        <v>0</v>
      </c>
      <c r="AA69" s="278">
        <v>0</v>
      </c>
      <c r="AB69" s="278">
        <v>0</v>
      </c>
      <c r="AC69" s="278"/>
      <c r="AD69" s="278">
        <v>1888600</v>
      </c>
      <c r="AE69" s="278">
        <v>2635595</v>
      </c>
      <c r="AF69" s="278">
        <v>4555362</v>
      </c>
      <c r="AG69" s="278">
        <v>2784065</v>
      </c>
      <c r="AH69" s="278">
        <v>3862983</v>
      </c>
      <c r="AI69" s="278">
        <v>3152466</v>
      </c>
      <c r="AJ69" s="278">
        <v>3215143.1666666674</v>
      </c>
      <c r="AK69" s="278">
        <v>0</v>
      </c>
      <c r="AL69" s="278">
        <v>0</v>
      </c>
      <c r="AM69" s="278">
        <v>0</v>
      </c>
      <c r="AN69" s="278">
        <v>0</v>
      </c>
      <c r="AO69" s="278">
        <v>0</v>
      </c>
      <c r="AP69" s="278">
        <v>0</v>
      </c>
      <c r="AQ69" s="278">
        <v>0</v>
      </c>
      <c r="AR69" s="278">
        <v>0</v>
      </c>
      <c r="AS69" s="278"/>
      <c r="AT69" s="278">
        <v>2379440</v>
      </c>
      <c r="AU69" s="278">
        <v>2364046</v>
      </c>
      <c r="AV69" s="278">
        <v>2038712</v>
      </c>
      <c r="AW69" s="278">
        <v>2561528</v>
      </c>
      <c r="AX69" s="278">
        <v>3446666</v>
      </c>
      <c r="AY69" s="278">
        <v>2858258</v>
      </c>
      <c r="AZ69" s="278">
        <v>3793521.166666667</v>
      </c>
      <c r="BA69" s="278">
        <v>0</v>
      </c>
      <c r="BB69" s="278">
        <v>0</v>
      </c>
      <c r="BC69" s="278">
        <v>0</v>
      </c>
      <c r="BD69" s="278">
        <v>0</v>
      </c>
      <c r="BE69" s="278">
        <v>0</v>
      </c>
      <c r="BF69" s="278">
        <v>0</v>
      </c>
      <c r="BG69" s="278">
        <v>0</v>
      </c>
      <c r="BH69" s="278">
        <v>0</v>
      </c>
      <c r="BI69" s="278"/>
      <c r="BJ69" s="278">
        <v>3577718</v>
      </c>
      <c r="BK69" s="278">
        <v>2189165</v>
      </c>
      <c r="BL69" s="278">
        <v>1819614</v>
      </c>
      <c r="BM69" s="278">
        <v>2010181</v>
      </c>
      <c r="BN69" s="278">
        <v>1778931</v>
      </c>
      <c r="BO69" s="278">
        <v>2037303.6666666667</v>
      </c>
      <c r="BP69" s="278">
        <v>1847366</v>
      </c>
      <c r="BQ69" s="278">
        <v>0</v>
      </c>
      <c r="BR69" s="278">
        <v>0</v>
      </c>
      <c r="BS69" s="278">
        <v>0</v>
      </c>
      <c r="BT69" s="278">
        <v>0</v>
      </c>
      <c r="BU69" s="278">
        <v>0</v>
      </c>
      <c r="BV69" s="278">
        <v>0</v>
      </c>
      <c r="BW69" s="278">
        <v>0</v>
      </c>
      <c r="BX69" s="278">
        <v>0</v>
      </c>
      <c r="BY69" s="278"/>
      <c r="BZ69" s="278">
        <v>2314201</v>
      </c>
      <c r="CA69" s="278">
        <v>1752865</v>
      </c>
      <c r="CB69" s="278">
        <v>2386951</v>
      </c>
      <c r="CC69" s="278">
        <v>1959775</v>
      </c>
      <c r="CD69" s="278">
        <v>1589496.3333333333</v>
      </c>
      <c r="CE69" s="278">
        <v>2038314</v>
      </c>
      <c r="CF69" s="278">
        <v>1293834</v>
      </c>
      <c r="CG69" s="278">
        <v>0</v>
      </c>
      <c r="CH69" s="278">
        <v>0</v>
      </c>
      <c r="CI69" s="278">
        <v>0</v>
      </c>
      <c r="CJ69" s="278">
        <v>0</v>
      </c>
      <c r="CK69" s="278">
        <v>0</v>
      </c>
      <c r="CL69" s="278">
        <v>0</v>
      </c>
      <c r="CM69" s="278">
        <v>0</v>
      </c>
      <c r="CN69" s="278">
        <v>0</v>
      </c>
      <c r="CO69" s="278">
        <v>4142</v>
      </c>
      <c r="CP69" s="278">
        <v>2322602</v>
      </c>
      <c r="CQ69" s="278">
        <v>1440989</v>
      </c>
      <c r="CR69" s="278">
        <v>1484488</v>
      </c>
      <c r="CS69" s="278">
        <v>1352842</v>
      </c>
      <c r="CT69" s="278">
        <v>1221355</v>
      </c>
      <c r="CU69" s="278">
        <v>1727070.6666666667</v>
      </c>
      <c r="CV69" s="278">
        <v>1552270</v>
      </c>
      <c r="CW69" s="278">
        <v>0</v>
      </c>
      <c r="CX69" s="278">
        <v>0</v>
      </c>
      <c r="CY69" s="278">
        <v>0</v>
      </c>
      <c r="CZ69" s="278">
        <v>0</v>
      </c>
      <c r="DA69" s="278">
        <v>0</v>
      </c>
      <c r="DB69" s="278">
        <v>0</v>
      </c>
      <c r="DC69" s="278">
        <v>0</v>
      </c>
      <c r="DD69" s="278">
        <v>0</v>
      </c>
      <c r="DE69" s="278">
        <v>174740</v>
      </c>
      <c r="DF69" s="278">
        <v>1582814</v>
      </c>
      <c r="DG69" s="278">
        <v>1637714</v>
      </c>
      <c r="DH69" s="278">
        <v>1248914</v>
      </c>
      <c r="DI69" s="278">
        <v>1414304</v>
      </c>
      <c r="DJ69" s="278">
        <v>1078367</v>
      </c>
      <c r="DK69" s="278">
        <v>1824441</v>
      </c>
      <c r="DL69" s="278">
        <v>963011</v>
      </c>
      <c r="DM69" s="278">
        <v>0</v>
      </c>
      <c r="DN69" s="278">
        <v>0</v>
      </c>
      <c r="DO69" s="278">
        <v>0</v>
      </c>
      <c r="DP69" s="278">
        <v>0</v>
      </c>
      <c r="DQ69" s="278">
        <v>0</v>
      </c>
      <c r="DR69" s="278">
        <v>0</v>
      </c>
      <c r="DS69" s="278">
        <v>0</v>
      </c>
      <c r="DT69" s="278">
        <v>0</v>
      </c>
      <c r="DU69" s="278">
        <v>1481695</v>
      </c>
      <c r="DV69" s="278">
        <v>1848765</v>
      </c>
      <c r="DW69" s="278">
        <v>1078767</v>
      </c>
      <c r="DX69" s="278">
        <v>1368820</v>
      </c>
      <c r="DY69" s="278">
        <v>1325903</v>
      </c>
      <c r="DZ69" s="278">
        <v>1106650</v>
      </c>
      <c r="EA69" s="278">
        <v>1454780.8333333333</v>
      </c>
      <c r="EB69" s="278">
        <v>1080862.666666667</v>
      </c>
      <c r="EC69" s="278">
        <v>0</v>
      </c>
      <c r="ED69" s="278">
        <v>0</v>
      </c>
      <c r="EE69" s="278">
        <v>0</v>
      </c>
      <c r="EF69" s="278">
        <v>0</v>
      </c>
      <c r="EG69" s="278">
        <v>0</v>
      </c>
      <c r="EH69" s="278">
        <v>0</v>
      </c>
      <c r="EI69" s="278">
        <v>0</v>
      </c>
      <c r="EJ69" s="278">
        <v>0</v>
      </c>
      <c r="EK69" s="278">
        <v>1831810</v>
      </c>
      <c r="EL69" s="278">
        <v>1679623</v>
      </c>
      <c r="EM69" s="278">
        <v>1405860</v>
      </c>
      <c r="EN69" s="278">
        <v>1075378</v>
      </c>
      <c r="EO69" s="278">
        <v>2011074</v>
      </c>
      <c r="EP69" s="278">
        <v>835257</v>
      </c>
      <c r="EQ69" s="278">
        <v>1718244.8333333333</v>
      </c>
      <c r="ER69" s="278">
        <v>0</v>
      </c>
      <c r="ES69" s="278">
        <v>0</v>
      </c>
      <c r="ET69" s="278">
        <v>0</v>
      </c>
      <c r="EU69" s="278">
        <v>0</v>
      </c>
      <c r="EV69" s="278">
        <v>0</v>
      </c>
      <c r="EW69" s="278">
        <v>0</v>
      </c>
      <c r="EX69" s="278">
        <v>0</v>
      </c>
      <c r="EY69" s="278">
        <v>0</v>
      </c>
      <c r="EZ69" s="278">
        <v>1977790</v>
      </c>
      <c r="FA69" s="278">
        <v>1908103</v>
      </c>
      <c r="FB69" s="278">
        <v>2047907</v>
      </c>
      <c r="FC69" s="278">
        <v>1526199</v>
      </c>
      <c r="FD69" s="278">
        <v>1910989</v>
      </c>
      <c r="FE69" s="278">
        <v>1771134</v>
      </c>
      <c r="FF69" s="278">
        <v>1851047.1666666667</v>
      </c>
      <c r="FG69" s="278">
        <v>0</v>
      </c>
      <c r="FH69" s="279">
        <v>0</v>
      </c>
      <c r="FI69" s="279">
        <v>0</v>
      </c>
      <c r="FJ69" s="278">
        <v>0</v>
      </c>
      <c r="FK69" s="278">
        <v>0</v>
      </c>
      <c r="FL69" s="278">
        <v>0</v>
      </c>
      <c r="FM69" s="278">
        <v>0</v>
      </c>
      <c r="FN69" s="278">
        <v>0</v>
      </c>
      <c r="FO69" s="278">
        <v>1755435</v>
      </c>
      <c r="FP69" s="278">
        <v>2393741</v>
      </c>
      <c r="FQ69" s="278">
        <v>3186511</v>
      </c>
      <c r="FR69" s="278">
        <v>1854554</v>
      </c>
      <c r="FS69" s="278">
        <v>3126859</v>
      </c>
      <c r="FT69" s="278">
        <v>2890204.8333333335</v>
      </c>
      <c r="FU69" s="278">
        <v>2372375</v>
      </c>
      <c r="FV69" s="278">
        <v>0</v>
      </c>
      <c r="FW69" s="278">
        <v>0</v>
      </c>
      <c r="FX69" s="278">
        <v>0</v>
      </c>
      <c r="FY69" s="278">
        <v>0</v>
      </c>
      <c r="FZ69" s="278">
        <v>0</v>
      </c>
      <c r="GA69" s="278">
        <v>0</v>
      </c>
      <c r="GB69" s="278">
        <v>0</v>
      </c>
      <c r="GC69" s="278">
        <v>0</v>
      </c>
      <c r="GD69" s="278">
        <v>3934355</v>
      </c>
      <c r="GE69" s="278">
        <v>4585484</v>
      </c>
      <c r="GF69" s="278">
        <v>3289860</v>
      </c>
      <c r="GG69" s="278">
        <v>2398675</v>
      </c>
      <c r="GH69" s="278">
        <v>3693492</v>
      </c>
      <c r="GI69" s="278">
        <v>1807562</v>
      </c>
      <c r="GJ69" s="278">
        <v>3549260</v>
      </c>
      <c r="GK69" s="278"/>
      <c r="GL69" s="275">
        <f t="shared" si="20"/>
        <v>3178888.833333333</v>
      </c>
      <c r="GM69" s="275">
        <f t="shared" si="21"/>
        <v>3156316.3095238097</v>
      </c>
      <c r="GN69" s="275">
        <f t="shared" si="22"/>
        <v>2777453.0238095238</v>
      </c>
      <c r="GO69" s="275">
        <f t="shared" si="23"/>
        <v>2180039.8095238092</v>
      </c>
      <c r="GP69" s="275">
        <f t="shared" si="24"/>
        <v>1905062.3333333335</v>
      </c>
      <c r="GQ69" s="275">
        <f t="shared" si="25"/>
        <v>1585945.2380952381</v>
      </c>
      <c r="GR69" s="278">
        <f>AVERAGE(DF69:DL69)</f>
        <v>1392795</v>
      </c>
      <c r="GS69" s="275">
        <f>AVERAGE(DU69:EB69)</f>
        <v>1343280.4375</v>
      </c>
      <c r="GT69" s="275">
        <f t="shared" si="26"/>
        <v>1508178.1190476192</v>
      </c>
      <c r="GU69" s="275">
        <f t="shared" si="27"/>
        <v>1856167.0238095238</v>
      </c>
      <c r="GV69" s="275">
        <f t="shared" si="28"/>
        <v>2511382.8333333335</v>
      </c>
      <c r="GW69" s="275">
        <f t="shared" si="29"/>
        <v>3322669.7142857141</v>
      </c>
      <c r="GX69" s="277" t="s">
        <v>846</v>
      </c>
      <c r="GY69" s="277" t="s">
        <v>355</v>
      </c>
    </row>
    <row r="70" spans="2:207" s="277" customFormat="1">
      <c r="D70" s="277" t="s">
        <v>357</v>
      </c>
      <c r="E70" s="278"/>
      <c r="F70" s="278"/>
      <c r="G70" s="278"/>
      <c r="H70" s="278"/>
      <c r="I70" s="278"/>
      <c r="J70" s="278"/>
      <c r="K70" s="278"/>
      <c r="L70" s="278"/>
      <c r="M70" s="278"/>
      <c r="N70" s="278">
        <v>2736518</v>
      </c>
      <c r="O70" s="278">
        <v>2196711</v>
      </c>
      <c r="P70" s="278">
        <v>3072574</v>
      </c>
      <c r="Q70" s="278">
        <v>3079223</v>
      </c>
      <c r="R70" s="278">
        <v>3324791</v>
      </c>
      <c r="S70" s="278">
        <v>2157057.1666666665</v>
      </c>
      <c r="T70" s="278">
        <v>4041451.6666666665</v>
      </c>
      <c r="U70" s="278"/>
      <c r="V70" s="278"/>
      <c r="W70" s="278"/>
      <c r="X70" s="278"/>
      <c r="Y70" s="278"/>
      <c r="Z70" s="278"/>
      <c r="AA70" s="278"/>
      <c r="AB70" s="278"/>
      <c r="AC70" s="278"/>
      <c r="AD70" s="278">
        <v>1674594</v>
      </c>
      <c r="AE70" s="278">
        <v>2451469</v>
      </c>
      <c r="AF70" s="278">
        <v>4305742</v>
      </c>
      <c r="AG70" s="278">
        <v>2434295</v>
      </c>
      <c r="AH70" s="278">
        <v>3219169</v>
      </c>
      <c r="AI70" s="278">
        <v>2900907.1669999999</v>
      </c>
      <c r="AJ70" s="278">
        <v>2994614</v>
      </c>
      <c r="AK70" s="278"/>
      <c r="AL70" s="278"/>
      <c r="AM70" s="278"/>
      <c r="AN70" s="278"/>
      <c r="AO70" s="278"/>
      <c r="AP70" s="278"/>
      <c r="AQ70" s="278"/>
      <c r="AR70" s="278"/>
      <c r="AS70" s="278"/>
      <c r="AT70" s="278">
        <v>2315729</v>
      </c>
      <c r="AU70" s="278">
        <v>2266069</v>
      </c>
      <c r="AV70" s="278">
        <v>1789955</v>
      </c>
      <c r="AW70" s="278">
        <v>2459206</v>
      </c>
      <c r="AX70" s="278">
        <v>2853053</v>
      </c>
      <c r="AY70" s="278">
        <v>2611484.3333333335</v>
      </c>
      <c r="AZ70" s="278">
        <v>3679668</v>
      </c>
      <c r="BA70" s="278"/>
      <c r="BB70" s="278"/>
      <c r="BC70" s="278"/>
      <c r="BD70" s="278"/>
      <c r="BE70" s="278"/>
      <c r="BF70" s="278"/>
      <c r="BG70" s="278"/>
      <c r="BH70" s="278"/>
      <c r="BI70" s="278"/>
      <c r="BJ70" s="278">
        <v>3452727</v>
      </c>
      <c r="BK70" s="278">
        <v>2017347</v>
      </c>
      <c r="BL70" s="278">
        <v>1614180</v>
      </c>
      <c r="BM70" s="278">
        <v>1733724</v>
      </c>
      <c r="BN70" s="278">
        <v>1603893</v>
      </c>
      <c r="BO70" s="278">
        <v>1840744</v>
      </c>
      <c r="BP70" s="278">
        <v>1720007</v>
      </c>
      <c r="BQ70" s="278"/>
      <c r="BR70" s="278"/>
      <c r="BS70" s="278"/>
      <c r="BT70" s="278"/>
      <c r="BU70" s="278"/>
      <c r="BV70" s="278"/>
      <c r="BW70" s="278"/>
      <c r="BX70" s="278"/>
      <c r="BY70" s="278"/>
      <c r="BZ70" s="278">
        <v>2130209</v>
      </c>
      <c r="CA70" s="278">
        <v>1719972</v>
      </c>
      <c r="CB70" s="278">
        <v>2160668</v>
      </c>
      <c r="CC70" s="278">
        <v>1907099</v>
      </c>
      <c r="CD70" s="278">
        <v>1374309.5</v>
      </c>
      <c r="CE70" s="278">
        <v>1991757.6666666667</v>
      </c>
      <c r="CF70" s="278">
        <v>1151163</v>
      </c>
      <c r="CG70" s="278"/>
      <c r="CH70" s="278"/>
      <c r="CI70" s="278"/>
      <c r="CJ70" s="278"/>
      <c r="CK70" s="278"/>
      <c r="CL70" s="278"/>
      <c r="CM70" s="278"/>
      <c r="CN70" s="278"/>
      <c r="CO70" s="278">
        <v>1010</v>
      </c>
      <c r="CP70" s="278">
        <v>2218682</v>
      </c>
      <c r="CQ70" s="278">
        <v>1343888</v>
      </c>
      <c r="CR70" s="278">
        <v>1373376</v>
      </c>
      <c r="CS70" s="278">
        <v>1103303</v>
      </c>
      <c r="CT70" s="278">
        <v>1105703</v>
      </c>
      <c r="CU70" s="278">
        <v>1584066</v>
      </c>
      <c r="CV70" s="278">
        <v>1517620</v>
      </c>
      <c r="CW70" s="278"/>
      <c r="CX70" s="278"/>
      <c r="CY70" s="278"/>
      <c r="CZ70" s="278"/>
      <c r="DA70" s="278"/>
      <c r="DB70" s="278"/>
      <c r="DC70" s="278"/>
      <c r="DD70" s="278"/>
      <c r="DE70" s="278">
        <v>165035</v>
      </c>
      <c r="DF70" s="278">
        <v>1467639</v>
      </c>
      <c r="DG70" s="278">
        <v>1420178</v>
      </c>
      <c r="DH70" s="278">
        <v>1115010</v>
      </c>
      <c r="DI70" s="278">
        <v>1541130</v>
      </c>
      <c r="DJ70" s="278">
        <v>984936</v>
      </c>
      <c r="DK70" s="278">
        <v>1711716</v>
      </c>
      <c r="DL70" s="278">
        <v>798352</v>
      </c>
      <c r="DM70" s="278"/>
      <c r="DN70" s="278"/>
      <c r="DO70" s="278"/>
      <c r="DP70" s="278"/>
      <c r="DQ70" s="278"/>
      <c r="DR70" s="278"/>
      <c r="DS70" s="278"/>
      <c r="DT70" s="278"/>
      <c r="DU70" s="278">
        <v>1365921</v>
      </c>
      <c r="DV70" s="278">
        <v>1798848</v>
      </c>
      <c r="DW70" s="278">
        <v>983722</v>
      </c>
      <c r="DX70" s="278">
        <v>1323255</v>
      </c>
      <c r="DY70" s="278">
        <v>1138060</v>
      </c>
      <c r="DZ70" s="278">
        <v>906824</v>
      </c>
      <c r="EA70" s="278">
        <v>1239233.8333333333</v>
      </c>
      <c r="EB70" s="278">
        <v>944406.66666666663</v>
      </c>
      <c r="EC70" s="278"/>
      <c r="ED70" s="278"/>
      <c r="EE70" s="278"/>
      <c r="EF70" s="278"/>
      <c r="EG70" s="278"/>
      <c r="EH70" s="278"/>
      <c r="EI70" s="278"/>
      <c r="EJ70" s="278"/>
      <c r="EK70" s="278">
        <v>1735792</v>
      </c>
      <c r="EL70" s="278">
        <v>1621053</v>
      </c>
      <c r="EM70" s="278">
        <v>1380482</v>
      </c>
      <c r="EN70" s="278">
        <v>949212</v>
      </c>
      <c r="EO70" s="278">
        <v>1785016</v>
      </c>
      <c r="EP70" s="278">
        <v>761646</v>
      </c>
      <c r="EQ70" s="278">
        <v>1605674</v>
      </c>
      <c r="ER70" s="278"/>
      <c r="ES70" s="278"/>
      <c r="ET70" s="278"/>
      <c r="EU70" s="278"/>
      <c r="EV70" s="278"/>
      <c r="EW70" s="278"/>
      <c r="EX70" s="278"/>
      <c r="EY70" s="278"/>
      <c r="EZ70" s="278">
        <v>1902003</v>
      </c>
      <c r="FA70" s="278">
        <v>1915728</v>
      </c>
      <c r="FB70" s="278">
        <v>2034113</v>
      </c>
      <c r="FC70" s="278">
        <v>1370908</v>
      </c>
      <c r="FD70" s="278">
        <v>1733178</v>
      </c>
      <c r="FE70" s="278">
        <v>1823487</v>
      </c>
      <c r="FF70" s="278">
        <v>1694966</v>
      </c>
      <c r="FG70" s="278"/>
      <c r="FH70" s="279"/>
      <c r="FI70" s="279"/>
      <c r="FJ70" s="278"/>
      <c r="FK70" s="278"/>
      <c r="FL70" s="278"/>
      <c r="FM70" s="278"/>
      <c r="FN70" s="278"/>
      <c r="FO70" s="278">
        <v>1741383</v>
      </c>
      <c r="FP70" s="278">
        <v>2407865</v>
      </c>
      <c r="FQ70" s="278">
        <v>3115467</v>
      </c>
      <c r="FR70" s="278">
        <v>1664249</v>
      </c>
      <c r="FS70" s="278">
        <v>2497367</v>
      </c>
      <c r="FT70" s="278">
        <v>2763251.6666666665</v>
      </c>
      <c r="FU70" s="278">
        <v>2083105</v>
      </c>
      <c r="FV70" s="278"/>
      <c r="FW70" s="278"/>
      <c r="FX70" s="278"/>
      <c r="FY70" s="278"/>
      <c r="FZ70" s="278"/>
      <c r="GA70" s="278"/>
      <c r="GB70" s="278"/>
      <c r="GC70" s="278"/>
      <c r="GD70" s="278">
        <v>3818197</v>
      </c>
      <c r="GE70" s="278">
        <v>4443716</v>
      </c>
      <c r="GF70" s="278">
        <v>2817401</v>
      </c>
      <c r="GG70" s="278">
        <v>2221535</v>
      </c>
      <c r="GH70" s="278">
        <v>2288828</v>
      </c>
      <c r="GI70" s="278">
        <v>1741720</v>
      </c>
      <c r="GJ70" s="278">
        <v>3210558.6666666665</v>
      </c>
      <c r="GK70" s="278"/>
      <c r="GL70" s="275">
        <f t="shared" si="20"/>
        <v>2944046.5476190476</v>
      </c>
      <c r="GM70" s="275">
        <f t="shared" si="21"/>
        <v>2854398.5952857141</v>
      </c>
      <c r="GN70" s="275">
        <f t="shared" si="22"/>
        <v>2567880.6190476194</v>
      </c>
      <c r="GO70" s="275">
        <f t="shared" si="23"/>
        <v>1997517.4285714286</v>
      </c>
      <c r="GP70" s="275">
        <f t="shared" si="24"/>
        <v>1776454.0238095238</v>
      </c>
      <c r="GQ70" s="275">
        <f t="shared" si="25"/>
        <v>1463805.4285714286</v>
      </c>
      <c r="GR70" s="278">
        <f>AVERAGE(DF70:DL70)</f>
        <v>1291280.142857143</v>
      </c>
      <c r="GS70" s="275">
        <f>AVERAGE(DU70:EB70)</f>
        <v>1212533.8125</v>
      </c>
      <c r="GT70" s="275">
        <f t="shared" si="26"/>
        <v>1405553.5714285714</v>
      </c>
      <c r="GU70" s="275">
        <f t="shared" si="27"/>
        <v>1782054.7142857143</v>
      </c>
      <c r="GV70" s="275">
        <f t="shared" si="28"/>
        <v>2324669.6666666665</v>
      </c>
      <c r="GW70" s="275">
        <f t="shared" si="29"/>
        <v>2934565.0952380956</v>
      </c>
      <c r="GX70" s="277" t="s">
        <v>846</v>
      </c>
      <c r="GY70" s="277" t="s">
        <v>357</v>
      </c>
    </row>
    <row r="71" spans="2:207" s="277" customFormat="1">
      <c r="D71" s="277" t="s">
        <v>356</v>
      </c>
      <c r="E71" s="278"/>
      <c r="F71" s="278"/>
      <c r="G71" s="278"/>
      <c r="H71" s="278"/>
      <c r="I71" s="278"/>
      <c r="J71" s="278"/>
      <c r="K71" s="278"/>
      <c r="L71" s="278"/>
      <c r="M71" s="278"/>
      <c r="N71" s="278">
        <v>2687100</v>
      </c>
      <c r="O71" s="278">
        <v>2336399</v>
      </c>
      <c r="P71" s="278">
        <v>3188878</v>
      </c>
      <c r="Q71" s="278">
        <v>3125101</v>
      </c>
      <c r="R71" s="278">
        <v>3787388</v>
      </c>
      <c r="S71" s="278">
        <v>2106197.3333333335</v>
      </c>
      <c r="T71" s="278">
        <v>4237411</v>
      </c>
      <c r="U71" s="278"/>
      <c r="V71" s="278"/>
      <c r="W71" s="278"/>
      <c r="X71" s="278"/>
      <c r="Y71" s="278"/>
      <c r="Z71" s="278"/>
      <c r="AA71" s="278"/>
      <c r="AB71" s="278"/>
      <c r="AC71" s="278"/>
      <c r="AD71" s="278">
        <v>1531281</v>
      </c>
      <c r="AE71" s="278">
        <v>2411808</v>
      </c>
      <c r="AF71" s="278">
        <v>4627617</v>
      </c>
      <c r="AG71" s="278">
        <v>2684182</v>
      </c>
      <c r="AH71" s="278">
        <v>3449550</v>
      </c>
      <c r="AI71" s="278">
        <v>2961192.3330000001</v>
      </c>
      <c r="AJ71" s="278">
        <v>2076893.833333333</v>
      </c>
      <c r="AK71" s="278"/>
      <c r="AL71" s="278"/>
      <c r="AM71" s="278"/>
      <c r="AN71" s="278"/>
      <c r="AO71" s="278"/>
      <c r="AP71" s="278"/>
      <c r="AQ71" s="278"/>
      <c r="AR71" s="278"/>
      <c r="AS71" s="278"/>
      <c r="AT71" s="278">
        <v>2140982</v>
      </c>
      <c r="AU71" s="278">
        <v>2422180</v>
      </c>
      <c r="AV71" s="278">
        <v>1964115</v>
      </c>
      <c r="AW71" s="278">
        <v>2424284</v>
      </c>
      <c r="AX71" s="278">
        <v>3000382</v>
      </c>
      <c r="AY71" s="278">
        <v>2618841.6666666665</v>
      </c>
      <c r="AZ71" s="278">
        <v>3788580.5000000005</v>
      </c>
      <c r="BA71" s="278"/>
      <c r="BB71" s="278"/>
      <c r="BC71" s="278"/>
      <c r="BD71" s="278"/>
      <c r="BE71" s="278"/>
      <c r="BF71" s="278"/>
      <c r="BG71" s="278"/>
      <c r="BH71" s="278"/>
      <c r="BI71" s="278"/>
      <c r="BJ71" s="278">
        <v>3414600</v>
      </c>
      <c r="BK71" s="278">
        <v>2140963</v>
      </c>
      <c r="BL71" s="278">
        <v>1765800</v>
      </c>
      <c r="BM71" s="278">
        <v>2052659</v>
      </c>
      <c r="BN71" s="278">
        <v>1758349</v>
      </c>
      <c r="BO71" s="278">
        <v>1786109.1666666667</v>
      </c>
      <c r="BP71" s="278">
        <v>1364110.9999999998</v>
      </c>
      <c r="BQ71" s="278"/>
      <c r="BR71" s="278"/>
      <c r="BS71" s="278"/>
      <c r="BT71" s="278"/>
      <c r="BU71" s="278"/>
      <c r="BV71" s="278"/>
      <c r="BW71" s="278"/>
      <c r="BX71" s="278"/>
      <c r="BY71" s="278"/>
      <c r="BZ71" s="278">
        <v>1381736</v>
      </c>
      <c r="CA71" s="278">
        <v>1688356</v>
      </c>
      <c r="CB71" s="278">
        <v>2298998</v>
      </c>
      <c r="CC71" s="278">
        <v>1949050</v>
      </c>
      <c r="CD71" s="278">
        <v>1614464.3333333333</v>
      </c>
      <c r="CE71" s="278">
        <v>1918601.1666666667</v>
      </c>
      <c r="CF71" s="278">
        <v>1081382</v>
      </c>
      <c r="CG71" s="278"/>
      <c r="CH71" s="278"/>
      <c r="CI71" s="278"/>
      <c r="CJ71" s="278"/>
      <c r="CK71" s="278"/>
      <c r="CL71" s="278"/>
      <c r="CM71" s="278"/>
      <c r="CN71" s="278"/>
      <c r="CO71" s="278">
        <v>1735</v>
      </c>
      <c r="CP71" s="278">
        <v>1805883</v>
      </c>
      <c r="CQ71" s="278">
        <v>1277841</v>
      </c>
      <c r="CR71" s="278">
        <v>1375599</v>
      </c>
      <c r="CS71" s="278">
        <v>1206644</v>
      </c>
      <c r="CT71" s="278">
        <v>1170829</v>
      </c>
      <c r="CU71" s="278">
        <v>1551332.3333333333</v>
      </c>
      <c r="CV71" s="278">
        <v>1417877</v>
      </c>
      <c r="CW71" s="278"/>
      <c r="CX71" s="278"/>
      <c r="CY71" s="278"/>
      <c r="CZ71" s="278"/>
      <c r="DA71" s="278"/>
      <c r="DB71" s="278"/>
      <c r="DC71" s="278"/>
      <c r="DD71" s="278"/>
      <c r="DE71" s="278">
        <v>179258</v>
      </c>
      <c r="DF71" s="278">
        <v>1418703</v>
      </c>
      <c r="DG71" s="278">
        <v>1436856</v>
      </c>
      <c r="DH71" s="278">
        <v>1137459</v>
      </c>
      <c r="DI71" s="278">
        <v>1558740</v>
      </c>
      <c r="DJ71" s="278">
        <v>1028306</v>
      </c>
      <c r="DK71" s="278">
        <v>1682949</v>
      </c>
      <c r="DL71" s="278">
        <v>741653.83333333326</v>
      </c>
      <c r="DM71" s="278"/>
      <c r="DN71" s="278"/>
      <c r="DO71" s="278"/>
      <c r="DP71" s="278"/>
      <c r="DQ71" s="278"/>
      <c r="DR71" s="278"/>
      <c r="DS71" s="278"/>
      <c r="DT71" s="278"/>
      <c r="DU71" s="278">
        <v>1373715</v>
      </c>
      <c r="DV71" s="278">
        <v>1778470</v>
      </c>
      <c r="DW71" s="278">
        <v>981797</v>
      </c>
      <c r="DX71" s="278">
        <v>1333149</v>
      </c>
      <c r="DY71" s="278">
        <v>1207704</v>
      </c>
      <c r="DZ71" s="278">
        <v>1032797</v>
      </c>
      <c r="EA71" s="278">
        <v>1253219.1666666667</v>
      </c>
      <c r="EB71" s="278">
        <v>882458</v>
      </c>
      <c r="EC71" s="278"/>
      <c r="ED71" s="278"/>
      <c r="EE71" s="278"/>
      <c r="EF71" s="278"/>
      <c r="EG71" s="278"/>
      <c r="EH71" s="278"/>
      <c r="EI71" s="278"/>
      <c r="EJ71" s="278"/>
      <c r="EK71" s="278">
        <v>1689788</v>
      </c>
      <c r="EL71" s="278">
        <v>1579499</v>
      </c>
      <c r="EM71" s="278">
        <v>1369935</v>
      </c>
      <c r="EN71" s="278">
        <v>1019957</v>
      </c>
      <c r="EO71" s="278">
        <v>2003642</v>
      </c>
      <c r="EP71" s="278">
        <v>805909</v>
      </c>
      <c r="EQ71" s="278">
        <v>1583571.6666666667</v>
      </c>
      <c r="ER71" s="278"/>
      <c r="ES71" s="278"/>
      <c r="ET71" s="278"/>
      <c r="EU71" s="278"/>
      <c r="EV71" s="278"/>
      <c r="EW71" s="278"/>
      <c r="EX71" s="278"/>
      <c r="EY71" s="278"/>
      <c r="EZ71" s="278">
        <v>1902640</v>
      </c>
      <c r="FA71" s="278">
        <v>1904680</v>
      </c>
      <c r="FB71" s="278">
        <v>2225076</v>
      </c>
      <c r="FC71" s="278">
        <v>1547968</v>
      </c>
      <c r="FD71" s="278">
        <v>1976620</v>
      </c>
      <c r="FE71" s="278">
        <v>1607056</v>
      </c>
      <c r="FF71" s="278">
        <v>1722607.6666666667</v>
      </c>
      <c r="FG71" s="278"/>
      <c r="FH71" s="279"/>
      <c r="FI71" s="279"/>
      <c r="FJ71" s="278"/>
      <c r="FK71" s="278"/>
      <c r="FL71" s="278"/>
      <c r="FM71" s="278"/>
      <c r="FN71" s="278"/>
      <c r="FO71" s="278">
        <v>1838508</v>
      </c>
      <c r="FP71" s="278">
        <v>2513205</v>
      </c>
      <c r="FQ71" s="278">
        <v>3093692</v>
      </c>
      <c r="FR71" s="278">
        <v>1941144</v>
      </c>
      <c r="FS71" s="278">
        <v>2882798</v>
      </c>
      <c r="FT71" s="278">
        <v>2779668.3333333335</v>
      </c>
      <c r="FU71" s="278">
        <v>2117603</v>
      </c>
      <c r="FV71" s="278"/>
      <c r="FW71" s="278"/>
      <c r="FX71" s="278"/>
      <c r="FY71" s="278"/>
      <c r="FZ71" s="278"/>
      <c r="GA71" s="278"/>
      <c r="GB71" s="278"/>
      <c r="GC71" s="278"/>
      <c r="GD71" s="278">
        <v>3807681</v>
      </c>
      <c r="GE71" s="278">
        <v>4579759</v>
      </c>
      <c r="GF71" s="278">
        <v>3151281</v>
      </c>
      <c r="GG71" s="278">
        <v>2289898</v>
      </c>
      <c r="GH71" s="278">
        <v>3469405</v>
      </c>
      <c r="GI71" s="278">
        <v>1837132</v>
      </c>
      <c r="GJ71" s="278">
        <v>3410078</v>
      </c>
      <c r="GK71" s="278"/>
      <c r="GL71" s="275">
        <f t="shared" si="20"/>
        <v>3066924.9047619044</v>
      </c>
      <c r="GM71" s="275">
        <f t="shared" si="21"/>
        <v>2820360.5951904762</v>
      </c>
      <c r="GN71" s="275">
        <f t="shared" si="22"/>
        <v>2622766.4523809524</v>
      </c>
      <c r="GO71" s="275">
        <f t="shared" si="23"/>
        <v>2040370.1666666665</v>
      </c>
      <c r="GP71" s="275">
        <f t="shared" si="24"/>
        <v>1704655.357142857</v>
      </c>
      <c r="GQ71" s="275">
        <f t="shared" si="25"/>
        <v>1400857.9047619046</v>
      </c>
      <c r="GR71" s="278">
        <f>AVERAGE(DF71:DL71)</f>
        <v>1286380.9761904762</v>
      </c>
      <c r="GS71" s="275">
        <f>AVERAGE(DU71:EB71)</f>
        <v>1230413.6458333333</v>
      </c>
      <c r="GT71" s="275">
        <f t="shared" si="26"/>
        <v>1436043.0952380951</v>
      </c>
      <c r="GU71" s="275">
        <f t="shared" si="27"/>
        <v>1840949.6666666665</v>
      </c>
      <c r="GV71" s="275">
        <f t="shared" si="28"/>
        <v>2452374.047619048</v>
      </c>
      <c r="GW71" s="275">
        <f t="shared" si="29"/>
        <v>3220747.7142857141</v>
      </c>
      <c r="GX71" s="277" t="s">
        <v>846</v>
      </c>
      <c r="GY71" s="277" t="s">
        <v>356</v>
      </c>
    </row>
    <row r="72" spans="2:207" s="277" customFormat="1">
      <c r="C72" s="277" t="s">
        <v>801</v>
      </c>
      <c r="D72" s="277" t="s">
        <v>353</v>
      </c>
      <c r="E72" s="278">
        <v>0</v>
      </c>
      <c r="F72" s="278">
        <v>0</v>
      </c>
      <c r="G72" s="278">
        <v>0</v>
      </c>
      <c r="H72" s="278">
        <v>0</v>
      </c>
      <c r="I72" s="278">
        <v>0</v>
      </c>
      <c r="J72" s="278">
        <v>0</v>
      </c>
      <c r="K72" s="278">
        <v>0</v>
      </c>
      <c r="L72" s="278">
        <v>0</v>
      </c>
      <c r="M72" s="278">
        <v>0</v>
      </c>
      <c r="N72" s="278">
        <v>3450026</v>
      </c>
      <c r="O72" s="278">
        <v>2413100</v>
      </c>
      <c r="P72" s="278">
        <v>2392975</v>
      </c>
      <c r="Q72" s="278">
        <v>1622272</v>
      </c>
      <c r="R72" s="278">
        <v>2250000</v>
      </c>
      <c r="S72" s="278">
        <v>1573088.3333333333</v>
      </c>
      <c r="T72" s="278">
        <v>3626173.333333333</v>
      </c>
      <c r="U72" s="278">
        <v>0</v>
      </c>
      <c r="V72" s="278">
        <v>0</v>
      </c>
      <c r="W72" s="278">
        <v>0</v>
      </c>
      <c r="X72" s="278">
        <v>0</v>
      </c>
      <c r="Y72" s="278">
        <v>0</v>
      </c>
      <c r="Z72" s="278">
        <v>0</v>
      </c>
      <c r="AA72" s="278">
        <v>0</v>
      </c>
      <c r="AB72" s="278">
        <v>0</v>
      </c>
      <c r="AC72" s="278">
        <v>0</v>
      </c>
      <c r="AD72" s="278">
        <v>2975778</v>
      </c>
      <c r="AE72" s="278">
        <v>2673236</v>
      </c>
      <c r="AF72" s="278">
        <v>2896458</v>
      </c>
      <c r="AG72" s="278">
        <v>1394163</v>
      </c>
      <c r="AH72" s="278">
        <v>2310678</v>
      </c>
      <c r="AI72" s="278">
        <v>2888101.3333333335</v>
      </c>
      <c r="AJ72" s="278">
        <v>1557069.6666666667</v>
      </c>
      <c r="AK72" s="278">
        <v>0</v>
      </c>
      <c r="AL72" s="278">
        <v>0</v>
      </c>
      <c r="AM72" s="278">
        <v>0</v>
      </c>
      <c r="AN72" s="278">
        <v>0</v>
      </c>
      <c r="AO72" s="278">
        <v>0</v>
      </c>
      <c r="AP72" s="278">
        <v>0</v>
      </c>
      <c r="AQ72" s="278">
        <v>0</v>
      </c>
      <c r="AR72" s="278">
        <v>0</v>
      </c>
      <c r="AS72" s="278">
        <v>0</v>
      </c>
      <c r="AT72" s="278">
        <v>2844164</v>
      </c>
      <c r="AU72" s="278">
        <v>2614479</v>
      </c>
      <c r="AV72" s="278">
        <v>3157263</v>
      </c>
      <c r="AW72" s="278">
        <v>2271702</v>
      </c>
      <c r="AX72" s="278">
        <v>2671047.0000000005</v>
      </c>
      <c r="AY72" s="278">
        <v>2131241.5</v>
      </c>
      <c r="AZ72" s="278">
        <v>3125595.666666667</v>
      </c>
      <c r="BA72" s="278">
        <v>0</v>
      </c>
      <c r="BB72" s="278">
        <v>0</v>
      </c>
      <c r="BC72" s="278">
        <v>0</v>
      </c>
      <c r="BD72" s="278">
        <v>0</v>
      </c>
      <c r="BE72" s="278">
        <v>0</v>
      </c>
      <c r="BF72" s="278">
        <v>0</v>
      </c>
      <c r="BG72" s="278">
        <v>0</v>
      </c>
      <c r="BH72" s="278">
        <v>0</v>
      </c>
      <c r="BI72" s="278">
        <v>0</v>
      </c>
      <c r="BJ72" s="278">
        <v>3201589</v>
      </c>
      <c r="BK72" s="278">
        <v>1831183</v>
      </c>
      <c r="BL72" s="278">
        <v>2589188</v>
      </c>
      <c r="BM72" s="278">
        <v>2037058</v>
      </c>
      <c r="BN72" s="278">
        <v>3481545</v>
      </c>
      <c r="BO72" s="278">
        <v>2887211.6666666665</v>
      </c>
      <c r="BP72" s="278">
        <v>2763882</v>
      </c>
      <c r="BQ72" s="278">
        <v>0</v>
      </c>
      <c r="BR72" s="278">
        <v>0</v>
      </c>
      <c r="BS72" s="278">
        <v>0</v>
      </c>
      <c r="BT72" s="278">
        <v>0</v>
      </c>
      <c r="BU72" s="278">
        <v>0</v>
      </c>
      <c r="BV72" s="278">
        <v>0</v>
      </c>
      <c r="BW72" s="278">
        <v>0</v>
      </c>
      <c r="BX72" s="278">
        <v>0</v>
      </c>
      <c r="BY72" s="278">
        <v>0</v>
      </c>
      <c r="BZ72" s="278">
        <v>2522359</v>
      </c>
      <c r="CA72" s="278">
        <v>2824000</v>
      </c>
      <c r="CB72" s="278">
        <v>3886000</v>
      </c>
      <c r="CC72" s="278">
        <v>2894369</v>
      </c>
      <c r="CD72" s="278">
        <v>3799038.0000000005</v>
      </c>
      <c r="CE72" s="278">
        <v>2310322</v>
      </c>
      <c r="CF72" s="278">
        <v>2114269</v>
      </c>
      <c r="CG72" s="278">
        <v>0</v>
      </c>
      <c r="CH72" s="278">
        <v>0</v>
      </c>
      <c r="CI72" s="278">
        <v>0</v>
      </c>
      <c r="CJ72" s="278">
        <v>0</v>
      </c>
      <c r="CK72" s="278">
        <v>0</v>
      </c>
      <c r="CL72" s="278">
        <v>0</v>
      </c>
      <c r="CM72" s="278">
        <v>0</v>
      </c>
      <c r="CN72" s="278">
        <v>0</v>
      </c>
      <c r="CO72" s="278">
        <v>0</v>
      </c>
      <c r="CP72" s="278">
        <v>2161009</v>
      </c>
      <c r="CQ72" s="278">
        <v>3444934</v>
      </c>
      <c r="CR72" s="278">
        <v>2039951</v>
      </c>
      <c r="CS72" s="278">
        <v>1837629</v>
      </c>
      <c r="CT72" s="278">
        <v>1541820.5000000002</v>
      </c>
      <c r="CU72" s="278">
        <v>1366835.5</v>
      </c>
      <c r="CV72" s="278">
        <v>1788382</v>
      </c>
      <c r="CW72" s="278">
        <v>0</v>
      </c>
      <c r="CX72" s="278">
        <v>0</v>
      </c>
      <c r="CY72" s="278">
        <v>0</v>
      </c>
      <c r="CZ72" s="278">
        <v>0</v>
      </c>
      <c r="DA72" s="278">
        <v>0</v>
      </c>
      <c r="DB72" s="278">
        <v>0</v>
      </c>
      <c r="DC72" s="278">
        <v>0</v>
      </c>
      <c r="DD72" s="278">
        <v>0</v>
      </c>
      <c r="DE72" s="278">
        <v>0</v>
      </c>
      <c r="DF72" s="278">
        <v>1636645</v>
      </c>
      <c r="DG72" s="278">
        <v>1428803</v>
      </c>
      <c r="DH72" s="278">
        <v>2736605</v>
      </c>
      <c r="DI72" s="278">
        <v>2048947.9999999998</v>
      </c>
      <c r="DJ72" s="278">
        <v>1797108</v>
      </c>
      <c r="DK72" s="278">
        <v>2537860</v>
      </c>
      <c r="DL72" s="278">
        <v>1033421.6666666666</v>
      </c>
      <c r="DM72" s="278">
        <v>0</v>
      </c>
      <c r="DN72" s="278">
        <v>0</v>
      </c>
      <c r="DO72" s="278">
        <v>0</v>
      </c>
      <c r="DP72" s="278">
        <v>0</v>
      </c>
      <c r="DQ72" s="278">
        <v>0</v>
      </c>
      <c r="DR72" s="278">
        <v>0</v>
      </c>
      <c r="DS72" s="278">
        <v>0</v>
      </c>
      <c r="DT72" s="278">
        <v>0</v>
      </c>
      <c r="DU72" s="278">
        <v>1011324</v>
      </c>
      <c r="DV72" s="278">
        <v>1487781</v>
      </c>
      <c r="DW72" s="278">
        <v>1806043</v>
      </c>
      <c r="DX72" s="278">
        <v>1384248</v>
      </c>
      <c r="DY72" s="278">
        <v>1913081</v>
      </c>
      <c r="DZ72" s="278">
        <v>1625936</v>
      </c>
      <c r="EA72" s="278">
        <v>1818517.3333333333</v>
      </c>
      <c r="EB72" s="278">
        <v>1451209.8333333333</v>
      </c>
      <c r="EC72" s="278">
        <v>0</v>
      </c>
      <c r="ED72" s="278">
        <v>0</v>
      </c>
      <c r="EE72" s="278">
        <v>0</v>
      </c>
      <c r="EF72" s="278">
        <v>0</v>
      </c>
      <c r="EG72" s="278">
        <v>0</v>
      </c>
      <c r="EH72" s="278">
        <v>0</v>
      </c>
      <c r="EI72" s="278">
        <v>0</v>
      </c>
      <c r="EJ72" s="278">
        <v>0</v>
      </c>
      <c r="EK72" s="278">
        <v>1587851</v>
      </c>
      <c r="EL72" s="278">
        <v>2895964</v>
      </c>
      <c r="EM72" s="278">
        <v>2261027</v>
      </c>
      <c r="EN72" s="278">
        <v>2030215</v>
      </c>
      <c r="EO72" s="278">
        <v>2213509</v>
      </c>
      <c r="EP72" s="278">
        <v>1706324.0000000002</v>
      </c>
      <c r="EQ72" s="278">
        <v>1668020.6666666667</v>
      </c>
      <c r="ER72" s="278">
        <v>0</v>
      </c>
      <c r="ES72" s="278">
        <v>0</v>
      </c>
      <c r="ET72" s="278">
        <v>0</v>
      </c>
      <c r="EU72" s="278">
        <v>0</v>
      </c>
      <c r="EV72" s="278">
        <v>0</v>
      </c>
      <c r="EW72" s="278">
        <v>0</v>
      </c>
      <c r="EX72" s="278">
        <v>0</v>
      </c>
      <c r="EY72" s="278">
        <v>0</v>
      </c>
      <c r="EZ72" s="278">
        <v>2917003</v>
      </c>
      <c r="FA72" s="278">
        <v>2885067</v>
      </c>
      <c r="FB72" s="278">
        <v>3435743</v>
      </c>
      <c r="FC72" s="278">
        <v>2339630</v>
      </c>
      <c r="FD72" s="278">
        <v>2499364</v>
      </c>
      <c r="FE72" s="278">
        <v>2591863</v>
      </c>
      <c r="FF72" s="278">
        <v>2980185.3333333335</v>
      </c>
      <c r="FG72" s="278">
        <v>0</v>
      </c>
      <c r="FH72" s="279">
        <v>0</v>
      </c>
      <c r="FI72" s="279">
        <v>0</v>
      </c>
      <c r="FJ72" s="278">
        <v>0</v>
      </c>
      <c r="FK72" s="278">
        <v>0</v>
      </c>
      <c r="FL72" s="278">
        <v>0</v>
      </c>
      <c r="FM72" s="278">
        <v>0</v>
      </c>
      <c r="FN72" s="278">
        <v>0</v>
      </c>
      <c r="FO72" s="278">
        <v>2519817</v>
      </c>
      <c r="FP72" s="278">
        <v>2457608</v>
      </c>
      <c r="FQ72" s="278">
        <v>2090208.9999999998</v>
      </c>
      <c r="FR72" s="278">
        <v>2273208</v>
      </c>
      <c r="FS72" s="278">
        <v>2261523</v>
      </c>
      <c r="FT72" s="278">
        <v>1776821.9999999998</v>
      </c>
      <c r="FU72" s="278">
        <v>2968459</v>
      </c>
      <c r="FV72" s="278">
        <v>0</v>
      </c>
      <c r="FW72" s="278">
        <v>0</v>
      </c>
      <c r="FX72" s="278">
        <v>0</v>
      </c>
      <c r="FY72" s="278">
        <v>0</v>
      </c>
      <c r="FZ72" s="278">
        <v>0</v>
      </c>
      <c r="GA72" s="278">
        <v>0</v>
      </c>
      <c r="GB72" s="278">
        <v>0</v>
      </c>
      <c r="GC72" s="278">
        <v>0</v>
      </c>
      <c r="GD72" s="278">
        <v>3958025</v>
      </c>
      <c r="GE72" s="278">
        <v>3483304</v>
      </c>
      <c r="GF72" s="278">
        <v>2665970</v>
      </c>
      <c r="GG72" s="278">
        <v>1828519</v>
      </c>
      <c r="GH72" s="278">
        <v>2383806</v>
      </c>
      <c r="GI72" s="278">
        <v>2169994.333333333</v>
      </c>
      <c r="GJ72" s="278">
        <v>2590103.3333333335</v>
      </c>
      <c r="GK72" s="278"/>
      <c r="GL72" s="275">
        <f t="shared" si="20"/>
        <v>2475376.3809523811</v>
      </c>
      <c r="GM72" s="275">
        <f t="shared" si="21"/>
        <v>2385069.1428571427</v>
      </c>
      <c r="GN72" s="275">
        <f t="shared" si="22"/>
        <v>2687927.4523809524</v>
      </c>
      <c r="GO72" s="275">
        <f t="shared" si="23"/>
        <v>2684522.3809523806</v>
      </c>
      <c r="GP72" s="275">
        <f t="shared" si="24"/>
        <v>2907193.8571428573</v>
      </c>
      <c r="GQ72" s="275">
        <f t="shared" si="25"/>
        <v>2025794.4285714286</v>
      </c>
      <c r="GR72" s="278">
        <f>AVERAGE(DF72:DL72)</f>
        <v>1888484.3809523808</v>
      </c>
      <c r="GS72" s="278">
        <f>AVERAGE(DV72:EB72)</f>
        <v>1640973.7380952383</v>
      </c>
      <c r="GT72" s="275">
        <f t="shared" si="26"/>
        <v>2051844.3809523808</v>
      </c>
      <c r="GU72" s="275">
        <f t="shared" si="27"/>
        <v>2806979.333333333</v>
      </c>
      <c r="GV72" s="275">
        <f t="shared" si="28"/>
        <v>2335378</v>
      </c>
      <c r="GW72" s="275">
        <f t="shared" si="29"/>
        <v>2725674.5238095233</v>
      </c>
      <c r="GX72" s="277" t="s">
        <v>846</v>
      </c>
      <c r="GY72" s="277" t="s">
        <v>353</v>
      </c>
    </row>
    <row r="73" spans="2:207" s="277" customFormat="1">
      <c r="D73" s="277" t="s">
        <v>354</v>
      </c>
      <c r="E73" s="278"/>
      <c r="F73" s="278"/>
      <c r="G73" s="278"/>
      <c r="H73" s="278"/>
      <c r="I73" s="278"/>
      <c r="J73" s="278"/>
      <c r="K73" s="278"/>
      <c r="L73" s="278"/>
      <c r="M73" s="278"/>
      <c r="N73" s="278">
        <v>1798184</v>
      </c>
      <c r="O73" s="278">
        <v>1246114</v>
      </c>
      <c r="P73" s="278">
        <v>1126889</v>
      </c>
      <c r="Q73" s="278">
        <v>1112717</v>
      </c>
      <c r="R73" s="278">
        <v>1084000</v>
      </c>
      <c r="S73" s="278">
        <v>737718</v>
      </c>
      <c r="T73" s="278">
        <v>1859873.1666666665</v>
      </c>
      <c r="U73" s="278"/>
      <c r="V73" s="278"/>
      <c r="W73" s="278"/>
      <c r="X73" s="278"/>
      <c r="Y73" s="278"/>
      <c r="Z73" s="278"/>
      <c r="AA73" s="278"/>
      <c r="AB73" s="278"/>
      <c r="AC73" s="278"/>
      <c r="AD73" s="278">
        <v>1601475</v>
      </c>
      <c r="AE73" s="278">
        <v>1448508</v>
      </c>
      <c r="AF73" s="278">
        <v>1348000</v>
      </c>
      <c r="AG73" s="278">
        <v>850789</v>
      </c>
      <c r="AH73" s="278">
        <v>1058732</v>
      </c>
      <c r="AI73" s="278">
        <v>1309583.8333333333</v>
      </c>
      <c r="AJ73" s="278">
        <v>756524.00000000012</v>
      </c>
      <c r="AK73" s="278"/>
      <c r="AL73" s="278"/>
      <c r="AM73" s="278"/>
      <c r="AN73" s="278"/>
      <c r="AO73" s="278"/>
      <c r="AP73" s="278"/>
      <c r="AQ73" s="278"/>
      <c r="AR73" s="278"/>
      <c r="AS73" s="278"/>
      <c r="AT73" s="278">
        <v>1416524</v>
      </c>
      <c r="AU73" s="278">
        <v>1319025</v>
      </c>
      <c r="AV73" s="278">
        <v>1563648.0000000002</v>
      </c>
      <c r="AW73" s="278">
        <v>1503740</v>
      </c>
      <c r="AX73" s="278">
        <v>1378348</v>
      </c>
      <c r="AY73" s="278">
        <v>1094985.8333333333</v>
      </c>
      <c r="AZ73" s="278">
        <v>1560002.8333333335</v>
      </c>
      <c r="BA73" s="278"/>
      <c r="BB73" s="278"/>
      <c r="BC73" s="278"/>
      <c r="BD73" s="278"/>
      <c r="BE73" s="278"/>
      <c r="BF73" s="278"/>
      <c r="BG73" s="278"/>
      <c r="BH73" s="278"/>
      <c r="BI73" s="278"/>
      <c r="BJ73" s="278">
        <v>1639080</v>
      </c>
      <c r="BK73" s="278">
        <v>917111</v>
      </c>
      <c r="BL73" s="278">
        <v>1286909</v>
      </c>
      <c r="BM73" s="278">
        <v>1351006</v>
      </c>
      <c r="BN73" s="278">
        <v>1688817</v>
      </c>
      <c r="BO73" s="278">
        <v>1530916.8333333333</v>
      </c>
      <c r="BP73" s="278">
        <v>1386422</v>
      </c>
      <c r="BQ73" s="278"/>
      <c r="BR73" s="278"/>
      <c r="BS73" s="278"/>
      <c r="BT73" s="278"/>
      <c r="BU73" s="278"/>
      <c r="BV73" s="278"/>
      <c r="BW73" s="278"/>
      <c r="BX73" s="278"/>
      <c r="BY73" s="278"/>
      <c r="BZ73" s="278">
        <v>1313627</v>
      </c>
      <c r="CA73" s="278">
        <v>1493972</v>
      </c>
      <c r="CB73" s="278">
        <v>1982073</v>
      </c>
      <c r="CC73" s="278">
        <v>1713027</v>
      </c>
      <c r="CD73" s="278">
        <v>1804284.9999999995</v>
      </c>
      <c r="CE73" s="278">
        <v>1182278.1666666667</v>
      </c>
      <c r="CF73" s="278">
        <v>1113058</v>
      </c>
      <c r="CG73" s="278"/>
      <c r="CH73" s="278"/>
      <c r="CI73" s="278"/>
      <c r="CJ73" s="278"/>
      <c r="CK73" s="278"/>
      <c r="CL73" s="278"/>
      <c r="CM73" s="278"/>
      <c r="CN73" s="278"/>
      <c r="CO73" s="278"/>
      <c r="CP73" s="278">
        <v>1041839</v>
      </c>
      <c r="CQ73" s="278">
        <v>1732695</v>
      </c>
      <c r="CR73" s="278">
        <v>906341</v>
      </c>
      <c r="CS73" s="278">
        <v>944273</v>
      </c>
      <c r="CT73" s="278">
        <v>814275.50000000023</v>
      </c>
      <c r="CU73" s="278">
        <v>649589.66666666663</v>
      </c>
      <c r="CV73" s="278">
        <v>1006288</v>
      </c>
      <c r="CW73" s="278"/>
      <c r="CX73" s="278"/>
      <c r="CY73" s="278"/>
      <c r="CZ73" s="278"/>
      <c r="DA73" s="278"/>
      <c r="DB73" s="278"/>
      <c r="DC73" s="278"/>
      <c r="DD73" s="278"/>
      <c r="DE73" s="278"/>
      <c r="DF73" s="278">
        <v>800862</v>
      </c>
      <c r="DG73" s="278">
        <v>668020</v>
      </c>
      <c r="DH73" s="278">
        <v>1497974</v>
      </c>
      <c r="DI73" s="278">
        <v>974700</v>
      </c>
      <c r="DJ73" s="278">
        <v>962780.99999999988</v>
      </c>
      <c r="DK73" s="278">
        <v>1175669</v>
      </c>
      <c r="DL73" s="278">
        <v>573673.16666666663</v>
      </c>
      <c r="DM73" s="278"/>
      <c r="DN73" s="278"/>
      <c r="DO73" s="278"/>
      <c r="DP73" s="278"/>
      <c r="DQ73" s="278"/>
      <c r="DR73" s="278"/>
      <c r="DS73" s="278"/>
      <c r="DT73" s="278"/>
      <c r="DU73" s="278">
        <v>11053</v>
      </c>
      <c r="DV73" s="278">
        <v>714298</v>
      </c>
      <c r="DW73" s="278">
        <v>1010179</v>
      </c>
      <c r="DX73" s="278">
        <v>667096</v>
      </c>
      <c r="DY73" s="278">
        <v>888916</v>
      </c>
      <c r="DZ73" s="278">
        <v>892617.99999999988</v>
      </c>
      <c r="EA73" s="278">
        <v>888215.83333333337</v>
      </c>
      <c r="EB73" s="278">
        <v>672940.83333333349</v>
      </c>
      <c r="EC73" s="278"/>
      <c r="ED73" s="278"/>
      <c r="EE73" s="278"/>
      <c r="EF73" s="278"/>
      <c r="EG73" s="278"/>
      <c r="EH73" s="278"/>
      <c r="EI73" s="278"/>
      <c r="EJ73" s="278"/>
      <c r="EK73" s="278">
        <v>720692</v>
      </c>
      <c r="EL73" s="278">
        <v>1430537</v>
      </c>
      <c r="EM73" s="278">
        <v>1141334</v>
      </c>
      <c r="EN73" s="278">
        <v>1035733.9999999999</v>
      </c>
      <c r="EO73" s="278">
        <v>1055523</v>
      </c>
      <c r="EP73" s="278">
        <v>850624.00000000012</v>
      </c>
      <c r="EQ73" s="278">
        <v>856791.83333333337</v>
      </c>
      <c r="ER73" s="278"/>
      <c r="ES73" s="278"/>
      <c r="ET73" s="278"/>
      <c r="EU73" s="278"/>
      <c r="EV73" s="278"/>
      <c r="EW73" s="278"/>
      <c r="EX73" s="278"/>
      <c r="EY73" s="278"/>
      <c r="EZ73" s="278">
        <v>1381076</v>
      </c>
      <c r="FA73" s="278">
        <v>1443132</v>
      </c>
      <c r="FB73" s="278">
        <v>1643334</v>
      </c>
      <c r="FC73" s="278">
        <v>1108325</v>
      </c>
      <c r="FD73" s="278">
        <v>1061525</v>
      </c>
      <c r="FE73" s="278">
        <v>1259187.0000000002</v>
      </c>
      <c r="FF73" s="278">
        <v>1508799.6666666667</v>
      </c>
      <c r="FG73" s="278"/>
      <c r="FH73" s="279"/>
      <c r="FI73" s="279"/>
      <c r="FJ73" s="278"/>
      <c r="FK73" s="278"/>
      <c r="FL73" s="278"/>
      <c r="FM73" s="278"/>
      <c r="FN73" s="278"/>
      <c r="FO73" s="278">
        <v>1165141</v>
      </c>
      <c r="FP73" s="278">
        <v>1182632</v>
      </c>
      <c r="FQ73" s="278">
        <v>1083085</v>
      </c>
      <c r="FR73" s="278">
        <v>1192760</v>
      </c>
      <c r="FS73" s="278">
        <v>1334514</v>
      </c>
      <c r="FT73" s="278">
        <v>903010</v>
      </c>
      <c r="FU73" s="278">
        <v>1428154</v>
      </c>
      <c r="FV73" s="278"/>
      <c r="FW73" s="278"/>
      <c r="FX73" s="278"/>
      <c r="FY73" s="278"/>
      <c r="FZ73" s="278"/>
      <c r="GA73" s="278"/>
      <c r="GB73" s="278"/>
      <c r="GC73" s="278"/>
      <c r="GD73" s="278">
        <v>1989335</v>
      </c>
      <c r="GE73" s="278">
        <v>1803352</v>
      </c>
      <c r="GF73" s="278">
        <v>1305288</v>
      </c>
      <c r="GG73" s="278">
        <v>1268873</v>
      </c>
      <c r="GH73" s="278">
        <v>1089264</v>
      </c>
      <c r="GI73" s="278">
        <v>1032124.8333333333</v>
      </c>
      <c r="GJ73" s="278">
        <v>1288713.1666666667</v>
      </c>
      <c r="GK73" s="278"/>
      <c r="GL73" s="275">
        <f t="shared" si="20"/>
        <v>1280785.0238095238</v>
      </c>
      <c r="GM73" s="275">
        <f t="shared" si="21"/>
        <v>1196230.2619047619</v>
      </c>
      <c r="GN73" s="275">
        <f t="shared" si="22"/>
        <v>1405181.9523809522</v>
      </c>
      <c r="GO73" s="275">
        <f t="shared" si="23"/>
        <v>1400037.4047619049</v>
      </c>
      <c r="GP73" s="275">
        <f t="shared" si="24"/>
        <v>1514617.1666666665</v>
      </c>
      <c r="GQ73" s="275">
        <f t="shared" si="25"/>
        <v>1013614.4523809524</v>
      </c>
      <c r="GR73" s="275">
        <f>AVERAGE(DF73:DL73)</f>
        <v>950525.59523809527</v>
      </c>
      <c r="GS73" s="278">
        <f>AVERAGE(DV73:EB73)</f>
        <v>819180.52380952367</v>
      </c>
      <c r="GT73" s="275">
        <f t="shared" si="26"/>
        <v>1013033.6904761904</v>
      </c>
      <c r="GU73" s="275">
        <f t="shared" si="27"/>
        <v>1343625.5238095238</v>
      </c>
      <c r="GV73" s="275">
        <f t="shared" si="28"/>
        <v>1184185.142857143</v>
      </c>
      <c r="GW73" s="275">
        <f t="shared" si="29"/>
        <v>1396707.142857143</v>
      </c>
      <c r="GX73" s="277" t="s">
        <v>846</v>
      </c>
      <c r="GY73" s="277" t="s">
        <v>354</v>
      </c>
    </row>
    <row r="74" spans="2:207">
      <c r="B74" t="s">
        <v>2607</v>
      </c>
      <c r="E74" s="61">
        <v>0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1">
        <v>0</v>
      </c>
      <c r="L74" s="61">
        <v>0</v>
      </c>
      <c r="M74" s="61">
        <v>0</v>
      </c>
      <c r="N74" s="61">
        <v>16421697</v>
      </c>
      <c r="O74" s="61">
        <v>11943251</v>
      </c>
      <c r="P74" s="61">
        <v>16192105</v>
      </c>
      <c r="Q74" s="61">
        <v>14983873</v>
      </c>
      <c r="R74" s="61">
        <v>17849213</v>
      </c>
      <c r="S74" s="61">
        <v>10924127.666666668</v>
      </c>
      <c r="T74" s="61">
        <v>21556536.166666668</v>
      </c>
      <c r="U74" s="61">
        <v>0</v>
      </c>
      <c r="V74" s="61">
        <v>0</v>
      </c>
      <c r="W74" s="61">
        <v>0</v>
      </c>
      <c r="X74" s="61">
        <v>0</v>
      </c>
      <c r="Y74" s="61">
        <v>0</v>
      </c>
      <c r="Z74" s="61">
        <v>0</v>
      </c>
      <c r="AA74" s="61">
        <v>0</v>
      </c>
      <c r="AB74" s="61">
        <v>0</v>
      </c>
      <c r="AC74" s="61">
        <v>0</v>
      </c>
      <c r="AD74" s="61">
        <v>11447393</v>
      </c>
      <c r="AE74" s="61">
        <v>13600666</v>
      </c>
      <c r="AF74" s="61">
        <v>21320147</v>
      </c>
      <c r="AG74" s="61">
        <v>12551494</v>
      </c>
      <c r="AH74" s="61">
        <v>17471788</v>
      </c>
      <c r="AI74" s="61">
        <v>15684960.666666668</v>
      </c>
      <c r="AJ74" s="61">
        <v>12779593.666666666</v>
      </c>
      <c r="AK74" s="61">
        <v>0</v>
      </c>
      <c r="AL74" s="61">
        <v>0</v>
      </c>
      <c r="AM74" s="61">
        <v>0</v>
      </c>
      <c r="AN74" s="61">
        <v>0</v>
      </c>
      <c r="AO74" s="61">
        <v>0</v>
      </c>
      <c r="AP74" s="61">
        <v>0</v>
      </c>
      <c r="AQ74" s="61">
        <v>0</v>
      </c>
      <c r="AR74" s="61">
        <v>0</v>
      </c>
      <c r="AS74" s="61">
        <v>0</v>
      </c>
      <c r="AT74" s="61">
        <v>12651568</v>
      </c>
      <c r="AU74" s="61">
        <v>12930247</v>
      </c>
      <c r="AV74" s="61">
        <v>12090512</v>
      </c>
      <c r="AW74" s="61">
        <v>13327460</v>
      </c>
      <c r="AX74" s="61">
        <v>16071409</v>
      </c>
      <c r="AY74" s="61">
        <v>13912981.333333334</v>
      </c>
      <c r="AZ74" s="61">
        <v>18366426.166666668</v>
      </c>
      <c r="BA74" s="61">
        <v>0</v>
      </c>
      <c r="BB74" s="61">
        <v>0</v>
      </c>
      <c r="BC74" s="61">
        <v>0</v>
      </c>
      <c r="BD74" s="61">
        <v>0</v>
      </c>
      <c r="BE74" s="61">
        <v>0</v>
      </c>
      <c r="BF74" s="61">
        <v>0</v>
      </c>
      <c r="BG74" s="61">
        <v>0</v>
      </c>
      <c r="BH74" s="61">
        <v>0</v>
      </c>
      <c r="BI74" s="61">
        <v>0</v>
      </c>
      <c r="BJ74" s="61">
        <v>17891512</v>
      </c>
      <c r="BK74" s="61">
        <v>11371205</v>
      </c>
      <c r="BL74" s="61">
        <v>10164850</v>
      </c>
      <c r="BM74" s="61">
        <v>10929628</v>
      </c>
      <c r="BN74" s="61">
        <v>12003144</v>
      </c>
      <c r="BO74" s="61">
        <v>11072525.333333334</v>
      </c>
      <c r="BP74" s="61">
        <v>10937129</v>
      </c>
      <c r="BQ74" s="61">
        <v>0</v>
      </c>
      <c r="BR74" s="61">
        <v>0</v>
      </c>
      <c r="BS74" s="61">
        <v>0</v>
      </c>
      <c r="BT74" s="61">
        <v>0</v>
      </c>
      <c r="BU74" s="61">
        <v>0</v>
      </c>
      <c r="BV74" s="61">
        <v>0</v>
      </c>
      <c r="BW74" s="61">
        <v>0</v>
      </c>
      <c r="BX74" s="61">
        <v>0</v>
      </c>
      <c r="BY74" s="61">
        <v>0</v>
      </c>
      <c r="BZ74" s="61">
        <v>11236222</v>
      </c>
      <c r="CA74" s="61">
        <v>10919628</v>
      </c>
      <c r="CB74" s="61">
        <v>14946989</v>
      </c>
      <c r="CC74" s="61">
        <v>12075634</v>
      </c>
      <c r="CD74" s="61">
        <v>11738618.166666666</v>
      </c>
      <c r="CE74" s="61">
        <v>10719104</v>
      </c>
      <c r="CF74" s="61">
        <v>7822025</v>
      </c>
      <c r="CG74" s="61">
        <v>0</v>
      </c>
      <c r="CH74" s="61">
        <v>0</v>
      </c>
      <c r="CI74" s="61">
        <v>0</v>
      </c>
      <c r="CJ74" s="61">
        <v>0</v>
      </c>
      <c r="CK74" s="61">
        <v>0</v>
      </c>
      <c r="CL74" s="61">
        <v>0</v>
      </c>
      <c r="CM74" s="61">
        <v>0</v>
      </c>
      <c r="CN74" s="61">
        <v>0</v>
      </c>
      <c r="CO74" s="61">
        <v>6887</v>
      </c>
      <c r="CP74" s="61">
        <v>11185611</v>
      </c>
      <c r="CQ74" s="61">
        <v>10817918</v>
      </c>
      <c r="CR74" s="61">
        <v>8530467</v>
      </c>
      <c r="CS74" s="61">
        <v>7881691</v>
      </c>
      <c r="CT74" s="61">
        <v>6824653</v>
      </c>
      <c r="CU74" s="61">
        <v>8194344.166666667</v>
      </c>
      <c r="CV74" s="61">
        <v>8224442</v>
      </c>
      <c r="CW74" s="61">
        <v>0</v>
      </c>
      <c r="CX74" s="61">
        <v>0</v>
      </c>
      <c r="CY74" s="61">
        <v>0</v>
      </c>
      <c r="CZ74" s="61">
        <v>0</v>
      </c>
      <c r="DA74" s="61">
        <v>0</v>
      </c>
      <c r="DB74" s="61">
        <v>0</v>
      </c>
      <c r="DC74" s="61">
        <v>0</v>
      </c>
      <c r="DD74" s="61">
        <v>0</v>
      </c>
      <c r="DE74" s="61">
        <v>1556526</v>
      </c>
      <c r="DF74" s="61">
        <v>8410852</v>
      </c>
      <c r="DG74" s="61">
        <v>8147725</v>
      </c>
      <c r="DH74" s="61">
        <v>8903407</v>
      </c>
      <c r="DI74" s="61">
        <v>9179822</v>
      </c>
      <c r="DJ74" s="61">
        <v>6723378</v>
      </c>
      <c r="DK74" s="61">
        <v>10470811</v>
      </c>
      <c r="DL74" s="61">
        <v>4943776.666666667</v>
      </c>
      <c r="DM74" s="61">
        <v>0</v>
      </c>
      <c r="DN74" s="61">
        <v>0</v>
      </c>
      <c r="DO74" s="61">
        <v>0</v>
      </c>
      <c r="DP74" s="61">
        <v>0</v>
      </c>
      <c r="DQ74" s="61">
        <v>0</v>
      </c>
      <c r="DR74" s="61">
        <v>0</v>
      </c>
      <c r="DS74" s="61">
        <v>0</v>
      </c>
      <c r="DT74" s="61">
        <v>0</v>
      </c>
      <c r="DU74" s="61">
        <v>6483172</v>
      </c>
      <c r="DV74" s="61">
        <v>9241749</v>
      </c>
      <c r="DW74" s="61">
        <v>6758162</v>
      </c>
      <c r="DX74" s="61">
        <v>7333441</v>
      </c>
      <c r="DY74" s="61">
        <v>7812392</v>
      </c>
      <c r="DZ74" s="61">
        <v>6503785</v>
      </c>
      <c r="EA74" s="61">
        <v>7694191.9999999991</v>
      </c>
      <c r="EB74" s="61">
        <v>6071176</v>
      </c>
      <c r="EC74" s="61">
        <v>0</v>
      </c>
      <c r="ED74" s="61">
        <v>0</v>
      </c>
      <c r="EE74" s="61">
        <v>0</v>
      </c>
      <c r="EF74" s="61">
        <v>0</v>
      </c>
      <c r="EG74" s="61">
        <v>0</v>
      </c>
      <c r="EH74" s="61">
        <v>0</v>
      </c>
      <c r="EI74" s="61">
        <v>0</v>
      </c>
      <c r="EJ74" s="61">
        <v>0</v>
      </c>
      <c r="EK74" s="61">
        <v>8863793</v>
      </c>
      <c r="EL74" s="61">
        <v>10258269</v>
      </c>
      <c r="EM74" s="61">
        <v>9009247</v>
      </c>
      <c r="EN74" s="61">
        <v>7082882</v>
      </c>
      <c r="EO74" s="61">
        <v>11332443</v>
      </c>
      <c r="EP74" s="61">
        <v>5782390</v>
      </c>
      <c r="EQ74" s="61">
        <v>8971334.6699999999</v>
      </c>
      <c r="ER74" s="61">
        <v>0</v>
      </c>
      <c r="ES74" s="61">
        <v>0</v>
      </c>
      <c r="ET74" s="61">
        <v>0</v>
      </c>
      <c r="EU74" s="61">
        <v>0</v>
      </c>
      <c r="EV74" s="61">
        <v>0</v>
      </c>
      <c r="EW74" s="61">
        <v>0</v>
      </c>
      <c r="EX74" s="61">
        <v>0</v>
      </c>
      <c r="EY74" s="61">
        <v>0</v>
      </c>
      <c r="EZ74" s="61">
        <v>11738662</v>
      </c>
      <c r="FA74" s="61">
        <v>12433644</v>
      </c>
      <c r="FB74" s="61">
        <v>13570931</v>
      </c>
      <c r="FC74" s="61">
        <v>9264642</v>
      </c>
      <c r="FD74" s="61">
        <v>10528585</v>
      </c>
      <c r="FE74" s="61">
        <v>10625907</v>
      </c>
      <c r="FF74" s="61">
        <v>11509277.833333334</v>
      </c>
      <c r="FG74" s="61">
        <v>0</v>
      </c>
      <c r="FH74" s="168">
        <v>0</v>
      </c>
      <c r="FI74" s="168">
        <v>0</v>
      </c>
      <c r="FJ74" s="61">
        <v>0</v>
      </c>
      <c r="FK74" s="61">
        <v>0</v>
      </c>
      <c r="FL74" s="61">
        <v>0</v>
      </c>
      <c r="FM74" s="61">
        <v>0</v>
      </c>
      <c r="FN74" s="61">
        <v>0</v>
      </c>
      <c r="FO74" s="61">
        <v>9970541</v>
      </c>
      <c r="FP74" s="61">
        <v>12739945</v>
      </c>
      <c r="FQ74" s="61">
        <v>15218867</v>
      </c>
      <c r="FR74" s="61">
        <v>10550331</v>
      </c>
      <c r="FS74" s="61">
        <v>15142341</v>
      </c>
      <c r="FT74" s="61">
        <v>13469496.833333334</v>
      </c>
      <c r="FU74" s="61">
        <v>13081713</v>
      </c>
      <c r="FV74" s="61">
        <v>0</v>
      </c>
      <c r="FW74" s="61">
        <v>0</v>
      </c>
      <c r="FX74" s="61">
        <v>0</v>
      </c>
      <c r="FY74" s="61">
        <v>0</v>
      </c>
      <c r="FZ74" s="61">
        <v>0</v>
      </c>
      <c r="GA74" s="61">
        <v>0</v>
      </c>
      <c r="GB74" s="61">
        <v>0</v>
      </c>
      <c r="GC74" s="61">
        <v>0</v>
      </c>
      <c r="GD74" s="61">
        <v>21315600</v>
      </c>
      <c r="GE74" s="61">
        <v>22918796</v>
      </c>
      <c r="GF74" s="61">
        <v>15928830</v>
      </c>
      <c r="GG74" s="61">
        <v>12592857</v>
      </c>
      <c r="GH74" s="61">
        <v>15295618</v>
      </c>
      <c r="GI74" s="61">
        <v>9738003.166666666</v>
      </c>
      <c r="GJ74" s="61">
        <v>17224082.166666668</v>
      </c>
      <c r="GK74" s="61"/>
    </row>
    <row r="75" spans="2:207">
      <c r="B75" t="s">
        <v>802</v>
      </c>
      <c r="C75" t="s">
        <v>791</v>
      </c>
      <c r="D75" s="60" t="s">
        <v>351</v>
      </c>
      <c r="E75" s="61"/>
      <c r="F75" s="61"/>
      <c r="G75" s="61"/>
      <c r="H75" s="61"/>
      <c r="I75" s="61"/>
      <c r="J75" s="61"/>
      <c r="K75" s="61"/>
      <c r="L75" s="61"/>
      <c r="M75" s="61">
        <v>0</v>
      </c>
      <c r="N75" s="61"/>
      <c r="O75" s="61">
        <v>0</v>
      </c>
      <c r="P75" s="61">
        <v>915451</v>
      </c>
      <c r="Q75" s="61">
        <v>771650</v>
      </c>
      <c r="R75" s="61">
        <v>926000</v>
      </c>
      <c r="S75" s="61">
        <v>610099</v>
      </c>
      <c r="T75" s="61">
        <v>1047089.6666666667</v>
      </c>
      <c r="U75" s="61"/>
      <c r="V75" s="61"/>
      <c r="W75" s="61"/>
      <c r="X75" s="61"/>
      <c r="Y75" s="61"/>
      <c r="Z75" s="61"/>
      <c r="AA75" s="61"/>
      <c r="AB75" s="61"/>
      <c r="AC75" s="61">
        <v>0</v>
      </c>
      <c r="AD75" s="61"/>
      <c r="AE75" s="61">
        <v>0</v>
      </c>
      <c r="AF75" s="61">
        <v>1030386</v>
      </c>
      <c r="AG75" s="61">
        <v>704582</v>
      </c>
      <c r="AH75" s="61">
        <v>977038</v>
      </c>
      <c r="AI75" s="61">
        <v>606149.16666666663</v>
      </c>
      <c r="AJ75" s="61">
        <v>661684.66666666651</v>
      </c>
      <c r="AK75" s="61"/>
      <c r="AL75" s="61"/>
      <c r="AM75" s="61"/>
      <c r="AN75" s="61"/>
      <c r="AO75" s="61"/>
      <c r="AP75" s="61"/>
      <c r="AQ75" s="61"/>
      <c r="AR75" s="61"/>
      <c r="AS75" s="61">
        <v>0</v>
      </c>
      <c r="AT75" s="61"/>
      <c r="AU75" s="61">
        <v>0</v>
      </c>
      <c r="AV75" s="61">
        <v>429884</v>
      </c>
      <c r="AW75" s="61">
        <v>642417</v>
      </c>
      <c r="AX75" s="61">
        <v>805800.99999999988</v>
      </c>
      <c r="AY75" s="61">
        <v>724752.16666666651</v>
      </c>
      <c r="AZ75" s="61">
        <v>672982.83333333337</v>
      </c>
      <c r="BA75" s="61"/>
      <c r="BB75" s="61"/>
      <c r="BC75" s="61"/>
      <c r="BD75" s="61"/>
      <c r="BE75" s="61"/>
      <c r="BF75" s="61"/>
      <c r="BG75" s="61"/>
      <c r="BH75" s="61"/>
      <c r="BI75" s="61">
        <v>0</v>
      </c>
      <c r="BJ75" s="61"/>
      <c r="BK75" s="61">
        <v>72975</v>
      </c>
      <c r="BL75" s="61">
        <v>358354</v>
      </c>
      <c r="BM75" s="61">
        <v>543965</v>
      </c>
      <c r="BN75" s="61">
        <v>385844.00000000006</v>
      </c>
      <c r="BO75" s="61">
        <v>357810.33333333349</v>
      </c>
      <c r="BP75" s="61">
        <v>555412</v>
      </c>
      <c r="BQ75" s="61"/>
      <c r="BR75" s="61"/>
      <c r="BS75" s="61"/>
      <c r="BT75" s="61"/>
      <c r="BU75" s="61"/>
      <c r="BV75" s="61"/>
      <c r="BW75" s="61"/>
      <c r="BX75" s="61"/>
      <c r="BY75" s="61">
        <v>0</v>
      </c>
      <c r="BZ75" s="61"/>
      <c r="CA75" s="61">
        <v>193000</v>
      </c>
      <c r="CB75" s="61">
        <v>661690</v>
      </c>
      <c r="CC75" s="61">
        <v>451950</v>
      </c>
      <c r="CD75" s="61">
        <v>409950</v>
      </c>
      <c r="CE75" s="61">
        <v>387988.16666666669</v>
      </c>
      <c r="CF75" s="61">
        <v>398095</v>
      </c>
      <c r="CG75" s="61"/>
      <c r="CH75" s="61"/>
      <c r="CI75" s="61"/>
      <c r="CJ75" s="61"/>
      <c r="CK75" s="61"/>
      <c r="CL75" s="61"/>
      <c r="CM75" s="61"/>
      <c r="CN75" s="61"/>
      <c r="CO75" s="61">
        <v>0</v>
      </c>
      <c r="CP75" s="61"/>
      <c r="CQ75" s="61">
        <v>261807.00000000003</v>
      </c>
      <c r="CR75" s="61">
        <v>437887</v>
      </c>
      <c r="CS75" s="61">
        <v>351767</v>
      </c>
      <c r="CT75" s="61">
        <v>214754.66669999997</v>
      </c>
      <c r="CU75" s="61">
        <v>379576</v>
      </c>
      <c r="CV75" s="61">
        <v>327665</v>
      </c>
      <c r="CW75" s="61"/>
      <c r="CX75" s="61"/>
      <c r="CY75" s="61"/>
      <c r="CZ75" s="61"/>
      <c r="DA75" s="61"/>
      <c r="DB75" s="61"/>
      <c r="DC75" s="61"/>
      <c r="DD75" s="61"/>
      <c r="DE75" s="61">
        <v>0</v>
      </c>
      <c r="DF75" s="61"/>
      <c r="DG75" s="61">
        <v>402092</v>
      </c>
      <c r="DH75" s="61">
        <v>347729</v>
      </c>
      <c r="DI75" s="61">
        <v>455320</v>
      </c>
      <c r="DJ75" s="61">
        <v>179503</v>
      </c>
      <c r="DK75" s="61">
        <v>348566</v>
      </c>
      <c r="DL75" s="61">
        <v>212921.83333333328</v>
      </c>
      <c r="DM75" s="61"/>
      <c r="DN75" s="61"/>
      <c r="DO75" s="61"/>
      <c r="DP75" s="61"/>
      <c r="DQ75" s="61"/>
      <c r="DR75" s="61"/>
      <c r="DS75" s="61"/>
      <c r="DT75" s="61"/>
      <c r="DU75" s="61">
        <v>0</v>
      </c>
      <c r="DV75" s="61"/>
      <c r="DW75" s="61">
        <v>283068</v>
      </c>
      <c r="DX75" s="61">
        <v>274407</v>
      </c>
      <c r="DY75" s="61">
        <v>412107</v>
      </c>
      <c r="DZ75" s="61">
        <v>247390</v>
      </c>
      <c r="EA75" s="61">
        <v>261991</v>
      </c>
      <c r="EB75" s="61">
        <v>325703</v>
      </c>
      <c r="EC75" s="61"/>
      <c r="ED75" s="61"/>
      <c r="EE75" s="61"/>
      <c r="EF75" s="61"/>
      <c r="EG75" s="61"/>
      <c r="EH75" s="61"/>
      <c r="EI75" s="61"/>
      <c r="EJ75" s="61"/>
      <c r="EK75" s="61">
        <v>0</v>
      </c>
      <c r="EL75" s="61"/>
      <c r="EM75" s="61">
        <v>289851</v>
      </c>
      <c r="EN75" s="61">
        <v>333603</v>
      </c>
      <c r="EO75" s="61">
        <v>670673</v>
      </c>
      <c r="EP75" s="61">
        <v>250192</v>
      </c>
      <c r="EQ75" s="61">
        <v>393462.16666666663</v>
      </c>
      <c r="ER75" s="61"/>
      <c r="ES75" s="61"/>
      <c r="ET75" s="61"/>
      <c r="EU75" s="61"/>
      <c r="EV75" s="61"/>
      <c r="EW75" s="61"/>
      <c r="EX75" s="61"/>
      <c r="EY75" s="61"/>
      <c r="EZ75" s="61">
        <v>0</v>
      </c>
      <c r="FA75" s="61"/>
      <c r="FB75" s="61">
        <v>822705</v>
      </c>
      <c r="FC75" s="61">
        <v>429176</v>
      </c>
      <c r="FD75" s="61">
        <v>386043</v>
      </c>
      <c r="FE75" s="61">
        <v>540401.00000000012</v>
      </c>
      <c r="FF75" s="61">
        <v>504227.83333333331</v>
      </c>
      <c r="FG75" s="61"/>
      <c r="FH75" s="168"/>
      <c r="FI75" s="168"/>
      <c r="FJ75" s="61"/>
      <c r="FK75" s="61"/>
      <c r="FL75" s="61"/>
      <c r="FM75" s="61"/>
      <c r="FN75" s="61"/>
      <c r="FO75" s="61">
        <v>0</v>
      </c>
      <c r="FP75" s="61"/>
      <c r="FQ75" s="61">
        <v>681771</v>
      </c>
      <c r="FR75" s="61">
        <v>577185</v>
      </c>
      <c r="FS75" s="61">
        <v>624965</v>
      </c>
      <c r="FT75" s="61">
        <v>681602</v>
      </c>
      <c r="FU75" s="61">
        <v>661497.66666666663</v>
      </c>
      <c r="FV75" s="61"/>
      <c r="FW75" s="61"/>
      <c r="FX75" s="61"/>
      <c r="FY75" s="61"/>
      <c r="FZ75" s="61"/>
      <c r="GA75" s="61"/>
      <c r="GB75" s="61"/>
      <c r="GC75" s="61"/>
      <c r="GD75" s="61">
        <v>0</v>
      </c>
      <c r="GE75" s="61"/>
      <c r="GF75" s="61">
        <v>964053</v>
      </c>
      <c r="GG75" s="61">
        <v>640240</v>
      </c>
      <c r="GH75" s="61">
        <v>833973</v>
      </c>
      <c r="GI75" s="61">
        <v>406220.16666666663</v>
      </c>
      <c r="GJ75" s="61">
        <v>908681</v>
      </c>
      <c r="GL75" s="275">
        <f>AVERAGE(P75:T75)</f>
        <v>854057.93333333335</v>
      </c>
      <c r="GM75" s="275">
        <f>AVERAGE(AF75:AJ75)</f>
        <v>795967.96666666656</v>
      </c>
      <c r="GN75" s="275">
        <f>AVERAGE(AV75:AZ75)</f>
        <v>655167.4</v>
      </c>
      <c r="GO75" s="275">
        <f>AVERAGE(BL75:BP75)</f>
        <v>440277.06666666671</v>
      </c>
      <c r="GP75" s="275">
        <f>AVERAGE(CB75:CF75)</f>
        <v>461934.63333333342</v>
      </c>
      <c r="GQ75" s="275">
        <f>AVERAGE(CQ75:CV75)</f>
        <v>328909.44445000001</v>
      </c>
      <c r="GR75" s="275">
        <f>AVERAGE(DG75:DL75)</f>
        <v>324355.30555555556</v>
      </c>
      <c r="GS75" s="275">
        <f>AVERAGE(DW75:EB75)</f>
        <v>300777.66666666669</v>
      </c>
      <c r="GT75" s="275">
        <f>AVERAGE(EM75:EQ75)</f>
        <v>387556.23333333328</v>
      </c>
      <c r="GU75" s="275">
        <f>AVERAGE(FB75:FF75)</f>
        <v>536510.56666666665</v>
      </c>
      <c r="GV75" s="275">
        <f>AVERAGE(FQ75:FU75)</f>
        <v>645404.1333333333</v>
      </c>
      <c r="GW75" s="275">
        <f>AVERAGE(GF75:GJ75)</f>
        <v>750633.43333333335</v>
      </c>
      <c r="GX75" t="s">
        <v>846</v>
      </c>
      <c r="GY75" s="60" t="s">
        <v>351</v>
      </c>
    </row>
    <row r="76" spans="2:207">
      <c r="C76" t="s">
        <v>806</v>
      </c>
      <c r="D76" t="s">
        <v>213</v>
      </c>
      <c r="E76" s="61">
        <v>0</v>
      </c>
      <c r="F76" s="61">
        <v>0</v>
      </c>
      <c r="G76" s="61">
        <v>0</v>
      </c>
      <c r="H76" s="61">
        <v>0</v>
      </c>
      <c r="I76" s="61">
        <v>0</v>
      </c>
      <c r="J76" s="61">
        <v>0</v>
      </c>
      <c r="K76" s="61">
        <v>0</v>
      </c>
      <c r="L76" s="61">
        <v>0</v>
      </c>
      <c r="M76" s="61">
        <v>0</v>
      </c>
      <c r="N76" s="61">
        <v>0</v>
      </c>
      <c r="O76" s="61">
        <v>0</v>
      </c>
      <c r="P76" s="61">
        <v>2606078</v>
      </c>
      <c r="Q76" s="61">
        <v>2469416</v>
      </c>
      <c r="R76" s="61">
        <v>2874063</v>
      </c>
      <c r="S76" s="61">
        <v>1423880</v>
      </c>
      <c r="T76" s="61">
        <v>2862541</v>
      </c>
      <c r="U76" s="61">
        <v>0</v>
      </c>
      <c r="V76" s="61">
        <v>0</v>
      </c>
      <c r="W76" s="61">
        <v>0</v>
      </c>
      <c r="X76" s="61">
        <v>0</v>
      </c>
      <c r="Y76" s="61">
        <v>0</v>
      </c>
      <c r="Z76" s="61">
        <v>0</v>
      </c>
      <c r="AA76" s="61">
        <v>0</v>
      </c>
      <c r="AB76" s="61">
        <v>0</v>
      </c>
      <c r="AC76" s="61">
        <v>0</v>
      </c>
      <c r="AD76" s="61">
        <v>0</v>
      </c>
      <c r="AE76" s="61">
        <v>0</v>
      </c>
      <c r="AF76" s="61">
        <v>2925461</v>
      </c>
      <c r="AG76" s="61">
        <v>1650502</v>
      </c>
      <c r="AH76" s="61">
        <v>2484465</v>
      </c>
      <c r="AI76" s="61">
        <v>2023220</v>
      </c>
      <c r="AJ76" s="61">
        <v>1973806</v>
      </c>
      <c r="AK76" s="61">
        <v>0</v>
      </c>
      <c r="AL76" s="61">
        <v>0</v>
      </c>
      <c r="AM76" s="61">
        <v>0</v>
      </c>
      <c r="AN76" s="61">
        <v>0</v>
      </c>
      <c r="AO76" s="61">
        <v>0</v>
      </c>
      <c r="AP76" s="61">
        <v>0</v>
      </c>
      <c r="AQ76" s="61">
        <v>0</v>
      </c>
      <c r="AR76" s="61">
        <v>0</v>
      </c>
      <c r="AS76" s="61">
        <v>0</v>
      </c>
      <c r="AT76" s="61">
        <v>0</v>
      </c>
      <c r="AU76" s="61">
        <v>0</v>
      </c>
      <c r="AV76" s="61">
        <v>1342684</v>
      </c>
      <c r="AW76" s="61">
        <v>2050454.0000000002</v>
      </c>
      <c r="AX76" s="61">
        <v>2003458</v>
      </c>
      <c r="AY76" s="61">
        <v>2365580</v>
      </c>
      <c r="AZ76" s="61">
        <v>1995188</v>
      </c>
      <c r="BA76" s="61">
        <v>0</v>
      </c>
      <c r="BB76" s="61">
        <v>0</v>
      </c>
      <c r="BC76" s="61">
        <v>0</v>
      </c>
      <c r="BD76" s="61">
        <v>0</v>
      </c>
      <c r="BE76" s="61">
        <v>0</v>
      </c>
      <c r="BF76" s="61">
        <v>0</v>
      </c>
      <c r="BG76" s="61">
        <v>0</v>
      </c>
      <c r="BH76" s="61">
        <v>0</v>
      </c>
      <c r="BI76" s="61">
        <v>0</v>
      </c>
      <c r="BJ76" s="61">
        <v>0</v>
      </c>
      <c r="BK76" s="61">
        <v>0</v>
      </c>
      <c r="BL76" s="61">
        <v>939679</v>
      </c>
      <c r="BM76" s="61">
        <v>1424012</v>
      </c>
      <c r="BN76" s="61">
        <v>1418800</v>
      </c>
      <c r="BO76" s="61">
        <v>793480</v>
      </c>
      <c r="BP76" s="61">
        <v>1480910</v>
      </c>
      <c r="BQ76" s="61">
        <v>0</v>
      </c>
      <c r="BR76" s="61">
        <v>0</v>
      </c>
      <c r="BS76" s="61">
        <v>0</v>
      </c>
      <c r="BT76" s="61">
        <v>0</v>
      </c>
      <c r="BU76" s="61">
        <v>0</v>
      </c>
      <c r="BV76" s="61">
        <v>0</v>
      </c>
      <c r="BW76" s="61">
        <v>0</v>
      </c>
      <c r="BX76" s="61">
        <v>0</v>
      </c>
      <c r="BY76" s="61">
        <v>0</v>
      </c>
      <c r="BZ76" s="61">
        <v>0</v>
      </c>
      <c r="CA76" s="61">
        <v>0</v>
      </c>
      <c r="CB76" s="61">
        <v>1592778</v>
      </c>
      <c r="CC76" s="61">
        <v>1669730</v>
      </c>
      <c r="CD76" s="61">
        <v>1111185</v>
      </c>
      <c r="CE76" s="61">
        <v>1070943</v>
      </c>
      <c r="CF76" s="61">
        <v>845196</v>
      </c>
      <c r="CG76" s="61">
        <v>0</v>
      </c>
      <c r="CH76" s="61">
        <v>0</v>
      </c>
      <c r="CI76" s="61">
        <v>0</v>
      </c>
      <c r="CJ76" s="61">
        <v>0</v>
      </c>
      <c r="CK76" s="61">
        <v>0</v>
      </c>
      <c r="CL76" s="61">
        <v>0</v>
      </c>
      <c r="CM76" s="61">
        <v>0</v>
      </c>
      <c r="CN76" s="61">
        <v>0</v>
      </c>
      <c r="CO76" s="61">
        <v>0</v>
      </c>
      <c r="CP76" s="61">
        <v>0</v>
      </c>
      <c r="CQ76" s="61">
        <v>0</v>
      </c>
      <c r="CR76" s="61">
        <v>734654</v>
      </c>
      <c r="CS76" s="61">
        <v>1395465</v>
      </c>
      <c r="CT76" s="61">
        <v>971410</v>
      </c>
      <c r="CU76" s="61">
        <v>1496300</v>
      </c>
      <c r="CV76" s="61">
        <v>984064</v>
      </c>
      <c r="CW76" s="61">
        <v>0</v>
      </c>
      <c r="CX76" s="61">
        <v>0</v>
      </c>
      <c r="CY76" s="61">
        <v>0</v>
      </c>
      <c r="CZ76" s="61">
        <v>0</v>
      </c>
      <c r="DA76" s="61">
        <v>0</v>
      </c>
      <c r="DB76" s="61">
        <v>0</v>
      </c>
      <c r="DC76" s="61">
        <v>0</v>
      </c>
      <c r="DD76" s="61">
        <v>0</v>
      </c>
      <c r="DE76" s="61">
        <v>0</v>
      </c>
      <c r="DF76" s="61">
        <v>0</v>
      </c>
      <c r="DG76" s="61">
        <v>0</v>
      </c>
      <c r="DH76" s="61">
        <v>815633</v>
      </c>
      <c r="DI76" s="61">
        <v>1721025</v>
      </c>
      <c r="DJ76" s="61">
        <v>1151250</v>
      </c>
      <c r="DK76" s="61">
        <v>1029891.33</v>
      </c>
      <c r="DL76" s="61">
        <v>640000</v>
      </c>
      <c r="DM76" s="61">
        <v>0</v>
      </c>
      <c r="DN76" s="61">
        <v>0</v>
      </c>
      <c r="DO76" s="61">
        <v>0</v>
      </c>
      <c r="DP76" s="61">
        <v>0</v>
      </c>
      <c r="DQ76" s="61">
        <v>0</v>
      </c>
      <c r="DR76" s="61">
        <v>0</v>
      </c>
      <c r="DS76" s="61">
        <v>0</v>
      </c>
      <c r="DT76" s="61">
        <v>0</v>
      </c>
      <c r="DU76" s="61">
        <v>0</v>
      </c>
      <c r="DV76" s="61">
        <v>0</v>
      </c>
      <c r="DW76" s="61">
        <v>0</v>
      </c>
      <c r="DX76" s="61">
        <v>1386006</v>
      </c>
      <c r="DY76" s="61">
        <v>928771</v>
      </c>
      <c r="DZ76" s="61">
        <v>1425120</v>
      </c>
      <c r="EA76" s="61">
        <v>1317521</v>
      </c>
      <c r="EB76" s="61">
        <v>1034864</v>
      </c>
      <c r="EC76" s="61">
        <v>0</v>
      </c>
      <c r="ED76" s="61">
        <v>0</v>
      </c>
      <c r="EE76" s="61">
        <v>0</v>
      </c>
      <c r="EF76" s="61">
        <v>0</v>
      </c>
      <c r="EG76" s="61">
        <v>0</v>
      </c>
      <c r="EH76" s="61">
        <v>0</v>
      </c>
      <c r="EI76" s="61">
        <v>0</v>
      </c>
      <c r="EJ76" s="61">
        <v>0</v>
      </c>
      <c r="EK76" s="61">
        <v>0</v>
      </c>
      <c r="EL76" s="61">
        <v>0</v>
      </c>
      <c r="EM76" s="61">
        <v>722749</v>
      </c>
      <c r="EN76" s="61">
        <v>694325</v>
      </c>
      <c r="EO76" s="61">
        <v>1358022</v>
      </c>
      <c r="EP76" s="61">
        <v>944140</v>
      </c>
      <c r="EQ76" s="61">
        <v>1265362.83</v>
      </c>
      <c r="ER76" s="61">
        <v>0</v>
      </c>
      <c r="ES76" s="61">
        <v>0</v>
      </c>
      <c r="ET76" s="61">
        <v>0</v>
      </c>
      <c r="EU76" s="61">
        <v>0</v>
      </c>
      <c r="EV76" s="61">
        <v>0</v>
      </c>
      <c r="EW76" s="61">
        <v>0</v>
      </c>
      <c r="EX76" s="61">
        <v>0</v>
      </c>
      <c r="EY76" s="61">
        <v>0</v>
      </c>
      <c r="EZ76" s="61">
        <v>0</v>
      </c>
      <c r="FA76" s="61">
        <v>0</v>
      </c>
      <c r="FB76" s="61">
        <v>2144765</v>
      </c>
      <c r="FC76" s="61">
        <v>1580001</v>
      </c>
      <c r="FD76" s="61">
        <v>1034175</v>
      </c>
      <c r="FE76" s="61">
        <v>1080080</v>
      </c>
      <c r="FF76" s="61">
        <v>1903648</v>
      </c>
      <c r="FG76" s="61">
        <v>0</v>
      </c>
      <c r="FH76" s="168">
        <v>0</v>
      </c>
      <c r="FI76" s="168">
        <v>0</v>
      </c>
      <c r="FJ76" s="61">
        <v>0</v>
      </c>
      <c r="FK76" s="61">
        <v>0</v>
      </c>
      <c r="FL76" s="61">
        <v>0</v>
      </c>
      <c r="FM76" s="61">
        <v>0</v>
      </c>
      <c r="FN76" s="61">
        <v>0</v>
      </c>
      <c r="FO76" s="61">
        <v>0</v>
      </c>
      <c r="FP76" s="61">
        <v>0</v>
      </c>
      <c r="FQ76" s="61">
        <v>1662073</v>
      </c>
      <c r="FR76" s="61">
        <v>1424716</v>
      </c>
      <c r="FS76" s="61">
        <v>2909834</v>
      </c>
      <c r="FT76" s="61">
        <v>1806970</v>
      </c>
      <c r="FU76" s="61">
        <v>1442224</v>
      </c>
      <c r="FV76" s="61">
        <v>0</v>
      </c>
      <c r="FW76" s="61">
        <v>0</v>
      </c>
      <c r="FX76" s="61">
        <v>0</v>
      </c>
      <c r="FY76" s="61">
        <v>0</v>
      </c>
      <c r="FZ76" s="61">
        <v>0</v>
      </c>
      <c r="GA76" s="61">
        <v>0</v>
      </c>
      <c r="GB76" s="61">
        <v>0</v>
      </c>
      <c r="GC76" s="61">
        <v>0</v>
      </c>
      <c r="GD76" s="61">
        <v>0</v>
      </c>
      <c r="GE76" s="61">
        <v>0</v>
      </c>
      <c r="GF76" s="61">
        <v>2482455</v>
      </c>
      <c r="GG76" s="61">
        <v>2487291</v>
      </c>
      <c r="GH76" s="61">
        <v>3020841.6670000004</v>
      </c>
      <c r="GI76" s="61">
        <v>1198160</v>
      </c>
      <c r="GJ76" s="61">
        <v>2339124</v>
      </c>
    </row>
    <row r="77" spans="2:207">
      <c r="C77" t="s">
        <v>786</v>
      </c>
      <c r="D77" t="s">
        <v>299</v>
      </c>
      <c r="E77" s="61">
        <v>0</v>
      </c>
      <c r="F77" s="61">
        <v>0</v>
      </c>
      <c r="G77" s="61">
        <v>0</v>
      </c>
      <c r="H77" s="61">
        <v>0</v>
      </c>
      <c r="I77" s="61">
        <v>0</v>
      </c>
      <c r="J77" s="61">
        <v>0</v>
      </c>
      <c r="K77" s="61">
        <v>0</v>
      </c>
      <c r="L77" s="61">
        <v>0</v>
      </c>
      <c r="M77" s="61">
        <v>0</v>
      </c>
      <c r="N77" s="61">
        <v>0</v>
      </c>
      <c r="O77" s="61">
        <v>0</v>
      </c>
      <c r="P77" s="61">
        <v>5626584</v>
      </c>
      <c r="Q77" s="61">
        <v>6098799</v>
      </c>
      <c r="R77" s="61">
        <v>7150681</v>
      </c>
      <c r="S77" s="61">
        <v>4400650</v>
      </c>
      <c r="T77" s="61">
        <v>7325267</v>
      </c>
      <c r="U77" s="61">
        <v>0</v>
      </c>
      <c r="V77" s="61">
        <v>0</v>
      </c>
      <c r="W77" s="61">
        <v>0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61">
        <v>0</v>
      </c>
      <c r="AE77" s="61">
        <v>0</v>
      </c>
      <c r="AF77" s="61">
        <v>8261966</v>
      </c>
      <c r="AG77" s="61">
        <v>5611828</v>
      </c>
      <c r="AH77" s="61">
        <v>7312389</v>
      </c>
      <c r="AI77" s="61">
        <v>5552100</v>
      </c>
      <c r="AJ77" s="61">
        <v>4700419</v>
      </c>
      <c r="AK77" s="61">
        <v>0</v>
      </c>
      <c r="AL77" s="61">
        <v>0</v>
      </c>
      <c r="AM77" s="61">
        <v>0</v>
      </c>
      <c r="AN77" s="61">
        <v>0</v>
      </c>
      <c r="AO77" s="61">
        <v>0</v>
      </c>
      <c r="AP77" s="61">
        <v>0</v>
      </c>
      <c r="AQ77" s="61">
        <v>0</v>
      </c>
      <c r="AR77" s="61">
        <v>0</v>
      </c>
      <c r="AS77" s="61">
        <v>0</v>
      </c>
      <c r="AT77" s="61">
        <v>0</v>
      </c>
      <c r="AU77" s="61">
        <v>0</v>
      </c>
      <c r="AV77" s="61">
        <v>3606619</v>
      </c>
      <c r="AW77" s="61">
        <v>5051090</v>
      </c>
      <c r="AX77" s="61">
        <v>6226401</v>
      </c>
      <c r="AY77" s="61">
        <v>4645940</v>
      </c>
      <c r="AZ77" s="61">
        <v>5831044</v>
      </c>
      <c r="BA77" s="61">
        <v>0</v>
      </c>
      <c r="BB77" s="61">
        <v>0</v>
      </c>
      <c r="BC77" s="61">
        <v>0</v>
      </c>
      <c r="BD77" s="61">
        <v>0</v>
      </c>
      <c r="BE77" s="61">
        <v>0</v>
      </c>
      <c r="BF77" s="61">
        <v>0</v>
      </c>
      <c r="BG77" s="61">
        <v>0</v>
      </c>
      <c r="BH77" s="61">
        <v>0</v>
      </c>
      <c r="BI77" s="61">
        <v>0</v>
      </c>
      <c r="BJ77" s="61">
        <v>0</v>
      </c>
      <c r="BK77" s="61">
        <v>0</v>
      </c>
      <c r="BL77" s="61">
        <v>3383761</v>
      </c>
      <c r="BM77" s="61">
        <v>4479251</v>
      </c>
      <c r="BN77" s="61">
        <v>2993961</v>
      </c>
      <c r="BO77" s="61">
        <v>3166250</v>
      </c>
      <c r="BP77" s="61">
        <v>3253961</v>
      </c>
      <c r="BQ77" s="61">
        <v>0</v>
      </c>
      <c r="BR77" s="61">
        <v>0</v>
      </c>
      <c r="BS77" s="61">
        <v>0</v>
      </c>
      <c r="BT77" s="61">
        <v>0</v>
      </c>
      <c r="BU77" s="61">
        <v>0</v>
      </c>
      <c r="BV77" s="61">
        <v>0</v>
      </c>
      <c r="BW77" s="61">
        <v>0</v>
      </c>
      <c r="BX77" s="61">
        <v>0</v>
      </c>
      <c r="BY77" s="61">
        <v>0</v>
      </c>
      <c r="BZ77" s="61">
        <v>0</v>
      </c>
      <c r="CA77" s="61">
        <v>0</v>
      </c>
      <c r="CB77" s="61">
        <v>4678770</v>
      </c>
      <c r="CC77" s="61">
        <v>4273132</v>
      </c>
      <c r="CD77" s="61">
        <v>3503387</v>
      </c>
      <c r="CE77" s="61">
        <v>3269003</v>
      </c>
      <c r="CF77" s="61">
        <v>2049026</v>
      </c>
      <c r="CG77" s="61">
        <v>0</v>
      </c>
      <c r="CH77" s="61">
        <v>0</v>
      </c>
      <c r="CI77" s="61">
        <v>0</v>
      </c>
      <c r="CJ77" s="61">
        <v>0</v>
      </c>
      <c r="CK77" s="61">
        <v>0</v>
      </c>
      <c r="CL77" s="61">
        <v>0</v>
      </c>
      <c r="CM77" s="61">
        <v>0</v>
      </c>
      <c r="CN77" s="61">
        <v>0</v>
      </c>
      <c r="CO77" s="61">
        <v>0</v>
      </c>
      <c r="CP77" s="61">
        <v>0</v>
      </c>
      <c r="CQ77" s="61">
        <v>0</v>
      </c>
      <c r="CR77" s="61">
        <v>3232236</v>
      </c>
      <c r="CS77" s="61">
        <v>2863518</v>
      </c>
      <c r="CT77" s="61">
        <v>2871344</v>
      </c>
      <c r="CU77" s="61">
        <v>3198460</v>
      </c>
      <c r="CV77" s="61">
        <v>2620337</v>
      </c>
      <c r="CW77" s="61">
        <v>0</v>
      </c>
      <c r="CX77" s="61">
        <v>0</v>
      </c>
      <c r="CY77" s="61">
        <v>0</v>
      </c>
      <c r="CZ77" s="61">
        <v>0</v>
      </c>
      <c r="DA77" s="61">
        <v>0</v>
      </c>
      <c r="DB77" s="61">
        <v>0</v>
      </c>
      <c r="DC77" s="61">
        <v>0</v>
      </c>
      <c r="DD77" s="61">
        <v>0</v>
      </c>
      <c r="DE77" s="61">
        <v>0</v>
      </c>
      <c r="DF77" s="61">
        <v>0</v>
      </c>
      <c r="DG77" s="61">
        <v>0</v>
      </c>
      <c r="DH77" s="61">
        <v>2607340</v>
      </c>
      <c r="DI77" s="61">
        <v>3220348</v>
      </c>
      <c r="DJ77" s="61">
        <v>2166660</v>
      </c>
      <c r="DK77" s="61">
        <v>3828136.33</v>
      </c>
      <c r="DL77" s="61">
        <v>1704683</v>
      </c>
      <c r="DM77" s="61">
        <v>0</v>
      </c>
      <c r="DN77" s="61">
        <v>0</v>
      </c>
      <c r="DO77" s="61">
        <v>0</v>
      </c>
      <c r="DP77" s="61">
        <v>0</v>
      </c>
      <c r="DQ77" s="61">
        <v>0</v>
      </c>
      <c r="DR77" s="61">
        <v>0</v>
      </c>
      <c r="DS77" s="61">
        <v>0</v>
      </c>
      <c r="DT77" s="61">
        <v>0</v>
      </c>
      <c r="DU77" s="61">
        <v>0</v>
      </c>
      <c r="DV77" s="61">
        <v>0</v>
      </c>
      <c r="DW77" s="61">
        <v>0</v>
      </c>
      <c r="DX77" s="61">
        <v>2884331</v>
      </c>
      <c r="DY77" s="61">
        <v>2502848</v>
      </c>
      <c r="DZ77" s="61">
        <v>2318700</v>
      </c>
      <c r="EA77" s="61">
        <v>2814989</v>
      </c>
      <c r="EB77" s="61">
        <v>2294438</v>
      </c>
      <c r="EC77" s="61">
        <v>0</v>
      </c>
      <c r="ED77" s="61">
        <v>0</v>
      </c>
      <c r="EE77" s="61">
        <v>0</v>
      </c>
      <c r="EF77" s="61">
        <v>0</v>
      </c>
      <c r="EG77" s="61">
        <v>0</v>
      </c>
      <c r="EH77" s="61">
        <v>0</v>
      </c>
      <c r="EI77" s="61">
        <v>0</v>
      </c>
      <c r="EJ77" s="61">
        <v>0</v>
      </c>
      <c r="EK77" s="61">
        <v>0</v>
      </c>
      <c r="EL77" s="61">
        <v>0</v>
      </c>
      <c r="EM77" s="61">
        <v>0</v>
      </c>
      <c r="EN77" s="61">
        <v>2210196</v>
      </c>
      <c r="EO77" s="61">
        <v>4774780</v>
      </c>
      <c r="EP77" s="61">
        <v>1566680</v>
      </c>
      <c r="EQ77" s="61">
        <v>3503534.67</v>
      </c>
      <c r="ER77" s="61">
        <v>0</v>
      </c>
      <c r="ES77" s="61">
        <v>0</v>
      </c>
      <c r="ET77" s="61">
        <v>0</v>
      </c>
      <c r="EU77" s="61">
        <v>0</v>
      </c>
      <c r="EV77" s="61">
        <v>0</v>
      </c>
      <c r="EW77" s="61">
        <v>0</v>
      </c>
      <c r="EX77" s="61">
        <v>0</v>
      </c>
      <c r="EY77" s="61">
        <v>0</v>
      </c>
      <c r="EZ77" s="61">
        <v>0</v>
      </c>
      <c r="FA77" s="61">
        <v>0</v>
      </c>
      <c r="FB77" s="61">
        <v>0</v>
      </c>
      <c r="FC77" s="61">
        <v>2756085</v>
      </c>
      <c r="FD77" s="61">
        <v>3448613</v>
      </c>
      <c r="FE77" s="61">
        <v>3030260</v>
      </c>
      <c r="FF77" s="61">
        <v>3310606</v>
      </c>
      <c r="FG77" s="61">
        <v>0</v>
      </c>
      <c r="FH77" s="168">
        <v>0</v>
      </c>
      <c r="FI77" s="168">
        <v>0</v>
      </c>
      <c r="FJ77" s="61">
        <v>0</v>
      </c>
      <c r="FK77" s="61">
        <v>0</v>
      </c>
      <c r="FL77" s="61">
        <v>0</v>
      </c>
      <c r="FM77" s="61">
        <v>0</v>
      </c>
      <c r="FN77" s="61">
        <v>0</v>
      </c>
      <c r="FO77" s="61">
        <v>0</v>
      </c>
      <c r="FP77" s="61">
        <v>0</v>
      </c>
      <c r="FQ77" s="61">
        <v>0</v>
      </c>
      <c r="FR77" s="61">
        <v>3401529</v>
      </c>
      <c r="FS77" s="61">
        <v>5940483</v>
      </c>
      <c r="FT77" s="61">
        <v>4812470</v>
      </c>
      <c r="FU77" s="61">
        <v>4118523</v>
      </c>
      <c r="FV77" s="61">
        <v>0</v>
      </c>
      <c r="FW77" s="61">
        <v>0</v>
      </c>
      <c r="FX77" s="61">
        <v>0</v>
      </c>
      <c r="FY77" s="61">
        <v>0</v>
      </c>
      <c r="FZ77" s="61">
        <v>0</v>
      </c>
      <c r="GA77" s="61">
        <v>0</v>
      </c>
      <c r="GB77" s="61">
        <v>0</v>
      </c>
      <c r="GC77" s="61">
        <v>0</v>
      </c>
      <c r="GD77" s="61">
        <v>0</v>
      </c>
      <c r="GE77" s="61">
        <v>0</v>
      </c>
      <c r="GF77" s="61">
        <v>3877097</v>
      </c>
      <c r="GG77" s="61">
        <v>4189783.0000000005</v>
      </c>
      <c r="GH77" s="61">
        <v>3831988.6660000002</v>
      </c>
      <c r="GI77" s="61">
        <v>2231730</v>
      </c>
      <c r="GJ77" s="61">
        <v>6677956</v>
      </c>
    </row>
    <row r="78" spans="2:207">
      <c r="D78" t="s">
        <v>298</v>
      </c>
      <c r="E78" s="61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1">
        <v>0</v>
      </c>
      <c r="L78" s="61">
        <v>0</v>
      </c>
      <c r="M78" s="61">
        <v>0</v>
      </c>
      <c r="N78" s="61">
        <v>0</v>
      </c>
      <c r="O78" s="61">
        <v>0</v>
      </c>
      <c r="P78" s="61">
        <v>1410892</v>
      </c>
      <c r="Q78" s="61">
        <v>1387726</v>
      </c>
      <c r="R78" s="61">
        <v>1533365</v>
      </c>
      <c r="S78" s="61">
        <v>1048640</v>
      </c>
      <c r="T78" s="61">
        <v>1827791</v>
      </c>
      <c r="U78" s="61">
        <v>0</v>
      </c>
      <c r="V78" s="61">
        <v>0</v>
      </c>
      <c r="W78" s="61">
        <v>0</v>
      </c>
      <c r="X78" s="61">
        <v>0</v>
      </c>
      <c r="Y78" s="61">
        <v>0</v>
      </c>
      <c r="Z78" s="61">
        <v>0</v>
      </c>
      <c r="AA78" s="61">
        <v>0</v>
      </c>
      <c r="AB78" s="61">
        <v>0</v>
      </c>
      <c r="AC78" s="61">
        <v>0</v>
      </c>
      <c r="AD78" s="61">
        <v>0</v>
      </c>
      <c r="AE78" s="61">
        <v>0</v>
      </c>
      <c r="AF78" s="61">
        <v>1948001</v>
      </c>
      <c r="AG78" s="61">
        <v>1122607</v>
      </c>
      <c r="AH78" s="61">
        <v>1544692</v>
      </c>
      <c r="AI78" s="61">
        <v>1255960</v>
      </c>
      <c r="AJ78" s="61">
        <v>763247</v>
      </c>
      <c r="AK78" s="61">
        <v>0</v>
      </c>
      <c r="AL78" s="61">
        <v>0</v>
      </c>
      <c r="AM78" s="61">
        <v>0</v>
      </c>
      <c r="AN78" s="61">
        <v>0</v>
      </c>
      <c r="AO78" s="61">
        <v>0</v>
      </c>
      <c r="AP78" s="61">
        <v>0</v>
      </c>
      <c r="AQ78" s="61">
        <v>0</v>
      </c>
      <c r="AR78" s="61">
        <v>0</v>
      </c>
      <c r="AS78" s="61">
        <v>0</v>
      </c>
      <c r="AT78" s="61">
        <v>0</v>
      </c>
      <c r="AU78" s="61">
        <v>0</v>
      </c>
      <c r="AV78" s="61">
        <v>880705</v>
      </c>
      <c r="AW78" s="61">
        <v>1136679</v>
      </c>
      <c r="AX78" s="61">
        <v>1265863</v>
      </c>
      <c r="AY78" s="61">
        <v>1149380</v>
      </c>
      <c r="AZ78" s="61">
        <v>948889</v>
      </c>
      <c r="BA78" s="61">
        <v>0</v>
      </c>
      <c r="BB78" s="61">
        <v>0</v>
      </c>
      <c r="BC78" s="61">
        <v>0</v>
      </c>
      <c r="BD78" s="61">
        <v>0</v>
      </c>
      <c r="BE78" s="61">
        <v>0</v>
      </c>
      <c r="BF78" s="61">
        <v>0</v>
      </c>
      <c r="BG78" s="61">
        <v>0</v>
      </c>
      <c r="BH78" s="61">
        <v>0</v>
      </c>
      <c r="BI78" s="61">
        <v>0</v>
      </c>
      <c r="BJ78" s="61">
        <v>0</v>
      </c>
      <c r="BK78" s="61">
        <v>0</v>
      </c>
      <c r="BL78" s="61">
        <v>856099</v>
      </c>
      <c r="BM78" s="61">
        <v>1152750</v>
      </c>
      <c r="BN78" s="61">
        <v>763344</v>
      </c>
      <c r="BO78" s="61">
        <v>785440</v>
      </c>
      <c r="BP78" s="61">
        <v>727916</v>
      </c>
      <c r="BQ78" s="61">
        <v>0</v>
      </c>
      <c r="BR78" s="61">
        <v>0</v>
      </c>
      <c r="BS78" s="61">
        <v>0</v>
      </c>
      <c r="BT78" s="61">
        <v>0</v>
      </c>
      <c r="BU78" s="61">
        <v>0</v>
      </c>
      <c r="BV78" s="61">
        <v>0</v>
      </c>
      <c r="BW78" s="61">
        <v>0</v>
      </c>
      <c r="BX78" s="61">
        <v>0</v>
      </c>
      <c r="BY78" s="61">
        <v>0</v>
      </c>
      <c r="BZ78" s="61">
        <v>0</v>
      </c>
      <c r="CA78" s="61">
        <v>0</v>
      </c>
      <c r="CB78" s="61">
        <v>1213134</v>
      </c>
      <c r="CC78" s="61">
        <v>992395</v>
      </c>
      <c r="CD78" s="61">
        <v>896866</v>
      </c>
      <c r="CE78" s="61">
        <v>900981</v>
      </c>
      <c r="CF78" s="61">
        <v>470765</v>
      </c>
      <c r="CG78" s="61">
        <v>0</v>
      </c>
      <c r="CH78" s="61">
        <v>0</v>
      </c>
      <c r="CI78" s="61">
        <v>0</v>
      </c>
      <c r="CJ78" s="61">
        <v>0</v>
      </c>
      <c r="CK78" s="61">
        <v>0</v>
      </c>
      <c r="CL78" s="61">
        <v>0</v>
      </c>
      <c r="CM78" s="61">
        <v>0</v>
      </c>
      <c r="CN78" s="61">
        <v>0</v>
      </c>
      <c r="CO78" s="61">
        <v>0</v>
      </c>
      <c r="CP78" s="61">
        <v>0</v>
      </c>
      <c r="CQ78" s="61">
        <v>0</v>
      </c>
      <c r="CR78" s="61">
        <v>694231</v>
      </c>
      <c r="CS78" s="61">
        <v>669299</v>
      </c>
      <c r="CT78" s="61">
        <v>709475</v>
      </c>
      <c r="CU78" s="61">
        <v>818570</v>
      </c>
      <c r="CV78" s="61">
        <v>685808</v>
      </c>
      <c r="CW78" s="61">
        <v>0</v>
      </c>
      <c r="CX78" s="61">
        <v>0</v>
      </c>
      <c r="CY78" s="61">
        <v>0</v>
      </c>
      <c r="CZ78" s="61">
        <v>0</v>
      </c>
      <c r="DA78" s="61">
        <v>0</v>
      </c>
      <c r="DB78" s="61">
        <v>0</v>
      </c>
      <c r="DC78" s="61">
        <v>0</v>
      </c>
      <c r="DD78" s="61">
        <v>0</v>
      </c>
      <c r="DE78" s="61">
        <v>0</v>
      </c>
      <c r="DF78" s="61">
        <v>0</v>
      </c>
      <c r="DG78" s="61">
        <v>0</v>
      </c>
      <c r="DH78" s="61">
        <v>637232</v>
      </c>
      <c r="DI78" s="61">
        <v>672814</v>
      </c>
      <c r="DJ78" s="61">
        <v>632810</v>
      </c>
      <c r="DK78" s="61">
        <v>901145.5</v>
      </c>
      <c r="DL78" s="61">
        <v>464138</v>
      </c>
      <c r="DM78" s="61">
        <v>0</v>
      </c>
      <c r="DN78" s="61">
        <v>0</v>
      </c>
      <c r="DO78" s="61">
        <v>0</v>
      </c>
      <c r="DP78" s="61">
        <v>0</v>
      </c>
      <c r="DQ78" s="61">
        <v>0</v>
      </c>
      <c r="DR78" s="61">
        <v>0</v>
      </c>
      <c r="DS78" s="61">
        <v>0</v>
      </c>
      <c r="DT78" s="61">
        <v>0</v>
      </c>
      <c r="DU78" s="61">
        <v>0</v>
      </c>
      <c r="DV78" s="61">
        <v>0</v>
      </c>
      <c r="DW78" s="61">
        <v>0</v>
      </c>
      <c r="DX78" s="61">
        <v>726536</v>
      </c>
      <c r="DY78" s="61">
        <v>619129</v>
      </c>
      <c r="DZ78" s="61">
        <v>616040</v>
      </c>
      <c r="EA78" s="61">
        <v>759352</v>
      </c>
      <c r="EB78" s="61">
        <v>626458</v>
      </c>
      <c r="EC78" s="61">
        <v>0</v>
      </c>
      <c r="ED78" s="61">
        <v>0</v>
      </c>
      <c r="EE78" s="61">
        <v>0</v>
      </c>
      <c r="EF78" s="61">
        <v>0</v>
      </c>
      <c r="EG78" s="61">
        <v>0</v>
      </c>
      <c r="EH78" s="61">
        <v>0</v>
      </c>
      <c r="EI78" s="61">
        <v>0</v>
      </c>
      <c r="EJ78" s="61">
        <v>0</v>
      </c>
      <c r="EK78" s="61">
        <v>0</v>
      </c>
      <c r="EL78" s="61">
        <v>0</v>
      </c>
      <c r="EM78" s="61">
        <v>0</v>
      </c>
      <c r="EN78" s="61">
        <v>580470</v>
      </c>
      <c r="EO78" s="61">
        <v>1058555</v>
      </c>
      <c r="EP78" s="61">
        <v>477560</v>
      </c>
      <c r="EQ78" s="61">
        <v>896014</v>
      </c>
      <c r="ER78" s="61">
        <v>0</v>
      </c>
      <c r="ES78" s="61">
        <v>0</v>
      </c>
      <c r="ET78" s="61">
        <v>0</v>
      </c>
      <c r="EU78" s="61">
        <v>0</v>
      </c>
      <c r="EV78" s="61">
        <v>0</v>
      </c>
      <c r="EW78" s="61">
        <v>0</v>
      </c>
      <c r="EX78" s="61">
        <v>0</v>
      </c>
      <c r="EY78" s="61">
        <v>0</v>
      </c>
      <c r="EZ78" s="61">
        <v>0</v>
      </c>
      <c r="FA78" s="61">
        <v>0</v>
      </c>
      <c r="FB78" s="61">
        <v>0</v>
      </c>
      <c r="FC78" s="61">
        <v>743494</v>
      </c>
      <c r="FD78" s="61">
        <v>920175</v>
      </c>
      <c r="FE78" s="61">
        <v>904240</v>
      </c>
      <c r="FF78" s="61">
        <v>894063</v>
      </c>
      <c r="FG78" s="61">
        <v>0</v>
      </c>
      <c r="FH78" s="168">
        <v>0</v>
      </c>
      <c r="FI78" s="168">
        <v>0</v>
      </c>
      <c r="FJ78" s="61">
        <v>0</v>
      </c>
      <c r="FK78" s="61">
        <v>0</v>
      </c>
      <c r="FL78" s="61">
        <v>0</v>
      </c>
      <c r="FM78" s="61">
        <v>0</v>
      </c>
      <c r="FN78" s="61">
        <v>0</v>
      </c>
      <c r="FO78" s="61">
        <v>0</v>
      </c>
      <c r="FP78" s="61">
        <v>0</v>
      </c>
      <c r="FQ78" s="61">
        <v>0</v>
      </c>
      <c r="FR78" s="61">
        <v>908847</v>
      </c>
      <c r="FS78" s="61">
        <v>1326418</v>
      </c>
      <c r="FT78" s="61">
        <v>1212800</v>
      </c>
      <c r="FU78" s="61">
        <v>1061335</v>
      </c>
      <c r="FV78" s="61">
        <v>0</v>
      </c>
      <c r="FW78" s="61">
        <v>0</v>
      </c>
      <c r="FX78" s="61">
        <v>0</v>
      </c>
      <c r="FY78" s="61">
        <v>0</v>
      </c>
      <c r="FZ78" s="61">
        <v>0</v>
      </c>
      <c r="GA78" s="61">
        <v>0</v>
      </c>
      <c r="GB78" s="61">
        <v>0</v>
      </c>
      <c r="GC78" s="61">
        <v>0</v>
      </c>
      <c r="GD78" s="61">
        <v>0</v>
      </c>
      <c r="GE78" s="61">
        <v>0</v>
      </c>
      <c r="GF78" s="61">
        <v>639070</v>
      </c>
      <c r="GG78" s="61">
        <v>930298</v>
      </c>
      <c r="GH78" s="61">
        <v>1055700.3330000001</v>
      </c>
      <c r="GI78" s="61">
        <v>663940</v>
      </c>
      <c r="GJ78" s="61">
        <v>1692935</v>
      </c>
    </row>
    <row r="79" spans="2:207">
      <c r="B79" t="s">
        <v>2618</v>
      </c>
      <c r="E79" s="61">
        <v>0</v>
      </c>
      <c r="F79" s="61">
        <v>0</v>
      </c>
      <c r="G79" s="61">
        <v>0</v>
      </c>
      <c r="H79" s="61">
        <v>0</v>
      </c>
      <c r="I79" s="61">
        <v>0</v>
      </c>
      <c r="J79" s="61">
        <v>0</v>
      </c>
      <c r="K79" s="61">
        <v>0</v>
      </c>
      <c r="L79" s="61">
        <v>0</v>
      </c>
      <c r="M79" s="61">
        <v>0</v>
      </c>
      <c r="N79" s="61">
        <v>0</v>
      </c>
      <c r="O79" s="61">
        <v>0</v>
      </c>
      <c r="P79" s="61">
        <v>10559005</v>
      </c>
      <c r="Q79" s="61">
        <v>10727591</v>
      </c>
      <c r="R79" s="61">
        <v>12484109</v>
      </c>
      <c r="S79" s="61">
        <v>7483269</v>
      </c>
      <c r="T79" s="61">
        <v>13062688.666666668</v>
      </c>
      <c r="U79" s="61">
        <v>0</v>
      </c>
      <c r="V79" s="61">
        <v>0</v>
      </c>
      <c r="W79" s="61">
        <v>0</v>
      </c>
      <c r="X79" s="61">
        <v>0</v>
      </c>
      <c r="Y79" s="61">
        <v>0</v>
      </c>
      <c r="Z79" s="61">
        <v>0</v>
      </c>
      <c r="AA79" s="61">
        <v>0</v>
      </c>
      <c r="AB79" s="61">
        <v>0</v>
      </c>
      <c r="AC79" s="61">
        <v>0</v>
      </c>
      <c r="AD79" s="61">
        <v>0</v>
      </c>
      <c r="AE79" s="61">
        <v>0</v>
      </c>
      <c r="AF79" s="61">
        <v>14165814</v>
      </c>
      <c r="AG79" s="61">
        <v>9089519</v>
      </c>
      <c r="AH79" s="61">
        <v>12318584</v>
      </c>
      <c r="AI79" s="61">
        <v>9437429.166666666</v>
      </c>
      <c r="AJ79" s="61">
        <v>8099156.666666666</v>
      </c>
      <c r="AK79" s="61">
        <v>0</v>
      </c>
      <c r="AL79" s="61">
        <v>0</v>
      </c>
      <c r="AM79" s="61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6259892</v>
      </c>
      <c r="AW79" s="61">
        <v>8880640</v>
      </c>
      <c r="AX79" s="61">
        <v>10301523</v>
      </c>
      <c r="AY79" s="61">
        <v>8885652.166666666</v>
      </c>
      <c r="AZ79" s="61">
        <v>9448103.833333334</v>
      </c>
      <c r="BA79" s="61">
        <v>0</v>
      </c>
      <c r="BB79" s="61">
        <v>0</v>
      </c>
      <c r="BC79" s="61">
        <v>0</v>
      </c>
      <c r="BD79" s="61">
        <v>0</v>
      </c>
      <c r="BE79" s="61">
        <v>0</v>
      </c>
      <c r="BF79" s="61">
        <v>0</v>
      </c>
      <c r="BG79" s="61">
        <v>0</v>
      </c>
      <c r="BH79" s="61">
        <v>0</v>
      </c>
      <c r="BI79" s="61">
        <v>0</v>
      </c>
      <c r="BJ79" s="61">
        <v>0</v>
      </c>
      <c r="BK79" s="61">
        <v>72975</v>
      </c>
      <c r="BL79" s="61">
        <v>5537893</v>
      </c>
      <c r="BM79" s="61">
        <v>7599978</v>
      </c>
      <c r="BN79" s="61">
        <v>5561949</v>
      </c>
      <c r="BO79" s="61">
        <v>5102980.333333334</v>
      </c>
      <c r="BP79" s="61">
        <v>6018199</v>
      </c>
      <c r="BQ79" s="61">
        <v>0</v>
      </c>
      <c r="BR79" s="61">
        <v>0</v>
      </c>
      <c r="BS79" s="61">
        <v>0</v>
      </c>
      <c r="BT79" s="61">
        <v>0</v>
      </c>
      <c r="BU79" s="61">
        <v>0</v>
      </c>
      <c r="BV79" s="61">
        <v>0</v>
      </c>
      <c r="BW79" s="61">
        <v>0</v>
      </c>
      <c r="BX79" s="61">
        <v>0</v>
      </c>
      <c r="BY79" s="61">
        <v>0</v>
      </c>
      <c r="BZ79" s="61">
        <v>0</v>
      </c>
      <c r="CA79" s="61">
        <v>193000</v>
      </c>
      <c r="CB79" s="61">
        <v>8146372</v>
      </c>
      <c r="CC79" s="61">
        <v>7387207</v>
      </c>
      <c r="CD79" s="61">
        <v>5921388</v>
      </c>
      <c r="CE79" s="61">
        <v>5628915.166666667</v>
      </c>
      <c r="CF79" s="61">
        <v>3763082</v>
      </c>
      <c r="CG79" s="61">
        <v>0</v>
      </c>
      <c r="CH79" s="61">
        <v>0</v>
      </c>
      <c r="CI79" s="61">
        <v>0</v>
      </c>
      <c r="CJ79" s="61">
        <v>0</v>
      </c>
      <c r="CK79" s="61">
        <v>0</v>
      </c>
      <c r="CL79" s="61">
        <v>0</v>
      </c>
      <c r="CM79" s="61">
        <v>0</v>
      </c>
      <c r="CN79" s="61">
        <v>0</v>
      </c>
      <c r="CO79" s="61">
        <v>0</v>
      </c>
      <c r="CP79" s="61">
        <v>0</v>
      </c>
      <c r="CQ79" s="61">
        <v>261807.00000000003</v>
      </c>
      <c r="CR79" s="61">
        <v>5099008</v>
      </c>
      <c r="CS79" s="61">
        <v>5280049</v>
      </c>
      <c r="CT79" s="61">
        <v>4766983.6666999999</v>
      </c>
      <c r="CU79" s="61">
        <v>5892906</v>
      </c>
      <c r="CV79" s="61">
        <v>4617874</v>
      </c>
      <c r="CW79" s="61">
        <v>0</v>
      </c>
      <c r="CX79" s="61">
        <v>0</v>
      </c>
      <c r="CY79" s="61">
        <v>0</v>
      </c>
      <c r="CZ79" s="61">
        <v>0</v>
      </c>
      <c r="DA79" s="61">
        <v>0</v>
      </c>
      <c r="DB79" s="61">
        <v>0</v>
      </c>
      <c r="DC79" s="61">
        <v>0</v>
      </c>
      <c r="DD79" s="61">
        <v>0</v>
      </c>
      <c r="DE79" s="61">
        <v>0</v>
      </c>
      <c r="DF79" s="61">
        <v>0</v>
      </c>
      <c r="DG79" s="61">
        <v>402092</v>
      </c>
      <c r="DH79" s="61">
        <v>4407934</v>
      </c>
      <c r="DI79" s="61">
        <v>6069507</v>
      </c>
      <c r="DJ79" s="61">
        <v>4130223</v>
      </c>
      <c r="DK79" s="61">
        <v>6107739.1600000001</v>
      </c>
      <c r="DL79" s="61">
        <v>3021742.833333333</v>
      </c>
      <c r="DM79" s="61">
        <v>0</v>
      </c>
      <c r="DN79" s="61">
        <v>0</v>
      </c>
      <c r="DO79" s="61">
        <v>0</v>
      </c>
      <c r="DP79" s="61">
        <v>0</v>
      </c>
      <c r="DQ79" s="61">
        <v>0</v>
      </c>
      <c r="DR79" s="61">
        <v>0</v>
      </c>
      <c r="DS79" s="61">
        <v>0</v>
      </c>
      <c r="DT79" s="61">
        <v>0</v>
      </c>
      <c r="DU79" s="61">
        <v>0</v>
      </c>
      <c r="DV79" s="61">
        <v>0</v>
      </c>
      <c r="DW79" s="61">
        <v>283068</v>
      </c>
      <c r="DX79" s="61">
        <v>5271280</v>
      </c>
      <c r="DY79" s="61">
        <v>4462855</v>
      </c>
      <c r="DZ79" s="61">
        <v>4607250</v>
      </c>
      <c r="EA79" s="61">
        <v>5153853</v>
      </c>
      <c r="EB79" s="61">
        <v>4281463</v>
      </c>
      <c r="EC79" s="61">
        <v>0</v>
      </c>
      <c r="ED79" s="61">
        <v>0</v>
      </c>
      <c r="EE79" s="61">
        <v>0</v>
      </c>
      <c r="EF79" s="61">
        <v>0</v>
      </c>
      <c r="EG79" s="61">
        <v>0</v>
      </c>
      <c r="EH79" s="61">
        <v>0</v>
      </c>
      <c r="EI79" s="61">
        <v>0</v>
      </c>
      <c r="EJ79" s="61">
        <v>0</v>
      </c>
      <c r="EK79" s="61">
        <v>0</v>
      </c>
      <c r="EL79" s="61">
        <v>0</v>
      </c>
      <c r="EM79" s="61">
        <v>1012600</v>
      </c>
      <c r="EN79" s="61">
        <v>3818594</v>
      </c>
      <c r="EO79" s="61">
        <v>7862030</v>
      </c>
      <c r="EP79" s="61">
        <v>3238572</v>
      </c>
      <c r="EQ79" s="61">
        <v>6058373.666666666</v>
      </c>
      <c r="ER79" s="61">
        <v>0</v>
      </c>
      <c r="ES79" s="61">
        <v>0</v>
      </c>
      <c r="ET79" s="61">
        <v>0</v>
      </c>
      <c r="EU79" s="61">
        <v>0</v>
      </c>
      <c r="EV79" s="61">
        <v>0</v>
      </c>
      <c r="EW79" s="61">
        <v>0</v>
      </c>
      <c r="EX79" s="61">
        <v>0</v>
      </c>
      <c r="EY79" s="61">
        <v>0</v>
      </c>
      <c r="EZ79" s="61">
        <v>0</v>
      </c>
      <c r="FA79" s="61">
        <v>0</v>
      </c>
      <c r="FB79" s="61">
        <v>2967470</v>
      </c>
      <c r="FC79" s="61">
        <v>5508756</v>
      </c>
      <c r="FD79" s="61">
        <v>5789006</v>
      </c>
      <c r="FE79" s="61">
        <v>5554981</v>
      </c>
      <c r="FF79" s="61">
        <v>6612544.833333334</v>
      </c>
      <c r="FG79" s="61">
        <v>0</v>
      </c>
      <c r="FH79" s="168">
        <v>0</v>
      </c>
      <c r="FI79" s="168">
        <v>0</v>
      </c>
      <c r="FJ79" s="61">
        <v>0</v>
      </c>
      <c r="FK79" s="61">
        <v>0</v>
      </c>
      <c r="FL79" s="61">
        <v>0</v>
      </c>
      <c r="FM79" s="61">
        <v>0</v>
      </c>
      <c r="FN79" s="61">
        <v>0</v>
      </c>
      <c r="FO79" s="61">
        <v>0</v>
      </c>
      <c r="FP79" s="61">
        <v>0</v>
      </c>
      <c r="FQ79" s="61">
        <v>2343844</v>
      </c>
      <c r="FR79" s="61">
        <v>6312277</v>
      </c>
      <c r="FS79" s="61">
        <v>10801700</v>
      </c>
      <c r="FT79" s="61">
        <v>8513842</v>
      </c>
      <c r="FU79" s="61">
        <v>7283579.666666666</v>
      </c>
      <c r="FV79" s="61">
        <v>0</v>
      </c>
      <c r="FW79" s="61">
        <v>0</v>
      </c>
      <c r="FX79" s="61">
        <v>0</v>
      </c>
      <c r="FY79" s="61">
        <v>0</v>
      </c>
      <c r="FZ79" s="61">
        <v>0</v>
      </c>
      <c r="GA79" s="61">
        <v>0</v>
      </c>
      <c r="GB79" s="61">
        <v>0</v>
      </c>
      <c r="GC79" s="61">
        <v>0</v>
      </c>
      <c r="GD79" s="61">
        <v>0</v>
      </c>
      <c r="GE79" s="61">
        <v>0</v>
      </c>
      <c r="GF79" s="61">
        <v>7962675</v>
      </c>
      <c r="GG79" s="61">
        <v>8247612</v>
      </c>
      <c r="GH79" s="61">
        <v>8742503.6660000011</v>
      </c>
      <c r="GI79" s="61">
        <v>4500050.166666666</v>
      </c>
      <c r="GJ79" s="61">
        <v>11618696</v>
      </c>
    </row>
    <row r="80" spans="2:207">
      <c r="B80" t="s">
        <v>800</v>
      </c>
      <c r="C80" t="s">
        <v>797</v>
      </c>
      <c r="D80" t="s">
        <v>214</v>
      </c>
      <c r="E80" s="61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1">
        <v>0</v>
      </c>
      <c r="Q80" s="61">
        <v>6523660</v>
      </c>
      <c r="R80" s="61">
        <v>8009140</v>
      </c>
      <c r="S80" s="61">
        <v>4017780</v>
      </c>
      <c r="T80" s="61">
        <v>7575917</v>
      </c>
      <c r="U80" s="61">
        <v>0</v>
      </c>
      <c r="V80" s="61">
        <v>0</v>
      </c>
      <c r="W80" s="61">
        <v>0</v>
      </c>
      <c r="X80" s="61">
        <v>0</v>
      </c>
      <c r="Y80" s="61">
        <v>0</v>
      </c>
      <c r="Z80" s="61">
        <v>0</v>
      </c>
      <c r="AA80" s="61">
        <v>0</v>
      </c>
      <c r="AB80" s="61">
        <v>0</v>
      </c>
      <c r="AC80" s="61">
        <v>0</v>
      </c>
      <c r="AD80" s="61">
        <v>0</v>
      </c>
      <c r="AE80" s="61">
        <v>0</v>
      </c>
      <c r="AF80" s="61">
        <v>0</v>
      </c>
      <c r="AG80" s="61">
        <v>4491926</v>
      </c>
      <c r="AH80" s="61">
        <v>6723360</v>
      </c>
      <c r="AI80" s="61">
        <v>5706700</v>
      </c>
      <c r="AJ80" s="61">
        <v>5616033</v>
      </c>
      <c r="AK80" s="61">
        <v>0</v>
      </c>
      <c r="AL80" s="61">
        <v>0</v>
      </c>
      <c r="AM80" s="61">
        <v>0</v>
      </c>
      <c r="AN80" s="61">
        <v>0</v>
      </c>
      <c r="AO80" s="61">
        <v>0</v>
      </c>
      <c r="AP80" s="61">
        <v>0</v>
      </c>
      <c r="AQ80" s="61">
        <v>0</v>
      </c>
      <c r="AR80" s="61">
        <v>0</v>
      </c>
      <c r="AS80" s="61">
        <v>0</v>
      </c>
      <c r="AT80" s="61">
        <v>0</v>
      </c>
      <c r="AU80" s="61">
        <v>0</v>
      </c>
      <c r="AV80" s="61">
        <v>0</v>
      </c>
      <c r="AW80" s="61">
        <v>5700197</v>
      </c>
      <c r="AX80" s="61">
        <v>5519061</v>
      </c>
      <c r="AY80" s="61">
        <v>6755750</v>
      </c>
      <c r="AZ80" s="61">
        <v>5882776</v>
      </c>
      <c r="BA80" s="61">
        <v>0</v>
      </c>
      <c r="BB80" s="61">
        <v>0</v>
      </c>
      <c r="BC80" s="61">
        <v>0</v>
      </c>
      <c r="BD80" s="61">
        <v>0</v>
      </c>
      <c r="BE80" s="61">
        <v>0</v>
      </c>
      <c r="BF80" s="61">
        <v>0</v>
      </c>
      <c r="BG80" s="61">
        <v>0</v>
      </c>
      <c r="BH80" s="61">
        <v>0</v>
      </c>
      <c r="BI80" s="61">
        <v>0</v>
      </c>
      <c r="BJ80" s="61">
        <v>0</v>
      </c>
      <c r="BK80" s="61">
        <v>0</v>
      </c>
      <c r="BL80" s="61">
        <v>0</v>
      </c>
      <c r="BM80" s="61">
        <v>3942259</v>
      </c>
      <c r="BN80" s="61">
        <v>4225393</v>
      </c>
      <c r="BO80" s="61">
        <v>2493940</v>
      </c>
      <c r="BP80" s="61">
        <v>3446082</v>
      </c>
      <c r="BQ80" s="61">
        <v>0</v>
      </c>
      <c r="BR80" s="61">
        <v>0</v>
      </c>
      <c r="BS80" s="61">
        <v>0</v>
      </c>
      <c r="BT80" s="61">
        <v>0</v>
      </c>
      <c r="BU80" s="61">
        <v>0</v>
      </c>
      <c r="BV80" s="61">
        <v>0</v>
      </c>
      <c r="BW80" s="61">
        <v>0</v>
      </c>
      <c r="BX80" s="61">
        <v>0</v>
      </c>
      <c r="BY80" s="61">
        <v>0</v>
      </c>
      <c r="BZ80" s="61">
        <v>0</v>
      </c>
      <c r="CA80" s="61">
        <v>0</v>
      </c>
      <c r="CB80" s="61">
        <v>0</v>
      </c>
      <c r="CC80" s="61">
        <v>4452495</v>
      </c>
      <c r="CD80" s="61">
        <v>3213262</v>
      </c>
      <c r="CE80" s="61">
        <v>2864775</v>
      </c>
      <c r="CF80" s="61">
        <v>2305587</v>
      </c>
      <c r="CG80" s="61">
        <v>0</v>
      </c>
      <c r="CH80" s="61">
        <v>0</v>
      </c>
      <c r="CI80" s="61">
        <v>0</v>
      </c>
      <c r="CJ80" s="61">
        <v>0</v>
      </c>
      <c r="CK80" s="61">
        <v>0</v>
      </c>
      <c r="CL80" s="61">
        <v>0</v>
      </c>
      <c r="CM80" s="61">
        <v>0</v>
      </c>
      <c r="CN80" s="61">
        <v>0</v>
      </c>
      <c r="CO80" s="61">
        <v>0</v>
      </c>
      <c r="CP80" s="61">
        <v>0</v>
      </c>
      <c r="CQ80" s="61">
        <v>0</v>
      </c>
      <c r="CR80" s="61">
        <v>0</v>
      </c>
      <c r="CS80" s="61">
        <v>3890387</v>
      </c>
      <c r="CT80" s="61">
        <v>2948513</v>
      </c>
      <c r="CU80" s="61">
        <v>4086740</v>
      </c>
      <c r="CV80" s="61">
        <v>2854746</v>
      </c>
      <c r="CW80" s="61">
        <v>0</v>
      </c>
      <c r="CX80" s="61">
        <v>0</v>
      </c>
      <c r="CY80" s="61">
        <v>0</v>
      </c>
      <c r="CZ80" s="61">
        <v>0</v>
      </c>
      <c r="DA80" s="61">
        <v>0</v>
      </c>
      <c r="DB80" s="61">
        <v>0</v>
      </c>
      <c r="DC80" s="61">
        <v>0</v>
      </c>
      <c r="DD80" s="61">
        <v>0</v>
      </c>
      <c r="DE80" s="61">
        <v>0</v>
      </c>
      <c r="DF80" s="61">
        <v>0</v>
      </c>
      <c r="DG80" s="61">
        <v>0</v>
      </c>
      <c r="DH80" s="61">
        <v>0</v>
      </c>
      <c r="DI80" s="61">
        <v>4765524</v>
      </c>
      <c r="DJ80" s="61">
        <v>3297590</v>
      </c>
      <c r="DK80" s="61">
        <v>3844386.5</v>
      </c>
      <c r="DL80" s="61">
        <v>1756973</v>
      </c>
      <c r="DM80" s="61">
        <v>0</v>
      </c>
      <c r="DN80" s="61">
        <v>0</v>
      </c>
      <c r="DO80" s="61">
        <v>0</v>
      </c>
      <c r="DP80" s="61">
        <v>0</v>
      </c>
      <c r="DQ80" s="61">
        <v>0</v>
      </c>
      <c r="DR80" s="61">
        <v>0</v>
      </c>
      <c r="DS80" s="61">
        <v>0</v>
      </c>
      <c r="DT80" s="61">
        <v>0</v>
      </c>
      <c r="DU80" s="61">
        <v>0</v>
      </c>
      <c r="DV80" s="61">
        <v>0</v>
      </c>
      <c r="DW80" s="61">
        <v>0</v>
      </c>
      <c r="DX80" s="61">
        <v>0</v>
      </c>
      <c r="DY80" s="61">
        <v>2761561</v>
      </c>
      <c r="DZ80" s="61">
        <v>3838060</v>
      </c>
      <c r="EA80" s="61">
        <v>2780148</v>
      </c>
      <c r="EB80" s="61">
        <v>2837470</v>
      </c>
      <c r="EC80" s="61">
        <v>0</v>
      </c>
      <c r="ED80" s="61">
        <v>0</v>
      </c>
      <c r="EE80" s="61">
        <v>0</v>
      </c>
      <c r="EF80" s="61">
        <v>0</v>
      </c>
      <c r="EG80" s="61">
        <v>0</v>
      </c>
      <c r="EH80" s="61">
        <v>0</v>
      </c>
      <c r="EI80" s="61">
        <v>0</v>
      </c>
      <c r="EJ80" s="61">
        <v>0</v>
      </c>
      <c r="EK80" s="61">
        <v>0</v>
      </c>
      <c r="EL80" s="61">
        <v>0</v>
      </c>
      <c r="EM80" s="61">
        <v>0</v>
      </c>
      <c r="EN80" s="61">
        <v>40942</v>
      </c>
      <c r="EO80" s="61">
        <v>4070136</v>
      </c>
      <c r="EP80" s="61">
        <v>2634870</v>
      </c>
      <c r="EQ80" s="61">
        <v>3141007.5</v>
      </c>
      <c r="ER80" s="61">
        <v>0</v>
      </c>
      <c r="ES80" s="61">
        <v>0</v>
      </c>
      <c r="ET80" s="61">
        <v>0</v>
      </c>
      <c r="EU80" s="61">
        <v>0</v>
      </c>
      <c r="EV80" s="61">
        <v>0</v>
      </c>
      <c r="EW80" s="61">
        <v>0</v>
      </c>
      <c r="EX80" s="61">
        <v>0</v>
      </c>
      <c r="EY80" s="61">
        <v>0</v>
      </c>
      <c r="EZ80" s="61">
        <v>0</v>
      </c>
      <c r="FA80" s="61">
        <v>0</v>
      </c>
      <c r="FB80" s="61">
        <v>0</v>
      </c>
      <c r="FC80" s="61">
        <v>2458258</v>
      </c>
      <c r="FD80" s="61">
        <v>3001353</v>
      </c>
      <c r="FE80" s="61">
        <v>3012980</v>
      </c>
      <c r="FF80" s="61">
        <v>5226928</v>
      </c>
      <c r="FG80" s="61">
        <v>0</v>
      </c>
      <c r="FH80" s="168">
        <v>0</v>
      </c>
      <c r="FI80" s="168">
        <v>0</v>
      </c>
      <c r="FJ80" s="61">
        <v>0</v>
      </c>
      <c r="FK80" s="61">
        <v>0</v>
      </c>
      <c r="FL80" s="61">
        <v>0</v>
      </c>
      <c r="FM80" s="61">
        <v>0</v>
      </c>
      <c r="FN80" s="61">
        <v>0</v>
      </c>
      <c r="FO80" s="61">
        <v>0</v>
      </c>
      <c r="FP80" s="61">
        <v>0</v>
      </c>
      <c r="FQ80" s="61">
        <v>0</v>
      </c>
      <c r="FR80" s="61">
        <v>4214159</v>
      </c>
      <c r="FS80" s="61">
        <v>7495557</v>
      </c>
      <c r="FT80" s="61">
        <v>4706240</v>
      </c>
      <c r="FU80" s="61">
        <v>4201787</v>
      </c>
      <c r="FV80" s="61">
        <v>0</v>
      </c>
      <c r="FW80" s="61">
        <v>0</v>
      </c>
      <c r="FX80" s="61">
        <v>0</v>
      </c>
      <c r="FY80" s="61">
        <v>0</v>
      </c>
      <c r="FZ80" s="61">
        <v>0</v>
      </c>
      <c r="GA80" s="61">
        <v>0</v>
      </c>
      <c r="GB80" s="61">
        <v>0</v>
      </c>
      <c r="GC80" s="61">
        <v>0</v>
      </c>
      <c r="GD80" s="61">
        <v>0</v>
      </c>
      <c r="GE80" s="61">
        <v>0</v>
      </c>
      <c r="GF80" s="61">
        <v>0</v>
      </c>
      <c r="GG80" s="61">
        <v>6386312</v>
      </c>
      <c r="GH80" s="61">
        <v>8361691.5000000009</v>
      </c>
      <c r="GI80" s="61">
        <v>4038300</v>
      </c>
      <c r="GJ80" s="61">
        <v>6342419</v>
      </c>
    </row>
    <row r="81" spans="2:192">
      <c r="D81" t="s">
        <v>306</v>
      </c>
      <c r="E81" s="61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1">
        <v>0</v>
      </c>
      <c r="L81" s="61">
        <v>0</v>
      </c>
      <c r="M81" s="61">
        <v>0</v>
      </c>
      <c r="N81" s="61">
        <v>0</v>
      </c>
      <c r="O81" s="61">
        <v>0</v>
      </c>
      <c r="P81" s="61">
        <v>0</v>
      </c>
      <c r="Q81" s="61">
        <v>2350000</v>
      </c>
      <c r="R81" s="61">
        <v>2677000</v>
      </c>
      <c r="S81" s="61">
        <v>1491720</v>
      </c>
      <c r="T81" s="61">
        <v>2555350</v>
      </c>
      <c r="U81" s="61">
        <v>0</v>
      </c>
      <c r="V81" s="61">
        <v>0</v>
      </c>
      <c r="W81" s="61">
        <v>0</v>
      </c>
      <c r="X81" s="61">
        <v>0</v>
      </c>
      <c r="Y81" s="61">
        <v>0</v>
      </c>
      <c r="Z81" s="61">
        <v>0</v>
      </c>
      <c r="AA81" s="61">
        <v>0</v>
      </c>
      <c r="AB81" s="61">
        <v>0</v>
      </c>
      <c r="AC81" s="61">
        <v>0</v>
      </c>
      <c r="AD81" s="61">
        <v>0</v>
      </c>
      <c r="AE81" s="61">
        <v>0</v>
      </c>
      <c r="AF81" s="61">
        <v>0</v>
      </c>
      <c r="AG81" s="61">
        <v>1868000</v>
      </c>
      <c r="AH81" s="61">
        <v>2514677</v>
      </c>
      <c r="AI81" s="61">
        <v>1960380</v>
      </c>
      <c r="AJ81" s="61">
        <v>1360091</v>
      </c>
      <c r="AK81" s="61">
        <v>0</v>
      </c>
      <c r="AL81" s="61">
        <v>0</v>
      </c>
      <c r="AM81" s="61">
        <v>0</v>
      </c>
      <c r="AN81" s="61">
        <v>0</v>
      </c>
      <c r="AO81" s="61">
        <v>0</v>
      </c>
      <c r="AP81" s="61">
        <v>0</v>
      </c>
      <c r="AQ81" s="61">
        <v>0</v>
      </c>
      <c r="AR81" s="61">
        <v>0</v>
      </c>
      <c r="AS81" s="61">
        <v>0</v>
      </c>
      <c r="AT81" s="61">
        <v>0</v>
      </c>
      <c r="AU81" s="61">
        <v>0</v>
      </c>
      <c r="AV81" s="61">
        <v>0</v>
      </c>
      <c r="AW81" s="61">
        <v>1566000</v>
      </c>
      <c r="AX81" s="61">
        <v>2156478</v>
      </c>
      <c r="AY81" s="61">
        <v>1832890</v>
      </c>
      <c r="AZ81" s="61">
        <v>2063281</v>
      </c>
      <c r="BA81" s="61">
        <v>0</v>
      </c>
      <c r="BB81" s="61">
        <v>0</v>
      </c>
      <c r="BC81" s="61">
        <v>0</v>
      </c>
      <c r="BD81" s="61">
        <v>0</v>
      </c>
      <c r="BE81" s="61">
        <v>0</v>
      </c>
      <c r="BF81" s="61">
        <v>0</v>
      </c>
      <c r="BG81" s="61">
        <v>0</v>
      </c>
      <c r="BH81" s="61">
        <v>0</v>
      </c>
      <c r="BI81" s="61">
        <v>0</v>
      </c>
      <c r="BJ81" s="61">
        <v>0</v>
      </c>
      <c r="BK81" s="61">
        <v>0</v>
      </c>
      <c r="BL81" s="61">
        <v>0</v>
      </c>
      <c r="BM81" s="61">
        <v>1400000</v>
      </c>
      <c r="BN81" s="61">
        <v>1217341</v>
      </c>
      <c r="BO81" s="61">
        <v>887780</v>
      </c>
      <c r="BP81" s="61">
        <v>1100066</v>
      </c>
      <c r="BQ81" s="61">
        <v>0</v>
      </c>
      <c r="BR81" s="61">
        <v>0</v>
      </c>
      <c r="BS81" s="61">
        <v>0</v>
      </c>
      <c r="BT81" s="61">
        <v>0</v>
      </c>
      <c r="BU81" s="61">
        <v>0</v>
      </c>
      <c r="BV81" s="61">
        <v>0</v>
      </c>
      <c r="BW81" s="61">
        <v>0</v>
      </c>
      <c r="BX81" s="61">
        <v>0</v>
      </c>
      <c r="BY81" s="61">
        <v>0</v>
      </c>
      <c r="BZ81" s="61">
        <v>0</v>
      </c>
      <c r="CA81" s="61">
        <v>0</v>
      </c>
      <c r="CB81" s="61">
        <v>0</v>
      </c>
      <c r="CC81" s="61">
        <v>1354158</v>
      </c>
      <c r="CD81" s="61">
        <v>1321557</v>
      </c>
      <c r="CE81" s="61">
        <v>1065488</v>
      </c>
      <c r="CF81" s="61">
        <v>1429039</v>
      </c>
      <c r="CG81" s="61">
        <v>0</v>
      </c>
      <c r="CH81" s="61">
        <v>0</v>
      </c>
      <c r="CI81" s="61">
        <v>0</v>
      </c>
      <c r="CJ81" s="61">
        <v>0</v>
      </c>
      <c r="CK81" s="61">
        <v>0</v>
      </c>
      <c r="CL81" s="61">
        <v>0</v>
      </c>
      <c r="CM81" s="61">
        <v>0</v>
      </c>
      <c r="CN81" s="61">
        <v>0</v>
      </c>
      <c r="CO81" s="61">
        <v>0</v>
      </c>
      <c r="CP81" s="61">
        <v>0</v>
      </c>
      <c r="CQ81" s="61">
        <v>0</v>
      </c>
      <c r="CR81" s="61">
        <v>0</v>
      </c>
      <c r="CS81" s="61">
        <v>1177000</v>
      </c>
      <c r="CT81" s="61">
        <v>766942</v>
      </c>
      <c r="CU81" s="61">
        <v>1030090</v>
      </c>
      <c r="CV81" s="61">
        <v>495774</v>
      </c>
      <c r="CW81" s="61">
        <v>0</v>
      </c>
      <c r="CX81" s="61">
        <v>0</v>
      </c>
      <c r="CY81" s="61">
        <v>0</v>
      </c>
      <c r="CZ81" s="61">
        <v>0</v>
      </c>
      <c r="DA81" s="61">
        <v>0</v>
      </c>
      <c r="DB81" s="61">
        <v>0</v>
      </c>
      <c r="DC81" s="61">
        <v>0</v>
      </c>
      <c r="DD81" s="61">
        <v>0</v>
      </c>
      <c r="DE81" s="61">
        <v>0</v>
      </c>
      <c r="DF81" s="61">
        <v>0</v>
      </c>
      <c r="DG81" s="61">
        <v>0</v>
      </c>
      <c r="DH81" s="61">
        <v>0</v>
      </c>
      <c r="DI81" s="61">
        <v>978000</v>
      </c>
      <c r="DJ81" s="61">
        <v>605580</v>
      </c>
      <c r="DK81" s="61">
        <v>1166735.83</v>
      </c>
      <c r="DL81" s="61">
        <v>661214</v>
      </c>
      <c r="DM81" s="61">
        <v>0</v>
      </c>
      <c r="DN81" s="61">
        <v>0</v>
      </c>
      <c r="DO81" s="61">
        <v>0</v>
      </c>
      <c r="DP81" s="61">
        <v>0</v>
      </c>
      <c r="DQ81" s="61">
        <v>0</v>
      </c>
      <c r="DR81" s="61">
        <v>0</v>
      </c>
      <c r="DS81" s="61">
        <v>0</v>
      </c>
      <c r="DT81" s="61">
        <v>0</v>
      </c>
      <c r="DU81" s="61">
        <v>0</v>
      </c>
      <c r="DV81" s="61">
        <v>0</v>
      </c>
      <c r="DW81" s="61">
        <v>0</v>
      </c>
      <c r="DX81" s="61">
        <v>0</v>
      </c>
      <c r="DY81" s="61">
        <v>1114777</v>
      </c>
      <c r="DZ81" s="61">
        <v>706960</v>
      </c>
      <c r="EA81" s="61">
        <v>778873</v>
      </c>
      <c r="EB81" s="61">
        <v>851597</v>
      </c>
      <c r="EC81" s="61">
        <v>0</v>
      </c>
      <c r="ED81" s="61">
        <v>0</v>
      </c>
      <c r="EE81" s="61">
        <v>0</v>
      </c>
      <c r="EF81" s="61">
        <v>0</v>
      </c>
      <c r="EG81" s="61">
        <v>0</v>
      </c>
      <c r="EH81" s="61">
        <v>0</v>
      </c>
      <c r="EI81" s="61">
        <v>0</v>
      </c>
      <c r="EJ81" s="61">
        <v>0</v>
      </c>
      <c r="EK81" s="61">
        <v>0</v>
      </c>
      <c r="EL81" s="61">
        <v>0</v>
      </c>
      <c r="EM81" s="61">
        <v>0</v>
      </c>
      <c r="EN81" s="61">
        <v>0</v>
      </c>
      <c r="EO81" s="61">
        <v>1676669</v>
      </c>
      <c r="EP81" s="61">
        <v>723670</v>
      </c>
      <c r="EQ81" s="61">
        <v>714768.17</v>
      </c>
      <c r="ER81" s="61">
        <v>0</v>
      </c>
      <c r="ES81" s="61">
        <v>0</v>
      </c>
      <c r="ET81" s="61">
        <v>0</v>
      </c>
      <c r="EU81" s="61">
        <v>0</v>
      </c>
      <c r="EV81" s="61">
        <v>0</v>
      </c>
      <c r="EW81" s="61">
        <v>0</v>
      </c>
      <c r="EX81" s="61">
        <v>0</v>
      </c>
      <c r="EY81" s="61">
        <v>0</v>
      </c>
      <c r="EZ81" s="61">
        <v>0</v>
      </c>
      <c r="FA81" s="61">
        <v>0</v>
      </c>
      <c r="FB81" s="61">
        <v>0</v>
      </c>
      <c r="FC81" s="61">
        <v>141778</v>
      </c>
      <c r="FD81" s="61">
        <v>1102683</v>
      </c>
      <c r="FE81" s="61">
        <v>1169940</v>
      </c>
      <c r="FF81" s="61">
        <v>1479638</v>
      </c>
      <c r="FG81" s="61">
        <v>0</v>
      </c>
      <c r="FH81" s="168">
        <v>0</v>
      </c>
      <c r="FI81" s="168">
        <v>0</v>
      </c>
      <c r="FJ81" s="61">
        <v>0</v>
      </c>
      <c r="FK81" s="61">
        <v>0</v>
      </c>
      <c r="FL81" s="61">
        <v>0</v>
      </c>
      <c r="FM81" s="61">
        <v>0</v>
      </c>
      <c r="FN81" s="61">
        <v>0</v>
      </c>
      <c r="FO81" s="61">
        <v>0</v>
      </c>
      <c r="FP81" s="61">
        <v>0</v>
      </c>
      <c r="FQ81" s="61">
        <v>0</v>
      </c>
      <c r="FR81" s="61">
        <v>2874434</v>
      </c>
      <c r="FS81" s="61">
        <v>2286681</v>
      </c>
      <c r="FT81" s="61">
        <v>1662560</v>
      </c>
      <c r="FU81" s="61">
        <v>1685240</v>
      </c>
      <c r="FV81" s="61">
        <v>0</v>
      </c>
      <c r="FW81" s="61">
        <v>0</v>
      </c>
      <c r="FX81" s="61">
        <v>0</v>
      </c>
      <c r="FY81" s="61">
        <v>0</v>
      </c>
      <c r="FZ81" s="61">
        <v>0</v>
      </c>
      <c r="GA81" s="61">
        <v>0</v>
      </c>
      <c r="GB81" s="61">
        <v>0</v>
      </c>
      <c r="GC81" s="61">
        <v>0</v>
      </c>
      <c r="GD81" s="61">
        <v>0</v>
      </c>
      <c r="GE81" s="61">
        <v>0</v>
      </c>
      <c r="GF81" s="61">
        <v>0</v>
      </c>
      <c r="GG81" s="61">
        <v>-138052195</v>
      </c>
      <c r="GH81" s="61">
        <v>2626367</v>
      </c>
      <c r="GI81" s="61">
        <v>1131230</v>
      </c>
      <c r="GJ81" s="61">
        <v>2386265</v>
      </c>
    </row>
    <row r="82" spans="2:192">
      <c r="B82" t="s">
        <v>2619</v>
      </c>
      <c r="E82" s="61">
        <v>0</v>
      </c>
      <c r="F82" s="61">
        <v>0</v>
      </c>
      <c r="G82" s="61">
        <v>0</v>
      </c>
      <c r="H82" s="61">
        <v>0</v>
      </c>
      <c r="I82" s="61">
        <v>0</v>
      </c>
      <c r="J82" s="61">
        <v>0</v>
      </c>
      <c r="K82" s="61">
        <v>0</v>
      </c>
      <c r="L82" s="61">
        <v>0</v>
      </c>
      <c r="M82" s="61">
        <v>0</v>
      </c>
      <c r="N82" s="61">
        <v>0</v>
      </c>
      <c r="O82" s="61">
        <v>0</v>
      </c>
      <c r="P82" s="61">
        <v>0</v>
      </c>
      <c r="Q82" s="61">
        <v>8873660</v>
      </c>
      <c r="R82" s="61">
        <v>10686140</v>
      </c>
      <c r="S82" s="61">
        <v>5509500</v>
      </c>
      <c r="T82" s="61">
        <v>10131267</v>
      </c>
      <c r="U82" s="61">
        <v>0</v>
      </c>
      <c r="V82" s="61">
        <v>0</v>
      </c>
      <c r="W82" s="61">
        <v>0</v>
      </c>
      <c r="X82" s="61">
        <v>0</v>
      </c>
      <c r="Y82" s="61">
        <v>0</v>
      </c>
      <c r="Z82" s="61">
        <v>0</v>
      </c>
      <c r="AA82" s="61">
        <v>0</v>
      </c>
      <c r="AB82" s="61">
        <v>0</v>
      </c>
      <c r="AC82" s="61">
        <v>0</v>
      </c>
      <c r="AD82" s="61">
        <v>0</v>
      </c>
      <c r="AE82" s="61">
        <v>0</v>
      </c>
      <c r="AF82" s="61">
        <v>0</v>
      </c>
      <c r="AG82" s="61">
        <v>6359926</v>
      </c>
      <c r="AH82" s="61">
        <v>9238037</v>
      </c>
      <c r="AI82" s="61">
        <v>7667080</v>
      </c>
      <c r="AJ82" s="61">
        <v>6976124</v>
      </c>
      <c r="AK82" s="61">
        <v>0</v>
      </c>
      <c r="AL82" s="61">
        <v>0</v>
      </c>
      <c r="AM82" s="61">
        <v>0</v>
      </c>
      <c r="AN82" s="61">
        <v>0</v>
      </c>
      <c r="AO82" s="61">
        <v>0</v>
      </c>
      <c r="AP82" s="61">
        <v>0</v>
      </c>
      <c r="AQ82" s="61">
        <v>0</v>
      </c>
      <c r="AR82" s="61">
        <v>0</v>
      </c>
      <c r="AS82" s="61">
        <v>0</v>
      </c>
      <c r="AT82" s="61">
        <v>0</v>
      </c>
      <c r="AU82" s="61">
        <v>0</v>
      </c>
      <c r="AV82" s="61">
        <v>0</v>
      </c>
      <c r="AW82" s="61">
        <v>7266197</v>
      </c>
      <c r="AX82" s="61">
        <v>7675539</v>
      </c>
      <c r="AY82" s="61">
        <v>8588640</v>
      </c>
      <c r="AZ82" s="61">
        <v>7946057</v>
      </c>
      <c r="BA82" s="61">
        <v>0</v>
      </c>
      <c r="BB82" s="61">
        <v>0</v>
      </c>
      <c r="BC82" s="61">
        <v>0</v>
      </c>
      <c r="BD82" s="61">
        <v>0</v>
      </c>
      <c r="BE82" s="61">
        <v>0</v>
      </c>
      <c r="BF82" s="61">
        <v>0</v>
      </c>
      <c r="BG82" s="61">
        <v>0</v>
      </c>
      <c r="BH82" s="61">
        <v>0</v>
      </c>
      <c r="BI82" s="61">
        <v>0</v>
      </c>
      <c r="BJ82" s="61">
        <v>0</v>
      </c>
      <c r="BK82" s="61">
        <v>0</v>
      </c>
      <c r="BL82" s="61">
        <v>0</v>
      </c>
      <c r="BM82" s="61">
        <v>5342259</v>
      </c>
      <c r="BN82" s="61">
        <v>5442734</v>
      </c>
      <c r="BO82" s="61">
        <v>3381720</v>
      </c>
      <c r="BP82" s="61">
        <v>4546148</v>
      </c>
      <c r="BQ82" s="61">
        <v>0</v>
      </c>
      <c r="BR82" s="61">
        <v>0</v>
      </c>
      <c r="BS82" s="61">
        <v>0</v>
      </c>
      <c r="BT82" s="61">
        <v>0</v>
      </c>
      <c r="BU82" s="61">
        <v>0</v>
      </c>
      <c r="BV82" s="61">
        <v>0</v>
      </c>
      <c r="BW82" s="61">
        <v>0</v>
      </c>
      <c r="BX82" s="61">
        <v>0</v>
      </c>
      <c r="BY82" s="61">
        <v>0</v>
      </c>
      <c r="BZ82" s="61">
        <v>0</v>
      </c>
      <c r="CA82" s="61">
        <v>0</v>
      </c>
      <c r="CB82" s="61">
        <v>0</v>
      </c>
      <c r="CC82" s="61">
        <v>5806653</v>
      </c>
      <c r="CD82" s="61">
        <v>4534819</v>
      </c>
      <c r="CE82" s="61">
        <v>3930263</v>
      </c>
      <c r="CF82" s="61">
        <v>3734626</v>
      </c>
      <c r="CG82" s="61">
        <v>0</v>
      </c>
      <c r="CH82" s="61">
        <v>0</v>
      </c>
      <c r="CI82" s="61">
        <v>0</v>
      </c>
      <c r="CJ82" s="61">
        <v>0</v>
      </c>
      <c r="CK82" s="61">
        <v>0</v>
      </c>
      <c r="CL82" s="61">
        <v>0</v>
      </c>
      <c r="CM82" s="61">
        <v>0</v>
      </c>
      <c r="CN82" s="61">
        <v>0</v>
      </c>
      <c r="CO82" s="61">
        <v>0</v>
      </c>
      <c r="CP82" s="61">
        <v>0</v>
      </c>
      <c r="CQ82" s="61">
        <v>0</v>
      </c>
      <c r="CR82" s="61">
        <v>0</v>
      </c>
      <c r="CS82" s="61">
        <v>5067387</v>
      </c>
      <c r="CT82" s="61">
        <v>3715455</v>
      </c>
      <c r="CU82" s="61">
        <v>5116830</v>
      </c>
      <c r="CV82" s="61">
        <v>3350520</v>
      </c>
      <c r="CW82" s="61">
        <v>0</v>
      </c>
      <c r="CX82" s="61">
        <v>0</v>
      </c>
      <c r="CY82" s="61">
        <v>0</v>
      </c>
      <c r="CZ82" s="61">
        <v>0</v>
      </c>
      <c r="DA82" s="61">
        <v>0</v>
      </c>
      <c r="DB82" s="61">
        <v>0</v>
      </c>
      <c r="DC82" s="61">
        <v>0</v>
      </c>
      <c r="DD82" s="61">
        <v>0</v>
      </c>
      <c r="DE82" s="61">
        <v>0</v>
      </c>
      <c r="DF82" s="61">
        <v>0</v>
      </c>
      <c r="DG82" s="61">
        <v>0</v>
      </c>
      <c r="DH82" s="61">
        <v>0</v>
      </c>
      <c r="DI82" s="61">
        <v>5743524</v>
      </c>
      <c r="DJ82" s="61">
        <v>3903170</v>
      </c>
      <c r="DK82" s="61">
        <v>5011122.33</v>
      </c>
      <c r="DL82" s="61">
        <v>2418187</v>
      </c>
      <c r="DM82" s="61">
        <v>0</v>
      </c>
      <c r="DN82" s="61">
        <v>0</v>
      </c>
      <c r="DO82" s="61">
        <v>0</v>
      </c>
      <c r="DP82" s="61">
        <v>0</v>
      </c>
      <c r="DQ82" s="61">
        <v>0</v>
      </c>
      <c r="DR82" s="61">
        <v>0</v>
      </c>
      <c r="DS82" s="61">
        <v>0</v>
      </c>
      <c r="DT82" s="61">
        <v>0</v>
      </c>
      <c r="DU82" s="61">
        <v>0</v>
      </c>
      <c r="DV82" s="61">
        <v>0</v>
      </c>
      <c r="DW82" s="61">
        <v>0</v>
      </c>
      <c r="DX82" s="61">
        <v>0</v>
      </c>
      <c r="DY82" s="61">
        <v>3876338</v>
      </c>
      <c r="DZ82" s="61">
        <v>4545020</v>
      </c>
      <c r="EA82" s="61">
        <v>3559021</v>
      </c>
      <c r="EB82" s="61">
        <v>3689067</v>
      </c>
      <c r="EC82" s="61">
        <v>0</v>
      </c>
      <c r="ED82" s="61">
        <v>0</v>
      </c>
      <c r="EE82" s="61">
        <v>0</v>
      </c>
      <c r="EF82" s="61">
        <v>0</v>
      </c>
      <c r="EG82" s="61">
        <v>0</v>
      </c>
      <c r="EH82" s="61">
        <v>0</v>
      </c>
      <c r="EI82" s="61">
        <v>0</v>
      </c>
      <c r="EJ82" s="61">
        <v>0</v>
      </c>
      <c r="EK82" s="61">
        <v>0</v>
      </c>
      <c r="EL82" s="61">
        <v>0</v>
      </c>
      <c r="EM82" s="61">
        <v>0</v>
      </c>
      <c r="EN82" s="61">
        <v>40942</v>
      </c>
      <c r="EO82" s="61">
        <v>5746805</v>
      </c>
      <c r="EP82" s="61">
        <v>3358540</v>
      </c>
      <c r="EQ82" s="61">
        <v>3855775.67</v>
      </c>
      <c r="ER82" s="61">
        <v>0</v>
      </c>
      <c r="ES82" s="61">
        <v>0</v>
      </c>
      <c r="ET82" s="61">
        <v>0</v>
      </c>
      <c r="EU82" s="61">
        <v>0</v>
      </c>
      <c r="EV82" s="61">
        <v>0</v>
      </c>
      <c r="EW82" s="61">
        <v>0</v>
      </c>
      <c r="EX82" s="61">
        <v>0</v>
      </c>
      <c r="EY82" s="61">
        <v>0</v>
      </c>
      <c r="EZ82" s="61">
        <v>0</v>
      </c>
      <c r="FA82" s="61">
        <v>0</v>
      </c>
      <c r="FB82" s="61">
        <v>0</v>
      </c>
      <c r="FC82" s="61">
        <v>2600036</v>
      </c>
      <c r="FD82" s="61">
        <v>4104036</v>
      </c>
      <c r="FE82" s="61">
        <v>4182920</v>
      </c>
      <c r="FF82" s="61">
        <v>6706566</v>
      </c>
      <c r="FG82" s="61">
        <v>0</v>
      </c>
      <c r="FH82" s="168">
        <v>0</v>
      </c>
      <c r="FI82" s="168">
        <v>0</v>
      </c>
      <c r="FJ82" s="61">
        <v>0</v>
      </c>
      <c r="FK82" s="61">
        <v>0</v>
      </c>
      <c r="FL82" s="61">
        <v>0</v>
      </c>
      <c r="FM82" s="61">
        <v>0</v>
      </c>
      <c r="FN82" s="61">
        <v>0</v>
      </c>
      <c r="FO82" s="61">
        <v>0</v>
      </c>
      <c r="FP82" s="61">
        <v>0</v>
      </c>
      <c r="FQ82" s="61">
        <v>0</v>
      </c>
      <c r="FR82" s="61">
        <v>7088593</v>
      </c>
      <c r="FS82" s="61">
        <v>9782238</v>
      </c>
      <c r="FT82" s="61">
        <v>6368800</v>
      </c>
      <c r="FU82" s="61">
        <v>5887027</v>
      </c>
      <c r="FV82" s="61">
        <v>0</v>
      </c>
      <c r="FW82" s="61">
        <v>0</v>
      </c>
      <c r="FX82" s="61">
        <v>0</v>
      </c>
      <c r="FY82" s="61">
        <v>0</v>
      </c>
      <c r="FZ82" s="61">
        <v>0</v>
      </c>
      <c r="GA82" s="61">
        <v>0</v>
      </c>
      <c r="GB82" s="61">
        <v>0</v>
      </c>
      <c r="GC82" s="61">
        <v>0</v>
      </c>
      <c r="GD82" s="61">
        <v>0</v>
      </c>
      <c r="GE82" s="61">
        <v>0</v>
      </c>
      <c r="GF82" s="61">
        <v>0</v>
      </c>
      <c r="GG82" s="61">
        <v>-131665883</v>
      </c>
      <c r="GH82" s="61">
        <v>10988058.5</v>
      </c>
      <c r="GI82" s="61">
        <v>5169530</v>
      </c>
      <c r="GJ82" s="61">
        <v>8728684</v>
      </c>
    </row>
    <row r="83" spans="2:192">
      <c r="B83" t="s">
        <v>792</v>
      </c>
      <c r="C83" t="s">
        <v>794</v>
      </c>
      <c r="D83" t="s">
        <v>301</v>
      </c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>
        <v>8088034</v>
      </c>
      <c r="S83" s="61">
        <v>3842850</v>
      </c>
      <c r="T83" s="61">
        <v>7585044</v>
      </c>
      <c r="U83" s="61">
        <v>0</v>
      </c>
      <c r="V83" s="61">
        <v>0</v>
      </c>
      <c r="W83" s="61">
        <v>0</v>
      </c>
      <c r="X83" s="61">
        <v>0</v>
      </c>
      <c r="Y83" s="61">
        <v>0</v>
      </c>
      <c r="Z83" s="61">
        <v>0</v>
      </c>
      <c r="AA83" s="61">
        <v>0</v>
      </c>
      <c r="AB83" s="61">
        <v>0</v>
      </c>
      <c r="AC83" s="61">
        <v>0</v>
      </c>
      <c r="AD83" s="61">
        <v>0</v>
      </c>
      <c r="AE83" s="61">
        <v>0</v>
      </c>
      <c r="AF83" s="61">
        <v>0</v>
      </c>
      <c r="AG83" s="61">
        <v>0</v>
      </c>
      <c r="AH83" s="61">
        <v>7375073</v>
      </c>
      <c r="AI83" s="61">
        <v>5213190</v>
      </c>
      <c r="AJ83" s="61">
        <v>5763053</v>
      </c>
      <c r="AK83" s="61">
        <v>0</v>
      </c>
      <c r="AL83" s="61">
        <v>0</v>
      </c>
      <c r="AM83" s="61">
        <v>0</v>
      </c>
      <c r="AN83" s="61">
        <v>0</v>
      </c>
      <c r="AO83" s="61">
        <v>0</v>
      </c>
      <c r="AP83" s="61">
        <v>0</v>
      </c>
      <c r="AQ83" s="61">
        <v>0</v>
      </c>
      <c r="AR83" s="61">
        <v>0</v>
      </c>
      <c r="AS83" s="61">
        <v>0</v>
      </c>
      <c r="AT83" s="61">
        <v>0</v>
      </c>
      <c r="AU83" s="61">
        <v>0</v>
      </c>
      <c r="AV83" s="61">
        <v>0</v>
      </c>
      <c r="AW83" s="61">
        <v>1780167</v>
      </c>
      <c r="AX83" s="61">
        <v>6148495</v>
      </c>
      <c r="AY83" s="61">
        <v>5953530</v>
      </c>
      <c r="AZ83" s="61">
        <v>4782702</v>
      </c>
      <c r="BA83" s="61">
        <v>0</v>
      </c>
      <c r="BB83" s="61">
        <v>0</v>
      </c>
      <c r="BC83" s="61">
        <v>0</v>
      </c>
      <c r="BD83" s="61">
        <v>0</v>
      </c>
      <c r="BE83" s="61">
        <v>0</v>
      </c>
      <c r="BF83" s="61">
        <v>0</v>
      </c>
      <c r="BG83" s="61">
        <v>0</v>
      </c>
      <c r="BH83" s="61">
        <v>0</v>
      </c>
      <c r="BI83" s="61">
        <v>0</v>
      </c>
      <c r="BJ83" s="61">
        <v>0</v>
      </c>
      <c r="BK83" s="61">
        <v>0</v>
      </c>
      <c r="BL83" s="61">
        <v>0</v>
      </c>
      <c r="BM83" s="61">
        <v>2960738</v>
      </c>
      <c r="BN83" s="61">
        <v>3876541</v>
      </c>
      <c r="BO83" s="61">
        <v>2576680</v>
      </c>
      <c r="BP83" s="61">
        <v>3544595</v>
      </c>
      <c r="BQ83" s="61">
        <v>0</v>
      </c>
      <c r="BR83" s="61">
        <v>0</v>
      </c>
      <c r="BS83" s="61">
        <v>0</v>
      </c>
      <c r="BT83" s="61">
        <v>0</v>
      </c>
      <c r="BU83" s="61">
        <v>0</v>
      </c>
      <c r="BV83" s="61">
        <v>0</v>
      </c>
      <c r="BW83" s="61">
        <v>0</v>
      </c>
      <c r="BX83" s="61">
        <v>0</v>
      </c>
      <c r="BY83" s="61">
        <v>0</v>
      </c>
      <c r="BZ83" s="61">
        <v>0</v>
      </c>
      <c r="CA83" s="61">
        <v>0</v>
      </c>
      <c r="CB83" s="61">
        <v>0</v>
      </c>
      <c r="CC83" s="61">
        <v>3740349</v>
      </c>
      <c r="CD83" s="61">
        <v>3251519</v>
      </c>
      <c r="CE83" s="61">
        <v>2769475</v>
      </c>
      <c r="CF83" s="61">
        <v>2933621</v>
      </c>
      <c r="CG83" s="61">
        <v>0</v>
      </c>
      <c r="CH83" s="61">
        <v>0</v>
      </c>
      <c r="CI83" s="61">
        <v>0</v>
      </c>
      <c r="CJ83" s="61">
        <v>0</v>
      </c>
      <c r="CK83" s="61">
        <v>0</v>
      </c>
      <c r="CL83" s="61">
        <v>0</v>
      </c>
      <c r="CM83" s="61">
        <v>0</v>
      </c>
      <c r="CN83" s="61">
        <v>0</v>
      </c>
      <c r="CO83" s="61">
        <v>0</v>
      </c>
      <c r="CP83" s="61">
        <v>0</v>
      </c>
      <c r="CQ83" s="61">
        <v>0</v>
      </c>
      <c r="CR83" s="61">
        <v>0</v>
      </c>
      <c r="CS83" s="61">
        <v>3579919</v>
      </c>
      <c r="CT83" s="61">
        <v>2372320</v>
      </c>
      <c r="CU83" s="61">
        <v>2874250</v>
      </c>
      <c r="CV83" s="61">
        <v>2640025</v>
      </c>
      <c r="CW83" s="61">
        <v>0</v>
      </c>
      <c r="CX83" s="61">
        <v>0</v>
      </c>
      <c r="CY83" s="61">
        <v>0</v>
      </c>
      <c r="CZ83" s="61">
        <v>0</v>
      </c>
      <c r="DA83" s="61">
        <v>0</v>
      </c>
      <c r="DB83" s="61">
        <v>0</v>
      </c>
      <c r="DC83" s="61">
        <v>0</v>
      </c>
      <c r="DD83" s="61">
        <v>0</v>
      </c>
      <c r="DE83" s="61">
        <v>0</v>
      </c>
      <c r="DF83" s="61">
        <v>0</v>
      </c>
      <c r="DG83" s="61">
        <v>0</v>
      </c>
      <c r="DH83" s="61">
        <v>0</v>
      </c>
      <c r="DI83" s="61">
        <v>3561765</v>
      </c>
      <c r="DJ83" s="61">
        <v>1953880</v>
      </c>
      <c r="DK83" s="61">
        <v>3389979.17</v>
      </c>
      <c r="DL83" s="61">
        <v>1918214</v>
      </c>
      <c r="DM83" s="61">
        <v>0</v>
      </c>
      <c r="DN83" s="61">
        <v>0</v>
      </c>
      <c r="DO83" s="61">
        <v>0</v>
      </c>
      <c r="DP83" s="61">
        <v>0</v>
      </c>
      <c r="DQ83" s="61">
        <v>0</v>
      </c>
      <c r="DR83" s="61">
        <v>0</v>
      </c>
      <c r="DS83" s="61">
        <v>0</v>
      </c>
      <c r="DT83" s="61">
        <v>0</v>
      </c>
      <c r="DU83" s="61">
        <v>0</v>
      </c>
      <c r="DV83" s="61">
        <v>0</v>
      </c>
      <c r="DW83" s="61">
        <v>0</v>
      </c>
      <c r="DX83" s="61">
        <v>0</v>
      </c>
      <c r="DY83" s="61">
        <v>2808362</v>
      </c>
      <c r="DZ83" s="61">
        <v>2864630</v>
      </c>
      <c r="EA83" s="61">
        <v>2186483</v>
      </c>
      <c r="EB83" s="61">
        <v>2570059</v>
      </c>
      <c r="EC83" s="61">
        <v>0</v>
      </c>
      <c r="ED83" s="61">
        <v>0</v>
      </c>
      <c r="EE83" s="61">
        <v>0</v>
      </c>
      <c r="EF83" s="61">
        <v>0</v>
      </c>
      <c r="EG83" s="61">
        <v>0</v>
      </c>
      <c r="EH83" s="61">
        <v>0</v>
      </c>
      <c r="EI83" s="61">
        <v>0</v>
      </c>
      <c r="EJ83" s="61">
        <v>0</v>
      </c>
      <c r="EK83" s="61">
        <v>0</v>
      </c>
      <c r="EL83" s="61">
        <v>0</v>
      </c>
      <c r="EM83" s="61">
        <v>0</v>
      </c>
      <c r="EN83" s="61">
        <v>0</v>
      </c>
      <c r="EO83" s="61">
        <v>4633324</v>
      </c>
      <c r="EP83" s="61">
        <v>2100060</v>
      </c>
      <c r="EQ83" s="61">
        <v>3328469.17</v>
      </c>
      <c r="ER83" s="61">
        <v>0</v>
      </c>
      <c r="ES83" s="61">
        <v>0</v>
      </c>
      <c r="ET83" s="61">
        <v>0</v>
      </c>
      <c r="EU83" s="61">
        <v>0</v>
      </c>
      <c r="EV83" s="61">
        <v>0</v>
      </c>
      <c r="EW83" s="61">
        <v>0</v>
      </c>
      <c r="EX83" s="61">
        <v>0</v>
      </c>
      <c r="EY83" s="61">
        <v>0</v>
      </c>
      <c r="EZ83" s="61">
        <v>0</v>
      </c>
      <c r="FA83" s="61">
        <v>0</v>
      </c>
      <c r="FB83" s="61">
        <v>0</v>
      </c>
      <c r="FC83" s="61">
        <v>0</v>
      </c>
      <c r="FD83" s="61">
        <v>2653003</v>
      </c>
      <c r="FE83" s="61">
        <v>2794130</v>
      </c>
      <c r="FF83" s="61">
        <v>4730781</v>
      </c>
      <c r="FG83" s="61">
        <v>0</v>
      </c>
      <c r="FH83" s="168">
        <v>0</v>
      </c>
      <c r="FI83" s="168">
        <v>0</v>
      </c>
      <c r="FJ83" s="61">
        <v>0</v>
      </c>
      <c r="FK83" s="61">
        <v>0</v>
      </c>
      <c r="FL83" s="61">
        <v>0</v>
      </c>
      <c r="FM83" s="61">
        <v>0</v>
      </c>
      <c r="FN83" s="61">
        <v>0</v>
      </c>
      <c r="FO83" s="61">
        <v>0</v>
      </c>
      <c r="FP83" s="61">
        <v>0</v>
      </c>
      <c r="FQ83" s="61">
        <v>0</v>
      </c>
      <c r="FR83" s="61">
        <v>0</v>
      </c>
      <c r="FS83" s="61">
        <v>7213932</v>
      </c>
      <c r="FT83" s="61">
        <v>5364500</v>
      </c>
      <c r="FU83" s="61">
        <v>4245101</v>
      </c>
      <c r="FV83" s="61">
        <v>0</v>
      </c>
      <c r="FW83" s="61">
        <v>0</v>
      </c>
      <c r="FX83" s="61">
        <v>0</v>
      </c>
      <c r="FY83" s="61">
        <v>0</v>
      </c>
      <c r="FZ83" s="61">
        <v>0</v>
      </c>
      <c r="GA83" s="61">
        <v>0</v>
      </c>
      <c r="GB83" s="61">
        <v>0</v>
      </c>
      <c r="GC83" s="61">
        <v>0</v>
      </c>
      <c r="GD83" s="61">
        <v>0</v>
      </c>
      <c r="GE83" s="61">
        <v>0</v>
      </c>
      <c r="GF83" s="61">
        <v>0</v>
      </c>
      <c r="GG83" s="61">
        <v>0</v>
      </c>
      <c r="GH83" s="61">
        <v>8318724.3330000006</v>
      </c>
      <c r="GI83" s="61">
        <v>3001410</v>
      </c>
      <c r="GJ83" s="61">
        <v>6413887</v>
      </c>
    </row>
    <row r="84" spans="2:192">
      <c r="C84" t="s">
        <v>799</v>
      </c>
      <c r="D84" t="s">
        <v>307</v>
      </c>
      <c r="E84" s="61">
        <v>0</v>
      </c>
      <c r="F84" s="61">
        <v>0</v>
      </c>
      <c r="G84" s="61">
        <v>0</v>
      </c>
      <c r="H84" s="61">
        <v>0</v>
      </c>
      <c r="I84" s="61">
        <v>0</v>
      </c>
      <c r="J84" s="61">
        <v>0</v>
      </c>
      <c r="K84" s="61">
        <v>0</v>
      </c>
      <c r="L84" s="61">
        <v>0</v>
      </c>
      <c r="M84" s="61">
        <v>0</v>
      </c>
      <c r="N84" s="61">
        <v>0</v>
      </c>
      <c r="O84" s="61">
        <v>0</v>
      </c>
      <c r="P84" s="61">
        <v>0</v>
      </c>
      <c r="Q84" s="61">
        <v>0</v>
      </c>
      <c r="R84" s="61">
        <v>3669000</v>
      </c>
      <c r="S84" s="61">
        <v>2066450</v>
      </c>
      <c r="T84" s="61">
        <v>3662735</v>
      </c>
      <c r="U84" s="61">
        <v>0</v>
      </c>
      <c r="V84" s="61">
        <v>0</v>
      </c>
      <c r="W84" s="61">
        <v>0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61">
        <v>0</v>
      </c>
      <c r="AE84" s="61">
        <v>0</v>
      </c>
      <c r="AF84" s="61">
        <v>0</v>
      </c>
      <c r="AG84" s="61">
        <v>0</v>
      </c>
      <c r="AH84" s="61">
        <v>3491108</v>
      </c>
      <c r="AI84" s="61">
        <v>2258740</v>
      </c>
      <c r="AJ84" s="61">
        <v>2211725</v>
      </c>
      <c r="AK84" s="61">
        <v>0</v>
      </c>
      <c r="AL84" s="61">
        <v>0</v>
      </c>
      <c r="AM84" s="61">
        <v>0</v>
      </c>
      <c r="AN84" s="61">
        <v>0</v>
      </c>
      <c r="AO84" s="61">
        <v>0</v>
      </c>
      <c r="AP84" s="61">
        <v>0</v>
      </c>
      <c r="AQ84" s="61">
        <v>0</v>
      </c>
      <c r="AR84" s="61">
        <v>0</v>
      </c>
      <c r="AS84" s="61">
        <v>0</v>
      </c>
      <c r="AT84" s="61">
        <v>0</v>
      </c>
      <c r="AU84" s="61">
        <v>0</v>
      </c>
      <c r="AV84" s="61">
        <v>0</v>
      </c>
      <c r="AW84" s="61">
        <v>0</v>
      </c>
      <c r="AX84" s="61">
        <v>2695577</v>
      </c>
      <c r="AY84" s="61">
        <v>2657000</v>
      </c>
      <c r="AZ84" s="61">
        <v>2869814</v>
      </c>
      <c r="BA84" s="61">
        <v>0</v>
      </c>
      <c r="BB84" s="61">
        <v>0</v>
      </c>
      <c r="BC84" s="61">
        <v>0</v>
      </c>
      <c r="BD84" s="61">
        <v>0</v>
      </c>
      <c r="BE84" s="61">
        <v>0</v>
      </c>
      <c r="BF84" s="61">
        <v>0</v>
      </c>
      <c r="BG84" s="61">
        <v>0</v>
      </c>
      <c r="BH84" s="61">
        <v>0</v>
      </c>
      <c r="BI84" s="61">
        <v>0</v>
      </c>
      <c r="BJ84" s="61">
        <v>0</v>
      </c>
      <c r="BK84" s="61">
        <v>0</v>
      </c>
      <c r="BL84" s="61">
        <v>0</v>
      </c>
      <c r="BM84" s="61">
        <v>1004608</v>
      </c>
      <c r="BN84" s="61">
        <v>1696988</v>
      </c>
      <c r="BO84" s="61">
        <v>1208860</v>
      </c>
      <c r="BP84" s="61">
        <v>2265434</v>
      </c>
      <c r="BQ84" s="61">
        <v>0</v>
      </c>
      <c r="BR84" s="61">
        <v>0</v>
      </c>
      <c r="BS84" s="61">
        <v>0</v>
      </c>
      <c r="BT84" s="61">
        <v>0</v>
      </c>
      <c r="BU84" s="61">
        <v>0</v>
      </c>
      <c r="BV84" s="61">
        <v>0</v>
      </c>
      <c r="BW84" s="61">
        <v>0</v>
      </c>
      <c r="BX84" s="61">
        <v>0</v>
      </c>
      <c r="BY84" s="61">
        <v>0</v>
      </c>
      <c r="BZ84" s="61">
        <v>0</v>
      </c>
      <c r="CA84" s="61">
        <v>0</v>
      </c>
      <c r="CB84" s="61">
        <v>0</v>
      </c>
      <c r="CC84" s="61">
        <v>1669162</v>
      </c>
      <c r="CD84" s="61">
        <v>1852150</v>
      </c>
      <c r="CE84" s="61">
        <v>1420014</v>
      </c>
      <c r="CF84" s="61">
        <v>1127090</v>
      </c>
      <c r="CG84" s="61">
        <v>0</v>
      </c>
      <c r="CH84" s="61">
        <v>0</v>
      </c>
      <c r="CI84" s="61">
        <v>0</v>
      </c>
      <c r="CJ84" s="61">
        <v>0</v>
      </c>
      <c r="CK84" s="61">
        <v>0</v>
      </c>
      <c r="CL84" s="61">
        <v>0</v>
      </c>
      <c r="CM84" s="61">
        <v>0</v>
      </c>
      <c r="CN84" s="61">
        <v>0</v>
      </c>
      <c r="CO84" s="61">
        <v>0</v>
      </c>
      <c r="CP84" s="61">
        <v>0</v>
      </c>
      <c r="CQ84" s="61">
        <v>0</v>
      </c>
      <c r="CR84" s="61">
        <v>0</v>
      </c>
      <c r="CS84" s="61">
        <v>1285000</v>
      </c>
      <c r="CT84" s="61">
        <v>1089886</v>
      </c>
      <c r="CU84" s="61">
        <v>1612240</v>
      </c>
      <c r="CV84" s="61">
        <v>1164128</v>
      </c>
      <c r="CW84" s="61">
        <v>0</v>
      </c>
      <c r="CX84" s="61">
        <v>0</v>
      </c>
      <c r="CY84" s="61">
        <v>0</v>
      </c>
      <c r="CZ84" s="61">
        <v>0</v>
      </c>
      <c r="DA84" s="61">
        <v>0</v>
      </c>
      <c r="DB84" s="61">
        <v>0</v>
      </c>
      <c r="DC84" s="61">
        <v>0</v>
      </c>
      <c r="DD84" s="61">
        <v>0</v>
      </c>
      <c r="DE84" s="61">
        <v>0</v>
      </c>
      <c r="DF84" s="61">
        <v>0</v>
      </c>
      <c r="DG84" s="61">
        <v>0</v>
      </c>
      <c r="DH84" s="61">
        <v>0</v>
      </c>
      <c r="DI84" s="61">
        <v>1769000</v>
      </c>
      <c r="DJ84" s="61">
        <v>982890</v>
      </c>
      <c r="DK84" s="61">
        <v>1718338.5</v>
      </c>
      <c r="DL84" s="61">
        <v>1010190</v>
      </c>
      <c r="DM84" s="61">
        <v>0</v>
      </c>
      <c r="DN84" s="61">
        <v>0</v>
      </c>
      <c r="DO84" s="61">
        <v>0</v>
      </c>
      <c r="DP84" s="61">
        <v>0</v>
      </c>
      <c r="DQ84" s="61">
        <v>0</v>
      </c>
      <c r="DR84" s="61">
        <v>0</v>
      </c>
      <c r="DS84" s="61">
        <v>0</v>
      </c>
      <c r="DT84" s="61">
        <v>0</v>
      </c>
      <c r="DU84" s="61">
        <v>0</v>
      </c>
      <c r="DV84" s="61">
        <v>0</v>
      </c>
      <c r="DW84" s="61">
        <v>0</v>
      </c>
      <c r="DX84" s="61">
        <v>0</v>
      </c>
      <c r="DY84" s="61">
        <v>1739011</v>
      </c>
      <c r="DZ84" s="61">
        <v>1029430.0000000001</v>
      </c>
      <c r="EA84" s="61">
        <v>1257094</v>
      </c>
      <c r="EB84" s="61">
        <v>1246307</v>
      </c>
      <c r="EC84" s="61">
        <v>0</v>
      </c>
      <c r="ED84" s="61">
        <v>0</v>
      </c>
      <c r="EE84" s="61">
        <v>0</v>
      </c>
      <c r="EF84" s="61">
        <v>0</v>
      </c>
      <c r="EG84" s="61">
        <v>0</v>
      </c>
      <c r="EH84" s="61">
        <v>0</v>
      </c>
      <c r="EI84" s="61">
        <v>0</v>
      </c>
      <c r="EJ84" s="61">
        <v>0</v>
      </c>
      <c r="EK84" s="61">
        <v>0</v>
      </c>
      <c r="EL84" s="61">
        <v>0</v>
      </c>
      <c r="EM84" s="61">
        <v>0</v>
      </c>
      <c r="EN84" s="61">
        <v>0</v>
      </c>
      <c r="EO84" s="61">
        <v>2107223</v>
      </c>
      <c r="EP84" s="61">
        <v>1193030</v>
      </c>
      <c r="EQ84" s="61">
        <v>1734827</v>
      </c>
      <c r="ER84" s="61">
        <v>0</v>
      </c>
      <c r="ES84" s="61">
        <v>0</v>
      </c>
      <c r="ET84" s="61">
        <v>0</v>
      </c>
      <c r="EU84" s="61">
        <v>0</v>
      </c>
      <c r="EV84" s="61">
        <v>0</v>
      </c>
      <c r="EW84" s="61">
        <v>0</v>
      </c>
      <c r="EX84" s="61">
        <v>0</v>
      </c>
      <c r="EY84" s="61">
        <v>0</v>
      </c>
      <c r="EZ84" s="61">
        <v>0</v>
      </c>
      <c r="FA84" s="61">
        <v>0</v>
      </c>
      <c r="FB84" s="61">
        <v>0</v>
      </c>
      <c r="FC84" s="61">
        <v>0</v>
      </c>
      <c r="FD84" s="61">
        <v>1593460</v>
      </c>
      <c r="FE84" s="61">
        <v>1702310</v>
      </c>
      <c r="FF84" s="61">
        <v>1885768</v>
      </c>
      <c r="FG84" s="61">
        <v>0</v>
      </c>
      <c r="FH84" s="168">
        <v>0</v>
      </c>
      <c r="FI84" s="168">
        <v>0</v>
      </c>
      <c r="FJ84" s="61">
        <v>0</v>
      </c>
      <c r="FK84" s="61">
        <v>0</v>
      </c>
      <c r="FL84" s="61">
        <v>0</v>
      </c>
      <c r="FM84" s="61">
        <v>0</v>
      </c>
      <c r="FN84" s="61">
        <v>0</v>
      </c>
      <c r="FO84" s="61">
        <v>0</v>
      </c>
      <c r="FP84" s="61">
        <v>0</v>
      </c>
      <c r="FQ84" s="61">
        <v>0</v>
      </c>
      <c r="FR84" s="61">
        <v>0</v>
      </c>
      <c r="FS84" s="61">
        <v>2887514</v>
      </c>
      <c r="FT84" s="61">
        <v>2561920</v>
      </c>
      <c r="FU84" s="61">
        <v>2365849</v>
      </c>
      <c r="FV84" s="61">
        <v>0</v>
      </c>
      <c r="FW84" s="61">
        <v>0</v>
      </c>
      <c r="FX84" s="61">
        <v>0</v>
      </c>
      <c r="FY84" s="61">
        <v>0</v>
      </c>
      <c r="FZ84" s="61">
        <v>0</v>
      </c>
      <c r="GA84" s="61">
        <v>0</v>
      </c>
      <c r="GB84" s="61">
        <v>0</v>
      </c>
      <c r="GC84" s="61">
        <v>0</v>
      </c>
      <c r="GD84" s="61">
        <v>0</v>
      </c>
      <c r="GE84" s="61">
        <v>0</v>
      </c>
      <c r="GF84" s="61">
        <v>0</v>
      </c>
      <c r="GG84" s="61">
        <v>0</v>
      </c>
      <c r="GH84" s="61">
        <v>3145323</v>
      </c>
      <c r="GI84" s="61">
        <v>1719300</v>
      </c>
      <c r="GJ84" s="61">
        <v>3237733</v>
      </c>
    </row>
    <row r="85" spans="2:192">
      <c r="C85" t="s">
        <v>786</v>
      </c>
      <c r="D85" t="s">
        <v>302</v>
      </c>
      <c r="E85" s="61">
        <v>0</v>
      </c>
      <c r="F85" s="61">
        <v>0</v>
      </c>
      <c r="G85" s="61">
        <v>0</v>
      </c>
      <c r="H85" s="61">
        <v>0</v>
      </c>
      <c r="I85" s="61">
        <v>0</v>
      </c>
      <c r="J85" s="61">
        <v>0</v>
      </c>
      <c r="K85" s="61">
        <v>0</v>
      </c>
      <c r="L85" s="61">
        <v>0</v>
      </c>
      <c r="M85" s="61">
        <v>0</v>
      </c>
      <c r="N85" s="61">
        <v>0</v>
      </c>
      <c r="O85" s="61">
        <v>0</v>
      </c>
      <c r="P85" s="61">
        <v>0</v>
      </c>
      <c r="Q85" s="61">
        <v>0</v>
      </c>
      <c r="R85" s="61">
        <v>3231504</v>
      </c>
      <c r="S85" s="61">
        <v>3323520</v>
      </c>
      <c r="T85" s="61">
        <v>3970256</v>
      </c>
      <c r="U85" s="61">
        <v>0</v>
      </c>
      <c r="V85" s="61">
        <v>0</v>
      </c>
      <c r="W85" s="61">
        <v>0</v>
      </c>
      <c r="X85" s="61">
        <v>0</v>
      </c>
      <c r="Y85" s="61">
        <v>0</v>
      </c>
      <c r="Z85" s="61">
        <v>0</v>
      </c>
      <c r="AA85" s="61">
        <v>0</v>
      </c>
      <c r="AB85" s="61">
        <v>0</v>
      </c>
      <c r="AC85" s="61">
        <v>0</v>
      </c>
      <c r="AD85" s="61">
        <v>0</v>
      </c>
      <c r="AE85" s="61">
        <v>0</v>
      </c>
      <c r="AF85" s="61">
        <v>0</v>
      </c>
      <c r="AG85" s="61">
        <v>0</v>
      </c>
      <c r="AH85" s="61">
        <v>3317247</v>
      </c>
      <c r="AI85" s="61">
        <v>3535040</v>
      </c>
      <c r="AJ85" s="61">
        <v>2281581</v>
      </c>
      <c r="AK85" s="61">
        <v>0</v>
      </c>
      <c r="AL85" s="61">
        <v>0</v>
      </c>
      <c r="AM85" s="61">
        <v>0</v>
      </c>
      <c r="AN85" s="61">
        <v>0</v>
      </c>
      <c r="AO85" s="61">
        <v>0</v>
      </c>
      <c r="AP85" s="61">
        <v>0</v>
      </c>
      <c r="AQ85" s="61">
        <v>0</v>
      </c>
      <c r="AR85" s="61">
        <v>0</v>
      </c>
      <c r="AS85" s="61">
        <v>0</v>
      </c>
      <c r="AT85" s="61">
        <v>0</v>
      </c>
      <c r="AU85" s="61">
        <v>0</v>
      </c>
      <c r="AV85" s="61">
        <v>0</v>
      </c>
      <c r="AW85" s="61">
        <v>0</v>
      </c>
      <c r="AX85" s="61">
        <v>3797730</v>
      </c>
      <c r="AY85" s="61">
        <v>2971900</v>
      </c>
      <c r="AZ85" s="61">
        <v>3584186</v>
      </c>
      <c r="BA85" s="61">
        <v>0</v>
      </c>
      <c r="BB85" s="61">
        <v>0</v>
      </c>
      <c r="BC85" s="61">
        <v>0</v>
      </c>
      <c r="BD85" s="61">
        <v>0</v>
      </c>
      <c r="BE85" s="61">
        <v>0</v>
      </c>
      <c r="BF85" s="61">
        <v>0</v>
      </c>
      <c r="BG85" s="61">
        <v>0</v>
      </c>
      <c r="BH85" s="61">
        <v>0</v>
      </c>
      <c r="BI85" s="61">
        <v>0</v>
      </c>
      <c r="BJ85" s="61">
        <v>0</v>
      </c>
      <c r="BK85" s="61">
        <v>0</v>
      </c>
      <c r="BL85" s="61">
        <v>0</v>
      </c>
      <c r="BM85" s="61">
        <v>0</v>
      </c>
      <c r="BN85" s="61">
        <v>3326837</v>
      </c>
      <c r="BO85" s="61">
        <v>2400140</v>
      </c>
      <c r="BP85" s="61">
        <v>3701111</v>
      </c>
      <c r="BQ85" s="61">
        <v>0</v>
      </c>
      <c r="BR85" s="61">
        <v>0</v>
      </c>
      <c r="BS85" s="61">
        <v>0</v>
      </c>
      <c r="BT85" s="61">
        <v>0</v>
      </c>
      <c r="BU85" s="61">
        <v>0</v>
      </c>
      <c r="BV85" s="61">
        <v>0</v>
      </c>
      <c r="BW85" s="61">
        <v>0</v>
      </c>
      <c r="BX85" s="61">
        <v>0</v>
      </c>
      <c r="BY85" s="61">
        <v>0</v>
      </c>
      <c r="BZ85" s="61">
        <v>0</v>
      </c>
      <c r="CA85" s="61">
        <v>0</v>
      </c>
      <c r="CB85" s="61">
        <v>0</v>
      </c>
      <c r="CC85" s="61">
        <v>0</v>
      </c>
      <c r="CD85" s="61">
        <v>4611356</v>
      </c>
      <c r="CE85" s="61">
        <v>3145044</v>
      </c>
      <c r="CF85" s="61">
        <v>2368434</v>
      </c>
      <c r="CG85" s="61">
        <v>0</v>
      </c>
      <c r="CH85" s="61">
        <v>0</v>
      </c>
      <c r="CI85" s="61">
        <v>0</v>
      </c>
      <c r="CJ85" s="61">
        <v>0</v>
      </c>
      <c r="CK85" s="61">
        <v>0</v>
      </c>
      <c r="CL85" s="61">
        <v>0</v>
      </c>
      <c r="CM85" s="61">
        <v>0</v>
      </c>
      <c r="CN85" s="61">
        <v>0</v>
      </c>
      <c r="CO85" s="61">
        <v>0</v>
      </c>
      <c r="CP85" s="61">
        <v>0</v>
      </c>
      <c r="CQ85" s="61">
        <v>0</v>
      </c>
      <c r="CR85" s="61">
        <v>0</v>
      </c>
      <c r="CS85" s="61">
        <v>0</v>
      </c>
      <c r="CT85" s="61">
        <v>2044341</v>
      </c>
      <c r="CU85" s="61">
        <v>1676170</v>
      </c>
      <c r="CV85" s="61">
        <v>1407823</v>
      </c>
      <c r="CW85" s="61">
        <v>0</v>
      </c>
      <c r="CX85" s="61">
        <v>0</v>
      </c>
      <c r="CY85" s="61">
        <v>0</v>
      </c>
      <c r="CZ85" s="61">
        <v>0</v>
      </c>
      <c r="DA85" s="61">
        <v>0</v>
      </c>
      <c r="DB85" s="61">
        <v>0</v>
      </c>
      <c r="DC85" s="61">
        <v>0</v>
      </c>
      <c r="DD85" s="61">
        <v>0</v>
      </c>
      <c r="DE85" s="61">
        <v>0</v>
      </c>
      <c r="DF85" s="61">
        <v>0</v>
      </c>
      <c r="DG85" s="61">
        <v>0</v>
      </c>
      <c r="DH85" s="61">
        <v>0</v>
      </c>
      <c r="DI85" s="61">
        <v>0</v>
      </c>
      <c r="DJ85" s="61">
        <v>1651140</v>
      </c>
      <c r="DK85" s="61">
        <v>2421276.33</v>
      </c>
      <c r="DL85" s="61">
        <v>960000</v>
      </c>
      <c r="DM85" s="61">
        <v>0</v>
      </c>
      <c r="DN85" s="61">
        <v>0</v>
      </c>
      <c r="DO85" s="61">
        <v>0</v>
      </c>
      <c r="DP85" s="61">
        <v>0</v>
      </c>
      <c r="DQ85" s="61">
        <v>0</v>
      </c>
      <c r="DR85" s="61">
        <v>0</v>
      </c>
      <c r="DS85" s="61">
        <v>0</v>
      </c>
      <c r="DT85" s="61">
        <v>0</v>
      </c>
      <c r="DU85" s="61">
        <v>0</v>
      </c>
      <c r="DV85" s="61">
        <v>0</v>
      </c>
      <c r="DW85" s="61">
        <v>0</v>
      </c>
      <c r="DX85" s="61">
        <v>0</v>
      </c>
      <c r="DY85" s="61">
        <v>0</v>
      </c>
      <c r="DZ85" s="61">
        <v>1904550</v>
      </c>
      <c r="EA85" s="61">
        <v>2090636</v>
      </c>
      <c r="EB85" s="61">
        <v>1431570</v>
      </c>
      <c r="EC85" s="61">
        <v>0</v>
      </c>
      <c r="ED85" s="61">
        <v>0</v>
      </c>
      <c r="EE85" s="61">
        <v>0</v>
      </c>
      <c r="EF85" s="61">
        <v>0</v>
      </c>
      <c r="EG85" s="61">
        <v>0</v>
      </c>
      <c r="EH85" s="61">
        <v>0</v>
      </c>
      <c r="EI85" s="61">
        <v>0</v>
      </c>
      <c r="EJ85" s="61">
        <v>0</v>
      </c>
      <c r="EK85" s="61">
        <v>0</v>
      </c>
      <c r="EL85" s="61">
        <v>0</v>
      </c>
      <c r="EM85" s="61">
        <v>0</v>
      </c>
      <c r="EN85" s="61">
        <v>0</v>
      </c>
      <c r="EO85" s="61">
        <v>0</v>
      </c>
      <c r="EP85" s="61">
        <v>2235340</v>
      </c>
      <c r="EQ85" s="61">
        <v>1783581.67</v>
      </c>
      <c r="ER85" s="61">
        <v>0</v>
      </c>
      <c r="ES85" s="61">
        <v>0</v>
      </c>
      <c r="ET85" s="61">
        <v>0</v>
      </c>
      <c r="EU85" s="61">
        <v>0</v>
      </c>
      <c r="EV85" s="61">
        <v>0</v>
      </c>
      <c r="EW85" s="61">
        <v>0</v>
      </c>
      <c r="EX85" s="61">
        <v>0</v>
      </c>
      <c r="EY85" s="61">
        <v>0</v>
      </c>
      <c r="EZ85" s="61">
        <v>0</v>
      </c>
      <c r="FA85" s="61">
        <v>0</v>
      </c>
      <c r="FB85" s="61">
        <v>0</v>
      </c>
      <c r="FC85" s="61">
        <v>0</v>
      </c>
      <c r="FD85" s="61">
        <v>0</v>
      </c>
      <c r="FE85" s="61">
        <v>1910650</v>
      </c>
      <c r="FF85" s="61">
        <v>2609641</v>
      </c>
      <c r="FG85" s="61">
        <v>0</v>
      </c>
      <c r="FH85" s="168">
        <v>0</v>
      </c>
      <c r="FI85" s="168">
        <v>0</v>
      </c>
      <c r="FJ85" s="61">
        <v>0</v>
      </c>
      <c r="FK85" s="61">
        <v>0</v>
      </c>
      <c r="FL85" s="61">
        <v>0</v>
      </c>
      <c r="FM85" s="61">
        <v>0</v>
      </c>
      <c r="FN85" s="61">
        <v>0</v>
      </c>
      <c r="FO85" s="61">
        <v>0</v>
      </c>
      <c r="FP85" s="61">
        <v>0</v>
      </c>
      <c r="FQ85" s="61">
        <v>0</v>
      </c>
      <c r="FR85" s="61">
        <v>0</v>
      </c>
      <c r="FS85" s="61">
        <v>0</v>
      </c>
      <c r="FT85" s="61">
        <v>2745110</v>
      </c>
      <c r="FU85" s="61">
        <v>2741751</v>
      </c>
      <c r="FV85" s="61">
        <v>0</v>
      </c>
      <c r="FW85" s="61">
        <v>0</v>
      </c>
      <c r="FX85" s="61">
        <v>0</v>
      </c>
      <c r="FY85" s="61">
        <v>0</v>
      </c>
      <c r="FZ85" s="61">
        <v>0</v>
      </c>
      <c r="GA85" s="61">
        <v>0</v>
      </c>
      <c r="GB85" s="61">
        <v>0</v>
      </c>
      <c r="GC85" s="61">
        <v>0</v>
      </c>
      <c r="GD85" s="61">
        <v>0</v>
      </c>
      <c r="GE85" s="61">
        <v>0</v>
      </c>
      <c r="GF85" s="61">
        <v>0</v>
      </c>
      <c r="GG85" s="61">
        <v>0</v>
      </c>
      <c r="GH85" s="61">
        <v>2788382</v>
      </c>
      <c r="GI85" s="61">
        <v>2183630</v>
      </c>
      <c r="GJ85" s="61">
        <v>3306713</v>
      </c>
    </row>
    <row r="86" spans="2:192">
      <c r="B86" t="s">
        <v>2620</v>
      </c>
      <c r="E86" s="61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1">
        <v>0</v>
      </c>
      <c r="L86" s="61">
        <v>0</v>
      </c>
      <c r="M86" s="61">
        <v>0</v>
      </c>
      <c r="N86" s="61">
        <v>0</v>
      </c>
      <c r="O86" s="61">
        <v>0</v>
      </c>
      <c r="P86" s="61">
        <v>0</v>
      </c>
      <c r="Q86" s="61">
        <v>0</v>
      </c>
      <c r="R86" s="61">
        <v>14988538</v>
      </c>
      <c r="S86" s="61">
        <v>9232820</v>
      </c>
      <c r="T86" s="61">
        <v>15218035</v>
      </c>
      <c r="U86" s="61">
        <v>0</v>
      </c>
      <c r="V86" s="61">
        <v>0</v>
      </c>
      <c r="W86" s="61">
        <v>0</v>
      </c>
      <c r="X86" s="61">
        <v>0</v>
      </c>
      <c r="Y86" s="61">
        <v>0</v>
      </c>
      <c r="Z86" s="61">
        <v>0</v>
      </c>
      <c r="AA86" s="61">
        <v>0</v>
      </c>
      <c r="AB86" s="61">
        <v>0</v>
      </c>
      <c r="AC86" s="61">
        <v>0</v>
      </c>
      <c r="AD86" s="61">
        <v>0</v>
      </c>
      <c r="AE86" s="61">
        <v>0</v>
      </c>
      <c r="AF86" s="61">
        <v>0</v>
      </c>
      <c r="AG86" s="61">
        <v>0</v>
      </c>
      <c r="AH86" s="61">
        <v>14183428</v>
      </c>
      <c r="AI86" s="61">
        <v>11006970</v>
      </c>
      <c r="AJ86" s="61">
        <v>10256359</v>
      </c>
      <c r="AK86" s="61">
        <v>0</v>
      </c>
      <c r="AL86" s="61">
        <v>0</v>
      </c>
      <c r="AM86" s="61">
        <v>0</v>
      </c>
      <c r="AN86" s="61">
        <v>0</v>
      </c>
      <c r="AO86" s="61">
        <v>0</v>
      </c>
      <c r="AP86" s="61">
        <v>0</v>
      </c>
      <c r="AQ86" s="61">
        <v>0</v>
      </c>
      <c r="AR86" s="61">
        <v>0</v>
      </c>
      <c r="AS86" s="61">
        <v>0</v>
      </c>
      <c r="AT86" s="61">
        <v>0</v>
      </c>
      <c r="AU86" s="61">
        <v>0</v>
      </c>
      <c r="AV86" s="61">
        <v>0</v>
      </c>
      <c r="AW86" s="61">
        <v>1780167</v>
      </c>
      <c r="AX86" s="61">
        <v>12641802</v>
      </c>
      <c r="AY86" s="61">
        <v>11582430</v>
      </c>
      <c r="AZ86" s="61">
        <v>11236702</v>
      </c>
      <c r="BA86" s="61">
        <v>0</v>
      </c>
      <c r="BB86" s="61">
        <v>0</v>
      </c>
      <c r="BC86" s="61">
        <v>0</v>
      </c>
      <c r="BD86" s="61">
        <v>0</v>
      </c>
      <c r="BE86" s="61">
        <v>0</v>
      </c>
      <c r="BF86" s="61">
        <v>0</v>
      </c>
      <c r="BG86" s="61">
        <v>0</v>
      </c>
      <c r="BH86" s="61">
        <v>0</v>
      </c>
      <c r="BI86" s="61">
        <v>0</v>
      </c>
      <c r="BJ86" s="61">
        <v>0</v>
      </c>
      <c r="BK86" s="61">
        <v>0</v>
      </c>
      <c r="BL86" s="61">
        <v>0</v>
      </c>
      <c r="BM86" s="61">
        <v>3965346</v>
      </c>
      <c r="BN86" s="61">
        <v>8900366</v>
      </c>
      <c r="BO86" s="61">
        <v>6185680</v>
      </c>
      <c r="BP86" s="61">
        <v>9511140</v>
      </c>
      <c r="BQ86" s="61">
        <v>0</v>
      </c>
      <c r="BR86" s="61">
        <v>0</v>
      </c>
      <c r="BS86" s="61">
        <v>0</v>
      </c>
      <c r="BT86" s="61">
        <v>0</v>
      </c>
      <c r="BU86" s="61">
        <v>0</v>
      </c>
      <c r="BV86" s="61">
        <v>0</v>
      </c>
      <c r="BW86" s="61">
        <v>0</v>
      </c>
      <c r="BX86" s="61">
        <v>0</v>
      </c>
      <c r="BY86" s="61">
        <v>0</v>
      </c>
      <c r="BZ86" s="61">
        <v>0</v>
      </c>
      <c r="CA86" s="61">
        <v>0</v>
      </c>
      <c r="CB86" s="61">
        <v>0</v>
      </c>
      <c r="CC86" s="61">
        <v>5409511</v>
      </c>
      <c r="CD86" s="61">
        <v>9715025</v>
      </c>
      <c r="CE86" s="61">
        <v>7334533</v>
      </c>
      <c r="CF86" s="61">
        <v>6429145</v>
      </c>
      <c r="CG86" s="61">
        <v>0</v>
      </c>
      <c r="CH86" s="61">
        <v>0</v>
      </c>
      <c r="CI86" s="61">
        <v>0</v>
      </c>
      <c r="CJ86" s="61">
        <v>0</v>
      </c>
      <c r="CK86" s="61">
        <v>0</v>
      </c>
      <c r="CL86" s="61">
        <v>0</v>
      </c>
      <c r="CM86" s="61">
        <v>0</v>
      </c>
      <c r="CN86" s="61">
        <v>0</v>
      </c>
      <c r="CO86" s="61">
        <v>0</v>
      </c>
      <c r="CP86" s="61">
        <v>0</v>
      </c>
      <c r="CQ86" s="61">
        <v>0</v>
      </c>
      <c r="CR86" s="61">
        <v>0</v>
      </c>
      <c r="CS86" s="61">
        <v>4864919</v>
      </c>
      <c r="CT86" s="61">
        <v>5506547</v>
      </c>
      <c r="CU86" s="61">
        <v>6162660</v>
      </c>
      <c r="CV86" s="61">
        <v>5211976</v>
      </c>
      <c r="CW86" s="61">
        <v>0</v>
      </c>
      <c r="CX86" s="61">
        <v>0</v>
      </c>
      <c r="CY86" s="61">
        <v>0</v>
      </c>
      <c r="CZ86" s="61">
        <v>0</v>
      </c>
      <c r="DA86" s="61">
        <v>0</v>
      </c>
      <c r="DB86" s="61">
        <v>0</v>
      </c>
      <c r="DC86" s="61">
        <v>0</v>
      </c>
      <c r="DD86" s="61">
        <v>0</v>
      </c>
      <c r="DE86" s="61">
        <v>0</v>
      </c>
      <c r="DF86" s="61">
        <v>0</v>
      </c>
      <c r="DG86" s="61">
        <v>0</v>
      </c>
      <c r="DH86" s="61">
        <v>0</v>
      </c>
      <c r="DI86" s="61">
        <v>5330765</v>
      </c>
      <c r="DJ86" s="61">
        <v>4587910</v>
      </c>
      <c r="DK86" s="61">
        <v>7529594</v>
      </c>
      <c r="DL86" s="61">
        <v>3888404</v>
      </c>
      <c r="DM86" s="61">
        <v>0</v>
      </c>
      <c r="DN86" s="61">
        <v>0</v>
      </c>
      <c r="DO86" s="61">
        <v>0</v>
      </c>
      <c r="DP86" s="61">
        <v>0</v>
      </c>
      <c r="DQ86" s="61">
        <v>0</v>
      </c>
      <c r="DR86" s="61">
        <v>0</v>
      </c>
      <c r="DS86" s="61">
        <v>0</v>
      </c>
      <c r="DT86" s="61">
        <v>0</v>
      </c>
      <c r="DU86" s="61">
        <v>0</v>
      </c>
      <c r="DV86" s="61">
        <v>0</v>
      </c>
      <c r="DW86" s="61">
        <v>0</v>
      </c>
      <c r="DX86" s="61">
        <v>0</v>
      </c>
      <c r="DY86" s="61">
        <v>4547373</v>
      </c>
      <c r="DZ86" s="61">
        <v>5798610</v>
      </c>
      <c r="EA86" s="61">
        <v>5534213</v>
      </c>
      <c r="EB86" s="61">
        <v>5247936</v>
      </c>
      <c r="EC86" s="61">
        <v>0</v>
      </c>
      <c r="ED86" s="61">
        <v>0</v>
      </c>
      <c r="EE86" s="61">
        <v>0</v>
      </c>
      <c r="EF86" s="61">
        <v>0</v>
      </c>
      <c r="EG86" s="61">
        <v>0</v>
      </c>
      <c r="EH86" s="61">
        <v>0</v>
      </c>
      <c r="EI86" s="61">
        <v>0</v>
      </c>
      <c r="EJ86" s="61">
        <v>0</v>
      </c>
      <c r="EK86" s="61">
        <v>0</v>
      </c>
      <c r="EL86" s="61">
        <v>0</v>
      </c>
      <c r="EM86" s="61">
        <v>0</v>
      </c>
      <c r="EN86" s="61">
        <v>0</v>
      </c>
      <c r="EO86" s="61">
        <v>6740547</v>
      </c>
      <c r="EP86" s="61">
        <v>5528430</v>
      </c>
      <c r="EQ86" s="61">
        <v>6846877.8399999999</v>
      </c>
      <c r="ER86" s="61">
        <v>0</v>
      </c>
      <c r="ES86" s="61">
        <v>0</v>
      </c>
      <c r="ET86" s="61">
        <v>0</v>
      </c>
      <c r="EU86" s="61">
        <v>0</v>
      </c>
      <c r="EV86" s="61">
        <v>0</v>
      </c>
      <c r="EW86" s="61">
        <v>0</v>
      </c>
      <c r="EX86" s="61">
        <v>0</v>
      </c>
      <c r="EY86" s="61">
        <v>0</v>
      </c>
      <c r="EZ86" s="61">
        <v>0</v>
      </c>
      <c r="FA86" s="61">
        <v>0</v>
      </c>
      <c r="FB86" s="61">
        <v>0</v>
      </c>
      <c r="FC86" s="61">
        <v>0</v>
      </c>
      <c r="FD86" s="61">
        <v>4246463</v>
      </c>
      <c r="FE86" s="61">
        <v>6407090</v>
      </c>
      <c r="FF86" s="61">
        <v>9226190</v>
      </c>
      <c r="FG86" s="61">
        <v>0</v>
      </c>
      <c r="FH86" s="168">
        <v>0</v>
      </c>
      <c r="FI86" s="168">
        <v>0</v>
      </c>
      <c r="FJ86" s="61">
        <v>0</v>
      </c>
      <c r="FK86" s="61">
        <v>0</v>
      </c>
      <c r="FL86" s="61">
        <v>0</v>
      </c>
      <c r="FM86" s="61">
        <v>0</v>
      </c>
      <c r="FN86" s="61">
        <v>0</v>
      </c>
      <c r="FO86" s="61">
        <v>0</v>
      </c>
      <c r="FP86" s="61">
        <v>0</v>
      </c>
      <c r="FQ86" s="61">
        <v>0</v>
      </c>
      <c r="FR86" s="61">
        <v>0</v>
      </c>
      <c r="FS86" s="61">
        <v>10101446</v>
      </c>
      <c r="FT86" s="61">
        <v>10671530</v>
      </c>
      <c r="FU86" s="61">
        <v>9352701</v>
      </c>
      <c r="FV86" s="61">
        <v>0</v>
      </c>
      <c r="FW86" s="61">
        <v>0</v>
      </c>
      <c r="FX86" s="61">
        <v>0</v>
      </c>
      <c r="FY86" s="61">
        <v>0</v>
      </c>
      <c r="FZ86" s="61">
        <v>0</v>
      </c>
      <c r="GA86" s="61">
        <v>0</v>
      </c>
      <c r="GB86" s="61">
        <v>0</v>
      </c>
      <c r="GC86" s="61">
        <v>0</v>
      </c>
      <c r="GD86" s="61">
        <v>0</v>
      </c>
      <c r="GE86" s="61">
        <v>0</v>
      </c>
      <c r="GF86" s="61">
        <v>0</v>
      </c>
      <c r="GG86" s="61">
        <v>0</v>
      </c>
      <c r="GH86" s="61">
        <v>14252429.333000001</v>
      </c>
      <c r="GI86" s="61">
        <v>6904340</v>
      </c>
      <c r="GJ86" s="61">
        <v>12958333</v>
      </c>
    </row>
    <row r="87" spans="2:192">
      <c r="B87" t="s">
        <v>807</v>
      </c>
      <c r="C87" t="s">
        <v>801</v>
      </c>
      <c r="D87" t="s">
        <v>215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1">
        <v>0</v>
      </c>
      <c r="L87" s="61">
        <v>0</v>
      </c>
      <c r="M87" s="61">
        <v>0</v>
      </c>
      <c r="N87" s="61">
        <v>0</v>
      </c>
      <c r="O87" s="61">
        <v>0</v>
      </c>
      <c r="P87" s="61">
        <v>0</v>
      </c>
      <c r="Q87" s="61">
        <v>0</v>
      </c>
      <c r="R87" s="61">
        <v>0</v>
      </c>
      <c r="S87" s="61">
        <v>2292450</v>
      </c>
      <c r="T87" s="61">
        <v>4631688</v>
      </c>
      <c r="U87" s="61">
        <v>0</v>
      </c>
      <c r="V87" s="61">
        <v>0</v>
      </c>
      <c r="W87" s="61">
        <v>0</v>
      </c>
      <c r="X87" s="61">
        <v>0</v>
      </c>
      <c r="Y87" s="61">
        <v>0</v>
      </c>
      <c r="Z87" s="61">
        <v>0</v>
      </c>
      <c r="AA87" s="61">
        <v>0</v>
      </c>
      <c r="AB87" s="61">
        <v>0</v>
      </c>
      <c r="AC87" s="61">
        <v>0</v>
      </c>
      <c r="AD87" s="61">
        <v>0</v>
      </c>
      <c r="AE87" s="61">
        <v>0</v>
      </c>
      <c r="AF87" s="61">
        <v>0</v>
      </c>
      <c r="AG87" s="61">
        <v>0</v>
      </c>
      <c r="AH87" s="61">
        <v>0</v>
      </c>
      <c r="AI87" s="61">
        <v>3226600</v>
      </c>
      <c r="AJ87" s="61">
        <v>2755389</v>
      </c>
      <c r="AK87" s="61">
        <v>0</v>
      </c>
      <c r="AL87" s="61">
        <v>0</v>
      </c>
      <c r="AM87" s="61">
        <v>0</v>
      </c>
      <c r="AN87" s="61">
        <v>0</v>
      </c>
      <c r="AO87" s="61">
        <v>0</v>
      </c>
      <c r="AP87" s="61">
        <v>0</v>
      </c>
      <c r="AQ87" s="61">
        <v>0</v>
      </c>
      <c r="AR87" s="61">
        <v>0</v>
      </c>
      <c r="AS87" s="61">
        <v>0</v>
      </c>
      <c r="AT87" s="61">
        <v>0</v>
      </c>
      <c r="AU87" s="61">
        <v>0</v>
      </c>
      <c r="AV87" s="61">
        <v>0</v>
      </c>
      <c r="AW87" s="61">
        <v>0</v>
      </c>
      <c r="AX87" s="61">
        <v>0</v>
      </c>
      <c r="AY87" s="61">
        <v>3459370</v>
      </c>
      <c r="AZ87" s="61">
        <v>3092038</v>
      </c>
      <c r="BA87" s="61">
        <v>0</v>
      </c>
      <c r="BB87" s="61">
        <v>0</v>
      </c>
      <c r="BC87" s="61">
        <v>0</v>
      </c>
      <c r="BD87" s="61">
        <v>0</v>
      </c>
      <c r="BE87" s="61">
        <v>0</v>
      </c>
      <c r="BF87" s="61">
        <v>0</v>
      </c>
      <c r="BG87" s="61">
        <v>0</v>
      </c>
      <c r="BH87" s="61">
        <v>0</v>
      </c>
      <c r="BI87" s="61">
        <v>0</v>
      </c>
      <c r="BJ87" s="61">
        <v>0</v>
      </c>
      <c r="BK87" s="61">
        <v>0</v>
      </c>
      <c r="BL87" s="61">
        <v>0</v>
      </c>
      <c r="BM87" s="61">
        <v>0</v>
      </c>
      <c r="BN87" s="61">
        <v>0</v>
      </c>
      <c r="BO87" s="61">
        <v>1297130</v>
      </c>
      <c r="BP87" s="61">
        <v>2382485</v>
      </c>
      <c r="BQ87" s="61">
        <v>0</v>
      </c>
      <c r="BR87" s="61">
        <v>0</v>
      </c>
      <c r="BS87" s="61">
        <v>0</v>
      </c>
      <c r="BT87" s="61">
        <v>0</v>
      </c>
      <c r="BU87" s="61">
        <v>0</v>
      </c>
      <c r="BV87" s="61">
        <v>0</v>
      </c>
      <c r="BW87" s="61">
        <v>0</v>
      </c>
      <c r="BX87" s="61">
        <v>0</v>
      </c>
      <c r="BY87" s="61">
        <v>0</v>
      </c>
      <c r="BZ87" s="61">
        <v>0</v>
      </c>
      <c r="CA87" s="61">
        <v>0</v>
      </c>
      <c r="CB87" s="61">
        <v>0</v>
      </c>
      <c r="CC87" s="61">
        <v>0</v>
      </c>
      <c r="CD87" s="61">
        <v>0</v>
      </c>
      <c r="CE87" s="61">
        <v>1558215</v>
      </c>
      <c r="CF87" s="61">
        <v>1252231</v>
      </c>
      <c r="CG87" s="61">
        <v>0</v>
      </c>
      <c r="CH87" s="61">
        <v>0</v>
      </c>
      <c r="CI87" s="61">
        <v>0</v>
      </c>
      <c r="CJ87" s="61">
        <v>0</v>
      </c>
      <c r="CK87" s="61">
        <v>0</v>
      </c>
      <c r="CL87" s="61">
        <v>0</v>
      </c>
      <c r="CM87" s="61">
        <v>0</v>
      </c>
      <c r="CN87" s="61">
        <v>0</v>
      </c>
      <c r="CO87" s="61">
        <v>0</v>
      </c>
      <c r="CP87" s="61">
        <v>0</v>
      </c>
      <c r="CQ87" s="61">
        <v>0</v>
      </c>
      <c r="CR87" s="61">
        <v>0</v>
      </c>
      <c r="CS87" s="61">
        <v>0</v>
      </c>
      <c r="CT87" s="61">
        <v>0</v>
      </c>
      <c r="CU87" s="61">
        <v>1971540</v>
      </c>
      <c r="CV87" s="61">
        <v>1198355</v>
      </c>
      <c r="CW87" s="61">
        <v>0</v>
      </c>
      <c r="CX87" s="61">
        <v>0</v>
      </c>
      <c r="CY87" s="61">
        <v>0</v>
      </c>
      <c r="CZ87" s="61">
        <v>0</v>
      </c>
      <c r="DA87" s="61">
        <v>0</v>
      </c>
      <c r="DB87" s="61">
        <v>0</v>
      </c>
      <c r="DC87" s="61">
        <v>0</v>
      </c>
      <c r="DD87" s="61">
        <v>0</v>
      </c>
      <c r="DE87" s="61">
        <v>0</v>
      </c>
      <c r="DF87" s="61">
        <v>0</v>
      </c>
      <c r="DG87" s="61">
        <v>0</v>
      </c>
      <c r="DH87" s="61">
        <v>0</v>
      </c>
      <c r="DI87" s="61">
        <v>0</v>
      </c>
      <c r="DJ87" s="61">
        <v>0</v>
      </c>
      <c r="DK87" s="61">
        <v>1838026.17</v>
      </c>
      <c r="DL87" s="61">
        <v>881455</v>
      </c>
      <c r="DM87" s="61">
        <v>0</v>
      </c>
      <c r="DN87" s="61">
        <v>0</v>
      </c>
      <c r="DO87" s="61">
        <v>0</v>
      </c>
      <c r="DP87" s="61">
        <v>0</v>
      </c>
      <c r="DQ87" s="61">
        <v>0</v>
      </c>
      <c r="DR87" s="61">
        <v>0</v>
      </c>
      <c r="DS87" s="61">
        <v>0</v>
      </c>
      <c r="DT87" s="61">
        <v>0</v>
      </c>
      <c r="DU87" s="61">
        <v>0</v>
      </c>
      <c r="DV87" s="61">
        <v>0</v>
      </c>
      <c r="DW87" s="61">
        <v>0</v>
      </c>
      <c r="DX87" s="61">
        <v>0</v>
      </c>
      <c r="DY87" s="61">
        <v>0</v>
      </c>
      <c r="DZ87" s="61">
        <v>1254180</v>
      </c>
      <c r="EA87" s="61">
        <v>1306012</v>
      </c>
      <c r="EB87" s="61">
        <v>1493687</v>
      </c>
      <c r="EC87" s="61">
        <v>0</v>
      </c>
      <c r="ED87" s="61">
        <v>0</v>
      </c>
      <c r="EE87" s="61">
        <v>0</v>
      </c>
      <c r="EF87" s="61">
        <v>0</v>
      </c>
      <c r="EG87" s="61">
        <v>0</v>
      </c>
      <c r="EH87" s="61">
        <v>0</v>
      </c>
      <c r="EI87" s="61">
        <v>0</v>
      </c>
      <c r="EJ87" s="61">
        <v>0</v>
      </c>
      <c r="EK87" s="61">
        <v>0</v>
      </c>
      <c r="EL87" s="61">
        <v>0</v>
      </c>
      <c r="EM87" s="61">
        <v>0</v>
      </c>
      <c r="EN87" s="61">
        <v>0</v>
      </c>
      <c r="EO87" s="61">
        <v>0</v>
      </c>
      <c r="EP87" s="61">
        <v>1421310</v>
      </c>
      <c r="EQ87" s="61">
        <v>1937081.5</v>
      </c>
      <c r="ER87" s="61">
        <v>0</v>
      </c>
      <c r="ES87" s="61">
        <v>0</v>
      </c>
      <c r="ET87" s="61">
        <v>0</v>
      </c>
      <c r="EU87" s="61">
        <v>0</v>
      </c>
      <c r="EV87" s="61">
        <v>0</v>
      </c>
      <c r="EW87" s="61">
        <v>0</v>
      </c>
      <c r="EX87" s="61">
        <v>0</v>
      </c>
      <c r="EY87" s="61">
        <v>0</v>
      </c>
      <c r="EZ87" s="61">
        <v>0</v>
      </c>
      <c r="FA87" s="61">
        <v>0</v>
      </c>
      <c r="FB87" s="61">
        <v>0</v>
      </c>
      <c r="FC87" s="61">
        <v>0</v>
      </c>
      <c r="FD87" s="61">
        <v>0</v>
      </c>
      <c r="FE87" s="61">
        <v>1762820</v>
      </c>
      <c r="FF87" s="61">
        <v>2902838</v>
      </c>
      <c r="FG87" s="61">
        <v>0</v>
      </c>
      <c r="FH87" s="168">
        <v>0</v>
      </c>
      <c r="FI87" s="168">
        <v>0</v>
      </c>
      <c r="FJ87" s="61">
        <v>0</v>
      </c>
      <c r="FK87" s="61">
        <v>0</v>
      </c>
      <c r="FL87" s="61">
        <v>0</v>
      </c>
      <c r="FM87" s="61">
        <v>0</v>
      </c>
      <c r="FN87" s="61">
        <v>0</v>
      </c>
      <c r="FO87" s="61">
        <v>0</v>
      </c>
      <c r="FP87" s="61">
        <v>0</v>
      </c>
      <c r="FQ87" s="61">
        <v>0</v>
      </c>
      <c r="FR87" s="61">
        <v>0</v>
      </c>
      <c r="FS87" s="61">
        <v>0</v>
      </c>
      <c r="FT87" s="61">
        <v>2610000</v>
      </c>
      <c r="FU87" s="61">
        <v>2420725</v>
      </c>
      <c r="FV87" s="61">
        <v>0</v>
      </c>
      <c r="FW87" s="61">
        <v>0</v>
      </c>
      <c r="FX87" s="61">
        <v>0</v>
      </c>
      <c r="FY87" s="61">
        <v>0</v>
      </c>
      <c r="FZ87" s="61">
        <v>0</v>
      </c>
      <c r="GA87" s="61">
        <v>0</v>
      </c>
      <c r="GB87" s="61">
        <v>0</v>
      </c>
      <c r="GC87" s="61">
        <v>0</v>
      </c>
      <c r="GD87" s="61">
        <v>0</v>
      </c>
      <c r="GE87" s="61">
        <v>0</v>
      </c>
      <c r="GF87" s="61">
        <v>0</v>
      </c>
      <c r="GG87" s="61">
        <v>0</v>
      </c>
      <c r="GH87" s="61">
        <v>0</v>
      </c>
      <c r="GI87" s="61">
        <v>1965170</v>
      </c>
      <c r="GJ87" s="61">
        <v>4201178</v>
      </c>
    </row>
    <row r="88" spans="2:192">
      <c r="C88" t="s">
        <v>786</v>
      </c>
      <c r="D88" t="s">
        <v>308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1">
        <v>0</v>
      </c>
      <c r="L88" s="61">
        <v>0</v>
      </c>
      <c r="M88" s="61">
        <v>0</v>
      </c>
      <c r="N88" s="61">
        <v>0</v>
      </c>
      <c r="O88" s="61">
        <v>0</v>
      </c>
      <c r="P88" s="61">
        <v>0</v>
      </c>
      <c r="Q88" s="61">
        <v>0</v>
      </c>
      <c r="R88" s="61">
        <v>0</v>
      </c>
      <c r="S88" s="61">
        <v>2262520</v>
      </c>
      <c r="T88" s="61">
        <v>5480487</v>
      </c>
      <c r="U88" s="61">
        <v>0</v>
      </c>
      <c r="V88" s="61">
        <v>0</v>
      </c>
      <c r="W88" s="61">
        <v>0</v>
      </c>
      <c r="X88" s="61">
        <v>0</v>
      </c>
      <c r="Y88" s="61">
        <v>0</v>
      </c>
      <c r="Z88" s="61">
        <v>0</v>
      </c>
      <c r="AA88" s="61">
        <v>0</v>
      </c>
      <c r="AB88" s="61">
        <v>0</v>
      </c>
      <c r="AC88" s="61">
        <v>0</v>
      </c>
      <c r="AD88" s="61">
        <v>0</v>
      </c>
      <c r="AE88" s="61">
        <v>0</v>
      </c>
      <c r="AF88" s="61">
        <v>0</v>
      </c>
      <c r="AG88" s="61">
        <v>0</v>
      </c>
      <c r="AH88" s="61">
        <v>0</v>
      </c>
      <c r="AI88" s="61">
        <v>2867200</v>
      </c>
      <c r="AJ88" s="61">
        <v>3142424</v>
      </c>
      <c r="AK88" s="61">
        <v>0</v>
      </c>
      <c r="AL88" s="61">
        <v>0</v>
      </c>
      <c r="AM88" s="61">
        <v>0</v>
      </c>
      <c r="AN88" s="61">
        <v>0</v>
      </c>
      <c r="AO88" s="61">
        <v>0</v>
      </c>
      <c r="AP88" s="61">
        <v>0</v>
      </c>
      <c r="AQ88" s="61">
        <v>0</v>
      </c>
      <c r="AR88" s="61">
        <v>0</v>
      </c>
      <c r="AS88" s="61">
        <v>0</v>
      </c>
      <c r="AT88" s="61">
        <v>0</v>
      </c>
      <c r="AU88" s="61">
        <v>0</v>
      </c>
      <c r="AV88" s="61">
        <v>0</v>
      </c>
      <c r="AW88" s="61">
        <v>0</v>
      </c>
      <c r="AX88" s="61">
        <v>0</v>
      </c>
      <c r="AY88" s="61">
        <v>2522280</v>
      </c>
      <c r="AZ88" s="61">
        <v>4678996</v>
      </c>
      <c r="BA88" s="61">
        <v>0</v>
      </c>
      <c r="BB88" s="61">
        <v>0</v>
      </c>
      <c r="BC88" s="61">
        <v>0</v>
      </c>
      <c r="BD88" s="61">
        <v>0</v>
      </c>
      <c r="BE88" s="61">
        <v>0</v>
      </c>
      <c r="BF88" s="61">
        <v>0</v>
      </c>
      <c r="BG88" s="61">
        <v>0</v>
      </c>
      <c r="BH88" s="61">
        <v>0</v>
      </c>
      <c r="BI88" s="61">
        <v>0</v>
      </c>
      <c r="BJ88" s="61">
        <v>0</v>
      </c>
      <c r="BK88" s="61">
        <v>0</v>
      </c>
      <c r="BL88" s="61">
        <v>0</v>
      </c>
      <c r="BM88" s="61">
        <v>0</v>
      </c>
      <c r="BN88" s="61">
        <v>0</v>
      </c>
      <c r="BO88" s="61">
        <v>1553520</v>
      </c>
      <c r="BP88" s="61">
        <v>2654616</v>
      </c>
      <c r="BQ88" s="61">
        <v>0</v>
      </c>
      <c r="BR88" s="61">
        <v>0</v>
      </c>
      <c r="BS88" s="61">
        <v>0</v>
      </c>
      <c r="BT88" s="61">
        <v>0</v>
      </c>
      <c r="BU88" s="61">
        <v>0</v>
      </c>
      <c r="BV88" s="61">
        <v>0</v>
      </c>
      <c r="BW88" s="61">
        <v>0</v>
      </c>
      <c r="BX88" s="61">
        <v>0</v>
      </c>
      <c r="BY88" s="61">
        <v>0</v>
      </c>
      <c r="BZ88" s="61">
        <v>0</v>
      </c>
      <c r="CA88" s="61">
        <v>0</v>
      </c>
      <c r="CB88" s="61">
        <v>0</v>
      </c>
      <c r="CC88" s="61">
        <v>0</v>
      </c>
      <c r="CD88" s="61">
        <v>0</v>
      </c>
      <c r="CE88" s="61">
        <v>1956325</v>
      </c>
      <c r="CF88" s="61">
        <v>1472117</v>
      </c>
      <c r="CG88" s="61">
        <v>0</v>
      </c>
      <c r="CH88" s="61">
        <v>0</v>
      </c>
      <c r="CI88" s="61">
        <v>0</v>
      </c>
      <c r="CJ88" s="61">
        <v>0</v>
      </c>
      <c r="CK88" s="61">
        <v>0</v>
      </c>
      <c r="CL88" s="61">
        <v>0</v>
      </c>
      <c r="CM88" s="61">
        <v>0</v>
      </c>
      <c r="CN88" s="61">
        <v>0</v>
      </c>
      <c r="CO88" s="61">
        <v>0</v>
      </c>
      <c r="CP88" s="61">
        <v>0</v>
      </c>
      <c r="CQ88" s="61">
        <v>0</v>
      </c>
      <c r="CR88" s="61">
        <v>0</v>
      </c>
      <c r="CS88" s="61">
        <v>0</v>
      </c>
      <c r="CT88" s="61">
        <v>0</v>
      </c>
      <c r="CU88" s="61">
        <v>2421170</v>
      </c>
      <c r="CV88" s="61">
        <v>1338901</v>
      </c>
      <c r="CW88" s="61">
        <v>0</v>
      </c>
      <c r="CX88" s="61">
        <v>0</v>
      </c>
      <c r="CY88" s="61">
        <v>0</v>
      </c>
      <c r="CZ88" s="61">
        <v>0</v>
      </c>
      <c r="DA88" s="61">
        <v>0</v>
      </c>
      <c r="DB88" s="61">
        <v>0</v>
      </c>
      <c r="DC88" s="61">
        <v>0</v>
      </c>
      <c r="DD88" s="61">
        <v>0</v>
      </c>
      <c r="DE88" s="61">
        <v>0</v>
      </c>
      <c r="DF88" s="61">
        <v>0</v>
      </c>
      <c r="DG88" s="61">
        <v>0</v>
      </c>
      <c r="DH88" s="61">
        <v>0</v>
      </c>
      <c r="DI88" s="61">
        <v>0</v>
      </c>
      <c r="DJ88" s="61">
        <v>0</v>
      </c>
      <c r="DK88" s="61">
        <v>2298582.83</v>
      </c>
      <c r="DL88" s="61">
        <v>1120764</v>
      </c>
      <c r="DM88" s="61">
        <v>0</v>
      </c>
      <c r="DN88" s="61">
        <v>0</v>
      </c>
      <c r="DO88" s="61">
        <v>0</v>
      </c>
      <c r="DP88" s="61">
        <v>0</v>
      </c>
      <c r="DQ88" s="61">
        <v>0</v>
      </c>
      <c r="DR88" s="61">
        <v>0</v>
      </c>
      <c r="DS88" s="61">
        <v>0</v>
      </c>
      <c r="DT88" s="61">
        <v>0</v>
      </c>
      <c r="DU88" s="61">
        <v>0</v>
      </c>
      <c r="DV88" s="61">
        <v>0</v>
      </c>
      <c r="DW88" s="61">
        <v>0</v>
      </c>
      <c r="DX88" s="61">
        <v>0</v>
      </c>
      <c r="DY88" s="61">
        <v>0</v>
      </c>
      <c r="DZ88" s="61">
        <v>0</v>
      </c>
      <c r="EA88" s="61">
        <v>1549396</v>
      </c>
      <c r="EB88" s="61">
        <v>1630342</v>
      </c>
      <c r="EC88" s="61">
        <v>0</v>
      </c>
      <c r="ED88" s="61">
        <v>0</v>
      </c>
      <c r="EE88" s="61">
        <v>0</v>
      </c>
      <c r="EF88" s="61">
        <v>0</v>
      </c>
      <c r="EG88" s="61">
        <v>0</v>
      </c>
      <c r="EH88" s="61">
        <v>0</v>
      </c>
      <c r="EI88" s="61">
        <v>0</v>
      </c>
      <c r="EJ88" s="61">
        <v>0</v>
      </c>
      <c r="EK88" s="61">
        <v>0</v>
      </c>
      <c r="EL88" s="61">
        <v>0</v>
      </c>
      <c r="EM88" s="61">
        <v>0</v>
      </c>
      <c r="EN88" s="61">
        <v>0</v>
      </c>
      <c r="EO88" s="61">
        <v>0</v>
      </c>
      <c r="EP88" s="61">
        <v>0</v>
      </c>
      <c r="EQ88" s="61">
        <v>2103264</v>
      </c>
      <c r="ER88" s="61">
        <v>0</v>
      </c>
      <c r="ES88" s="61">
        <v>0</v>
      </c>
      <c r="ET88" s="61">
        <v>0</v>
      </c>
      <c r="EU88" s="61">
        <v>0</v>
      </c>
      <c r="EV88" s="61">
        <v>0</v>
      </c>
      <c r="EW88" s="61">
        <v>0</v>
      </c>
      <c r="EX88" s="61">
        <v>0</v>
      </c>
      <c r="EY88" s="61">
        <v>0</v>
      </c>
      <c r="EZ88" s="61">
        <v>0</v>
      </c>
      <c r="FA88" s="61">
        <v>0</v>
      </c>
      <c r="FB88" s="61">
        <v>0</v>
      </c>
      <c r="FC88" s="61">
        <v>0</v>
      </c>
      <c r="FD88" s="61">
        <v>0</v>
      </c>
      <c r="FE88" s="61">
        <v>0</v>
      </c>
      <c r="FF88" s="61">
        <v>2678330</v>
      </c>
      <c r="FG88" s="61">
        <v>0</v>
      </c>
      <c r="FH88" s="168">
        <v>0</v>
      </c>
      <c r="FI88" s="168">
        <v>0</v>
      </c>
      <c r="FJ88" s="61">
        <v>0</v>
      </c>
      <c r="FK88" s="61">
        <v>0</v>
      </c>
      <c r="FL88" s="61">
        <v>0</v>
      </c>
      <c r="FM88" s="61">
        <v>0</v>
      </c>
      <c r="FN88" s="61">
        <v>0</v>
      </c>
      <c r="FO88" s="61">
        <v>0</v>
      </c>
      <c r="FP88" s="61">
        <v>0</v>
      </c>
      <c r="FQ88" s="61">
        <v>0</v>
      </c>
      <c r="FR88" s="61">
        <v>0</v>
      </c>
      <c r="FS88" s="61">
        <v>0</v>
      </c>
      <c r="FT88" s="61">
        <v>0</v>
      </c>
      <c r="FU88" s="61">
        <v>3757873</v>
      </c>
      <c r="FV88" s="61">
        <v>0</v>
      </c>
      <c r="FW88" s="61">
        <v>0</v>
      </c>
      <c r="FX88" s="61">
        <v>0</v>
      </c>
      <c r="FY88" s="61">
        <v>0</v>
      </c>
      <c r="FZ88" s="61">
        <v>0</v>
      </c>
      <c r="GA88" s="61">
        <v>0</v>
      </c>
      <c r="GB88" s="61">
        <v>0</v>
      </c>
      <c r="GC88" s="61">
        <v>0</v>
      </c>
      <c r="GD88" s="61">
        <v>0</v>
      </c>
      <c r="GE88" s="61">
        <v>0</v>
      </c>
      <c r="GF88" s="61">
        <v>0</v>
      </c>
      <c r="GG88" s="61">
        <v>0</v>
      </c>
      <c r="GH88" s="61">
        <v>0</v>
      </c>
      <c r="GI88" s="61">
        <v>447840</v>
      </c>
      <c r="GJ88" s="61">
        <v>5313884</v>
      </c>
    </row>
    <row r="89" spans="2:192">
      <c r="B89" t="s">
        <v>2621</v>
      </c>
      <c r="E89" s="61">
        <v>0</v>
      </c>
      <c r="F89" s="61">
        <v>0</v>
      </c>
      <c r="G89" s="61">
        <v>0</v>
      </c>
      <c r="H89" s="61">
        <v>0</v>
      </c>
      <c r="I89" s="61">
        <v>0</v>
      </c>
      <c r="J89" s="61">
        <v>0</v>
      </c>
      <c r="K89" s="61">
        <v>0</v>
      </c>
      <c r="L89" s="61">
        <v>0</v>
      </c>
      <c r="M89" s="61">
        <v>0</v>
      </c>
      <c r="N89" s="61">
        <v>0</v>
      </c>
      <c r="O89" s="61">
        <v>0</v>
      </c>
      <c r="P89" s="61">
        <v>0</v>
      </c>
      <c r="Q89" s="61">
        <v>0</v>
      </c>
      <c r="R89" s="61">
        <v>0</v>
      </c>
      <c r="S89" s="61">
        <v>4554970</v>
      </c>
      <c r="T89" s="61">
        <v>10112175</v>
      </c>
      <c r="U89" s="61">
        <v>0</v>
      </c>
      <c r="V89" s="61">
        <v>0</v>
      </c>
      <c r="W89" s="61">
        <v>0</v>
      </c>
      <c r="X89" s="61">
        <v>0</v>
      </c>
      <c r="Y89" s="61">
        <v>0</v>
      </c>
      <c r="Z89" s="61">
        <v>0</v>
      </c>
      <c r="AA89" s="61">
        <v>0</v>
      </c>
      <c r="AB89" s="61">
        <v>0</v>
      </c>
      <c r="AC89" s="61">
        <v>0</v>
      </c>
      <c r="AD89" s="61">
        <v>0</v>
      </c>
      <c r="AE89" s="61">
        <v>0</v>
      </c>
      <c r="AF89" s="61">
        <v>0</v>
      </c>
      <c r="AG89" s="61">
        <v>0</v>
      </c>
      <c r="AH89" s="61">
        <v>0</v>
      </c>
      <c r="AI89" s="61">
        <v>6093800</v>
      </c>
      <c r="AJ89" s="61">
        <v>5897813</v>
      </c>
      <c r="AK89" s="61">
        <v>0</v>
      </c>
      <c r="AL89" s="61">
        <v>0</v>
      </c>
      <c r="AM89" s="61">
        <v>0</v>
      </c>
      <c r="AN89" s="61">
        <v>0</v>
      </c>
      <c r="AO89" s="61">
        <v>0</v>
      </c>
      <c r="AP89" s="61">
        <v>0</v>
      </c>
      <c r="AQ89" s="61">
        <v>0</v>
      </c>
      <c r="AR89" s="61">
        <v>0</v>
      </c>
      <c r="AS89" s="61">
        <v>0</v>
      </c>
      <c r="AT89" s="61">
        <v>0</v>
      </c>
      <c r="AU89" s="61">
        <v>0</v>
      </c>
      <c r="AV89" s="61">
        <v>0</v>
      </c>
      <c r="AW89" s="61">
        <v>0</v>
      </c>
      <c r="AX89" s="61">
        <v>0</v>
      </c>
      <c r="AY89" s="61">
        <v>5981650</v>
      </c>
      <c r="AZ89" s="61">
        <v>7771034</v>
      </c>
      <c r="BA89" s="61">
        <v>0</v>
      </c>
      <c r="BB89" s="61">
        <v>0</v>
      </c>
      <c r="BC89" s="61">
        <v>0</v>
      </c>
      <c r="BD89" s="61">
        <v>0</v>
      </c>
      <c r="BE89" s="61">
        <v>0</v>
      </c>
      <c r="BF89" s="61">
        <v>0</v>
      </c>
      <c r="BG89" s="61">
        <v>0</v>
      </c>
      <c r="BH89" s="61">
        <v>0</v>
      </c>
      <c r="BI89" s="61">
        <v>0</v>
      </c>
      <c r="BJ89" s="61">
        <v>0</v>
      </c>
      <c r="BK89" s="61">
        <v>0</v>
      </c>
      <c r="BL89" s="61">
        <v>0</v>
      </c>
      <c r="BM89" s="61">
        <v>0</v>
      </c>
      <c r="BN89" s="61">
        <v>0</v>
      </c>
      <c r="BO89" s="61">
        <v>2850650</v>
      </c>
      <c r="BP89" s="61">
        <v>5037101</v>
      </c>
      <c r="BQ89" s="61">
        <v>0</v>
      </c>
      <c r="BR89" s="61">
        <v>0</v>
      </c>
      <c r="BS89" s="61">
        <v>0</v>
      </c>
      <c r="BT89" s="61">
        <v>0</v>
      </c>
      <c r="BU89" s="61">
        <v>0</v>
      </c>
      <c r="BV89" s="61">
        <v>0</v>
      </c>
      <c r="BW89" s="61">
        <v>0</v>
      </c>
      <c r="BX89" s="61">
        <v>0</v>
      </c>
      <c r="BY89" s="61">
        <v>0</v>
      </c>
      <c r="BZ89" s="61">
        <v>0</v>
      </c>
      <c r="CA89" s="61">
        <v>0</v>
      </c>
      <c r="CB89" s="61">
        <v>0</v>
      </c>
      <c r="CC89" s="61">
        <v>0</v>
      </c>
      <c r="CD89" s="61">
        <v>0</v>
      </c>
      <c r="CE89" s="61">
        <v>3514540</v>
      </c>
      <c r="CF89" s="61">
        <v>2724348</v>
      </c>
      <c r="CG89" s="61">
        <v>0</v>
      </c>
      <c r="CH89" s="61">
        <v>0</v>
      </c>
      <c r="CI89" s="61">
        <v>0</v>
      </c>
      <c r="CJ89" s="61">
        <v>0</v>
      </c>
      <c r="CK89" s="61">
        <v>0</v>
      </c>
      <c r="CL89" s="61">
        <v>0</v>
      </c>
      <c r="CM89" s="61">
        <v>0</v>
      </c>
      <c r="CN89" s="61">
        <v>0</v>
      </c>
      <c r="CO89" s="61">
        <v>0</v>
      </c>
      <c r="CP89" s="61">
        <v>0</v>
      </c>
      <c r="CQ89" s="61">
        <v>0</v>
      </c>
      <c r="CR89" s="61">
        <v>0</v>
      </c>
      <c r="CS89" s="61">
        <v>0</v>
      </c>
      <c r="CT89" s="61">
        <v>0</v>
      </c>
      <c r="CU89" s="61">
        <v>4392710</v>
      </c>
      <c r="CV89" s="61">
        <v>2537256</v>
      </c>
      <c r="CW89" s="61">
        <v>0</v>
      </c>
      <c r="CX89" s="61">
        <v>0</v>
      </c>
      <c r="CY89" s="61">
        <v>0</v>
      </c>
      <c r="CZ89" s="61">
        <v>0</v>
      </c>
      <c r="DA89" s="61">
        <v>0</v>
      </c>
      <c r="DB89" s="61">
        <v>0</v>
      </c>
      <c r="DC89" s="61">
        <v>0</v>
      </c>
      <c r="DD89" s="61">
        <v>0</v>
      </c>
      <c r="DE89" s="61">
        <v>0</v>
      </c>
      <c r="DF89" s="61">
        <v>0</v>
      </c>
      <c r="DG89" s="61">
        <v>0</v>
      </c>
      <c r="DH89" s="61">
        <v>0</v>
      </c>
      <c r="DI89" s="61">
        <v>0</v>
      </c>
      <c r="DJ89" s="61">
        <v>0</v>
      </c>
      <c r="DK89" s="61">
        <v>4136609</v>
      </c>
      <c r="DL89" s="61">
        <v>2002219</v>
      </c>
      <c r="DM89" s="61">
        <v>0</v>
      </c>
      <c r="DN89" s="61">
        <v>0</v>
      </c>
      <c r="DO89" s="61">
        <v>0</v>
      </c>
      <c r="DP89" s="61">
        <v>0</v>
      </c>
      <c r="DQ89" s="61">
        <v>0</v>
      </c>
      <c r="DR89" s="61">
        <v>0</v>
      </c>
      <c r="DS89" s="61">
        <v>0</v>
      </c>
      <c r="DT89" s="61">
        <v>0</v>
      </c>
      <c r="DU89" s="61">
        <v>0</v>
      </c>
      <c r="DV89" s="61">
        <v>0</v>
      </c>
      <c r="DW89" s="61">
        <v>0</v>
      </c>
      <c r="DX89" s="61">
        <v>0</v>
      </c>
      <c r="DY89" s="61">
        <v>0</v>
      </c>
      <c r="DZ89" s="61">
        <v>1254180</v>
      </c>
      <c r="EA89" s="61">
        <v>2855408</v>
      </c>
      <c r="EB89" s="61">
        <v>3124029</v>
      </c>
      <c r="EC89" s="61">
        <v>0</v>
      </c>
      <c r="ED89" s="61">
        <v>0</v>
      </c>
      <c r="EE89" s="61">
        <v>0</v>
      </c>
      <c r="EF89" s="61">
        <v>0</v>
      </c>
      <c r="EG89" s="61">
        <v>0</v>
      </c>
      <c r="EH89" s="61">
        <v>0</v>
      </c>
      <c r="EI89" s="61">
        <v>0</v>
      </c>
      <c r="EJ89" s="61">
        <v>0</v>
      </c>
      <c r="EK89" s="61">
        <v>0</v>
      </c>
      <c r="EL89" s="61">
        <v>0</v>
      </c>
      <c r="EM89" s="61">
        <v>0</v>
      </c>
      <c r="EN89" s="61">
        <v>0</v>
      </c>
      <c r="EO89" s="61">
        <v>0</v>
      </c>
      <c r="EP89" s="61">
        <v>1421310</v>
      </c>
      <c r="EQ89" s="61">
        <v>4040345.5</v>
      </c>
      <c r="ER89" s="61">
        <v>0</v>
      </c>
      <c r="ES89" s="61">
        <v>0</v>
      </c>
      <c r="ET89" s="61">
        <v>0</v>
      </c>
      <c r="EU89" s="61">
        <v>0</v>
      </c>
      <c r="EV89" s="61">
        <v>0</v>
      </c>
      <c r="EW89" s="61">
        <v>0</v>
      </c>
      <c r="EX89" s="61">
        <v>0</v>
      </c>
      <c r="EY89" s="61">
        <v>0</v>
      </c>
      <c r="EZ89" s="61">
        <v>0</v>
      </c>
      <c r="FA89" s="61">
        <v>0</v>
      </c>
      <c r="FB89" s="61">
        <v>0</v>
      </c>
      <c r="FC89" s="61">
        <v>0</v>
      </c>
      <c r="FD89" s="61">
        <v>0</v>
      </c>
      <c r="FE89" s="61">
        <v>1762820</v>
      </c>
      <c r="FF89" s="61">
        <v>5581168</v>
      </c>
      <c r="FG89" s="61">
        <v>0</v>
      </c>
      <c r="FH89" s="168">
        <v>0</v>
      </c>
      <c r="FI89" s="168">
        <v>0</v>
      </c>
      <c r="FJ89" s="61">
        <v>0</v>
      </c>
      <c r="FK89" s="61">
        <v>0</v>
      </c>
      <c r="FL89" s="61">
        <v>0</v>
      </c>
      <c r="FM89" s="61">
        <v>0</v>
      </c>
      <c r="FN89" s="61">
        <v>0</v>
      </c>
      <c r="FO89" s="61">
        <v>0</v>
      </c>
      <c r="FP89" s="61">
        <v>0</v>
      </c>
      <c r="FQ89" s="61">
        <v>0</v>
      </c>
      <c r="FR89" s="61">
        <v>0</v>
      </c>
      <c r="FS89" s="61">
        <v>0</v>
      </c>
      <c r="FT89" s="61">
        <v>2610000</v>
      </c>
      <c r="FU89" s="61">
        <v>6178598</v>
      </c>
      <c r="FV89" s="61">
        <v>0</v>
      </c>
      <c r="FW89" s="61">
        <v>0</v>
      </c>
      <c r="FX89" s="61">
        <v>0</v>
      </c>
      <c r="FY89" s="61">
        <v>0</v>
      </c>
      <c r="FZ89" s="61">
        <v>0</v>
      </c>
      <c r="GA89" s="61">
        <v>0</v>
      </c>
      <c r="GB89" s="61">
        <v>0</v>
      </c>
      <c r="GC89" s="61">
        <v>0</v>
      </c>
      <c r="GD89" s="61">
        <v>0</v>
      </c>
      <c r="GE89" s="61">
        <v>0</v>
      </c>
      <c r="GF89" s="61">
        <v>0</v>
      </c>
      <c r="GG89" s="61">
        <v>0</v>
      </c>
      <c r="GH89" s="61">
        <v>0</v>
      </c>
      <c r="GI89" s="61">
        <v>2413010</v>
      </c>
      <c r="GJ89" s="61">
        <v>9515062</v>
      </c>
    </row>
    <row r="90" spans="2:192">
      <c r="B90" t="s">
        <v>498</v>
      </c>
      <c r="E90" s="61">
        <v>1792924</v>
      </c>
      <c r="F90" s="61">
        <v>2927799</v>
      </c>
      <c r="G90" s="61">
        <v>6348574</v>
      </c>
      <c r="H90" s="61">
        <v>5092367</v>
      </c>
      <c r="I90" s="61">
        <v>32677037</v>
      </c>
      <c r="J90" s="61">
        <v>41948134</v>
      </c>
      <c r="K90" s="61">
        <v>28007885</v>
      </c>
      <c r="L90" s="61">
        <v>36211567</v>
      </c>
      <c r="M90" s="61">
        <v>88681211</v>
      </c>
      <c r="N90" s="61">
        <v>115655752</v>
      </c>
      <c r="O90" s="61">
        <v>87340766</v>
      </c>
      <c r="P90" s="61">
        <v>157217425</v>
      </c>
      <c r="Q90" s="61">
        <v>145044359</v>
      </c>
      <c r="R90" s="61">
        <v>190001497.66666666</v>
      </c>
      <c r="S90" s="61">
        <v>113140368.66666666</v>
      </c>
      <c r="T90" s="61">
        <v>209128235.49999997</v>
      </c>
      <c r="U90" s="61">
        <v>1561822</v>
      </c>
      <c r="V90" s="61">
        <v>1780925</v>
      </c>
      <c r="W90" s="61">
        <v>4585983</v>
      </c>
      <c r="X90" s="61">
        <v>4552330</v>
      </c>
      <c r="Y90" s="61">
        <v>34743920</v>
      </c>
      <c r="Z90" s="61">
        <v>24880247</v>
      </c>
      <c r="AA90" s="61">
        <v>27194912</v>
      </c>
      <c r="AB90" s="61">
        <v>57339615</v>
      </c>
      <c r="AC90" s="61">
        <v>66852523</v>
      </c>
      <c r="AD90" s="61">
        <v>83882585</v>
      </c>
      <c r="AE90" s="61">
        <v>96562449</v>
      </c>
      <c r="AF90" s="61">
        <v>178727133</v>
      </c>
      <c r="AG90" s="61">
        <v>113907580</v>
      </c>
      <c r="AH90" s="61">
        <v>174667175</v>
      </c>
      <c r="AI90" s="61">
        <v>158072064.16666669</v>
      </c>
      <c r="AJ90" s="61">
        <v>129243243.00000001</v>
      </c>
      <c r="AK90" s="61">
        <v>2611652</v>
      </c>
      <c r="AL90" s="61">
        <v>2380663</v>
      </c>
      <c r="AM90" s="61">
        <v>4082725</v>
      </c>
      <c r="AN90" s="61">
        <v>8253926</v>
      </c>
      <c r="AO90" s="61">
        <v>34169512</v>
      </c>
      <c r="AP90" s="61">
        <v>51561295</v>
      </c>
      <c r="AQ90" s="61">
        <v>44446227.829999998</v>
      </c>
      <c r="AR90" s="61">
        <v>77955864</v>
      </c>
      <c r="AS90" s="61">
        <v>77004593</v>
      </c>
      <c r="AT90" s="61">
        <v>76509209</v>
      </c>
      <c r="AU90" s="61">
        <v>89304621</v>
      </c>
      <c r="AV90" s="61">
        <v>100122908</v>
      </c>
      <c r="AW90" s="61">
        <v>133010725</v>
      </c>
      <c r="AX90" s="61">
        <v>151868716.16633332</v>
      </c>
      <c r="AY90" s="61">
        <v>154331532.33333334</v>
      </c>
      <c r="AZ90" s="61">
        <v>160764093.16666666</v>
      </c>
      <c r="BA90" s="61">
        <v>2064698</v>
      </c>
      <c r="BB90" s="61">
        <v>1930679</v>
      </c>
      <c r="BC90" s="61">
        <v>3641059</v>
      </c>
      <c r="BD90" s="61">
        <v>4962326</v>
      </c>
      <c r="BE90" s="61">
        <v>12887309</v>
      </c>
      <c r="BF90" s="61">
        <v>34031732</v>
      </c>
      <c r="BG90" s="61">
        <v>31976172.5</v>
      </c>
      <c r="BH90" s="61">
        <v>46124779</v>
      </c>
      <c r="BI90" s="61">
        <v>56161285</v>
      </c>
      <c r="BJ90" s="61">
        <v>117563744</v>
      </c>
      <c r="BK90" s="61">
        <v>92576593</v>
      </c>
      <c r="BL90" s="61">
        <v>77954273</v>
      </c>
      <c r="BM90" s="61">
        <v>103838575</v>
      </c>
      <c r="BN90" s="61">
        <v>112069013.83333333</v>
      </c>
      <c r="BO90" s="61">
        <v>87643779.166666642</v>
      </c>
      <c r="BP90" s="61">
        <v>115389452</v>
      </c>
      <c r="BQ90" s="61">
        <v>1086318</v>
      </c>
      <c r="BR90" s="61">
        <v>1408407</v>
      </c>
      <c r="BS90" s="61">
        <v>3527219</v>
      </c>
      <c r="BT90" s="61">
        <v>5936243</v>
      </c>
      <c r="BU90" s="61">
        <v>34444278</v>
      </c>
      <c r="BV90" s="61">
        <v>22218197</v>
      </c>
      <c r="BW90" s="61">
        <v>37748778</v>
      </c>
      <c r="BX90" s="61">
        <v>49996099</v>
      </c>
      <c r="BY90" s="61">
        <v>59499895</v>
      </c>
      <c r="BZ90" s="61">
        <v>73699912</v>
      </c>
      <c r="CA90" s="61">
        <v>82012644</v>
      </c>
      <c r="CB90" s="61">
        <v>119071344</v>
      </c>
      <c r="CC90" s="61">
        <v>118556723</v>
      </c>
      <c r="CD90" s="61">
        <v>113547341.33329998</v>
      </c>
      <c r="CE90" s="61">
        <v>92139543.666666672</v>
      </c>
      <c r="CF90" s="61">
        <v>74697862</v>
      </c>
      <c r="CG90" s="61">
        <v>1254877</v>
      </c>
      <c r="CH90" s="61">
        <v>1629215</v>
      </c>
      <c r="CI90" s="61">
        <v>2295060</v>
      </c>
      <c r="CJ90" s="61">
        <v>2636832</v>
      </c>
      <c r="CK90" s="61">
        <v>17607979</v>
      </c>
      <c r="CL90" s="61">
        <v>19223936</v>
      </c>
      <c r="CM90" s="61">
        <v>28479593</v>
      </c>
      <c r="CN90" s="61">
        <v>44154824</v>
      </c>
      <c r="CO90" s="61">
        <v>59221208</v>
      </c>
      <c r="CP90" s="61">
        <v>73538427</v>
      </c>
      <c r="CQ90" s="61">
        <v>85421172</v>
      </c>
      <c r="CR90" s="61">
        <v>67662461</v>
      </c>
      <c r="CS90" s="61">
        <v>83276354</v>
      </c>
      <c r="CT90" s="61">
        <v>70758109.000399992</v>
      </c>
      <c r="CU90" s="61">
        <v>90033370.833666697</v>
      </c>
      <c r="CV90" s="61">
        <v>77219124</v>
      </c>
      <c r="CW90" s="61">
        <v>699545</v>
      </c>
      <c r="CX90" s="61">
        <v>1536745</v>
      </c>
      <c r="CY90" s="61">
        <v>2809078</v>
      </c>
      <c r="CZ90" s="61">
        <v>2380326</v>
      </c>
      <c r="DA90" s="61">
        <v>25932889</v>
      </c>
      <c r="DB90" s="61">
        <v>18609591</v>
      </c>
      <c r="DC90" s="61">
        <v>29948317</v>
      </c>
      <c r="DD90" s="61">
        <v>36205471</v>
      </c>
      <c r="DE90" s="61">
        <v>57959746</v>
      </c>
      <c r="DF90" s="61">
        <v>63627114</v>
      </c>
      <c r="DG90" s="61">
        <v>56713493</v>
      </c>
      <c r="DH90" s="61">
        <v>70147769</v>
      </c>
      <c r="DI90" s="61">
        <v>95133280</v>
      </c>
      <c r="DJ90" s="61">
        <v>68332723.166666657</v>
      </c>
      <c r="DK90" s="61">
        <v>98561578.333333328</v>
      </c>
      <c r="DL90" s="61">
        <v>61505450.833333336</v>
      </c>
      <c r="DM90" s="61">
        <v>618165</v>
      </c>
      <c r="DN90" s="61">
        <v>1534245</v>
      </c>
      <c r="DO90" s="61">
        <v>2641534</v>
      </c>
      <c r="DP90" s="61">
        <v>4534370</v>
      </c>
      <c r="DQ90" s="61">
        <v>22090334</v>
      </c>
      <c r="DR90" s="61">
        <v>19928887</v>
      </c>
      <c r="DS90" s="61">
        <v>20075124</v>
      </c>
      <c r="DT90" s="61">
        <v>51655525</v>
      </c>
      <c r="DU90" s="61">
        <v>59025395</v>
      </c>
      <c r="DV90" s="61">
        <v>63751016</v>
      </c>
      <c r="DW90" s="61">
        <v>51755830</v>
      </c>
      <c r="DX90" s="61">
        <v>69163854</v>
      </c>
      <c r="DY90" s="61">
        <v>80264518.666666657</v>
      </c>
      <c r="DZ90" s="61">
        <v>76978312</v>
      </c>
      <c r="EA90" s="61">
        <v>73113223</v>
      </c>
      <c r="EB90" s="61">
        <v>84621249.666666642</v>
      </c>
      <c r="EC90" s="61">
        <v>1630918</v>
      </c>
      <c r="ED90" s="61">
        <v>2221285</v>
      </c>
      <c r="EE90" s="61">
        <v>1680940</v>
      </c>
      <c r="EF90" s="61">
        <v>4678443</v>
      </c>
      <c r="EG90" s="61">
        <v>27849552</v>
      </c>
      <c r="EH90" s="61">
        <v>23973222</v>
      </c>
      <c r="EI90" s="61">
        <v>25632460</v>
      </c>
      <c r="EJ90" s="61">
        <v>47099037</v>
      </c>
      <c r="EK90" s="61">
        <v>68881294</v>
      </c>
      <c r="EL90" s="61">
        <v>71278423</v>
      </c>
      <c r="EM90" s="61">
        <v>65091886</v>
      </c>
      <c r="EN90" s="61">
        <v>53559865.999999993</v>
      </c>
      <c r="EO90" s="61">
        <v>107956369.3</v>
      </c>
      <c r="EP90" s="61">
        <v>62724031.499999993</v>
      </c>
      <c r="EQ90" s="61">
        <v>89927599.019999996</v>
      </c>
      <c r="ER90" s="61">
        <v>2045130</v>
      </c>
      <c r="ES90" s="61">
        <v>2577756</v>
      </c>
      <c r="ET90" s="61">
        <v>4807921</v>
      </c>
      <c r="EU90" s="61">
        <v>6689285</v>
      </c>
      <c r="EV90" s="61">
        <v>26380887</v>
      </c>
      <c r="EW90" s="61">
        <v>27338597</v>
      </c>
      <c r="EX90" s="61">
        <v>50185175</v>
      </c>
      <c r="EY90" s="61">
        <v>86025414</v>
      </c>
      <c r="EZ90" s="61">
        <v>90808226</v>
      </c>
      <c r="FA90" s="61">
        <v>100996474</v>
      </c>
      <c r="FB90" s="61">
        <v>120545751</v>
      </c>
      <c r="FC90" s="61">
        <v>96114225</v>
      </c>
      <c r="FD90" s="61">
        <v>85655769</v>
      </c>
      <c r="FE90" s="61">
        <v>84895142.833333328</v>
      </c>
      <c r="FF90" s="61">
        <v>123766273.99933335</v>
      </c>
      <c r="FG90" s="61">
        <v>2155844</v>
      </c>
      <c r="FH90" s="168">
        <v>1394899</v>
      </c>
      <c r="FI90" s="168">
        <v>3470150</v>
      </c>
      <c r="FJ90" s="61">
        <v>7199184</v>
      </c>
      <c r="FK90" s="61">
        <v>34210061</v>
      </c>
      <c r="FL90" s="61">
        <v>33320753</v>
      </c>
      <c r="FM90" s="61">
        <v>76348875</v>
      </c>
      <c r="FN90" s="61">
        <v>73446287</v>
      </c>
      <c r="FO90" s="61">
        <v>81525743</v>
      </c>
      <c r="FP90" s="61">
        <v>96475659</v>
      </c>
      <c r="FQ90" s="61">
        <v>107644084</v>
      </c>
      <c r="FR90" s="61">
        <v>110796841.99999999</v>
      </c>
      <c r="FS90" s="61">
        <v>162647058</v>
      </c>
      <c r="FT90" s="61">
        <v>137899910.83333331</v>
      </c>
      <c r="FU90" s="61">
        <v>129432467.66666666</v>
      </c>
      <c r="FV90" s="61">
        <v>2126339</v>
      </c>
      <c r="FW90" s="61">
        <v>2184613</v>
      </c>
      <c r="FX90" s="61">
        <v>3673429</v>
      </c>
      <c r="FY90" s="61">
        <v>7539151</v>
      </c>
      <c r="FZ90" s="61">
        <v>34684296</v>
      </c>
      <c r="GA90" s="61">
        <v>27318136</v>
      </c>
      <c r="GB90" s="61">
        <v>61306064</v>
      </c>
      <c r="GC90" s="61">
        <v>67491594</v>
      </c>
      <c r="GD90" s="61">
        <v>159241746</v>
      </c>
      <c r="GE90" s="61">
        <v>154394572</v>
      </c>
      <c r="GF90" s="61">
        <v>141718589</v>
      </c>
      <c r="GG90" s="61">
        <v>-9668890</v>
      </c>
      <c r="GH90" s="61">
        <v>174973216.16536671</v>
      </c>
      <c r="GI90" s="61">
        <v>93931039.666666657</v>
      </c>
      <c r="GJ90" s="61">
        <v>179708542.16666666</v>
      </c>
    </row>
  </sheetData>
  <pageMargins left="0.7" right="0.7" top="0.75" bottom="0.75" header="0.3" footer="0.3"/>
  <pageSetup paperSize="9" orientation="portrait" r:id="rId2"/>
  <customProperties>
    <customPr name="Longview.RefreshTimestamp" r:id="rId3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B2B7-0CFC-489F-91F5-EAB4BBD30033}">
  <sheetPr>
    <tabColor rgb="FFFF0000"/>
  </sheetPr>
  <dimension ref="A1:CC112"/>
  <sheetViews>
    <sheetView topLeftCell="D1" zoomScale="90" zoomScaleNormal="90" workbookViewId="0">
      <pane ySplit="11" topLeftCell="A12" activePane="bottomLeft" state="frozen"/>
      <selection activeCell="C9" sqref="C9"/>
      <selection pane="bottomLeft" activeCell="R24" sqref="R24"/>
    </sheetView>
  </sheetViews>
  <sheetFormatPr baseColWidth="10" defaultRowHeight="15" outlineLevelRow="1" outlineLevelCol="1"/>
  <cols>
    <col min="1" max="2" width="11.42578125" style="64" hidden="1" customWidth="1" outlineLevel="1"/>
    <col min="3" max="3" width="17.7109375" style="64" hidden="1" customWidth="1" outlineLevel="1"/>
    <col min="4" max="4" width="36.28515625" style="64" customWidth="1" collapsed="1"/>
    <col min="5" max="5" width="17.42578125" style="64" hidden="1" customWidth="1" outlineLevel="1"/>
    <col min="6" max="16" width="14.140625" style="64" hidden="1" customWidth="1" outlineLevel="1"/>
    <col min="17" max="17" width="15.28515625" style="64" customWidth="1" collapsed="1"/>
    <col min="18" max="18" width="17.42578125" style="64" customWidth="1" outlineLevel="1"/>
    <col min="19" max="30" width="14.140625" style="64" customWidth="1" outlineLevel="1"/>
    <col min="31" max="31" width="17.5703125" style="64" customWidth="1"/>
    <col min="32" max="32" width="15.85546875" style="64" hidden="1" customWidth="1"/>
    <col min="33" max="33" width="13.5703125" style="64" hidden="1" customWidth="1"/>
    <col min="34" max="35" width="13.5703125" style="64" customWidth="1"/>
    <col min="36" max="36" width="132.85546875" customWidth="1"/>
    <col min="37" max="37" width="19.140625" customWidth="1"/>
    <col min="38" max="38" width="11.42578125" style="64" hidden="1" customWidth="1" outlineLevel="1"/>
    <col min="39" max="39" width="14.85546875" style="64" hidden="1" customWidth="1" outlineLevel="1"/>
    <col min="40" max="40" width="17.7109375" style="64" hidden="1" customWidth="1" outlineLevel="1"/>
    <col min="41" max="41" width="35.7109375" style="64" customWidth="1" collapsed="1"/>
    <col min="42" max="42" width="17.42578125" style="64" hidden="1" customWidth="1" outlineLevel="1"/>
    <col min="43" max="53" width="14.140625" style="64" hidden="1" customWidth="1" outlineLevel="1"/>
    <col min="54" max="54" width="16.28515625" style="64" customWidth="1" collapsed="1"/>
    <col min="55" max="55" width="17.42578125" style="64" hidden="1" customWidth="1" outlineLevel="1"/>
    <col min="56" max="66" width="14.140625" style="64" hidden="1" customWidth="1" outlineLevel="1"/>
    <col min="67" max="67" width="15.85546875" style="64" customWidth="1" collapsed="1"/>
    <col min="68" max="68" width="15.85546875" style="64" customWidth="1"/>
    <col min="69" max="70" width="11.5703125" style="64" customWidth="1"/>
    <col min="71" max="71" width="14.7109375" style="64" customWidth="1"/>
    <col min="72" max="72" width="81.140625" bestFit="1" customWidth="1"/>
    <col min="79" max="79" width="15.28515625" bestFit="1" customWidth="1"/>
    <col min="80" max="80" width="13.5703125" customWidth="1"/>
    <col min="81" max="81" width="15.28515625" bestFit="1" customWidth="1"/>
  </cols>
  <sheetData>
    <row r="1" spans="1:81" hidden="1" outlineLevel="1">
      <c r="A1" s="63"/>
      <c r="B1" s="63"/>
      <c r="C1" s="63" t="s">
        <v>511</v>
      </c>
      <c r="D1" s="63" t="s">
        <v>505</v>
      </c>
      <c r="E1" s="63" t="s">
        <v>233</v>
      </c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L1" s="63"/>
      <c r="AM1" s="63"/>
      <c r="AN1" s="63" t="s">
        <v>2597</v>
      </c>
      <c r="AO1" s="63" t="s">
        <v>505</v>
      </c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</row>
    <row r="2" spans="1:81" hidden="1" outlineLevel="1">
      <c r="A2" s="63"/>
      <c r="B2" s="63"/>
      <c r="C2" s="63" t="s">
        <v>879</v>
      </c>
      <c r="D2" s="63" t="s">
        <v>587</v>
      </c>
      <c r="E2" s="63" t="s">
        <v>513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 t="s">
        <v>2666</v>
      </c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 t="s">
        <v>2598</v>
      </c>
      <c r="AF2" s="63"/>
      <c r="AG2" s="63"/>
      <c r="AH2" s="63"/>
      <c r="AI2" s="63"/>
      <c r="AL2" s="63"/>
      <c r="AM2" s="63"/>
      <c r="AN2" s="63" t="s">
        <v>879</v>
      </c>
      <c r="AO2" s="63" t="s">
        <v>2669</v>
      </c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 t="s">
        <v>2666</v>
      </c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 t="s">
        <v>2598</v>
      </c>
      <c r="BP2" s="63"/>
      <c r="BQ2" s="63"/>
      <c r="BR2" s="63"/>
      <c r="BS2" s="63"/>
    </row>
    <row r="3" spans="1:81" hidden="1" outlineLevel="1">
      <c r="A3" s="63"/>
      <c r="B3" s="63"/>
      <c r="C3" s="161" t="s">
        <v>2651</v>
      </c>
      <c r="D3" s="63" t="s">
        <v>2652</v>
      </c>
      <c r="E3" s="63" t="s">
        <v>2654</v>
      </c>
      <c r="F3" s="63" t="s">
        <v>2655</v>
      </c>
      <c r="G3" s="63" t="s">
        <v>2656</v>
      </c>
      <c r="H3" s="63" t="s">
        <v>2657</v>
      </c>
      <c r="I3" s="63" t="s">
        <v>2658</v>
      </c>
      <c r="J3" s="63" t="s">
        <v>2659</v>
      </c>
      <c r="K3" s="63" t="s">
        <v>2660</v>
      </c>
      <c r="L3" s="63" t="s">
        <v>2661</v>
      </c>
      <c r="M3" s="63" t="s">
        <v>2662</v>
      </c>
      <c r="N3" s="63" t="s">
        <v>2663</v>
      </c>
      <c r="O3" s="63" t="s">
        <v>2664</v>
      </c>
      <c r="P3" s="63" t="s">
        <v>2665</v>
      </c>
      <c r="Q3" s="63" t="s">
        <v>2665</v>
      </c>
      <c r="R3" s="63" t="s">
        <v>590</v>
      </c>
      <c r="S3" s="63" t="s">
        <v>591</v>
      </c>
      <c r="T3" s="63" t="s">
        <v>592</v>
      </c>
      <c r="U3" s="63" t="s">
        <v>593</v>
      </c>
      <c r="V3" s="63" t="s">
        <v>594</v>
      </c>
      <c r="W3" s="63" t="s">
        <v>595</v>
      </c>
      <c r="X3" s="63" t="s">
        <v>596</v>
      </c>
      <c r="Y3" s="63" t="s">
        <v>597</v>
      </c>
      <c r="Z3" s="63" t="s">
        <v>598</v>
      </c>
      <c r="AA3" s="63" t="s">
        <v>599</v>
      </c>
      <c r="AB3" s="63" t="s">
        <v>600</v>
      </c>
      <c r="AC3" s="63" t="s">
        <v>601</v>
      </c>
      <c r="AD3" s="63"/>
      <c r="AE3" s="63" t="s">
        <v>601</v>
      </c>
      <c r="AF3" s="63"/>
      <c r="AG3" s="63"/>
      <c r="AH3" s="63"/>
      <c r="AI3" s="63"/>
      <c r="AL3" s="63"/>
      <c r="AM3" s="63"/>
      <c r="AN3" s="161" t="s">
        <v>2651</v>
      </c>
      <c r="AO3" s="63" t="s">
        <v>2630</v>
      </c>
      <c r="AP3" s="63" t="s">
        <v>2654</v>
      </c>
      <c r="AQ3" s="63" t="s">
        <v>2655</v>
      </c>
      <c r="AR3" s="63" t="s">
        <v>2656</v>
      </c>
      <c r="AS3" s="63" t="s">
        <v>2657</v>
      </c>
      <c r="AT3" s="63" t="s">
        <v>2658</v>
      </c>
      <c r="AU3" s="63" t="s">
        <v>2659</v>
      </c>
      <c r="AV3" s="63" t="s">
        <v>2660</v>
      </c>
      <c r="AW3" s="63" t="s">
        <v>2661</v>
      </c>
      <c r="AX3" s="63" t="s">
        <v>2662</v>
      </c>
      <c r="AY3" s="63" t="s">
        <v>2663</v>
      </c>
      <c r="AZ3" s="63" t="s">
        <v>2664</v>
      </c>
      <c r="BA3" s="63" t="s">
        <v>2665</v>
      </c>
      <c r="BB3" s="63" t="s">
        <v>2665</v>
      </c>
      <c r="BC3" s="63" t="s">
        <v>590</v>
      </c>
      <c r="BD3" s="63" t="s">
        <v>591</v>
      </c>
      <c r="BE3" s="63" t="s">
        <v>592</v>
      </c>
      <c r="BF3" s="63" t="s">
        <v>593</v>
      </c>
      <c r="BG3" s="63" t="s">
        <v>594</v>
      </c>
      <c r="BH3" s="63" t="s">
        <v>595</v>
      </c>
      <c r="BI3" s="63" t="s">
        <v>596</v>
      </c>
      <c r="BJ3" s="63" t="s">
        <v>597</v>
      </c>
      <c r="BK3" s="63" t="s">
        <v>598</v>
      </c>
      <c r="BL3" s="63" t="s">
        <v>599</v>
      </c>
      <c r="BM3" s="63" t="s">
        <v>600</v>
      </c>
      <c r="BN3" s="63" t="s">
        <v>601</v>
      </c>
      <c r="BO3" s="63" t="s">
        <v>601</v>
      </c>
      <c r="BP3" s="63"/>
      <c r="BQ3" s="63"/>
      <c r="BR3" s="63"/>
      <c r="BS3" s="63"/>
    </row>
    <row r="4" spans="1:81" hidden="1" outlineLevel="1">
      <c r="A4" s="63"/>
      <c r="B4" s="63" t="s">
        <v>515</v>
      </c>
      <c r="C4" s="63" t="s">
        <v>588</v>
      </c>
      <c r="D4" s="63" t="s">
        <v>516</v>
      </c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L4" s="63"/>
      <c r="AM4" s="63" t="s">
        <v>515</v>
      </c>
      <c r="AN4" s="63" t="s">
        <v>516</v>
      </c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63"/>
    </row>
    <row r="5" spans="1:81" hidden="1" outlineLevel="1">
      <c r="A5" s="63"/>
      <c r="B5" s="63" t="s">
        <v>517</v>
      </c>
      <c r="C5" s="63" t="s">
        <v>506</v>
      </c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L5" s="63"/>
      <c r="AM5" s="63" t="s">
        <v>517</v>
      </c>
      <c r="AN5" s="63" t="s">
        <v>506</v>
      </c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  <c r="BR5" s="63"/>
      <c r="BS5" s="63"/>
    </row>
    <row r="6" spans="1:81" hidden="1" outlineLevel="1">
      <c r="A6" s="63"/>
      <c r="B6" s="63" t="s">
        <v>518</v>
      </c>
      <c r="C6" s="63" t="s">
        <v>507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L6" s="63"/>
      <c r="AM6" s="63" t="s">
        <v>518</v>
      </c>
      <c r="AN6" s="63" t="s">
        <v>507</v>
      </c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</row>
    <row r="7" spans="1:81" hidden="1" outlineLevel="1">
      <c r="A7" s="63"/>
      <c r="B7" s="63" t="s">
        <v>519</v>
      </c>
      <c r="C7" s="63" t="s">
        <v>508</v>
      </c>
      <c r="D7" s="63"/>
      <c r="E7" s="24" t="s">
        <v>235</v>
      </c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24" t="s">
        <v>235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L7" s="63"/>
      <c r="AM7" s="63" t="s">
        <v>519</v>
      </c>
      <c r="AN7" s="63" t="s">
        <v>508</v>
      </c>
      <c r="AO7" s="63"/>
      <c r="AP7" s="24" t="s">
        <v>235</v>
      </c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24" t="s">
        <v>235</v>
      </c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</row>
    <row r="8" spans="1:81" hidden="1" outlineLevel="1">
      <c r="A8" s="63"/>
      <c r="B8" s="63" t="s">
        <v>520</v>
      </c>
      <c r="C8" s="63" t="s">
        <v>509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L8" s="63"/>
      <c r="AM8" s="63" t="s">
        <v>520</v>
      </c>
      <c r="AN8" s="63" t="s">
        <v>509</v>
      </c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</row>
    <row r="9" spans="1:81" ht="15.75" collapsed="1" thickBot="1">
      <c r="C9" s="80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260" t="s">
        <v>2801</v>
      </c>
      <c r="AI9" s="63"/>
      <c r="AN9" s="80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63"/>
      <c r="BR9" s="63"/>
      <c r="BS9" s="63"/>
    </row>
    <row r="10" spans="1:81" ht="107.25" customHeight="1" thickBot="1">
      <c r="A10" s="65"/>
      <c r="B10" s="65"/>
      <c r="C10" s="65"/>
      <c r="D10" s="83" t="s">
        <v>2704</v>
      </c>
      <c r="E10" s="85" t="s">
        <v>2772</v>
      </c>
      <c r="F10" s="85" t="s">
        <v>2773</v>
      </c>
      <c r="G10" s="85" t="s">
        <v>2774</v>
      </c>
      <c r="H10" s="85" t="s">
        <v>2775</v>
      </c>
      <c r="I10" s="85" t="s">
        <v>2776</v>
      </c>
      <c r="J10" s="85" t="s">
        <v>2777</v>
      </c>
      <c r="K10" s="85" t="s">
        <v>2778</v>
      </c>
      <c r="L10" s="85" t="s">
        <v>2779</v>
      </c>
      <c r="M10" s="85" t="s">
        <v>2780</v>
      </c>
      <c r="N10" s="85" t="s">
        <v>2781</v>
      </c>
      <c r="O10" s="85" t="s">
        <v>2782</v>
      </c>
      <c r="P10" s="85" t="s">
        <v>2783</v>
      </c>
      <c r="Q10" s="85" t="s">
        <v>2784</v>
      </c>
      <c r="R10" s="85" t="s">
        <v>2785</v>
      </c>
      <c r="S10" s="85" t="s">
        <v>2786</v>
      </c>
      <c r="T10" s="85" t="s">
        <v>2787</v>
      </c>
      <c r="U10" s="85" t="s">
        <v>2788</v>
      </c>
      <c r="V10" s="85" t="s">
        <v>2789</v>
      </c>
      <c r="W10" s="85" t="s">
        <v>2790</v>
      </c>
      <c r="X10" s="85" t="s">
        <v>2791</v>
      </c>
      <c r="Y10" s="85" t="s">
        <v>2792</v>
      </c>
      <c r="Z10" s="85" t="s">
        <v>2793</v>
      </c>
      <c r="AA10" s="85" t="s">
        <v>2794</v>
      </c>
      <c r="AB10" s="85" t="s">
        <v>2795</v>
      </c>
      <c r="AC10" s="85" t="s">
        <v>2796</v>
      </c>
      <c r="AD10" s="85" t="s">
        <v>2803</v>
      </c>
      <c r="AE10" s="283" t="s">
        <v>2802</v>
      </c>
      <c r="AF10" s="774"/>
      <c r="AG10" s="774"/>
      <c r="AH10" s="774" t="s">
        <v>2805</v>
      </c>
      <c r="AI10" s="774" t="s">
        <v>2804</v>
      </c>
      <c r="AJ10" s="772" t="s">
        <v>2667</v>
      </c>
      <c r="AL10" s="65"/>
      <c r="AM10" s="65"/>
      <c r="AN10" s="65"/>
      <c r="AO10" s="83" t="s">
        <v>2749</v>
      </c>
      <c r="AP10" s="85" t="s">
        <v>2772</v>
      </c>
      <c r="AQ10" s="85" t="s">
        <v>2773</v>
      </c>
      <c r="AR10" s="85" t="s">
        <v>2774</v>
      </c>
      <c r="AS10" s="85" t="s">
        <v>2775</v>
      </c>
      <c r="AT10" s="85" t="s">
        <v>2776</v>
      </c>
      <c r="AU10" s="85" t="s">
        <v>2777</v>
      </c>
      <c r="AV10" s="85" t="s">
        <v>2778</v>
      </c>
      <c r="AW10" s="85" t="s">
        <v>2779</v>
      </c>
      <c r="AX10" s="85" t="s">
        <v>2780</v>
      </c>
      <c r="AY10" s="85" t="s">
        <v>2781</v>
      </c>
      <c r="AZ10" s="85" t="s">
        <v>2782</v>
      </c>
      <c r="BA10" s="85" t="s">
        <v>2783</v>
      </c>
      <c r="BB10" s="85" t="s">
        <v>2784</v>
      </c>
      <c r="BC10" s="85" t="s">
        <v>2785</v>
      </c>
      <c r="BD10" s="85" t="s">
        <v>2786</v>
      </c>
      <c r="BE10" s="85" t="s">
        <v>2787</v>
      </c>
      <c r="BF10" s="85" t="s">
        <v>2788</v>
      </c>
      <c r="BG10" s="85" t="s">
        <v>2789</v>
      </c>
      <c r="BH10" s="85" t="s">
        <v>2790</v>
      </c>
      <c r="BI10" s="85" t="s">
        <v>2791</v>
      </c>
      <c r="BJ10" s="85" t="s">
        <v>2792</v>
      </c>
      <c r="BK10" s="85" t="s">
        <v>2793</v>
      </c>
      <c r="BL10" s="85" t="s">
        <v>2794</v>
      </c>
      <c r="BM10" s="85" t="s">
        <v>2795</v>
      </c>
      <c r="BN10" s="85" t="s">
        <v>2796</v>
      </c>
      <c r="BO10" s="85" t="s">
        <v>2797</v>
      </c>
      <c r="BP10" s="776" t="s">
        <v>2735</v>
      </c>
      <c r="BQ10" s="219" t="s">
        <v>2737</v>
      </c>
      <c r="BR10" s="220" t="s">
        <v>2738</v>
      </c>
      <c r="BS10" s="774" t="s">
        <v>2674</v>
      </c>
      <c r="BT10" s="772" t="s">
        <v>2667</v>
      </c>
      <c r="BV10" t="s">
        <v>2706</v>
      </c>
      <c r="BW10" t="s">
        <v>2707</v>
      </c>
      <c r="BX10" t="s">
        <v>2708</v>
      </c>
      <c r="BY10" t="s">
        <v>2709</v>
      </c>
      <c r="CA10" s="206" t="s">
        <v>2710</v>
      </c>
      <c r="CB10" s="206" t="s">
        <v>2711</v>
      </c>
      <c r="CC10" s="206" t="s">
        <v>2712</v>
      </c>
    </row>
    <row r="11" spans="1:81" ht="39" outlineLevel="1" thickBot="1">
      <c r="A11" s="88" t="s">
        <v>523</v>
      </c>
      <c r="B11" s="88" t="s">
        <v>829</v>
      </c>
      <c r="C11" s="89" t="s">
        <v>524</v>
      </c>
      <c r="D11" s="89" t="s">
        <v>278</v>
      </c>
      <c r="E11" s="85" t="s">
        <v>2798</v>
      </c>
      <c r="F11" s="85" t="s">
        <v>2798</v>
      </c>
      <c r="G11" s="85" t="s">
        <v>2798</v>
      </c>
      <c r="H11" s="85" t="s">
        <v>2798</v>
      </c>
      <c r="I11" s="85" t="s">
        <v>2798</v>
      </c>
      <c r="J11" s="85" t="s">
        <v>2798</v>
      </c>
      <c r="K11" s="85" t="s">
        <v>2798</v>
      </c>
      <c r="L11" s="85" t="s">
        <v>2798</v>
      </c>
      <c r="M11" s="85" t="s">
        <v>2798</v>
      </c>
      <c r="N11" s="85" t="s">
        <v>2798</v>
      </c>
      <c r="O11" s="85" t="s">
        <v>2798</v>
      </c>
      <c r="P11" s="85" t="s">
        <v>2798</v>
      </c>
      <c r="Q11" s="85" t="s">
        <v>2798</v>
      </c>
      <c r="R11" s="85" t="s">
        <v>2798</v>
      </c>
      <c r="S11" s="85" t="s">
        <v>2798</v>
      </c>
      <c r="T11" s="85" t="s">
        <v>2798</v>
      </c>
      <c r="U11" s="85" t="s">
        <v>2798</v>
      </c>
      <c r="V11" s="85" t="s">
        <v>2798</v>
      </c>
      <c r="W11" s="85" t="s">
        <v>2798</v>
      </c>
      <c r="X11" s="85" t="s">
        <v>2798</v>
      </c>
      <c r="Y11" s="85" t="s">
        <v>2798</v>
      </c>
      <c r="Z11" s="85" t="s">
        <v>2798</v>
      </c>
      <c r="AA11" s="85" t="s">
        <v>2798</v>
      </c>
      <c r="AB11" s="85" t="s">
        <v>2798</v>
      </c>
      <c r="AC11" s="85" t="s">
        <v>2798</v>
      </c>
      <c r="AD11" s="85"/>
      <c r="AE11" s="85" t="s">
        <v>2798</v>
      </c>
      <c r="AF11" s="775"/>
      <c r="AG11" s="775"/>
      <c r="AH11" s="775"/>
      <c r="AI11" s="775"/>
      <c r="AJ11" s="773"/>
      <c r="AL11" s="88" t="s">
        <v>523</v>
      </c>
      <c r="AM11" s="88" t="s">
        <v>829</v>
      </c>
      <c r="AN11" s="89" t="s">
        <v>524</v>
      </c>
      <c r="AO11" s="89" t="s">
        <v>278</v>
      </c>
      <c r="AP11" s="85" t="s">
        <v>2799</v>
      </c>
      <c r="AQ11" s="85" t="s">
        <v>2799</v>
      </c>
      <c r="AR11" s="85" t="s">
        <v>2799</v>
      </c>
      <c r="AS11" s="85" t="s">
        <v>2799</v>
      </c>
      <c r="AT11" s="85" t="s">
        <v>2799</v>
      </c>
      <c r="AU11" s="85" t="s">
        <v>2799</v>
      </c>
      <c r="AV11" s="85" t="s">
        <v>2799</v>
      </c>
      <c r="AW11" s="85" t="s">
        <v>2799</v>
      </c>
      <c r="AX11" s="85" t="s">
        <v>2799</v>
      </c>
      <c r="AY11" s="85" t="s">
        <v>2799</v>
      </c>
      <c r="AZ11" s="85" t="s">
        <v>2799</v>
      </c>
      <c r="BA11" s="85" t="s">
        <v>2799</v>
      </c>
      <c r="BB11" s="85" t="s">
        <v>2799</v>
      </c>
      <c r="BC11" s="85" t="s">
        <v>2799</v>
      </c>
      <c r="BD11" s="85" t="s">
        <v>2799</v>
      </c>
      <c r="BE11" s="85" t="s">
        <v>2799</v>
      </c>
      <c r="BF11" s="85" t="s">
        <v>2799</v>
      </c>
      <c r="BG11" s="85" t="s">
        <v>2799</v>
      </c>
      <c r="BH11" s="85" t="s">
        <v>2799</v>
      </c>
      <c r="BI11" s="85" t="s">
        <v>2799</v>
      </c>
      <c r="BJ11" s="85" t="s">
        <v>2799</v>
      </c>
      <c r="BK11" s="85" t="s">
        <v>2799</v>
      </c>
      <c r="BL11" s="85" t="s">
        <v>2799</v>
      </c>
      <c r="BM11" s="85" t="s">
        <v>2799</v>
      </c>
      <c r="BN11" s="85" t="s">
        <v>2799</v>
      </c>
      <c r="BO11" s="85" t="s">
        <v>2799</v>
      </c>
      <c r="BP11" s="777"/>
      <c r="BQ11" s="215"/>
      <c r="BR11" s="216"/>
      <c r="BS11" s="775"/>
      <c r="BT11" s="773"/>
    </row>
    <row r="12" spans="1:81">
      <c r="B12" s="64" t="s">
        <v>406</v>
      </c>
      <c r="C12" s="64" t="s">
        <v>406</v>
      </c>
      <c r="D12" s="192" t="s">
        <v>526</v>
      </c>
      <c r="E12" s="172">
        <v>1583.174</v>
      </c>
      <c r="F12" s="172">
        <v>1553.271</v>
      </c>
      <c r="G12" s="172">
        <v>1904.039</v>
      </c>
      <c r="H12" s="172">
        <v>1566.855</v>
      </c>
      <c r="I12" s="172">
        <v>1496.0150000000001</v>
      </c>
      <c r="J12" s="172">
        <v>984.32100000000003</v>
      </c>
      <c r="K12" s="172">
        <v>936.803</v>
      </c>
      <c r="L12" s="172">
        <v>986.63199999999995</v>
      </c>
      <c r="M12" s="172">
        <v>1178.066</v>
      </c>
      <c r="N12" s="172">
        <v>1724.085</v>
      </c>
      <c r="O12" s="172">
        <v>1579.3019999999999</v>
      </c>
      <c r="P12" s="172">
        <v>1715.135</v>
      </c>
      <c r="Q12" s="172">
        <v>17207.698</v>
      </c>
      <c r="R12" s="172">
        <v>1596.9739999999999</v>
      </c>
      <c r="S12" s="172">
        <v>1514.0329999999999</v>
      </c>
      <c r="T12" s="172">
        <v>1903.001</v>
      </c>
      <c r="U12" s="172">
        <v>1583.6020000000001</v>
      </c>
      <c r="V12" s="172">
        <v>1455.1569999999999</v>
      </c>
      <c r="W12" s="172">
        <v>958.40099999999995</v>
      </c>
      <c r="X12" s="172">
        <v>902.68299999999999</v>
      </c>
      <c r="Y12" s="172">
        <v>964.81399999999996</v>
      </c>
      <c r="Z12" s="172">
        <v>1151.6510000000001</v>
      </c>
      <c r="AA12" s="172">
        <v>1705.1210000000001</v>
      </c>
      <c r="AB12" s="172">
        <v>1586.963</v>
      </c>
      <c r="AC12" s="172">
        <v>1698.53</v>
      </c>
      <c r="AD12" s="172"/>
      <c r="AE12" s="276">
        <v>17020.93</v>
      </c>
      <c r="AF12" s="172"/>
      <c r="AG12" s="193"/>
      <c r="AH12" s="181" t="e">
        <f>AE12-#REF!</f>
        <v>#REF!</v>
      </c>
      <c r="AI12" s="181" t="e">
        <f t="shared" ref="AI12:AI23" si="0">AH12*BW12</f>
        <v>#REF!</v>
      </c>
      <c r="AJ12" s="172" t="s">
        <v>2713</v>
      </c>
      <c r="AM12" s="64" t="s">
        <v>406</v>
      </c>
      <c r="AN12" s="64" t="s">
        <v>406</v>
      </c>
      <c r="AO12" s="192" t="s">
        <v>526</v>
      </c>
      <c r="AP12" s="172">
        <v>85.364742079999999</v>
      </c>
      <c r="AQ12" s="172">
        <v>78.222727559999996</v>
      </c>
      <c r="AR12" s="172">
        <v>75.304742450000006</v>
      </c>
      <c r="AS12" s="172">
        <v>50.766101999999997</v>
      </c>
      <c r="AT12" s="172">
        <v>44.431645500000002</v>
      </c>
      <c r="AU12" s="172">
        <v>29.234333700000001</v>
      </c>
      <c r="AV12" s="172">
        <v>28.65680377</v>
      </c>
      <c r="AW12" s="172">
        <v>30.181072879999999</v>
      </c>
      <c r="AX12" s="172">
        <v>36.037038939999995</v>
      </c>
      <c r="AY12" s="172">
        <v>72.204679799999994</v>
      </c>
      <c r="AZ12" s="172">
        <v>66.141167760000002</v>
      </c>
      <c r="BA12" s="172">
        <v>71.829853799999995</v>
      </c>
      <c r="BB12" s="172">
        <v>668.37491023999996</v>
      </c>
      <c r="BC12" s="172">
        <v>76.012768452000003</v>
      </c>
      <c r="BD12" s="172">
        <v>76.473806830000001</v>
      </c>
      <c r="BE12" s="172">
        <v>77.549193751000004</v>
      </c>
      <c r="BF12" s="172">
        <v>59.247301626000002</v>
      </c>
      <c r="BG12" s="172">
        <v>44.981813183999996</v>
      </c>
      <c r="BH12" s="172">
        <v>29.937572037000002</v>
      </c>
      <c r="BI12" s="172">
        <v>30.758020541999997</v>
      </c>
      <c r="BJ12" s="172">
        <v>31.731767646000002</v>
      </c>
      <c r="BK12" s="172">
        <v>45.836861450999997</v>
      </c>
      <c r="BL12" s="172">
        <v>81.184221051999998</v>
      </c>
      <c r="BM12" s="172">
        <v>80.946221741000002</v>
      </c>
      <c r="BN12" s="172">
        <v>80.865314769999998</v>
      </c>
      <c r="BO12" s="172">
        <v>715.52486308200002</v>
      </c>
      <c r="BP12" s="214">
        <v>47.149952842000062</v>
      </c>
      <c r="BQ12" s="217">
        <v>-7.8513422961083208</v>
      </c>
      <c r="BR12" s="218">
        <v>55.001295138108375</v>
      </c>
      <c r="BS12" s="193">
        <v>7.0544169327166228E-2</v>
      </c>
      <c r="BT12" s="172" t="s">
        <v>2693</v>
      </c>
      <c r="BV12" s="198">
        <v>38.841622524988523</v>
      </c>
      <c r="BW12" s="198">
        <v>42.037941703655441</v>
      </c>
      <c r="BX12" s="198">
        <v>3.1963191786669185</v>
      </c>
      <c r="BY12" s="199">
        <v>8.2291082886936193E-2</v>
      </c>
      <c r="CA12" s="200">
        <v>-7.8513422961083208</v>
      </c>
      <c r="CB12" s="200">
        <v>55.001295138108375</v>
      </c>
      <c r="CC12" s="200">
        <v>47.149952842000054</v>
      </c>
    </row>
    <row r="13" spans="1:81">
      <c r="B13" s="64" t="s">
        <v>250</v>
      </c>
      <c r="C13" s="64" t="s">
        <v>250</v>
      </c>
      <c r="D13" s="192" t="s">
        <v>527</v>
      </c>
      <c r="E13" s="172">
        <v>915.029</v>
      </c>
      <c r="F13" s="172">
        <v>978.3</v>
      </c>
      <c r="G13" s="172">
        <v>1074.278</v>
      </c>
      <c r="H13" s="172">
        <v>941.50099999999998</v>
      </c>
      <c r="I13" s="172">
        <v>993.71299999999997</v>
      </c>
      <c r="J13" s="172">
        <v>571.16800000000001</v>
      </c>
      <c r="K13" s="172">
        <v>599.65599999999995</v>
      </c>
      <c r="L13" s="172">
        <v>577.17700000000002</v>
      </c>
      <c r="M13" s="172">
        <v>669.68899999999996</v>
      </c>
      <c r="N13" s="172">
        <v>1047.0219999999999</v>
      </c>
      <c r="O13" s="172">
        <v>1048.9380000000001</v>
      </c>
      <c r="P13" s="172">
        <v>1126.8050000000001</v>
      </c>
      <c r="Q13" s="172">
        <v>10543.276</v>
      </c>
      <c r="R13" s="172">
        <v>935.45500000000004</v>
      </c>
      <c r="S13" s="172">
        <v>931.30200000000002</v>
      </c>
      <c r="T13" s="172">
        <v>1086.098</v>
      </c>
      <c r="U13" s="172">
        <v>974.55600000000004</v>
      </c>
      <c r="V13" s="172">
        <v>964.06</v>
      </c>
      <c r="W13" s="172">
        <v>558.44600000000003</v>
      </c>
      <c r="X13" s="172">
        <v>566.43700000000001</v>
      </c>
      <c r="Y13" s="172">
        <v>545.755</v>
      </c>
      <c r="Z13" s="172">
        <v>648.69399999999996</v>
      </c>
      <c r="AA13" s="172">
        <v>1030.6389999999999</v>
      </c>
      <c r="AB13" s="172">
        <v>1045.8869999999999</v>
      </c>
      <c r="AC13" s="172">
        <v>1083.328</v>
      </c>
      <c r="AD13" s="172"/>
      <c r="AE13" s="276">
        <v>10370.656999999999</v>
      </c>
      <c r="AF13" s="172"/>
      <c r="AG13" s="193"/>
      <c r="AH13" s="181" t="e">
        <f>AE13-#REF!</f>
        <v>#REF!</v>
      </c>
      <c r="AI13" s="181" t="e">
        <f t="shared" si="0"/>
        <v>#REF!</v>
      </c>
      <c r="AJ13" s="172" t="s">
        <v>2713</v>
      </c>
      <c r="AM13" s="64" t="s">
        <v>250</v>
      </c>
      <c r="AN13" s="64" t="s">
        <v>250</v>
      </c>
      <c r="AO13" s="192" t="s">
        <v>527</v>
      </c>
      <c r="AP13" s="172">
        <v>82.434962609999999</v>
      </c>
      <c r="AQ13" s="172">
        <v>88.135047</v>
      </c>
      <c r="AR13" s="172">
        <v>96.78170501999999</v>
      </c>
      <c r="AS13" s="172">
        <v>84.819825089999995</v>
      </c>
      <c r="AT13" s="172">
        <v>89.523604170000013</v>
      </c>
      <c r="AU13" s="172">
        <v>51.456525119999995</v>
      </c>
      <c r="AV13" s="172">
        <v>54.023009039999998</v>
      </c>
      <c r="AW13" s="172">
        <v>51.997875929999999</v>
      </c>
      <c r="AX13" s="172">
        <v>60.33228201</v>
      </c>
      <c r="AY13" s="172">
        <v>94.326211979999997</v>
      </c>
      <c r="AZ13" s="172">
        <v>95.065250939999999</v>
      </c>
      <c r="BA13" s="172">
        <v>102.12233715000001</v>
      </c>
      <c r="BB13" s="172">
        <v>951.01863606000006</v>
      </c>
      <c r="BC13" s="172">
        <v>85.55671430000001</v>
      </c>
      <c r="BD13" s="172">
        <v>85.176880920000002</v>
      </c>
      <c r="BE13" s="172">
        <v>99.334523079999997</v>
      </c>
      <c r="BF13" s="172">
        <v>89.132891759999993</v>
      </c>
      <c r="BG13" s="172">
        <v>88.172927599999994</v>
      </c>
      <c r="BH13" s="172">
        <v>51.075471159999999</v>
      </c>
      <c r="BI13" s="172">
        <v>51.806328020000002</v>
      </c>
      <c r="BJ13" s="172">
        <v>49.914752300000004</v>
      </c>
      <c r="BK13" s="172">
        <v>59.329553240000003</v>
      </c>
      <c r="BL13" s="172">
        <v>94.262242939999993</v>
      </c>
      <c r="BM13" s="172">
        <v>96.918164741999988</v>
      </c>
      <c r="BN13" s="172">
        <v>100.387672448</v>
      </c>
      <c r="BO13" s="172">
        <v>951.06812250999997</v>
      </c>
      <c r="BP13" s="214">
        <v>4.9486449999903925E-2</v>
      </c>
      <c r="BQ13" s="217">
        <v>-15.830475180073382</v>
      </c>
      <c r="BR13" s="218">
        <v>15.87996163007324</v>
      </c>
      <c r="BS13" s="193">
        <v>5.203520532992556E-5</v>
      </c>
      <c r="BT13" s="172" t="s">
        <v>2679</v>
      </c>
      <c r="BV13" s="198">
        <v>90.201436067878731</v>
      </c>
      <c r="BW13" s="198">
        <v>91.707605652178074</v>
      </c>
      <c r="BX13" s="198">
        <v>1.506169584299343</v>
      </c>
      <c r="BY13" s="199">
        <v>1.6697844845462488E-2</v>
      </c>
      <c r="CA13" s="200">
        <v>-15.830475180073382</v>
      </c>
      <c r="CB13" s="200">
        <v>15.87996163007324</v>
      </c>
      <c r="CC13" s="200">
        <v>4.948644999985774E-2</v>
      </c>
    </row>
    <row r="14" spans="1:81">
      <c r="B14" s="64" t="s">
        <v>409</v>
      </c>
      <c r="C14" s="64" t="s">
        <v>409</v>
      </c>
      <c r="D14" s="192" t="s">
        <v>284</v>
      </c>
      <c r="E14" s="172">
        <v>864.34500000000003</v>
      </c>
      <c r="F14" s="172">
        <v>671.08100000000002</v>
      </c>
      <c r="G14" s="172">
        <v>642.77599999999995</v>
      </c>
      <c r="H14" s="172">
        <v>380.303</v>
      </c>
      <c r="I14" s="172">
        <v>416.12</v>
      </c>
      <c r="J14" s="172">
        <v>320.69600000000003</v>
      </c>
      <c r="K14" s="172">
        <v>348.00099999999998</v>
      </c>
      <c r="L14" s="172">
        <v>350.52199999999999</v>
      </c>
      <c r="M14" s="172">
        <v>349.09800000000001</v>
      </c>
      <c r="N14" s="172">
        <v>543.75300000000004</v>
      </c>
      <c r="O14" s="172">
        <v>667.78200000000004</v>
      </c>
      <c r="P14" s="172">
        <v>787.54300000000001</v>
      </c>
      <c r="Q14" s="172">
        <v>6342.02</v>
      </c>
      <c r="R14" s="172">
        <v>873.27099999999996</v>
      </c>
      <c r="S14" s="172">
        <v>666.36</v>
      </c>
      <c r="T14" s="172">
        <v>644.654</v>
      </c>
      <c r="U14" s="172">
        <v>386.964</v>
      </c>
      <c r="V14" s="172">
        <v>403.01900000000001</v>
      </c>
      <c r="W14" s="172">
        <v>313.34100000000001</v>
      </c>
      <c r="X14" s="172">
        <v>335.95299999999997</v>
      </c>
      <c r="Y14" s="172">
        <v>345.72399999999999</v>
      </c>
      <c r="Z14" s="172">
        <v>348.18299999999999</v>
      </c>
      <c r="AA14" s="172">
        <v>528.02</v>
      </c>
      <c r="AB14" s="172">
        <v>680.577</v>
      </c>
      <c r="AC14" s="172">
        <v>815.36900000000003</v>
      </c>
      <c r="AD14" s="172"/>
      <c r="AE14" s="276">
        <v>6341.4350000000004</v>
      </c>
      <c r="AF14" s="172"/>
      <c r="AG14" s="193"/>
      <c r="AH14" s="181" t="e">
        <f>AE14-#REF!</f>
        <v>#REF!</v>
      </c>
      <c r="AI14" s="181" t="e">
        <f t="shared" si="0"/>
        <v>#REF!</v>
      </c>
      <c r="AJ14" s="172" t="s">
        <v>2713</v>
      </c>
      <c r="AM14" s="64" t="s">
        <v>409</v>
      </c>
      <c r="AN14" s="64" t="s">
        <v>409</v>
      </c>
      <c r="AO14" s="192" t="s">
        <v>284</v>
      </c>
      <c r="AP14" s="172">
        <v>86.624655899999993</v>
      </c>
      <c r="AQ14" s="172">
        <v>67.255737819999993</v>
      </c>
      <c r="AR14" s="172">
        <v>64.419010720000003</v>
      </c>
      <c r="AS14" s="172">
        <v>38.113966659999996</v>
      </c>
      <c r="AT14" s="172">
        <v>41.7035464</v>
      </c>
      <c r="AU14" s="172">
        <v>32.140153120000001</v>
      </c>
      <c r="AV14" s="172">
        <v>34.876660219999998</v>
      </c>
      <c r="AW14" s="172">
        <v>35.129314839999999</v>
      </c>
      <c r="AX14" s="172">
        <v>34.986601560000004</v>
      </c>
      <c r="AY14" s="172">
        <v>54.49492566</v>
      </c>
      <c r="AZ14" s="172">
        <v>67.325781239999998</v>
      </c>
      <c r="BA14" s="172">
        <v>32.982300840000001</v>
      </c>
      <c r="BB14" s="172">
        <v>590.05265497999994</v>
      </c>
      <c r="BC14" s="172">
        <v>41.565953057999998</v>
      </c>
      <c r="BD14" s="172">
        <v>33.6578436</v>
      </c>
      <c r="BE14" s="172">
        <v>26.270295153999999</v>
      </c>
      <c r="BF14" s="172">
        <v>14.477484131999999</v>
      </c>
      <c r="BG14" s="172">
        <v>12.458123327999999</v>
      </c>
      <c r="BH14" s="172">
        <v>9.787832817</v>
      </c>
      <c r="BI14" s="172">
        <v>11.447262522000001</v>
      </c>
      <c r="BJ14" s="172">
        <v>11.370516636</v>
      </c>
      <c r="BK14" s="172">
        <v>13.858031583000001</v>
      </c>
      <c r="BL14" s="172">
        <v>25.140088240000001</v>
      </c>
      <c r="BM14" s="172">
        <v>34.714191038999999</v>
      </c>
      <c r="BN14" s="172">
        <v>38.818902721000001</v>
      </c>
      <c r="BO14" s="172">
        <v>273.56652482999999</v>
      </c>
      <c r="BP14" s="214">
        <v>-316.48613014999995</v>
      </c>
      <c r="BQ14" s="217">
        <v>-2.5236624995061834E-2</v>
      </c>
      <c r="BR14" s="218">
        <v>-316.46089352500485</v>
      </c>
      <c r="BS14" s="193">
        <v>-0.53636930107657488</v>
      </c>
      <c r="BT14" s="172" t="s">
        <v>2670</v>
      </c>
      <c r="BV14" s="198">
        <v>93.038598897512131</v>
      </c>
      <c r="BW14" s="198">
        <v>43.139529906085926</v>
      </c>
      <c r="BX14" s="198">
        <v>-49.899068991426205</v>
      </c>
      <c r="BY14" s="199">
        <v>-0.53632653095295613</v>
      </c>
      <c r="CA14" s="200">
        <v>-2.5236624995061834E-2</v>
      </c>
      <c r="CB14" s="200">
        <v>-316.46089352500485</v>
      </c>
      <c r="CC14" s="200">
        <v>-316.48613014999989</v>
      </c>
    </row>
    <row r="15" spans="1:81">
      <c r="B15" s="64" t="s">
        <v>411</v>
      </c>
      <c r="C15" s="64" t="s">
        <v>411</v>
      </c>
      <c r="D15" s="192" t="s">
        <v>285</v>
      </c>
      <c r="E15" s="172">
        <v>2414.4920000000002</v>
      </c>
      <c r="F15" s="172">
        <v>1983.9290000000001</v>
      </c>
      <c r="G15" s="172">
        <v>1945.0419999999999</v>
      </c>
      <c r="H15" s="172">
        <v>1098.5899999999999</v>
      </c>
      <c r="I15" s="172">
        <v>1338.9480000000001</v>
      </c>
      <c r="J15" s="172">
        <v>977.04100000000005</v>
      </c>
      <c r="K15" s="172">
        <v>1132.317</v>
      </c>
      <c r="L15" s="172">
        <v>1111.431</v>
      </c>
      <c r="M15" s="172">
        <v>975.89400000000001</v>
      </c>
      <c r="N15" s="172">
        <v>1397.17</v>
      </c>
      <c r="O15" s="172">
        <v>1980.5830000000001</v>
      </c>
      <c r="P15" s="172">
        <v>2325.2910000000002</v>
      </c>
      <c r="Q15" s="172">
        <v>18680.727999999999</v>
      </c>
      <c r="R15" s="172">
        <v>2420.6849999999999</v>
      </c>
      <c r="S15" s="172">
        <v>1947.287</v>
      </c>
      <c r="T15" s="172">
        <v>1915.4649999999999</v>
      </c>
      <c r="U15" s="172">
        <v>1098.691</v>
      </c>
      <c r="V15" s="172">
        <v>1276.02</v>
      </c>
      <c r="W15" s="172">
        <v>940.42700000000002</v>
      </c>
      <c r="X15" s="172">
        <v>1078.2360000000001</v>
      </c>
      <c r="Y15" s="172">
        <v>1084.0530000000001</v>
      </c>
      <c r="Z15" s="172">
        <v>975.30499999999995</v>
      </c>
      <c r="AA15" s="172">
        <v>1406.088</v>
      </c>
      <c r="AB15" s="172">
        <v>1944.721</v>
      </c>
      <c r="AC15" s="172">
        <v>2339.7779999999998</v>
      </c>
      <c r="AD15" s="172"/>
      <c r="AE15" s="276">
        <v>18426.756000000001</v>
      </c>
      <c r="AF15" s="172"/>
      <c r="AG15" s="193"/>
      <c r="AH15" s="181" t="e">
        <f>AE15-#REF!</f>
        <v>#REF!</v>
      </c>
      <c r="AI15" s="181" t="e">
        <f t="shared" si="0"/>
        <v>#REF!</v>
      </c>
      <c r="AJ15" s="172" t="s">
        <v>2713</v>
      </c>
      <c r="AM15" s="64" t="s">
        <v>411</v>
      </c>
      <c r="AN15" s="64" t="s">
        <v>411</v>
      </c>
      <c r="AO15" s="192" t="s">
        <v>285</v>
      </c>
      <c r="AP15" s="172">
        <v>236.40291171999999</v>
      </c>
      <c r="AQ15" s="172">
        <v>194.24648839000002</v>
      </c>
      <c r="AR15" s="172">
        <v>190.43906221999998</v>
      </c>
      <c r="AS15" s="172">
        <v>107.5629469</v>
      </c>
      <c r="AT15" s="172">
        <v>131.09639868000002</v>
      </c>
      <c r="AU15" s="172">
        <v>95.662084310000012</v>
      </c>
      <c r="AV15" s="172">
        <v>110.86515747</v>
      </c>
      <c r="AW15" s="172">
        <v>108.82020921</v>
      </c>
      <c r="AX15" s="172">
        <v>95.549781539999998</v>
      </c>
      <c r="AY15" s="172">
        <v>136.7969147</v>
      </c>
      <c r="AZ15" s="172">
        <v>195.08742550000002</v>
      </c>
      <c r="BA15" s="172">
        <v>229.04116349999998</v>
      </c>
      <c r="BB15" s="172">
        <v>1831.5705441399998</v>
      </c>
      <c r="BC15" s="172">
        <v>241.12443285000001</v>
      </c>
      <c r="BD15" s="172">
        <v>193.96925807000002</v>
      </c>
      <c r="BE15" s="172">
        <v>190.79946864999999</v>
      </c>
      <c r="BF15" s="172">
        <v>109.44061051</v>
      </c>
      <c r="BG15" s="172">
        <v>127.10435219999999</v>
      </c>
      <c r="BH15" s="172">
        <v>93.675933470000004</v>
      </c>
      <c r="BI15" s="172">
        <v>107.40308796000001</v>
      </c>
      <c r="BJ15" s="172">
        <v>107.98251933</v>
      </c>
      <c r="BK15" s="172">
        <v>97.150131049999999</v>
      </c>
      <c r="BL15" s="172">
        <v>140.06042567999998</v>
      </c>
      <c r="BM15" s="172">
        <v>196.595735332</v>
      </c>
      <c r="BN15" s="172">
        <v>111.39449080200001</v>
      </c>
      <c r="BO15" s="172">
        <v>1716.7004459039999</v>
      </c>
      <c r="BP15" s="214">
        <v>-114.87009823599988</v>
      </c>
      <c r="BQ15" s="217">
        <v>-23.66091164647359</v>
      </c>
      <c r="BR15" s="218">
        <v>-91.209186589526283</v>
      </c>
      <c r="BS15" s="193">
        <v>-6.2716720687346683E-2</v>
      </c>
      <c r="BT15" s="190" t="s">
        <v>2714</v>
      </c>
      <c r="BV15" s="198">
        <v>98.045993932356382</v>
      </c>
      <c r="BW15" s="198">
        <v>93.163465446875179</v>
      </c>
      <c r="BX15" s="198">
        <v>-4.8825284854812026</v>
      </c>
      <c r="BY15" s="199">
        <v>-4.9798347588273145E-2</v>
      </c>
      <c r="CA15" s="200">
        <v>-23.66091164647359</v>
      </c>
      <c r="CB15" s="200">
        <v>-91.209186589526283</v>
      </c>
      <c r="CC15" s="200">
        <v>-114.87009823599988</v>
      </c>
    </row>
    <row r="16" spans="1:81">
      <c r="B16" s="64" t="s">
        <v>316</v>
      </c>
      <c r="C16" s="64" t="s">
        <v>316</v>
      </c>
      <c r="D16" s="192" t="s">
        <v>528</v>
      </c>
      <c r="E16" s="172">
        <v>1700</v>
      </c>
      <c r="F16" s="172">
        <v>1700</v>
      </c>
      <c r="G16" s="172">
        <v>2300</v>
      </c>
      <c r="H16" s="172">
        <v>1600</v>
      </c>
      <c r="I16" s="172">
        <v>1700</v>
      </c>
      <c r="J16" s="172">
        <v>1300</v>
      </c>
      <c r="K16" s="172">
        <v>1100</v>
      </c>
      <c r="L16" s="172">
        <v>1200</v>
      </c>
      <c r="M16" s="172">
        <v>1300</v>
      </c>
      <c r="N16" s="172">
        <v>1900</v>
      </c>
      <c r="O16" s="172">
        <v>2100</v>
      </c>
      <c r="P16" s="172">
        <v>2300</v>
      </c>
      <c r="Q16" s="172">
        <v>20200</v>
      </c>
      <c r="R16" s="172">
        <v>1932.2940000000001</v>
      </c>
      <c r="S16" s="172">
        <v>1813.673</v>
      </c>
      <c r="T16" s="172">
        <v>2065.223</v>
      </c>
      <c r="U16" s="172">
        <v>1503.817</v>
      </c>
      <c r="V16" s="172">
        <v>1667.712</v>
      </c>
      <c r="W16" s="172">
        <v>1177.5909999999999</v>
      </c>
      <c r="X16" s="172">
        <v>1044.1379999999999</v>
      </c>
      <c r="Y16" s="172">
        <v>1010.1950000000001</v>
      </c>
      <c r="Z16" s="172">
        <v>1204.5609999999999</v>
      </c>
      <c r="AA16" s="172">
        <v>1626.4849999999999</v>
      </c>
      <c r="AB16" s="172">
        <v>1906.07</v>
      </c>
      <c r="AC16" s="172">
        <v>2059.268</v>
      </c>
      <c r="AD16" s="172"/>
      <c r="AE16" s="276">
        <v>19011.026999999998</v>
      </c>
      <c r="AF16" s="172"/>
      <c r="AG16" s="193"/>
      <c r="AH16" s="181" t="e">
        <f>AE16-#REF!</f>
        <v>#REF!</v>
      </c>
      <c r="AI16" s="181" t="e">
        <f t="shared" si="0"/>
        <v>#REF!</v>
      </c>
      <c r="AJ16" s="172" t="s">
        <v>2715</v>
      </c>
      <c r="AM16" s="64" t="s">
        <v>316</v>
      </c>
      <c r="AN16" s="64" t="s">
        <v>316</v>
      </c>
      <c r="AO16" s="192" t="s">
        <v>528</v>
      </c>
      <c r="AP16" s="172">
        <v>165.988</v>
      </c>
      <c r="AQ16" s="172">
        <v>165.988</v>
      </c>
      <c r="AR16" s="172">
        <v>224.572</v>
      </c>
      <c r="AS16" s="172">
        <v>156.22399999999999</v>
      </c>
      <c r="AT16" s="172">
        <v>165.988</v>
      </c>
      <c r="AU16" s="172">
        <v>126.932</v>
      </c>
      <c r="AV16" s="172">
        <v>107.404</v>
      </c>
      <c r="AW16" s="172">
        <v>117.16800000000001</v>
      </c>
      <c r="AX16" s="172">
        <v>126.932</v>
      </c>
      <c r="AY16" s="172">
        <v>185.51599999999999</v>
      </c>
      <c r="AZ16" s="172">
        <v>206.28299999999999</v>
      </c>
      <c r="BA16" s="172">
        <v>225.929</v>
      </c>
      <c r="BB16" s="172">
        <v>1974.924</v>
      </c>
      <c r="BC16" s="172">
        <v>191.91544008</v>
      </c>
      <c r="BD16" s="172">
        <v>180.13400236000001</v>
      </c>
      <c r="BE16" s="172">
        <v>205.11794836000001</v>
      </c>
      <c r="BF16" s="172">
        <v>149.35910443999998</v>
      </c>
      <c r="BG16" s="172">
        <v>165.63715583999999</v>
      </c>
      <c r="BH16" s="172">
        <v>116.95833811999999</v>
      </c>
      <c r="BI16" s="172">
        <v>103.70378616000001</v>
      </c>
      <c r="BJ16" s="172">
        <v>100.3325674</v>
      </c>
      <c r="BK16" s="172">
        <v>119.63699851999999</v>
      </c>
      <c r="BL16" s="172">
        <v>161.5424902</v>
      </c>
      <c r="BM16" s="172">
        <v>192.11470137000001</v>
      </c>
      <c r="BN16" s="172">
        <v>207.55568098800001</v>
      </c>
      <c r="BO16" s="172">
        <v>1894.0082138380001</v>
      </c>
      <c r="BP16" s="214">
        <v>-80.915786161999904</v>
      </c>
      <c r="BQ16" s="217">
        <v>-118.45360211374229</v>
      </c>
      <c r="BR16" s="218">
        <v>37.53781595174226</v>
      </c>
      <c r="BS16" s="193">
        <v>-4.0971594938336797E-2</v>
      </c>
      <c r="BT16" s="190" t="s">
        <v>2680</v>
      </c>
      <c r="BV16" s="198">
        <v>97.768514851485151</v>
      </c>
      <c r="BW16" s="198">
        <v>99.626822571868431</v>
      </c>
      <c r="BX16" s="198">
        <v>1.8583077203832801</v>
      </c>
      <c r="BY16" s="199">
        <v>1.9007220506582663E-2</v>
      </c>
      <c r="CA16" s="200">
        <v>-118.45360211374229</v>
      </c>
      <c r="CB16" s="200">
        <v>37.53781595174226</v>
      </c>
      <c r="CC16" s="200">
        <v>-80.915786162000032</v>
      </c>
    </row>
    <row r="17" spans="2:81">
      <c r="B17" s="64" t="s">
        <v>317</v>
      </c>
      <c r="C17" s="64" t="s">
        <v>317</v>
      </c>
      <c r="D17" s="192" t="s">
        <v>529</v>
      </c>
      <c r="E17" s="172">
        <v>1100</v>
      </c>
      <c r="F17" s="172">
        <v>1100</v>
      </c>
      <c r="G17" s="172">
        <v>1500</v>
      </c>
      <c r="H17" s="172">
        <v>1000</v>
      </c>
      <c r="I17" s="172">
        <v>1100</v>
      </c>
      <c r="J17" s="172">
        <v>800</v>
      </c>
      <c r="K17" s="172">
        <v>700</v>
      </c>
      <c r="L17" s="172">
        <v>800</v>
      </c>
      <c r="M17" s="172">
        <v>800</v>
      </c>
      <c r="N17" s="172">
        <v>1200</v>
      </c>
      <c r="O17" s="172">
        <v>1400</v>
      </c>
      <c r="P17" s="172">
        <v>1500</v>
      </c>
      <c r="Q17" s="172">
        <v>13000</v>
      </c>
      <c r="R17" s="172">
        <v>1302.2840000000001</v>
      </c>
      <c r="S17" s="172">
        <v>1244.135</v>
      </c>
      <c r="T17" s="172">
        <v>1386.44</v>
      </c>
      <c r="U17" s="172">
        <v>1021.861</v>
      </c>
      <c r="V17" s="172">
        <v>1091.915</v>
      </c>
      <c r="W17" s="172">
        <v>763.45600000000002</v>
      </c>
      <c r="X17" s="172">
        <v>672.25599999999997</v>
      </c>
      <c r="Y17" s="172">
        <v>663.31500000000005</v>
      </c>
      <c r="Z17" s="172">
        <v>760.30200000000002</v>
      </c>
      <c r="AA17" s="172">
        <v>1089.5889999999999</v>
      </c>
      <c r="AB17" s="172">
        <v>1330.039</v>
      </c>
      <c r="AC17" s="172">
        <v>1368.0650000000001</v>
      </c>
      <c r="AD17" s="172"/>
      <c r="AE17" s="276">
        <v>12693.656999999999</v>
      </c>
      <c r="AF17" s="172"/>
      <c r="AG17" s="193"/>
      <c r="AH17" s="181" t="e">
        <f>AE17-#REF!</f>
        <v>#REF!</v>
      </c>
      <c r="AI17" s="181" t="e">
        <f t="shared" si="0"/>
        <v>#REF!</v>
      </c>
      <c r="AJ17" s="172" t="s">
        <v>2715</v>
      </c>
      <c r="AM17" s="64" t="s">
        <v>317</v>
      </c>
      <c r="AN17" s="64" t="s">
        <v>317</v>
      </c>
      <c r="AO17" s="192" t="s">
        <v>529</v>
      </c>
      <c r="AP17" s="172">
        <v>107.404</v>
      </c>
      <c r="AQ17" s="172">
        <v>107.404</v>
      </c>
      <c r="AR17" s="172">
        <v>146.46</v>
      </c>
      <c r="AS17" s="172">
        <v>97.64</v>
      </c>
      <c r="AT17" s="172">
        <v>107.404</v>
      </c>
      <c r="AU17" s="172">
        <v>78.111999999999995</v>
      </c>
      <c r="AV17" s="172">
        <v>68.347999999999999</v>
      </c>
      <c r="AW17" s="172">
        <v>78.111999999999995</v>
      </c>
      <c r="AX17" s="172">
        <v>78.111999999999995</v>
      </c>
      <c r="AY17" s="172">
        <v>117.16800000000001</v>
      </c>
      <c r="AZ17" s="172">
        <v>137.52199999999999</v>
      </c>
      <c r="BA17" s="172">
        <v>147.345</v>
      </c>
      <c r="BB17" s="172">
        <v>1271.0309999999999</v>
      </c>
      <c r="BC17" s="172">
        <v>129.34284688</v>
      </c>
      <c r="BD17" s="172">
        <v>123.56748820000001</v>
      </c>
      <c r="BE17" s="172">
        <v>137.70122080000002</v>
      </c>
      <c r="BF17" s="172">
        <v>101.49123451999999</v>
      </c>
      <c r="BG17" s="172">
        <v>108.4489978</v>
      </c>
      <c r="BH17" s="172">
        <v>75.826449920000002</v>
      </c>
      <c r="BI17" s="172">
        <v>66.768465919999997</v>
      </c>
      <c r="BJ17" s="172">
        <v>65.880445800000004</v>
      </c>
      <c r="BK17" s="172">
        <v>75.513194639999995</v>
      </c>
      <c r="BL17" s="172">
        <v>108.21797948</v>
      </c>
      <c r="BM17" s="172">
        <v>134.055960849</v>
      </c>
      <c r="BN17" s="172">
        <v>137.888639415</v>
      </c>
      <c r="BO17" s="172">
        <v>1264.7029242240001</v>
      </c>
      <c r="BP17" s="214">
        <v>-6.3280757759998778</v>
      </c>
      <c r="BQ17" s="217">
        <v>-30.521770669835639</v>
      </c>
      <c r="BR17" s="218">
        <v>24.19369489383574</v>
      </c>
      <c r="BS17" s="193">
        <v>-4.9786950719532541E-3</v>
      </c>
      <c r="BT17" s="190" t="s">
        <v>2680</v>
      </c>
      <c r="BV17" s="198">
        <v>97.771615384615387</v>
      </c>
      <c r="BW17" s="198">
        <v>99.632668837987367</v>
      </c>
      <c r="BX17" s="198">
        <v>1.86105345337198</v>
      </c>
      <c r="BY17" s="199">
        <v>1.9034700879707687E-2</v>
      </c>
      <c r="CA17" s="200">
        <v>-30.521770669835639</v>
      </c>
      <c r="CB17" s="200">
        <v>24.19369489383574</v>
      </c>
      <c r="CC17" s="200">
        <v>-6.3280757759998991</v>
      </c>
    </row>
    <row r="18" spans="2:81">
      <c r="B18" s="64" t="s">
        <v>318</v>
      </c>
      <c r="C18" s="64" t="s">
        <v>318</v>
      </c>
      <c r="D18" s="192" t="s">
        <v>530</v>
      </c>
      <c r="E18" s="172">
        <v>1500</v>
      </c>
      <c r="F18" s="172">
        <v>1500</v>
      </c>
      <c r="G18" s="172">
        <v>2000</v>
      </c>
      <c r="H18" s="172">
        <v>1400</v>
      </c>
      <c r="I18" s="172">
        <v>1500</v>
      </c>
      <c r="J18" s="172">
        <v>1100</v>
      </c>
      <c r="K18" s="172">
        <v>1000</v>
      </c>
      <c r="L18" s="172">
        <v>1000</v>
      </c>
      <c r="M18" s="172">
        <v>1100</v>
      </c>
      <c r="N18" s="172">
        <v>1700</v>
      </c>
      <c r="O18" s="172">
        <v>1900</v>
      </c>
      <c r="P18" s="172">
        <v>2000</v>
      </c>
      <c r="Q18" s="172">
        <v>17700</v>
      </c>
      <c r="R18" s="172">
        <v>1641.3920000000001</v>
      </c>
      <c r="S18" s="172">
        <v>1629.873</v>
      </c>
      <c r="T18" s="172">
        <v>1827.4649999999999</v>
      </c>
      <c r="U18" s="172">
        <v>1350.287</v>
      </c>
      <c r="V18" s="172">
        <v>1379.7929999999999</v>
      </c>
      <c r="W18" s="172">
        <v>1096.3720000000001</v>
      </c>
      <c r="X18" s="172">
        <v>886.01900000000001</v>
      </c>
      <c r="Y18" s="172">
        <v>851.94500000000005</v>
      </c>
      <c r="Z18" s="172">
        <v>998.66700000000003</v>
      </c>
      <c r="AA18" s="172">
        <v>1384.752</v>
      </c>
      <c r="AB18" s="172">
        <v>1733.9749999999999</v>
      </c>
      <c r="AC18" s="172">
        <v>1689.9459999999999</v>
      </c>
      <c r="AD18" s="172"/>
      <c r="AE18" s="276">
        <v>16470.486000000001</v>
      </c>
      <c r="AF18" s="172"/>
      <c r="AG18" s="193"/>
      <c r="AH18" s="181" t="e">
        <f>AE18-#REF!</f>
        <v>#REF!</v>
      </c>
      <c r="AI18" s="181" t="e">
        <f t="shared" si="0"/>
        <v>#REF!</v>
      </c>
      <c r="AJ18" s="172" t="s">
        <v>2715</v>
      </c>
      <c r="AM18" s="64" t="s">
        <v>318</v>
      </c>
      <c r="AN18" s="64" t="s">
        <v>318</v>
      </c>
      <c r="AO18" s="192" t="s">
        <v>530</v>
      </c>
      <c r="AP18" s="172">
        <v>146.46</v>
      </c>
      <c r="AQ18" s="172">
        <v>146.46</v>
      </c>
      <c r="AR18" s="172">
        <v>195.28</v>
      </c>
      <c r="AS18" s="172">
        <v>136.696</v>
      </c>
      <c r="AT18" s="172">
        <v>146.46</v>
      </c>
      <c r="AU18" s="172">
        <v>107.404</v>
      </c>
      <c r="AV18" s="172">
        <v>97.64</v>
      </c>
      <c r="AW18" s="172">
        <v>97.64</v>
      </c>
      <c r="AX18" s="172">
        <v>107.404</v>
      </c>
      <c r="AY18" s="172">
        <v>165.988</v>
      </c>
      <c r="AZ18" s="172">
        <v>186.637</v>
      </c>
      <c r="BA18" s="172">
        <v>196.46</v>
      </c>
      <c r="BB18" s="172">
        <v>1730.529</v>
      </c>
      <c r="BC18" s="172">
        <v>163.02305343999998</v>
      </c>
      <c r="BD18" s="172">
        <v>161.87898636</v>
      </c>
      <c r="BE18" s="172">
        <v>181.50382380000002</v>
      </c>
      <c r="BF18" s="172">
        <v>134.11050484</v>
      </c>
      <c r="BG18" s="172">
        <v>137.04104076000002</v>
      </c>
      <c r="BH18" s="172">
        <v>108.89166704</v>
      </c>
      <c r="BI18" s="172">
        <v>87.999407079999997</v>
      </c>
      <c r="BJ18" s="172">
        <v>84.615177400000007</v>
      </c>
      <c r="BK18" s="172">
        <v>99.187606439999996</v>
      </c>
      <c r="BL18" s="172">
        <v>137.53356864</v>
      </c>
      <c r="BM18" s="172">
        <v>174.769074225</v>
      </c>
      <c r="BN18" s="172">
        <v>170.33134728600001</v>
      </c>
      <c r="BO18" s="172">
        <v>1640.885257311</v>
      </c>
      <c r="BP18" s="214">
        <v>-89.643742688999964</v>
      </c>
      <c r="BQ18" s="217">
        <v>-122.49130937954567</v>
      </c>
      <c r="BR18" s="218">
        <v>32.84756669054574</v>
      </c>
      <c r="BS18" s="193">
        <v>-5.180135247025619E-2</v>
      </c>
      <c r="BT18" s="190" t="s">
        <v>2680</v>
      </c>
      <c r="BV18" s="198">
        <v>97.77</v>
      </c>
      <c r="BW18" s="198">
        <v>99.625794728279416</v>
      </c>
      <c r="BX18" s="198">
        <v>1.8557947282794203</v>
      </c>
      <c r="BY18" s="199">
        <v>1.8981228682411991E-2</v>
      </c>
      <c r="CA18" s="200">
        <v>-122.49130937954567</v>
      </c>
      <c r="CB18" s="200">
        <v>32.84756669054574</v>
      </c>
      <c r="CC18" s="200">
        <v>-89.643742688999936</v>
      </c>
    </row>
    <row r="19" spans="2:81">
      <c r="B19" s="64" t="s">
        <v>319</v>
      </c>
      <c r="C19" s="64" t="s">
        <v>319</v>
      </c>
      <c r="D19" s="192" t="s">
        <v>531</v>
      </c>
      <c r="E19" s="172">
        <v>1800</v>
      </c>
      <c r="F19" s="172">
        <v>1800</v>
      </c>
      <c r="G19" s="172">
        <v>2400</v>
      </c>
      <c r="H19" s="172">
        <v>1600</v>
      </c>
      <c r="I19" s="172">
        <v>1700</v>
      </c>
      <c r="J19" s="172">
        <v>1300</v>
      </c>
      <c r="K19" s="172">
        <v>1100</v>
      </c>
      <c r="L19" s="172">
        <v>1200</v>
      </c>
      <c r="M19" s="172">
        <v>1300</v>
      </c>
      <c r="N19" s="172">
        <v>2000</v>
      </c>
      <c r="O19" s="172">
        <v>2200</v>
      </c>
      <c r="P19" s="172">
        <v>2400</v>
      </c>
      <c r="Q19" s="172">
        <v>20800</v>
      </c>
      <c r="R19" s="172">
        <v>2025.941</v>
      </c>
      <c r="S19" s="172">
        <v>1899.328</v>
      </c>
      <c r="T19" s="172">
        <v>2154.3150000000001</v>
      </c>
      <c r="U19" s="172">
        <v>1590.38</v>
      </c>
      <c r="V19" s="172">
        <v>1754.867</v>
      </c>
      <c r="W19" s="172">
        <v>1262.549</v>
      </c>
      <c r="X19" s="172">
        <v>1102.1669999999999</v>
      </c>
      <c r="Y19" s="172">
        <v>1086.6379999999999</v>
      </c>
      <c r="Z19" s="172">
        <v>1250.165</v>
      </c>
      <c r="AA19" s="172">
        <v>1734.059</v>
      </c>
      <c r="AB19" s="172">
        <v>2008.8920000000001</v>
      </c>
      <c r="AC19" s="172">
        <v>2107.1999999999998</v>
      </c>
      <c r="AD19" s="172"/>
      <c r="AE19" s="276">
        <v>19976.501</v>
      </c>
      <c r="AF19" s="172"/>
      <c r="AG19" s="193"/>
      <c r="AH19" s="181" t="e">
        <f>AE19-#REF!</f>
        <v>#REF!</v>
      </c>
      <c r="AI19" s="181" t="e">
        <f t="shared" si="0"/>
        <v>#REF!</v>
      </c>
      <c r="AJ19" s="172" t="s">
        <v>2715</v>
      </c>
      <c r="AM19" s="64" t="s">
        <v>319</v>
      </c>
      <c r="AN19" s="64" t="s">
        <v>319</v>
      </c>
      <c r="AO19" s="192" t="s">
        <v>531</v>
      </c>
      <c r="AP19" s="172">
        <v>174.90600000000001</v>
      </c>
      <c r="AQ19" s="172">
        <v>174.90600000000001</v>
      </c>
      <c r="AR19" s="172">
        <v>233.208</v>
      </c>
      <c r="AS19" s="172">
        <v>155.47200000000001</v>
      </c>
      <c r="AT19" s="172">
        <v>165.18899999999999</v>
      </c>
      <c r="AU19" s="172">
        <v>126.321</v>
      </c>
      <c r="AV19" s="172">
        <v>106.887</v>
      </c>
      <c r="AW19" s="172">
        <v>116.604</v>
      </c>
      <c r="AX19" s="172">
        <v>126.321</v>
      </c>
      <c r="AY19" s="172">
        <v>194.34</v>
      </c>
      <c r="AZ19" s="172">
        <v>215.05</v>
      </c>
      <c r="BA19" s="172">
        <v>234.6</v>
      </c>
      <c r="BB19" s="172">
        <v>2023.8040000000001</v>
      </c>
      <c r="BC19" s="172">
        <v>200.24400844000002</v>
      </c>
      <c r="BD19" s="172">
        <v>187.72957951999999</v>
      </c>
      <c r="BE19" s="172">
        <v>212.93249460000001</v>
      </c>
      <c r="BF19" s="172">
        <v>157.1931592</v>
      </c>
      <c r="BG19" s="172">
        <v>173.45105428000002</v>
      </c>
      <c r="BH19" s="172">
        <v>124.79034316000001</v>
      </c>
      <c r="BI19" s="172">
        <v>108.93818628</v>
      </c>
      <c r="BJ19" s="172">
        <v>107.40329992000001</v>
      </c>
      <c r="BK19" s="172">
        <v>123.5663086</v>
      </c>
      <c r="BL19" s="172">
        <v>171.39439156</v>
      </c>
      <c r="BM19" s="172">
        <v>201.493876492</v>
      </c>
      <c r="BN19" s="172">
        <v>211.35426720000001</v>
      </c>
      <c r="BO19" s="172">
        <v>1980.490969252</v>
      </c>
      <c r="BP19" s="214">
        <v>-43.313030748000074</v>
      </c>
      <c r="BQ19" s="217">
        <v>-81.642542539759702</v>
      </c>
      <c r="BR19" s="218">
        <v>38.329511791759522</v>
      </c>
      <c r="BS19" s="193">
        <v>-2.1401791254489155E-2</v>
      </c>
      <c r="BT19" s="190" t="s">
        <v>2680</v>
      </c>
      <c r="BV19" s="198">
        <v>97.298269230769236</v>
      </c>
      <c r="BW19" s="198">
        <v>99.141034220757675</v>
      </c>
      <c r="BX19" s="198">
        <v>1.8427649899884386</v>
      </c>
      <c r="BY19" s="199">
        <v>1.8939339872714709E-2</v>
      </c>
      <c r="CA19" s="200">
        <v>-81.642542539759702</v>
      </c>
      <c r="CB19" s="200">
        <v>38.329511791759522</v>
      </c>
      <c r="CC19" s="200">
        <v>-43.31303074800018</v>
      </c>
    </row>
    <row r="20" spans="2:81">
      <c r="B20" s="64" t="s">
        <v>320</v>
      </c>
      <c r="C20" s="64" t="s">
        <v>320</v>
      </c>
      <c r="D20" s="192" t="s">
        <v>532</v>
      </c>
      <c r="E20" s="172">
        <v>2300</v>
      </c>
      <c r="F20" s="172">
        <v>1900</v>
      </c>
      <c r="G20" s="172">
        <v>3100</v>
      </c>
      <c r="H20" s="172">
        <v>2400</v>
      </c>
      <c r="I20" s="172">
        <v>2500</v>
      </c>
      <c r="J20" s="172">
        <v>2000</v>
      </c>
      <c r="K20" s="172">
        <v>1800</v>
      </c>
      <c r="L20" s="172">
        <v>2100</v>
      </c>
      <c r="M20" s="172">
        <v>2200</v>
      </c>
      <c r="N20" s="172">
        <v>2800</v>
      </c>
      <c r="O20" s="172">
        <v>2500</v>
      </c>
      <c r="P20" s="172">
        <v>2400</v>
      </c>
      <c r="Q20" s="172">
        <v>28000</v>
      </c>
      <c r="R20" s="172">
        <v>2321.7370000000001</v>
      </c>
      <c r="S20" s="172">
        <v>1972.953</v>
      </c>
      <c r="T20" s="172">
        <v>2791.0940000000001</v>
      </c>
      <c r="U20" s="172">
        <v>2341.732</v>
      </c>
      <c r="V20" s="172">
        <v>2611.25</v>
      </c>
      <c r="W20" s="172">
        <v>1916.1769999999999</v>
      </c>
      <c r="X20" s="172">
        <v>1986.0119999999999</v>
      </c>
      <c r="Y20" s="172">
        <v>1899.364</v>
      </c>
      <c r="Z20" s="172">
        <v>2051.3339999999998</v>
      </c>
      <c r="AA20" s="172">
        <v>2571.971</v>
      </c>
      <c r="AB20" s="172">
        <v>2382.5439999999999</v>
      </c>
      <c r="AC20" s="172">
        <v>2400.5140000000001</v>
      </c>
      <c r="AD20" s="172"/>
      <c r="AE20" s="276">
        <v>27246.682000000001</v>
      </c>
      <c r="AF20" s="172"/>
      <c r="AG20" s="193"/>
      <c r="AH20" s="181" t="e">
        <f>AE20-#REF!</f>
        <v>#REF!</v>
      </c>
      <c r="AI20" s="181" t="e">
        <f t="shared" si="0"/>
        <v>#REF!</v>
      </c>
      <c r="AJ20" s="172" t="s">
        <v>2715</v>
      </c>
      <c r="AM20" s="64" t="s">
        <v>320</v>
      </c>
      <c r="AN20" s="64" t="s">
        <v>320</v>
      </c>
      <c r="AO20" s="192" t="s">
        <v>532</v>
      </c>
      <c r="AP20" s="172">
        <v>126.79900000000001</v>
      </c>
      <c r="AQ20" s="172">
        <v>104.747</v>
      </c>
      <c r="AR20" s="172">
        <v>170.90299999999999</v>
      </c>
      <c r="AS20" s="172">
        <v>132.31200000000001</v>
      </c>
      <c r="AT20" s="172">
        <v>137.82499999999999</v>
      </c>
      <c r="AU20" s="172">
        <v>110.26</v>
      </c>
      <c r="AV20" s="172">
        <v>99.233999999999995</v>
      </c>
      <c r="AW20" s="172">
        <v>115.773</v>
      </c>
      <c r="AX20" s="172">
        <v>121.286</v>
      </c>
      <c r="AY20" s="172">
        <v>154.364</v>
      </c>
      <c r="AZ20" s="172">
        <v>138.65</v>
      </c>
      <c r="BA20" s="172">
        <v>133.10400000000001</v>
      </c>
      <c r="BB20" s="172">
        <v>1545.2570000000001</v>
      </c>
      <c r="BC20" s="172">
        <v>130.20301096</v>
      </c>
      <c r="BD20" s="172">
        <v>110.64320424</v>
      </c>
      <c r="BE20" s="172">
        <v>156.52455152000002</v>
      </c>
      <c r="BF20" s="172">
        <v>131.32433055999999</v>
      </c>
      <c r="BG20" s="172">
        <v>146.43889999999999</v>
      </c>
      <c r="BH20" s="172">
        <v>107.45920616000001</v>
      </c>
      <c r="BI20" s="172">
        <v>111.37555296000001</v>
      </c>
      <c r="BJ20" s="172">
        <v>106.51633312</v>
      </c>
      <c r="BK20" s="172">
        <v>115.03881072</v>
      </c>
      <c r="BL20" s="172">
        <v>144.23613367999999</v>
      </c>
      <c r="BM20" s="172">
        <v>135.59534412799999</v>
      </c>
      <c r="BN20" s="172">
        <v>136.61805276799998</v>
      </c>
      <c r="BO20" s="172">
        <v>1531.973430816</v>
      </c>
      <c r="BP20" s="214">
        <v>-13.283569184000044</v>
      </c>
      <c r="BQ20" s="217">
        <v>-42.356099027230044</v>
      </c>
      <c r="BR20" s="218">
        <v>29.072529843230001</v>
      </c>
      <c r="BS20" s="193">
        <v>-8.5963494641991822E-3</v>
      </c>
      <c r="BT20" s="190" t="s">
        <v>2680</v>
      </c>
      <c r="BV20" s="198">
        <v>55.187750000000001</v>
      </c>
      <c r="BW20" s="198">
        <v>56.226054637258216</v>
      </c>
      <c r="BX20" s="198">
        <v>1.0383046372582143</v>
      </c>
      <c r="BY20" s="199">
        <v>1.881404183461392E-2</v>
      </c>
      <c r="CA20" s="200">
        <v>-42.356099027230044</v>
      </c>
      <c r="CB20" s="200">
        <v>29.072529843230001</v>
      </c>
      <c r="CC20" s="200">
        <v>-13.283569184000044</v>
      </c>
    </row>
    <row r="21" spans="2:81">
      <c r="B21" s="64" t="s">
        <v>321</v>
      </c>
      <c r="C21" s="64" t="s">
        <v>321</v>
      </c>
      <c r="D21" s="192" t="s">
        <v>841</v>
      </c>
      <c r="E21" s="172">
        <v>2200</v>
      </c>
      <c r="F21" s="172">
        <v>1800</v>
      </c>
      <c r="G21" s="172">
        <v>2900</v>
      </c>
      <c r="H21" s="172">
        <v>2200</v>
      </c>
      <c r="I21" s="172">
        <v>2400</v>
      </c>
      <c r="J21" s="172">
        <v>1900</v>
      </c>
      <c r="K21" s="172">
        <v>1800</v>
      </c>
      <c r="L21" s="172">
        <v>2000</v>
      </c>
      <c r="M21" s="172">
        <v>2100</v>
      </c>
      <c r="N21" s="172">
        <v>2700</v>
      </c>
      <c r="O21" s="172">
        <v>2400</v>
      </c>
      <c r="P21" s="172">
        <v>2200</v>
      </c>
      <c r="Q21" s="172">
        <v>26600</v>
      </c>
      <c r="R21" s="172">
        <v>2248.9520000000002</v>
      </c>
      <c r="S21" s="172">
        <v>1900.098</v>
      </c>
      <c r="T21" s="172">
        <v>2799.5129999999999</v>
      </c>
      <c r="U21" s="172">
        <v>2399.8009999999999</v>
      </c>
      <c r="V21" s="172">
        <v>2565.5430000000001</v>
      </c>
      <c r="W21" s="172">
        <v>1773.117</v>
      </c>
      <c r="X21" s="172">
        <v>1839.127</v>
      </c>
      <c r="Y21" s="172">
        <v>1757.078</v>
      </c>
      <c r="Z21" s="172">
        <v>1947.415</v>
      </c>
      <c r="AA21" s="172">
        <v>2601.6030000000001</v>
      </c>
      <c r="AB21" s="172">
        <v>2394.951</v>
      </c>
      <c r="AC21" s="172">
        <v>2343.393</v>
      </c>
      <c r="AD21" s="172"/>
      <c r="AE21" s="276">
        <v>26570.591</v>
      </c>
      <c r="AF21" s="172"/>
      <c r="AG21" s="193"/>
      <c r="AH21" s="181" t="e">
        <f>AE21-#REF!</f>
        <v>#REF!</v>
      </c>
      <c r="AI21" s="181" t="e">
        <f t="shared" si="0"/>
        <v>#REF!</v>
      </c>
      <c r="AJ21" s="172" t="s">
        <v>2715</v>
      </c>
      <c r="AM21" s="64" t="s">
        <v>321</v>
      </c>
      <c r="AN21" s="64" t="s">
        <v>321</v>
      </c>
      <c r="AO21" s="192" t="s">
        <v>841</v>
      </c>
      <c r="AP21" s="172">
        <v>121.902</v>
      </c>
      <c r="AQ21" s="172">
        <v>99.738</v>
      </c>
      <c r="AR21" s="172">
        <v>160.68899999999999</v>
      </c>
      <c r="AS21" s="172">
        <v>121.902</v>
      </c>
      <c r="AT21" s="172">
        <v>132.98400000000001</v>
      </c>
      <c r="AU21" s="172">
        <v>105.279</v>
      </c>
      <c r="AV21" s="172">
        <v>99.738</v>
      </c>
      <c r="AW21" s="172">
        <v>110.82</v>
      </c>
      <c r="AX21" s="172">
        <v>116.361</v>
      </c>
      <c r="AY21" s="172">
        <v>149.607</v>
      </c>
      <c r="AZ21" s="172">
        <v>133.77600000000001</v>
      </c>
      <c r="BA21" s="172">
        <v>122.628</v>
      </c>
      <c r="BB21" s="172">
        <v>1475.424</v>
      </c>
      <c r="BC21" s="172">
        <v>126.75093472</v>
      </c>
      <c r="BD21" s="172">
        <v>107.08952327999999</v>
      </c>
      <c r="BE21" s="172">
        <v>157.78055268</v>
      </c>
      <c r="BF21" s="172">
        <v>135.25278435999999</v>
      </c>
      <c r="BG21" s="172">
        <v>144.59400348000003</v>
      </c>
      <c r="BH21" s="172">
        <v>99.932874119999994</v>
      </c>
      <c r="BI21" s="172">
        <v>103.65319771999999</v>
      </c>
      <c r="BJ21" s="172">
        <v>99.028916080000002</v>
      </c>
      <c r="BK21" s="172">
        <v>109.75630939999999</v>
      </c>
      <c r="BL21" s="172">
        <v>146.62634507999999</v>
      </c>
      <c r="BM21" s="172">
        <v>136.97203759200002</v>
      </c>
      <c r="BN21" s="172">
        <v>134.02333245599999</v>
      </c>
      <c r="BO21" s="172">
        <v>1501.460810968</v>
      </c>
      <c r="BP21" s="214">
        <v>26.036810968000054</v>
      </c>
      <c r="BQ21" s="217">
        <v>-1.661854679474664</v>
      </c>
      <c r="BR21" s="218">
        <v>27.698665647474755</v>
      </c>
      <c r="BS21" s="193">
        <v>1.7647002467087392E-2</v>
      </c>
      <c r="BT21" s="190" t="s">
        <v>2680</v>
      </c>
      <c r="BV21" s="198">
        <v>55.467067669172934</v>
      </c>
      <c r="BW21" s="198">
        <v>56.508370889002812</v>
      </c>
      <c r="BX21" s="198">
        <v>1.0413032198298779</v>
      </c>
      <c r="BY21" s="199">
        <v>1.8773359825700782E-2</v>
      </c>
      <c r="CA21" s="200">
        <v>-1.661854679474664</v>
      </c>
      <c r="CB21" s="200">
        <v>27.698665647474755</v>
      </c>
      <c r="CC21" s="200">
        <v>26.03681096800009</v>
      </c>
    </row>
    <row r="22" spans="2:81">
      <c r="B22" s="64" t="s">
        <v>419</v>
      </c>
      <c r="C22" s="64" t="s">
        <v>419</v>
      </c>
      <c r="D22" s="192" t="s">
        <v>295</v>
      </c>
      <c r="E22" s="172">
        <v>1091.549</v>
      </c>
      <c r="F22" s="172">
        <v>1181.7539999999999</v>
      </c>
      <c r="G22" s="172">
        <v>1162.213</v>
      </c>
      <c r="H22" s="172">
        <v>1077.9290000000001</v>
      </c>
      <c r="I22" s="172">
        <v>943.70600000000002</v>
      </c>
      <c r="J22" s="172">
        <v>900.67600000000004</v>
      </c>
      <c r="K22" s="172">
        <v>891.20100000000002</v>
      </c>
      <c r="L22" s="172">
        <v>840.07799999999997</v>
      </c>
      <c r="M22" s="172">
        <v>916.26900000000001</v>
      </c>
      <c r="N22" s="172">
        <v>981.21</v>
      </c>
      <c r="O22" s="172">
        <v>1089.7719999999999</v>
      </c>
      <c r="P22" s="172">
        <v>1086.2190000000001</v>
      </c>
      <c r="Q22" s="172">
        <v>12162.575999999999</v>
      </c>
      <c r="R22" s="172">
        <v>1203.165</v>
      </c>
      <c r="S22" s="172">
        <v>1090.422</v>
      </c>
      <c r="T22" s="172">
        <v>1125.7280000000001</v>
      </c>
      <c r="U22" s="172">
        <v>1010.545</v>
      </c>
      <c r="V22" s="172">
        <v>1024.623</v>
      </c>
      <c r="W22" s="172">
        <v>744.43799999999999</v>
      </c>
      <c r="X22" s="172">
        <v>799.16</v>
      </c>
      <c r="Y22" s="172">
        <v>747.25599999999997</v>
      </c>
      <c r="Z22" s="172">
        <v>747.55</v>
      </c>
      <c r="AA22" s="172">
        <v>1077.9960000000001</v>
      </c>
      <c r="AB22" s="172">
        <v>1105.037</v>
      </c>
      <c r="AC22" s="172">
        <v>1274.7180000000001</v>
      </c>
      <c r="AD22" s="172"/>
      <c r="AE22" s="276">
        <v>11950.638000000001</v>
      </c>
      <c r="AF22" s="172"/>
      <c r="AG22" s="193"/>
      <c r="AH22" s="181" t="e">
        <f>AE22-#REF!</f>
        <v>#REF!</v>
      </c>
      <c r="AI22" s="181" t="e">
        <f t="shared" si="0"/>
        <v>#REF!</v>
      </c>
      <c r="AJ22" s="172" t="s">
        <v>2715</v>
      </c>
      <c r="AM22" s="64" t="s">
        <v>419</v>
      </c>
      <c r="AN22" s="64" t="s">
        <v>419</v>
      </c>
      <c r="AO22" s="192" t="s">
        <v>295</v>
      </c>
      <c r="AP22" s="172">
        <v>103.14046501</v>
      </c>
      <c r="AQ22" s="172">
        <v>111.66393545999999</v>
      </c>
      <c r="AR22" s="172">
        <v>109.81750637</v>
      </c>
      <c r="AS22" s="172">
        <v>101.85351120999999</v>
      </c>
      <c r="AT22" s="172">
        <v>89.170779939999989</v>
      </c>
      <c r="AU22" s="172">
        <v>85.104875239999998</v>
      </c>
      <c r="AV22" s="172">
        <v>84.209582490000003</v>
      </c>
      <c r="AW22" s="172">
        <v>79.378970219999999</v>
      </c>
      <c r="AX22" s="172">
        <v>86.578257809999997</v>
      </c>
      <c r="AY22" s="172">
        <v>92.714532900000009</v>
      </c>
      <c r="AZ22" s="172">
        <v>103.59372632</v>
      </c>
      <c r="BA22" s="172">
        <v>103.25597814000001</v>
      </c>
      <c r="BB22" s="172">
        <v>1150.48212111</v>
      </c>
      <c r="BC22" s="172">
        <v>115.4797767</v>
      </c>
      <c r="BD22" s="172">
        <v>104.65870355999999</v>
      </c>
      <c r="BE22" s="172">
        <v>108.04737344</v>
      </c>
      <c r="BF22" s="172">
        <v>96.992109100000008</v>
      </c>
      <c r="BG22" s="172">
        <v>98.343315539999992</v>
      </c>
      <c r="BH22" s="172">
        <v>71.451159239999996</v>
      </c>
      <c r="BI22" s="172">
        <v>76.703376800000001</v>
      </c>
      <c r="BJ22" s="172">
        <v>71.721630879999992</v>
      </c>
      <c r="BK22" s="172">
        <v>71.749848999999998</v>
      </c>
      <c r="BL22" s="172">
        <v>103.46605608</v>
      </c>
      <c r="BM22" s="172">
        <v>107.494684249</v>
      </c>
      <c r="BN22" s="172">
        <v>124.00074288600001</v>
      </c>
      <c r="BO22" s="172">
        <v>1150.1087774749999</v>
      </c>
      <c r="BP22" s="214">
        <v>-0.37334363500008294</v>
      </c>
      <c r="BQ22" s="217">
        <v>-20.396547370985093</v>
      </c>
      <c r="BR22" s="218">
        <v>20.023203735984993</v>
      </c>
      <c r="BS22" s="193">
        <v>-3.2451059268945315E-4</v>
      </c>
      <c r="BT22" s="190" t="s">
        <v>2681</v>
      </c>
      <c r="BV22" s="198">
        <v>94.59197797489611</v>
      </c>
      <c r="BW22" s="198">
        <v>96.238274264102031</v>
      </c>
      <c r="BX22" s="198">
        <v>1.646296289205921</v>
      </c>
      <c r="BY22" s="199">
        <v>1.7404185053016163E-2</v>
      </c>
      <c r="CA22" s="200">
        <v>-20.396547370985093</v>
      </c>
      <c r="CB22" s="200">
        <v>20.023203735984993</v>
      </c>
      <c r="CC22" s="200">
        <v>-0.3733436350001007</v>
      </c>
    </row>
    <row r="23" spans="2:81">
      <c r="B23" s="64" t="s">
        <v>421</v>
      </c>
      <c r="C23" s="64" t="s">
        <v>421</v>
      </c>
      <c r="D23" s="192" t="s">
        <v>288</v>
      </c>
      <c r="E23" s="172">
        <v>2206.6239999999998</v>
      </c>
      <c r="F23" s="172">
        <v>1829.42</v>
      </c>
      <c r="G23" s="172">
        <v>1999.481</v>
      </c>
      <c r="H23" s="172">
        <v>1337.2460000000001</v>
      </c>
      <c r="I23" s="172">
        <v>1271.261</v>
      </c>
      <c r="J23" s="172">
        <v>1085.5039999999999</v>
      </c>
      <c r="K23" s="172">
        <v>1076.684</v>
      </c>
      <c r="L23" s="172">
        <v>1021.782</v>
      </c>
      <c r="M23" s="172">
        <v>1035.184</v>
      </c>
      <c r="N23" s="172">
        <v>1411.5550000000001</v>
      </c>
      <c r="O23" s="172">
        <v>1964.8150000000001</v>
      </c>
      <c r="P23" s="172">
        <v>2375.0540000000001</v>
      </c>
      <c r="Q23" s="172">
        <v>18614.61</v>
      </c>
      <c r="R23" s="172">
        <v>2261.6709999999998</v>
      </c>
      <c r="S23" s="172">
        <v>1844.857</v>
      </c>
      <c r="T23" s="172">
        <v>1984.019</v>
      </c>
      <c r="U23" s="172">
        <v>1352.16</v>
      </c>
      <c r="V23" s="172">
        <v>1234.7619999999999</v>
      </c>
      <c r="W23" s="172">
        <v>1051.222</v>
      </c>
      <c r="X23" s="172">
        <v>1041.0419999999999</v>
      </c>
      <c r="Y23" s="172">
        <v>982.84299999999996</v>
      </c>
      <c r="Z23" s="172">
        <v>1068.972</v>
      </c>
      <c r="AA23" s="172">
        <v>1397.4549999999999</v>
      </c>
      <c r="AB23" s="172">
        <v>1922.9690000000001</v>
      </c>
      <c r="AC23" s="172">
        <v>2375.0129999999999</v>
      </c>
      <c r="AD23" s="172"/>
      <c r="AE23" s="276">
        <v>18516.985000000001</v>
      </c>
      <c r="AF23" s="172"/>
      <c r="AG23" s="193"/>
      <c r="AH23" s="282" t="e">
        <f>AE23-#REF!</f>
        <v>#REF!</v>
      </c>
      <c r="AI23" s="181" t="e">
        <f t="shared" si="0"/>
        <v>#REF!</v>
      </c>
      <c r="AJ23" s="172" t="s">
        <v>2713</v>
      </c>
      <c r="AM23" s="64" t="s">
        <v>421</v>
      </c>
      <c r="AN23" s="64" t="s">
        <v>421</v>
      </c>
      <c r="AO23" s="192" t="s">
        <v>288</v>
      </c>
      <c r="AP23" s="172">
        <v>184.87095872</v>
      </c>
      <c r="AQ23" s="172">
        <v>153.2688076</v>
      </c>
      <c r="AR23" s="172">
        <v>167.51651818000002</v>
      </c>
      <c r="AS23" s="172">
        <v>112.03446988</v>
      </c>
      <c r="AT23" s="172">
        <v>106.50624658000001</v>
      </c>
      <c r="AU23" s="172">
        <v>90.943525120000004</v>
      </c>
      <c r="AV23" s="172">
        <v>90.204585519999995</v>
      </c>
      <c r="AW23" s="172">
        <v>85.604895959999993</v>
      </c>
      <c r="AX23" s="172">
        <v>86.727715520000004</v>
      </c>
      <c r="AY23" s="172">
        <v>118.2600779</v>
      </c>
      <c r="AZ23" s="172">
        <v>165.59460819999998</v>
      </c>
      <c r="BA23" s="172">
        <v>200.16955111999999</v>
      </c>
      <c r="BB23" s="172">
        <v>1561.7019602999999</v>
      </c>
      <c r="BC23" s="172">
        <v>192.71698590999998</v>
      </c>
      <c r="BD23" s="172">
        <v>157.20026496999998</v>
      </c>
      <c r="BE23" s="172">
        <v>169.05825899000001</v>
      </c>
      <c r="BF23" s="172">
        <v>115.2175536</v>
      </c>
      <c r="BG23" s="172">
        <v>105.21407001999999</v>
      </c>
      <c r="BH23" s="172">
        <v>89.574626619999989</v>
      </c>
      <c r="BI23" s="172">
        <v>88.707188819999999</v>
      </c>
      <c r="BJ23" s="172">
        <v>83.748052030000011</v>
      </c>
      <c r="BK23" s="172">
        <v>91.087104120000006</v>
      </c>
      <c r="BL23" s="172">
        <v>119.07714055</v>
      </c>
      <c r="BM23" s="172">
        <v>166.256053802</v>
      </c>
      <c r="BN23" s="172">
        <v>205.33887395400001</v>
      </c>
      <c r="BO23" s="172">
        <v>1583.1961733860001</v>
      </c>
      <c r="BP23" s="214">
        <v>21.494213086000173</v>
      </c>
      <c r="BQ23" s="217">
        <v>-8.3469056343032229</v>
      </c>
      <c r="BR23" s="218">
        <v>29.841118720303381</v>
      </c>
      <c r="BS23" s="193">
        <v>1.3763325930557846E-2</v>
      </c>
      <c r="BT23" s="190" t="s">
        <v>2682</v>
      </c>
      <c r="BV23" s="198">
        <v>83.896571580065327</v>
      </c>
      <c r="BW23" s="198">
        <v>85.499673590814055</v>
      </c>
      <c r="BX23" s="198">
        <v>1.6031020107487279</v>
      </c>
      <c r="BY23" s="199">
        <v>1.9108075342731182E-2</v>
      </c>
      <c r="CA23" s="200">
        <v>-8.3469056343032229</v>
      </c>
      <c r="CB23" s="200">
        <v>29.841118720303381</v>
      </c>
      <c r="CC23" s="200">
        <v>21.494213086000158</v>
      </c>
    </row>
    <row r="24" spans="2:81">
      <c r="B24" s="64" t="s">
        <v>423</v>
      </c>
      <c r="C24" s="64" t="s">
        <v>423</v>
      </c>
      <c r="D24" s="192" t="s">
        <v>289</v>
      </c>
      <c r="E24" s="172">
        <v>2654.74</v>
      </c>
      <c r="F24" s="172">
        <v>2785.9050000000002</v>
      </c>
      <c r="G24" s="172">
        <v>2815.7310000000002</v>
      </c>
      <c r="H24" s="172">
        <v>2511.2460000000001</v>
      </c>
      <c r="I24" s="172">
        <v>2676.2869999999998</v>
      </c>
      <c r="J24" s="172">
        <v>1838.963</v>
      </c>
      <c r="K24" s="172">
        <v>1716.578</v>
      </c>
      <c r="L24" s="172">
        <v>1683.7170000000001</v>
      </c>
      <c r="M24" s="172">
        <v>2058.1179999999999</v>
      </c>
      <c r="N24" s="172">
        <v>2641.3429999999998</v>
      </c>
      <c r="O24" s="172">
        <v>2855.0949999999998</v>
      </c>
      <c r="P24" s="172">
        <v>3067.3119999999999</v>
      </c>
      <c r="Q24" s="172">
        <v>29305.035</v>
      </c>
      <c r="R24" s="172">
        <v>2742.7719999999999</v>
      </c>
      <c r="S24" s="172">
        <v>2753.6010000000001</v>
      </c>
      <c r="T24" s="172">
        <v>2868.085</v>
      </c>
      <c r="U24" s="172">
        <v>2509.1460000000002</v>
      </c>
      <c r="V24" s="172">
        <v>2608.922</v>
      </c>
      <c r="W24" s="172">
        <v>1819.7449999999999</v>
      </c>
      <c r="X24" s="172">
        <v>1674.287</v>
      </c>
      <c r="Y24" s="172">
        <v>1661.1469999999999</v>
      </c>
      <c r="Z24" s="172">
        <v>2015.163</v>
      </c>
      <c r="AA24" s="172">
        <v>2657.9949999999999</v>
      </c>
      <c r="AB24" s="172">
        <v>2920.5059999999999</v>
      </c>
      <c r="AC24" s="172">
        <v>3130.058</v>
      </c>
      <c r="AD24" s="172" t="e">
        <f>#REF!</f>
        <v>#REF!</v>
      </c>
      <c r="AE24" s="185">
        <f>SUM('TCD Moyenn histo Eliott'!GL41:GW41)/1000</f>
        <v>29407.165170606033</v>
      </c>
      <c r="AF24" s="172"/>
      <c r="AG24" s="193"/>
      <c r="AH24" s="185" t="e">
        <f>AE24-#REF!</f>
        <v>#REF!</v>
      </c>
      <c r="AI24" s="184" t="e">
        <f>AH24*BW24</f>
        <v>#REF!</v>
      </c>
      <c r="AJ24" s="172" t="s">
        <v>2713</v>
      </c>
      <c r="AK24" s="61"/>
      <c r="AM24" s="64" t="s">
        <v>423</v>
      </c>
      <c r="AN24" s="64" t="s">
        <v>423</v>
      </c>
      <c r="AO24" s="192" t="s">
        <v>289</v>
      </c>
      <c r="AP24" s="172">
        <v>247.74033679999999</v>
      </c>
      <c r="AQ24" s="172">
        <v>259.98065460000004</v>
      </c>
      <c r="AR24" s="172">
        <v>262.76401692000002</v>
      </c>
      <c r="AS24" s="172">
        <v>234.34947672000001</v>
      </c>
      <c r="AT24" s="172">
        <v>249.75110284000002</v>
      </c>
      <c r="AU24" s="172">
        <v>171.61202716</v>
      </c>
      <c r="AV24" s="172">
        <v>160.19105895999999</v>
      </c>
      <c r="AW24" s="172">
        <v>157.12447044000001</v>
      </c>
      <c r="AX24" s="172">
        <v>192.06357176</v>
      </c>
      <c r="AY24" s="172">
        <v>246.49012876</v>
      </c>
      <c r="AZ24" s="172">
        <v>268.03631860000002</v>
      </c>
      <c r="BA24" s="172">
        <v>287.95925055999999</v>
      </c>
      <c r="BB24" s="172">
        <v>2738.062414120001</v>
      </c>
      <c r="BC24" s="172">
        <v>260.01478559999998</v>
      </c>
      <c r="BD24" s="172">
        <v>261.04137479999997</v>
      </c>
      <c r="BE24" s="172">
        <v>271.89445799999999</v>
      </c>
      <c r="BF24" s="172">
        <v>237.86704079999998</v>
      </c>
      <c r="BG24" s="172">
        <v>247.3258056</v>
      </c>
      <c r="BH24" s="172">
        <v>172.51182600000001</v>
      </c>
      <c r="BI24" s="172">
        <v>158.7224076</v>
      </c>
      <c r="BJ24" s="172">
        <v>157.47673560000001</v>
      </c>
      <c r="BK24" s="172">
        <v>191.03745240000001</v>
      </c>
      <c r="BL24" s="172">
        <v>251.977926</v>
      </c>
      <c r="BM24" s="172">
        <v>280.62266002200005</v>
      </c>
      <c r="BN24" s="172">
        <v>300.75788304599996</v>
      </c>
      <c r="BO24" s="172">
        <v>2791.2503554679997</v>
      </c>
      <c r="BP24" s="214">
        <v>53.187941347998731</v>
      </c>
      <c r="BQ24" s="217">
        <v>5.3609175754826559</v>
      </c>
      <c r="BR24" s="218">
        <v>47.827023772516</v>
      </c>
      <c r="BS24" s="193">
        <v>1.9425394057386081E-2</v>
      </c>
      <c r="BT24" s="190" t="s">
        <v>2683</v>
      </c>
      <c r="BV24" s="198">
        <v>93.433173313732652</v>
      </c>
      <c r="BW24" s="198">
        <v>95.06521448933664</v>
      </c>
      <c r="BX24" s="198">
        <v>1.6320411756039874</v>
      </c>
      <c r="BY24" s="199">
        <v>1.7467470254102058E-2</v>
      </c>
      <c r="CA24" s="200">
        <v>5.3609175754826559</v>
      </c>
      <c r="CB24" s="200">
        <v>47.827023772516</v>
      </c>
      <c r="CC24" s="200">
        <v>53.18794134799866</v>
      </c>
    </row>
    <row r="25" spans="2:81">
      <c r="B25" s="64" t="s">
        <v>425</v>
      </c>
      <c r="C25" s="64" t="s">
        <v>425</v>
      </c>
      <c r="D25" s="192" t="s">
        <v>296</v>
      </c>
      <c r="E25" s="172">
        <v>2179.9389999999999</v>
      </c>
      <c r="F25" s="172">
        <v>2090.8560000000002</v>
      </c>
      <c r="G25" s="172">
        <v>1923.7349999999999</v>
      </c>
      <c r="H25" s="172">
        <v>1690.1089999999999</v>
      </c>
      <c r="I25" s="172">
        <v>1631.9480000000001</v>
      </c>
      <c r="J25" s="172">
        <v>1523.4780000000001</v>
      </c>
      <c r="K25" s="172">
        <v>1522.251</v>
      </c>
      <c r="L25" s="172">
        <v>1494.2750000000001</v>
      </c>
      <c r="M25" s="172">
        <v>1652.5619999999999</v>
      </c>
      <c r="N25" s="172">
        <v>1937.9690000000001</v>
      </c>
      <c r="O25" s="172">
        <v>1987.7860000000001</v>
      </c>
      <c r="P25" s="172">
        <v>2126.1950000000002</v>
      </c>
      <c r="Q25" s="172">
        <v>21761.102999999999</v>
      </c>
      <c r="R25" s="172">
        <v>2179.9389999999999</v>
      </c>
      <c r="S25" s="172">
        <v>2090.8560000000002</v>
      </c>
      <c r="T25" s="172">
        <v>1923.7349999999999</v>
      </c>
      <c r="U25" s="172">
        <v>1690.1089999999999</v>
      </c>
      <c r="V25" s="172">
        <v>1631.9480000000001</v>
      </c>
      <c r="W25" s="172">
        <v>1523.4780000000001</v>
      </c>
      <c r="X25" s="172">
        <v>1522.251</v>
      </c>
      <c r="Y25" s="172">
        <v>1494.2750000000001</v>
      </c>
      <c r="Z25" s="172">
        <v>1652.5619999999999</v>
      </c>
      <c r="AA25" s="172">
        <v>1937.9690000000001</v>
      </c>
      <c r="AB25" s="172">
        <v>1987.7860000000001</v>
      </c>
      <c r="AC25" s="172">
        <v>2126.1950000000002</v>
      </c>
      <c r="AD25" s="172"/>
      <c r="AE25" s="172">
        <v>21761.102999999999</v>
      </c>
      <c r="AF25" s="172"/>
      <c r="AG25" s="193"/>
      <c r="AH25" s="172" t="e">
        <f>AE25-#REF!</f>
        <v>#REF!</v>
      </c>
      <c r="AI25" s="181" t="e">
        <f t="shared" ref="AI25:AI80" si="1">AH25*BW25</f>
        <v>#REF!</v>
      </c>
      <c r="AJ25" s="172" t="s">
        <v>2716</v>
      </c>
      <c r="AM25" s="64" t="s">
        <v>425</v>
      </c>
      <c r="AN25" s="64" t="s">
        <v>425</v>
      </c>
      <c r="AO25" s="192" t="s">
        <v>296</v>
      </c>
      <c r="AP25" s="172">
        <v>203.41010808999999</v>
      </c>
      <c r="AQ25" s="172">
        <v>195.09777335999999</v>
      </c>
      <c r="AR25" s="172">
        <v>179.50371285</v>
      </c>
      <c r="AS25" s="172">
        <v>157.70407079</v>
      </c>
      <c r="AT25" s="172">
        <v>152.27706787999998</v>
      </c>
      <c r="AU25" s="172">
        <v>142.15573218</v>
      </c>
      <c r="AV25" s="172">
        <v>142.04124080999998</v>
      </c>
      <c r="AW25" s="172">
        <v>139.43080025</v>
      </c>
      <c r="AX25" s="172">
        <v>154.20056022</v>
      </c>
      <c r="AY25" s="172">
        <v>180.83188738999999</v>
      </c>
      <c r="AZ25" s="172">
        <v>186.59347182000002</v>
      </c>
      <c r="BA25" s="172">
        <v>199.58592465000001</v>
      </c>
      <c r="BB25" s="172">
        <v>2032.8323502900009</v>
      </c>
      <c r="BC25" s="172">
        <v>206.54922025000002</v>
      </c>
      <c r="BD25" s="172">
        <v>198.10860600000001</v>
      </c>
      <c r="BE25" s="172">
        <v>182.27389124999999</v>
      </c>
      <c r="BF25" s="172">
        <v>160.13782774999999</v>
      </c>
      <c r="BG25" s="172">
        <v>154.627073</v>
      </c>
      <c r="BH25" s="172">
        <v>144.34954049999999</v>
      </c>
      <c r="BI25" s="172">
        <v>144.23328225</v>
      </c>
      <c r="BJ25" s="172">
        <v>141.58255624999998</v>
      </c>
      <c r="BK25" s="172">
        <v>156.58024950000001</v>
      </c>
      <c r="BL25" s="172">
        <v>183.62256275000001</v>
      </c>
      <c r="BM25" s="172">
        <v>190.86124836200003</v>
      </c>
      <c r="BN25" s="172">
        <v>204.150865315</v>
      </c>
      <c r="BO25" s="172">
        <v>2067.076923177</v>
      </c>
      <c r="BP25" s="214">
        <v>34.244572886999094</v>
      </c>
      <c r="BQ25" s="217">
        <v>0</v>
      </c>
      <c r="BR25" s="218">
        <v>34.244572886999073</v>
      </c>
      <c r="BS25" s="193">
        <v>1.6845743763431287E-2</v>
      </c>
      <c r="BT25" s="190" t="s">
        <v>2684</v>
      </c>
      <c r="BV25" s="198">
        <v>93.415869144592577</v>
      </c>
      <c r="BW25" s="198">
        <v>94.989528939640607</v>
      </c>
      <c r="BX25" s="198">
        <v>1.5736597950480302</v>
      </c>
      <c r="BY25" s="199">
        <v>1.6845743763431252E-2</v>
      </c>
      <c r="CA25" s="200">
        <v>0</v>
      </c>
      <c r="CB25" s="200">
        <v>34.244572886999073</v>
      </c>
      <c r="CC25" s="200">
        <v>34.244572886999073</v>
      </c>
    </row>
    <row r="26" spans="2:81">
      <c r="B26" s="64" t="s">
        <v>427</v>
      </c>
      <c r="C26" s="64" t="s">
        <v>427</v>
      </c>
      <c r="D26" s="192" t="s">
        <v>2631</v>
      </c>
      <c r="E26" s="172">
        <v>7300</v>
      </c>
      <c r="F26" s="172">
        <v>6200</v>
      </c>
      <c r="G26" s="172">
        <v>6400</v>
      </c>
      <c r="H26" s="172">
        <v>4800</v>
      </c>
      <c r="I26" s="172">
        <v>4800</v>
      </c>
      <c r="J26" s="172">
        <v>3200</v>
      </c>
      <c r="K26" s="172">
        <v>3500</v>
      </c>
      <c r="L26" s="172">
        <v>3600</v>
      </c>
      <c r="M26" s="172">
        <v>3800</v>
      </c>
      <c r="N26" s="172">
        <v>5200</v>
      </c>
      <c r="O26" s="172">
        <v>5500</v>
      </c>
      <c r="P26" s="172">
        <v>6800</v>
      </c>
      <c r="Q26" s="172">
        <v>61100</v>
      </c>
      <c r="R26" s="172">
        <v>7670.3879999999999</v>
      </c>
      <c r="S26" s="172">
        <v>6882.1779999999999</v>
      </c>
      <c r="T26" s="172">
        <v>5962.1049999999996</v>
      </c>
      <c r="U26" s="172">
        <v>4361.5240000000003</v>
      </c>
      <c r="V26" s="172">
        <v>4077.9630000000002</v>
      </c>
      <c r="W26" s="172">
        <v>3358.9650000000001</v>
      </c>
      <c r="X26" s="172">
        <v>3076.7310000000002</v>
      </c>
      <c r="Y26" s="172">
        <v>3098.2069999999999</v>
      </c>
      <c r="Z26" s="172">
        <v>3304.8620000000001</v>
      </c>
      <c r="AA26" s="172">
        <v>5141.1459999999997</v>
      </c>
      <c r="AB26" s="172">
        <v>5795.3639999999996</v>
      </c>
      <c r="AC26" s="172">
        <v>7662.2629999999999</v>
      </c>
      <c r="AD26" s="172"/>
      <c r="AE26" s="276">
        <v>60391.696000000004</v>
      </c>
      <c r="AF26" s="172"/>
      <c r="AG26" s="193"/>
      <c r="AH26" s="172" t="e">
        <f>AE26-#REF!</f>
        <v>#REF!</v>
      </c>
      <c r="AI26" s="181" t="e">
        <f t="shared" si="1"/>
        <v>#REF!</v>
      </c>
      <c r="AJ26" s="172" t="s">
        <v>2715</v>
      </c>
      <c r="AM26" s="64" t="s">
        <v>427</v>
      </c>
      <c r="AN26" s="64" t="s">
        <v>427</v>
      </c>
      <c r="AO26" s="192" t="s">
        <v>2631</v>
      </c>
      <c r="AP26" s="172">
        <v>681.74699999999996</v>
      </c>
      <c r="AQ26" s="172">
        <v>579.01800000000003</v>
      </c>
      <c r="AR26" s="172">
        <v>597.69600000000003</v>
      </c>
      <c r="AS26" s="172">
        <v>448.27199999999999</v>
      </c>
      <c r="AT26" s="172">
        <v>448.27199999999999</v>
      </c>
      <c r="AU26" s="172">
        <v>298.84800000000001</v>
      </c>
      <c r="AV26" s="172">
        <v>326.86500000000001</v>
      </c>
      <c r="AW26" s="172">
        <v>336.20400000000001</v>
      </c>
      <c r="AX26" s="172">
        <v>354.88200000000001</v>
      </c>
      <c r="AY26" s="172">
        <v>485.62799999999999</v>
      </c>
      <c r="AZ26" s="172">
        <v>516.72500000000002</v>
      </c>
      <c r="BA26" s="172">
        <v>638.86</v>
      </c>
      <c r="BB26" s="172">
        <v>5713.0169999999998</v>
      </c>
      <c r="BC26" s="172">
        <v>727.50562024800001</v>
      </c>
      <c r="BD26" s="172">
        <v>652.74705458800008</v>
      </c>
      <c r="BE26" s="172">
        <v>565.48181082999997</v>
      </c>
      <c r="BF26" s="172">
        <v>413.67310530400005</v>
      </c>
      <c r="BG26" s="172">
        <v>386.77847869800001</v>
      </c>
      <c r="BH26" s="172">
        <v>318.58439439</v>
      </c>
      <c r="BI26" s="172">
        <v>291.81562842599999</v>
      </c>
      <c r="BJ26" s="172">
        <v>293.85254112200005</v>
      </c>
      <c r="BK26" s="172">
        <v>313.45294125200002</v>
      </c>
      <c r="BL26" s="172">
        <v>487.61713351600002</v>
      </c>
      <c r="BM26" s="172">
        <v>557.04459231600003</v>
      </c>
      <c r="BN26" s="172">
        <v>736.48905729699993</v>
      </c>
      <c r="BO26" s="172">
        <v>5745.0423579869994</v>
      </c>
      <c r="BP26" s="214">
        <v>32.025357986999552</v>
      </c>
      <c r="BQ26" s="217">
        <v>-67.380728673882629</v>
      </c>
      <c r="BR26" s="218">
        <v>99.406086660881101</v>
      </c>
      <c r="BS26" s="193">
        <v>5.6056822493262271E-3</v>
      </c>
      <c r="BT26" s="190" t="s">
        <v>2684</v>
      </c>
      <c r="BV26" s="198">
        <v>93.502733224222595</v>
      </c>
      <c r="BW26" s="198">
        <v>95.12967408610281</v>
      </c>
      <c r="BX26" s="198">
        <v>1.6269408618802146</v>
      </c>
      <c r="BY26" s="199">
        <v>1.7399928384753818E-2</v>
      </c>
      <c r="CA26" s="200">
        <v>-67.380728673882629</v>
      </c>
      <c r="CB26" s="200">
        <v>99.406086660881101</v>
      </c>
      <c r="CC26" s="200">
        <v>32.025357986998472</v>
      </c>
    </row>
    <row r="27" spans="2:81">
      <c r="B27" s="64" t="s">
        <v>429</v>
      </c>
      <c r="C27" s="64" t="s">
        <v>429</v>
      </c>
      <c r="D27" s="192" t="s">
        <v>297</v>
      </c>
      <c r="E27" s="172">
        <v>2480.5140000000001</v>
      </c>
      <c r="F27" s="172">
        <v>2468.3739999999998</v>
      </c>
      <c r="G27" s="172">
        <v>2310.8969999999999</v>
      </c>
      <c r="H27" s="172">
        <v>2115.3159999999998</v>
      </c>
      <c r="I27" s="172">
        <v>2013.1410000000001</v>
      </c>
      <c r="J27" s="172">
        <v>1910.2919999999999</v>
      </c>
      <c r="K27" s="172">
        <v>1895.1179999999999</v>
      </c>
      <c r="L27" s="172">
        <v>1832.3969999999999</v>
      </c>
      <c r="M27" s="172">
        <v>2003.6990000000001</v>
      </c>
      <c r="N27" s="172">
        <v>2250.8739999999998</v>
      </c>
      <c r="O27" s="172">
        <v>2272.7930000000001</v>
      </c>
      <c r="P27" s="172">
        <v>2429.5949999999998</v>
      </c>
      <c r="Q27" s="172">
        <v>25983.01</v>
      </c>
      <c r="R27" s="172">
        <v>2819.1860000000001</v>
      </c>
      <c r="S27" s="172">
        <v>2622.2150000000001</v>
      </c>
      <c r="T27" s="172">
        <v>2327.5160000000001</v>
      </c>
      <c r="U27" s="172">
        <v>1793.84</v>
      </c>
      <c r="V27" s="172">
        <v>1666.404</v>
      </c>
      <c r="W27" s="172">
        <v>1428.8420000000001</v>
      </c>
      <c r="X27" s="172">
        <v>1465.01</v>
      </c>
      <c r="Y27" s="172">
        <v>1264.26</v>
      </c>
      <c r="Z27" s="172">
        <v>1474.21</v>
      </c>
      <c r="AA27" s="172">
        <v>1805.9770000000001</v>
      </c>
      <c r="AB27" s="172">
        <v>2253.616</v>
      </c>
      <c r="AC27" s="172">
        <v>2909.61</v>
      </c>
      <c r="AD27" s="172" t="e">
        <f>#REF!</f>
        <v>#REF!</v>
      </c>
      <c r="AE27" s="185">
        <f>SUM('TCD Moyenn histo Eliott'!GL65:GW65)/1000</f>
        <v>24011.398179089287</v>
      </c>
      <c r="AF27" s="172"/>
      <c r="AG27" s="193"/>
      <c r="AH27" s="185" t="e">
        <f>AE27-#REF!</f>
        <v>#REF!</v>
      </c>
      <c r="AI27" s="184" t="e">
        <f t="shared" si="1"/>
        <v>#REF!</v>
      </c>
      <c r="AJ27" s="172" t="s">
        <v>2715</v>
      </c>
      <c r="AK27" s="61"/>
      <c r="AM27" s="64" t="s">
        <v>429</v>
      </c>
      <c r="AN27" s="64" t="s">
        <v>429</v>
      </c>
      <c r="AO27" s="192" t="s">
        <v>297</v>
      </c>
      <c r="AP27" s="172">
        <v>231.45676133999999</v>
      </c>
      <c r="AQ27" s="172">
        <v>230.32397794000002</v>
      </c>
      <c r="AR27" s="172">
        <v>215.62979907000002</v>
      </c>
      <c r="AS27" s="172">
        <v>197.38013596000002</v>
      </c>
      <c r="AT27" s="172">
        <v>187.84618671000001</v>
      </c>
      <c r="AU27" s="172">
        <v>178.24934651999999</v>
      </c>
      <c r="AV27" s="172">
        <v>176.83346058000001</v>
      </c>
      <c r="AW27" s="172">
        <v>170.98096407</v>
      </c>
      <c r="AX27" s="172">
        <v>186.96515368999999</v>
      </c>
      <c r="AY27" s="172">
        <v>210.02905293999999</v>
      </c>
      <c r="AZ27" s="172">
        <v>213.34707891000002</v>
      </c>
      <c r="BA27" s="172">
        <v>228.06608265</v>
      </c>
      <c r="BB27" s="172">
        <v>2427.1080003800002</v>
      </c>
      <c r="BC27" s="172">
        <v>267.11787349999997</v>
      </c>
      <c r="BD27" s="172">
        <v>248.45487125</v>
      </c>
      <c r="BE27" s="172">
        <v>220.532141</v>
      </c>
      <c r="BF27" s="172">
        <v>169.96634</v>
      </c>
      <c r="BG27" s="172">
        <v>157.89177900000001</v>
      </c>
      <c r="BH27" s="172">
        <v>135.3827795</v>
      </c>
      <c r="BI27" s="172">
        <v>138.8096975</v>
      </c>
      <c r="BJ27" s="172">
        <v>119.788635</v>
      </c>
      <c r="BK27" s="172">
        <v>139.6813975</v>
      </c>
      <c r="BL27" s="172">
        <v>171.11632075</v>
      </c>
      <c r="BM27" s="172">
        <v>216.38544747200001</v>
      </c>
      <c r="BN27" s="172">
        <v>279.37202337000002</v>
      </c>
      <c r="BO27" s="172">
        <v>2264.499305842</v>
      </c>
      <c r="BP27" s="214">
        <v>-162.60869453800024</v>
      </c>
      <c r="BQ27" s="217">
        <v>-204.52353759128331</v>
      </c>
      <c r="BR27" s="218">
        <v>41.914843053283292</v>
      </c>
      <c r="BS27" s="193">
        <v>-6.6996892809278119E-2</v>
      </c>
      <c r="BT27" s="190" t="s">
        <v>2684</v>
      </c>
      <c r="BV27" s="198">
        <v>93.411348430378169</v>
      </c>
      <c r="BW27" s="198">
        <v>95.024511918876357</v>
      </c>
      <c r="BX27" s="198">
        <v>1.6131634884981878</v>
      </c>
      <c r="BY27" s="199">
        <v>1.7269459392297706E-2</v>
      </c>
      <c r="CA27" s="200">
        <v>-204.52353759128331</v>
      </c>
      <c r="CB27" s="200">
        <v>41.914843053283292</v>
      </c>
      <c r="CC27" s="200">
        <v>-162.60869453800001</v>
      </c>
    </row>
    <row r="28" spans="2:81">
      <c r="B28" s="64" t="s">
        <v>437</v>
      </c>
      <c r="C28" s="64" t="s">
        <v>437</v>
      </c>
      <c r="D28" s="192" t="s">
        <v>2632</v>
      </c>
      <c r="E28" s="172">
        <v>9003.3829999999998</v>
      </c>
      <c r="F28" s="172">
        <v>8959.3209999999999</v>
      </c>
      <c r="G28" s="172">
        <v>8387.7360000000008</v>
      </c>
      <c r="H28" s="172">
        <v>7677.8440000000001</v>
      </c>
      <c r="I28" s="172">
        <v>7306.9870000000001</v>
      </c>
      <c r="J28" s="172">
        <v>6933.6819999999998</v>
      </c>
      <c r="K28" s="172">
        <v>6878.6040000000003</v>
      </c>
      <c r="L28" s="172">
        <v>6650.9489999999996</v>
      </c>
      <c r="M28" s="172">
        <v>7272.7160000000003</v>
      </c>
      <c r="N28" s="172">
        <v>8169.8720000000003</v>
      </c>
      <c r="O28" s="172">
        <v>8249.4290000000001</v>
      </c>
      <c r="P28" s="172">
        <v>8818.5660000000007</v>
      </c>
      <c r="Q28" s="172">
        <v>94309.089000000007</v>
      </c>
      <c r="R28" s="172">
        <v>10523.075999999999</v>
      </c>
      <c r="S28" s="172">
        <v>9387.9760000000006</v>
      </c>
      <c r="T28" s="172">
        <v>8524.2919999999995</v>
      </c>
      <c r="U28" s="172">
        <v>6689.2640000000001</v>
      </c>
      <c r="V28" s="172">
        <v>6420.3890000000001</v>
      </c>
      <c r="W28" s="172">
        <v>6158.1279999999997</v>
      </c>
      <c r="X28" s="172">
        <v>5365.6679999999997</v>
      </c>
      <c r="Y28" s="172">
        <v>5429.7709999999997</v>
      </c>
      <c r="Z28" s="172">
        <v>4802.0569999999998</v>
      </c>
      <c r="AA28" s="172">
        <v>7618.6360000000004</v>
      </c>
      <c r="AB28" s="172">
        <v>8561.4509999999991</v>
      </c>
      <c r="AC28" s="172">
        <v>11157.68</v>
      </c>
      <c r="AD28" s="172" t="e">
        <f>#REF!</f>
        <v>#REF!</v>
      </c>
      <c r="AE28" s="185">
        <f>((SUM('TCD Moyenn histo Eliott'!GL48:GW48)+SUM('TCD Moyenn histo Eliott'!GL49:GW49)+SUM('TCD Moyenn histo Eliott'!GL51:GW51)+SUM('TCD Moyenn histo Eliott'!GL58:GW58))/1000)*(1+3.5%)</f>
        <v>91248.402148142355</v>
      </c>
      <c r="AF28" s="172"/>
      <c r="AG28" s="193"/>
      <c r="AH28" s="185" t="e">
        <f>AE28-#REF!</f>
        <v>#REF!</v>
      </c>
      <c r="AI28" s="184" t="e">
        <f t="shared" si="1"/>
        <v>#REF!</v>
      </c>
      <c r="AJ28" s="172" t="s">
        <v>2717</v>
      </c>
      <c r="AK28" s="61"/>
      <c r="AM28" s="64" t="s">
        <v>437</v>
      </c>
      <c r="AN28" s="64" t="s">
        <v>437</v>
      </c>
      <c r="AO28" s="192" t="s">
        <v>2632</v>
      </c>
      <c r="AP28" s="172">
        <v>848.38878009000007</v>
      </c>
      <c r="AQ28" s="172">
        <v>844.23681782999995</v>
      </c>
      <c r="AR28" s="172">
        <v>790.37636328000008</v>
      </c>
      <c r="AS28" s="172">
        <v>723.48324012</v>
      </c>
      <c r="AT28" s="172">
        <v>688.53738500999998</v>
      </c>
      <c r="AU28" s="172">
        <v>653.36085486000002</v>
      </c>
      <c r="AV28" s="172">
        <v>648.17085492000001</v>
      </c>
      <c r="AW28" s="172">
        <v>626.71892427</v>
      </c>
      <c r="AX28" s="172">
        <v>685.30802868000001</v>
      </c>
      <c r="AY28" s="172">
        <v>769.84703855999999</v>
      </c>
      <c r="AZ28" s="172">
        <v>782.04586919999997</v>
      </c>
      <c r="BA28" s="172">
        <v>836.00005680000004</v>
      </c>
      <c r="BB28" s="172">
        <v>8896.4742136200002</v>
      </c>
      <c r="BC28" s="172">
        <v>1007.7949885200001</v>
      </c>
      <c r="BD28" s="172">
        <v>898.97380580800007</v>
      </c>
      <c r="BE28" s="172">
        <v>816.294726212</v>
      </c>
      <c r="BF28" s="172">
        <v>640.57729916799997</v>
      </c>
      <c r="BG28" s="172">
        <v>614.82929141800003</v>
      </c>
      <c r="BH28" s="172">
        <v>589.69617915200001</v>
      </c>
      <c r="BI28" s="172">
        <v>507.28098405600002</v>
      </c>
      <c r="BJ28" s="172">
        <v>513.60746866099998</v>
      </c>
      <c r="BK28" s="172">
        <v>440.55991740799999</v>
      </c>
      <c r="BL28" s="172">
        <v>698.103235316</v>
      </c>
      <c r="BM28" s="172">
        <v>795.16188452699998</v>
      </c>
      <c r="BN28" s="172">
        <v>1037.13982904</v>
      </c>
      <c r="BO28" s="172">
        <v>8560.0196092859987</v>
      </c>
      <c r="BP28" s="214">
        <v>-336.45460433400149</v>
      </c>
      <c r="BQ28" s="217">
        <v>-346.66627720503737</v>
      </c>
      <c r="BR28" s="218">
        <v>10.211672871034907</v>
      </c>
      <c r="BS28" s="193">
        <v>-3.7818870291211337E-2</v>
      </c>
      <c r="BT28" s="172" t="s">
        <v>2678</v>
      </c>
      <c r="BV28" s="198">
        <v>94.333158213626689</v>
      </c>
      <c r="BW28" s="198">
        <v>94.441436991200661</v>
      </c>
      <c r="BX28" s="198">
        <v>0.10827877757397175</v>
      </c>
      <c r="BY28" s="199">
        <v>1.1478336952184282E-3</v>
      </c>
      <c r="CA28" s="200">
        <v>-346.66627720503737</v>
      </c>
      <c r="CB28" s="200">
        <v>10.211672871034907</v>
      </c>
      <c r="CC28" s="200">
        <v>-336.45460433400245</v>
      </c>
    </row>
    <row r="29" spans="2:81">
      <c r="B29" s="64" t="s">
        <v>260</v>
      </c>
      <c r="C29" s="64" t="s">
        <v>260</v>
      </c>
      <c r="D29" s="192" t="s">
        <v>537</v>
      </c>
      <c r="E29" s="172">
        <v>1904.569</v>
      </c>
      <c r="F29" s="172">
        <v>1835.252</v>
      </c>
      <c r="G29" s="172">
        <v>1703.6590000000001</v>
      </c>
      <c r="H29" s="172">
        <v>1497.6890000000001</v>
      </c>
      <c r="I29" s="172">
        <v>1449.9369999999999</v>
      </c>
      <c r="J29" s="172">
        <v>1366.9760000000001</v>
      </c>
      <c r="K29" s="172">
        <v>1373.578</v>
      </c>
      <c r="L29" s="172">
        <v>1355.0940000000001</v>
      </c>
      <c r="M29" s="172">
        <v>1480.9649999999999</v>
      </c>
      <c r="N29" s="172">
        <v>1699.038</v>
      </c>
      <c r="O29" s="172">
        <v>1726.5449979999999</v>
      </c>
      <c r="P29" s="172">
        <v>1839.873</v>
      </c>
      <c r="Q29" s="172">
        <v>19233.174997999999</v>
      </c>
      <c r="R29" s="172">
        <v>2373.6089999999999</v>
      </c>
      <c r="S29" s="172">
        <v>2076.1419999999998</v>
      </c>
      <c r="T29" s="172">
        <v>1785.317</v>
      </c>
      <c r="U29" s="172">
        <v>1357.856</v>
      </c>
      <c r="V29" s="172">
        <v>1284.319</v>
      </c>
      <c r="W29" s="172">
        <v>1054.6959999999999</v>
      </c>
      <c r="X29" s="172">
        <v>1091.2270000000001</v>
      </c>
      <c r="Y29" s="172">
        <v>1057.5419999999999</v>
      </c>
      <c r="Z29" s="172">
        <v>1299.501</v>
      </c>
      <c r="AA29" s="172">
        <v>1800.0239999999999</v>
      </c>
      <c r="AB29" s="172">
        <v>1901.078</v>
      </c>
      <c r="AC29" s="172">
        <v>2223.6889999999999</v>
      </c>
      <c r="AD29" s="172"/>
      <c r="AE29" s="172">
        <v>19305</v>
      </c>
      <c r="AF29" s="172"/>
      <c r="AG29" s="193"/>
      <c r="AH29" s="172" t="e">
        <f>AE29-#REF!</f>
        <v>#REF!</v>
      </c>
      <c r="AI29" s="181" t="e">
        <f t="shared" si="1"/>
        <v>#REF!</v>
      </c>
      <c r="AJ29" s="172" t="s">
        <v>2718</v>
      </c>
      <c r="AM29" s="64" t="s">
        <v>260</v>
      </c>
      <c r="AN29" s="64" t="s">
        <v>260</v>
      </c>
      <c r="AO29" s="192" t="s">
        <v>537</v>
      </c>
      <c r="AP29" s="172">
        <v>165.44990903000001</v>
      </c>
      <c r="AQ29" s="172">
        <v>159.42834124000001</v>
      </c>
      <c r="AR29" s="172">
        <v>147.99685733000001</v>
      </c>
      <c r="AS29" s="172">
        <v>130.10424343</v>
      </c>
      <c r="AT29" s="172">
        <v>125.95602719</v>
      </c>
      <c r="AU29" s="172">
        <v>118.74920512</v>
      </c>
      <c r="AV29" s="172">
        <v>119.32272086</v>
      </c>
      <c r="AW29" s="172">
        <v>117.71701578</v>
      </c>
      <c r="AX29" s="172">
        <v>128.65142954999999</v>
      </c>
      <c r="AY29" s="172">
        <v>147.59543106000001</v>
      </c>
      <c r="AZ29" s="172">
        <v>150.88276737522</v>
      </c>
      <c r="BA29" s="172">
        <v>160.78650146999999</v>
      </c>
      <c r="BB29" s="172">
        <v>1672.64044943522</v>
      </c>
      <c r="BC29" s="172">
        <v>209.23363334999999</v>
      </c>
      <c r="BD29" s="172">
        <v>183.01191729999999</v>
      </c>
      <c r="BE29" s="172">
        <v>157.37569354999999</v>
      </c>
      <c r="BF29" s="172">
        <v>119.6950064</v>
      </c>
      <c r="BG29" s="172">
        <v>113.21271985</v>
      </c>
      <c r="BH29" s="172">
        <v>92.97145239999999</v>
      </c>
      <c r="BI29" s="172">
        <v>96.19166005000001</v>
      </c>
      <c r="BJ29" s="172">
        <v>93.222327300000003</v>
      </c>
      <c r="BK29" s="172">
        <v>114.55101315</v>
      </c>
      <c r="BL29" s="172">
        <v>158.67211559999998</v>
      </c>
      <c r="BM29" s="172">
        <v>169.75676000999999</v>
      </c>
      <c r="BN29" s="172">
        <v>198.56430925500001</v>
      </c>
      <c r="BO29" s="172">
        <v>1706.4586082149999</v>
      </c>
      <c r="BP29" s="214">
        <v>33.818158779779878</v>
      </c>
      <c r="BQ29" s="217">
        <v>6.3489455036499338</v>
      </c>
      <c r="BR29" s="218">
        <v>27.469213276129636</v>
      </c>
      <c r="BS29" s="193">
        <v>2.0218426973471093E-2</v>
      </c>
      <c r="BT29" s="190" t="s">
        <v>2685</v>
      </c>
      <c r="BV29" s="198">
        <v>86.966423880048566</v>
      </c>
      <c r="BW29" s="198">
        <v>88.394644300181284</v>
      </c>
      <c r="BX29" s="198">
        <v>1.4282204201327175</v>
      </c>
      <c r="BY29" s="199">
        <v>1.6422664706814204E-2</v>
      </c>
      <c r="CA29" s="200">
        <v>6.3489455036499338</v>
      </c>
      <c r="CB29" s="200">
        <v>27.469213276129636</v>
      </c>
      <c r="CC29" s="200">
        <v>33.818158779779573</v>
      </c>
    </row>
    <row r="30" spans="2:81">
      <c r="B30" s="64" t="s">
        <v>315</v>
      </c>
      <c r="C30" s="64" t="s">
        <v>315</v>
      </c>
      <c r="D30" s="192" t="s">
        <v>2653</v>
      </c>
      <c r="E30" s="172">
        <v>6185.1120000000001</v>
      </c>
      <c r="F30" s="172">
        <v>5576.4790000000003</v>
      </c>
      <c r="G30" s="172">
        <v>6107.8779999999997</v>
      </c>
      <c r="H30" s="172">
        <v>4821.0259999999998</v>
      </c>
      <c r="I30" s="172">
        <v>3957.6379999999999</v>
      </c>
      <c r="J30" s="172">
        <v>3368.3330000000001</v>
      </c>
      <c r="K30" s="172">
        <v>4327.7280000000001</v>
      </c>
      <c r="L30" s="172">
        <v>3664.3939999999998</v>
      </c>
      <c r="M30" s="172">
        <v>3367.17</v>
      </c>
      <c r="N30" s="172">
        <v>3965.942</v>
      </c>
      <c r="O30" s="172">
        <v>5113.027</v>
      </c>
      <c r="P30" s="172">
        <v>6438.9160000000002</v>
      </c>
      <c r="Q30" s="172">
        <v>56893.642999999996</v>
      </c>
      <c r="R30" s="172">
        <v>5388.1009999999997</v>
      </c>
      <c r="S30" s="172">
        <v>5101.4859999999999</v>
      </c>
      <c r="T30" s="172">
        <v>4549.72</v>
      </c>
      <c r="U30" s="172">
        <v>4140.63</v>
      </c>
      <c r="V30" s="172">
        <v>3448.7130000000002</v>
      </c>
      <c r="W30" s="172">
        <v>2923.462</v>
      </c>
      <c r="X30" s="172">
        <v>2888.1089999999999</v>
      </c>
      <c r="Y30" s="172">
        <v>2619.17</v>
      </c>
      <c r="Z30" s="172">
        <v>3304.7739999999999</v>
      </c>
      <c r="AA30" s="172">
        <v>4076.2359999999999</v>
      </c>
      <c r="AB30" s="172">
        <v>4620.4269999999997</v>
      </c>
      <c r="AC30" s="172">
        <v>5432.2929999999997</v>
      </c>
      <c r="AD30" s="172"/>
      <c r="AE30" s="172">
        <v>48493.120999999999</v>
      </c>
      <c r="AF30" s="172"/>
      <c r="AG30" s="193"/>
      <c r="AH30" s="172" t="e">
        <f>AE30-#REF!</f>
        <v>#REF!</v>
      </c>
      <c r="AI30" s="181" t="e">
        <f t="shared" si="1"/>
        <v>#REF!</v>
      </c>
      <c r="AJ30" s="172" t="s">
        <v>2719</v>
      </c>
      <c r="AM30" s="64" t="s">
        <v>315</v>
      </c>
      <c r="AN30" s="64" t="s">
        <v>315</v>
      </c>
      <c r="AO30" s="192" t="s">
        <v>2653</v>
      </c>
      <c r="AP30" s="172">
        <v>536.92957272000001</v>
      </c>
      <c r="AQ30" s="172">
        <v>484.09414198999997</v>
      </c>
      <c r="AR30" s="172">
        <v>530.2248891800001</v>
      </c>
      <c r="AS30" s="172">
        <v>418.51326705999998</v>
      </c>
      <c r="AT30" s="172">
        <v>343.56255478000003</v>
      </c>
      <c r="AU30" s="172">
        <v>292.40498773000002</v>
      </c>
      <c r="AV30" s="172">
        <v>375.69006767999997</v>
      </c>
      <c r="AW30" s="172">
        <v>318.10604314</v>
      </c>
      <c r="AX30" s="172">
        <v>292.30402769999995</v>
      </c>
      <c r="AY30" s="172">
        <v>344.28342502000004</v>
      </c>
      <c r="AZ30" s="172">
        <v>446.52064790999998</v>
      </c>
      <c r="BA30" s="172">
        <v>562.31053428000007</v>
      </c>
      <c r="BB30" s="172">
        <v>4944.9441591900004</v>
      </c>
      <c r="BC30" s="172">
        <v>474.63781709</v>
      </c>
      <c r="BD30" s="172">
        <v>449.38990174000003</v>
      </c>
      <c r="BE30" s="172">
        <v>400.7848348</v>
      </c>
      <c r="BF30" s="172">
        <v>364.74809670000002</v>
      </c>
      <c r="BG30" s="172">
        <v>303.79712817000001</v>
      </c>
      <c r="BH30" s="172">
        <v>257.52776757999999</v>
      </c>
      <c r="BI30" s="172">
        <v>254.41352180999999</v>
      </c>
      <c r="BJ30" s="172">
        <v>230.72268530000002</v>
      </c>
      <c r="BK30" s="172">
        <v>291.11754165999997</v>
      </c>
      <c r="BL30" s="172">
        <v>359.07562923999996</v>
      </c>
      <c r="BM30" s="172">
        <v>412.25297864800001</v>
      </c>
      <c r="BN30" s="172">
        <v>484.690910632</v>
      </c>
      <c r="BO30" s="172">
        <v>4283.1588133700006</v>
      </c>
      <c r="BP30" s="214">
        <v>-661.78534581999975</v>
      </c>
      <c r="BQ30" s="217">
        <v>-741.97678143274334</v>
      </c>
      <c r="BR30" s="218">
        <v>80.191435612743774</v>
      </c>
      <c r="BS30" s="193">
        <v>-0.13383070152371601</v>
      </c>
      <c r="BT30" s="190" t="s">
        <v>2686</v>
      </c>
      <c r="BV30" s="198">
        <v>86.915583155573302</v>
      </c>
      <c r="BW30" s="198">
        <v>88.325080445327515</v>
      </c>
      <c r="BX30" s="198">
        <v>1.4094972897542135</v>
      </c>
      <c r="BY30" s="199">
        <v>1.6216853624870745E-2</v>
      </c>
      <c r="CA30" s="200">
        <v>-741.97678143274334</v>
      </c>
      <c r="CB30" s="200">
        <v>80.191435612743774</v>
      </c>
      <c r="CC30" s="200">
        <v>-661.78534581999952</v>
      </c>
    </row>
    <row r="31" spans="2:81">
      <c r="B31" s="64" t="s">
        <v>314</v>
      </c>
      <c r="C31" s="64" t="s">
        <v>314</v>
      </c>
      <c r="D31" s="192" t="s">
        <v>541</v>
      </c>
      <c r="E31" s="172">
        <v>1512.8979999999999</v>
      </c>
      <c r="F31" s="172">
        <v>1364.0239999999999</v>
      </c>
      <c r="G31" s="172">
        <v>1494.0060000000001</v>
      </c>
      <c r="H31" s="172">
        <v>1179.2380000000001</v>
      </c>
      <c r="I31" s="172">
        <v>968.05</v>
      </c>
      <c r="J31" s="172">
        <v>823.904</v>
      </c>
      <c r="K31" s="172">
        <v>1058.575</v>
      </c>
      <c r="L31" s="172">
        <v>896.322</v>
      </c>
      <c r="M31" s="172">
        <v>823.62</v>
      </c>
      <c r="N31" s="172">
        <v>970.08100000000002</v>
      </c>
      <c r="O31" s="172">
        <v>1250.662</v>
      </c>
      <c r="P31" s="172">
        <v>1574.979</v>
      </c>
      <c r="Q31" s="172">
        <v>13916.359</v>
      </c>
      <c r="R31" s="172">
        <v>1229.635</v>
      </c>
      <c r="S31" s="172">
        <v>1231.625</v>
      </c>
      <c r="T31" s="172">
        <v>1091.9839999999999</v>
      </c>
      <c r="U31" s="172">
        <v>954.99699999999996</v>
      </c>
      <c r="V31" s="172">
        <v>833.59900000000005</v>
      </c>
      <c r="W31" s="172">
        <v>741.39</v>
      </c>
      <c r="X31" s="172">
        <v>729.44899999999996</v>
      </c>
      <c r="Y31" s="172">
        <v>682.35</v>
      </c>
      <c r="Z31" s="172">
        <v>807.72799999999995</v>
      </c>
      <c r="AA31" s="172">
        <v>1021.667</v>
      </c>
      <c r="AB31" s="172">
        <v>1067.1079999999999</v>
      </c>
      <c r="AC31" s="172">
        <v>1204.758</v>
      </c>
      <c r="AD31" s="172"/>
      <c r="AE31" s="172">
        <v>11596.29</v>
      </c>
      <c r="AF31" s="172"/>
      <c r="AG31" s="193"/>
      <c r="AH31" s="172" t="e">
        <f>AE31-#REF!</f>
        <v>#REF!</v>
      </c>
      <c r="AI31" s="181" t="e">
        <f t="shared" si="1"/>
        <v>#REF!</v>
      </c>
      <c r="AJ31" s="172" t="s">
        <v>2719</v>
      </c>
      <c r="AM31" s="64" t="s">
        <v>314</v>
      </c>
      <c r="AN31" s="64" t="s">
        <v>314</v>
      </c>
      <c r="AO31" s="192" t="s">
        <v>541</v>
      </c>
      <c r="AP31" s="172">
        <v>131.33467537999999</v>
      </c>
      <c r="AQ31" s="172">
        <v>118.41092344</v>
      </c>
      <c r="AR31" s="172">
        <v>129.69466086</v>
      </c>
      <c r="AS31" s="172">
        <v>102.36965078</v>
      </c>
      <c r="AT31" s="172">
        <v>84.036420499999991</v>
      </c>
      <c r="AU31" s="172">
        <v>71.52310623999999</v>
      </c>
      <c r="AV31" s="172">
        <v>91.894895749999989</v>
      </c>
      <c r="AW31" s="172">
        <v>77.809712820000001</v>
      </c>
      <c r="AX31" s="172">
        <v>71.498452200000003</v>
      </c>
      <c r="AY31" s="172">
        <v>84.212731610000006</v>
      </c>
      <c r="AZ31" s="172">
        <v>109.22031246</v>
      </c>
      <c r="BA31" s="172">
        <v>137.54291607000002</v>
      </c>
      <c r="BB31" s="172">
        <v>1209.54845811</v>
      </c>
      <c r="BC31" s="172">
        <v>108.31854715</v>
      </c>
      <c r="BD31" s="172">
        <v>108.49384625</v>
      </c>
      <c r="BE31" s="172">
        <v>96.192870559999989</v>
      </c>
      <c r="BF31" s="172">
        <v>84.125685730000001</v>
      </c>
      <c r="BG31" s="172">
        <v>73.43173591</v>
      </c>
      <c r="BH31" s="172">
        <v>65.309045100000006</v>
      </c>
      <c r="BI31" s="172">
        <v>64.257162409999992</v>
      </c>
      <c r="BJ31" s="172">
        <v>60.108211499999996</v>
      </c>
      <c r="BK31" s="172">
        <v>71.152759520000004</v>
      </c>
      <c r="BL31" s="172">
        <v>89.998646030000003</v>
      </c>
      <c r="BM31" s="172">
        <v>95.211644192000009</v>
      </c>
      <c r="BN31" s="172">
        <v>107.493327792</v>
      </c>
      <c r="BO31" s="172">
        <v>1024.0934821440001</v>
      </c>
      <c r="BP31" s="214">
        <v>-185.45497596599989</v>
      </c>
      <c r="BQ31" s="217">
        <v>-204.89031759505386</v>
      </c>
      <c r="BR31" s="218">
        <v>19.435341629053926</v>
      </c>
      <c r="BS31" s="193">
        <v>-0.1533257925488869</v>
      </c>
      <c r="BT31" s="190" t="s">
        <v>2686</v>
      </c>
      <c r="BV31" s="198">
        <v>86.915583171575264</v>
      </c>
      <c r="BW31" s="198">
        <v>88.312165541220509</v>
      </c>
      <c r="BX31" s="198">
        <v>1.3965823696452446</v>
      </c>
      <c r="BY31" s="199">
        <v>1.6068262084698071E-2</v>
      </c>
      <c r="CA31" s="200">
        <v>-204.89031759505386</v>
      </c>
      <c r="CB31" s="200">
        <v>19.435341629053926</v>
      </c>
      <c r="CC31" s="200">
        <v>-185.45497596599992</v>
      </c>
    </row>
    <row r="32" spans="2:81">
      <c r="B32" s="64" t="s">
        <v>216</v>
      </c>
      <c r="C32" s="64" t="s">
        <v>216</v>
      </c>
      <c r="D32" s="192" t="s">
        <v>2633</v>
      </c>
      <c r="E32" s="172">
        <v>6528.5320000000002</v>
      </c>
      <c r="F32" s="172">
        <v>5164.6080000000002</v>
      </c>
      <c r="G32" s="172">
        <v>6124.7110000000002</v>
      </c>
      <c r="H32" s="172">
        <v>4583.3040000000001</v>
      </c>
      <c r="I32" s="172">
        <v>4810.0420000000004</v>
      </c>
      <c r="J32" s="172">
        <v>4341.9750000000004</v>
      </c>
      <c r="K32" s="172">
        <v>3558.8490000000002</v>
      </c>
      <c r="L32" s="172">
        <v>4188.1450000000004</v>
      </c>
      <c r="M32" s="172">
        <v>4340.4769999999999</v>
      </c>
      <c r="N32" s="172">
        <v>5395.1880000000001</v>
      </c>
      <c r="O32" s="172">
        <v>5621.2290000000003</v>
      </c>
      <c r="P32" s="172">
        <v>5242.9390000000003</v>
      </c>
      <c r="Q32" s="172">
        <v>59899.999000000003</v>
      </c>
      <c r="R32" s="172">
        <v>6693.43</v>
      </c>
      <c r="S32" s="172">
        <v>5879.1989999999996</v>
      </c>
      <c r="T32" s="172">
        <v>5084.9660000000003</v>
      </c>
      <c r="U32" s="172">
        <v>4019.3240000000001</v>
      </c>
      <c r="V32" s="172">
        <v>3736.4850000000001</v>
      </c>
      <c r="W32" s="172">
        <v>3059.3879999999999</v>
      </c>
      <c r="X32" s="172">
        <v>3033.6759999999999</v>
      </c>
      <c r="Y32" s="172">
        <v>2963.68</v>
      </c>
      <c r="Z32" s="172">
        <v>3690.7739999999999</v>
      </c>
      <c r="AA32" s="172">
        <v>5156.3900000000003</v>
      </c>
      <c r="AB32" s="172">
        <v>5366.3760000000002</v>
      </c>
      <c r="AC32" s="172">
        <v>6316.3119999999999</v>
      </c>
      <c r="AD32" s="172"/>
      <c r="AE32" s="172">
        <v>55000</v>
      </c>
      <c r="AF32" s="172"/>
      <c r="AG32" s="193"/>
      <c r="AH32" s="172" t="e">
        <f>AE32-#REF!</f>
        <v>#REF!</v>
      </c>
      <c r="AI32" s="181" t="e">
        <f t="shared" si="1"/>
        <v>#REF!</v>
      </c>
      <c r="AJ32" s="172" t="s">
        <v>2720</v>
      </c>
      <c r="AM32" s="64" t="s">
        <v>216</v>
      </c>
      <c r="AN32" s="64" t="s">
        <v>216</v>
      </c>
      <c r="AO32" s="192" t="s">
        <v>2633</v>
      </c>
      <c r="AP32" s="172">
        <v>564.19573543999991</v>
      </c>
      <c r="AQ32" s="172">
        <v>446.32542336</v>
      </c>
      <c r="AR32" s="172">
        <v>529.29752461999999</v>
      </c>
      <c r="AS32" s="172">
        <v>396.08913167999998</v>
      </c>
      <c r="AT32" s="172">
        <v>415.68382964</v>
      </c>
      <c r="AU32" s="172">
        <v>375.23347950000004</v>
      </c>
      <c r="AV32" s="172">
        <v>307.55573057999999</v>
      </c>
      <c r="AW32" s="172">
        <v>361.93949089999995</v>
      </c>
      <c r="AX32" s="172">
        <v>375.10402234000003</v>
      </c>
      <c r="AY32" s="172">
        <v>466.25214696</v>
      </c>
      <c r="AZ32" s="172">
        <v>488.70964925999999</v>
      </c>
      <c r="BA32" s="172">
        <v>455.82111665999997</v>
      </c>
      <c r="BB32" s="172">
        <v>5182.2072809399997</v>
      </c>
      <c r="BC32" s="172">
        <v>586.98034384999994</v>
      </c>
      <c r="BD32" s="172">
        <v>515.57635630499999</v>
      </c>
      <c r="BE32" s="172">
        <v>445.92609336999999</v>
      </c>
      <c r="BF32" s="172">
        <v>352.47461817999999</v>
      </c>
      <c r="BG32" s="172">
        <v>327.67105207500003</v>
      </c>
      <c r="BH32" s="172">
        <v>268.29303066</v>
      </c>
      <c r="BI32" s="172">
        <v>266.03821681999995</v>
      </c>
      <c r="BJ32" s="172">
        <v>259.89991759999998</v>
      </c>
      <c r="BK32" s="172">
        <v>323.66242593000004</v>
      </c>
      <c r="BL32" s="172">
        <v>452.18962105000003</v>
      </c>
      <c r="BM32" s="172">
        <v>476.69518008</v>
      </c>
      <c r="BN32" s="172">
        <v>561.07799496000007</v>
      </c>
      <c r="BO32" s="172">
        <v>4836.4848508799996</v>
      </c>
      <c r="BP32" s="214">
        <v>-345.72243006000008</v>
      </c>
      <c r="BQ32" s="217">
        <v>-430.88674423322118</v>
      </c>
      <c r="BR32" s="218">
        <v>85.164314173221769</v>
      </c>
      <c r="BS32" s="193">
        <v>-6.6713354236438316E-2</v>
      </c>
      <c r="BT32" s="190" t="s">
        <v>2686</v>
      </c>
      <c r="BV32" s="198">
        <v>86.514313313093695</v>
      </c>
      <c r="BW32" s="198">
        <v>87.936088197818179</v>
      </c>
      <c r="BX32" s="198">
        <v>1.4217748847244849</v>
      </c>
      <c r="BY32" s="199">
        <v>1.6433984508194707E-2</v>
      </c>
      <c r="CA32" s="200">
        <v>-430.88674423322118</v>
      </c>
      <c r="CB32" s="200">
        <v>85.164314173221769</v>
      </c>
      <c r="CC32" s="200">
        <v>-345.7224300599994</v>
      </c>
    </row>
    <row r="33" spans="2:81">
      <c r="B33" s="64" t="s">
        <v>262</v>
      </c>
      <c r="C33" s="64" t="s">
        <v>262</v>
      </c>
      <c r="D33" s="192" t="s">
        <v>2634</v>
      </c>
      <c r="E33" s="172">
        <v>6587.1</v>
      </c>
      <c r="F33" s="172">
        <v>5517.4</v>
      </c>
      <c r="G33" s="172">
        <v>5744.07</v>
      </c>
      <c r="H33" s="172">
        <v>4617.7809999999999</v>
      </c>
      <c r="I33" s="172">
        <v>4448.8379999999997</v>
      </c>
      <c r="J33" s="172">
        <v>3153.607</v>
      </c>
      <c r="K33" s="172">
        <v>3604.1219999999998</v>
      </c>
      <c r="L33" s="172">
        <v>3604.1219999999998</v>
      </c>
      <c r="M33" s="172">
        <v>3604.1219999999998</v>
      </c>
      <c r="N33" s="172">
        <v>4617.7809999999999</v>
      </c>
      <c r="O33" s="172">
        <v>4899.3530000000001</v>
      </c>
      <c r="P33" s="172">
        <v>6025.6419999999998</v>
      </c>
      <c r="Q33" s="172">
        <v>56423.938000000002</v>
      </c>
      <c r="R33" s="172">
        <v>6177.6279999999997</v>
      </c>
      <c r="S33" s="172">
        <v>5563.393</v>
      </c>
      <c r="T33" s="172">
        <v>4819.9219999999996</v>
      </c>
      <c r="U33" s="172">
        <v>3899.2950000000001</v>
      </c>
      <c r="V33" s="172">
        <v>3576.93</v>
      </c>
      <c r="W33" s="172">
        <v>2891.5430000000001</v>
      </c>
      <c r="X33" s="172">
        <v>2791.348</v>
      </c>
      <c r="Y33" s="172">
        <v>2718.7440000000001</v>
      </c>
      <c r="Z33" s="172">
        <v>3529.011</v>
      </c>
      <c r="AA33" s="172">
        <v>4863.4840000000004</v>
      </c>
      <c r="AB33" s="172">
        <v>5101.6270000000004</v>
      </c>
      <c r="AC33" s="172">
        <v>5967.0749999999998</v>
      </c>
      <c r="AD33" s="172"/>
      <c r="AE33" s="172">
        <v>51900</v>
      </c>
      <c r="AF33" s="172"/>
      <c r="AG33" s="193"/>
      <c r="AH33" s="172" t="e">
        <f>AE33-#REF!</f>
        <v>#REF!</v>
      </c>
      <c r="AI33" s="181" t="e">
        <f t="shared" si="1"/>
        <v>#REF!</v>
      </c>
      <c r="AJ33" s="172" t="s">
        <v>2720</v>
      </c>
      <c r="AM33" s="64" t="s">
        <v>262</v>
      </c>
      <c r="AN33" s="64" t="s">
        <v>262</v>
      </c>
      <c r="AO33" s="192" t="s">
        <v>2634</v>
      </c>
      <c r="AP33" s="172">
        <v>568.20324600000004</v>
      </c>
      <c r="AQ33" s="172">
        <v>475.930924</v>
      </c>
      <c r="AR33" s="172">
        <v>495.48347820000004</v>
      </c>
      <c r="AS33" s="172">
        <v>398.32978906</v>
      </c>
      <c r="AT33" s="172">
        <v>383.75676588000005</v>
      </c>
      <c r="AU33" s="172">
        <v>272.03013981999999</v>
      </c>
      <c r="AV33" s="172">
        <v>310.89156371999997</v>
      </c>
      <c r="AW33" s="172">
        <v>310.89156371999997</v>
      </c>
      <c r="AX33" s="172">
        <v>310.89156371999997</v>
      </c>
      <c r="AY33" s="172">
        <v>398.32978906</v>
      </c>
      <c r="AZ33" s="172">
        <v>425.16585333999996</v>
      </c>
      <c r="BA33" s="172">
        <v>522.90521276000004</v>
      </c>
      <c r="BB33" s="172">
        <v>4872.8098892799999</v>
      </c>
      <c r="BC33" s="172">
        <v>540.75866697999993</v>
      </c>
      <c r="BD33" s="172">
        <v>486.99160625499997</v>
      </c>
      <c r="BE33" s="172">
        <v>421.91187227</v>
      </c>
      <c r="BF33" s="172">
        <v>341.32478782499999</v>
      </c>
      <c r="BG33" s="172">
        <v>313.10656754999997</v>
      </c>
      <c r="BH33" s="172">
        <v>253.11121650499999</v>
      </c>
      <c r="BI33" s="172">
        <v>244.34064717999999</v>
      </c>
      <c r="BJ33" s="172">
        <v>237.98525604</v>
      </c>
      <c r="BK33" s="172">
        <v>308.911977885</v>
      </c>
      <c r="BL33" s="172">
        <v>425.72507194000002</v>
      </c>
      <c r="BM33" s="172">
        <v>452.36126609000002</v>
      </c>
      <c r="BN33" s="172">
        <v>529.10054024999999</v>
      </c>
      <c r="BO33" s="172">
        <v>4555.6294767699992</v>
      </c>
      <c r="BP33" s="214">
        <v>-317.18041251000068</v>
      </c>
      <c r="BQ33" s="217">
        <v>-397.09798273371723</v>
      </c>
      <c r="BR33" s="218">
        <v>79.917570223716226</v>
      </c>
      <c r="BS33" s="193">
        <v>-6.5091891478833541E-2</v>
      </c>
      <c r="BT33" s="190" t="s">
        <v>2685</v>
      </c>
      <c r="BV33" s="198">
        <v>86.360684170608579</v>
      </c>
      <c r="BW33" s="198">
        <v>87.777061209441214</v>
      </c>
      <c r="BX33" s="198">
        <v>1.4163770388326355</v>
      </c>
      <c r="BY33" s="199">
        <v>1.6400715816870241E-2</v>
      </c>
      <c r="CA33" s="200">
        <v>-397.09798273371723</v>
      </c>
      <c r="CB33" s="200">
        <v>79.917570223716226</v>
      </c>
      <c r="CC33" s="200">
        <v>-317.18041251000102</v>
      </c>
    </row>
    <row r="34" spans="2:81">
      <c r="B34" s="64" t="s">
        <v>263</v>
      </c>
      <c r="C34" s="64" t="s">
        <v>263</v>
      </c>
      <c r="D34" s="192" t="s">
        <v>546</v>
      </c>
      <c r="E34" s="172">
        <v>2741.4369999999999</v>
      </c>
      <c r="F34" s="172">
        <v>2903.2550000000001</v>
      </c>
      <c r="G34" s="172">
        <v>2875.3090000000002</v>
      </c>
      <c r="H34" s="172">
        <v>2789.2159999999999</v>
      </c>
      <c r="I34" s="172">
        <v>2640.47</v>
      </c>
      <c r="J34" s="172">
        <v>2425.915</v>
      </c>
      <c r="K34" s="172">
        <v>2369.1210000000001</v>
      </c>
      <c r="L34" s="172">
        <v>2265.9</v>
      </c>
      <c r="M34" s="172">
        <v>2378.5859999999998</v>
      </c>
      <c r="N34" s="172">
        <v>2707.18</v>
      </c>
      <c r="O34" s="172">
        <v>2754.509</v>
      </c>
      <c r="P34" s="172">
        <v>2781.1030000000001</v>
      </c>
      <c r="Q34" s="172">
        <v>31632.001</v>
      </c>
      <c r="R34" s="172">
        <v>2722.2469999999998</v>
      </c>
      <c r="S34" s="172">
        <v>2882.9319999999998</v>
      </c>
      <c r="T34" s="172">
        <v>2855.1819999999998</v>
      </c>
      <c r="U34" s="172">
        <v>2769.6909999999998</v>
      </c>
      <c r="V34" s="172">
        <v>2621.9870000000001</v>
      </c>
      <c r="W34" s="172">
        <v>2408.9340000000002</v>
      </c>
      <c r="X34" s="172">
        <v>2352.5369999999998</v>
      </c>
      <c r="Y34" s="172">
        <v>2250.0390000000002</v>
      </c>
      <c r="Z34" s="172">
        <v>2361.9360000000001</v>
      </c>
      <c r="AA34" s="172">
        <v>2688.23</v>
      </c>
      <c r="AB34" s="172">
        <v>2735.2269999999999</v>
      </c>
      <c r="AC34" s="172">
        <v>2761.6350000000002</v>
      </c>
      <c r="AD34" s="172"/>
      <c r="AE34" s="172">
        <v>31410.577000000001</v>
      </c>
      <c r="AF34" s="172"/>
      <c r="AG34" s="193"/>
      <c r="AH34" s="172" t="e">
        <f>AE34-#REF!</f>
        <v>#REF!</v>
      </c>
      <c r="AI34" s="181" t="e">
        <f t="shared" si="1"/>
        <v>#REF!</v>
      </c>
      <c r="AJ34" s="172" t="s">
        <v>2721</v>
      </c>
      <c r="AM34" s="64" t="s">
        <v>263</v>
      </c>
      <c r="AN34" s="64" t="s">
        <v>263</v>
      </c>
      <c r="AO34" s="192" t="s">
        <v>546</v>
      </c>
      <c r="AP34" s="172">
        <v>235.73616763000001</v>
      </c>
      <c r="AQ34" s="172">
        <v>249.65089745</v>
      </c>
      <c r="AR34" s="172">
        <v>247.24782091</v>
      </c>
      <c r="AS34" s="172">
        <v>239.84468384000002</v>
      </c>
      <c r="AT34" s="172">
        <v>227.0540153</v>
      </c>
      <c r="AU34" s="172">
        <v>208.60443085</v>
      </c>
      <c r="AV34" s="172">
        <v>203.72071478999999</v>
      </c>
      <c r="AW34" s="172">
        <v>194.844741</v>
      </c>
      <c r="AX34" s="172">
        <v>204.53461014000001</v>
      </c>
      <c r="AY34" s="172">
        <v>232.7904082</v>
      </c>
      <c r="AZ34" s="172">
        <v>238.29257359000002</v>
      </c>
      <c r="BA34" s="172">
        <v>240.59322053</v>
      </c>
      <c r="BB34" s="172">
        <v>2722.9142842300007</v>
      </c>
      <c r="BC34" s="172">
        <v>237.57049569</v>
      </c>
      <c r="BD34" s="172">
        <v>251.59347563999998</v>
      </c>
      <c r="BE34" s="172">
        <v>249.17173313999999</v>
      </c>
      <c r="BF34" s="172">
        <v>241.71093356999998</v>
      </c>
      <c r="BG34" s="172">
        <v>228.82080549</v>
      </c>
      <c r="BH34" s="172">
        <v>210.22767017999999</v>
      </c>
      <c r="BI34" s="172">
        <v>205.30590398999999</v>
      </c>
      <c r="BJ34" s="172">
        <v>196.36090353</v>
      </c>
      <c r="BK34" s="172">
        <v>206.12615471999999</v>
      </c>
      <c r="BL34" s="172">
        <v>234.6018321</v>
      </c>
      <c r="BM34" s="172">
        <v>241.80774293499999</v>
      </c>
      <c r="BN34" s="172">
        <v>244.14234217500001</v>
      </c>
      <c r="BO34" s="172">
        <v>2747.4399931600001</v>
      </c>
      <c r="BP34" s="214">
        <v>24.525708929999382</v>
      </c>
      <c r="BQ34" s="217">
        <v>-19.367652910211017</v>
      </c>
      <c r="BR34" s="218">
        <v>43.893361840210304</v>
      </c>
      <c r="BS34" s="193">
        <v>9.0071542361953583E-3</v>
      </c>
      <c r="BT34" s="190" t="s">
        <v>2685</v>
      </c>
      <c r="BV34" s="198">
        <v>86.081000194391777</v>
      </c>
      <c r="BW34" s="198">
        <v>87.468625398380937</v>
      </c>
      <c r="BX34" s="198">
        <v>1.3876252039891597</v>
      </c>
      <c r="BY34" s="199">
        <v>1.6119993969117057E-2</v>
      </c>
      <c r="CA34" s="200">
        <v>-19.367652910211017</v>
      </c>
      <c r="CB34" s="200">
        <v>43.893361840210304</v>
      </c>
      <c r="CC34" s="200">
        <v>24.525708929999286</v>
      </c>
    </row>
    <row r="35" spans="2:81">
      <c r="B35" s="64" t="s">
        <v>440</v>
      </c>
      <c r="C35" s="64" t="s">
        <v>265</v>
      </c>
      <c r="D35" s="192" t="s">
        <v>547</v>
      </c>
      <c r="E35" s="172">
        <v>1248.885</v>
      </c>
      <c r="F35" s="172">
        <v>1143.1179999999999</v>
      </c>
      <c r="G35" s="172">
        <v>871.13099999999997</v>
      </c>
      <c r="H35" s="172">
        <v>939.11</v>
      </c>
      <c r="I35" s="172">
        <v>628.02300000000002</v>
      </c>
      <c r="J35" s="172">
        <v>674.23599999999999</v>
      </c>
      <c r="K35" s="172">
        <v>468.58600000000001</v>
      </c>
      <c r="L35" s="172">
        <v>542.42200000000003</v>
      </c>
      <c r="M35" s="172">
        <v>544.17399999999998</v>
      </c>
      <c r="N35" s="172">
        <v>876.66800000000001</v>
      </c>
      <c r="O35" s="172">
        <v>903.1</v>
      </c>
      <c r="P35" s="172">
        <v>1285.547</v>
      </c>
      <c r="Q35" s="172">
        <v>10125</v>
      </c>
      <c r="R35" s="172">
        <v>1253.17</v>
      </c>
      <c r="S35" s="172">
        <v>1019.872</v>
      </c>
      <c r="T35" s="172">
        <v>955.35400000000004</v>
      </c>
      <c r="U35" s="172">
        <v>716.48599999999999</v>
      </c>
      <c r="V35" s="172">
        <v>539.11099999999999</v>
      </c>
      <c r="W35" s="172">
        <v>489.709</v>
      </c>
      <c r="X35" s="172">
        <v>471.34399999999999</v>
      </c>
      <c r="Y35" s="172">
        <v>484.38</v>
      </c>
      <c r="Z35" s="172">
        <v>482.20400000000001</v>
      </c>
      <c r="AA35" s="172">
        <v>689.86500000000001</v>
      </c>
      <c r="AB35" s="172">
        <v>1014.05</v>
      </c>
      <c r="AC35" s="172">
        <v>1153.6300000000001</v>
      </c>
      <c r="AD35" s="172"/>
      <c r="AE35" s="276">
        <v>9269.1749999999993</v>
      </c>
      <c r="AF35" s="172"/>
      <c r="AG35" s="193"/>
      <c r="AH35" s="172" t="e">
        <f>AE35-#REF!</f>
        <v>#REF!</v>
      </c>
      <c r="AI35" s="181" t="e">
        <f t="shared" si="1"/>
        <v>#REF!</v>
      </c>
      <c r="AJ35" s="172" t="s">
        <v>2723</v>
      </c>
      <c r="AM35" s="64" t="s">
        <v>440</v>
      </c>
      <c r="AN35" s="64" t="s">
        <v>265</v>
      </c>
      <c r="AO35" s="192" t="s">
        <v>547</v>
      </c>
      <c r="AP35" s="172">
        <v>115.1721747</v>
      </c>
      <c r="AQ35" s="172">
        <v>105.41834196000001</v>
      </c>
      <c r="AR35" s="172">
        <v>80.33570082</v>
      </c>
      <c r="AS35" s="172">
        <v>86.604724199999993</v>
      </c>
      <c r="AT35" s="172">
        <v>57.916281060000003</v>
      </c>
      <c r="AU35" s="172">
        <v>62.178043919999993</v>
      </c>
      <c r="AV35" s="172">
        <v>43.213000919999999</v>
      </c>
      <c r="AW35" s="172">
        <v>50.022156840000001</v>
      </c>
      <c r="AX35" s="172">
        <v>50.183726280000002</v>
      </c>
      <c r="AY35" s="172">
        <v>80.846322960000009</v>
      </c>
      <c r="AZ35" s="172">
        <v>83.780586999999997</v>
      </c>
      <c r="BA35" s="172">
        <v>119.26019519</v>
      </c>
      <c r="BB35" s="172">
        <v>934.93125584999996</v>
      </c>
      <c r="BC35" s="172">
        <v>117.3844339</v>
      </c>
      <c r="BD35" s="172">
        <v>95.53141024</v>
      </c>
      <c r="BE35" s="172">
        <v>89.488009179999992</v>
      </c>
      <c r="BF35" s="172">
        <v>67.113243619999992</v>
      </c>
      <c r="BG35" s="172">
        <v>50.498527370000005</v>
      </c>
      <c r="BH35" s="172">
        <v>45.871042029999998</v>
      </c>
      <c r="BI35" s="172">
        <v>44.15079248</v>
      </c>
      <c r="BJ35" s="172">
        <v>45.371874600000005</v>
      </c>
      <c r="BK35" s="172">
        <v>45.168048679999998</v>
      </c>
      <c r="BL35" s="172">
        <v>64.619654549999993</v>
      </c>
      <c r="BM35" s="172">
        <v>96.260724350000004</v>
      </c>
      <c r="BN35" s="172">
        <v>109.51063501</v>
      </c>
      <c r="BO35" s="172">
        <v>870.96839600999999</v>
      </c>
      <c r="BP35" s="214">
        <v>-63.962859839999965</v>
      </c>
      <c r="BQ35" s="217">
        <v>-80.416706720421061</v>
      </c>
      <c r="BR35" s="218">
        <v>16.453846880421167</v>
      </c>
      <c r="BS35" s="193">
        <v>-6.8414505815026616E-2</v>
      </c>
      <c r="BT35" s="190" t="s">
        <v>2684</v>
      </c>
      <c r="BV35" s="198">
        <v>92.338889466666657</v>
      </c>
      <c r="BW35" s="198">
        <v>93.963960763498378</v>
      </c>
      <c r="BX35" s="198">
        <v>1.6250712968317202</v>
      </c>
      <c r="BY35" s="199">
        <v>1.7598991131665638E-2</v>
      </c>
      <c r="CA35" s="200">
        <v>-80.416706720421061</v>
      </c>
      <c r="CB35" s="200">
        <v>16.453846880421167</v>
      </c>
      <c r="CC35" s="200">
        <v>-63.962859839999894</v>
      </c>
    </row>
    <row r="36" spans="2:81">
      <c r="B36" s="64" t="s">
        <v>442</v>
      </c>
      <c r="C36" s="64" t="s">
        <v>266</v>
      </c>
      <c r="D36" s="192" t="s">
        <v>548</v>
      </c>
      <c r="E36" s="172">
        <v>1644.7660000000001</v>
      </c>
      <c r="F36" s="172">
        <v>1640.1859999999999</v>
      </c>
      <c r="G36" s="172">
        <v>1287.0239999999999</v>
      </c>
      <c r="H36" s="172">
        <v>1396.5519999999999</v>
      </c>
      <c r="I36" s="172">
        <v>1017.088</v>
      </c>
      <c r="J36" s="172">
        <v>1094.768</v>
      </c>
      <c r="K36" s="172">
        <v>811.73500000000001</v>
      </c>
      <c r="L36" s="172">
        <v>807.976</v>
      </c>
      <c r="M36" s="172">
        <v>811.07600000000002</v>
      </c>
      <c r="N36" s="172">
        <v>1292.0609999999999</v>
      </c>
      <c r="O36" s="172">
        <v>1296.3320000000001</v>
      </c>
      <c r="P36" s="172">
        <v>1787.336</v>
      </c>
      <c r="Q36" s="172">
        <v>14886.9</v>
      </c>
      <c r="R36" s="172">
        <v>1571.318</v>
      </c>
      <c r="S36" s="172">
        <v>1458.7429999999999</v>
      </c>
      <c r="T36" s="172">
        <v>1394.375</v>
      </c>
      <c r="U36" s="172">
        <v>1130.3009999999999</v>
      </c>
      <c r="V36" s="172">
        <v>890.72400000000005</v>
      </c>
      <c r="W36" s="172">
        <v>863.976</v>
      </c>
      <c r="X36" s="172">
        <v>790.75300000000004</v>
      </c>
      <c r="Y36" s="172">
        <v>704.36599999999999</v>
      </c>
      <c r="Z36" s="172">
        <v>774.93299999999999</v>
      </c>
      <c r="AA36" s="172">
        <v>1061.425</v>
      </c>
      <c r="AB36" s="172">
        <v>1521.569</v>
      </c>
      <c r="AC36" s="172">
        <v>1720.1990000000001</v>
      </c>
      <c r="AD36" s="172"/>
      <c r="AE36" s="276">
        <v>13882.682000000001</v>
      </c>
      <c r="AF36" s="172"/>
      <c r="AG36" s="193"/>
      <c r="AH36" s="172" t="e">
        <f>AE36-#REF!</f>
        <v>#REF!</v>
      </c>
      <c r="AI36" s="181" t="e">
        <f t="shared" si="1"/>
        <v>#REF!</v>
      </c>
      <c r="AJ36" s="172" t="s">
        <v>2723</v>
      </c>
      <c r="AM36" s="64" t="s">
        <v>442</v>
      </c>
      <c r="AN36" s="64" t="s">
        <v>266</v>
      </c>
      <c r="AO36" s="192" t="s">
        <v>548</v>
      </c>
      <c r="AP36" s="172">
        <v>148.17696893999999</v>
      </c>
      <c r="AQ36" s="172">
        <v>147.76435673999998</v>
      </c>
      <c r="AR36" s="172">
        <v>115.94799216</v>
      </c>
      <c r="AS36" s="172">
        <v>125.81536968</v>
      </c>
      <c r="AT36" s="172">
        <v>91.629457920000007</v>
      </c>
      <c r="AU36" s="172">
        <v>98.627649120000001</v>
      </c>
      <c r="AV36" s="172">
        <v>73.129206150000002</v>
      </c>
      <c r="AW36" s="172">
        <v>72.790557839999991</v>
      </c>
      <c r="AX36" s="172">
        <v>73.069836840000008</v>
      </c>
      <c r="AY36" s="172">
        <v>116.40177549000001</v>
      </c>
      <c r="AZ36" s="172">
        <v>117.48656916</v>
      </c>
      <c r="BA36" s="172">
        <v>161.98626167999998</v>
      </c>
      <c r="BB36" s="172">
        <v>1342.82600172</v>
      </c>
      <c r="BC36" s="172">
        <v>143.71274428000001</v>
      </c>
      <c r="BD36" s="172">
        <v>133.41663477999998</v>
      </c>
      <c r="BE36" s="172">
        <v>127.5295375</v>
      </c>
      <c r="BF36" s="172">
        <v>103.37732946</v>
      </c>
      <c r="BG36" s="172">
        <v>81.465617039999998</v>
      </c>
      <c r="BH36" s="172">
        <v>79.019244959999995</v>
      </c>
      <c r="BI36" s="172">
        <v>72.322269379999994</v>
      </c>
      <c r="BJ36" s="172">
        <v>64.421314359999997</v>
      </c>
      <c r="BK36" s="172">
        <v>70.875372179999999</v>
      </c>
      <c r="BL36" s="172">
        <v>97.077930500000008</v>
      </c>
      <c r="BM36" s="172">
        <v>140.99771295399998</v>
      </c>
      <c r="BN36" s="172">
        <v>159.40396053400002</v>
      </c>
      <c r="BO36" s="172">
        <v>1273.6196679279999</v>
      </c>
      <c r="BP36" s="214">
        <v>-69.206333792000123</v>
      </c>
      <c r="BQ36" s="217">
        <v>-92.128581183903719</v>
      </c>
      <c r="BR36" s="218">
        <v>22.922247391903415</v>
      </c>
      <c r="BS36" s="193">
        <v>-5.1537826720181923E-2</v>
      </c>
      <c r="BT36" s="190" t="s">
        <v>2687</v>
      </c>
      <c r="BV36" s="198">
        <v>90.201855438002553</v>
      </c>
      <c r="BW36" s="198">
        <v>91.741615051616094</v>
      </c>
      <c r="BX36" s="198">
        <v>1.5397596136135405</v>
      </c>
      <c r="BY36" s="199">
        <v>1.7070154556541761E-2</v>
      </c>
      <c r="CA36" s="200">
        <v>-92.128581183903719</v>
      </c>
      <c r="CB36" s="200">
        <v>22.922247391903415</v>
      </c>
      <c r="CC36" s="200">
        <v>-69.206333792000308</v>
      </c>
    </row>
    <row r="37" spans="2:81">
      <c r="B37" s="64" t="s">
        <v>450</v>
      </c>
      <c r="C37" s="64" t="s">
        <v>267</v>
      </c>
      <c r="D37" s="192" t="s">
        <v>280</v>
      </c>
      <c r="E37" s="172">
        <v>1946.6389999999999</v>
      </c>
      <c r="F37" s="172">
        <v>1943.8320000000001</v>
      </c>
      <c r="G37" s="172">
        <v>1876.6569999999999</v>
      </c>
      <c r="H37" s="172">
        <v>1529.23</v>
      </c>
      <c r="I37" s="172">
        <v>1383.963</v>
      </c>
      <c r="J37" s="172">
        <v>1219.8050000000001</v>
      </c>
      <c r="K37" s="172">
        <v>1168.3489999999999</v>
      </c>
      <c r="L37" s="172">
        <v>1116.683</v>
      </c>
      <c r="M37" s="172">
        <v>1375.1780000000001</v>
      </c>
      <c r="N37" s="172">
        <v>2055.377</v>
      </c>
      <c r="O37" s="172">
        <v>1825.9590000000001</v>
      </c>
      <c r="P37" s="172">
        <v>2598.328</v>
      </c>
      <c r="Q37" s="172">
        <v>20040</v>
      </c>
      <c r="R37" s="172">
        <v>2187.7640000000001</v>
      </c>
      <c r="S37" s="172">
        <v>2016.6769999999999</v>
      </c>
      <c r="T37" s="172">
        <v>1799.1849999999999</v>
      </c>
      <c r="U37" s="172">
        <v>1358.328</v>
      </c>
      <c r="V37" s="172">
        <v>1263.924</v>
      </c>
      <c r="W37" s="172">
        <v>1097.019</v>
      </c>
      <c r="X37" s="172">
        <v>1103.03</v>
      </c>
      <c r="Y37" s="172">
        <v>979.09199999999998</v>
      </c>
      <c r="Z37" s="172">
        <v>1221.7619999999999</v>
      </c>
      <c r="AA37" s="172">
        <v>1685.405</v>
      </c>
      <c r="AB37" s="172">
        <v>1962.1679999999999</v>
      </c>
      <c r="AC37" s="172">
        <v>2287.35</v>
      </c>
      <c r="AD37" s="172" t="e">
        <f>#REF!</f>
        <v>#REF!</v>
      </c>
      <c r="AE37" s="185">
        <f>SUM('TCD Moyenn histo Eliott'!GL46:GW46)/1000</f>
        <v>19203.274066666669</v>
      </c>
      <c r="AF37" s="172"/>
      <c r="AG37" s="193"/>
      <c r="AH37" s="185" t="e">
        <f>AE37-#REF!</f>
        <v>#REF!</v>
      </c>
      <c r="AI37" s="184" t="e">
        <f t="shared" si="1"/>
        <v>#REF!</v>
      </c>
      <c r="AJ37" s="172" t="s">
        <v>2723</v>
      </c>
      <c r="AK37" s="61"/>
      <c r="AM37" s="64" t="s">
        <v>450</v>
      </c>
      <c r="AN37" s="64" t="s">
        <v>267</v>
      </c>
      <c r="AO37" s="192" t="s">
        <v>280</v>
      </c>
      <c r="AP37" s="172">
        <v>175.37270751</v>
      </c>
      <c r="AQ37" s="172">
        <v>175.11982488000001</v>
      </c>
      <c r="AR37" s="172">
        <v>169.06802913000001</v>
      </c>
      <c r="AS37" s="172">
        <v>137.76833069999998</v>
      </c>
      <c r="AT37" s="172">
        <v>124.68122667</v>
      </c>
      <c r="AU37" s="172">
        <v>109.89223244999999</v>
      </c>
      <c r="AV37" s="172">
        <v>105.25656140999999</v>
      </c>
      <c r="AW37" s="172">
        <v>100.60197147000001</v>
      </c>
      <c r="AX37" s="172">
        <v>123.88978602</v>
      </c>
      <c r="AY37" s="172">
        <v>185.16891393</v>
      </c>
      <c r="AZ37" s="172">
        <v>165.48666417000001</v>
      </c>
      <c r="BA37" s="172">
        <v>235.48646664</v>
      </c>
      <c r="BB37" s="172">
        <v>1807.79271498</v>
      </c>
      <c r="BC37" s="172">
        <v>200.09289544000001</v>
      </c>
      <c r="BD37" s="172">
        <v>184.44527841999999</v>
      </c>
      <c r="BE37" s="172">
        <v>164.5534601</v>
      </c>
      <c r="BF37" s="172">
        <v>124.23267888000001</v>
      </c>
      <c r="BG37" s="172">
        <v>115.59848904</v>
      </c>
      <c r="BH37" s="172">
        <v>100.33335774000001</v>
      </c>
      <c r="BI37" s="172">
        <v>100.88312380000001</v>
      </c>
      <c r="BJ37" s="172">
        <v>89.547754319999996</v>
      </c>
      <c r="BK37" s="172">
        <v>111.74235252</v>
      </c>
      <c r="BL37" s="172">
        <v>154.14714129999999</v>
      </c>
      <c r="BM37" s="172">
        <v>181.82625988800001</v>
      </c>
      <c r="BN37" s="172">
        <v>211.9595751</v>
      </c>
      <c r="BO37" s="172">
        <v>1739.362366548</v>
      </c>
      <c r="BP37" s="214">
        <v>-68.430348432000073</v>
      </c>
      <c r="BQ37" s="217">
        <v>-98.912391122614267</v>
      </c>
      <c r="BR37" s="218">
        <v>30.482042690614346</v>
      </c>
      <c r="BS37" s="193">
        <v>-3.7852983843204124E-2</v>
      </c>
      <c r="BT37" s="190" t="s">
        <v>2687</v>
      </c>
      <c r="BV37" s="198">
        <v>90.209217314371259</v>
      </c>
      <c r="BW37" s="198">
        <v>91.730277328872972</v>
      </c>
      <c r="BX37" s="198">
        <v>1.5210600145017139</v>
      </c>
      <c r="BY37" s="199">
        <v>1.686147003361034E-2</v>
      </c>
      <c r="CA37" s="200">
        <v>-98.912391122614267</v>
      </c>
      <c r="CB37" s="200">
        <v>30.482042690614346</v>
      </c>
      <c r="CC37" s="200">
        <v>-68.430348431999917</v>
      </c>
    </row>
    <row r="38" spans="2:81">
      <c r="B38" s="64" t="s">
        <v>454</v>
      </c>
      <c r="C38" s="64" t="s">
        <v>268</v>
      </c>
      <c r="D38" s="192" t="s">
        <v>2642</v>
      </c>
      <c r="E38" s="172">
        <v>3824.0169999999998</v>
      </c>
      <c r="F38" s="172">
        <v>3866.46</v>
      </c>
      <c r="G38" s="172">
        <v>3619.826</v>
      </c>
      <c r="H38" s="172">
        <v>3284.7130000000002</v>
      </c>
      <c r="I38" s="172">
        <v>2612.1689999999999</v>
      </c>
      <c r="J38" s="172">
        <v>2717.7240000000002</v>
      </c>
      <c r="K38" s="172">
        <v>2385.1750000000002</v>
      </c>
      <c r="L38" s="172">
        <v>2307.8110000000001</v>
      </c>
      <c r="M38" s="172">
        <v>2582.047</v>
      </c>
      <c r="N38" s="172">
        <v>3203.1849999999999</v>
      </c>
      <c r="O38" s="172">
        <v>3524.0790000000002</v>
      </c>
      <c r="P38" s="172">
        <v>4592.7929999999997</v>
      </c>
      <c r="Q38" s="172">
        <v>38519.999000000003</v>
      </c>
      <c r="R38" s="172">
        <v>4547.509</v>
      </c>
      <c r="S38" s="172">
        <v>4740.3590000000004</v>
      </c>
      <c r="T38" s="172">
        <v>4203.4269999999997</v>
      </c>
      <c r="U38" s="172">
        <v>3192.096</v>
      </c>
      <c r="V38" s="172">
        <v>2772.5810000000001</v>
      </c>
      <c r="W38" s="172">
        <v>2214.2420000000002</v>
      </c>
      <c r="X38" s="172">
        <v>2347.4409999999998</v>
      </c>
      <c r="Y38" s="172">
        <v>1983.1790000000001</v>
      </c>
      <c r="Z38" s="172">
        <v>2346.2429999999999</v>
      </c>
      <c r="AA38" s="172">
        <v>2961.0770000000002</v>
      </c>
      <c r="AB38" s="172">
        <v>4154.5789999999997</v>
      </c>
      <c r="AC38" s="172">
        <v>4484.5569999999998</v>
      </c>
      <c r="AD38" s="172"/>
      <c r="AE38" s="276">
        <v>39947.29</v>
      </c>
      <c r="AF38" s="172"/>
      <c r="AG38" s="193"/>
      <c r="AH38" s="172" t="e">
        <f>AE38-#REF!</f>
        <v>#REF!</v>
      </c>
      <c r="AI38" s="181" t="e">
        <f t="shared" si="1"/>
        <v>#REF!</v>
      </c>
      <c r="AJ38" s="172" t="s">
        <v>2722</v>
      </c>
      <c r="AM38" s="64" t="s">
        <v>454</v>
      </c>
      <c r="AN38" s="64" t="s">
        <v>268</v>
      </c>
      <c r="AO38" s="192" t="s">
        <v>2642</v>
      </c>
      <c r="AP38" s="172">
        <v>360.79600395</v>
      </c>
      <c r="AQ38" s="172">
        <v>364.76183639999999</v>
      </c>
      <c r="AR38" s="172">
        <v>341.5305831</v>
      </c>
      <c r="AS38" s="172">
        <v>309.91267155000003</v>
      </c>
      <c r="AT38" s="172">
        <v>246.45814515000001</v>
      </c>
      <c r="AU38" s="172">
        <v>256.44443663999999</v>
      </c>
      <c r="AV38" s="172">
        <v>225.08896475</v>
      </c>
      <c r="AW38" s="172">
        <v>217.78812406999998</v>
      </c>
      <c r="AX38" s="172">
        <v>243.64195491999999</v>
      </c>
      <c r="AY38" s="172">
        <v>302.22050475000003</v>
      </c>
      <c r="AZ38" s="172">
        <v>334.50557867999999</v>
      </c>
      <c r="BA38" s="172">
        <v>435.94791155999997</v>
      </c>
      <c r="BB38" s="172">
        <v>3639.0967155199992</v>
      </c>
      <c r="BC38" s="172">
        <v>435.865095123</v>
      </c>
      <c r="BD38" s="172">
        <v>454.35392943199997</v>
      </c>
      <c r="BE38" s="172">
        <v>402.85644368000004</v>
      </c>
      <c r="BF38" s="172">
        <v>305.91771225600002</v>
      </c>
      <c r="BG38" s="172">
        <v>265.73525336400002</v>
      </c>
      <c r="BH38" s="172">
        <v>212.221810248</v>
      </c>
      <c r="BI38" s="172">
        <v>224.981092881</v>
      </c>
      <c r="BJ38" s="172">
        <v>190.06787536000002</v>
      </c>
      <c r="BK38" s="172">
        <v>224.85923663400001</v>
      </c>
      <c r="BL38" s="172">
        <v>283.78665860299998</v>
      </c>
      <c r="BM38" s="172">
        <v>403.55918574399999</v>
      </c>
      <c r="BN38" s="172">
        <v>435.58053685300001</v>
      </c>
      <c r="BO38" s="172">
        <v>3839.7848301780009</v>
      </c>
      <c r="BP38" s="214">
        <v>200.68811465800172</v>
      </c>
      <c r="BQ38" s="217">
        <v>137.19304438547843</v>
      </c>
      <c r="BR38" s="218">
        <v>63.495070272522959</v>
      </c>
      <c r="BS38" s="193">
        <v>5.5147782635759146E-2</v>
      </c>
      <c r="BT38" s="190" t="s">
        <v>2681</v>
      </c>
      <c r="BV38" s="198">
        <v>94.47291822411519</v>
      </c>
      <c r="BW38" s="198">
        <v>96.121284577201621</v>
      </c>
      <c r="BX38" s="198">
        <v>1.6483663530864305</v>
      </c>
      <c r="BY38" s="199">
        <v>1.7448030441655903E-2</v>
      </c>
      <c r="CA38" s="200">
        <v>137.19304438547843</v>
      </c>
      <c r="CB38" s="200">
        <v>63.495070272522959</v>
      </c>
      <c r="CC38" s="200">
        <v>200.68811465800138</v>
      </c>
    </row>
    <row r="39" spans="2:81">
      <c r="B39" s="64" t="s">
        <v>444</v>
      </c>
      <c r="C39" s="64" t="s">
        <v>269</v>
      </c>
      <c r="D39" s="192" t="s">
        <v>2643</v>
      </c>
      <c r="E39" s="172">
        <v>7551.8869999999997</v>
      </c>
      <c r="F39" s="172">
        <v>7596.2839999999997</v>
      </c>
      <c r="G39" s="172">
        <v>6661.3530000000001</v>
      </c>
      <c r="H39" s="172">
        <v>5812.3980000000001</v>
      </c>
      <c r="I39" s="172">
        <v>5324.2979999999998</v>
      </c>
      <c r="J39" s="172">
        <v>4753.8509999999997</v>
      </c>
      <c r="K39" s="172">
        <v>4256.32</v>
      </c>
      <c r="L39" s="172">
        <v>4161.2340000000004</v>
      </c>
      <c r="M39" s="172">
        <v>5109.4939999999997</v>
      </c>
      <c r="N39" s="172">
        <v>7802.7820000000002</v>
      </c>
      <c r="O39" s="172">
        <v>7467.4830000000002</v>
      </c>
      <c r="P39" s="172">
        <v>10002.615</v>
      </c>
      <c r="Q39" s="172">
        <v>76499.998999999996</v>
      </c>
      <c r="R39" s="172">
        <v>7880.71</v>
      </c>
      <c r="S39" s="172">
        <v>7264.6679999999997</v>
      </c>
      <c r="T39" s="172">
        <v>6799.8559999999998</v>
      </c>
      <c r="U39" s="172">
        <v>5297.625</v>
      </c>
      <c r="V39" s="172">
        <v>4764.4660000000003</v>
      </c>
      <c r="W39" s="172">
        <v>3979.085</v>
      </c>
      <c r="X39" s="172">
        <v>3651.1570000000002</v>
      </c>
      <c r="Y39" s="172">
        <v>3733.1759999999999</v>
      </c>
      <c r="Z39" s="172">
        <v>4470.951</v>
      </c>
      <c r="AA39" s="172">
        <v>6209.8919999999998</v>
      </c>
      <c r="AB39" s="172">
        <v>7606.3190000000004</v>
      </c>
      <c r="AC39" s="172">
        <v>8796.56</v>
      </c>
      <c r="AD39" s="172" t="e">
        <f>#REF!</f>
        <v>#REF!</v>
      </c>
      <c r="AE39" s="185">
        <f>((SUM('TCD Moyenn histo Eliott'!GL52:GW52)+SUM('TCD Moyenn histo Eliott'!GL53:GW53)+SUM('TCD Moyenn histo Eliott'!GL54:GW54))/1000)*(1+0.5%)</f>
        <v>70568.86999801833</v>
      </c>
      <c r="AF39" s="172"/>
      <c r="AG39" s="193"/>
      <c r="AH39" s="185" t="e">
        <f>AE39-#REF!</f>
        <v>#REF!</v>
      </c>
      <c r="AI39" s="184" t="e">
        <f t="shared" si="1"/>
        <v>#REF!</v>
      </c>
      <c r="AJ39" s="172" t="s">
        <v>2724</v>
      </c>
      <c r="AK39" s="61"/>
      <c r="AM39" s="64" t="s">
        <v>444</v>
      </c>
      <c r="AN39" s="64" t="s">
        <v>269</v>
      </c>
      <c r="AO39" s="192" t="s">
        <v>2643</v>
      </c>
      <c r="AP39" s="172">
        <v>714.18195359000003</v>
      </c>
      <c r="AQ39" s="172">
        <v>718.38057788000003</v>
      </c>
      <c r="AR39" s="172">
        <v>629.96415321000006</v>
      </c>
      <c r="AS39" s="172">
        <v>549.67847886000004</v>
      </c>
      <c r="AT39" s="172">
        <v>503.51886186000002</v>
      </c>
      <c r="AU39" s="172">
        <v>449.57168907000005</v>
      </c>
      <c r="AV39" s="172">
        <v>402.52018240000001</v>
      </c>
      <c r="AW39" s="172">
        <v>393.52789938000001</v>
      </c>
      <c r="AX39" s="172">
        <v>483.20484757999998</v>
      </c>
      <c r="AY39" s="172">
        <v>737.90909374</v>
      </c>
      <c r="AZ39" s="172">
        <v>710.45633262000001</v>
      </c>
      <c r="BA39" s="172">
        <v>951.64879110000004</v>
      </c>
      <c r="BB39" s="172">
        <v>7244.56286129</v>
      </c>
      <c r="BC39" s="172">
        <v>757.06040615000006</v>
      </c>
      <c r="BD39" s="172">
        <v>697.88033141999995</v>
      </c>
      <c r="BE39" s="172">
        <v>653.23496649599997</v>
      </c>
      <c r="BF39" s="172">
        <v>508.92164325000005</v>
      </c>
      <c r="BG39" s="172">
        <v>457.70795522200001</v>
      </c>
      <c r="BH39" s="172">
        <v>382.25477961000001</v>
      </c>
      <c r="BI39" s="172">
        <v>350.75204836199998</v>
      </c>
      <c r="BJ39" s="172">
        <v>358.62755243999999</v>
      </c>
      <c r="BK39" s="172">
        <v>429.50637876599995</v>
      </c>
      <c r="BL39" s="172">
        <v>596.54706508800007</v>
      </c>
      <c r="BM39" s="172">
        <v>740.62728102999995</v>
      </c>
      <c r="BN39" s="172">
        <v>856.5034540800001</v>
      </c>
      <c r="BO39" s="172">
        <v>6789.6238619140022</v>
      </c>
      <c r="BP39" s="214">
        <v>-454.93899937599781</v>
      </c>
      <c r="BQ39" s="217">
        <v>-582.60185361442177</v>
      </c>
      <c r="BR39" s="218">
        <v>127.66285423842433</v>
      </c>
      <c r="BS39" s="193">
        <v>-6.2797301657340987E-2</v>
      </c>
      <c r="BT39" s="190" t="s">
        <v>2683</v>
      </c>
      <c r="BV39" s="198">
        <v>94.700169359348621</v>
      </c>
      <c r="BW39" s="198">
        <v>96.368964861403782</v>
      </c>
      <c r="BX39" s="198">
        <v>1.6687955020551613</v>
      </c>
      <c r="BY39" s="199">
        <v>1.7621885085788613E-2</v>
      </c>
      <c r="CA39" s="200">
        <v>-582.60185361442177</v>
      </c>
      <c r="CB39" s="200">
        <v>127.66285423842433</v>
      </c>
      <c r="CC39" s="200">
        <v>-454.93899937599747</v>
      </c>
    </row>
    <row r="40" spans="2:81">
      <c r="B40" s="64" t="s">
        <v>446</v>
      </c>
      <c r="C40" s="64" t="s">
        <v>270</v>
      </c>
      <c r="D40" s="192" t="s">
        <v>304</v>
      </c>
      <c r="E40" s="172">
        <v>1683.296</v>
      </c>
      <c r="F40" s="172">
        <v>1527.748</v>
      </c>
      <c r="G40" s="172">
        <v>1860.7940000000001</v>
      </c>
      <c r="H40" s="172">
        <v>1672.962</v>
      </c>
      <c r="I40" s="172">
        <v>1407.184</v>
      </c>
      <c r="J40" s="172">
        <v>1109.355</v>
      </c>
      <c r="K40" s="172">
        <v>961.072</v>
      </c>
      <c r="L40" s="172">
        <v>822.76599999999996</v>
      </c>
      <c r="M40" s="172">
        <v>1086.7940000000001</v>
      </c>
      <c r="N40" s="172">
        <v>1930.617</v>
      </c>
      <c r="O40" s="172">
        <v>1853.5360000000001</v>
      </c>
      <c r="P40" s="172">
        <v>1983.876</v>
      </c>
      <c r="Q40" s="172">
        <v>17900</v>
      </c>
      <c r="R40" s="172">
        <v>1616.82</v>
      </c>
      <c r="S40" s="172">
        <v>1468.4079999999999</v>
      </c>
      <c r="T40" s="172">
        <v>1785.278</v>
      </c>
      <c r="U40" s="172">
        <v>1655.7909999999999</v>
      </c>
      <c r="V40" s="172">
        <v>1512.67</v>
      </c>
      <c r="W40" s="172">
        <v>936.46900000000005</v>
      </c>
      <c r="X40" s="172">
        <v>881.09100000000001</v>
      </c>
      <c r="Y40" s="172">
        <v>766.03599999999994</v>
      </c>
      <c r="Z40" s="172">
        <v>922.32399999999996</v>
      </c>
      <c r="AA40" s="172">
        <v>1505.155</v>
      </c>
      <c r="AB40" s="172">
        <v>1814.7059999999999</v>
      </c>
      <c r="AC40" s="172">
        <v>1721.741</v>
      </c>
      <c r="AD40" s="172"/>
      <c r="AE40" s="276">
        <v>16586.489000000001</v>
      </c>
      <c r="AF40" s="172"/>
      <c r="AG40" s="193"/>
      <c r="AH40" s="172" t="e">
        <f>AE40-#REF!</f>
        <v>#REF!</v>
      </c>
      <c r="AI40" s="181" t="e">
        <f t="shared" si="1"/>
        <v>#REF!</v>
      </c>
      <c r="AJ40" s="172" t="s">
        <v>2725</v>
      </c>
      <c r="AM40" s="64" t="s">
        <v>446</v>
      </c>
      <c r="AN40" s="64" t="s">
        <v>270</v>
      </c>
      <c r="AO40" s="192" t="s">
        <v>304</v>
      </c>
      <c r="AP40" s="172">
        <v>158.76847872000002</v>
      </c>
      <c r="AQ40" s="172">
        <v>144.09719136000001</v>
      </c>
      <c r="AR40" s="172">
        <v>175.51009008</v>
      </c>
      <c r="AS40" s="172">
        <v>157.79377584</v>
      </c>
      <c r="AT40" s="172">
        <v>132.72559487999999</v>
      </c>
      <c r="AU40" s="172">
        <v>104.6343636</v>
      </c>
      <c r="AV40" s="172">
        <v>90.648311039999996</v>
      </c>
      <c r="AW40" s="172">
        <v>77.603289119999999</v>
      </c>
      <c r="AX40" s="172">
        <v>102.50641007999999</v>
      </c>
      <c r="AY40" s="172">
        <v>182.09579543999999</v>
      </c>
      <c r="AZ40" s="172">
        <v>175.88203104000002</v>
      </c>
      <c r="BA40" s="172">
        <v>188.24999364000001</v>
      </c>
      <c r="BB40" s="172">
        <v>1690.5153248399999</v>
      </c>
      <c r="BC40" s="172">
        <v>154.891356</v>
      </c>
      <c r="BD40" s="172">
        <v>140.6734864</v>
      </c>
      <c r="BE40" s="172">
        <v>171.0296324</v>
      </c>
      <c r="BF40" s="172">
        <v>158.6247778</v>
      </c>
      <c r="BG40" s="172">
        <v>144.91378599999999</v>
      </c>
      <c r="BH40" s="172">
        <v>89.713730200000001</v>
      </c>
      <c r="BI40" s="172">
        <v>84.408517799999998</v>
      </c>
      <c r="BJ40" s="172">
        <v>73.386248800000004</v>
      </c>
      <c r="BK40" s="172">
        <v>88.358639199999999</v>
      </c>
      <c r="BL40" s="172">
        <v>144.193849</v>
      </c>
      <c r="BM40" s="172">
        <v>176.18436142199999</v>
      </c>
      <c r="BN40" s="172">
        <v>167.15866846700001</v>
      </c>
      <c r="BO40" s="172">
        <v>1593.5370534890001</v>
      </c>
      <c r="BP40" s="214">
        <v>-96.978271350999876</v>
      </c>
      <c r="BQ40" s="217">
        <v>-126.19478713460018</v>
      </c>
      <c r="BR40" s="218">
        <v>29.216515783600133</v>
      </c>
      <c r="BS40" s="193">
        <v>-5.7366100103338868E-2</v>
      </c>
      <c r="BT40" s="190" t="s">
        <v>2684</v>
      </c>
      <c r="BV40" s="198">
        <v>94.442196918435755</v>
      </c>
      <c r="BW40" s="198">
        <v>96.07440450411174</v>
      </c>
      <c r="BX40" s="198">
        <v>1.6322075856759852</v>
      </c>
      <c r="BY40" s="199">
        <v>1.7282609246009262E-2</v>
      </c>
      <c r="CA40" s="200">
        <v>-126.19478713460018</v>
      </c>
      <c r="CB40" s="200">
        <v>29.216515783600133</v>
      </c>
      <c r="CC40" s="200">
        <v>-96.978271351000046</v>
      </c>
    </row>
    <row r="41" spans="2:81">
      <c r="B41" s="64" t="s">
        <v>448</v>
      </c>
      <c r="C41" s="64" t="s">
        <v>271</v>
      </c>
      <c r="D41" s="192" t="s">
        <v>2635</v>
      </c>
      <c r="E41" s="172">
        <v>4835.9189999999999</v>
      </c>
      <c r="F41" s="172">
        <v>4855.5680000000002</v>
      </c>
      <c r="G41" s="172">
        <v>4692.5510000000004</v>
      </c>
      <c r="H41" s="172">
        <v>4253.7160000000003</v>
      </c>
      <c r="I41" s="172">
        <v>4012.83</v>
      </c>
      <c r="J41" s="172">
        <v>3758.1170000000002</v>
      </c>
      <c r="K41" s="172">
        <v>3670.058</v>
      </c>
      <c r="L41" s="172">
        <v>3530.33</v>
      </c>
      <c r="M41" s="172">
        <v>3937.1439999999998</v>
      </c>
      <c r="N41" s="172">
        <v>4396.3559999999998</v>
      </c>
      <c r="O41" s="172">
        <v>4452.393</v>
      </c>
      <c r="P41" s="172">
        <v>4846.835</v>
      </c>
      <c r="Q41" s="172">
        <v>51241.817000000003</v>
      </c>
      <c r="R41" s="172">
        <v>5752.3360000000002</v>
      </c>
      <c r="S41" s="172">
        <v>5096.9219999999996</v>
      </c>
      <c r="T41" s="172">
        <v>4447.2950000000001</v>
      </c>
      <c r="U41" s="172">
        <v>3602.5610000000001</v>
      </c>
      <c r="V41" s="172">
        <v>3364.585</v>
      </c>
      <c r="W41" s="172">
        <v>2759.4270000000001</v>
      </c>
      <c r="X41" s="172">
        <v>2649.2150000000001</v>
      </c>
      <c r="Y41" s="172">
        <v>2420.8449999999998</v>
      </c>
      <c r="Z41" s="172">
        <v>2974.8339999999998</v>
      </c>
      <c r="AA41" s="172">
        <v>4262.7730000000001</v>
      </c>
      <c r="AB41" s="172">
        <v>4710.2370000000001</v>
      </c>
      <c r="AC41" s="172">
        <v>5857.9650000000001</v>
      </c>
      <c r="AD41" s="172"/>
      <c r="AE41" s="276">
        <v>47898.995000000003</v>
      </c>
      <c r="AF41" s="172"/>
      <c r="AG41" s="193"/>
      <c r="AH41" s="172" t="e">
        <f>AE41-#REF!</f>
        <v>#REF!</v>
      </c>
      <c r="AI41" s="181" t="e">
        <f t="shared" si="1"/>
        <v>#REF!</v>
      </c>
      <c r="AJ41" s="172" t="s">
        <v>2724</v>
      </c>
      <c r="AM41" s="64" t="s">
        <v>448</v>
      </c>
      <c r="AN41" s="64" t="s">
        <v>271</v>
      </c>
      <c r="AO41" s="192" t="s">
        <v>2635</v>
      </c>
      <c r="AP41" s="172">
        <v>448.28969130000002</v>
      </c>
      <c r="AQ41" s="172">
        <v>450.11115360000002</v>
      </c>
      <c r="AR41" s="172">
        <v>434.9994777</v>
      </c>
      <c r="AS41" s="172">
        <v>394.3194732</v>
      </c>
      <c r="AT41" s="172">
        <v>371.98934100000002</v>
      </c>
      <c r="AU41" s="172">
        <v>348.3774459</v>
      </c>
      <c r="AV41" s="172">
        <v>340.21437660000004</v>
      </c>
      <c r="AW41" s="172">
        <v>327.26159100000001</v>
      </c>
      <c r="AX41" s="172">
        <v>364.97324880000002</v>
      </c>
      <c r="AY41" s="172">
        <v>407.54220120000002</v>
      </c>
      <c r="AZ41" s="172">
        <v>415.18564724999999</v>
      </c>
      <c r="BA41" s="172">
        <v>451.96736375</v>
      </c>
      <c r="BB41" s="172">
        <v>4755.2310113000021</v>
      </c>
      <c r="BC41" s="172">
        <v>540.98419145599996</v>
      </c>
      <c r="BD41" s="172">
        <v>479.11576492199998</v>
      </c>
      <c r="BE41" s="172">
        <v>418.28143663499998</v>
      </c>
      <c r="BF41" s="172">
        <v>339.357643639</v>
      </c>
      <c r="BG41" s="172">
        <v>316.64445893499999</v>
      </c>
      <c r="BH41" s="172">
        <v>259.98217423199998</v>
      </c>
      <c r="BI41" s="172">
        <v>249.55075456999998</v>
      </c>
      <c r="BJ41" s="172">
        <v>228.012128015</v>
      </c>
      <c r="BK41" s="172">
        <v>280.086570768</v>
      </c>
      <c r="BL41" s="172">
        <v>401.45943559399996</v>
      </c>
      <c r="BM41" s="172">
        <v>449.22001292700003</v>
      </c>
      <c r="BN41" s="172">
        <v>558.99045216000002</v>
      </c>
      <c r="BO41" s="172">
        <v>4521.6850238530005</v>
      </c>
      <c r="BP41" s="214">
        <v>-233.54598744700161</v>
      </c>
      <c r="BQ41" s="217">
        <v>-315.56378531128547</v>
      </c>
      <c r="BR41" s="218">
        <v>82.01779786428429</v>
      </c>
      <c r="BS41" s="193">
        <v>-4.9113489311459091E-2</v>
      </c>
      <c r="BT41" s="190" t="s">
        <v>2688</v>
      </c>
      <c r="BV41" s="198">
        <v>92.79981253006703</v>
      </c>
      <c r="BW41" s="198">
        <v>94.400415370990572</v>
      </c>
      <c r="BX41" s="198">
        <v>1.6006028409235427</v>
      </c>
      <c r="BY41" s="199">
        <v>1.7247910284354823E-2</v>
      </c>
      <c r="CA41" s="200">
        <v>-315.56378531128547</v>
      </c>
      <c r="CB41" s="200">
        <v>82.01779786428429</v>
      </c>
      <c r="CC41" s="200">
        <v>-233.54598744700118</v>
      </c>
    </row>
    <row r="42" spans="2:81">
      <c r="B42" s="64" t="s">
        <v>452</v>
      </c>
      <c r="C42" s="64" t="s">
        <v>272</v>
      </c>
      <c r="D42" s="192" t="s">
        <v>305</v>
      </c>
      <c r="E42" s="172">
        <v>2567.1860000000001</v>
      </c>
      <c r="F42" s="172">
        <v>2523.1689999999999</v>
      </c>
      <c r="G42" s="172">
        <v>1988.104</v>
      </c>
      <c r="H42" s="172">
        <v>2068.9879999999998</v>
      </c>
      <c r="I42" s="172">
        <v>1860.92</v>
      </c>
      <c r="J42" s="172">
        <v>1645.0360000000001</v>
      </c>
      <c r="K42" s="172">
        <v>1631.8630000000001</v>
      </c>
      <c r="L42" s="172">
        <v>1399.7750000000001</v>
      </c>
      <c r="M42" s="172">
        <v>1585.36</v>
      </c>
      <c r="N42" s="172">
        <v>2080.357</v>
      </c>
      <c r="O42" s="172">
        <v>1954.9179999999999</v>
      </c>
      <c r="P42" s="172">
        <v>3094.3229999999999</v>
      </c>
      <c r="Q42" s="172">
        <v>24399.999</v>
      </c>
      <c r="R42" s="172">
        <v>2749.8069999999998</v>
      </c>
      <c r="S42" s="172">
        <v>2567.06</v>
      </c>
      <c r="T42" s="172">
        <v>2131.7339999999999</v>
      </c>
      <c r="U42" s="172">
        <v>1750.3689999999999</v>
      </c>
      <c r="V42" s="172">
        <v>1543.192</v>
      </c>
      <c r="W42" s="172">
        <v>1318.4290000000001</v>
      </c>
      <c r="X42" s="172">
        <v>1268.875</v>
      </c>
      <c r="Y42" s="172">
        <v>1170.5989999999999</v>
      </c>
      <c r="Z42" s="172">
        <v>1342.5409999999999</v>
      </c>
      <c r="AA42" s="172">
        <v>1751.8879999999999</v>
      </c>
      <c r="AB42" s="172">
        <v>2073.9009999999998</v>
      </c>
      <c r="AC42" s="172">
        <v>2830.1770000000001</v>
      </c>
      <c r="AD42" s="172"/>
      <c r="AE42" s="276">
        <v>22498.572</v>
      </c>
      <c r="AF42" s="172"/>
      <c r="AG42" s="193"/>
      <c r="AH42" s="172" t="e">
        <f>AE42-#REF!</f>
        <v>#REF!</v>
      </c>
      <c r="AI42" s="181" t="e">
        <f t="shared" si="1"/>
        <v>#REF!</v>
      </c>
      <c r="AJ42" s="172" t="s">
        <v>2725</v>
      </c>
      <c r="AM42" s="64" t="s">
        <v>452</v>
      </c>
      <c r="AN42" s="64" t="s">
        <v>272</v>
      </c>
      <c r="AO42" s="192" t="s">
        <v>305</v>
      </c>
      <c r="AP42" s="172">
        <v>220.80366785999999</v>
      </c>
      <c r="AQ42" s="172">
        <v>217.01776569</v>
      </c>
      <c r="AR42" s="172">
        <v>170.99682504</v>
      </c>
      <c r="AS42" s="172">
        <v>177.95365788000001</v>
      </c>
      <c r="AT42" s="172">
        <v>160.05772920000001</v>
      </c>
      <c r="AU42" s="172">
        <v>141.48954636000002</v>
      </c>
      <c r="AV42" s="172">
        <v>140.35653662999999</v>
      </c>
      <c r="AW42" s="172">
        <v>120.39464775</v>
      </c>
      <c r="AX42" s="172">
        <v>136.35681359999998</v>
      </c>
      <c r="AY42" s="172">
        <v>178.93150557000001</v>
      </c>
      <c r="AZ42" s="172">
        <v>169.15905454</v>
      </c>
      <c r="BA42" s="172">
        <v>267.75176919</v>
      </c>
      <c r="BB42" s="172">
        <v>2101.2695193099999</v>
      </c>
      <c r="BC42" s="172">
        <v>240.11314723999999</v>
      </c>
      <c r="BD42" s="172">
        <v>224.15567920000001</v>
      </c>
      <c r="BE42" s="172">
        <v>186.14301287999999</v>
      </c>
      <c r="BF42" s="172">
        <v>152.84222108</v>
      </c>
      <c r="BG42" s="172">
        <v>134.75152543999999</v>
      </c>
      <c r="BH42" s="172">
        <v>115.12522027999999</v>
      </c>
      <c r="BI42" s="172">
        <v>110.798165</v>
      </c>
      <c r="BJ42" s="172">
        <v>102.21670467999999</v>
      </c>
      <c r="BK42" s="172">
        <v>117.23068012</v>
      </c>
      <c r="BL42" s="172">
        <v>152.97486016000002</v>
      </c>
      <c r="BM42" s="172">
        <v>183.48839097499999</v>
      </c>
      <c r="BN42" s="172">
        <v>250.39991007499998</v>
      </c>
      <c r="BO42" s="172">
        <v>1970.23951713</v>
      </c>
      <c r="BP42" s="214">
        <v>-131.03000217999988</v>
      </c>
      <c r="BQ42" s="217">
        <v>-166.51130633259496</v>
      </c>
      <c r="BR42" s="218">
        <v>35.4813041525952</v>
      </c>
      <c r="BS42" s="193">
        <v>-6.2357541941134076E-2</v>
      </c>
      <c r="BT42" s="190" t="s">
        <v>2687</v>
      </c>
      <c r="BV42" s="198">
        <v>86.117606779819937</v>
      </c>
      <c r="BW42" s="198">
        <v>87.571758648948915</v>
      </c>
      <c r="BX42" s="198">
        <v>1.4541518691289781</v>
      </c>
      <c r="BY42" s="199">
        <v>1.6885651186834091E-2</v>
      </c>
      <c r="CA42" s="200">
        <v>-166.51130633259496</v>
      </c>
      <c r="CB42" s="200">
        <v>35.4813041525952</v>
      </c>
      <c r="CC42" s="200">
        <v>-131.03000217999977</v>
      </c>
    </row>
    <row r="43" spans="2:81">
      <c r="B43" s="64" t="s">
        <v>456</v>
      </c>
      <c r="C43" s="64" t="s">
        <v>273</v>
      </c>
      <c r="D43" s="192" t="s">
        <v>2636</v>
      </c>
      <c r="E43" s="172">
        <v>7468.8779999999997</v>
      </c>
      <c r="F43" s="172">
        <v>7432.39</v>
      </c>
      <c r="G43" s="172">
        <v>6959.06</v>
      </c>
      <c r="H43" s="172">
        <v>6610.3980000000001</v>
      </c>
      <c r="I43" s="172">
        <v>6226.2610000000004</v>
      </c>
      <c r="J43" s="172">
        <v>5925.2359999999999</v>
      </c>
      <c r="K43" s="172">
        <v>5814.7579999999998</v>
      </c>
      <c r="L43" s="172">
        <v>5650.5619999999999</v>
      </c>
      <c r="M43" s="172">
        <v>6114.77</v>
      </c>
      <c r="N43" s="172">
        <v>6895.2070000000003</v>
      </c>
      <c r="O43" s="172">
        <v>7124.27</v>
      </c>
      <c r="P43" s="172">
        <v>7445.5659999999998</v>
      </c>
      <c r="Q43" s="172">
        <v>79667.356</v>
      </c>
      <c r="R43" s="172">
        <v>9070.3919999999998</v>
      </c>
      <c r="S43" s="172">
        <v>8716.2720000000008</v>
      </c>
      <c r="T43" s="172">
        <v>7864.5150000000003</v>
      </c>
      <c r="U43" s="172">
        <v>6137.0940000000001</v>
      </c>
      <c r="V43" s="172">
        <v>5316.1509999999998</v>
      </c>
      <c r="W43" s="172">
        <v>4392.7510000000002</v>
      </c>
      <c r="X43" s="172">
        <v>3493.0210000000002</v>
      </c>
      <c r="Y43" s="172">
        <v>3737.0070000000001</v>
      </c>
      <c r="Z43" s="172">
        <v>4293.2280000000001</v>
      </c>
      <c r="AA43" s="172">
        <v>5407.942</v>
      </c>
      <c r="AB43" s="172">
        <v>7193.6769999999997</v>
      </c>
      <c r="AC43" s="172">
        <v>9354.7690000000002</v>
      </c>
      <c r="AD43" s="172" t="e">
        <f>#REF!</f>
        <v>#REF!</v>
      </c>
      <c r="AE43" s="185">
        <f>((SUM('TCD Moyenn histo Eliott'!GL69:GW69)+SUM('TCD Moyenn histo Eliott'!GL70:GW70)+SUM('TCD Moyenn histo Eliott'!GL71:GW71))/1000)*(1-1.3%)</f>
        <v>75402.637671187491</v>
      </c>
      <c r="AF43" s="172"/>
      <c r="AG43" s="193"/>
      <c r="AH43" s="185" t="e">
        <f>AE43-#REF!</f>
        <v>#REF!</v>
      </c>
      <c r="AI43" s="184" t="e">
        <f>AH43*BW43</f>
        <v>#REF!</v>
      </c>
      <c r="AJ43" s="172" t="s">
        <v>2726</v>
      </c>
      <c r="AK43" s="61"/>
      <c r="AM43" s="64" t="s">
        <v>456</v>
      </c>
      <c r="AN43" s="64" t="s">
        <v>273</v>
      </c>
      <c r="AO43" s="192" t="s">
        <v>2636</v>
      </c>
      <c r="AP43" s="172">
        <v>678.92101020000007</v>
      </c>
      <c r="AQ43" s="172">
        <v>675.60425100000009</v>
      </c>
      <c r="AR43" s="172">
        <v>632.57855400000005</v>
      </c>
      <c r="AS43" s="172">
        <v>600.88517819999993</v>
      </c>
      <c r="AT43" s="172">
        <v>565.96712490000004</v>
      </c>
      <c r="AU43" s="172">
        <v>538.60395239999991</v>
      </c>
      <c r="AV43" s="172">
        <v>528.56150219999995</v>
      </c>
      <c r="AW43" s="172">
        <v>513.63608580000005</v>
      </c>
      <c r="AX43" s="172">
        <v>555.83259299999997</v>
      </c>
      <c r="AY43" s="172">
        <v>626.7743162999999</v>
      </c>
      <c r="AZ43" s="172">
        <v>651.51449149999996</v>
      </c>
      <c r="BA43" s="172">
        <v>680.89701070000001</v>
      </c>
      <c r="BB43" s="172">
        <v>7249.7760701999996</v>
      </c>
      <c r="BC43" s="172">
        <v>837.01577376</v>
      </c>
      <c r="BD43" s="172">
        <v>804.33758016000002</v>
      </c>
      <c r="BE43" s="172">
        <v>725.73744420000003</v>
      </c>
      <c r="BF43" s="172">
        <v>566.33103431999996</v>
      </c>
      <c r="BG43" s="172">
        <v>490.57441428000004</v>
      </c>
      <c r="BH43" s="172">
        <v>405.36306228000001</v>
      </c>
      <c r="BI43" s="172">
        <v>322.33597788000003</v>
      </c>
      <c r="BJ43" s="172">
        <v>344.85100595999995</v>
      </c>
      <c r="BK43" s="172">
        <v>396.17907984000004</v>
      </c>
      <c r="BL43" s="172">
        <v>499.04488775999999</v>
      </c>
      <c r="BM43" s="172">
        <v>672.5800247919999</v>
      </c>
      <c r="BN43" s="172">
        <v>874.63348242400002</v>
      </c>
      <c r="BO43" s="172">
        <v>6938.9837676560019</v>
      </c>
      <c r="BP43" s="214">
        <v>-310.79230254399772</v>
      </c>
      <c r="BQ43" s="217">
        <v>-434.1016401961499</v>
      </c>
      <c r="BR43" s="218">
        <v>123.30933765215214</v>
      </c>
      <c r="BS43" s="193">
        <v>-4.2869227895396711E-2</v>
      </c>
      <c r="BT43" s="190" t="s">
        <v>2687</v>
      </c>
      <c r="BV43" s="198">
        <v>91.000585863549929</v>
      </c>
      <c r="BW43" s="198">
        <v>92.548388424640976</v>
      </c>
      <c r="BX43" s="198">
        <v>1.5478025610910464</v>
      </c>
      <c r="BY43" s="199">
        <v>1.7008709849537521E-2</v>
      </c>
      <c r="CA43" s="200">
        <v>-434.1016401961499</v>
      </c>
      <c r="CB43" s="200">
        <v>123.30933765215214</v>
      </c>
      <c r="CC43" s="200">
        <v>-310.79230254399778</v>
      </c>
    </row>
    <row r="44" spans="2:81">
      <c r="B44" s="64" t="s">
        <v>458</v>
      </c>
      <c r="C44" s="64" t="s">
        <v>274</v>
      </c>
      <c r="D44" s="192" t="s">
        <v>2644</v>
      </c>
      <c r="E44" s="172">
        <v>4350</v>
      </c>
      <c r="F44" s="172">
        <v>4370</v>
      </c>
      <c r="G44" s="172">
        <v>4220</v>
      </c>
      <c r="H44" s="172">
        <v>3830</v>
      </c>
      <c r="I44" s="172">
        <v>3610</v>
      </c>
      <c r="J44" s="172">
        <v>3380</v>
      </c>
      <c r="K44" s="172">
        <v>3300</v>
      </c>
      <c r="L44" s="172">
        <v>3180</v>
      </c>
      <c r="M44" s="172">
        <v>3540</v>
      </c>
      <c r="N44" s="172">
        <v>3960</v>
      </c>
      <c r="O44" s="172">
        <v>4000</v>
      </c>
      <c r="P44" s="172">
        <v>4340</v>
      </c>
      <c r="Q44" s="172">
        <v>46080</v>
      </c>
      <c r="R44" s="172">
        <v>3774.942</v>
      </c>
      <c r="S44" s="172">
        <v>3599.2060000000001</v>
      </c>
      <c r="T44" s="172">
        <v>4113.5749999999998</v>
      </c>
      <c r="U44" s="172">
        <v>4104.9830000000002</v>
      </c>
      <c r="V44" s="172">
        <v>4443.92</v>
      </c>
      <c r="W44" s="172">
        <v>3054.6060000000002</v>
      </c>
      <c r="X44" s="172">
        <v>2615.9639999999999</v>
      </c>
      <c r="Y44" s="172">
        <v>2393.355</v>
      </c>
      <c r="Z44" s="172">
        <v>3080.2020000000002</v>
      </c>
      <c r="AA44" s="172">
        <v>4171.3580000000002</v>
      </c>
      <c r="AB44" s="172">
        <v>3537.1610000000001</v>
      </c>
      <c r="AC44" s="172">
        <v>4142.9939999999997</v>
      </c>
      <c r="AD44" s="172" t="e">
        <f>#REF!</f>
        <v>#REF!</v>
      </c>
      <c r="AE44" s="185">
        <f>(SUM('TCD Moyenn histo Eliott'!GL72:GW72)+SUM('TCD Moyenn histo Eliott'!GL73:GW73))/1000*(1+0.5%)</f>
        <v>43348.606590357143</v>
      </c>
      <c r="AF44" s="172"/>
      <c r="AG44" s="193"/>
      <c r="AH44" s="185" t="e">
        <f>AE44-#REF!</f>
        <v>#REF!</v>
      </c>
      <c r="AI44" s="184" t="e">
        <f t="shared" si="1"/>
        <v>#REF!</v>
      </c>
      <c r="AJ44" s="172" t="s">
        <v>2724</v>
      </c>
      <c r="AK44" s="61"/>
      <c r="AM44" s="64" t="s">
        <v>458</v>
      </c>
      <c r="AN44" s="64" t="s">
        <v>274</v>
      </c>
      <c r="AO44" s="192" t="s">
        <v>2644</v>
      </c>
      <c r="AP44" s="172">
        <v>392.37</v>
      </c>
      <c r="AQ44" s="172">
        <v>394.17399999999998</v>
      </c>
      <c r="AR44" s="172">
        <v>380.64400000000001</v>
      </c>
      <c r="AS44" s="172">
        <v>345.46600000000001</v>
      </c>
      <c r="AT44" s="172">
        <v>325.62200000000001</v>
      </c>
      <c r="AU44" s="172">
        <v>304.87599999999998</v>
      </c>
      <c r="AV44" s="172">
        <v>297.66000000000003</v>
      </c>
      <c r="AW44" s="172">
        <v>286.83600000000001</v>
      </c>
      <c r="AX44" s="172">
        <v>319.30799999999999</v>
      </c>
      <c r="AY44" s="172">
        <v>357.19200000000001</v>
      </c>
      <c r="AZ44" s="172">
        <v>362.96</v>
      </c>
      <c r="BA44" s="172">
        <v>393.8116</v>
      </c>
      <c r="BB44" s="172">
        <v>4160.9196000000002</v>
      </c>
      <c r="BC44" s="172">
        <v>345.63368952000002</v>
      </c>
      <c r="BD44" s="172">
        <v>329.54330135999999</v>
      </c>
      <c r="BE44" s="172">
        <v>376.63892700000002</v>
      </c>
      <c r="BF44" s="172">
        <v>375.85224348000003</v>
      </c>
      <c r="BG44" s="172">
        <v>406.88531520000004</v>
      </c>
      <c r="BH44" s="172">
        <v>279.67972535999996</v>
      </c>
      <c r="BI44" s="172">
        <v>239.51766383999998</v>
      </c>
      <c r="BJ44" s="172">
        <v>219.13558380000001</v>
      </c>
      <c r="BK44" s="172">
        <v>282.02329512</v>
      </c>
      <c r="BL44" s="172">
        <v>381.92953847999996</v>
      </c>
      <c r="BM44" s="172">
        <v>328.08936855500002</v>
      </c>
      <c r="BN44" s="172">
        <v>384.28340847000004</v>
      </c>
      <c r="BO44" s="172">
        <v>3949.2120601850011</v>
      </c>
      <c r="BP44" s="214">
        <v>-211.70753981499911</v>
      </c>
      <c r="BQ44" s="217">
        <v>-279.70053608229364</v>
      </c>
      <c r="BR44" s="218">
        <v>67.992996267294288</v>
      </c>
      <c r="BS44" s="193">
        <v>-5.0879988119693298E-2</v>
      </c>
      <c r="BT44" s="190" t="s">
        <v>2689</v>
      </c>
      <c r="BV44" s="198">
        <v>90.297734375000005</v>
      </c>
      <c r="BW44" s="198">
        <v>91.773276828717329</v>
      </c>
      <c r="BX44" s="198">
        <v>1.4755424537173241</v>
      </c>
      <c r="BY44" s="199">
        <v>1.6340857984204812E-2</v>
      </c>
      <c r="CA44" s="200">
        <v>-279.70053608229364</v>
      </c>
      <c r="CB44" s="200">
        <v>67.992996267294288</v>
      </c>
      <c r="CC44" s="200">
        <v>-211.70753981499934</v>
      </c>
    </row>
    <row r="45" spans="2:81">
      <c r="B45" s="64" t="s">
        <v>460</v>
      </c>
      <c r="C45" s="64" t="s">
        <v>275</v>
      </c>
      <c r="D45" s="192" t="s">
        <v>555</v>
      </c>
      <c r="E45" s="172">
        <v>1872.308</v>
      </c>
      <c r="F45" s="172">
        <v>1897.2370000000001</v>
      </c>
      <c r="G45" s="172">
        <v>1615.6659999999999</v>
      </c>
      <c r="H45" s="172">
        <v>1419.942</v>
      </c>
      <c r="I45" s="172">
        <v>1287.19</v>
      </c>
      <c r="J45" s="172">
        <v>1151.7049999999999</v>
      </c>
      <c r="K45" s="172">
        <v>1019.127</v>
      </c>
      <c r="L45" s="172">
        <v>1049.0840000000001</v>
      </c>
      <c r="M45" s="172">
        <v>1269.4639999999999</v>
      </c>
      <c r="N45" s="172">
        <v>1938.6320000000001</v>
      </c>
      <c r="O45" s="172">
        <v>1866.4390000000001</v>
      </c>
      <c r="P45" s="172">
        <v>2493.2049999999999</v>
      </c>
      <c r="Q45" s="172">
        <v>18879.999</v>
      </c>
      <c r="R45" s="172">
        <v>1872.308</v>
      </c>
      <c r="S45" s="172">
        <v>1897.2370000000001</v>
      </c>
      <c r="T45" s="172">
        <v>1615.6659999999999</v>
      </c>
      <c r="U45" s="172">
        <v>1419.942</v>
      </c>
      <c r="V45" s="172">
        <v>1287.19</v>
      </c>
      <c r="W45" s="172">
        <v>1151.7049999999999</v>
      </c>
      <c r="X45" s="172">
        <v>1019.127</v>
      </c>
      <c r="Y45" s="172">
        <v>1049.0840000000001</v>
      </c>
      <c r="Z45" s="172">
        <v>1269.4639999999999</v>
      </c>
      <c r="AA45" s="172">
        <v>1938.6320000000001</v>
      </c>
      <c r="AB45" s="172">
        <v>1866.4390000000001</v>
      </c>
      <c r="AC45" s="172">
        <v>2493.2049999999999</v>
      </c>
      <c r="AD45" s="172"/>
      <c r="AE45" s="172">
        <v>18879.999</v>
      </c>
      <c r="AF45" s="172"/>
      <c r="AG45" s="193"/>
      <c r="AH45" s="282" t="e">
        <f>AE45-#REF!</f>
        <v>#REF!</v>
      </c>
      <c r="AI45" s="181" t="e">
        <f t="shared" si="1"/>
        <v>#REF!</v>
      </c>
      <c r="AJ45" s="172" t="s">
        <v>2727</v>
      </c>
      <c r="AM45" s="64" t="s">
        <v>460</v>
      </c>
      <c r="AN45" s="64" t="s">
        <v>275</v>
      </c>
      <c r="AO45" s="192" t="s">
        <v>555</v>
      </c>
      <c r="AP45" s="172">
        <v>161.72996504</v>
      </c>
      <c r="AQ45" s="172">
        <v>163.88333205999999</v>
      </c>
      <c r="AR45" s="172">
        <v>139.56122908</v>
      </c>
      <c r="AS45" s="172">
        <v>122.65458996</v>
      </c>
      <c r="AT45" s="172">
        <v>111.1874722</v>
      </c>
      <c r="AU45" s="172">
        <v>99.484277899999995</v>
      </c>
      <c r="AV45" s="172">
        <v>88.032190260000007</v>
      </c>
      <c r="AW45" s="172">
        <v>90.619875920000013</v>
      </c>
      <c r="AX45" s="172">
        <v>109.65630032</v>
      </c>
      <c r="AY45" s="172">
        <v>167.45903215999999</v>
      </c>
      <c r="AZ45" s="172">
        <v>162.19354910000001</v>
      </c>
      <c r="BA45" s="172">
        <v>216.6595145</v>
      </c>
      <c r="BB45" s="172">
        <v>1633.1213285000001</v>
      </c>
      <c r="BC45" s="172">
        <v>164.10779620000002</v>
      </c>
      <c r="BD45" s="172">
        <v>166.29282305000001</v>
      </c>
      <c r="BE45" s="172">
        <v>141.6131249</v>
      </c>
      <c r="BF45" s="172">
        <v>124.45791629999999</v>
      </c>
      <c r="BG45" s="172">
        <v>112.8222035</v>
      </c>
      <c r="BH45" s="172">
        <v>100.94694324999999</v>
      </c>
      <c r="BI45" s="172">
        <v>89.326481549999997</v>
      </c>
      <c r="BJ45" s="172">
        <v>91.952212599999996</v>
      </c>
      <c r="BK45" s="172">
        <v>111.2685196</v>
      </c>
      <c r="BL45" s="172">
        <v>169.92109479999999</v>
      </c>
      <c r="BM45" s="172">
        <v>165.70992017600003</v>
      </c>
      <c r="BN45" s="172">
        <v>221.35671272000002</v>
      </c>
      <c r="BO45" s="172">
        <v>1659.775748646</v>
      </c>
      <c r="BP45" s="214">
        <v>26.654420145999893</v>
      </c>
      <c r="BQ45" s="217">
        <v>0</v>
      </c>
      <c r="BR45" s="218">
        <v>26.6544201459999</v>
      </c>
      <c r="BS45" s="193">
        <v>1.6321151209556239E-2</v>
      </c>
      <c r="BT45" s="190" t="s">
        <v>2686</v>
      </c>
      <c r="BV45" s="198">
        <v>86.500074947037874</v>
      </c>
      <c r="BW45" s="198">
        <v>87.911855749886428</v>
      </c>
      <c r="BX45" s="198">
        <v>1.4117808028485541</v>
      </c>
      <c r="BY45" s="199">
        <v>1.6321151209556257E-2</v>
      </c>
      <c r="CA45" s="200">
        <v>0</v>
      </c>
      <c r="CB45" s="200">
        <v>26.6544201459999</v>
      </c>
      <c r="CC45" s="200">
        <v>26.6544201459999</v>
      </c>
    </row>
    <row r="46" spans="2:81">
      <c r="B46" s="64" t="s">
        <v>462</v>
      </c>
      <c r="C46" s="64" t="s">
        <v>276</v>
      </c>
      <c r="D46" s="192" t="s">
        <v>307</v>
      </c>
      <c r="E46" s="172">
        <v>2656.9520000000002</v>
      </c>
      <c r="F46" s="172">
        <v>2751.7370000000001</v>
      </c>
      <c r="G46" s="172">
        <v>1978.644</v>
      </c>
      <c r="H46" s="172">
        <v>1824.6179999999999</v>
      </c>
      <c r="I46" s="172">
        <v>2127.7330000000002</v>
      </c>
      <c r="J46" s="172">
        <v>1924.34</v>
      </c>
      <c r="K46" s="172">
        <v>1872.998</v>
      </c>
      <c r="L46" s="172">
        <v>1614.3130000000001</v>
      </c>
      <c r="M46" s="172">
        <v>1670.5920000000001</v>
      </c>
      <c r="N46" s="172">
        <v>2588.8249999999998</v>
      </c>
      <c r="O46" s="172">
        <v>2519.71</v>
      </c>
      <c r="P46" s="172">
        <v>3469.5390000000002</v>
      </c>
      <c r="Q46" s="172">
        <v>27000.001</v>
      </c>
      <c r="R46" s="172">
        <v>2656.9520000000002</v>
      </c>
      <c r="S46" s="172">
        <v>2751.7370000000001</v>
      </c>
      <c r="T46" s="172">
        <v>1978.644</v>
      </c>
      <c r="U46" s="172">
        <v>1824.6179999999999</v>
      </c>
      <c r="V46" s="172">
        <v>2127.7330000000002</v>
      </c>
      <c r="W46" s="172">
        <v>1924.34</v>
      </c>
      <c r="X46" s="172">
        <v>1872.998</v>
      </c>
      <c r="Y46" s="172">
        <v>1614.3130000000001</v>
      </c>
      <c r="Z46" s="172">
        <v>1670.5920000000001</v>
      </c>
      <c r="AA46" s="172">
        <v>2588.8249999999998</v>
      </c>
      <c r="AB46" s="172">
        <v>2519.71</v>
      </c>
      <c r="AC46" s="172">
        <v>3469.5390000000002</v>
      </c>
      <c r="AD46" s="172"/>
      <c r="AE46" s="172">
        <v>27000.001</v>
      </c>
      <c r="AF46" s="172"/>
      <c r="AG46" s="193"/>
      <c r="AH46" s="282" t="e">
        <f>AE46-#REF!</f>
        <v>#REF!</v>
      </c>
      <c r="AI46" s="181" t="e">
        <f t="shared" si="1"/>
        <v>#REF!</v>
      </c>
      <c r="AJ46" s="172" t="s">
        <v>2727</v>
      </c>
      <c r="AM46" s="64" t="s">
        <v>462</v>
      </c>
      <c r="AN46" s="64" t="s">
        <v>276</v>
      </c>
      <c r="AO46" s="192" t="s">
        <v>307</v>
      </c>
      <c r="AP46" s="172">
        <v>229.10897095999999</v>
      </c>
      <c r="AQ46" s="172">
        <v>237.28228150999999</v>
      </c>
      <c r="AR46" s="172">
        <v>170.61847211999998</v>
      </c>
      <c r="AS46" s="172">
        <v>157.33681013999998</v>
      </c>
      <c r="AT46" s="172">
        <v>183.47441659</v>
      </c>
      <c r="AU46" s="172">
        <v>165.93583820000001</v>
      </c>
      <c r="AV46" s="172">
        <v>161.50861754000002</v>
      </c>
      <c r="AW46" s="172">
        <v>139.20220999</v>
      </c>
      <c r="AX46" s="172">
        <v>144.05514816000002</v>
      </c>
      <c r="AY46" s="172">
        <v>223.23437974999999</v>
      </c>
      <c r="AZ46" s="172">
        <v>218.58484250000001</v>
      </c>
      <c r="BA46" s="172">
        <v>300.98250825000002</v>
      </c>
      <c r="BB46" s="172">
        <v>2331.324495710001</v>
      </c>
      <c r="BC46" s="172">
        <v>232.50986952</v>
      </c>
      <c r="BD46" s="172">
        <v>240.80450487000002</v>
      </c>
      <c r="BE46" s="172">
        <v>173.15113644000002</v>
      </c>
      <c r="BF46" s="172">
        <v>159.67232118000001</v>
      </c>
      <c r="BG46" s="172">
        <v>186.19791483</v>
      </c>
      <c r="BH46" s="172">
        <v>168.39899339999999</v>
      </c>
      <c r="BI46" s="172">
        <v>163.90605497999999</v>
      </c>
      <c r="BJ46" s="172">
        <v>141.26853062999999</v>
      </c>
      <c r="BK46" s="172">
        <v>146.19350592000001</v>
      </c>
      <c r="BL46" s="172">
        <v>226.54807574999998</v>
      </c>
      <c r="BM46" s="172">
        <v>223.35969295000001</v>
      </c>
      <c r="BN46" s="172">
        <v>307.55728465500005</v>
      </c>
      <c r="BO46" s="172">
        <v>2369.567885125</v>
      </c>
      <c r="BP46" s="214">
        <v>38.243389414999001</v>
      </c>
      <c r="BQ46" s="217">
        <v>0</v>
      </c>
      <c r="BR46" s="218">
        <v>38.243389414999243</v>
      </c>
      <c r="BS46" s="193">
        <v>1.6404146863884694E-2</v>
      </c>
      <c r="BT46" s="190" t="s">
        <v>2685</v>
      </c>
      <c r="BV46" s="198">
        <v>86.345348494987121</v>
      </c>
      <c r="BW46" s="198">
        <v>87.761770272712212</v>
      </c>
      <c r="BX46" s="198">
        <v>1.4164217777250911</v>
      </c>
      <c r="BY46" s="199">
        <v>1.6404146863884892E-2</v>
      </c>
      <c r="CA46" s="200">
        <v>0</v>
      </c>
      <c r="CB46" s="200">
        <v>38.243389414999243</v>
      </c>
      <c r="CC46" s="200">
        <v>38.243389414999243</v>
      </c>
    </row>
    <row r="47" spans="2:81">
      <c r="B47" s="64" t="s">
        <v>264</v>
      </c>
      <c r="C47" s="64" t="s">
        <v>264</v>
      </c>
      <c r="D47" s="192" t="s">
        <v>215</v>
      </c>
      <c r="E47" s="172">
        <v>3278.473</v>
      </c>
      <c r="F47" s="172">
        <v>3181.9180000000001</v>
      </c>
      <c r="G47" s="172">
        <v>2970.377</v>
      </c>
      <c r="H47" s="172">
        <v>2627.826</v>
      </c>
      <c r="I47" s="172">
        <v>2523.2579999999998</v>
      </c>
      <c r="J47" s="172">
        <v>2377.8240000000001</v>
      </c>
      <c r="K47" s="172">
        <v>2385.837</v>
      </c>
      <c r="L47" s="172">
        <v>2336.558</v>
      </c>
      <c r="M47" s="172">
        <v>2561.3200000000002</v>
      </c>
      <c r="N47" s="172">
        <v>2944.3359999999998</v>
      </c>
      <c r="O47" s="172">
        <v>2969.576</v>
      </c>
      <c r="P47" s="172">
        <v>3168.6959999999999</v>
      </c>
      <c r="Q47" s="172">
        <v>33325.999000000003</v>
      </c>
      <c r="R47" s="172">
        <v>3278.473</v>
      </c>
      <c r="S47" s="172">
        <v>3181.9180000000001</v>
      </c>
      <c r="T47" s="172">
        <v>2970.377</v>
      </c>
      <c r="U47" s="172">
        <v>2627.826</v>
      </c>
      <c r="V47" s="172">
        <v>2523.2579999999998</v>
      </c>
      <c r="W47" s="172">
        <v>2377.8240000000001</v>
      </c>
      <c r="X47" s="172">
        <v>2385.837</v>
      </c>
      <c r="Y47" s="172">
        <v>2336.558</v>
      </c>
      <c r="Z47" s="172">
        <v>2561.3200000000002</v>
      </c>
      <c r="AA47" s="172">
        <v>2944.3359999999998</v>
      </c>
      <c r="AB47" s="172">
        <v>2969.576</v>
      </c>
      <c r="AC47" s="172">
        <v>3168.6959999999999</v>
      </c>
      <c r="AD47" s="172"/>
      <c r="AE47" s="172">
        <v>33325.999000000003</v>
      </c>
      <c r="AF47" s="172"/>
      <c r="AG47" s="193"/>
      <c r="AH47" s="282" t="e">
        <f>AE47-#REF!</f>
        <v>#REF!</v>
      </c>
      <c r="AI47" s="181" t="e">
        <f t="shared" si="1"/>
        <v>#REF!</v>
      </c>
      <c r="AJ47" s="172" t="s">
        <v>2728</v>
      </c>
      <c r="AM47" s="64" t="s">
        <v>264</v>
      </c>
      <c r="AN47" s="64" t="s">
        <v>264</v>
      </c>
      <c r="AO47" s="192" t="s">
        <v>215</v>
      </c>
      <c r="AP47" s="172">
        <v>281.94867800000003</v>
      </c>
      <c r="AQ47" s="172">
        <v>273.644948</v>
      </c>
      <c r="AR47" s="172">
        <v>255.45242199999998</v>
      </c>
      <c r="AS47" s="172">
        <v>225.99303599999999</v>
      </c>
      <c r="AT47" s="172">
        <v>217.00018800000001</v>
      </c>
      <c r="AU47" s="172">
        <v>204.492864</v>
      </c>
      <c r="AV47" s="172">
        <v>205.18198199999998</v>
      </c>
      <c r="AW47" s="172">
        <v>200.94398800000002</v>
      </c>
      <c r="AX47" s="172">
        <v>220.27351999999999</v>
      </c>
      <c r="AY47" s="172">
        <v>253.212896</v>
      </c>
      <c r="AZ47" s="172">
        <v>256.92771551999999</v>
      </c>
      <c r="BA47" s="172">
        <v>274.15557791999998</v>
      </c>
      <c r="BB47" s="172">
        <v>2869.2278154400001</v>
      </c>
      <c r="BC47" s="172">
        <v>286.14512344000002</v>
      </c>
      <c r="BD47" s="172">
        <v>277.71780304000004</v>
      </c>
      <c r="BE47" s="172">
        <v>259.25450455999999</v>
      </c>
      <c r="BF47" s="172">
        <v>229.35665327999999</v>
      </c>
      <c r="BG47" s="172">
        <v>220.22995824</v>
      </c>
      <c r="BH47" s="172">
        <v>207.53647872000002</v>
      </c>
      <c r="BI47" s="172">
        <v>208.23585336000002</v>
      </c>
      <c r="BJ47" s="172">
        <v>203.93478224</v>
      </c>
      <c r="BK47" s="172">
        <v>223.55200959999999</v>
      </c>
      <c r="BL47" s="172">
        <v>256.98164608000002</v>
      </c>
      <c r="BM47" s="172">
        <v>262.55506204</v>
      </c>
      <c r="BN47" s="172">
        <v>280.16025683999999</v>
      </c>
      <c r="BO47" s="172">
        <v>2915.66013144</v>
      </c>
      <c r="BP47" s="214">
        <v>46.432315999999901</v>
      </c>
      <c r="BQ47" s="217">
        <v>0</v>
      </c>
      <c r="BR47" s="218">
        <v>46.432315999999801</v>
      </c>
      <c r="BS47" s="193">
        <v>1.618286137829017E-2</v>
      </c>
      <c r="BT47" s="190" t="s">
        <v>2685</v>
      </c>
      <c r="BV47" s="198">
        <v>86.09577811725913</v>
      </c>
      <c r="BW47" s="198">
        <v>87.489054159786761</v>
      </c>
      <c r="BX47" s="198">
        <v>1.3932760425276314</v>
      </c>
      <c r="BY47" s="199">
        <v>1.6182861378290156E-2</v>
      </c>
      <c r="CA47" s="200">
        <v>0</v>
      </c>
      <c r="CB47" s="200">
        <v>46.432315999999801</v>
      </c>
      <c r="CC47" s="200">
        <v>46.432315999999801</v>
      </c>
    </row>
    <row r="48" spans="2:81">
      <c r="B48" s="64" t="s">
        <v>277</v>
      </c>
      <c r="C48" s="64" t="s">
        <v>277</v>
      </c>
      <c r="D48" s="192" t="s">
        <v>2637</v>
      </c>
      <c r="E48" s="172">
        <v>4836.652</v>
      </c>
      <c r="F48" s="172">
        <v>4297.9080000000004</v>
      </c>
      <c r="G48" s="172">
        <v>2858.1469999999999</v>
      </c>
      <c r="H48" s="172">
        <v>3090.8760000000002</v>
      </c>
      <c r="I48" s="172">
        <v>2975.7570000000001</v>
      </c>
      <c r="J48" s="172">
        <v>1937.633</v>
      </c>
      <c r="K48" s="172">
        <v>2094.4749999999999</v>
      </c>
      <c r="L48" s="172">
        <v>1851.6769999999999</v>
      </c>
      <c r="M48" s="172">
        <v>2087.3119999999999</v>
      </c>
      <c r="N48" s="172">
        <v>2544.759</v>
      </c>
      <c r="O48" s="172">
        <v>3210.0340000000001</v>
      </c>
      <c r="P48" s="172">
        <v>6172.098</v>
      </c>
      <c r="Q48" s="172">
        <v>37957.328000000001</v>
      </c>
      <c r="R48" s="172">
        <v>4812.4690000000001</v>
      </c>
      <c r="S48" s="172">
        <v>4276.4179999999997</v>
      </c>
      <c r="T48" s="172">
        <v>2843.8560000000002</v>
      </c>
      <c r="U48" s="172">
        <v>3075.4209999999998</v>
      </c>
      <c r="V48" s="172">
        <v>2960.8789999999999</v>
      </c>
      <c r="W48" s="172">
        <v>1927.9449999999999</v>
      </c>
      <c r="X48" s="172">
        <v>2084.0030000000002</v>
      </c>
      <c r="Y48" s="172">
        <v>1842.4190000000001</v>
      </c>
      <c r="Z48" s="172">
        <v>2076.875</v>
      </c>
      <c r="AA48" s="172">
        <v>2532.0349999999999</v>
      </c>
      <c r="AB48" s="172">
        <v>3193.9830000000002</v>
      </c>
      <c r="AC48" s="172">
        <v>6141.2380000000003</v>
      </c>
      <c r="AD48" s="172"/>
      <c r="AE48" s="172">
        <v>37767.540999999997</v>
      </c>
      <c r="AF48" s="172"/>
      <c r="AG48" s="193"/>
      <c r="AH48" s="282" t="e">
        <f>AE48-#REF!</f>
        <v>#REF!</v>
      </c>
      <c r="AI48" s="181" t="e">
        <f t="shared" si="1"/>
        <v>#REF!</v>
      </c>
      <c r="AJ48" s="172" t="s">
        <v>2729</v>
      </c>
      <c r="AM48" s="64" t="s">
        <v>277</v>
      </c>
      <c r="AN48" s="64" t="s">
        <v>277</v>
      </c>
      <c r="AO48" s="192" t="s">
        <v>2637</v>
      </c>
      <c r="AP48" s="172">
        <v>414.54944291999999</v>
      </c>
      <c r="AQ48" s="172">
        <v>368.37369468000003</v>
      </c>
      <c r="AR48" s="172">
        <v>244.97177937000001</v>
      </c>
      <c r="AS48" s="172">
        <v>264.91898196</v>
      </c>
      <c r="AT48" s="172">
        <v>255.05213247</v>
      </c>
      <c r="AU48" s="172">
        <v>166.07452443</v>
      </c>
      <c r="AV48" s="172">
        <v>179.51745224999999</v>
      </c>
      <c r="AW48" s="172">
        <v>158.70723566999999</v>
      </c>
      <c r="AX48" s="172">
        <v>178.90351152</v>
      </c>
      <c r="AY48" s="172">
        <v>218.11129389000001</v>
      </c>
      <c r="AZ48" s="172">
        <v>276.76913148</v>
      </c>
      <c r="BA48" s="172">
        <v>532.15828955999996</v>
      </c>
      <c r="BB48" s="172">
        <v>3258.107470200001</v>
      </c>
      <c r="BC48" s="172">
        <v>418.20355610000001</v>
      </c>
      <c r="BD48" s="172">
        <v>371.62072419999998</v>
      </c>
      <c r="BE48" s="172">
        <v>247.13108639999999</v>
      </c>
      <c r="BF48" s="172">
        <v>267.26331116300003</v>
      </c>
      <c r="BG48" s="172">
        <v>257.30926773699997</v>
      </c>
      <c r="BH48" s="172">
        <v>167.54420433499999</v>
      </c>
      <c r="BI48" s="172">
        <v>181.106112709</v>
      </c>
      <c r="BJ48" s="172">
        <v>160.11173835700001</v>
      </c>
      <c r="BK48" s="172">
        <v>180.48666812499999</v>
      </c>
      <c r="BL48" s="172">
        <v>220.04143760500003</v>
      </c>
      <c r="BM48" s="172">
        <v>281.15993552399999</v>
      </c>
      <c r="BN48" s="172">
        <v>540.60089866399994</v>
      </c>
      <c r="BO48" s="172">
        <v>3292.5789409190002</v>
      </c>
      <c r="BP48" s="214">
        <v>34.471470718999171</v>
      </c>
      <c r="BQ48" s="217">
        <v>-16.54565436124653</v>
      </c>
      <c r="BR48" s="218">
        <v>51.017125080245847</v>
      </c>
      <c r="BS48" s="193">
        <v>1.0580212910190845E-2</v>
      </c>
      <c r="BT48" s="190" t="s">
        <v>2685</v>
      </c>
      <c r="BV48" s="198">
        <v>85.836059645715864</v>
      </c>
      <c r="BW48" s="198">
        <v>87.180124883401874</v>
      </c>
      <c r="BX48" s="198">
        <v>1.3440652376860101</v>
      </c>
      <c r="BY48" s="199">
        <v>1.5658515118629323E-2</v>
      </c>
      <c r="CA48" s="200">
        <v>-16.54565436124653</v>
      </c>
      <c r="CB48" s="200">
        <v>51.017125080245847</v>
      </c>
      <c r="CC48" s="200">
        <v>34.471470718999313</v>
      </c>
    </row>
    <row r="49" spans="2:81">
      <c r="B49" s="64" t="s">
        <v>473</v>
      </c>
      <c r="C49" s="64" t="s">
        <v>473</v>
      </c>
      <c r="D49" s="192" t="s">
        <v>558</v>
      </c>
      <c r="E49" s="172">
        <v>3157.5630000000001</v>
      </c>
      <c r="F49" s="172">
        <v>3087.6039999999998</v>
      </c>
      <c r="G49" s="172">
        <v>2890.0010000000002</v>
      </c>
      <c r="H49" s="172">
        <v>2595.4369999999999</v>
      </c>
      <c r="I49" s="172">
        <v>2479.6570000000002</v>
      </c>
      <c r="J49" s="172">
        <v>2334.8290000000002</v>
      </c>
      <c r="K49" s="172">
        <v>2316.4189999999999</v>
      </c>
      <c r="L49" s="172">
        <v>2266.098</v>
      </c>
      <c r="M49" s="172">
        <v>2496.0210000000002</v>
      </c>
      <c r="N49" s="172">
        <v>2851.953</v>
      </c>
      <c r="O49" s="172">
        <v>2867.09</v>
      </c>
      <c r="P49" s="172">
        <v>3057.3290000000002</v>
      </c>
      <c r="Q49" s="172">
        <v>32400.001</v>
      </c>
      <c r="R49" s="172">
        <v>3157.5630000000001</v>
      </c>
      <c r="S49" s="172">
        <v>3087.6039999999998</v>
      </c>
      <c r="T49" s="172">
        <v>2890.0010000000002</v>
      </c>
      <c r="U49" s="172">
        <v>2595.4369999999999</v>
      </c>
      <c r="V49" s="172">
        <v>2479.6570000000002</v>
      </c>
      <c r="W49" s="172">
        <v>2334.8290000000002</v>
      </c>
      <c r="X49" s="172">
        <v>2316.4189999999999</v>
      </c>
      <c r="Y49" s="172">
        <v>2266.098</v>
      </c>
      <c r="Z49" s="172">
        <v>2496.0210000000002</v>
      </c>
      <c r="AA49" s="172">
        <v>2851.953</v>
      </c>
      <c r="AB49" s="172">
        <v>2867.09</v>
      </c>
      <c r="AC49" s="172">
        <v>3057.3290000000002</v>
      </c>
      <c r="AD49" s="172"/>
      <c r="AE49" s="172">
        <v>32400.001</v>
      </c>
      <c r="AF49" s="172"/>
      <c r="AG49" s="193"/>
      <c r="AH49" s="181" t="e">
        <f>AE49-#REF!</f>
        <v>#REF!</v>
      </c>
      <c r="AI49" s="181" t="e">
        <f t="shared" si="1"/>
        <v>#REF!</v>
      </c>
      <c r="AJ49" s="172" t="s">
        <v>2730</v>
      </c>
      <c r="AM49" s="64" t="s">
        <v>473</v>
      </c>
      <c r="AN49" s="64" t="s">
        <v>473</v>
      </c>
      <c r="AO49" s="192" t="s">
        <v>558</v>
      </c>
      <c r="AP49" s="172">
        <v>267.79291803000001</v>
      </c>
      <c r="AQ49" s="172">
        <v>261.85969524000001</v>
      </c>
      <c r="AR49" s="172">
        <v>245.10098481</v>
      </c>
      <c r="AS49" s="172">
        <v>220.11901197</v>
      </c>
      <c r="AT49" s="172">
        <v>210.29971017</v>
      </c>
      <c r="AU49" s="172">
        <v>198.01684748999998</v>
      </c>
      <c r="AV49" s="172">
        <v>196.45549539000001</v>
      </c>
      <c r="AW49" s="172">
        <v>192.18777137999999</v>
      </c>
      <c r="AX49" s="172">
        <v>211.68754100999999</v>
      </c>
      <c r="AY49" s="172">
        <v>241.87413393</v>
      </c>
      <c r="AZ49" s="172">
        <v>244.6201188</v>
      </c>
      <c r="BA49" s="172">
        <v>260.85131028000001</v>
      </c>
      <c r="BB49" s="172">
        <v>2750.8655384999997</v>
      </c>
      <c r="BC49" s="172">
        <v>269.643249948</v>
      </c>
      <c r="BD49" s="172">
        <v>263.669031184</v>
      </c>
      <c r="BE49" s="172">
        <v>246.79452539600001</v>
      </c>
      <c r="BF49" s="172">
        <v>221.63993805200002</v>
      </c>
      <c r="BG49" s="172">
        <v>211.75278917199998</v>
      </c>
      <c r="BH49" s="172">
        <v>199.385057284</v>
      </c>
      <c r="BI49" s="172">
        <v>197.81291692399998</v>
      </c>
      <c r="BJ49" s="172">
        <v>193.51570480800001</v>
      </c>
      <c r="BK49" s="172">
        <v>213.150209316</v>
      </c>
      <c r="BL49" s="172">
        <v>243.54537838800002</v>
      </c>
      <c r="BM49" s="172">
        <v>247.77105071</v>
      </c>
      <c r="BN49" s="172">
        <v>264.211314851</v>
      </c>
      <c r="BO49" s="172">
        <v>2772.8911660330004</v>
      </c>
      <c r="BP49" s="214">
        <v>22.025627533000716</v>
      </c>
      <c r="BQ49" s="217">
        <v>0</v>
      </c>
      <c r="BR49" s="218">
        <v>22.025627533000289</v>
      </c>
      <c r="BS49" s="193">
        <v>8.0067990327912231E-3</v>
      </c>
      <c r="BT49" s="190" t="s">
        <v>2690</v>
      </c>
      <c r="BV49" s="198">
        <v>84.903254740640278</v>
      </c>
      <c r="BW49" s="198">
        <v>85.583058038578457</v>
      </c>
      <c r="BX49" s="198">
        <v>0.67980329793817873</v>
      </c>
      <c r="BY49" s="199">
        <v>8.006799032791145E-3</v>
      </c>
      <c r="CA49" s="200">
        <v>0</v>
      </c>
      <c r="CB49" s="200">
        <v>22.025627533000289</v>
      </c>
      <c r="CC49" s="200">
        <v>22.025627533000289</v>
      </c>
    </row>
    <row r="50" spans="2:81">
      <c r="B50" s="64" t="s">
        <v>467</v>
      </c>
      <c r="C50" s="64" t="s">
        <v>467</v>
      </c>
      <c r="D50" s="192" t="s">
        <v>2645</v>
      </c>
      <c r="E50" s="172">
        <v>6958.3329999999996</v>
      </c>
      <c r="F50" s="172">
        <v>6804.1639999999998</v>
      </c>
      <c r="G50" s="172">
        <v>6368.7049999999999</v>
      </c>
      <c r="H50" s="172">
        <v>5719.5730000000003</v>
      </c>
      <c r="I50" s="172">
        <v>5464.4279999999999</v>
      </c>
      <c r="J50" s="172">
        <v>5145.2719999999999</v>
      </c>
      <c r="K50" s="172">
        <v>5104.701</v>
      </c>
      <c r="L50" s="172">
        <v>4993.808</v>
      </c>
      <c r="M50" s="172">
        <v>5500.491</v>
      </c>
      <c r="N50" s="172">
        <v>6284.8590000000004</v>
      </c>
      <c r="O50" s="172">
        <v>6318.2169999999996</v>
      </c>
      <c r="P50" s="172">
        <v>6737.4480000000003</v>
      </c>
      <c r="Q50" s="172">
        <v>71399.998999999996</v>
      </c>
      <c r="R50" s="172">
        <v>6958.3329999999996</v>
      </c>
      <c r="S50" s="172">
        <v>6804.1639999999998</v>
      </c>
      <c r="T50" s="172">
        <v>6368.7049999999999</v>
      </c>
      <c r="U50" s="172">
        <v>5719.5730000000003</v>
      </c>
      <c r="V50" s="172">
        <v>5464.4279999999999</v>
      </c>
      <c r="W50" s="172">
        <v>5145.2719999999999</v>
      </c>
      <c r="X50" s="172">
        <v>5104.701</v>
      </c>
      <c r="Y50" s="172">
        <v>4993.808</v>
      </c>
      <c r="Z50" s="172">
        <v>5500.491</v>
      </c>
      <c r="AA50" s="172">
        <v>6284.8590000000004</v>
      </c>
      <c r="AB50" s="172">
        <v>6318.2169999999996</v>
      </c>
      <c r="AC50" s="172">
        <v>6737.4480000000003</v>
      </c>
      <c r="AD50" s="172"/>
      <c r="AE50" s="172">
        <v>71399.998999999996</v>
      </c>
      <c r="AF50" s="172"/>
      <c r="AG50" s="193"/>
      <c r="AH50" s="181" t="e">
        <f>AE50-#REF!</f>
        <v>#REF!</v>
      </c>
      <c r="AI50" s="181" t="e">
        <f t="shared" si="1"/>
        <v>#REF!</v>
      </c>
      <c r="AJ50" s="172" t="s">
        <v>2730</v>
      </c>
      <c r="AM50" s="64" t="s">
        <v>467</v>
      </c>
      <c r="AN50" s="64" t="s">
        <v>467</v>
      </c>
      <c r="AO50" s="192" t="s">
        <v>2645</v>
      </c>
      <c r="AP50" s="172">
        <v>596.39872143000002</v>
      </c>
      <c r="AQ50" s="172">
        <v>583.18489643999999</v>
      </c>
      <c r="AR50" s="172">
        <v>545.86170555000001</v>
      </c>
      <c r="AS50" s="172">
        <v>490.22460182999998</v>
      </c>
      <c r="AT50" s="172">
        <v>468.35612388000004</v>
      </c>
      <c r="AU50" s="172">
        <v>441.00126312000003</v>
      </c>
      <c r="AV50" s="172">
        <v>437.52392271000002</v>
      </c>
      <c r="AW50" s="172">
        <v>428.01928368</v>
      </c>
      <c r="AX50" s="172">
        <v>471.44708360999999</v>
      </c>
      <c r="AY50" s="172">
        <v>538.67526488999999</v>
      </c>
      <c r="AZ50" s="172">
        <v>544.75666974000001</v>
      </c>
      <c r="BA50" s="172">
        <v>580.90276656000003</v>
      </c>
      <c r="BB50" s="172">
        <v>6126.3523034399996</v>
      </c>
      <c r="BC50" s="172">
        <v>600.43455457000005</v>
      </c>
      <c r="BD50" s="172">
        <v>587.13131155999997</v>
      </c>
      <c r="BE50" s="172">
        <v>549.55555445000005</v>
      </c>
      <c r="BF50" s="172">
        <v>493.54195417</v>
      </c>
      <c r="BG50" s="172">
        <v>471.52549212000002</v>
      </c>
      <c r="BH50" s="172">
        <v>443.98552088000002</v>
      </c>
      <c r="BI50" s="172">
        <v>440.48464928999999</v>
      </c>
      <c r="BJ50" s="172">
        <v>430.91569231999995</v>
      </c>
      <c r="BK50" s="172">
        <v>474.63736839000001</v>
      </c>
      <c r="BL50" s="172">
        <v>542.32048311000005</v>
      </c>
      <c r="BM50" s="172">
        <v>552.2374386680001</v>
      </c>
      <c r="BN50" s="172">
        <v>588.87990499199998</v>
      </c>
      <c r="BO50" s="172">
        <v>6175.6499245200021</v>
      </c>
      <c r="BP50" s="214">
        <v>49.2976210800025</v>
      </c>
      <c r="BQ50" s="217">
        <v>0</v>
      </c>
      <c r="BR50" s="218">
        <v>49.297621080003175</v>
      </c>
      <c r="BS50" s="193">
        <v>8.0468145869314611E-3</v>
      </c>
      <c r="BT50" s="190" t="s">
        <v>2686</v>
      </c>
      <c r="BV50" s="198">
        <v>85.803254751306085</v>
      </c>
      <c r="BW50" s="198">
        <v>86.493697633245105</v>
      </c>
      <c r="BX50" s="198">
        <v>0.69044288193902048</v>
      </c>
      <c r="BY50" s="199">
        <v>8.0468145869316294E-3</v>
      </c>
      <c r="CA50" s="200">
        <v>0</v>
      </c>
      <c r="CB50" s="200">
        <v>49.297621080003175</v>
      </c>
      <c r="CC50" s="200">
        <v>49.297621080003175</v>
      </c>
    </row>
    <row r="51" spans="2:81">
      <c r="B51" s="64" t="s">
        <v>470</v>
      </c>
      <c r="C51" s="64" t="s">
        <v>470</v>
      </c>
      <c r="D51" s="192" t="s">
        <v>561</v>
      </c>
      <c r="E51" s="172">
        <v>6654.6220000000003</v>
      </c>
      <c r="F51" s="172">
        <v>6507.183</v>
      </c>
      <c r="G51" s="172">
        <v>6090.73</v>
      </c>
      <c r="H51" s="172">
        <v>5469.9309999999996</v>
      </c>
      <c r="I51" s="172">
        <v>5225.9219999999996</v>
      </c>
      <c r="J51" s="172">
        <v>4920.6959999999999</v>
      </c>
      <c r="K51" s="172">
        <v>4881.8959999999997</v>
      </c>
      <c r="L51" s="172">
        <v>4775.8429999999998</v>
      </c>
      <c r="M51" s="172">
        <v>5260.4110000000001</v>
      </c>
      <c r="N51" s="172">
        <v>6010.5429999999997</v>
      </c>
      <c r="O51" s="172">
        <v>6042.4449999999997</v>
      </c>
      <c r="P51" s="172">
        <v>6443.3779999999997</v>
      </c>
      <c r="Q51" s="172">
        <v>68283.600000000006</v>
      </c>
      <c r="R51" s="172">
        <v>6654.6220000000003</v>
      </c>
      <c r="S51" s="172">
        <v>6507.183</v>
      </c>
      <c r="T51" s="172">
        <v>6090.73</v>
      </c>
      <c r="U51" s="172">
        <v>5469.9309999999996</v>
      </c>
      <c r="V51" s="172">
        <v>5225.9219999999996</v>
      </c>
      <c r="W51" s="172">
        <v>4920.6959999999999</v>
      </c>
      <c r="X51" s="172">
        <v>4881.8959999999997</v>
      </c>
      <c r="Y51" s="172">
        <v>4775.8429999999998</v>
      </c>
      <c r="Z51" s="172">
        <v>5260.4110000000001</v>
      </c>
      <c r="AA51" s="172">
        <v>6010.5429999999997</v>
      </c>
      <c r="AB51" s="172">
        <v>6042.4449999999997</v>
      </c>
      <c r="AC51" s="172">
        <v>6443.3779999999997</v>
      </c>
      <c r="AD51" s="172"/>
      <c r="AE51" s="172">
        <v>68283.600000000006</v>
      </c>
      <c r="AF51" s="172"/>
      <c r="AG51" s="193"/>
      <c r="AH51" s="181" t="e">
        <f>AE51-#REF!</f>
        <v>#REF!</v>
      </c>
      <c r="AI51" s="181" t="e">
        <f t="shared" si="1"/>
        <v>#REF!</v>
      </c>
      <c r="AJ51" s="172" t="s">
        <v>2730</v>
      </c>
      <c r="AM51" s="64" t="s">
        <v>470</v>
      </c>
      <c r="AN51" s="64" t="s">
        <v>470</v>
      </c>
      <c r="AO51" s="192" t="s">
        <v>2691</v>
      </c>
      <c r="AP51" s="172">
        <v>564.37849182000002</v>
      </c>
      <c r="AQ51" s="172">
        <v>551.87419022999995</v>
      </c>
      <c r="AR51" s="172">
        <v>516.55481129999998</v>
      </c>
      <c r="AS51" s="172">
        <v>463.90484811000005</v>
      </c>
      <c r="AT51" s="172">
        <v>443.21044481999996</v>
      </c>
      <c r="AU51" s="172">
        <v>417.32422775999999</v>
      </c>
      <c r="AV51" s="172">
        <v>414.03359976000002</v>
      </c>
      <c r="AW51" s="172">
        <v>405.03924482999997</v>
      </c>
      <c r="AX51" s="172">
        <v>446.13545691000002</v>
      </c>
      <c r="AY51" s="172">
        <v>509.75415183000001</v>
      </c>
      <c r="AZ51" s="172">
        <v>515.54140740000003</v>
      </c>
      <c r="BA51" s="172">
        <v>549.74901095999996</v>
      </c>
      <c r="BB51" s="172">
        <v>5797.4998857300006</v>
      </c>
      <c r="BC51" s="172">
        <v>568.50435745999994</v>
      </c>
      <c r="BD51" s="172">
        <v>555.90864369000008</v>
      </c>
      <c r="BE51" s="172">
        <v>520.3310639</v>
      </c>
      <c r="BF51" s="172">
        <v>467.29620533000002</v>
      </c>
      <c r="BG51" s="172">
        <v>446.45051646000002</v>
      </c>
      <c r="BH51" s="172">
        <v>420.37505927999996</v>
      </c>
      <c r="BI51" s="172">
        <v>417.06037527999996</v>
      </c>
      <c r="BJ51" s="172">
        <v>408.00026749</v>
      </c>
      <c r="BK51" s="172">
        <v>449.39691173</v>
      </c>
      <c r="BL51" s="172">
        <v>513.48068848999992</v>
      </c>
      <c r="BM51" s="172">
        <v>523.12467587499998</v>
      </c>
      <c r="BN51" s="172">
        <v>557.83545035000009</v>
      </c>
      <c r="BO51" s="172">
        <v>5847.7642153349989</v>
      </c>
      <c r="BP51" s="214">
        <v>50.264329604998238</v>
      </c>
      <c r="BQ51" s="217">
        <v>0</v>
      </c>
      <c r="BR51" s="218">
        <v>50.264329604998153</v>
      </c>
      <c r="BS51" s="193">
        <v>8.6700009651952126E-3</v>
      </c>
      <c r="BT51" s="190" t="s">
        <v>2684</v>
      </c>
      <c r="BV51" s="198">
        <v>84.903254745356136</v>
      </c>
      <c r="BW51" s="198">
        <v>85.639366045946588</v>
      </c>
      <c r="BX51" s="198">
        <v>0.73611130059045138</v>
      </c>
      <c r="BY51" s="199">
        <v>8.670000965195197E-3</v>
      </c>
      <c r="CA51" s="200">
        <v>0</v>
      </c>
      <c r="CB51" s="200">
        <v>50.264329604998153</v>
      </c>
      <c r="CC51" s="200">
        <v>50.264329604998153</v>
      </c>
    </row>
    <row r="52" spans="2:81">
      <c r="B52" s="64" t="s">
        <v>465</v>
      </c>
      <c r="C52" s="64" t="s">
        <v>465</v>
      </c>
      <c r="D52" s="192" t="s">
        <v>563</v>
      </c>
      <c r="E52" s="172">
        <v>7841.018</v>
      </c>
      <c r="F52" s="172">
        <v>7667.2929999999997</v>
      </c>
      <c r="G52" s="172">
        <v>7176.5940000000001</v>
      </c>
      <c r="H52" s="172">
        <v>6445.1180000000004</v>
      </c>
      <c r="I52" s="172">
        <v>6157.607</v>
      </c>
      <c r="J52" s="172">
        <v>5797.9650000000001</v>
      </c>
      <c r="K52" s="172">
        <v>5752.2470000000003</v>
      </c>
      <c r="L52" s="172">
        <v>5627.2870000000003</v>
      </c>
      <c r="M52" s="172">
        <v>6198.2449999999999</v>
      </c>
      <c r="N52" s="172">
        <v>7082.1120000000001</v>
      </c>
      <c r="O52" s="172">
        <v>7119.701</v>
      </c>
      <c r="P52" s="172">
        <v>7592.1130000000003</v>
      </c>
      <c r="Q52" s="172">
        <v>80457.3</v>
      </c>
      <c r="R52" s="172">
        <v>7841.018</v>
      </c>
      <c r="S52" s="172">
        <v>7667.2929999999997</v>
      </c>
      <c r="T52" s="172">
        <v>7176.5940000000001</v>
      </c>
      <c r="U52" s="172">
        <v>6445.1180000000004</v>
      </c>
      <c r="V52" s="172">
        <v>6157.607</v>
      </c>
      <c r="W52" s="172">
        <v>5797.9650000000001</v>
      </c>
      <c r="X52" s="172">
        <v>5752.2470000000003</v>
      </c>
      <c r="Y52" s="172">
        <v>5627.2870000000003</v>
      </c>
      <c r="Z52" s="172">
        <v>6198.2449999999999</v>
      </c>
      <c r="AA52" s="172">
        <v>7082.1120000000001</v>
      </c>
      <c r="AB52" s="172">
        <v>7119.701</v>
      </c>
      <c r="AC52" s="172">
        <v>7592.1130000000003</v>
      </c>
      <c r="AD52" s="172"/>
      <c r="AE52" s="172">
        <v>80457.3</v>
      </c>
      <c r="AF52" s="172"/>
      <c r="AG52" s="193"/>
      <c r="AH52" s="181" t="e">
        <f>AE52-#REF!</f>
        <v>#REF!</v>
      </c>
      <c r="AI52" s="181" t="e">
        <f t="shared" si="1"/>
        <v>#REF!</v>
      </c>
      <c r="AJ52" s="172" t="s">
        <v>2730</v>
      </c>
      <c r="AM52" s="64" t="s">
        <v>465</v>
      </c>
      <c r="AN52" s="64" t="s">
        <v>465</v>
      </c>
      <c r="AO52" s="192" t="s">
        <v>563</v>
      </c>
      <c r="AP52" s="172">
        <v>664.99673658000006</v>
      </c>
      <c r="AQ52" s="172">
        <v>650.26311932999999</v>
      </c>
      <c r="AR52" s="172">
        <v>608.64693714000009</v>
      </c>
      <c r="AS52" s="172">
        <v>546.61045758</v>
      </c>
      <c r="AT52" s="172">
        <v>522.22664967000003</v>
      </c>
      <c r="AU52" s="172">
        <v>491.72541165000001</v>
      </c>
      <c r="AV52" s="172">
        <v>487.84806806999995</v>
      </c>
      <c r="AW52" s="172">
        <v>477.25021047000001</v>
      </c>
      <c r="AX52" s="172">
        <v>525.67315844999996</v>
      </c>
      <c r="AY52" s="172">
        <v>600.63391872</v>
      </c>
      <c r="AZ52" s="172">
        <v>607.45288931999994</v>
      </c>
      <c r="BA52" s="172">
        <v>647.75908115999994</v>
      </c>
      <c r="BB52" s="172">
        <v>6831.0866381400001</v>
      </c>
      <c r="BC52" s="172">
        <v>669.85816774</v>
      </c>
      <c r="BD52" s="172">
        <v>655.01684099000011</v>
      </c>
      <c r="BE52" s="172">
        <v>613.09642541999995</v>
      </c>
      <c r="BF52" s="172">
        <v>550.60643073999995</v>
      </c>
      <c r="BG52" s="172">
        <v>526.04436600999998</v>
      </c>
      <c r="BH52" s="172">
        <v>495.32014994999997</v>
      </c>
      <c r="BI52" s="172">
        <v>491.41446120999996</v>
      </c>
      <c r="BJ52" s="172">
        <v>480.73912840999998</v>
      </c>
      <c r="BK52" s="172">
        <v>529.51607035000006</v>
      </c>
      <c r="BL52" s="172">
        <v>605.02482816000008</v>
      </c>
      <c r="BM52" s="172">
        <v>616.38811407500009</v>
      </c>
      <c r="BN52" s="172">
        <v>657.28718297499995</v>
      </c>
      <c r="BO52" s="172">
        <v>6890.3121660300003</v>
      </c>
      <c r="BP52" s="214">
        <v>59.225527890000194</v>
      </c>
      <c r="BQ52" s="217">
        <v>0</v>
      </c>
      <c r="BR52" s="218">
        <v>59.225527890000215</v>
      </c>
      <c r="BS52" s="193">
        <v>8.6700009862745731E-3</v>
      </c>
      <c r="BT52" s="190" t="s">
        <v>2684</v>
      </c>
      <c r="BV52" s="198">
        <v>84.903254746803583</v>
      </c>
      <c r="BW52" s="198">
        <v>85.639366049196283</v>
      </c>
      <c r="BX52" s="198">
        <v>0.7361113023927004</v>
      </c>
      <c r="BY52" s="199">
        <v>8.6700009862744794E-3</v>
      </c>
      <c r="CA52" s="200">
        <v>0</v>
      </c>
      <c r="CB52" s="200">
        <v>59.225527890000215</v>
      </c>
      <c r="CC52" s="200">
        <v>59.225527890000215</v>
      </c>
    </row>
    <row r="53" spans="2:81">
      <c r="B53" s="64" t="s">
        <v>471</v>
      </c>
      <c r="C53" s="64" t="s">
        <v>471</v>
      </c>
      <c r="D53" s="192" t="s">
        <v>564</v>
      </c>
      <c r="E53" s="172">
        <v>0</v>
      </c>
      <c r="F53" s="172">
        <v>0</v>
      </c>
      <c r="G53" s="172">
        <v>0</v>
      </c>
      <c r="H53" s="172">
        <v>0</v>
      </c>
      <c r="I53" s="172">
        <v>0</v>
      </c>
      <c r="J53" s="172">
        <v>0</v>
      </c>
      <c r="K53" s="172">
        <v>0</v>
      </c>
      <c r="L53" s="172">
        <v>0</v>
      </c>
      <c r="M53" s="172">
        <v>0</v>
      </c>
      <c r="N53" s="172">
        <v>6955.924</v>
      </c>
      <c r="O53" s="172">
        <v>7769.8140000000003</v>
      </c>
      <c r="P53" s="172">
        <v>8285.3629999999994</v>
      </c>
      <c r="Q53" s="172">
        <v>23011.100999999999</v>
      </c>
      <c r="R53" s="172">
        <v>9909.3220000000001</v>
      </c>
      <c r="S53" s="172">
        <v>9317.7630000000008</v>
      </c>
      <c r="T53" s="172">
        <v>8067.0370000000003</v>
      </c>
      <c r="U53" s="172">
        <v>6581.8010000000004</v>
      </c>
      <c r="V53" s="172">
        <v>6129.6809999999996</v>
      </c>
      <c r="W53" s="172">
        <v>5047.9719999999998</v>
      </c>
      <c r="X53" s="172">
        <v>5022.62</v>
      </c>
      <c r="Y53" s="172">
        <v>4990.9290000000001</v>
      </c>
      <c r="Z53" s="172">
        <v>5888.8320000000003</v>
      </c>
      <c r="AA53" s="172">
        <v>8155.7709999999997</v>
      </c>
      <c r="AB53" s="172">
        <v>8922.6859999999997</v>
      </c>
      <c r="AC53" s="172">
        <v>9769.8829999999998</v>
      </c>
      <c r="AD53" s="172"/>
      <c r="AE53" s="172">
        <v>87804.297000000006</v>
      </c>
      <c r="AF53" s="172"/>
      <c r="AG53" s="193"/>
      <c r="AH53" s="181" t="e">
        <f>AE53-#REF!</f>
        <v>#REF!</v>
      </c>
      <c r="AI53" s="181" t="e">
        <f t="shared" si="1"/>
        <v>#REF!</v>
      </c>
      <c r="AJ53" s="172" t="s">
        <v>2730</v>
      </c>
      <c r="AM53" s="64" t="s">
        <v>471</v>
      </c>
      <c r="AN53" s="64" t="s">
        <v>471</v>
      </c>
      <c r="AO53" s="192" t="s">
        <v>564</v>
      </c>
      <c r="AP53" s="172">
        <v>0</v>
      </c>
      <c r="AQ53" s="172">
        <v>0</v>
      </c>
      <c r="AR53" s="172">
        <v>0</v>
      </c>
      <c r="AS53" s="172">
        <v>0</v>
      </c>
      <c r="AT53" s="172">
        <v>0</v>
      </c>
      <c r="AU53" s="172">
        <v>0</v>
      </c>
      <c r="AV53" s="172">
        <v>0</v>
      </c>
      <c r="AW53" s="172">
        <v>0</v>
      </c>
      <c r="AX53" s="172">
        <v>0</v>
      </c>
      <c r="AY53" s="172">
        <v>573.86373000000003</v>
      </c>
      <c r="AZ53" s="172">
        <v>644.89456200000006</v>
      </c>
      <c r="BA53" s="172">
        <v>687.68512899999996</v>
      </c>
      <c r="BB53" s="172">
        <v>1906.4434210000002</v>
      </c>
      <c r="BC53" s="172">
        <v>828.15176750600006</v>
      </c>
      <c r="BD53" s="172">
        <v>778.71340719900002</v>
      </c>
      <c r="BE53" s="172">
        <v>674.18648320099999</v>
      </c>
      <c r="BF53" s="172">
        <v>550.060854973</v>
      </c>
      <c r="BG53" s="172">
        <v>512.27583021300006</v>
      </c>
      <c r="BH53" s="172">
        <v>421.87416395600002</v>
      </c>
      <c r="BI53" s="172">
        <v>419.75542125999999</v>
      </c>
      <c r="BJ53" s="172">
        <v>417.10690931700003</v>
      </c>
      <c r="BK53" s="172">
        <v>492.14735673600001</v>
      </c>
      <c r="BL53" s="172">
        <v>681.60224978299993</v>
      </c>
      <c r="BM53" s="172">
        <v>755.38567407400001</v>
      </c>
      <c r="BN53" s="172">
        <v>827.10852489700005</v>
      </c>
      <c r="BO53" s="172">
        <v>7358.3686431149999</v>
      </c>
      <c r="BP53" s="214">
        <v>5451.925222115</v>
      </c>
      <c r="BQ53" s="217">
        <v>5429.9417912725194</v>
      </c>
      <c r="BR53" s="218">
        <v>21.983430842480935</v>
      </c>
      <c r="BS53" s="193">
        <v>2.8597361778799937</v>
      </c>
      <c r="BT53" s="172" t="s">
        <v>844</v>
      </c>
      <c r="BV53" s="198">
        <v>82.848857210265606</v>
      </c>
      <c r="BW53" s="198">
        <v>83.804197454197478</v>
      </c>
      <c r="BX53" s="198">
        <v>0.95534024393187167</v>
      </c>
      <c r="BY53" s="199">
        <v>1.153112156402198E-2</v>
      </c>
      <c r="CA53" s="200">
        <v>5429.9417912725194</v>
      </c>
      <c r="CB53" s="200">
        <v>21.983430842480935</v>
      </c>
      <c r="CC53" s="200">
        <v>5451.925222115</v>
      </c>
    </row>
    <row r="54" spans="2:81">
      <c r="B54" s="64" t="s">
        <v>468</v>
      </c>
      <c r="C54" s="64" t="s">
        <v>468</v>
      </c>
      <c r="D54" s="192" t="s">
        <v>565</v>
      </c>
      <c r="E54" s="172">
        <v>0</v>
      </c>
      <c r="F54" s="172">
        <v>0</v>
      </c>
      <c r="G54" s="172">
        <v>0</v>
      </c>
      <c r="H54" s="172">
        <v>0</v>
      </c>
      <c r="I54" s="172">
        <v>0</v>
      </c>
      <c r="J54" s="172">
        <v>0</v>
      </c>
      <c r="K54" s="172">
        <v>0</v>
      </c>
      <c r="L54" s="172">
        <v>0</v>
      </c>
      <c r="M54" s="172">
        <v>0</v>
      </c>
      <c r="N54" s="172">
        <v>4958.6229999999996</v>
      </c>
      <c r="O54" s="172">
        <v>5538.8239999999996</v>
      </c>
      <c r="P54" s="172">
        <v>5906.34</v>
      </c>
      <c r="Q54" s="172">
        <v>16403.787</v>
      </c>
      <c r="R54" s="172">
        <v>6801.27</v>
      </c>
      <c r="S54" s="172">
        <v>6487.0680000000002</v>
      </c>
      <c r="T54" s="172">
        <v>5749.3760000000002</v>
      </c>
      <c r="U54" s="172">
        <v>4802.6719999999996</v>
      </c>
      <c r="V54" s="172">
        <v>4534.9170000000004</v>
      </c>
      <c r="W54" s="172">
        <v>3817.7170000000001</v>
      </c>
      <c r="X54" s="172">
        <v>3791.761</v>
      </c>
      <c r="Y54" s="172">
        <v>3769.9029999999998</v>
      </c>
      <c r="Z54" s="172">
        <v>4331.3689999999997</v>
      </c>
      <c r="AA54" s="172">
        <v>5682.4369999999999</v>
      </c>
      <c r="AB54" s="172">
        <v>6134.6149999999998</v>
      </c>
      <c r="AC54" s="172">
        <v>6689.25</v>
      </c>
      <c r="AD54" s="172"/>
      <c r="AE54" s="172">
        <v>62592.355000000003</v>
      </c>
      <c r="AF54" s="172"/>
      <c r="AG54" s="193"/>
      <c r="AH54" s="181" t="e">
        <f>AE54-#REF!</f>
        <v>#REF!</v>
      </c>
      <c r="AI54" s="181" t="e">
        <f t="shared" si="1"/>
        <v>#REF!</v>
      </c>
      <c r="AJ54" s="172" t="s">
        <v>2730</v>
      </c>
      <c r="AM54" s="64" t="s">
        <v>468</v>
      </c>
      <c r="AN54" s="64" t="s">
        <v>468</v>
      </c>
      <c r="AO54" s="192" t="s">
        <v>565</v>
      </c>
      <c r="AP54" s="172">
        <v>0</v>
      </c>
      <c r="AQ54" s="172">
        <v>0</v>
      </c>
      <c r="AR54" s="172">
        <v>0</v>
      </c>
      <c r="AS54" s="172">
        <v>0</v>
      </c>
      <c r="AT54" s="172">
        <v>0</v>
      </c>
      <c r="AU54" s="172">
        <v>0</v>
      </c>
      <c r="AV54" s="172">
        <v>0</v>
      </c>
      <c r="AW54" s="172">
        <v>0</v>
      </c>
      <c r="AX54" s="172">
        <v>0</v>
      </c>
      <c r="AY54" s="172">
        <v>409.08639750000003</v>
      </c>
      <c r="AZ54" s="172">
        <v>459.72239200000001</v>
      </c>
      <c r="BA54" s="172">
        <v>490.22621999999996</v>
      </c>
      <c r="BB54" s="172">
        <v>1359.0350094999999</v>
      </c>
      <c r="BC54" s="172">
        <v>568.40253770999993</v>
      </c>
      <c r="BD54" s="172">
        <v>542.14373396400003</v>
      </c>
      <c r="BE54" s="172">
        <v>480.49260044800002</v>
      </c>
      <c r="BF54" s="172">
        <v>401.373707056</v>
      </c>
      <c r="BG54" s="172">
        <v>378.99661844100001</v>
      </c>
      <c r="BH54" s="172">
        <v>319.05806284099998</v>
      </c>
      <c r="BI54" s="172">
        <v>316.88884205300002</v>
      </c>
      <c r="BJ54" s="172">
        <v>315.06210341899998</v>
      </c>
      <c r="BK54" s="172">
        <v>361.98550143699998</v>
      </c>
      <c r="BL54" s="172">
        <v>474.89830740100001</v>
      </c>
      <c r="BM54" s="172">
        <v>519.35037128500005</v>
      </c>
      <c r="BN54" s="172">
        <v>566.30521575</v>
      </c>
      <c r="BO54" s="172">
        <v>5244.9576018049993</v>
      </c>
      <c r="BP54" s="214">
        <v>3885.9225923049994</v>
      </c>
      <c r="BQ54" s="217">
        <v>3870.3940896310278</v>
      </c>
      <c r="BR54" s="218">
        <v>15.52850267397119</v>
      </c>
      <c r="BS54" s="193">
        <v>2.8593248629663059</v>
      </c>
      <c r="BT54" s="172" t="s">
        <v>844</v>
      </c>
      <c r="BV54" s="198">
        <v>82.84885737055717</v>
      </c>
      <c r="BW54" s="198">
        <v>83.795498696366337</v>
      </c>
      <c r="BX54" s="198">
        <v>0.94664132580916771</v>
      </c>
      <c r="BY54" s="199">
        <v>1.1426124099396272E-2</v>
      </c>
      <c r="CA54" s="200">
        <v>3870.3940896310278</v>
      </c>
      <c r="CB54" s="200">
        <v>15.52850267397119</v>
      </c>
      <c r="CC54" s="200">
        <v>3885.9225923049989</v>
      </c>
    </row>
    <row r="55" spans="2:81">
      <c r="B55" s="64" t="s">
        <v>474</v>
      </c>
      <c r="C55" s="64" t="s">
        <v>474</v>
      </c>
      <c r="D55" s="192" t="s">
        <v>566</v>
      </c>
      <c r="E55" s="172">
        <v>0</v>
      </c>
      <c r="F55" s="172">
        <v>0</v>
      </c>
      <c r="G55" s="172">
        <v>0</v>
      </c>
      <c r="H55" s="172">
        <v>0</v>
      </c>
      <c r="I55" s="172">
        <v>0</v>
      </c>
      <c r="J55" s="172">
        <v>0</v>
      </c>
      <c r="K55" s="172">
        <v>0</v>
      </c>
      <c r="L55" s="172">
        <v>0</v>
      </c>
      <c r="M55" s="172">
        <v>0</v>
      </c>
      <c r="N55" s="172">
        <v>0</v>
      </c>
      <c r="O55" s="172">
        <v>0</v>
      </c>
      <c r="P55" s="172">
        <v>2604.42</v>
      </c>
      <c r="Q55" s="172">
        <v>2604.42</v>
      </c>
      <c r="R55" s="172">
        <v>2901.08</v>
      </c>
      <c r="S55" s="172">
        <v>2705.8150000000001</v>
      </c>
      <c r="T55" s="172">
        <v>2789.5</v>
      </c>
      <c r="U55" s="172">
        <v>2287.39</v>
      </c>
      <c r="V55" s="172">
        <v>2147.915</v>
      </c>
      <c r="W55" s="172">
        <v>1868.9649999999999</v>
      </c>
      <c r="X55" s="172">
        <v>1924.7550000000001</v>
      </c>
      <c r="Y55" s="172">
        <v>1813.175</v>
      </c>
      <c r="Z55" s="172">
        <v>1813.175</v>
      </c>
      <c r="AA55" s="172">
        <v>2231.6</v>
      </c>
      <c r="AB55" s="172">
        <v>2454.7600000000002</v>
      </c>
      <c r="AC55" s="172">
        <v>2956.87</v>
      </c>
      <c r="AD55" s="172"/>
      <c r="AE55" s="172">
        <v>27895</v>
      </c>
      <c r="AF55" s="172"/>
      <c r="AG55" s="193"/>
      <c r="AH55" s="181" t="e">
        <f>AE55-#REF!</f>
        <v>#REF!</v>
      </c>
      <c r="AI55" s="181" t="e">
        <f t="shared" si="1"/>
        <v>#REF!</v>
      </c>
      <c r="AJ55" s="172" t="s">
        <v>2730</v>
      </c>
      <c r="AM55" s="64" t="s">
        <v>474</v>
      </c>
      <c r="AN55" s="64" t="s">
        <v>474</v>
      </c>
      <c r="AO55" s="192" t="s">
        <v>566</v>
      </c>
      <c r="AP55" s="172">
        <v>0</v>
      </c>
      <c r="AQ55" s="172">
        <v>0</v>
      </c>
      <c r="AR55" s="172">
        <v>0</v>
      </c>
      <c r="AS55" s="172">
        <v>0</v>
      </c>
      <c r="AT55" s="172">
        <v>0</v>
      </c>
      <c r="AU55" s="172">
        <v>0</v>
      </c>
      <c r="AV55" s="172">
        <v>0</v>
      </c>
      <c r="AW55" s="172">
        <v>0</v>
      </c>
      <c r="AX55" s="172">
        <v>0</v>
      </c>
      <c r="AY55" s="172">
        <v>0</v>
      </c>
      <c r="AZ55" s="172">
        <v>0</v>
      </c>
      <c r="BA55" s="172">
        <v>210.95801999999998</v>
      </c>
      <c r="BB55" s="172">
        <v>210.95801999999998</v>
      </c>
      <c r="BC55" s="172">
        <v>234.98748000000001</v>
      </c>
      <c r="BD55" s="172">
        <v>219.17101500000001</v>
      </c>
      <c r="BE55" s="172">
        <v>225.9495</v>
      </c>
      <c r="BF55" s="172">
        <v>185.27859000000001</v>
      </c>
      <c r="BG55" s="172">
        <v>173.98111499999999</v>
      </c>
      <c r="BH55" s="172">
        <v>151.38616500000001</v>
      </c>
      <c r="BI55" s="172">
        <v>155.90515500000001</v>
      </c>
      <c r="BJ55" s="172">
        <v>146.86717499999997</v>
      </c>
      <c r="BK55" s="172">
        <v>146.86717499999997</v>
      </c>
      <c r="BL55" s="172">
        <v>180.75960000000001</v>
      </c>
      <c r="BM55" s="172">
        <v>201.42042228</v>
      </c>
      <c r="BN55" s="172">
        <v>242.62005410999998</v>
      </c>
      <c r="BO55" s="172">
        <v>2265.1934463900002</v>
      </c>
      <c r="BP55" s="214">
        <v>2054.2354263900002</v>
      </c>
      <c r="BQ55" s="217">
        <v>2053.7033902635603</v>
      </c>
      <c r="BR55" s="218">
        <v>0.53203612644005338</v>
      </c>
      <c r="BS55" s="193">
        <v>9.7376502983389805</v>
      </c>
      <c r="BT55" s="172" t="s">
        <v>844</v>
      </c>
      <c r="BV55" s="198">
        <v>80.999999999999986</v>
      </c>
      <c r="BW55" s="198">
        <v>81.204282000000006</v>
      </c>
      <c r="BX55" s="198">
        <v>0.2042820000000205</v>
      </c>
      <c r="BY55" s="199">
        <v>2.5220000000002536E-3</v>
      </c>
      <c r="CA55" s="200">
        <v>2053.7033902635603</v>
      </c>
      <c r="CB55" s="200">
        <v>0.53203612644005338</v>
      </c>
      <c r="CC55" s="200">
        <v>2054.2354263900002</v>
      </c>
    </row>
    <row r="56" spans="2:81">
      <c r="B56" s="64" t="s">
        <v>481</v>
      </c>
      <c r="C56" s="64" t="s">
        <v>481</v>
      </c>
      <c r="D56" s="192" t="s">
        <v>2646</v>
      </c>
      <c r="E56" s="172">
        <v>0</v>
      </c>
      <c r="F56" s="172">
        <v>0</v>
      </c>
      <c r="G56" s="172">
        <v>0</v>
      </c>
      <c r="H56" s="172">
        <v>0</v>
      </c>
      <c r="I56" s="172">
        <v>0</v>
      </c>
      <c r="J56" s="172">
        <v>0</v>
      </c>
      <c r="K56" s="172">
        <v>0</v>
      </c>
      <c r="L56" s="172">
        <v>0</v>
      </c>
      <c r="M56" s="172">
        <v>0</v>
      </c>
      <c r="N56" s="172">
        <v>0</v>
      </c>
      <c r="O56" s="172">
        <v>0</v>
      </c>
      <c r="P56" s="172">
        <v>4551.3689999999997</v>
      </c>
      <c r="Q56" s="172">
        <v>4551.3689999999997</v>
      </c>
      <c r="R56" s="172">
        <v>5899.5690000000004</v>
      </c>
      <c r="S56" s="172">
        <v>5749.7740000000003</v>
      </c>
      <c r="T56" s="172">
        <v>5206.0200000000004</v>
      </c>
      <c r="U56" s="172">
        <v>4212.8819999999996</v>
      </c>
      <c r="V56" s="172">
        <v>3555.2829999999999</v>
      </c>
      <c r="W56" s="172">
        <v>2758.3760000000002</v>
      </c>
      <c r="X56" s="172">
        <v>2827.2809999999999</v>
      </c>
      <c r="Y56" s="172">
        <v>2587.61</v>
      </c>
      <c r="Z56" s="172">
        <v>3516.337</v>
      </c>
      <c r="AA56" s="172">
        <v>4973.8379999999997</v>
      </c>
      <c r="AB56" s="172">
        <v>5387.2709999999997</v>
      </c>
      <c r="AC56" s="172">
        <v>6125.759</v>
      </c>
      <c r="AD56" s="172"/>
      <c r="AE56" s="172">
        <v>52800</v>
      </c>
      <c r="AF56" s="172"/>
      <c r="AG56" s="193"/>
      <c r="AH56" s="181" t="e">
        <f>AE56-#REF!</f>
        <v>#REF!</v>
      </c>
      <c r="AI56" s="181" t="e">
        <f t="shared" si="1"/>
        <v>#REF!</v>
      </c>
      <c r="AJ56" s="172" t="s">
        <v>2730</v>
      </c>
      <c r="AM56" s="64" t="s">
        <v>481</v>
      </c>
      <c r="AN56" s="64" t="s">
        <v>481</v>
      </c>
      <c r="AO56" s="192" t="s">
        <v>2646</v>
      </c>
      <c r="AP56" s="172">
        <v>0</v>
      </c>
      <c r="AQ56" s="172">
        <v>0</v>
      </c>
      <c r="AR56" s="172">
        <v>0</v>
      </c>
      <c r="AS56" s="172">
        <v>0</v>
      </c>
      <c r="AT56" s="172">
        <v>0</v>
      </c>
      <c r="AU56" s="172">
        <v>0</v>
      </c>
      <c r="AV56" s="172">
        <v>0</v>
      </c>
      <c r="AW56" s="172">
        <v>0</v>
      </c>
      <c r="AX56" s="172">
        <v>0</v>
      </c>
      <c r="AY56" s="172">
        <v>0</v>
      </c>
      <c r="AZ56" s="172">
        <v>0</v>
      </c>
      <c r="BA56" s="172">
        <v>375.48794250000003</v>
      </c>
      <c r="BB56" s="172">
        <v>375.48794250000003</v>
      </c>
      <c r="BC56" s="172">
        <v>486.71444250000002</v>
      </c>
      <c r="BD56" s="172">
        <v>474.35635500000001</v>
      </c>
      <c r="BE56" s="172">
        <v>429.49665000000005</v>
      </c>
      <c r="BF56" s="172">
        <v>347.56276500000001</v>
      </c>
      <c r="BG56" s="172">
        <v>293.31084749999997</v>
      </c>
      <c r="BH56" s="172">
        <v>227.56601999999998</v>
      </c>
      <c r="BI56" s="172">
        <v>233.25068249999998</v>
      </c>
      <c r="BJ56" s="172">
        <v>213.47782500000002</v>
      </c>
      <c r="BK56" s="172">
        <v>290.0978025</v>
      </c>
      <c r="BL56" s="172">
        <v>410.341635</v>
      </c>
      <c r="BM56" s="172">
        <v>450.230399283</v>
      </c>
      <c r="BN56" s="172">
        <v>511.94805690700002</v>
      </c>
      <c r="BO56" s="172">
        <v>4368.3534811899999</v>
      </c>
      <c r="BP56" s="214">
        <v>3992.86553869</v>
      </c>
      <c r="BQ56" s="217">
        <v>3991.8006665057151</v>
      </c>
      <c r="BR56" s="218">
        <v>1.0648721842849329</v>
      </c>
      <c r="BS56" s="193">
        <v>10.633804942191984</v>
      </c>
      <c r="BT56" s="172" t="s">
        <v>844</v>
      </c>
      <c r="BV56" s="198">
        <v>82.500000000000014</v>
      </c>
      <c r="BW56" s="198">
        <v>82.733967446780298</v>
      </c>
      <c r="BX56" s="198">
        <v>0.23396744678028369</v>
      </c>
      <c r="BY56" s="199">
        <v>2.8359690518822262E-3</v>
      </c>
      <c r="CA56" s="200">
        <v>3991.8006665057151</v>
      </c>
      <c r="CB56" s="200">
        <v>1.0648721842849329</v>
      </c>
      <c r="CC56" s="200">
        <v>3992.86553869</v>
      </c>
    </row>
    <row r="57" spans="2:81">
      <c r="B57" s="64" t="s">
        <v>375</v>
      </c>
      <c r="C57" s="64" t="s">
        <v>375</v>
      </c>
      <c r="D57" s="192" t="s">
        <v>483</v>
      </c>
      <c r="E57" s="172">
        <v>0</v>
      </c>
      <c r="F57" s="172">
        <v>0</v>
      </c>
      <c r="G57" s="172">
        <v>0</v>
      </c>
      <c r="H57" s="172">
        <v>0</v>
      </c>
      <c r="I57" s="172">
        <v>0</v>
      </c>
      <c r="J57" s="172">
        <v>0</v>
      </c>
      <c r="K57" s="172">
        <v>0</v>
      </c>
      <c r="L57" s="172">
        <v>0</v>
      </c>
      <c r="M57" s="172">
        <v>0</v>
      </c>
      <c r="N57" s="172">
        <v>0</v>
      </c>
      <c r="O57" s="172">
        <v>0</v>
      </c>
      <c r="P57" s="172">
        <v>0</v>
      </c>
      <c r="Q57" s="172">
        <v>0</v>
      </c>
      <c r="R57" s="172">
        <v>2572.2669999999998</v>
      </c>
      <c r="S57" s="172">
        <v>2579.884</v>
      </c>
      <c r="T57" s="172">
        <v>2258.0479999999998</v>
      </c>
      <c r="U57" s="172">
        <v>1858.768</v>
      </c>
      <c r="V57" s="172">
        <v>1693.723</v>
      </c>
      <c r="W57" s="172">
        <v>1360.461</v>
      </c>
      <c r="X57" s="172">
        <v>1410.6089999999999</v>
      </c>
      <c r="Y57" s="172">
        <v>1324.913</v>
      </c>
      <c r="Z57" s="172">
        <v>1524.2360000000001</v>
      </c>
      <c r="AA57" s="172">
        <v>2032.0640000000001</v>
      </c>
      <c r="AB57" s="172">
        <v>2333.587</v>
      </c>
      <c r="AC57" s="172">
        <v>2627.4929999999999</v>
      </c>
      <c r="AD57" s="172"/>
      <c r="AE57" s="172">
        <v>23576.053</v>
      </c>
      <c r="AF57" s="172"/>
      <c r="AG57" s="193"/>
      <c r="AH57" s="181" t="e">
        <f>AE57-#REF!</f>
        <v>#REF!</v>
      </c>
      <c r="AI57" s="181" t="e">
        <f t="shared" si="1"/>
        <v>#REF!</v>
      </c>
      <c r="AJ57" s="207" t="s">
        <v>2731</v>
      </c>
      <c r="AM57" s="64" t="s">
        <v>375</v>
      </c>
      <c r="AN57" s="64" t="s">
        <v>375</v>
      </c>
      <c r="AO57" s="192" t="s">
        <v>483</v>
      </c>
      <c r="AP57" s="172">
        <v>0</v>
      </c>
      <c r="AQ57" s="172">
        <v>0</v>
      </c>
      <c r="AR57" s="172">
        <v>0</v>
      </c>
      <c r="AS57" s="172">
        <v>0</v>
      </c>
      <c r="AT57" s="172">
        <v>0</v>
      </c>
      <c r="AU57" s="172">
        <v>0</v>
      </c>
      <c r="AV57" s="172">
        <v>0</v>
      </c>
      <c r="AW57" s="172">
        <v>0</v>
      </c>
      <c r="AX57" s="172">
        <v>0</v>
      </c>
      <c r="AY57" s="172">
        <v>0</v>
      </c>
      <c r="AZ57" s="172">
        <v>0</v>
      </c>
      <c r="BA57" s="172">
        <v>0</v>
      </c>
      <c r="BB57" s="172">
        <v>0</v>
      </c>
      <c r="BC57" s="172">
        <v>243.112670971</v>
      </c>
      <c r="BD57" s="172">
        <v>243.83257649199999</v>
      </c>
      <c r="BE57" s="172">
        <v>213.41489062399998</v>
      </c>
      <c r="BF57" s="172">
        <v>175.67773998400003</v>
      </c>
      <c r="BG57" s="172">
        <v>160.078841899</v>
      </c>
      <c r="BH57" s="172">
        <v>128.581250493</v>
      </c>
      <c r="BI57" s="172">
        <v>133.32088841700002</v>
      </c>
      <c r="BJ57" s="172">
        <v>125.22150236899999</v>
      </c>
      <c r="BK57" s="172">
        <v>144.06011706799998</v>
      </c>
      <c r="BL57" s="172">
        <v>192.05646483199999</v>
      </c>
      <c r="BM57" s="172">
        <v>223.42228655399998</v>
      </c>
      <c r="BN57" s="172">
        <v>251.56143480599999</v>
      </c>
      <c r="BO57" s="172">
        <v>2234.3406645089999</v>
      </c>
      <c r="BP57" s="214">
        <v>2234.3406645089999</v>
      </c>
      <c r="BQ57" s="217">
        <v>2234.3406645089999</v>
      </c>
      <c r="BR57" s="218">
        <v>0</v>
      </c>
      <c r="BS57" s="193"/>
      <c r="BT57" s="172" t="s">
        <v>844</v>
      </c>
      <c r="BV57" s="198">
        <v>0</v>
      </c>
      <c r="BW57" s="198">
        <v>94.771616966970669</v>
      </c>
      <c r="BX57" s="198">
        <v>94.771616966970669</v>
      </c>
      <c r="BY57" s="199" t="s">
        <v>2800</v>
      </c>
      <c r="CA57" s="200">
        <v>2234.3406645089999</v>
      </c>
      <c r="CB57" s="200">
        <v>0</v>
      </c>
      <c r="CC57" s="200">
        <v>2234.3406645089999</v>
      </c>
    </row>
    <row r="58" spans="2:81">
      <c r="B58" s="64" t="s">
        <v>380</v>
      </c>
      <c r="C58" s="64" t="s">
        <v>380</v>
      </c>
      <c r="D58" s="192" t="s">
        <v>484</v>
      </c>
      <c r="E58" s="172">
        <v>0</v>
      </c>
      <c r="F58" s="172">
        <v>0</v>
      </c>
      <c r="G58" s="172">
        <v>0</v>
      </c>
      <c r="H58" s="172">
        <v>0</v>
      </c>
      <c r="I58" s="172">
        <v>0</v>
      </c>
      <c r="J58" s="172">
        <v>0</v>
      </c>
      <c r="K58" s="172">
        <v>0</v>
      </c>
      <c r="L58" s="172">
        <v>0</v>
      </c>
      <c r="M58" s="172">
        <v>0</v>
      </c>
      <c r="N58" s="172">
        <v>0</v>
      </c>
      <c r="O58" s="172">
        <v>0</v>
      </c>
      <c r="P58" s="172">
        <v>0</v>
      </c>
      <c r="Q58" s="172">
        <v>0</v>
      </c>
      <c r="R58" s="172">
        <v>2652.3330000000001</v>
      </c>
      <c r="S58" s="172">
        <v>2660.1869999999999</v>
      </c>
      <c r="T58" s="172">
        <v>2328.3330000000001</v>
      </c>
      <c r="U58" s="172">
        <v>1916.625</v>
      </c>
      <c r="V58" s="172">
        <v>1746.443</v>
      </c>
      <c r="W58" s="172">
        <v>1402.807</v>
      </c>
      <c r="X58" s="172">
        <v>1454.5160000000001</v>
      </c>
      <c r="Y58" s="172">
        <v>1366.153</v>
      </c>
      <c r="Z58" s="172">
        <v>1571.68</v>
      </c>
      <c r="AA58" s="172">
        <v>2095.3150000000001</v>
      </c>
      <c r="AB58" s="172">
        <v>2406.2240000000002</v>
      </c>
      <c r="AC58" s="172">
        <v>2709.2779999999998</v>
      </c>
      <c r="AD58" s="172"/>
      <c r="AE58" s="172">
        <v>24309.894</v>
      </c>
      <c r="AF58" s="172"/>
      <c r="AG58" s="193"/>
      <c r="AH58" s="181" t="e">
        <f>AE58-#REF!</f>
        <v>#REF!</v>
      </c>
      <c r="AI58" s="181" t="e">
        <f t="shared" si="1"/>
        <v>#REF!</v>
      </c>
      <c r="AJ58" s="207" t="s">
        <v>2731</v>
      </c>
      <c r="AM58" s="64" t="s">
        <v>380</v>
      </c>
      <c r="AN58" s="64" t="s">
        <v>380</v>
      </c>
      <c r="AO58" s="192" t="s">
        <v>484</v>
      </c>
      <c r="AP58" s="172">
        <v>0</v>
      </c>
      <c r="AQ58" s="172">
        <v>0</v>
      </c>
      <c r="AR58" s="172">
        <v>0</v>
      </c>
      <c r="AS58" s="172">
        <v>0</v>
      </c>
      <c r="AT58" s="172">
        <v>0</v>
      </c>
      <c r="AU58" s="172">
        <v>0</v>
      </c>
      <c r="AV58" s="172">
        <v>0</v>
      </c>
      <c r="AW58" s="172">
        <v>0</v>
      </c>
      <c r="AX58" s="172">
        <v>0</v>
      </c>
      <c r="AY58" s="172">
        <v>0</v>
      </c>
      <c r="AZ58" s="172">
        <v>0</v>
      </c>
      <c r="BA58" s="172">
        <v>0</v>
      </c>
      <c r="BB58" s="172">
        <v>0</v>
      </c>
      <c r="BC58" s="172">
        <v>250.67994882900001</v>
      </c>
      <c r="BD58" s="172">
        <v>251.422253931</v>
      </c>
      <c r="BE58" s="172">
        <v>220.05773682899999</v>
      </c>
      <c r="BF58" s="172">
        <v>181.145978625</v>
      </c>
      <c r="BG58" s="172">
        <v>165.06156725900001</v>
      </c>
      <c r="BH58" s="172">
        <v>132.583497991</v>
      </c>
      <c r="BI58" s="172">
        <v>137.470670708</v>
      </c>
      <c r="BJ58" s="172">
        <v>129.11921848900002</v>
      </c>
      <c r="BK58" s="172">
        <v>148.54419184000002</v>
      </c>
      <c r="BL58" s="172">
        <v>198.03450659500001</v>
      </c>
      <c r="BM58" s="172">
        <v>230.37669820799999</v>
      </c>
      <c r="BN58" s="172">
        <v>259.39169427600001</v>
      </c>
      <c r="BO58" s="172">
        <v>2303.8879635800004</v>
      </c>
      <c r="BP58" s="214">
        <v>2303.8879635800004</v>
      </c>
      <c r="BQ58" s="217">
        <v>2303.8879635800004</v>
      </c>
      <c r="BR58" s="218">
        <v>0</v>
      </c>
      <c r="BS58" s="193"/>
      <c r="BT58" s="172" t="s">
        <v>844</v>
      </c>
      <c r="BV58" s="198">
        <v>0</v>
      </c>
      <c r="BW58" s="198">
        <v>94.771617004171233</v>
      </c>
      <c r="BX58" s="198">
        <v>94.771617004171233</v>
      </c>
      <c r="BY58" s="199" t="s">
        <v>2800</v>
      </c>
      <c r="CA58" s="200">
        <v>2303.8879635800004</v>
      </c>
      <c r="CB58" s="200">
        <v>0</v>
      </c>
      <c r="CC58" s="200">
        <v>2303.8879635800004</v>
      </c>
    </row>
    <row r="59" spans="2:81">
      <c r="B59" s="64" t="s">
        <v>376</v>
      </c>
      <c r="C59" s="64" t="s">
        <v>376</v>
      </c>
      <c r="D59" s="192" t="s">
        <v>485</v>
      </c>
      <c r="E59" s="172">
        <v>0</v>
      </c>
      <c r="F59" s="172">
        <v>0</v>
      </c>
      <c r="G59" s="172">
        <v>0</v>
      </c>
      <c r="H59" s="172">
        <v>0</v>
      </c>
      <c r="I59" s="172">
        <v>0</v>
      </c>
      <c r="J59" s="172">
        <v>0</v>
      </c>
      <c r="K59" s="172">
        <v>0</v>
      </c>
      <c r="L59" s="172">
        <v>0</v>
      </c>
      <c r="M59" s="172">
        <v>0</v>
      </c>
      <c r="N59" s="172">
        <v>0</v>
      </c>
      <c r="O59" s="172">
        <v>0</v>
      </c>
      <c r="P59" s="172">
        <v>0</v>
      </c>
      <c r="Q59" s="172">
        <v>0</v>
      </c>
      <c r="R59" s="172">
        <v>2029.5419999999999</v>
      </c>
      <c r="S59" s="172">
        <v>1905.8879999999999</v>
      </c>
      <c r="T59" s="172">
        <v>1575.5609999999999</v>
      </c>
      <c r="U59" s="172">
        <v>1250.0409999999999</v>
      </c>
      <c r="V59" s="172">
        <v>1168.77</v>
      </c>
      <c r="W59" s="172">
        <v>883.44899999999996</v>
      </c>
      <c r="X59" s="172">
        <v>936.31799999999998</v>
      </c>
      <c r="Y59" s="172">
        <v>952.48500000000001</v>
      </c>
      <c r="Z59" s="172">
        <v>1103.229</v>
      </c>
      <c r="AA59" s="172">
        <v>1589.5429999999999</v>
      </c>
      <c r="AB59" s="172">
        <v>1854.7660000000001</v>
      </c>
      <c r="AC59" s="172">
        <v>1963.127</v>
      </c>
      <c r="AD59" s="172"/>
      <c r="AE59" s="172">
        <v>17212.719000000001</v>
      </c>
      <c r="AF59" s="172"/>
      <c r="AG59" s="193"/>
      <c r="AH59" s="181" t="e">
        <f>AE59-#REF!</f>
        <v>#REF!</v>
      </c>
      <c r="AI59" s="181" t="e">
        <f t="shared" si="1"/>
        <v>#REF!</v>
      </c>
      <c r="AJ59" s="207" t="s">
        <v>2731</v>
      </c>
      <c r="AM59" s="64" t="s">
        <v>376</v>
      </c>
      <c r="AN59" s="64" t="s">
        <v>376</v>
      </c>
      <c r="AO59" s="192" t="s">
        <v>485</v>
      </c>
      <c r="AP59" s="172">
        <v>0</v>
      </c>
      <c r="AQ59" s="172">
        <v>0</v>
      </c>
      <c r="AR59" s="172">
        <v>0</v>
      </c>
      <c r="AS59" s="172">
        <v>0</v>
      </c>
      <c r="AT59" s="172">
        <v>0</v>
      </c>
      <c r="AU59" s="172">
        <v>0</v>
      </c>
      <c r="AV59" s="172">
        <v>0</v>
      </c>
      <c r="AW59" s="172">
        <v>0</v>
      </c>
      <c r="AX59" s="172">
        <v>0</v>
      </c>
      <c r="AY59" s="172">
        <v>0</v>
      </c>
      <c r="AZ59" s="172">
        <v>0</v>
      </c>
      <c r="BA59" s="172">
        <v>0</v>
      </c>
      <c r="BB59" s="172">
        <v>0</v>
      </c>
      <c r="BC59" s="172">
        <v>193.62642496800001</v>
      </c>
      <c r="BD59" s="172">
        <v>181.82933875200001</v>
      </c>
      <c r="BE59" s="172">
        <v>150.31482164400001</v>
      </c>
      <c r="BF59" s="172">
        <v>119.25891156399999</v>
      </c>
      <c r="BG59" s="172">
        <v>111.50533308</v>
      </c>
      <c r="BH59" s="172">
        <v>84.284568395999997</v>
      </c>
      <c r="BI59" s="172">
        <v>89.328482472000005</v>
      </c>
      <c r="BJ59" s="172">
        <v>90.870878939999997</v>
      </c>
      <c r="BK59" s="172">
        <v>105.252459516</v>
      </c>
      <c r="BL59" s="172">
        <v>151.648760372</v>
      </c>
      <c r="BM59" s="172">
        <v>179.25386007</v>
      </c>
      <c r="BN59" s="172">
        <v>189.72640891500001</v>
      </c>
      <c r="BO59" s="172">
        <v>1646.9002486890001</v>
      </c>
      <c r="BP59" s="214">
        <v>1646.9002486890001</v>
      </c>
      <c r="BQ59" s="217">
        <v>1646.9002486890004</v>
      </c>
      <c r="BR59" s="218">
        <v>0</v>
      </c>
      <c r="BS59" s="193"/>
      <c r="BT59" s="172" t="s">
        <v>844</v>
      </c>
      <c r="BV59" s="198">
        <v>0</v>
      </c>
      <c r="BW59" s="198">
        <v>95.679261869609334</v>
      </c>
      <c r="BX59" s="198">
        <v>95.679261869609334</v>
      </c>
      <c r="BY59" s="199" t="s">
        <v>2800</v>
      </c>
      <c r="CA59" s="200">
        <v>1646.9002486890004</v>
      </c>
      <c r="CB59" s="200">
        <v>0</v>
      </c>
      <c r="CC59" s="200">
        <v>1646.9002486890004</v>
      </c>
    </row>
    <row r="60" spans="2:81">
      <c r="B60" s="64" t="s">
        <v>387</v>
      </c>
      <c r="C60" s="64" t="s">
        <v>387</v>
      </c>
      <c r="D60" s="192" t="s">
        <v>486</v>
      </c>
      <c r="E60" s="172">
        <v>0</v>
      </c>
      <c r="F60" s="172">
        <v>0</v>
      </c>
      <c r="G60" s="172">
        <v>0</v>
      </c>
      <c r="H60" s="172">
        <v>0</v>
      </c>
      <c r="I60" s="172">
        <v>0</v>
      </c>
      <c r="J60" s="172">
        <v>0</v>
      </c>
      <c r="K60" s="172">
        <v>0</v>
      </c>
      <c r="L60" s="172">
        <v>0</v>
      </c>
      <c r="M60" s="172">
        <v>0</v>
      </c>
      <c r="N60" s="172">
        <v>0</v>
      </c>
      <c r="O60" s="172">
        <v>0</v>
      </c>
      <c r="P60" s="172">
        <v>0</v>
      </c>
      <c r="Q60" s="172">
        <v>0</v>
      </c>
      <c r="R60" s="172">
        <v>3467.6950000000002</v>
      </c>
      <c r="S60" s="172">
        <v>3245.36</v>
      </c>
      <c r="T60" s="172">
        <v>2748.5810000000001</v>
      </c>
      <c r="U60" s="172">
        <v>2155.92</v>
      </c>
      <c r="V60" s="172">
        <v>2078.797</v>
      </c>
      <c r="W60" s="172">
        <v>1615.3679999999999</v>
      </c>
      <c r="X60" s="172">
        <v>1646.634</v>
      </c>
      <c r="Y60" s="172">
        <v>1685.5429999999999</v>
      </c>
      <c r="Z60" s="172">
        <v>1918.9939999999999</v>
      </c>
      <c r="AA60" s="172">
        <v>2766.6460000000002</v>
      </c>
      <c r="AB60" s="172">
        <v>3098.0630000000001</v>
      </c>
      <c r="AC60" s="172">
        <v>3345.4110000000001</v>
      </c>
      <c r="AD60" s="172"/>
      <c r="AE60" s="172">
        <v>29773.011999999999</v>
      </c>
      <c r="AF60" s="172"/>
      <c r="AG60" s="193"/>
      <c r="AH60" s="181" t="e">
        <f>AE60-#REF!</f>
        <v>#REF!</v>
      </c>
      <c r="AI60" s="181" t="e">
        <f t="shared" si="1"/>
        <v>#REF!</v>
      </c>
      <c r="AJ60" s="207" t="s">
        <v>2731</v>
      </c>
      <c r="AM60" s="64" t="s">
        <v>387</v>
      </c>
      <c r="AN60" s="64" t="s">
        <v>387</v>
      </c>
      <c r="AO60" s="192" t="s">
        <v>486</v>
      </c>
      <c r="AP60" s="172">
        <v>0</v>
      </c>
      <c r="AQ60" s="172">
        <v>0</v>
      </c>
      <c r="AR60" s="172">
        <v>0</v>
      </c>
      <c r="AS60" s="172">
        <v>0</v>
      </c>
      <c r="AT60" s="172">
        <v>0</v>
      </c>
      <c r="AU60" s="172">
        <v>0</v>
      </c>
      <c r="AV60" s="172">
        <v>0</v>
      </c>
      <c r="AW60" s="172">
        <v>0</v>
      </c>
      <c r="AX60" s="172">
        <v>0</v>
      </c>
      <c r="AY60" s="172">
        <v>0</v>
      </c>
      <c r="AZ60" s="172">
        <v>0</v>
      </c>
      <c r="BA60" s="172">
        <v>0</v>
      </c>
      <c r="BB60" s="172">
        <v>0</v>
      </c>
      <c r="BC60" s="172">
        <v>296.12728221999998</v>
      </c>
      <c r="BD60" s="172">
        <v>277.14076255999998</v>
      </c>
      <c r="BE60" s="172">
        <v>234.717823076</v>
      </c>
      <c r="BF60" s="172">
        <v>184.10694432</v>
      </c>
      <c r="BG60" s="172">
        <v>177.52094861200001</v>
      </c>
      <c r="BH60" s="172">
        <v>137.945965728</v>
      </c>
      <c r="BI60" s="172">
        <v>140.61595706399999</v>
      </c>
      <c r="BJ60" s="172">
        <v>143.93863002800001</v>
      </c>
      <c r="BK60" s="172">
        <v>163.874411624</v>
      </c>
      <c r="BL60" s="172">
        <v>236.26050181600002</v>
      </c>
      <c r="BM60" s="172">
        <v>268.00103787799998</v>
      </c>
      <c r="BN60" s="172">
        <v>289.39812396599996</v>
      </c>
      <c r="BO60" s="172">
        <v>2549.6483888920002</v>
      </c>
      <c r="BP60" s="214">
        <v>2549.6483888920002</v>
      </c>
      <c r="BQ60" s="217">
        <v>2549.6483888920002</v>
      </c>
      <c r="BR60" s="218">
        <v>0</v>
      </c>
      <c r="BS60" s="193"/>
      <c r="BT60" s="172" t="s">
        <v>844</v>
      </c>
      <c r="BV60" s="198">
        <v>0</v>
      </c>
      <c r="BW60" s="198">
        <v>85.636226153134928</v>
      </c>
      <c r="BX60" s="198">
        <v>85.636226153134928</v>
      </c>
      <c r="BY60" s="199" t="s">
        <v>2800</v>
      </c>
      <c r="CA60" s="200">
        <v>2549.6483888920002</v>
      </c>
      <c r="CB60" s="200">
        <v>0</v>
      </c>
      <c r="CC60" s="200">
        <v>2549.6483888920002</v>
      </c>
    </row>
    <row r="61" spans="2:81">
      <c r="B61" s="64" t="s">
        <v>386</v>
      </c>
      <c r="C61" s="64" t="s">
        <v>386</v>
      </c>
      <c r="D61" s="192" t="s">
        <v>2638</v>
      </c>
      <c r="E61" s="172">
        <v>0</v>
      </c>
      <c r="F61" s="172">
        <v>0</v>
      </c>
      <c r="G61" s="172">
        <v>0</v>
      </c>
      <c r="H61" s="172">
        <v>0</v>
      </c>
      <c r="I61" s="172">
        <v>0</v>
      </c>
      <c r="J61" s="172">
        <v>0</v>
      </c>
      <c r="K61" s="172">
        <v>0</v>
      </c>
      <c r="L61" s="172">
        <v>0</v>
      </c>
      <c r="M61" s="172">
        <v>0</v>
      </c>
      <c r="N61" s="172">
        <v>0</v>
      </c>
      <c r="O61" s="172">
        <v>0</v>
      </c>
      <c r="P61" s="172">
        <v>0</v>
      </c>
      <c r="Q61" s="172">
        <v>0</v>
      </c>
      <c r="R61" s="172">
        <v>4677.8</v>
      </c>
      <c r="S61" s="172">
        <v>4043.5219999999999</v>
      </c>
      <c r="T61" s="172">
        <v>3964.2370000000001</v>
      </c>
      <c r="U61" s="172">
        <v>3092.105</v>
      </c>
      <c r="V61" s="172">
        <v>3052.4630000000002</v>
      </c>
      <c r="W61" s="172">
        <v>2299.2579999999998</v>
      </c>
      <c r="X61" s="172">
        <v>2616.3969999999999</v>
      </c>
      <c r="Y61" s="172">
        <v>2537.1120000000001</v>
      </c>
      <c r="Z61" s="172">
        <v>2378.5419999999999</v>
      </c>
      <c r="AA61" s="172">
        <v>3329.9589999999998</v>
      </c>
      <c r="AB61" s="172">
        <v>3448.886</v>
      </c>
      <c r="AC61" s="172">
        <v>4202.0910000000003</v>
      </c>
      <c r="AD61" s="172"/>
      <c r="AE61" s="172">
        <v>39642.372000000003</v>
      </c>
      <c r="AF61" s="172"/>
      <c r="AG61" s="193"/>
      <c r="AH61" s="181" t="e">
        <f>AE61-#REF!</f>
        <v>#REF!</v>
      </c>
      <c r="AI61" s="181" t="e">
        <f t="shared" si="1"/>
        <v>#REF!</v>
      </c>
      <c r="AJ61" s="207" t="s">
        <v>2731</v>
      </c>
      <c r="AM61" s="64" t="s">
        <v>386</v>
      </c>
      <c r="AN61" s="64" t="s">
        <v>386</v>
      </c>
      <c r="AO61" s="192" t="s">
        <v>2638</v>
      </c>
      <c r="AP61" s="172">
        <v>0</v>
      </c>
      <c r="AQ61" s="172">
        <v>0</v>
      </c>
      <c r="AR61" s="172">
        <v>0</v>
      </c>
      <c r="AS61" s="172">
        <v>0</v>
      </c>
      <c r="AT61" s="172">
        <v>0</v>
      </c>
      <c r="AU61" s="172">
        <v>0</v>
      </c>
      <c r="AV61" s="172">
        <v>0</v>
      </c>
      <c r="AW61" s="172">
        <v>0</v>
      </c>
      <c r="AX61" s="172">
        <v>0</v>
      </c>
      <c r="AY61" s="172">
        <v>0</v>
      </c>
      <c r="AZ61" s="172">
        <v>0</v>
      </c>
      <c r="BA61" s="172">
        <v>0</v>
      </c>
      <c r="BB61" s="172">
        <v>0</v>
      </c>
      <c r="BC61" s="172">
        <v>399.41863079999996</v>
      </c>
      <c r="BD61" s="172">
        <v>345.26016949199999</v>
      </c>
      <c r="BE61" s="172">
        <v>338.49034048200002</v>
      </c>
      <c r="BF61" s="172">
        <v>264.02247752999995</v>
      </c>
      <c r="BG61" s="172">
        <v>260.63760571800003</v>
      </c>
      <c r="BH61" s="172">
        <v>196.32444358800001</v>
      </c>
      <c r="BI61" s="172">
        <v>223.40367424200002</v>
      </c>
      <c r="BJ61" s="172">
        <v>216.633845232</v>
      </c>
      <c r="BK61" s="172">
        <v>203.09418721199998</v>
      </c>
      <c r="BL61" s="172">
        <v>284.33187917399999</v>
      </c>
      <c r="BM61" s="172">
        <v>298.31484345599995</v>
      </c>
      <c r="BN61" s="172">
        <v>363.46406313599999</v>
      </c>
      <c r="BO61" s="172">
        <v>3393.3961600620009</v>
      </c>
      <c r="BP61" s="214">
        <v>3393.3961600620009</v>
      </c>
      <c r="BQ61" s="217">
        <v>3393.3961600620009</v>
      </c>
      <c r="BR61" s="218">
        <v>0</v>
      </c>
      <c r="BS61" s="193"/>
      <c r="BT61" s="172" t="s">
        <v>844</v>
      </c>
      <c r="BV61" s="198">
        <v>0</v>
      </c>
      <c r="BW61" s="198">
        <v>85.600229977711749</v>
      </c>
      <c r="BX61" s="198">
        <v>85.600229977711749</v>
      </c>
      <c r="BY61" s="199" t="s">
        <v>2800</v>
      </c>
      <c r="CA61" s="200">
        <v>3393.3961600620009</v>
      </c>
      <c r="CB61" s="200">
        <v>0</v>
      </c>
      <c r="CC61" s="200">
        <v>3393.3961600620009</v>
      </c>
    </row>
    <row r="62" spans="2:81">
      <c r="B62" s="64" t="s">
        <v>382</v>
      </c>
      <c r="C62" s="64" t="s">
        <v>382</v>
      </c>
      <c r="D62" s="192" t="s">
        <v>488</v>
      </c>
      <c r="E62" s="172">
        <v>0</v>
      </c>
      <c r="F62" s="172">
        <v>0</v>
      </c>
      <c r="G62" s="172">
        <v>0</v>
      </c>
      <c r="H62" s="172">
        <v>0</v>
      </c>
      <c r="I62" s="172">
        <v>0</v>
      </c>
      <c r="J62" s="172">
        <v>0</v>
      </c>
      <c r="K62" s="172">
        <v>0</v>
      </c>
      <c r="L62" s="172">
        <v>0</v>
      </c>
      <c r="M62" s="172">
        <v>0</v>
      </c>
      <c r="N62" s="172">
        <v>0</v>
      </c>
      <c r="O62" s="172">
        <v>0</v>
      </c>
      <c r="P62" s="172">
        <v>0</v>
      </c>
      <c r="Q62" s="172">
        <v>0</v>
      </c>
      <c r="R62" s="172">
        <v>2219.5259999999998</v>
      </c>
      <c r="S62" s="172">
        <v>2066.4830000000002</v>
      </c>
      <c r="T62" s="172">
        <v>1749.5709999999999</v>
      </c>
      <c r="U62" s="172">
        <v>1348.018</v>
      </c>
      <c r="V62" s="172">
        <v>1290.934</v>
      </c>
      <c r="W62" s="172">
        <v>1006.009</v>
      </c>
      <c r="X62" s="172">
        <v>1057.6790000000001</v>
      </c>
      <c r="Y62" s="172">
        <v>1066.537</v>
      </c>
      <c r="Z62" s="172">
        <v>1219.58</v>
      </c>
      <c r="AA62" s="172">
        <v>1751.047</v>
      </c>
      <c r="AB62" s="172">
        <v>1943.4580000000001</v>
      </c>
      <c r="AC62" s="172">
        <v>2157.5210000000002</v>
      </c>
      <c r="AD62" s="172"/>
      <c r="AE62" s="172">
        <v>18876.363000000001</v>
      </c>
      <c r="AF62" s="172"/>
      <c r="AG62" s="193"/>
      <c r="AH62" s="181" t="e">
        <f>AE62-#REF!</f>
        <v>#REF!</v>
      </c>
      <c r="AI62" s="181" t="e">
        <f t="shared" si="1"/>
        <v>#REF!</v>
      </c>
      <c r="AJ62" s="207" t="s">
        <v>2731</v>
      </c>
      <c r="AM62" s="64" t="s">
        <v>382</v>
      </c>
      <c r="AN62" s="64" t="s">
        <v>382</v>
      </c>
      <c r="AO62" s="192" t="s">
        <v>488</v>
      </c>
      <c r="AP62" s="172">
        <v>0</v>
      </c>
      <c r="AQ62" s="172">
        <v>0</v>
      </c>
      <c r="AR62" s="172">
        <v>0</v>
      </c>
      <c r="AS62" s="172">
        <v>0</v>
      </c>
      <c r="AT62" s="172">
        <v>0</v>
      </c>
      <c r="AU62" s="172">
        <v>0</v>
      </c>
      <c r="AV62" s="172">
        <v>0</v>
      </c>
      <c r="AW62" s="172">
        <v>0</v>
      </c>
      <c r="AX62" s="172">
        <v>0</v>
      </c>
      <c r="AY62" s="172">
        <v>0</v>
      </c>
      <c r="AZ62" s="172">
        <v>0</v>
      </c>
      <c r="BA62" s="172">
        <v>0</v>
      </c>
      <c r="BB62" s="172">
        <v>0</v>
      </c>
      <c r="BC62" s="172">
        <v>217.14954573599999</v>
      </c>
      <c r="BD62" s="172">
        <v>202.176430788</v>
      </c>
      <c r="BE62" s="172">
        <v>171.17102835599999</v>
      </c>
      <c r="BF62" s="172">
        <v>131.88468904800001</v>
      </c>
      <c r="BG62" s="172">
        <v>126.299818824</v>
      </c>
      <c r="BH62" s="172">
        <v>98.423896524</v>
      </c>
      <c r="BI62" s="172">
        <v>103.47908264399999</v>
      </c>
      <c r="BJ62" s="172">
        <v>104.345713932</v>
      </c>
      <c r="BK62" s="172">
        <v>119.31882888</v>
      </c>
      <c r="BL62" s="172">
        <v>171.31543429199999</v>
      </c>
      <c r="BM62" s="172">
        <v>192.61029200600001</v>
      </c>
      <c r="BN62" s="172">
        <v>213.82543374700001</v>
      </c>
      <c r="BO62" s="172">
        <v>1852.0001947769999</v>
      </c>
      <c r="BP62" s="214">
        <v>1852.0001947769999</v>
      </c>
      <c r="BQ62" s="217">
        <v>1852.0001947769999</v>
      </c>
      <c r="BR62" s="218">
        <v>0</v>
      </c>
      <c r="BS62" s="193"/>
      <c r="BT62" s="172" t="s">
        <v>844</v>
      </c>
      <c r="BV62" s="198">
        <v>0</v>
      </c>
      <c r="BW62" s="198">
        <v>98.112130751935624</v>
      </c>
      <c r="BX62" s="198">
        <v>98.112130751935624</v>
      </c>
      <c r="BY62" s="199" t="s">
        <v>2800</v>
      </c>
      <c r="CA62" s="200">
        <v>1852.0001947769999</v>
      </c>
      <c r="CB62" s="200">
        <v>0</v>
      </c>
      <c r="CC62" s="200">
        <v>1852.0001947769999</v>
      </c>
    </row>
    <row r="63" spans="2:81">
      <c r="B63" s="64" t="s">
        <v>383</v>
      </c>
      <c r="C63" s="64" t="s">
        <v>383</v>
      </c>
      <c r="D63" s="192" t="s">
        <v>489</v>
      </c>
      <c r="E63" s="172">
        <v>0</v>
      </c>
      <c r="F63" s="172">
        <v>0</v>
      </c>
      <c r="G63" s="172">
        <v>0</v>
      </c>
      <c r="H63" s="172">
        <v>0</v>
      </c>
      <c r="I63" s="172">
        <v>0</v>
      </c>
      <c r="J63" s="172">
        <v>0</v>
      </c>
      <c r="K63" s="172">
        <v>0</v>
      </c>
      <c r="L63" s="172">
        <v>0</v>
      </c>
      <c r="M63" s="172">
        <v>0</v>
      </c>
      <c r="N63" s="172">
        <v>0</v>
      </c>
      <c r="O63" s="172">
        <v>0</v>
      </c>
      <c r="P63" s="172">
        <v>0</v>
      </c>
      <c r="Q63" s="172">
        <v>0</v>
      </c>
      <c r="R63" s="172">
        <v>2245.7640000000001</v>
      </c>
      <c r="S63" s="172">
        <v>2163.0770000000002</v>
      </c>
      <c r="T63" s="172">
        <v>1874.9559999999999</v>
      </c>
      <c r="U63" s="172">
        <v>1509.798</v>
      </c>
      <c r="V63" s="172">
        <v>1432.76</v>
      </c>
      <c r="W63" s="172">
        <v>1136.9359999999999</v>
      </c>
      <c r="X63" s="172">
        <v>1162.615</v>
      </c>
      <c r="Y63" s="172">
        <v>1139.5039999999999</v>
      </c>
      <c r="Z63" s="172">
        <v>1323.88</v>
      </c>
      <c r="AA63" s="172">
        <v>1826.1659999999999</v>
      </c>
      <c r="AB63" s="172">
        <v>2014.6510000000001</v>
      </c>
      <c r="AC63" s="172">
        <v>2226.7620000000002</v>
      </c>
      <c r="AD63" s="172"/>
      <c r="AE63" s="172">
        <v>20056.868999999999</v>
      </c>
      <c r="AF63" s="172"/>
      <c r="AG63" s="193"/>
      <c r="AH63" s="181" t="e">
        <f>AE63-#REF!</f>
        <v>#REF!</v>
      </c>
      <c r="AI63" s="181" t="e">
        <f t="shared" si="1"/>
        <v>#REF!</v>
      </c>
      <c r="AJ63" s="207" t="s">
        <v>2731</v>
      </c>
      <c r="AM63" s="64" t="s">
        <v>383</v>
      </c>
      <c r="AN63" s="64" t="s">
        <v>383</v>
      </c>
      <c r="AO63" s="192" t="s">
        <v>489</v>
      </c>
      <c r="AP63" s="172">
        <v>0</v>
      </c>
      <c r="AQ63" s="172">
        <v>0</v>
      </c>
      <c r="AR63" s="172">
        <v>0</v>
      </c>
      <c r="AS63" s="172">
        <v>0</v>
      </c>
      <c r="AT63" s="172">
        <v>0</v>
      </c>
      <c r="AU63" s="172">
        <v>0</v>
      </c>
      <c r="AV63" s="172">
        <v>0</v>
      </c>
      <c r="AW63" s="172">
        <v>0</v>
      </c>
      <c r="AX63" s="172">
        <v>0</v>
      </c>
      <c r="AY63" s="172">
        <v>0</v>
      </c>
      <c r="AZ63" s="172">
        <v>0</v>
      </c>
      <c r="BA63" s="172">
        <v>0</v>
      </c>
      <c r="BB63" s="172">
        <v>0</v>
      </c>
      <c r="BC63" s="172">
        <v>209.68249315200001</v>
      </c>
      <c r="BD63" s="172">
        <v>201.96217333600001</v>
      </c>
      <c r="BE63" s="172">
        <v>175.06089180799998</v>
      </c>
      <c r="BF63" s="172">
        <v>140.96681966400001</v>
      </c>
      <c r="BG63" s="172">
        <v>133.77393567999999</v>
      </c>
      <c r="BH63" s="172">
        <v>106.153440448</v>
      </c>
      <c r="BI63" s="172">
        <v>108.55103732000001</v>
      </c>
      <c r="BJ63" s="172">
        <v>106.393209472</v>
      </c>
      <c r="BK63" s="172">
        <v>123.60802783999999</v>
      </c>
      <c r="BL63" s="172">
        <v>170.50546708800002</v>
      </c>
      <c r="BM63" s="172">
        <v>190.549720882</v>
      </c>
      <c r="BN63" s="172">
        <v>210.611603484</v>
      </c>
      <c r="BO63" s="172">
        <v>1877.8188201739999</v>
      </c>
      <c r="BP63" s="214">
        <v>1877.8188201739999</v>
      </c>
      <c r="BQ63" s="217">
        <v>1877.8188201739999</v>
      </c>
      <c r="BR63" s="218">
        <v>0</v>
      </c>
      <c r="BS63" s="193"/>
      <c r="BT63" s="172" t="s">
        <v>844</v>
      </c>
      <c r="BV63" s="198">
        <v>0</v>
      </c>
      <c r="BW63" s="198">
        <v>93.624723787845454</v>
      </c>
      <c r="BX63" s="198">
        <v>93.624723787845454</v>
      </c>
      <c r="BY63" s="199" t="s">
        <v>2800</v>
      </c>
      <c r="CA63" s="200">
        <v>1877.8188201739999</v>
      </c>
      <c r="CB63" s="200">
        <v>0</v>
      </c>
      <c r="CC63" s="200">
        <v>1877.8188201739999</v>
      </c>
    </row>
    <row r="64" spans="2:81">
      <c r="B64" s="64" t="s">
        <v>378</v>
      </c>
      <c r="C64" s="64" t="s">
        <v>378</v>
      </c>
      <c r="D64" s="192" t="s">
        <v>490</v>
      </c>
      <c r="E64" s="172">
        <v>0</v>
      </c>
      <c r="F64" s="172">
        <v>0</v>
      </c>
      <c r="G64" s="172">
        <v>0</v>
      </c>
      <c r="H64" s="172">
        <v>0</v>
      </c>
      <c r="I64" s="172">
        <v>0</v>
      </c>
      <c r="J64" s="172">
        <v>0</v>
      </c>
      <c r="K64" s="172">
        <v>0</v>
      </c>
      <c r="L64" s="172">
        <v>0</v>
      </c>
      <c r="M64" s="172">
        <v>0</v>
      </c>
      <c r="N64" s="172">
        <v>0</v>
      </c>
      <c r="O64" s="172">
        <v>0</v>
      </c>
      <c r="P64" s="172">
        <v>0</v>
      </c>
      <c r="Q64" s="172">
        <v>0</v>
      </c>
      <c r="R64" s="172">
        <v>880.47900000000004</v>
      </c>
      <c r="S64" s="172">
        <v>936.78800000000001</v>
      </c>
      <c r="T64" s="172">
        <v>821.673</v>
      </c>
      <c r="U64" s="172">
        <v>778.048</v>
      </c>
      <c r="V64" s="172">
        <v>727.697</v>
      </c>
      <c r="W64" s="172">
        <v>638.91099999999994</v>
      </c>
      <c r="X64" s="172">
        <v>662.16499999999996</v>
      </c>
      <c r="Y64" s="172">
        <v>599.322</v>
      </c>
      <c r="Z64" s="172">
        <v>591.63499999999999</v>
      </c>
      <c r="AA64" s="172">
        <v>636.60500000000002</v>
      </c>
      <c r="AB64" s="172">
        <v>872.98400000000004</v>
      </c>
      <c r="AC64" s="172">
        <v>821.28800000000001</v>
      </c>
      <c r="AD64" s="172"/>
      <c r="AE64" s="172">
        <v>8967.5949999999993</v>
      </c>
      <c r="AF64" s="172"/>
      <c r="AG64" s="193"/>
      <c r="AH64" s="181" t="e">
        <f>AE64-#REF!</f>
        <v>#REF!</v>
      </c>
      <c r="AI64" s="181" t="e">
        <f t="shared" si="1"/>
        <v>#REF!</v>
      </c>
      <c r="AJ64" s="207" t="s">
        <v>2731</v>
      </c>
      <c r="AM64" s="64" t="s">
        <v>378</v>
      </c>
      <c r="AN64" s="64" t="s">
        <v>378</v>
      </c>
      <c r="AO64" s="192" t="s">
        <v>490</v>
      </c>
      <c r="AP64" s="172">
        <v>0</v>
      </c>
      <c r="AQ64" s="172">
        <v>0</v>
      </c>
      <c r="AR64" s="172">
        <v>0</v>
      </c>
      <c r="AS64" s="172">
        <v>0</v>
      </c>
      <c r="AT64" s="172">
        <v>0</v>
      </c>
      <c r="AU64" s="172">
        <v>0</v>
      </c>
      <c r="AV64" s="172">
        <v>0</v>
      </c>
      <c r="AW64" s="172">
        <v>0</v>
      </c>
      <c r="AX64" s="172">
        <v>0</v>
      </c>
      <c r="AY64" s="172">
        <v>0</v>
      </c>
      <c r="AZ64" s="172">
        <v>0</v>
      </c>
      <c r="BA64" s="172">
        <v>0</v>
      </c>
      <c r="BB64" s="172">
        <v>0</v>
      </c>
      <c r="BC64" s="172">
        <v>82.99395054</v>
      </c>
      <c r="BD64" s="172">
        <v>88.301636880000004</v>
      </c>
      <c r="BE64" s="172">
        <v>77.45089698000001</v>
      </c>
      <c r="BF64" s="172">
        <v>73.338804480000007</v>
      </c>
      <c r="BG64" s="172">
        <v>68.592719219999992</v>
      </c>
      <c r="BH64" s="172">
        <v>60.223750860000003</v>
      </c>
      <c r="BI64" s="172">
        <v>62.415672899999997</v>
      </c>
      <c r="BJ64" s="172">
        <v>56.492091719999998</v>
      </c>
      <c r="BK64" s="172">
        <v>55.767515099999997</v>
      </c>
      <c r="BL64" s="172">
        <v>60.0063873</v>
      </c>
      <c r="BM64" s="172">
        <v>83.356877240000003</v>
      </c>
      <c r="BN64" s="172">
        <v>78.420684680000008</v>
      </c>
      <c r="BO64" s="172">
        <v>847.36098789999994</v>
      </c>
      <c r="BP64" s="214">
        <v>847.36098789999994</v>
      </c>
      <c r="BQ64" s="217">
        <v>847.36098789999994</v>
      </c>
      <c r="BR64" s="218">
        <v>0</v>
      </c>
      <c r="BS64" s="193"/>
      <c r="BT64" s="172" t="s">
        <v>844</v>
      </c>
      <c r="BV64" s="198">
        <v>0</v>
      </c>
      <c r="BW64" s="198">
        <v>94.491442566262194</v>
      </c>
      <c r="BX64" s="198">
        <v>94.491442566262194</v>
      </c>
      <c r="BY64" s="199" t="s">
        <v>2800</v>
      </c>
      <c r="CA64" s="200">
        <v>847.36098789999994</v>
      </c>
      <c r="CB64" s="200">
        <v>0</v>
      </c>
      <c r="CC64" s="200">
        <v>847.36098789999994</v>
      </c>
    </row>
    <row r="65" spans="1:81">
      <c r="B65" s="64" t="s">
        <v>373</v>
      </c>
      <c r="C65" s="64" t="s">
        <v>373</v>
      </c>
      <c r="D65" s="192" t="s">
        <v>491</v>
      </c>
      <c r="E65" s="172">
        <v>0</v>
      </c>
      <c r="F65" s="172">
        <v>0</v>
      </c>
      <c r="G65" s="172">
        <v>0</v>
      </c>
      <c r="H65" s="172">
        <v>0</v>
      </c>
      <c r="I65" s="172">
        <v>0</v>
      </c>
      <c r="J65" s="172">
        <v>0</v>
      </c>
      <c r="K65" s="172">
        <v>0</v>
      </c>
      <c r="L65" s="172">
        <v>0</v>
      </c>
      <c r="M65" s="172">
        <v>0</v>
      </c>
      <c r="N65" s="172">
        <v>0</v>
      </c>
      <c r="O65" s="172">
        <v>0</v>
      </c>
      <c r="P65" s="172">
        <v>0</v>
      </c>
      <c r="Q65" s="172">
        <v>0</v>
      </c>
      <c r="R65" s="172">
        <v>2171.181</v>
      </c>
      <c r="S65" s="172">
        <v>2156.654</v>
      </c>
      <c r="T65" s="172">
        <v>2000.079</v>
      </c>
      <c r="U65" s="172">
        <v>1704.1479999999999</v>
      </c>
      <c r="V65" s="172">
        <v>1448.5709999999999</v>
      </c>
      <c r="W65" s="172">
        <v>1192.4559999999999</v>
      </c>
      <c r="X65" s="172">
        <v>1187.075</v>
      </c>
      <c r="Y65" s="172">
        <v>1073.5450000000001</v>
      </c>
      <c r="Z65" s="172">
        <v>1412.521</v>
      </c>
      <c r="AA65" s="172">
        <v>1861.799</v>
      </c>
      <c r="AB65" s="172">
        <v>2049.0419999999999</v>
      </c>
      <c r="AC65" s="172">
        <v>2262.1129999999998</v>
      </c>
      <c r="AD65" s="172"/>
      <c r="AE65" s="172">
        <v>20519.184000000001</v>
      </c>
      <c r="AF65" s="172"/>
      <c r="AG65" s="193"/>
      <c r="AH65" s="181" t="e">
        <f>AE65-#REF!</f>
        <v>#REF!</v>
      </c>
      <c r="AI65" s="181" t="e">
        <f t="shared" si="1"/>
        <v>#REF!</v>
      </c>
      <c r="AJ65" s="207" t="s">
        <v>2731</v>
      </c>
      <c r="AM65" s="64" t="s">
        <v>373</v>
      </c>
      <c r="AN65" s="64" t="s">
        <v>373</v>
      </c>
      <c r="AO65" s="192" t="s">
        <v>491</v>
      </c>
      <c r="AP65" s="172">
        <v>0</v>
      </c>
      <c r="AQ65" s="172">
        <v>0</v>
      </c>
      <c r="AR65" s="172">
        <v>0</v>
      </c>
      <c r="AS65" s="172">
        <v>0</v>
      </c>
      <c r="AT65" s="172">
        <v>0</v>
      </c>
      <c r="AU65" s="172">
        <v>0</v>
      </c>
      <c r="AV65" s="172">
        <v>0</v>
      </c>
      <c r="AW65" s="172">
        <v>0</v>
      </c>
      <c r="AX65" s="172">
        <v>0</v>
      </c>
      <c r="AY65" s="172">
        <v>0</v>
      </c>
      <c r="AZ65" s="172">
        <v>0</v>
      </c>
      <c r="BA65" s="172">
        <v>0</v>
      </c>
      <c r="BB65" s="172">
        <v>0</v>
      </c>
      <c r="BC65" s="172">
        <v>198.54147536400001</v>
      </c>
      <c r="BD65" s="172">
        <v>197.21306837600002</v>
      </c>
      <c r="BE65" s="172">
        <v>182.89522407600001</v>
      </c>
      <c r="BF65" s="172">
        <v>155.83410971200001</v>
      </c>
      <c r="BG65" s="172">
        <v>132.46312652399999</v>
      </c>
      <c r="BH65" s="172">
        <v>109.042946464</v>
      </c>
      <c r="BI65" s="172">
        <v>108.5508863</v>
      </c>
      <c r="BJ65" s="172">
        <v>98.169248980000006</v>
      </c>
      <c r="BK65" s="172">
        <v>129.16657032399999</v>
      </c>
      <c r="BL65" s="172">
        <v>170.250347756</v>
      </c>
      <c r="BM65" s="172">
        <v>189.80685854399999</v>
      </c>
      <c r="BN65" s="172">
        <v>209.544051416</v>
      </c>
      <c r="BO65" s="172">
        <v>1881.477913836</v>
      </c>
      <c r="BP65" s="214">
        <v>1881.477913836</v>
      </c>
      <c r="BQ65" s="217">
        <v>1881.477913836</v>
      </c>
      <c r="BR65" s="218">
        <v>0</v>
      </c>
      <c r="BS65" s="193"/>
      <c r="BT65" s="172" t="s">
        <v>844</v>
      </c>
      <c r="BV65" s="198">
        <v>0</v>
      </c>
      <c r="BW65" s="198">
        <v>91.693603109948228</v>
      </c>
      <c r="BX65" s="198">
        <v>91.693603109948228</v>
      </c>
      <c r="BY65" s="199" t="s">
        <v>2800</v>
      </c>
      <c r="CA65" s="200">
        <v>1881.477913836</v>
      </c>
      <c r="CB65" s="200">
        <v>0</v>
      </c>
      <c r="CC65" s="200">
        <v>1881.477913836</v>
      </c>
    </row>
    <row r="66" spans="1:81">
      <c r="B66" s="64" t="s">
        <v>374</v>
      </c>
      <c r="C66" s="64" t="s">
        <v>374</v>
      </c>
      <c r="D66" s="192" t="s">
        <v>492</v>
      </c>
      <c r="E66" s="172">
        <v>0</v>
      </c>
      <c r="F66" s="172">
        <v>0</v>
      </c>
      <c r="G66" s="172">
        <v>0</v>
      </c>
      <c r="H66" s="172">
        <v>0</v>
      </c>
      <c r="I66" s="172">
        <v>0</v>
      </c>
      <c r="J66" s="172">
        <v>0</v>
      </c>
      <c r="K66" s="172">
        <v>0</v>
      </c>
      <c r="L66" s="172">
        <v>0</v>
      </c>
      <c r="M66" s="172">
        <v>0</v>
      </c>
      <c r="N66" s="172">
        <v>0</v>
      </c>
      <c r="O66" s="172">
        <v>0</v>
      </c>
      <c r="P66" s="172">
        <v>0</v>
      </c>
      <c r="Q66" s="172">
        <v>0</v>
      </c>
      <c r="R66" s="172">
        <v>1682.2909999999999</v>
      </c>
      <c r="S66" s="172">
        <v>1660.9369999999999</v>
      </c>
      <c r="T66" s="172">
        <v>1471.8050000000001</v>
      </c>
      <c r="U66" s="172">
        <v>1210.3330000000001</v>
      </c>
      <c r="V66" s="172">
        <v>1056.0640000000001</v>
      </c>
      <c r="W66" s="172">
        <v>819.43200000000002</v>
      </c>
      <c r="X66" s="172">
        <v>868.67600000000004</v>
      </c>
      <c r="Y66" s="172">
        <v>791.97699999999998</v>
      </c>
      <c r="Z66" s="172">
        <v>980.23699999999997</v>
      </c>
      <c r="AA66" s="172">
        <v>1333.6610000000001</v>
      </c>
      <c r="AB66" s="172">
        <v>1531.508</v>
      </c>
      <c r="AC66" s="172">
        <v>1728.92</v>
      </c>
      <c r="AD66" s="172"/>
      <c r="AE66" s="172">
        <v>15135.841</v>
      </c>
      <c r="AF66" s="172"/>
      <c r="AG66" s="193"/>
      <c r="AH66" s="181" t="e">
        <f>AE66-#REF!</f>
        <v>#REF!</v>
      </c>
      <c r="AI66" s="181" t="e">
        <f t="shared" si="1"/>
        <v>#REF!</v>
      </c>
      <c r="AJ66" s="207" t="s">
        <v>2731</v>
      </c>
      <c r="AM66" s="64" t="s">
        <v>374</v>
      </c>
      <c r="AN66" s="64" t="s">
        <v>374</v>
      </c>
      <c r="AO66" s="192" t="s">
        <v>492</v>
      </c>
      <c r="AP66" s="172">
        <v>0</v>
      </c>
      <c r="AQ66" s="172">
        <v>0</v>
      </c>
      <c r="AR66" s="172">
        <v>0</v>
      </c>
      <c r="AS66" s="172">
        <v>0</v>
      </c>
      <c r="AT66" s="172">
        <v>0</v>
      </c>
      <c r="AU66" s="172">
        <v>0</v>
      </c>
      <c r="AV66" s="172">
        <v>0</v>
      </c>
      <c r="AW66" s="172">
        <v>0</v>
      </c>
      <c r="AX66" s="172">
        <v>0</v>
      </c>
      <c r="AY66" s="172">
        <v>0</v>
      </c>
      <c r="AZ66" s="172">
        <v>0</v>
      </c>
      <c r="BA66" s="172">
        <v>0</v>
      </c>
      <c r="BB66" s="172">
        <v>0</v>
      </c>
      <c r="BC66" s="172">
        <v>157.10579190800001</v>
      </c>
      <c r="BD66" s="172">
        <v>155.111584556</v>
      </c>
      <c r="BE66" s="172">
        <v>137.44892533999999</v>
      </c>
      <c r="BF66" s="172">
        <v>113.03057820400001</v>
      </c>
      <c r="BG66" s="172">
        <v>98.623704832000001</v>
      </c>
      <c r="BH66" s="172">
        <v>76.525115615999994</v>
      </c>
      <c r="BI66" s="172">
        <v>81.123914287999995</v>
      </c>
      <c r="BJ66" s="172">
        <v>73.961148076000001</v>
      </c>
      <c r="BK66" s="172">
        <v>91.542372956000008</v>
      </c>
      <c r="BL66" s="172">
        <v>124.547933468</v>
      </c>
      <c r="BM66" s="172">
        <v>144.88525132400002</v>
      </c>
      <c r="BN66" s="172">
        <v>163.56101876</v>
      </c>
      <c r="BO66" s="172">
        <v>1417.467339328</v>
      </c>
      <c r="BP66" s="214">
        <v>1417.467339328</v>
      </c>
      <c r="BQ66" s="217">
        <v>1417.467339328</v>
      </c>
      <c r="BR66" s="218">
        <v>0</v>
      </c>
      <c r="BS66" s="193"/>
      <c r="BT66" s="172" t="s">
        <v>844</v>
      </c>
      <c r="BV66" s="198">
        <v>0</v>
      </c>
      <c r="BW66" s="198">
        <v>93.649724473717711</v>
      </c>
      <c r="BX66" s="198">
        <v>93.649724473717711</v>
      </c>
      <c r="BY66" s="199" t="s">
        <v>2800</v>
      </c>
      <c r="CA66" s="200">
        <v>1417.467339328</v>
      </c>
      <c r="CB66" s="200">
        <v>0</v>
      </c>
      <c r="CC66" s="200">
        <v>1417.467339328</v>
      </c>
    </row>
    <row r="67" spans="1:81">
      <c r="B67" s="64" t="s">
        <v>377</v>
      </c>
      <c r="C67" s="64" t="s">
        <v>377</v>
      </c>
      <c r="D67" s="192" t="s">
        <v>493</v>
      </c>
      <c r="E67" s="172">
        <v>0</v>
      </c>
      <c r="F67" s="172">
        <v>0</v>
      </c>
      <c r="G67" s="172">
        <v>0</v>
      </c>
      <c r="H67" s="172">
        <v>0</v>
      </c>
      <c r="I67" s="172">
        <v>0</v>
      </c>
      <c r="J67" s="172">
        <v>0</v>
      </c>
      <c r="K67" s="172">
        <v>0</v>
      </c>
      <c r="L67" s="172">
        <v>0</v>
      </c>
      <c r="M67" s="172">
        <v>0</v>
      </c>
      <c r="N67" s="172">
        <v>0</v>
      </c>
      <c r="O67" s="172">
        <v>0</v>
      </c>
      <c r="P67" s="172">
        <v>0</v>
      </c>
      <c r="Q67" s="172">
        <v>0</v>
      </c>
      <c r="R67" s="172">
        <v>1970.373</v>
      </c>
      <c r="S67" s="172">
        <v>1982.8810000000001</v>
      </c>
      <c r="T67" s="172">
        <v>1865.3</v>
      </c>
      <c r="U67" s="172">
        <v>1626.634</v>
      </c>
      <c r="V67" s="172">
        <v>1375.96</v>
      </c>
      <c r="W67" s="172">
        <v>1148.3019999999999</v>
      </c>
      <c r="X67" s="172">
        <v>1133.2909999999999</v>
      </c>
      <c r="Y67" s="172">
        <v>1031.721</v>
      </c>
      <c r="Z67" s="172">
        <v>1334.931</v>
      </c>
      <c r="AA67" s="172">
        <v>1690.1780000000001</v>
      </c>
      <c r="AB67" s="172">
        <v>1875.807</v>
      </c>
      <c r="AC67" s="172">
        <v>2046.9259999999999</v>
      </c>
      <c r="AD67" s="172"/>
      <c r="AE67" s="172">
        <v>19082.304</v>
      </c>
      <c r="AF67" s="172"/>
      <c r="AG67" s="193"/>
      <c r="AH67" s="181" t="e">
        <f>AE67-#REF!</f>
        <v>#REF!</v>
      </c>
      <c r="AI67" s="181" t="e">
        <f t="shared" si="1"/>
        <v>#REF!</v>
      </c>
      <c r="AJ67" s="207" t="s">
        <v>2731</v>
      </c>
      <c r="AM67" s="64" t="s">
        <v>377</v>
      </c>
      <c r="AN67" s="64" t="s">
        <v>377</v>
      </c>
      <c r="AO67" s="192" t="s">
        <v>493</v>
      </c>
      <c r="AP67" s="172">
        <v>0</v>
      </c>
      <c r="AQ67" s="172">
        <v>0</v>
      </c>
      <c r="AR67" s="172">
        <v>0</v>
      </c>
      <c r="AS67" s="172">
        <v>0</v>
      </c>
      <c r="AT67" s="172">
        <v>0</v>
      </c>
      <c r="AU67" s="172">
        <v>0</v>
      </c>
      <c r="AV67" s="172">
        <v>0</v>
      </c>
      <c r="AW67" s="172">
        <v>0</v>
      </c>
      <c r="AX67" s="172">
        <v>0</v>
      </c>
      <c r="AY67" s="172">
        <v>0</v>
      </c>
      <c r="AZ67" s="172">
        <v>0</v>
      </c>
      <c r="BA67" s="172">
        <v>0</v>
      </c>
      <c r="BB67" s="172">
        <v>0</v>
      </c>
      <c r="BC67" s="172">
        <v>188.501644164</v>
      </c>
      <c r="BD67" s="172">
        <v>189.69825950799998</v>
      </c>
      <c r="BE67" s="172">
        <v>178.44952040000001</v>
      </c>
      <c r="BF67" s="172">
        <v>155.616821512</v>
      </c>
      <c r="BG67" s="172">
        <v>131.63534128000001</v>
      </c>
      <c r="BH67" s="172">
        <v>109.85575573600001</v>
      </c>
      <c r="BI67" s="172">
        <v>108.41968338800001</v>
      </c>
      <c r="BJ67" s="172">
        <v>98.702684628</v>
      </c>
      <c r="BK67" s="172">
        <v>127.710178908</v>
      </c>
      <c r="BL67" s="172">
        <v>161.69594890399998</v>
      </c>
      <c r="BM67" s="172">
        <v>181.78633217699999</v>
      </c>
      <c r="BN67" s="172">
        <v>198.36964558599999</v>
      </c>
      <c r="BO67" s="172">
        <v>1830.441816191</v>
      </c>
      <c r="BP67" s="214">
        <v>1830.441816191</v>
      </c>
      <c r="BQ67" s="217">
        <v>1830.441816191</v>
      </c>
      <c r="BR67" s="218">
        <v>0</v>
      </c>
      <c r="BS67" s="193"/>
      <c r="BT67" s="172" t="s">
        <v>844</v>
      </c>
      <c r="BV67" s="198">
        <v>0</v>
      </c>
      <c r="BW67" s="198">
        <v>95.923522452582247</v>
      </c>
      <c r="BX67" s="198">
        <v>95.923522452582247</v>
      </c>
      <c r="BY67" s="199" t="s">
        <v>2800</v>
      </c>
      <c r="CA67" s="200">
        <v>1830.441816191</v>
      </c>
      <c r="CB67" s="200">
        <v>0</v>
      </c>
      <c r="CC67" s="200">
        <v>1830.441816191</v>
      </c>
    </row>
    <row r="68" spans="1:81">
      <c r="B68" s="64" t="s">
        <v>379</v>
      </c>
      <c r="C68" s="64" t="s">
        <v>379</v>
      </c>
      <c r="D68" s="192" t="s">
        <v>494</v>
      </c>
      <c r="E68" s="172">
        <v>0</v>
      </c>
      <c r="F68" s="172">
        <v>0</v>
      </c>
      <c r="G68" s="172">
        <v>0</v>
      </c>
      <c r="H68" s="172">
        <v>0</v>
      </c>
      <c r="I68" s="172">
        <v>0</v>
      </c>
      <c r="J68" s="172">
        <v>0</v>
      </c>
      <c r="K68" s="172">
        <v>0</v>
      </c>
      <c r="L68" s="172">
        <v>0</v>
      </c>
      <c r="M68" s="172">
        <v>0</v>
      </c>
      <c r="N68" s="172">
        <v>0</v>
      </c>
      <c r="O68" s="172">
        <v>0</v>
      </c>
      <c r="P68" s="172">
        <v>0</v>
      </c>
      <c r="Q68" s="172">
        <v>0</v>
      </c>
      <c r="R68" s="172">
        <v>1866.5029999999999</v>
      </c>
      <c r="S68" s="172">
        <v>1832.82</v>
      </c>
      <c r="T68" s="172">
        <v>1655.539</v>
      </c>
      <c r="U68" s="172">
        <v>1286.3510000000001</v>
      </c>
      <c r="V68" s="172">
        <v>1165.357</v>
      </c>
      <c r="W68" s="172">
        <v>898.99300000000005</v>
      </c>
      <c r="X68" s="172">
        <v>982.75800000000004</v>
      </c>
      <c r="Y68" s="172">
        <v>904.31100000000004</v>
      </c>
      <c r="Z68" s="172">
        <v>1142.3109999999999</v>
      </c>
      <c r="AA68" s="172">
        <v>1548.7270000000001</v>
      </c>
      <c r="AB68" s="172">
        <v>1663.0730000000001</v>
      </c>
      <c r="AC68" s="172">
        <v>1902.403</v>
      </c>
      <c r="AD68" s="172"/>
      <c r="AE68" s="172">
        <v>16849.146000000001</v>
      </c>
      <c r="AF68" s="172"/>
      <c r="AG68" s="193"/>
      <c r="AH68" s="181" t="e">
        <f>AE68-#REF!</f>
        <v>#REF!</v>
      </c>
      <c r="AI68" s="181" t="e">
        <f t="shared" si="1"/>
        <v>#REF!</v>
      </c>
      <c r="AJ68" s="207" t="s">
        <v>2731</v>
      </c>
      <c r="AM68" s="64" t="s">
        <v>379</v>
      </c>
      <c r="AN68" s="64" t="s">
        <v>379</v>
      </c>
      <c r="AO68" s="192" t="s">
        <v>494</v>
      </c>
      <c r="AP68" s="172">
        <v>0</v>
      </c>
      <c r="AQ68" s="172">
        <v>0</v>
      </c>
      <c r="AR68" s="172">
        <v>0</v>
      </c>
      <c r="AS68" s="172">
        <v>0</v>
      </c>
      <c r="AT68" s="172">
        <v>0</v>
      </c>
      <c r="AU68" s="172">
        <v>0</v>
      </c>
      <c r="AV68" s="172">
        <v>0</v>
      </c>
      <c r="AW68" s="172">
        <v>0</v>
      </c>
      <c r="AX68" s="172">
        <v>0</v>
      </c>
      <c r="AY68" s="172">
        <v>0</v>
      </c>
      <c r="AZ68" s="172">
        <v>0</v>
      </c>
      <c r="BA68" s="172">
        <v>0</v>
      </c>
      <c r="BB68" s="172">
        <v>0</v>
      </c>
      <c r="BC68" s="172">
        <v>175.70885941400002</v>
      </c>
      <c r="BD68" s="172">
        <v>172.53800915999997</v>
      </c>
      <c r="BE68" s="172">
        <v>155.849130382</v>
      </c>
      <c r="BF68" s="172">
        <v>121.094510438</v>
      </c>
      <c r="BG68" s="172">
        <v>109.70437726599999</v>
      </c>
      <c r="BH68" s="172">
        <v>84.629403034000006</v>
      </c>
      <c r="BI68" s="172">
        <v>92.514872604000004</v>
      </c>
      <c r="BJ68" s="172">
        <v>85.130028917999994</v>
      </c>
      <c r="BK68" s="172">
        <v>107.53487291799999</v>
      </c>
      <c r="BL68" s="172">
        <v>145.79406232600002</v>
      </c>
      <c r="BM68" s="172">
        <v>158.59396742599998</v>
      </c>
      <c r="BN68" s="172">
        <v>181.41695488599998</v>
      </c>
      <c r="BO68" s="172">
        <v>1590.5090487719999</v>
      </c>
      <c r="BP68" s="214">
        <v>1590.5090487719999</v>
      </c>
      <c r="BQ68" s="217">
        <v>1590.5090487719999</v>
      </c>
      <c r="BR68" s="218">
        <v>0</v>
      </c>
      <c r="BS68" s="193"/>
      <c r="BT68" s="172" t="s">
        <v>844</v>
      </c>
      <c r="BV68" s="198">
        <v>0</v>
      </c>
      <c r="BW68" s="198">
        <v>94.39701268966391</v>
      </c>
      <c r="BX68" s="198">
        <v>94.39701268966391</v>
      </c>
      <c r="BY68" s="199" t="s">
        <v>2800</v>
      </c>
      <c r="CA68" s="200">
        <v>1590.5090487719999</v>
      </c>
      <c r="CB68" s="200">
        <v>0</v>
      </c>
      <c r="CC68" s="200">
        <v>1590.5090487719999</v>
      </c>
    </row>
    <row r="69" spans="1:81">
      <c r="B69" s="64" t="s">
        <v>384</v>
      </c>
      <c r="C69" s="64" t="s">
        <v>384</v>
      </c>
      <c r="D69" s="192" t="s">
        <v>495</v>
      </c>
      <c r="E69" s="172">
        <v>0</v>
      </c>
      <c r="F69" s="172">
        <v>0</v>
      </c>
      <c r="G69" s="172">
        <v>0</v>
      </c>
      <c r="H69" s="172">
        <v>0</v>
      </c>
      <c r="I69" s="172">
        <v>0</v>
      </c>
      <c r="J69" s="172">
        <v>0</v>
      </c>
      <c r="K69" s="172">
        <v>0</v>
      </c>
      <c r="L69" s="172">
        <v>0</v>
      </c>
      <c r="M69" s="172">
        <v>0</v>
      </c>
      <c r="N69" s="172">
        <v>0</v>
      </c>
      <c r="O69" s="172">
        <v>0</v>
      </c>
      <c r="P69" s="172">
        <v>0</v>
      </c>
      <c r="Q69" s="172">
        <v>0</v>
      </c>
      <c r="R69" s="172">
        <v>2552.2139999999999</v>
      </c>
      <c r="S69" s="172">
        <v>2519.6529999999998</v>
      </c>
      <c r="T69" s="172">
        <v>2292.326</v>
      </c>
      <c r="U69" s="172">
        <v>1806.922</v>
      </c>
      <c r="V69" s="172">
        <v>1628.4380000000001</v>
      </c>
      <c r="W69" s="172">
        <v>1269.6610000000001</v>
      </c>
      <c r="X69" s="172">
        <v>1372.771</v>
      </c>
      <c r="Y69" s="172">
        <v>1273.279</v>
      </c>
      <c r="Z69" s="172">
        <v>1604.921</v>
      </c>
      <c r="AA69" s="172">
        <v>2137.962</v>
      </c>
      <c r="AB69" s="172">
        <v>2292.326</v>
      </c>
      <c r="AC69" s="172">
        <v>2604.0709999999999</v>
      </c>
      <c r="AD69" s="172"/>
      <c r="AE69" s="172">
        <v>23354.544000000002</v>
      </c>
      <c r="AF69" s="172"/>
      <c r="AG69" s="193"/>
      <c r="AH69" s="181" t="e">
        <f>AE69-#REF!</f>
        <v>#REF!</v>
      </c>
      <c r="AI69" s="181" t="e">
        <f t="shared" si="1"/>
        <v>#REF!</v>
      </c>
      <c r="AJ69" s="207" t="s">
        <v>2731</v>
      </c>
      <c r="AM69" s="64" t="s">
        <v>384</v>
      </c>
      <c r="AN69" s="64" t="s">
        <v>384</v>
      </c>
      <c r="AO69" s="192" t="s">
        <v>495</v>
      </c>
      <c r="AP69" s="172">
        <v>0</v>
      </c>
      <c r="AQ69" s="172">
        <v>0</v>
      </c>
      <c r="AR69" s="172">
        <v>0</v>
      </c>
      <c r="AS69" s="172">
        <v>0</v>
      </c>
      <c r="AT69" s="172">
        <v>0</v>
      </c>
      <c r="AU69" s="172">
        <v>0</v>
      </c>
      <c r="AV69" s="172">
        <v>0</v>
      </c>
      <c r="AW69" s="172">
        <v>0</v>
      </c>
      <c r="AX69" s="172">
        <v>0</v>
      </c>
      <c r="AY69" s="172">
        <v>0</v>
      </c>
      <c r="AZ69" s="172">
        <v>0</v>
      </c>
      <c r="BA69" s="172">
        <v>0</v>
      </c>
      <c r="BB69" s="172">
        <v>0</v>
      </c>
      <c r="BC69" s="172">
        <v>222.03240914400001</v>
      </c>
      <c r="BD69" s="172">
        <v>219.199732388</v>
      </c>
      <c r="BE69" s="172">
        <v>199.423192696</v>
      </c>
      <c r="BF69" s="172">
        <v>157.194986312</v>
      </c>
      <c r="BG69" s="172">
        <v>141.66759224800001</v>
      </c>
      <c r="BH69" s="172">
        <v>110.455428356</v>
      </c>
      <c r="BI69" s="172">
        <v>119.425585916</v>
      </c>
      <c r="BJ69" s="172">
        <v>110.770179884</v>
      </c>
      <c r="BK69" s="172">
        <v>139.62170731600003</v>
      </c>
      <c r="BL69" s="172">
        <v>185.99414215199999</v>
      </c>
      <c r="BM69" s="172">
        <v>202.01581340199999</v>
      </c>
      <c r="BN69" s="172">
        <v>229.488965017</v>
      </c>
      <c r="BO69" s="172">
        <v>2037.289734831</v>
      </c>
      <c r="BP69" s="214">
        <v>2037.289734831</v>
      </c>
      <c r="BQ69" s="217">
        <v>2037.2897348309998</v>
      </c>
      <c r="BR69" s="218">
        <v>0</v>
      </c>
      <c r="BS69" s="193"/>
      <c r="BT69" s="172" t="s">
        <v>844</v>
      </c>
      <c r="BV69" s="198">
        <v>0</v>
      </c>
      <c r="BW69" s="198">
        <v>87.233119808761828</v>
      </c>
      <c r="BX69" s="198">
        <v>87.233119808761828</v>
      </c>
      <c r="BY69" s="199" t="s">
        <v>2800</v>
      </c>
      <c r="CA69" s="200">
        <v>2037.2897348309998</v>
      </c>
      <c r="CB69" s="200">
        <v>0</v>
      </c>
      <c r="CC69" s="200">
        <v>2037.2897348309998</v>
      </c>
    </row>
    <row r="70" spans="1:81">
      <c r="B70" s="64" t="s">
        <v>381</v>
      </c>
      <c r="C70" s="64" t="s">
        <v>381</v>
      </c>
      <c r="D70" s="192" t="s">
        <v>496</v>
      </c>
      <c r="E70" s="172">
        <v>0</v>
      </c>
      <c r="F70" s="172">
        <v>0</v>
      </c>
      <c r="G70" s="172">
        <v>0</v>
      </c>
      <c r="H70" s="172">
        <v>0</v>
      </c>
      <c r="I70" s="172">
        <v>0</v>
      </c>
      <c r="J70" s="172">
        <v>0</v>
      </c>
      <c r="K70" s="172">
        <v>0</v>
      </c>
      <c r="L70" s="172">
        <v>0</v>
      </c>
      <c r="M70" s="172">
        <v>0</v>
      </c>
      <c r="N70" s="172">
        <v>0</v>
      </c>
      <c r="O70" s="172">
        <v>0</v>
      </c>
      <c r="P70" s="172">
        <v>0</v>
      </c>
      <c r="Q70" s="172">
        <v>0</v>
      </c>
      <c r="R70" s="172">
        <v>2366.6950000000002</v>
      </c>
      <c r="S70" s="172">
        <v>2377.9079999999999</v>
      </c>
      <c r="T70" s="172">
        <v>2156.61</v>
      </c>
      <c r="U70" s="172">
        <v>1827.9079999999999</v>
      </c>
      <c r="V70" s="172">
        <v>1612.511</v>
      </c>
      <c r="W70" s="172">
        <v>1337.5119999999999</v>
      </c>
      <c r="X70" s="172">
        <v>1363.4770000000001</v>
      </c>
      <c r="Y70" s="172">
        <v>1280.8589999999999</v>
      </c>
      <c r="Z70" s="172">
        <v>1520.451</v>
      </c>
      <c r="AA70" s="172">
        <v>1954.7860000000001</v>
      </c>
      <c r="AB70" s="172">
        <v>2169.002</v>
      </c>
      <c r="AC70" s="172">
        <v>2413.3150000000001</v>
      </c>
      <c r="AD70" s="172"/>
      <c r="AE70" s="172">
        <v>22381.034</v>
      </c>
      <c r="AF70" s="172"/>
      <c r="AG70" s="193"/>
      <c r="AH70" s="181" t="e">
        <f>AE70-#REF!</f>
        <v>#REF!</v>
      </c>
      <c r="AI70" s="181" t="e">
        <f t="shared" si="1"/>
        <v>#REF!</v>
      </c>
      <c r="AJ70" s="207" t="s">
        <v>2731</v>
      </c>
      <c r="AM70" s="64" t="s">
        <v>381</v>
      </c>
      <c r="AN70" s="64" t="s">
        <v>381</v>
      </c>
      <c r="AO70" s="192" t="s">
        <v>496</v>
      </c>
      <c r="AP70" s="172">
        <v>0</v>
      </c>
      <c r="AQ70" s="172">
        <v>0</v>
      </c>
      <c r="AR70" s="172">
        <v>0</v>
      </c>
      <c r="AS70" s="172">
        <v>0</v>
      </c>
      <c r="AT70" s="172">
        <v>0</v>
      </c>
      <c r="AU70" s="172">
        <v>0</v>
      </c>
      <c r="AV70" s="172">
        <v>0</v>
      </c>
      <c r="AW70" s="172">
        <v>0</v>
      </c>
      <c r="AX70" s="172">
        <v>0</v>
      </c>
      <c r="AY70" s="172">
        <v>0</v>
      </c>
      <c r="AZ70" s="172">
        <v>0</v>
      </c>
      <c r="BA70" s="172">
        <v>0</v>
      </c>
      <c r="BB70" s="172">
        <v>0</v>
      </c>
      <c r="BC70" s="172">
        <v>224.09051607499998</v>
      </c>
      <c r="BD70" s="172">
        <v>225.15221898000001</v>
      </c>
      <c r="BE70" s="172">
        <v>204.19861785000001</v>
      </c>
      <c r="BF70" s="172">
        <v>173.07546898000001</v>
      </c>
      <c r="BG70" s="172">
        <v>152.68060403499999</v>
      </c>
      <c r="BH70" s="172">
        <v>126.64232372000001</v>
      </c>
      <c r="BI70" s="172">
        <v>129.100819745</v>
      </c>
      <c r="BJ70" s="172">
        <v>121.278134415</v>
      </c>
      <c r="BK70" s="172">
        <v>143.96390293499999</v>
      </c>
      <c r="BL70" s="172">
        <v>185.08891240999998</v>
      </c>
      <c r="BM70" s="172">
        <v>208.041995832</v>
      </c>
      <c r="BN70" s="172">
        <v>231.47552153999999</v>
      </c>
      <c r="BO70" s="172">
        <v>2124.7890365169997</v>
      </c>
      <c r="BP70" s="214">
        <v>2124.7890365169997</v>
      </c>
      <c r="BQ70" s="217">
        <v>2124.7890365169992</v>
      </c>
      <c r="BR70" s="218">
        <v>0</v>
      </c>
      <c r="BS70" s="193"/>
      <c r="BT70" s="172" t="s">
        <v>844</v>
      </c>
      <c r="BV70" s="198">
        <v>0</v>
      </c>
      <c r="BW70" s="198">
        <v>94.937036265482618</v>
      </c>
      <c r="BX70" s="198">
        <v>94.937036265482618</v>
      </c>
      <c r="BY70" s="199" t="s">
        <v>2800</v>
      </c>
      <c r="CA70" s="200">
        <v>2124.7890365169992</v>
      </c>
      <c r="CB70" s="200">
        <v>0</v>
      </c>
      <c r="CC70" s="200">
        <v>2124.7890365169992</v>
      </c>
    </row>
    <row r="71" spans="1:81">
      <c r="B71" s="64" t="s">
        <v>385</v>
      </c>
      <c r="C71" s="64" t="s">
        <v>385</v>
      </c>
      <c r="D71" s="192" t="s">
        <v>497</v>
      </c>
      <c r="E71" s="172">
        <v>0</v>
      </c>
      <c r="F71" s="172">
        <v>0</v>
      </c>
      <c r="G71" s="172">
        <v>0</v>
      </c>
      <c r="H71" s="172">
        <v>0</v>
      </c>
      <c r="I71" s="172">
        <v>0</v>
      </c>
      <c r="J71" s="172">
        <v>0</v>
      </c>
      <c r="K71" s="172">
        <v>0</v>
      </c>
      <c r="L71" s="172">
        <v>0</v>
      </c>
      <c r="M71" s="172">
        <v>0</v>
      </c>
      <c r="N71" s="172">
        <v>0</v>
      </c>
      <c r="O71" s="172">
        <v>0</v>
      </c>
      <c r="P71" s="172">
        <v>0</v>
      </c>
      <c r="Q71" s="172">
        <v>0</v>
      </c>
      <c r="R71" s="172">
        <v>2860.5050000000001</v>
      </c>
      <c r="S71" s="172">
        <v>2824.011</v>
      </c>
      <c r="T71" s="172">
        <v>2569.2249999999999</v>
      </c>
      <c r="U71" s="172">
        <v>2025.1869999999999</v>
      </c>
      <c r="V71" s="172">
        <v>1825.143</v>
      </c>
      <c r="W71" s="172">
        <v>1423.028</v>
      </c>
      <c r="X71" s="172">
        <v>1538.5940000000001</v>
      </c>
      <c r="Y71" s="172">
        <v>1427.0830000000001</v>
      </c>
      <c r="Z71" s="172">
        <v>1798.7860000000001</v>
      </c>
      <c r="AA71" s="172">
        <v>2396.2139999999999</v>
      </c>
      <c r="AB71" s="172">
        <v>2569.2249999999999</v>
      </c>
      <c r="AC71" s="172">
        <v>2918.6260000000002</v>
      </c>
      <c r="AD71" s="172"/>
      <c r="AE71" s="172">
        <v>26175.627</v>
      </c>
      <c r="AF71" s="172"/>
      <c r="AG71" s="193"/>
      <c r="AH71" s="181" t="e">
        <f>AE71-#REF!</f>
        <v>#REF!</v>
      </c>
      <c r="AI71" s="181" t="e">
        <f t="shared" si="1"/>
        <v>#REF!</v>
      </c>
      <c r="AJ71" s="207" t="s">
        <v>2731</v>
      </c>
      <c r="AM71" s="64" t="s">
        <v>385</v>
      </c>
      <c r="AN71" s="64" t="s">
        <v>385</v>
      </c>
      <c r="AO71" s="192" t="s">
        <v>497</v>
      </c>
      <c r="AP71" s="172">
        <v>0</v>
      </c>
      <c r="AQ71" s="172">
        <v>0</v>
      </c>
      <c r="AR71" s="172">
        <v>0</v>
      </c>
      <c r="AS71" s="172">
        <v>0</v>
      </c>
      <c r="AT71" s="172">
        <v>0</v>
      </c>
      <c r="AU71" s="172">
        <v>0</v>
      </c>
      <c r="AV71" s="172">
        <v>0</v>
      </c>
      <c r="AW71" s="172">
        <v>0</v>
      </c>
      <c r="AX71" s="172">
        <v>0</v>
      </c>
      <c r="AY71" s="172">
        <v>0</v>
      </c>
      <c r="AZ71" s="172">
        <v>0</v>
      </c>
      <c r="BA71" s="172">
        <v>0</v>
      </c>
      <c r="BB71" s="172">
        <v>0</v>
      </c>
      <c r="BC71" s="172">
        <v>248.85249298000002</v>
      </c>
      <c r="BD71" s="172">
        <v>245.67766095600001</v>
      </c>
      <c r="BE71" s="172">
        <v>223.51229810000001</v>
      </c>
      <c r="BF71" s="172">
        <v>176.183168252</v>
      </c>
      <c r="BG71" s="172">
        <v>158.78014042800001</v>
      </c>
      <c r="BH71" s="172">
        <v>123.797743888</v>
      </c>
      <c r="BI71" s="172">
        <v>133.85152362399998</v>
      </c>
      <c r="BJ71" s="172">
        <v>124.15051266799999</v>
      </c>
      <c r="BK71" s="172">
        <v>156.48718685599999</v>
      </c>
      <c r="BL71" s="172">
        <v>208.461033144</v>
      </c>
      <c r="BM71" s="172">
        <v>226.41809157500001</v>
      </c>
      <c r="BN71" s="172">
        <v>257.20975350200001</v>
      </c>
      <c r="BO71" s="172">
        <v>2283.3816059730002</v>
      </c>
      <c r="BP71" s="214">
        <v>2283.3816059730002</v>
      </c>
      <c r="BQ71" s="217">
        <v>2283.3816059730002</v>
      </c>
      <c r="BR71" s="218">
        <v>0</v>
      </c>
      <c r="BS71" s="193"/>
      <c r="BT71" s="172" t="s">
        <v>844</v>
      </c>
      <c r="BV71" s="198">
        <v>0</v>
      </c>
      <c r="BW71" s="198">
        <v>87.233119801600168</v>
      </c>
      <c r="BX71" s="198">
        <v>87.233119801600168</v>
      </c>
      <c r="BY71" s="199" t="s">
        <v>2800</v>
      </c>
      <c r="CA71" s="200">
        <v>2283.3816059730002</v>
      </c>
      <c r="CB71" s="200">
        <v>0</v>
      </c>
      <c r="CC71" s="200">
        <v>2283.3816059730002</v>
      </c>
    </row>
    <row r="72" spans="1:81">
      <c r="B72" s="64" t="s">
        <v>816</v>
      </c>
      <c r="C72" s="64" t="s">
        <v>816</v>
      </c>
      <c r="D72" s="192" t="s">
        <v>815</v>
      </c>
      <c r="E72" s="172">
        <v>0</v>
      </c>
      <c r="F72" s="172">
        <v>0</v>
      </c>
      <c r="G72" s="172">
        <v>0</v>
      </c>
      <c r="H72" s="172">
        <v>0</v>
      </c>
      <c r="I72" s="172">
        <v>0</v>
      </c>
      <c r="J72" s="172">
        <v>0</v>
      </c>
      <c r="K72" s="172">
        <v>0</v>
      </c>
      <c r="L72" s="172">
        <v>0</v>
      </c>
      <c r="M72" s="172">
        <v>0</v>
      </c>
      <c r="N72" s="172">
        <v>0</v>
      </c>
      <c r="O72" s="172">
        <v>0</v>
      </c>
      <c r="P72" s="172">
        <v>0</v>
      </c>
      <c r="Q72" s="172">
        <v>0</v>
      </c>
      <c r="R72" s="172">
        <v>2920.9879999999998</v>
      </c>
      <c r="S72" s="172">
        <v>2831.5990000000002</v>
      </c>
      <c r="T72" s="172">
        <v>2481.165</v>
      </c>
      <c r="U72" s="172">
        <v>2027.0920000000001</v>
      </c>
      <c r="V72" s="172">
        <v>1928.634</v>
      </c>
      <c r="W72" s="172">
        <v>1554.2339999999999</v>
      </c>
      <c r="X72" s="172">
        <v>1581.44</v>
      </c>
      <c r="Y72" s="172">
        <v>1547.7570000000001</v>
      </c>
      <c r="Z72" s="172">
        <v>1782.242</v>
      </c>
      <c r="AA72" s="172">
        <v>2400.8440000000001</v>
      </c>
      <c r="AB72" s="172">
        <v>2630.7959999999998</v>
      </c>
      <c r="AC72" s="172">
        <v>2900.9079999999999</v>
      </c>
      <c r="AD72" s="172"/>
      <c r="AE72" s="172">
        <v>26587.699000000001</v>
      </c>
      <c r="AF72" s="172"/>
      <c r="AG72" s="193"/>
      <c r="AH72" s="181" t="e">
        <f>AE72-#REF!</f>
        <v>#REF!</v>
      </c>
      <c r="AI72" s="181" t="e">
        <f t="shared" si="1"/>
        <v>#REF!</v>
      </c>
      <c r="AJ72" s="207" t="s">
        <v>2731</v>
      </c>
      <c r="AM72" s="64" t="s">
        <v>816</v>
      </c>
      <c r="AN72" s="64" t="s">
        <v>816</v>
      </c>
      <c r="AO72" s="192" t="s">
        <v>815</v>
      </c>
      <c r="AP72" s="172">
        <v>0</v>
      </c>
      <c r="AQ72" s="172">
        <v>0</v>
      </c>
      <c r="AR72" s="172">
        <v>0</v>
      </c>
      <c r="AS72" s="172">
        <v>0</v>
      </c>
      <c r="AT72" s="172">
        <v>0</v>
      </c>
      <c r="AU72" s="172">
        <v>0</v>
      </c>
      <c r="AV72" s="172">
        <v>0</v>
      </c>
      <c r="AW72" s="172">
        <v>0</v>
      </c>
      <c r="AX72" s="172">
        <v>0</v>
      </c>
      <c r="AY72" s="172">
        <v>0</v>
      </c>
      <c r="AZ72" s="172">
        <v>0</v>
      </c>
      <c r="BA72" s="172">
        <v>0</v>
      </c>
      <c r="BB72" s="172">
        <v>0</v>
      </c>
      <c r="BC72" s="172">
        <v>239.67582836399998</v>
      </c>
      <c r="BD72" s="172">
        <v>232.34119274699998</v>
      </c>
      <c r="BE72" s="172">
        <v>203.58703174499999</v>
      </c>
      <c r="BF72" s="172">
        <v>166.32897987600001</v>
      </c>
      <c r="BG72" s="172">
        <v>158.25020560199999</v>
      </c>
      <c r="BH72" s="172">
        <v>127.529562402</v>
      </c>
      <c r="BI72" s="172">
        <v>129.76189632000001</v>
      </c>
      <c r="BJ72" s="172">
        <v>126.99810512099999</v>
      </c>
      <c r="BK72" s="172">
        <v>146.23830282599999</v>
      </c>
      <c r="BL72" s="172">
        <v>196.99645273199999</v>
      </c>
      <c r="BM72" s="172">
        <v>218.67176352000001</v>
      </c>
      <c r="BN72" s="172">
        <v>241.12347296000002</v>
      </c>
      <c r="BO72" s="172">
        <v>2187.502794215</v>
      </c>
      <c r="BP72" s="214">
        <v>2187.502794215</v>
      </c>
      <c r="BQ72" s="217">
        <v>2187.502794215</v>
      </c>
      <c r="BR72" s="218">
        <v>0</v>
      </c>
      <c r="BS72" s="193"/>
      <c r="BT72" s="172" t="s">
        <v>844</v>
      </c>
      <c r="BV72" s="198">
        <v>0</v>
      </c>
      <c r="BW72" s="198">
        <v>82.274994696419569</v>
      </c>
      <c r="BX72" s="198">
        <v>82.274994696419569</v>
      </c>
      <c r="BY72" s="199" t="s">
        <v>2800</v>
      </c>
      <c r="CA72" s="200">
        <v>2187.502794215</v>
      </c>
      <c r="CB72" s="200">
        <v>0</v>
      </c>
      <c r="CC72" s="200">
        <v>2187.502794215</v>
      </c>
    </row>
    <row r="73" spans="1:81" s="4" customFormat="1">
      <c r="A73" s="63"/>
      <c r="B73" s="63" t="s">
        <v>817</v>
      </c>
      <c r="C73" s="63" t="s">
        <v>817</v>
      </c>
      <c r="D73" s="192" t="s">
        <v>818</v>
      </c>
      <c r="E73" s="172">
        <v>0</v>
      </c>
      <c r="F73" s="172">
        <v>0</v>
      </c>
      <c r="G73" s="172">
        <v>0</v>
      </c>
      <c r="H73" s="172">
        <v>0</v>
      </c>
      <c r="I73" s="172">
        <v>0</v>
      </c>
      <c r="J73" s="172">
        <v>0</v>
      </c>
      <c r="K73" s="172">
        <v>0</v>
      </c>
      <c r="L73" s="172">
        <v>0</v>
      </c>
      <c r="M73" s="172">
        <v>0</v>
      </c>
      <c r="N73" s="172">
        <v>0</v>
      </c>
      <c r="O73" s="172">
        <v>0</v>
      </c>
      <c r="P73" s="172">
        <v>0</v>
      </c>
      <c r="Q73" s="172">
        <v>0</v>
      </c>
      <c r="R73" s="172">
        <v>0</v>
      </c>
      <c r="S73" s="172">
        <v>0</v>
      </c>
      <c r="T73" s="172">
        <v>0</v>
      </c>
      <c r="U73" s="172">
        <v>0</v>
      </c>
      <c r="V73" s="172">
        <v>0</v>
      </c>
      <c r="W73" s="172">
        <v>0</v>
      </c>
      <c r="X73" s="172">
        <v>0</v>
      </c>
      <c r="Y73" s="172">
        <v>0</v>
      </c>
      <c r="Z73" s="172">
        <v>0</v>
      </c>
      <c r="AA73" s="172">
        <v>0</v>
      </c>
      <c r="AB73" s="172">
        <v>0</v>
      </c>
      <c r="AC73" s="172">
        <v>0</v>
      </c>
      <c r="AD73" s="172"/>
      <c r="AE73" s="172">
        <v>0</v>
      </c>
      <c r="AF73" s="172"/>
      <c r="AG73" s="193"/>
      <c r="AH73" s="181" t="e">
        <f>AE73-#REF!</f>
        <v>#REF!</v>
      </c>
      <c r="AI73" s="181" t="e">
        <f t="shared" si="1"/>
        <v>#REF!</v>
      </c>
      <c r="AJ73" s="172" t="s">
        <v>2627</v>
      </c>
      <c r="AL73" s="63"/>
      <c r="AM73" s="63" t="s">
        <v>817</v>
      </c>
      <c r="AN73" s="63" t="s">
        <v>817</v>
      </c>
      <c r="AO73" s="192" t="s">
        <v>818</v>
      </c>
      <c r="AP73" s="172">
        <v>0</v>
      </c>
      <c r="AQ73" s="172">
        <v>0</v>
      </c>
      <c r="AR73" s="172">
        <v>0</v>
      </c>
      <c r="AS73" s="172">
        <v>0</v>
      </c>
      <c r="AT73" s="172">
        <v>0</v>
      </c>
      <c r="AU73" s="172">
        <v>0</v>
      </c>
      <c r="AV73" s="172">
        <v>0</v>
      </c>
      <c r="AW73" s="172">
        <v>0</v>
      </c>
      <c r="AX73" s="172">
        <v>0</v>
      </c>
      <c r="AY73" s="172">
        <v>0</v>
      </c>
      <c r="AZ73" s="172">
        <v>0</v>
      </c>
      <c r="BA73" s="172">
        <v>0</v>
      </c>
      <c r="BB73" s="172">
        <v>0</v>
      </c>
      <c r="BC73" s="172">
        <v>0</v>
      </c>
      <c r="BD73" s="172">
        <v>0</v>
      </c>
      <c r="BE73" s="172">
        <v>0</v>
      </c>
      <c r="BF73" s="172">
        <v>0</v>
      </c>
      <c r="BG73" s="172">
        <v>0</v>
      </c>
      <c r="BH73" s="172">
        <v>0</v>
      </c>
      <c r="BI73" s="172">
        <v>0</v>
      </c>
      <c r="BJ73" s="172">
        <v>0</v>
      </c>
      <c r="BK73" s="172">
        <v>0</v>
      </c>
      <c r="BL73" s="172">
        <v>0</v>
      </c>
      <c r="BM73" s="172">
        <v>0</v>
      </c>
      <c r="BN73" s="172">
        <v>0</v>
      </c>
      <c r="BO73" s="172">
        <v>0</v>
      </c>
      <c r="BP73" s="214">
        <v>0</v>
      </c>
      <c r="BQ73" s="217">
        <v>0</v>
      </c>
      <c r="BR73" s="218">
        <v>0</v>
      </c>
      <c r="BS73" s="193"/>
      <c r="BT73" s="172"/>
      <c r="BV73" s="198">
        <v>0</v>
      </c>
      <c r="BW73" s="198">
        <v>0</v>
      </c>
      <c r="BX73" s="198">
        <v>0</v>
      </c>
      <c r="BY73" s="199" t="s">
        <v>2800</v>
      </c>
      <c r="CA73" s="200">
        <v>0</v>
      </c>
      <c r="CB73" s="200">
        <v>0</v>
      </c>
      <c r="CC73" s="200">
        <v>0</v>
      </c>
    </row>
    <row r="74" spans="1:81">
      <c r="B74" s="64" t="s">
        <v>820</v>
      </c>
      <c r="C74" s="107" t="s">
        <v>820</v>
      </c>
      <c r="D74" s="192" t="s">
        <v>819</v>
      </c>
      <c r="E74" s="183">
        <v>0</v>
      </c>
      <c r="F74" s="183">
        <v>0</v>
      </c>
      <c r="G74" s="183">
        <v>0</v>
      </c>
      <c r="H74" s="183">
        <v>0</v>
      </c>
      <c r="I74" s="183">
        <v>0</v>
      </c>
      <c r="J74" s="183">
        <v>0</v>
      </c>
      <c r="K74" s="172">
        <v>0</v>
      </c>
      <c r="L74" s="172">
        <v>0</v>
      </c>
      <c r="M74" s="172">
        <v>0</v>
      </c>
      <c r="N74" s="172">
        <v>0</v>
      </c>
      <c r="O74" s="172">
        <v>0</v>
      </c>
      <c r="P74" s="172">
        <v>0</v>
      </c>
      <c r="Q74" s="172">
        <v>0</v>
      </c>
      <c r="R74" s="183">
        <v>0</v>
      </c>
      <c r="S74" s="183">
        <v>0</v>
      </c>
      <c r="T74" s="183">
        <v>0</v>
      </c>
      <c r="U74" s="183">
        <v>0</v>
      </c>
      <c r="V74" s="183">
        <v>0</v>
      </c>
      <c r="W74" s="183">
        <v>0</v>
      </c>
      <c r="X74" s="172">
        <v>1703.877</v>
      </c>
      <c r="Y74" s="172">
        <v>1700.1859999999999</v>
      </c>
      <c r="Z74" s="172">
        <v>2146.7959999999998</v>
      </c>
      <c r="AA74" s="172">
        <v>3221.7950000000001</v>
      </c>
      <c r="AB74" s="172">
        <v>3495.8510000000001</v>
      </c>
      <c r="AC74" s="172">
        <v>3838.19</v>
      </c>
      <c r="AD74" s="172"/>
      <c r="AE74" s="172">
        <v>16106.695</v>
      </c>
      <c r="AF74" s="172"/>
      <c r="AG74" s="193"/>
      <c r="AH74" s="181" t="e">
        <f>AE74-#REF!</f>
        <v>#REF!</v>
      </c>
      <c r="AI74" s="181" t="e">
        <f t="shared" si="1"/>
        <v>#REF!</v>
      </c>
      <c r="AJ74" s="172" t="s">
        <v>2730</v>
      </c>
      <c r="AM74" s="64" t="s">
        <v>820</v>
      </c>
      <c r="AN74" s="107" t="s">
        <v>820</v>
      </c>
      <c r="AO74" s="192" t="s">
        <v>819</v>
      </c>
      <c r="AP74" s="183">
        <v>0</v>
      </c>
      <c r="AQ74" s="183">
        <v>0</v>
      </c>
      <c r="AR74" s="183">
        <v>0</v>
      </c>
      <c r="AS74" s="183">
        <v>0</v>
      </c>
      <c r="AT74" s="183">
        <v>0</v>
      </c>
      <c r="AU74" s="183">
        <v>0</v>
      </c>
      <c r="AV74" s="172">
        <v>0</v>
      </c>
      <c r="AW74" s="172">
        <v>0</v>
      </c>
      <c r="AX74" s="172">
        <v>0</v>
      </c>
      <c r="AY74" s="172">
        <v>0</v>
      </c>
      <c r="AZ74" s="172">
        <v>0</v>
      </c>
      <c r="BA74" s="172">
        <v>0</v>
      </c>
      <c r="BB74" s="172">
        <v>0</v>
      </c>
      <c r="BC74" s="183">
        <v>0</v>
      </c>
      <c r="BD74" s="183">
        <v>0</v>
      </c>
      <c r="BE74" s="183">
        <v>0</v>
      </c>
      <c r="BF74" s="183">
        <v>0</v>
      </c>
      <c r="BG74" s="183">
        <v>0</v>
      </c>
      <c r="BH74" s="183">
        <v>0</v>
      </c>
      <c r="BI74" s="172">
        <v>127.4499996</v>
      </c>
      <c r="BJ74" s="172">
        <v>127.17391280000001</v>
      </c>
      <c r="BK74" s="172">
        <v>160.58034080000002</v>
      </c>
      <c r="BL74" s="172">
        <v>240.99026599999999</v>
      </c>
      <c r="BM74" s="172">
        <v>261.48965479999998</v>
      </c>
      <c r="BN74" s="172">
        <v>287.09661200000005</v>
      </c>
      <c r="BO74" s="172">
        <v>1204.780786</v>
      </c>
      <c r="BP74" s="214">
        <v>1204.780786</v>
      </c>
      <c r="BQ74" s="217">
        <v>1204.780786</v>
      </c>
      <c r="BR74" s="218">
        <v>0</v>
      </c>
      <c r="BS74" s="193"/>
      <c r="BT74" s="172"/>
      <c r="BV74" s="198">
        <v>0</v>
      </c>
      <c r="BW74" s="198">
        <v>74.800000000000011</v>
      </c>
      <c r="BX74" s="198">
        <v>74.800000000000011</v>
      </c>
      <c r="BY74" s="199" t="s">
        <v>2800</v>
      </c>
      <c r="CA74" s="200">
        <v>1204.780786</v>
      </c>
      <c r="CB74" s="200">
        <v>0</v>
      </c>
      <c r="CC74" s="200">
        <v>1204.780786</v>
      </c>
    </row>
    <row r="75" spans="1:81">
      <c r="B75" s="64" t="s">
        <v>822</v>
      </c>
      <c r="C75" s="107" t="s">
        <v>822</v>
      </c>
      <c r="D75" s="192" t="s">
        <v>821</v>
      </c>
      <c r="E75" s="183">
        <v>0</v>
      </c>
      <c r="F75" s="183">
        <v>0</v>
      </c>
      <c r="G75" s="183">
        <v>0</v>
      </c>
      <c r="H75" s="183">
        <v>0</v>
      </c>
      <c r="I75" s="183">
        <v>0</v>
      </c>
      <c r="J75" s="183">
        <v>0</v>
      </c>
      <c r="K75" s="183">
        <v>0</v>
      </c>
      <c r="L75" s="183">
        <v>0</v>
      </c>
      <c r="M75" s="172">
        <v>0</v>
      </c>
      <c r="N75" s="172">
        <v>0</v>
      </c>
      <c r="O75" s="172">
        <v>0</v>
      </c>
      <c r="P75" s="172">
        <v>0</v>
      </c>
      <c r="Q75" s="172">
        <v>0</v>
      </c>
      <c r="R75" s="183">
        <v>0</v>
      </c>
      <c r="S75" s="183">
        <v>0</v>
      </c>
      <c r="T75" s="183">
        <v>0</v>
      </c>
      <c r="U75" s="183">
        <v>0</v>
      </c>
      <c r="V75" s="183">
        <v>0</v>
      </c>
      <c r="W75" s="183">
        <v>0</v>
      </c>
      <c r="X75" s="183">
        <v>0</v>
      </c>
      <c r="Y75" s="183">
        <v>0</v>
      </c>
      <c r="Z75" s="172">
        <v>5059.4539999999997</v>
      </c>
      <c r="AA75" s="172">
        <v>6919.4089999999997</v>
      </c>
      <c r="AB75" s="172">
        <v>7544.88</v>
      </c>
      <c r="AC75" s="172">
        <v>8190.1040000000003</v>
      </c>
      <c r="AD75" s="172"/>
      <c r="AE75" s="172">
        <v>27713.847000000002</v>
      </c>
      <c r="AF75" s="172"/>
      <c r="AG75" s="193"/>
      <c r="AH75" s="181" t="e">
        <f>AE75-#REF!</f>
        <v>#REF!</v>
      </c>
      <c r="AI75" s="181" t="e">
        <f t="shared" si="1"/>
        <v>#REF!</v>
      </c>
      <c r="AJ75" s="172" t="s">
        <v>2730</v>
      </c>
      <c r="AM75" s="64" t="s">
        <v>822</v>
      </c>
      <c r="AN75" s="107" t="s">
        <v>822</v>
      </c>
      <c r="AO75" s="192" t="s">
        <v>821</v>
      </c>
      <c r="AP75" s="183">
        <v>0</v>
      </c>
      <c r="AQ75" s="183">
        <v>0</v>
      </c>
      <c r="AR75" s="183">
        <v>0</v>
      </c>
      <c r="AS75" s="183">
        <v>0</v>
      </c>
      <c r="AT75" s="183">
        <v>0</v>
      </c>
      <c r="AU75" s="183">
        <v>0</v>
      </c>
      <c r="AV75" s="183">
        <v>0</v>
      </c>
      <c r="AW75" s="183">
        <v>0</v>
      </c>
      <c r="AX75" s="172">
        <v>0</v>
      </c>
      <c r="AY75" s="172">
        <v>0</v>
      </c>
      <c r="AZ75" s="172">
        <v>0</v>
      </c>
      <c r="BA75" s="172">
        <v>0</v>
      </c>
      <c r="BB75" s="172">
        <v>0</v>
      </c>
      <c r="BC75" s="183">
        <v>0</v>
      </c>
      <c r="BD75" s="183">
        <v>0</v>
      </c>
      <c r="BE75" s="183">
        <v>0</v>
      </c>
      <c r="BF75" s="183">
        <v>0</v>
      </c>
      <c r="BG75" s="183">
        <v>0</v>
      </c>
      <c r="BH75" s="183">
        <v>0</v>
      </c>
      <c r="BI75" s="183">
        <v>0</v>
      </c>
      <c r="BJ75" s="183">
        <v>0</v>
      </c>
      <c r="BK75" s="172">
        <v>409.66399037999997</v>
      </c>
      <c r="BL75" s="172">
        <v>560.26454672999989</v>
      </c>
      <c r="BM75" s="172">
        <v>610.90893359999995</v>
      </c>
      <c r="BN75" s="172">
        <v>663.15272088000006</v>
      </c>
      <c r="BO75" s="172">
        <v>2243.99019159</v>
      </c>
      <c r="BP75" s="214">
        <v>2243.99019159</v>
      </c>
      <c r="BQ75" s="217">
        <v>2243.99019159</v>
      </c>
      <c r="BR75" s="218">
        <v>0</v>
      </c>
      <c r="BS75" s="193"/>
      <c r="BT75" s="172"/>
      <c r="BV75" s="198">
        <v>0</v>
      </c>
      <c r="BW75" s="198">
        <v>80.97</v>
      </c>
      <c r="BX75" s="198">
        <v>80.97</v>
      </c>
      <c r="BY75" s="199" t="s">
        <v>2800</v>
      </c>
      <c r="CA75" s="200">
        <v>2243.99019159</v>
      </c>
      <c r="CB75" s="200">
        <v>0</v>
      </c>
      <c r="CC75" s="200">
        <v>2243.99019159</v>
      </c>
    </row>
    <row r="76" spans="1:81">
      <c r="B76" s="64" t="s">
        <v>824</v>
      </c>
      <c r="C76" s="107" t="s">
        <v>824</v>
      </c>
      <c r="D76" s="192" t="s">
        <v>2639</v>
      </c>
      <c r="E76" s="183">
        <v>0</v>
      </c>
      <c r="F76" s="183">
        <v>0</v>
      </c>
      <c r="G76" s="183">
        <v>0</v>
      </c>
      <c r="H76" s="183">
        <v>0</v>
      </c>
      <c r="I76" s="183">
        <v>0</v>
      </c>
      <c r="J76" s="183">
        <v>0</v>
      </c>
      <c r="K76" s="172">
        <v>0</v>
      </c>
      <c r="L76" s="172">
        <v>0</v>
      </c>
      <c r="M76" s="172">
        <v>0</v>
      </c>
      <c r="N76" s="172">
        <v>0</v>
      </c>
      <c r="O76" s="172">
        <v>0</v>
      </c>
      <c r="P76" s="172">
        <v>0</v>
      </c>
      <c r="Q76" s="172">
        <v>0</v>
      </c>
      <c r="R76" s="183">
        <v>0</v>
      </c>
      <c r="S76" s="183">
        <v>0</v>
      </c>
      <c r="T76" s="183">
        <v>0</v>
      </c>
      <c r="U76" s="183">
        <v>0</v>
      </c>
      <c r="V76" s="183">
        <v>0</v>
      </c>
      <c r="W76" s="183">
        <v>0</v>
      </c>
      <c r="X76" s="172">
        <v>2844.8850000000002</v>
      </c>
      <c r="Y76" s="172">
        <v>2835.6120000000001</v>
      </c>
      <c r="Z76" s="172">
        <v>3475.4490000000001</v>
      </c>
      <c r="AA76" s="172">
        <v>4993.5720000000001</v>
      </c>
      <c r="AB76" s="172">
        <v>5371.116</v>
      </c>
      <c r="AC76" s="172">
        <v>5850.6620000000003</v>
      </c>
      <c r="AD76" s="172"/>
      <c r="AE76" s="172">
        <v>25371.295999999998</v>
      </c>
      <c r="AF76" s="172"/>
      <c r="AG76" s="193"/>
      <c r="AH76" s="181" t="e">
        <f>AE76-#REF!</f>
        <v>#REF!</v>
      </c>
      <c r="AI76" s="181" t="e">
        <f t="shared" si="1"/>
        <v>#REF!</v>
      </c>
      <c r="AJ76" s="172" t="s">
        <v>2730</v>
      </c>
      <c r="AM76" s="64" t="s">
        <v>824</v>
      </c>
      <c r="AN76" s="107" t="s">
        <v>824</v>
      </c>
      <c r="AO76" s="192" t="s">
        <v>2639</v>
      </c>
      <c r="AP76" s="183">
        <v>0</v>
      </c>
      <c r="AQ76" s="183">
        <v>0</v>
      </c>
      <c r="AR76" s="183">
        <v>0</v>
      </c>
      <c r="AS76" s="183">
        <v>0</v>
      </c>
      <c r="AT76" s="183">
        <v>0</v>
      </c>
      <c r="AU76" s="183">
        <v>0</v>
      </c>
      <c r="AV76" s="172">
        <v>0</v>
      </c>
      <c r="AW76" s="172">
        <v>0</v>
      </c>
      <c r="AX76" s="172">
        <v>0</v>
      </c>
      <c r="AY76" s="172">
        <v>0</v>
      </c>
      <c r="AZ76" s="172">
        <v>0</v>
      </c>
      <c r="BA76" s="172">
        <v>0</v>
      </c>
      <c r="BB76" s="172">
        <v>0</v>
      </c>
      <c r="BC76" s="183">
        <v>0</v>
      </c>
      <c r="BD76" s="183">
        <v>0</v>
      </c>
      <c r="BE76" s="183">
        <v>0</v>
      </c>
      <c r="BF76" s="183">
        <v>0</v>
      </c>
      <c r="BG76" s="183">
        <v>0</v>
      </c>
      <c r="BH76" s="183">
        <v>0</v>
      </c>
      <c r="BI76" s="172">
        <v>230.35033845000001</v>
      </c>
      <c r="BJ76" s="172">
        <v>229.59950364000002</v>
      </c>
      <c r="BK76" s="172">
        <v>281.40710553000002</v>
      </c>
      <c r="BL76" s="172">
        <v>404.32952484000003</v>
      </c>
      <c r="BM76" s="172">
        <v>434.89926251999998</v>
      </c>
      <c r="BN76" s="172">
        <v>473.72810213999998</v>
      </c>
      <c r="BO76" s="172">
        <v>2054.3138371200002</v>
      </c>
      <c r="BP76" s="214">
        <v>2054.3138371200002</v>
      </c>
      <c r="BQ76" s="217">
        <v>2054.3138371200002</v>
      </c>
      <c r="BR76" s="218">
        <v>0</v>
      </c>
      <c r="BS76" s="193"/>
      <c r="BT76" s="172"/>
      <c r="BV76" s="198">
        <v>0</v>
      </c>
      <c r="BW76" s="198">
        <v>80.970000000000013</v>
      </c>
      <c r="BX76" s="198">
        <v>80.970000000000013</v>
      </c>
      <c r="BY76" s="199" t="s">
        <v>2800</v>
      </c>
      <c r="CA76" s="200">
        <v>2054.3138371200002</v>
      </c>
      <c r="CB76" s="200">
        <v>0</v>
      </c>
      <c r="CC76" s="200">
        <v>2054.3138371200002</v>
      </c>
    </row>
    <row r="77" spans="1:81">
      <c r="B77" s="64" t="s">
        <v>826</v>
      </c>
      <c r="C77" s="107" t="s">
        <v>826</v>
      </c>
      <c r="D77" s="192" t="s">
        <v>2640</v>
      </c>
      <c r="E77" s="183">
        <v>0</v>
      </c>
      <c r="F77" s="172">
        <v>0</v>
      </c>
      <c r="G77" s="172">
        <v>0</v>
      </c>
      <c r="H77" s="172">
        <v>0</v>
      </c>
      <c r="I77" s="172">
        <v>0</v>
      </c>
      <c r="J77" s="172">
        <v>0</v>
      </c>
      <c r="K77" s="172">
        <v>0</v>
      </c>
      <c r="L77" s="172">
        <v>0</v>
      </c>
      <c r="M77" s="172">
        <v>0</v>
      </c>
      <c r="N77" s="172">
        <v>0</v>
      </c>
      <c r="O77" s="172">
        <v>0</v>
      </c>
      <c r="P77" s="172">
        <v>0</v>
      </c>
      <c r="Q77" s="172">
        <v>0</v>
      </c>
      <c r="R77" s="183">
        <v>0</v>
      </c>
      <c r="S77" s="172">
        <v>6587.0720000000001</v>
      </c>
      <c r="T77" s="172">
        <v>5745.1540000000005</v>
      </c>
      <c r="U77" s="172">
        <v>4702.3720000000003</v>
      </c>
      <c r="V77" s="172">
        <v>4470.1670000000004</v>
      </c>
      <c r="W77" s="172">
        <v>3717.9969999999998</v>
      </c>
      <c r="X77" s="172">
        <v>3730.8180000000002</v>
      </c>
      <c r="Y77" s="172">
        <v>3698.0529999999999</v>
      </c>
      <c r="Z77" s="172">
        <v>4257.9070000000002</v>
      </c>
      <c r="AA77" s="172">
        <v>5716.6620000000003</v>
      </c>
      <c r="AB77" s="172">
        <v>6219.5339999999997</v>
      </c>
      <c r="AC77" s="172">
        <v>6852.0410000000002</v>
      </c>
      <c r="AD77" s="172"/>
      <c r="AE77" s="172">
        <v>55697.777000000002</v>
      </c>
      <c r="AF77" s="172"/>
      <c r="AG77" s="193"/>
      <c r="AH77" s="181" t="e">
        <f>AE77-#REF!</f>
        <v>#REF!</v>
      </c>
      <c r="AI77" s="181" t="e">
        <f t="shared" si="1"/>
        <v>#REF!</v>
      </c>
      <c r="AJ77" s="172" t="s">
        <v>2730</v>
      </c>
      <c r="AM77" s="64" t="s">
        <v>826</v>
      </c>
      <c r="AN77" s="107" t="s">
        <v>826</v>
      </c>
      <c r="AO77" s="192" t="s">
        <v>2640</v>
      </c>
      <c r="AP77" s="183">
        <v>0</v>
      </c>
      <c r="AQ77" s="172">
        <v>0</v>
      </c>
      <c r="AR77" s="172">
        <v>0</v>
      </c>
      <c r="AS77" s="172">
        <v>0</v>
      </c>
      <c r="AT77" s="172">
        <v>0</v>
      </c>
      <c r="AU77" s="172">
        <v>0</v>
      </c>
      <c r="AV77" s="172">
        <v>0</v>
      </c>
      <c r="AW77" s="172">
        <v>0</v>
      </c>
      <c r="AX77" s="172">
        <v>0</v>
      </c>
      <c r="AY77" s="172">
        <v>0</v>
      </c>
      <c r="AZ77" s="172">
        <v>0</v>
      </c>
      <c r="BA77" s="172">
        <v>0</v>
      </c>
      <c r="BB77" s="172">
        <v>0</v>
      </c>
      <c r="BC77" s="183">
        <v>0</v>
      </c>
      <c r="BD77" s="172">
        <v>533.35521984000002</v>
      </c>
      <c r="BE77" s="172">
        <v>465.18511938</v>
      </c>
      <c r="BF77" s="172">
        <v>380.75106083999998</v>
      </c>
      <c r="BG77" s="172">
        <v>361.94942199000002</v>
      </c>
      <c r="BH77" s="172">
        <v>301.04621708999997</v>
      </c>
      <c r="BI77" s="172">
        <v>302.08433345999998</v>
      </c>
      <c r="BJ77" s="172">
        <v>299.43135140999999</v>
      </c>
      <c r="BK77" s="172">
        <v>344.76272979000004</v>
      </c>
      <c r="BL77" s="172">
        <v>462.87812214000002</v>
      </c>
      <c r="BM77" s="172">
        <v>503.59566798000003</v>
      </c>
      <c r="BN77" s="172">
        <v>554.80975977000003</v>
      </c>
      <c r="BO77" s="172">
        <v>4509.8490036900012</v>
      </c>
      <c r="BP77" s="214">
        <v>4509.8490036900012</v>
      </c>
      <c r="BQ77" s="217">
        <v>4509.8490036900002</v>
      </c>
      <c r="BR77" s="218">
        <v>0</v>
      </c>
      <c r="BS77" s="193"/>
      <c r="BT77" s="172"/>
      <c r="BV77" s="198">
        <v>0</v>
      </c>
      <c r="BW77" s="198">
        <v>80.970000000000013</v>
      </c>
      <c r="BX77" s="198">
        <v>80.970000000000013</v>
      </c>
      <c r="BY77" s="199" t="s">
        <v>2800</v>
      </c>
      <c r="CA77" s="200">
        <v>4509.8490036900002</v>
      </c>
      <c r="CB77" s="200">
        <v>0</v>
      </c>
      <c r="CC77" s="200">
        <v>4509.8490036900002</v>
      </c>
    </row>
    <row r="78" spans="1:81">
      <c r="B78" s="64" t="s">
        <v>499</v>
      </c>
      <c r="C78" s="64" t="s">
        <v>499</v>
      </c>
      <c r="D78" s="192" t="s">
        <v>842</v>
      </c>
      <c r="E78" s="172">
        <v>829.68499999999995</v>
      </c>
      <c r="F78" s="172">
        <v>1079.5899999999999</v>
      </c>
      <c r="G78" s="172">
        <v>1489.4349999999999</v>
      </c>
      <c r="H78" s="172">
        <v>1479.4380000000001</v>
      </c>
      <c r="I78" s="172">
        <v>1649.374</v>
      </c>
      <c r="J78" s="172">
        <v>1739.34</v>
      </c>
      <c r="K78" s="172">
        <v>1839.3019999999999</v>
      </c>
      <c r="L78" s="172">
        <v>1719.347</v>
      </c>
      <c r="M78" s="172">
        <v>1399.4690000000001</v>
      </c>
      <c r="N78" s="172">
        <v>1119.575</v>
      </c>
      <c r="O78" s="172">
        <v>793.69899999999996</v>
      </c>
      <c r="P78" s="172">
        <v>654.80100000000004</v>
      </c>
      <c r="Q78" s="172">
        <v>15793.055</v>
      </c>
      <c r="R78" s="172">
        <v>823.87699999999995</v>
      </c>
      <c r="S78" s="172">
        <v>1072.0329999999999</v>
      </c>
      <c r="T78" s="172">
        <v>1479.009</v>
      </c>
      <c r="U78" s="172">
        <v>1469.0820000000001</v>
      </c>
      <c r="V78" s="172">
        <v>1637.828</v>
      </c>
      <c r="W78" s="172">
        <v>1727.165</v>
      </c>
      <c r="X78" s="172">
        <v>1826.4269999999999</v>
      </c>
      <c r="Y78" s="172">
        <v>1707.3119999999999</v>
      </c>
      <c r="Z78" s="172">
        <v>1389.673</v>
      </c>
      <c r="AA78" s="172">
        <v>1111.7380000000001</v>
      </c>
      <c r="AB78" s="172">
        <v>788.14300000000003</v>
      </c>
      <c r="AC78" s="172">
        <v>650.21699999999998</v>
      </c>
      <c r="AD78" s="172"/>
      <c r="AE78" s="172">
        <v>15682.504000000001</v>
      </c>
      <c r="AF78" s="172"/>
      <c r="AG78" s="193"/>
      <c r="AH78" s="181" t="e">
        <f>AE78-#REF!</f>
        <v>#REF!</v>
      </c>
      <c r="AI78" s="181" t="e">
        <f t="shared" si="1"/>
        <v>#REF!</v>
      </c>
      <c r="AJ78" s="172" t="s">
        <v>2732</v>
      </c>
      <c r="AM78" s="64" t="s">
        <v>499</v>
      </c>
      <c r="AN78" s="64" t="s">
        <v>499</v>
      </c>
      <c r="AO78" s="192" t="s">
        <v>842</v>
      </c>
      <c r="AP78" s="172">
        <v>70.855098999999996</v>
      </c>
      <c r="AQ78" s="172">
        <v>92.19698600000001</v>
      </c>
      <c r="AR78" s="172">
        <v>127.197749</v>
      </c>
      <c r="AS78" s="172">
        <v>126.3440052</v>
      </c>
      <c r="AT78" s="172">
        <v>140.85653959999999</v>
      </c>
      <c r="AU78" s="172">
        <v>148.539636</v>
      </c>
      <c r="AV78" s="172">
        <v>157.07639079999998</v>
      </c>
      <c r="AW78" s="172">
        <v>146.83223379999998</v>
      </c>
      <c r="AX78" s="172">
        <v>81.505074559999997</v>
      </c>
      <c r="AY78" s="172">
        <v>95.611705000000001</v>
      </c>
      <c r="AZ78" s="172">
        <v>68.186681089999993</v>
      </c>
      <c r="BA78" s="172">
        <v>56.25395391</v>
      </c>
      <c r="BB78" s="172">
        <v>1311.45605396</v>
      </c>
      <c r="BC78" s="172">
        <v>72.352878140000001</v>
      </c>
      <c r="BD78" s="172">
        <v>94.145938060000006</v>
      </c>
      <c r="BE78" s="172">
        <v>129.88657037999999</v>
      </c>
      <c r="BF78" s="172">
        <v>129.01478123999999</v>
      </c>
      <c r="BG78" s="172">
        <v>143.83405496</v>
      </c>
      <c r="BH78" s="172">
        <v>151.67963029999999</v>
      </c>
      <c r="BI78" s="172">
        <v>160.39681914000002</v>
      </c>
      <c r="BJ78" s="172">
        <v>149.93613983999998</v>
      </c>
      <c r="BK78" s="172">
        <v>122.04108285999999</v>
      </c>
      <c r="BL78" s="172">
        <v>100.42329354</v>
      </c>
      <c r="BM78" s="172">
        <v>71.192957190000001</v>
      </c>
      <c r="BN78" s="172">
        <v>58.734101609999996</v>
      </c>
      <c r="BO78" s="172">
        <v>1383.6382472600001</v>
      </c>
      <c r="BP78" s="214">
        <v>72.182193300000108</v>
      </c>
      <c r="BQ78" s="217">
        <v>-9.7537097311015835</v>
      </c>
      <c r="BR78" s="218">
        <v>81.935903031101802</v>
      </c>
      <c r="BS78" s="193">
        <v>5.5039734714741551E-2</v>
      </c>
      <c r="BT78" s="172"/>
      <c r="BV78" s="198">
        <v>83.0400485504546</v>
      </c>
      <c r="BW78" s="198">
        <v>88.228145662197818</v>
      </c>
      <c r="BX78" s="198">
        <v>5.1880971117432182</v>
      </c>
      <c r="BY78" s="199">
        <v>6.247704815094085E-2</v>
      </c>
      <c r="CA78" s="200">
        <v>-9.7537097311015835</v>
      </c>
      <c r="CB78" s="200">
        <v>81.935903031101802</v>
      </c>
      <c r="CC78" s="200">
        <v>72.182193300000222</v>
      </c>
    </row>
    <row r="79" spans="1:81">
      <c r="B79" s="64" t="s">
        <v>501</v>
      </c>
      <c r="C79" s="64" t="s">
        <v>501</v>
      </c>
      <c r="D79" s="192" t="s">
        <v>834</v>
      </c>
      <c r="E79" s="172">
        <v>231.77199999999999</v>
      </c>
      <c r="F79" s="172">
        <v>348.827</v>
      </c>
      <c r="G79" s="172">
        <v>533.78800000000001</v>
      </c>
      <c r="H79" s="172">
        <v>603.43299999999999</v>
      </c>
      <c r="I79" s="172">
        <v>667.10299999999995</v>
      </c>
      <c r="J79" s="172">
        <v>686.08299999999997</v>
      </c>
      <c r="K79" s="172">
        <v>689.29700000000003</v>
      </c>
      <c r="L79" s="172">
        <v>696.96500000000003</v>
      </c>
      <c r="M79" s="172">
        <v>601.67600000000004</v>
      </c>
      <c r="N79" s="172">
        <v>489.82900000000001</v>
      </c>
      <c r="O79" s="172">
        <v>271.78800000000001</v>
      </c>
      <c r="P79" s="172">
        <v>281.38900000000001</v>
      </c>
      <c r="Q79" s="172">
        <v>6101.95</v>
      </c>
      <c r="R79" s="172">
        <v>231.51400000000001</v>
      </c>
      <c r="S79" s="172">
        <v>342.26499999999999</v>
      </c>
      <c r="T79" s="172">
        <v>526.12099999999998</v>
      </c>
      <c r="U79" s="172">
        <v>602.81899999999996</v>
      </c>
      <c r="V79" s="172">
        <v>649.76499999999999</v>
      </c>
      <c r="W79" s="172">
        <v>681.88599999999997</v>
      </c>
      <c r="X79" s="172">
        <v>714.84400000000005</v>
      </c>
      <c r="Y79" s="172">
        <v>681.43</v>
      </c>
      <c r="Z79" s="172">
        <v>595.36500000000001</v>
      </c>
      <c r="AA79" s="172">
        <v>494.738</v>
      </c>
      <c r="AB79" s="172">
        <v>280.065</v>
      </c>
      <c r="AC79" s="172">
        <v>272.27699999999999</v>
      </c>
      <c r="AD79" s="172"/>
      <c r="AE79" s="185">
        <v>6073.0889999999999</v>
      </c>
      <c r="AF79" s="172"/>
      <c r="AG79" s="193"/>
      <c r="AH79" s="181" t="e">
        <f>AE79-#REF!</f>
        <v>#REF!</v>
      </c>
      <c r="AI79" s="181" t="e">
        <f t="shared" si="1"/>
        <v>#REF!</v>
      </c>
      <c r="AJ79" s="172" t="s">
        <v>2733</v>
      </c>
      <c r="AM79" s="64" t="s">
        <v>501</v>
      </c>
      <c r="AN79" s="64" t="s">
        <v>501</v>
      </c>
      <c r="AO79" s="192" t="s">
        <v>834</v>
      </c>
      <c r="AP79" s="172">
        <v>77.933335</v>
      </c>
      <c r="AQ79" s="172">
        <v>117.29307875000001</v>
      </c>
      <c r="AR79" s="172">
        <v>179.48621499999999</v>
      </c>
      <c r="AS79" s="172">
        <v>202.90434625</v>
      </c>
      <c r="AT79" s="172">
        <v>224.31338375000001</v>
      </c>
      <c r="AU79" s="172">
        <v>232.08129641000002</v>
      </c>
      <c r="AV79" s="172">
        <v>233.16849619000001</v>
      </c>
      <c r="AW79" s="172">
        <v>235.76235055000001</v>
      </c>
      <c r="AX79" s="172">
        <v>203.52894051999999</v>
      </c>
      <c r="AY79" s="172">
        <v>165.69445582999998</v>
      </c>
      <c r="AZ79" s="172">
        <v>91.937726760000004</v>
      </c>
      <c r="BA79" s="172">
        <v>95.185457030000009</v>
      </c>
      <c r="BB79" s="172">
        <v>2059.2890820399998</v>
      </c>
      <c r="BC79" s="172">
        <v>78.858530194000011</v>
      </c>
      <c r="BD79" s="172">
        <v>116.582646565</v>
      </c>
      <c r="BE79" s="172">
        <v>179.207861141</v>
      </c>
      <c r="BF79" s="172">
        <v>205.332810599</v>
      </c>
      <c r="BG79" s="172">
        <v>221.32360406499998</v>
      </c>
      <c r="BH79" s="172">
        <v>232.26469120599998</v>
      </c>
      <c r="BI79" s="172">
        <v>246.65620735600001</v>
      </c>
      <c r="BJ79" s="172">
        <v>235.12674007000001</v>
      </c>
      <c r="BK79" s="172">
        <v>205.43009788500001</v>
      </c>
      <c r="BL79" s="172">
        <v>170.708852162</v>
      </c>
      <c r="BM79" s="172">
        <v>96.636148184999996</v>
      </c>
      <c r="BN79" s="172">
        <v>93.948906573000002</v>
      </c>
      <c r="BO79" s="172">
        <v>2082.077096001</v>
      </c>
      <c r="BP79" s="214">
        <v>22.788013961000161</v>
      </c>
      <c r="BQ79" s="217">
        <v>-9.8946066931811156</v>
      </c>
      <c r="BR79" s="218">
        <v>32.68262065418152</v>
      </c>
      <c r="BS79" s="193">
        <v>1.1065961627119147E-2</v>
      </c>
      <c r="BT79" s="172"/>
      <c r="BV79" s="198">
        <v>337.48049099714024</v>
      </c>
      <c r="BW79" s="198">
        <v>342.83658546762615</v>
      </c>
      <c r="BX79" s="198">
        <v>5.3560944704859139</v>
      </c>
      <c r="BY79" s="199">
        <v>1.5870826946649489E-2</v>
      </c>
      <c r="CA79" s="200">
        <v>-9.8946066931811156</v>
      </c>
      <c r="CB79" s="200">
        <v>32.68262065418152</v>
      </c>
      <c r="CC79" s="200">
        <v>22.788013961000402</v>
      </c>
    </row>
    <row r="80" spans="1:81" ht="15.75" thickBot="1">
      <c r="B80" s="64" t="s">
        <v>830</v>
      </c>
      <c r="C80" s="64" t="s">
        <v>830</v>
      </c>
      <c r="D80" s="192" t="s">
        <v>831</v>
      </c>
      <c r="E80" s="172">
        <v>7300</v>
      </c>
      <c r="F80" s="172">
        <v>6850</v>
      </c>
      <c r="G80" s="172">
        <v>7200</v>
      </c>
      <c r="H80" s="172">
        <v>0</v>
      </c>
      <c r="I80" s="172">
        <v>0</v>
      </c>
      <c r="J80" s="172">
        <v>0</v>
      </c>
      <c r="K80" s="172">
        <v>0</v>
      </c>
      <c r="L80" s="172">
        <v>0</v>
      </c>
      <c r="M80" s="172">
        <v>0</v>
      </c>
      <c r="N80" s="172">
        <v>0</v>
      </c>
      <c r="O80" s="172">
        <v>7000</v>
      </c>
      <c r="P80" s="172">
        <v>7500</v>
      </c>
      <c r="Q80" s="172">
        <v>35850</v>
      </c>
      <c r="R80" s="172">
        <v>7300</v>
      </c>
      <c r="S80" s="172">
        <v>6850</v>
      </c>
      <c r="T80" s="172">
        <v>7200</v>
      </c>
      <c r="U80" s="172">
        <v>0</v>
      </c>
      <c r="V80" s="172">
        <v>0</v>
      </c>
      <c r="W80" s="172">
        <v>0</v>
      </c>
      <c r="X80" s="172">
        <v>0</v>
      </c>
      <c r="Y80" s="172">
        <v>0</v>
      </c>
      <c r="Z80" s="172">
        <v>0</v>
      </c>
      <c r="AA80" s="172">
        <v>0</v>
      </c>
      <c r="AB80" s="172">
        <v>7000</v>
      </c>
      <c r="AC80" s="172">
        <v>7500</v>
      </c>
      <c r="AD80" s="172"/>
      <c r="AE80" s="172">
        <v>35850</v>
      </c>
      <c r="AF80" s="172"/>
      <c r="AG80" s="193"/>
      <c r="AH80" s="181" t="e">
        <f>AE80-#REF!</f>
        <v>#REF!</v>
      </c>
      <c r="AI80" s="181" t="e">
        <f t="shared" si="1"/>
        <v>#REF!</v>
      </c>
      <c r="AJ80" s="172" t="s">
        <v>2734</v>
      </c>
      <c r="AM80" s="64" t="s">
        <v>830</v>
      </c>
      <c r="AN80" s="64" t="s">
        <v>830</v>
      </c>
      <c r="AO80" s="192" t="s">
        <v>831</v>
      </c>
      <c r="AP80" s="172">
        <v>483.33300000000003</v>
      </c>
      <c r="AQ80" s="172">
        <v>453.5385</v>
      </c>
      <c r="AR80" s="172">
        <v>476.71199999999999</v>
      </c>
      <c r="AS80" s="172">
        <v>0</v>
      </c>
      <c r="AT80" s="172">
        <v>0</v>
      </c>
      <c r="AU80" s="172">
        <v>0</v>
      </c>
      <c r="AV80" s="172">
        <v>0</v>
      </c>
      <c r="AW80" s="172">
        <v>0</v>
      </c>
      <c r="AX80" s="172">
        <v>0</v>
      </c>
      <c r="AY80" s="172">
        <v>0</v>
      </c>
      <c r="AZ80" s="172">
        <v>463.47</v>
      </c>
      <c r="BA80" s="172">
        <v>496.57499999999999</v>
      </c>
      <c r="BB80" s="172">
        <v>2373.6285000000007</v>
      </c>
      <c r="BC80" s="172">
        <v>664.51900000000001</v>
      </c>
      <c r="BD80" s="172">
        <v>623.55550000000005</v>
      </c>
      <c r="BE80" s="172">
        <v>655.41600000000005</v>
      </c>
      <c r="BF80" s="172">
        <v>0</v>
      </c>
      <c r="BG80" s="172">
        <v>0</v>
      </c>
      <c r="BH80" s="172">
        <v>0</v>
      </c>
      <c r="BI80" s="172">
        <v>0</v>
      </c>
      <c r="BJ80" s="172">
        <v>0</v>
      </c>
      <c r="BK80" s="172">
        <v>0</v>
      </c>
      <c r="BL80" s="172">
        <v>0</v>
      </c>
      <c r="BM80" s="172">
        <v>643.51002099999994</v>
      </c>
      <c r="BN80" s="172">
        <v>689.47502249999991</v>
      </c>
      <c r="BO80" s="172">
        <v>3276.4755435000002</v>
      </c>
      <c r="BP80" s="214">
        <v>902.84704349999947</v>
      </c>
      <c r="BQ80" s="217">
        <v>0</v>
      </c>
      <c r="BR80" s="218">
        <v>902.84704349999913</v>
      </c>
      <c r="BS80" s="193">
        <v>0.38036577480427081</v>
      </c>
      <c r="BT80" s="172" t="s">
        <v>2705</v>
      </c>
      <c r="BV80" s="198">
        <v>66.210000000000022</v>
      </c>
      <c r="BW80" s="198">
        <v>91.394017949790793</v>
      </c>
      <c r="BX80" s="198">
        <v>25.184017949790771</v>
      </c>
      <c r="BY80" s="199">
        <v>0.3803657748042707</v>
      </c>
      <c r="CA80" s="200">
        <v>0</v>
      </c>
      <c r="CB80" s="201">
        <v>902.84704349999913</v>
      </c>
      <c r="CC80" s="200">
        <v>902.84704349999913</v>
      </c>
    </row>
    <row r="81" spans="1:81" s="52" customFormat="1" ht="15.75" thickBot="1">
      <c r="A81" s="113"/>
      <c r="B81" s="113"/>
      <c r="C81" s="113"/>
      <c r="D81" s="90" t="s">
        <v>2739</v>
      </c>
      <c r="E81" s="227">
        <v>151492.288</v>
      </c>
      <c r="F81" s="227">
        <v>144235.44499999998</v>
      </c>
      <c r="G81" s="227">
        <v>144024.14800000002</v>
      </c>
      <c r="H81" s="227">
        <v>117559.45200000002</v>
      </c>
      <c r="I81" s="227">
        <v>112703.86600000002</v>
      </c>
      <c r="J81" s="227">
        <v>98420.345999999976</v>
      </c>
      <c r="K81" s="227">
        <v>96713.401000000013</v>
      </c>
      <c r="L81" s="227">
        <v>94873.475999999981</v>
      </c>
      <c r="M81" s="227">
        <v>102437.273</v>
      </c>
      <c r="N81" s="227">
        <v>139222.64300000001</v>
      </c>
      <c r="O81" s="227">
        <v>151751.02699799999</v>
      </c>
      <c r="P81" s="228">
        <v>180255.87400000007</v>
      </c>
      <c r="Q81" s="228"/>
      <c r="R81" s="227">
        <v>221923.12600000002</v>
      </c>
      <c r="S81" s="227">
        <v>215947.10700000002</v>
      </c>
      <c r="T81" s="227">
        <v>201480.23199999996</v>
      </c>
      <c r="U81" s="227">
        <v>161006.48800000004</v>
      </c>
      <c r="V81" s="227">
        <v>152332.19900000002</v>
      </c>
      <c r="W81" s="227">
        <v>126217.292</v>
      </c>
      <c r="X81" s="227">
        <v>128294.92499999996</v>
      </c>
      <c r="Y81" s="227">
        <v>123841.92099999999</v>
      </c>
      <c r="Z81" s="227">
        <v>146020.55099999998</v>
      </c>
      <c r="AA81" s="227">
        <v>193714.68300000008</v>
      </c>
      <c r="AB81" s="227">
        <v>219191.03800000003</v>
      </c>
      <c r="AC81" s="228">
        <v>251425.084</v>
      </c>
      <c r="AD81" s="228"/>
      <c r="AE81" s="228"/>
      <c r="AF81" s="228"/>
      <c r="AG81" s="229"/>
      <c r="AH81" s="228" t="e">
        <f>SUM(AH12:AH80)</f>
        <v>#REF!</v>
      </c>
      <c r="AI81" s="228" t="e">
        <f>SUM(AI12:AI80)</f>
        <v>#REF!</v>
      </c>
      <c r="AJ81" s="228"/>
      <c r="AL81" s="113"/>
      <c r="AM81" s="113"/>
      <c r="AN81" s="113"/>
      <c r="AO81" s="90" t="s">
        <v>2739</v>
      </c>
      <c r="AP81" s="227">
        <v>13262.768004110001</v>
      </c>
      <c r="AQ81" s="227">
        <v>12680.377640790002</v>
      </c>
      <c r="AR81" s="227">
        <v>12603.045378790002</v>
      </c>
      <c r="AS81" s="227">
        <v>10449.04486029</v>
      </c>
      <c r="AT81" s="227">
        <v>10021.558400790002</v>
      </c>
      <c r="AU81" s="227">
        <v>8800.9923530099986</v>
      </c>
      <c r="AV81" s="227">
        <v>8652.258964229999</v>
      </c>
      <c r="AW81" s="227">
        <v>8474.0237929900013</v>
      </c>
      <c r="AX81" s="227">
        <v>9078.8640495600011</v>
      </c>
      <c r="AY81" s="227">
        <v>12274.364171379997</v>
      </c>
      <c r="AZ81" s="227">
        <v>13277.740144095216</v>
      </c>
      <c r="BA81" s="228">
        <v>15732.495146059999</v>
      </c>
      <c r="BB81" s="228">
        <v>135307.53290609521</v>
      </c>
      <c r="BC81" s="227">
        <v>19783.864926544</v>
      </c>
      <c r="BD81" s="227">
        <v>19249.058321294</v>
      </c>
      <c r="BE81" s="227">
        <v>17922.743276281999</v>
      </c>
      <c r="BF81" s="227">
        <v>14324.080626283996</v>
      </c>
      <c r="BG81" s="227">
        <v>13543.433395429003</v>
      </c>
      <c r="BH81" s="227">
        <v>11278.256973506999</v>
      </c>
      <c r="BI81" s="227">
        <v>11403.792730942996</v>
      </c>
      <c r="BJ81" s="227">
        <v>10996.886109003004</v>
      </c>
      <c r="BK81" s="227">
        <v>12873.543523585</v>
      </c>
      <c r="BL81" s="227">
        <v>17029.270462848999</v>
      </c>
      <c r="BM81" s="227">
        <v>19535.951865161001</v>
      </c>
      <c r="BN81" s="228">
        <v>22305.385397860009</v>
      </c>
      <c r="BO81" s="228">
        <v>190246.26760874098</v>
      </c>
      <c r="BP81" s="230">
        <v>54938.734702645772</v>
      </c>
      <c r="BQ81" s="231">
        <v>52467.535203761945</v>
      </c>
      <c r="BR81" s="232">
        <v>2471.1994988838355</v>
      </c>
      <c r="BS81" s="229">
        <v>0.40602864838851072</v>
      </c>
      <c r="BT81" s="228"/>
      <c r="CA81" s="233">
        <v>52467.535203761945</v>
      </c>
      <c r="CB81" s="233">
        <v>2471.1994988838355</v>
      </c>
      <c r="CC81" s="233">
        <v>54938.734702645786</v>
      </c>
    </row>
    <row r="82" spans="1:81">
      <c r="C82" s="113"/>
      <c r="D82" s="237"/>
      <c r="E82" s="194"/>
      <c r="AJ82" s="64"/>
      <c r="BB82" s="241"/>
      <c r="BC82" s="241"/>
      <c r="BD82" s="241"/>
      <c r="BE82" s="241"/>
      <c r="BF82" s="241"/>
      <c r="BG82" s="241"/>
      <c r="BH82" s="241"/>
      <c r="BI82" s="241"/>
      <c r="BJ82" s="241"/>
      <c r="BK82" s="241"/>
      <c r="BL82" s="241"/>
      <c r="BM82" s="241"/>
      <c r="BN82" s="241"/>
      <c r="BO82" s="241"/>
      <c r="BP82" s="241"/>
      <c r="BQ82" s="241"/>
      <c r="BR82" s="241"/>
      <c r="BS82" s="241"/>
      <c r="BT82" s="64"/>
    </row>
    <row r="83" spans="1:81" outlineLevel="1">
      <c r="D83" s="95" t="s">
        <v>2675</v>
      </c>
      <c r="E83" s="96">
        <v>0</v>
      </c>
      <c r="F83" s="96">
        <v>0</v>
      </c>
      <c r="G83" s="96">
        <v>0</v>
      </c>
      <c r="H83" s="96">
        <v>0</v>
      </c>
      <c r="I83" s="96">
        <v>0</v>
      </c>
      <c r="J83" s="96">
        <v>0</v>
      </c>
      <c r="K83" s="96">
        <v>0</v>
      </c>
      <c r="L83" s="96">
        <v>0</v>
      </c>
      <c r="M83" s="96">
        <v>0</v>
      </c>
      <c r="N83" s="96">
        <v>0</v>
      </c>
      <c r="O83" s="96">
        <v>0</v>
      </c>
      <c r="P83" s="96">
        <v>0</v>
      </c>
      <c r="Q83" s="96">
        <v>0</v>
      </c>
      <c r="R83" s="96">
        <v>0</v>
      </c>
      <c r="S83" s="96">
        <v>0</v>
      </c>
      <c r="T83" s="96">
        <v>0</v>
      </c>
      <c r="U83" s="96">
        <v>0</v>
      </c>
      <c r="V83" s="96">
        <v>0</v>
      </c>
      <c r="W83" s="96">
        <v>0</v>
      </c>
      <c r="X83" s="96">
        <v>0</v>
      </c>
      <c r="Y83" s="96">
        <v>0</v>
      </c>
      <c r="Z83" s="96">
        <v>0</v>
      </c>
      <c r="AA83" s="96">
        <v>0</v>
      </c>
      <c r="AB83" s="96">
        <v>0</v>
      </c>
      <c r="AC83" s="96">
        <v>0</v>
      </c>
      <c r="AD83" s="96"/>
      <c r="AE83" s="96">
        <v>0</v>
      </c>
      <c r="AF83" s="96"/>
      <c r="AG83" s="96"/>
      <c r="AH83" s="96"/>
      <c r="AI83" s="96"/>
      <c r="AJ83" s="96"/>
      <c r="AO83" s="95" t="s">
        <v>2692</v>
      </c>
      <c r="AP83" s="96">
        <v>13262.768004109999</v>
      </c>
      <c r="AQ83" s="96">
        <v>12680.377640789997</v>
      </c>
      <c r="AR83" s="96">
        <v>12603.045378790001</v>
      </c>
      <c r="AS83" s="96">
        <v>10449.04486029</v>
      </c>
      <c r="AT83" s="96">
        <v>10021.558400789998</v>
      </c>
      <c r="AU83" s="96">
        <v>8800.9923530100023</v>
      </c>
      <c r="AV83" s="96">
        <v>8652.258964229999</v>
      </c>
      <c r="AW83" s="96">
        <v>8474.0237929900013</v>
      </c>
      <c r="AX83" s="96">
        <v>9078.8640495600011</v>
      </c>
      <c r="AY83" s="96">
        <v>12274.364171380001</v>
      </c>
      <c r="AZ83" s="96">
        <v>13277.74014409522</v>
      </c>
      <c r="BA83" s="96">
        <v>15732.49514606</v>
      </c>
      <c r="BB83" s="96">
        <v>135307.53290609524</v>
      </c>
      <c r="BC83" s="96">
        <v>19783.864926544</v>
      </c>
      <c r="BD83" s="96">
        <v>19249.058321294</v>
      </c>
      <c r="BE83" s="96">
        <v>17922.743276281999</v>
      </c>
      <c r="BF83" s="96">
        <v>14324.080626283998</v>
      </c>
      <c r="BG83" s="96">
        <v>13543.433395429001</v>
      </c>
      <c r="BH83" s="96">
        <v>11278.256973506997</v>
      </c>
      <c r="BI83" s="96">
        <v>11403.792730942998</v>
      </c>
      <c r="BJ83" s="96">
        <v>10996.886109003</v>
      </c>
      <c r="BK83" s="96">
        <v>12873.543523585004</v>
      </c>
      <c r="BL83" s="96">
        <v>17029.270462849003</v>
      </c>
      <c r="BM83" s="96">
        <v>19535.951865160994</v>
      </c>
      <c r="BN83" s="96">
        <v>22305.385397860005</v>
      </c>
      <c r="BO83" s="96">
        <v>190246.26760874101</v>
      </c>
      <c r="BP83" s="96">
        <v>54938.734702645772</v>
      </c>
      <c r="BQ83" s="96"/>
      <c r="BR83" s="96"/>
      <c r="BS83" s="96"/>
      <c r="BT83" s="96"/>
    </row>
    <row r="84" spans="1:81" outlineLevel="1">
      <c r="C84" s="64" t="s">
        <v>2201</v>
      </c>
      <c r="D84" s="187" t="s">
        <v>2676</v>
      </c>
      <c r="E84" s="189">
        <v>1061.4569999999999</v>
      </c>
      <c r="F84" s="189">
        <v>1428.4169999999999</v>
      </c>
      <c r="G84" s="189">
        <v>2023.223</v>
      </c>
      <c r="H84" s="189">
        <v>2082.8710000000001</v>
      </c>
      <c r="I84" s="189">
        <v>2316.4769999999999</v>
      </c>
      <c r="J84" s="189">
        <v>2425.4229999999998</v>
      </c>
      <c r="K84" s="189">
        <v>2528.5990000000002</v>
      </c>
      <c r="L84" s="189">
        <v>2416.3119999999999</v>
      </c>
      <c r="M84" s="189">
        <v>2001.145</v>
      </c>
      <c r="N84" s="189">
        <v>1609.404</v>
      </c>
      <c r="O84" s="189">
        <v>1065.4870000000001</v>
      </c>
      <c r="P84" s="189">
        <v>936.19</v>
      </c>
      <c r="Q84" s="80">
        <v>21895.005000000001</v>
      </c>
      <c r="R84" s="80">
        <v>1055.3910000000001</v>
      </c>
      <c r="S84" s="80">
        <v>1414.2979999999998</v>
      </c>
      <c r="T84" s="80">
        <v>2005.13</v>
      </c>
      <c r="U84" s="80">
        <v>2071.9009999999998</v>
      </c>
      <c r="V84" s="80">
        <v>2287.5929999999998</v>
      </c>
      <c r="W84" s="80">
        <v>2409.0509999999999</v>
      </c>
      <c r="X84" s="80">
        <v>2541.2709999999997</v>
      </c>
      <c r="Y84" s="80">
        <v>2388.7419999999997</v>
      </c>
      <c r="Z84" s="80">
        <v>1985.038</v>
      </c>
      <c r="AA84" s="80">
        <v>1606.4760000000001</v>
      </c>
      <c r="AB84" s="80">
        <v>1068.2080000000001</v>
      </c>
      <c r="AC84" s="80">
        <v>922.49399999999991</v>
      </c>
      <c r="AD84" s="80"/>
      <c r="AE84" s="80">
        <v>21755.593000000001</v>
      </c>
      <c r="AF84" s="189"/>
      <c r="AG84" s="189"/>
      <c r="AH84" s="189"/>
      <c r="AI84" s="189"/>
      <c r="AJ84" s="189"/>
      <c r="AN84" s="64" t="s">
        <v>2201</v>
      </c>
      <c r="AO84" s="187" t="s">
        <v>2648</v>
      </c>
      <c r="AP84" s="80">
        <v>148.788434</v>
      </c>
      <c r="AQ84" s="80">
        <v>209.49006475000002</v>
      </c>
      <c r="AR84" s="80">
        <v>306.683964</v>
      </c>
      <c r="AS84" s="80">
        <v>329.24835144999997</v>
      </c>
      <c r="AT84" s="80">
        <v>365.16992334999998</v>
      </c>
      <c r="AU84" s="80">
        <v>380.62093241000002</v>
      </c>
      <c r="AV84" s="80">
        <v>390.24488699</v>
      </c>
      <c r="AW84" s="80">
        <v>382.59458434999999</v>
      </c>
      <c r="AX84" s="80">
        <v>285.03401508000002</v>
      </c>
      <c r="AY84" s="80">
        <v>261.30616082999995</v>
      </c>
      <c r="AZ84" s="80">
        <v>160.12440785000001</v>
      </c>
      <c r="BA84" s="80">
        <v>151.43941094000002</v>
      </c>
      <c r="BB84" s="80">
        <v>3370.7451359999995</v>
      </c>
      <c r="BC84" s="80">
        <v>151.211408334</v>
      </c>
      <c r="BD84" s="80">
        <v>210.728584625</v>
      </c>
      <c r="BE84" s="80">
        <v>309.09443152099999</v>
      </c>
      <c r="BF84" s="80">
        <v>334.34759183899996</v>
      </c>
      <c r="BG84" s="80">
        <v>365.15765902499999</v>
      </c>
      <c r="BH84" s="80">
        <v>383.94432150599994</v>
      </c>
      <c r="BI84" s="80">
        <v>407.05302649600003</v>
      </c>
      <c r="BJ84" s="80">
        <v>385.06287990999999</v>
      </c>
      <c r="BK84" s="80">
        <v>327.47118074499997</v>
      </c>
      <c r="BL84" s="80">
        <v>271.132145702</v>
      </c>
      <c r="BM84" s="80">
        <v>167.82910537499998</v>
      </c>
      <c r="BN84" s="80">
        <v>152.683008183</v>
      </c>
      <c r="BO84" s="80">
        <v>3465.7153432610003</v>
      </c>
      <c r="BP84" s="80">
        <v>94.970207261000724</v>
      </c>
      <c r="BQ84" s="80"/>
      <c r="BR84" s="80"/>
      <c r="BS84" s="80"/>
      <c r="BT84" s="189"/>
    </row>
    <row r="85" spans="1:81" outlineLevel="1">
      <c r="D85" s="187" t="s">
        <v>2677</v>
      </c>
      <c r="E85" s="189">
        <v>7300</v>
      </c>
      <c r="F85" s="189">
        <v>6850</v>
      </c>
      <c r="G85" s="189">
        <v>7200</v>
      </c>
      <c r="H85" s="189">
        <v>0</v>
      </c>
      <c r="I85" s="189">
        <v>0</v>
      </c>
      <c r="J85" s="189">
        <v>0</v>
      </c>
      <c r="K85" s="189">
        <v>0</v>
      </c>
      <c r="L85" s="189">
        <v>0</v>
      </c>
      <c r="M85" s="189">
        <v>0</v>
      </c>
      <c r="N85" s="189">
        <v>0</v>
      </c>
      <c r="O85" s="189">
        <v>7000</v>
      </c>
      <c r="P85" s="189">
        <v>7500</v>
      </c>
      <c r="Q85" s="80">
        <v>35850</v>
      </c>
      <c r="R85" s="80">
        <v>7300</v>
      </c>
      <c r="S85" s="80">
        <v>6850</v>
      </c>
      <c r="T85" s="80">
        <v>7200</v>
      </c>
      <c r="U85" s="80">
        <v>0</v>
      </c>
      <c r="V85" s="80">
        <v>0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7000</v>
      </c>
      <c r="AC85" s="80">
        <v>7500</v>
      </c>
      <c r="AD85" s="80"/>
      <c r="AE85" s="80">
        <v>35850</v>
      </c>
      <c r="AF85" s="189"/>
      <c r="AG85" s="189"/>
      <c r="AH85" s="189"/>
      <c r="AI85" s="189"/>
      <c r="AJ85" s="189"/>
      <c r="AO85" s="187" t="s">
        <v>2668</v>
      </c>
      <c r="AP85" s="80">
        <v>483.33300000000003</v>
      </c>
      <c r="AQ85" s="80">
        <v>453.5385</v>
      </c>
      <c r="AR85" s="80">
        <v>476.71199999999999</v>
      </c>
      <c r="AS85" s="80">
        <v>0</v>
      </c>
      <c r="AT85" s="80">
        <v>0</v>
      </c>
      <c r="AU85" s="80">
        <v>0</v>
      </c>
      <c r="AV85" s="80">
        <v>0</v>
      </c>
      <c r="AW85" s="80">
        <v>0</v>
      </c>
      <c r="AX85" s="80">
        <v>0</v>
      </c>
      <c r="AY85" s="80">
        <v>0</v>
      </c>
      <c r="AZ85" s="80">
        <v>463.47</v>
      </c>
      <c r="BA85" s="80">
        <v>496.57499999999999</v>
      </c>
      <c r="BB85" s="80">
        <v>2373.6285000000007</v>
      </c>
      <c r="BC85" s="80">
        <v>664.51900000000001</v>
      </c>
      <c r="BD85" s="80">
        <v>623.55550000000005</v>
      </c>
      <c r="BE85" s="80">
        <v>655.41600000000005</v>
      </c>
      <c r="BF85" s="80">
        <v>0</v>
      </c>
      <c r="BG85" s="80">
        <v>0</v>
      </c>
      <c r="BH85" s="80">
        <v>0</v>
      </c>
      <c r="BI85" s="80">
        <v>0</v>
      </c>
      <c r="BJ85" s="80">
        <v>0</v>
      </c>
      <c r="BK85" s="80">
        <v>0</v>
      </c>
      <c r="BL85" s="80">
        <v>0</v>
      </c>
      <c r="BM85" s="80">
        <v>643.51002099999994</v>
      </c>
      <c r="BN85" s="80">
        <v>689.47502249999991</v>
      </c>
      <c r="BO85" s="80">
        <v>3276.4755435000002</v>
      </c>
      <c r="BP85" s="80">
        <v>902.84704349999947</v>
      </c>
      <c r="BQ85" s="80"/>
      <c r="BR85" s="80"/>
      <c r="BS85" s="80"/>
      <c r="BT85" s="189"/>
    </row>
    <row r="86" spans="1:81" outlineLevel="1">
      <c r="AJ86" s="64"/>
      <c r="BT86" s="64"/>
    </row>
    <row r="87" spans="1:81" outlineLevel="1">
      <c r="AJ87" s="64"/>
      <c r="BT87" s="64"/>
    </row>
    <row r="88" spans="1:81" ht="15.75" outlineLevel="1" collapsed="1" thickBot="1">
      <c r="AJ88" s="64"/>
      <c r="BT88" s="64"/>
    </row>
    <row r="89" spans="1:81" s="52" customFormat="1">
      <c r="A89" s="113"/>
      <c r="B89" s="113"/>
      <c r="C89" s="113"/>
      <c r="D89" s="204" t="s">
        <v>2694</v>
      </c>
      <c r="E89" s="196"/>
      <c r="F89" s="196"/>
      <c r="G89" s="196"/>
      <c r="H89" s="196"/>
      <c r="I89" s="196"/>
      <c r="J89" s="196"/>
      <c r="K89" s="196"/>
      <c r="L89" s="196"/>
      <c r="M89" s="196"/>
      <c r="N89" s="196"/>
      <c r="O89" s="196"/>
      <c r="P89" s="196"/>
      <c r="Q89" s="197">
        <v>1487118.5619980001</v>
      </c>
      <c r="R89" s="196"/>
      <c r="S89" s="196"/>
      <c r="T89" s="196"/>
      <c r="U89" s="196"/>
      <c r="V89" s="196"/>
      <c r="W89" s="196"/>
      <c r="X89" s="196"/>
      <c r="Y89" s="196"/>
      <c r="Z89" s="196"/>
      <c r="AA89" s="196"/>
      <c r="AB89" s="196"/>
      <c r="AC89" s="196"/>
      <c r="AD89" s="196"/>
      <c r="AE89" s="197">
        <v>1432913.1230000006</v>
      </c>
      <c r="AF89" s="238"/>
      <c r="AG89" s="209"/>
      <c r="AH89" s="209"/>
      <c r="AI89" s="209"/>
      <c r="AJ89" s="113"/>
      <c r="AL89" s="113"/>
      <c r="AM89" s="113"/>
      <c r="AN89" s="113"/>
      <c r="AO89" s="204" t="s">
        <v>2694</v>
      </c>
      <c r="AP89" s="196"/>
      <c r="AQ89" s="196"/>
      <c r="AR89" s="196"/>
      <c r="AS89" s="196"/>
      <c r="AT89" s="196"/>
      <c r="AU89" s="196"/>
      <c r="AV89" s="196"/>
      <c r="AW89" s="196"/>
      <c r="AX89" s="196"/>
      <c r="AY89" s="196"/>
      <c r="AZ89" s="196"/>
      <c r="BA89" s="196"/>
      <c r="BB89" s="197">
        <v>131455.60851309521</v>
      </c>
      <c r="BC89" s="196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96"/>
      <c r="BO89" s="197">
        <v>128938.24789959498</v>
      </c>
      <c r="BP89" s="208">
        <v>-2517.3606135002265</v>
      </c>
      <c r="BQ89" s="221">
        <v>-4949.4512705568777</v>
      </c>
      <c r="BR89" s="224">
        <v>2432.0906570566585</v>
      </c>
      <c r="BS89" s="209">
        <v>-1.9149891297711004E-2</v>
      </c>
      <c r="BT89" s="113"/>
      <c r="BZ89" s="204" t="s">
        <v>2694</v>
      </c>
      <c r="CA89" s="202">
        <v>-4949.4512705568777</v>
      </c>
      <c r="CB89" s="202">
        <v>2432.0906570566585</v>
      </c>
      <c r="CC89" s="197">
        <v>-2517.3606135002119</v>
      </c>
    </row>
    <row r="90" spans="1:81" s="52" customFormat="1">
      <c r="A90" s="113"/>
      <c r="B90" s="113"/>
      <c r="C90" s="113"/>
      <c r="D90" s="205" t="s">
        <v>2671</v>
      </c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91">
        <v>46570.676999999996</v>
      </c>
      <c r="R90" s="191">
        <v>25511.240999999998</v>
      </c>
      <c r="S90" s="191">
        <v>24260.420000000002</v>
      </c>
      <c r="T90" s="191">
        <v>21811.933000000001</v>
      </c>
      <c r="U90" s="191">
        <v>17884.744999999999</v>
      </c>
      <c r="V90" s="191">
        <v>16367.795999999998</v>
      </c>
      <c r="W90" s="191">
        <v>13493.03</v>
      </c>
      <c r="X90" s="191">
        <v>13566.416999999998</v>
      </c>
      <c r="Y90" s="191">
        <v>13161.617</v>
      </c>
      <c r="Z90" s="191">
        <v>15549.713</v>
      </c>
      <c r="AA90" s="191">
        <v>21043.646000000001</v>
      </c>
      <c r="AB90" s="191">
        <v>22899.332000000002</v>
      </c>
      <c r="AC90" s="191">
        <v>25541.762000000002</v>
      </c>
      <c r="AD90" s="191"/>
      <c r="AE90" s="191">
        <v>231091.652</v>
      </c>
      <c r="AF90" s="239"/>
      <c r="AG90" s="211"/>
      <c r="AH90" s="211"/>
      <c r="AI90" s="211"/>
      <c r="AL90" s="113"/>
      <c r="AM90" s="113"/>
      <c r="AN90" s="113"/>
      <c r="AO90" s="205" t="s">
        <v>2671</v>
      </c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91">
        <v>3851.9243930000002</v>
      </c>
      <c r="BC90" s="191">
        <v>2118.256227716</v>
      </c>
      <c r="BD90" s="191">
        <v>2014.3845111629998</v>
      </c>
      <c r="BE90" s="191">
        <v>1810.1252336489999</v>
      </c>
      <c r="BF90" s="191">
        <v>1484.2759170290001</v>
      </c>
      <c r="BG90" s="191">
        <v>1358.564411154</v>
      </c>
      <c r="BH90" s="191">
        <v>1119.884411797</v>
      </c>
      <c r="BI90" s="191">
        <v>1125.800100813</v>
      </c>
      <c r="BJ90" s="191">
        <v>1092.514012736</v>
      </c>
      <c r="BK90" s="191">
        <v>1291.097835673</v>
      </c>
      <c r="BL90" s="191">
        <v>1747.601792184</v>
      </c>
      <c r="BM90" s="191">
        <v>1926.3868669219999</v>
      </c>
      <c r="BN90" s="191">
        <v>2147.9818516639998</v>
      </c>
      <c r="BO90" s="191">
        <v>19236.8731725</v>
      </c>
      <c r="BP90" s="210">
        <v>15384.948779499999</v>
      </c>
      <c r="BQ90" s="222">
        <v>15345.839937672823</v>
      </c>
      <c r="BR90" s="225">
        <v>39.108841827177109</v>
      </c>
      <c r="BS90" s="211">
        <v>0.11370356438452919</v>
      </c>
      <c r="BZ90" s="205" t="s">
        <v>2671</v>
      </c>
      <c r="CA90" s="191">
        <v>15345.839937672823</v>
      </c>
      <c r="CB90" s="191">
        <v>39.108841827177109</v>
      </c>
      <c r="CC90" s="191">
        <v>15384.948779499999</v>
      </c>
    </row>
    <row r="91" spans="1:81" s="52" customFormat="1">
      <c r="A91" s="113"/>
      <c r="B91" s="113"/>
      <c r="C91" s="113"/>
      <c r="D91" s="205" t="s">
        <v>2673</v>
      </c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91">
        <v>0</v>
      </c>
      <c r="R91" s="191">
        <v>39136.155999999995</v>
      </c>
      <c r="S91" s="191">
        <v>37787.652000000002</v>
      </c>
      <c r="T91" s="191">
        <v>33813.008999999998</v>
      </c>
      <c r="U91" s="191">
        <v>27423.897999999997</v>
      </c>
      <c r="V91" s="191">
        <v>25232.264999999999</v>
      </c>
      <c r="W91" s="191">
        <v>19986.816999999999</v>
      </c>
      <c r="X91" s="191">
        <v>20975.014999999999</v>
      </c>
      <c r="Y91" s="191">
        <v>20002.100999999999</v>
      </c>
      <c r="Z91" s="191">
        <v>23208.175999999999</v>
      </c>
      <c r="AA91" s="191">
        <v>31351.515999999996</v>
      </c>
      <c r="AB91" s="191">
        <v>34753.398000000008</v>
      </c>
      <c r="AC91" s="191">
        <v>38830.253000000004</v>
      </c>
      <c r="AD91" s="191"/>
      <c r="AE91" s="191">
        <v>352500.25599999999</v>
      </c>
      <c r="AF91" s="239"/>
      <c r="AG91" s="211"/>
      <c r="AH91" s="211"/>
      <c r="AI91" s="211"/>
      <c r="AL91" s="113"/>
      <c r="AM91" s="113"/>
      <c r="AN91" s="113"/>
      <c r="AO91" s="205" t="s">
        <v>2673</v>
      </c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91">
        <v>0</v>
      </c>
      <c r="BC91" s="191">
        <v>3547.299964629</v>
      </c>
      <c r="BD91" s="191">
        <v>3428.8570689019998</v>
      </c>
      <c r="BE91" s="191">
        <v>3066.0423703880001</v>
      </c>
      <c r="BF91" s="191">
        <v>2488.7609885010006</v>
      </c>
      <c r="BG91" s="191">
        <v>2287.2758625069996</v>
      </c>
      <c r="BH91" s="191">
        <v>1812.9990932440001</v>
      </c>
      <c r="BI91" s="191">
        <v>1901.3346479520001</v>
      </c>
      <c r="BJ91" s="191">
        <v>1812.1751328719999</v>
      </c>
      <c r="BK91" s="191">
        <v>2105.7848341190002</v>
      </c>
      <c r="BL91" s="191">
        <v>2842.9882343609993</v>
      </c>
      <c r="BM91" s="191">
        <v>3196.1056900939993</v>
      </c>
      <c r="BN91" s="191">
        <v>3568.5888306769994</v>
      </c>
      <c r="BO91" s="191">
        <v>32058.212718245999</v>
      </c>
      <c r="BP91" s="210">
        <v>32058.212718245999</v>
      </c>
      <c r="BQ91" s="222">
        <v>32058.212718245999</v>
      </c>
      <c r="BR91" s="225">
        <v>0</v>
      </c>
      <c r="BS91" s="211">
        <v>0.23692851410198074</v>
      </c>
      <c r="BZ91" s="205" t="s">
        <v>2673</v>
      </c>
      <c r="CA91" s="191">
        <v>32058.212718245999</v>
      </c>
      <c r="CB91" s="191">
        <v>0</v>
      </c>
      <c r="CC91" s="191">
        <v>32058.212718245999</v>
      </c>
    </row>
    <row r="92" spans="1:81" s="52" customFormat="1" ht="15.75" thickBot="1">
      <c r="A92" s="113"/>
      <c r="B92" s="113"/>
      <c r="C92" s="113"/>
      <c r="D92" s="205" t="s">
        <v>2672</v>
      </c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91">
        <v>124889.61500000001</v>
      </c>
      <c r="AF92" s="240"/>
      <c r="AG92" s="213"/>
      <c r="AH92" s="213"/>
      <c r="AI92" s="213"/>
      <c r="AL92" s="113"/>
      <c r="AM92" s="113"/>
      <c r="AN92" s="113"/>
      <c r="AO92" s="205" t="s">
        <v>2672</v>
      </c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91">
        <v>10012.933818400001</v>
      </c>
      <c r="BP92" s="212">
        <v>10012.933818400001</v>
      </c>
      <c r="BQ92" s="223">
        <v>10012.933818400001</v>
      </c>
      <c r="BR92" s="226">
        <v>0</v>
      </c>
      <c r="BS92" s="213">
        <v>7.4001303573756519E-2</v>
      </c>
      <c r="BZ92" s="205" t="s">
        <v>2672</v>
      </c>
      <c r="CA92" s="191">
        <v>10012.933818400001</v>
      </c>
      <c r="CB92" s="191">
        <v>0</v>
      </c>
      <c r="CC92" s="191">
        <v>10012.933818400001</v>
      </c>
    </row>
    <row r="94" spans="1:81">
      <c r="BO94" s="81"/>
      <c r="BP94" s="81"/>
      <c r="BX94" s="203"/>
    </row>
    <row r="95" spans="1:81">
      <c r="A95" s="113" t="s">
        <v>832</v>
      </c>
      <c r="C95" s="64" t="s">
        <v>830</v>
      </c>
      <c r="D95" s="113" t="s">
        <v>2740</v>
      </c>
      <c r="E95" s="189">
        <v>117.44397000000001</v>
      </c>
      <c r="F95" s="189">
        <v>107.05997000000001</v>
      </c>
      <c r="G95" s="189">
        <v>115.10883</v>
      </c>
      <c r="H95" s="189">
        <v>57.797069999999998</v>
      </c>
      <c r="I95" s="189">
        <v>54.068660000000001</v>
      </c>
      <c r="J95" s="189">
        <v>57.933800000000005</v>
      </c>
      <c r="K95" s="189">
        <v>59.070629999999994</v>
      </c>
      <c r="L95" s="189">
        <v>54.856169999999999</v>
      </c>
      <c r="M95" s="189">
        <v>56.550719999999998</v>
      </c>
      <c r="N95" s="189">
        <v>58.573039999999999</v>
      </c>
      <c r="O95" s="189">
        <v>109.37847000000001</v>
      </c>
      <c r="P95" s="189">
        <v>112.29621</v>
      </c>
      <c r="Q95" s="189">
        <v>960.13754000000006</v>
      </c>
      <c r="R95" s="189">
        <v>118.13500000000001</v>
      </c>
      <c r="S95" s="189">
        <v>108.379</v>
      </c>
      <c r="T95" s="189">
        <v>117.214</v>
      </c>
      <c r="U95" s="189">
        <v>63.046999999999997</v>
      </c>
      <c r="V95" s="189">
        <v>63.703000000000003</v>
      </c>
      <c r="W95" s="189">
        <v>59.634</v>
      </c>
      <c r="X95" s="189">
        <v>60.277999999999999</v>
      </c>
      <c r="Y95" s="189">
        <v>61.74</v>
      </c>
      <c r="Z95" s="189">
        <v>58.72</v>
      </c>
      <c r="AA95" s="189">
        <v>60.036999999999999</v>
      </c>
      <c r="AB95" s="189">
        <v>112.113</v>
      </c>
      <c r="AC95" s="189">
        <v>115.104</v>
      </c>
      <c r="AD95" s="189"/>
      <c r="AE95" s="189">
        <v>998.10400000000004</v>
      </c>
      <c r="AI95" s="81" t="e">
        <f>AE24-AD24</f>
        <v>#REF!</v>
      </c>
      <c r="AM95" s="64" t="s">
        <v>2696</v>
      </c>
      <c r="AN95" s="64" t="s">
        <v>830</v>
      </c>
      <c r="AO95" s="187" t="s">
        <v>2703</v>
      </c>
      <c r="AP95" s="172">
        <v>565.7005655349999</v>
      </c>
      <c r="AQ95" s="172">
        <v>528.63957711900002</v>
      </c>
      <c r="AR95" s="172">
        <v>548.75152024600004</v>
      </c>
      <c r="AS95" s="172">
        <v>479.84256030099999</v>
      </c>
      <c r="AT95" s="172">
        <v>487.62178387199998</v>
      </c>
      <c r="AU95" s="172">
        <v>469.605077908</v>
      </c>
      <c r="AV95" s="172">
        <v>469.530123876</v>
      </c>
      <c r="AW95" s="172">
        <v>469.530123876</v>
      </c>
      <c r="AX95" s="172">
        <v>462.22102776399998</v>
      </c>
      <c r="AY95" s="172">
        <v>438.23617458000001</v>
      </c>
      <c r="AZ95" s="172">
        <v>494.77846282999997</v>
      </c>
      <c r="BA95" s="172">
        <v>516.75760145800007</v>
      </c>
      <c r="BB95" s="172">
        <v>5931.2145993649992</v>
      </c>
      <c r="BC95" s="172">
        <v>749.36278897937598</v>
      </c>
      <c r="BD95" s="172">
        <v>689.81871160408002</v>
      </c>
      <c r="BE95" s="172">
        <v>750.55450779544594</v>
      </c>
      <c r="BF95" s="172">
        <v>679.16794161810503</v>
      </c>
      <c r="BG95" s="172">
        <v>686.93518190752002</v>
      </c>
      <c r="BH95" s="172">
        <v>647.91864809145</v>
      </c>
      <c r="BI95" s="172">
        <v>644.99442315495003</v>
      </c>
      <c r="BJ95" s="172">
        <v>656.12544840297198</v>
      </c>
      <c r="BK95" s="172">
        <v>628.35032236726499</v>
      </c>
      <c r="BL95" s="172">
        <v>584.60075673320705</v>
      </c>
      <c r="BM95" s="172">
        <v>674.63149971913504</v>
      </c>
      <c r="BN95" s="172">
        <v>705.78629898478198</v>
      </c>
      <c r="BO95" s="172">
        <v>8098.2465293582882</v>
      </c>
      <c r="BP95" s="172">
        <v>2167.0319299932889</v>
      </c>
      <c r="BQ95" s="172"/>
      <c r="BR95" s="172"/>
      <c r="BS95" s="193">
        <v>0.36536056716364529</v>
      </c>
    </row>
    <row r="96" spans="1:81">
      <c r="A96" s="113" t="s">
        <v>833</v>
      </c>
      <c r="C96" s="64" t="s">
        <v>830</v>
      </c>
      <c r="D96" s="113" t="s">
        <v>2695</v>
      </c>
      <c r="E96" s="189">
        <v>58.896466999999994</v>
      </c>
      <c r="F96" s="189">
        <v>54.538283</v>
      </c>
      <c r="G96" s="189">
        <v>56.906722000000002</v>
      </c>
      <c r="H96" s="189">
        <v>52.573963000000006</v>
      </c>
      <c r="I96" s="189">
        <v>53.561267999999998</v>
      </c>
      <c r="J96" s="189">
        <v>51.278125999999993</v>
      </c>
      <c r="K96" s="189">
        <v>52.222235999999995</v>
      </c>
      <c r="L96" s="189">
        <v>52.222235999999995</v>
      </c>
      <c r="M96" s="189">
        <v>51.278125999999993</v>
      </c>
      <c r="N96" s="189">
        <v>45.403665000000004</v>
      </c>
      <c r="O96" s="189">
        <v>56.033800999999997</v>
      </c>
      <c r="P96" s="189">
        <v>58.896466999999994</v>
      </c>
      <c r="Q96" s="189">
        <v>643.81136000000004</v>
      </c>
      <c r="R96" s="189">
        <v>62.018000000000001</v>
      </c>
      <c r="S96" s="189">
        <v>56.624000000000002</v>
      </c>
      <c r="T96" s="189">
        <v>62.125999999999998</v>
      </c>
      <c r="U96" s="189">
        <v>56.722999999999999</v>
      </c>
      <c r="V96" s="189">
        <v>57.44</v>
      </c>
      <c r="W96" s="189">
        <v>53.838000000000001</v>
      </c>
      <c r="X96" s="189">
        <v>54.524999999999999</v>
      </c>
      <c r="Y96" s="189">
        <v>55.570999999999998</v>
      </c>
      <c r="Z96" s="189">
        <v>52.960999999999999</v>
      </c>
      <c r="AA96" s="189">
        <v>46.539000000000001</v>
      </c>
      <c r="AB96" s="189">
        <v>57.435000000000002</v>
      </c>
      <c r="AC96" s="189">
        <v>60.369</v>
      </c>
      <c r="AD96" s="189"/>
      <c r="AE96" s="189">
        <v>676.16899999999998</v>
      </c>
      <c r="AM96" s="64" t="s">
        <v>2697</v>
      </c>
      <c r="AN96" s="64" t="s">
        <v>830</v>
      </c>
      <c r="AO96" s="64" t="s">
        <v>2699</v>
      </c>
      <c r="AP96" s="172">
        <v>353.99299999999999</v>
      </c>
      <c r="AQ96" s="172">
        <v>353.99299999999999</v>
      </c>
      <c r="AR96" s="172">
        <v>353.99299999999999</v>
      </c>
      <c r="AS96" s="172">
        <v>0</v>
      </c>
      <c r="AT96" s="172">
        <v>0</v>
      </c>
      <c r="AU96" s="172">
        <v>0</v>
      </c>
      <c r="AV96" s="172">
        <v>0</v>
      </c>
      <c r="AW96" s="172">
        <v>0</v>
      </c>
      <c r="AX96" s="172">
        <v>0</v>
      </c>
      <c r="AY96" s="172">
        <v>0</v>
      </c>
      <c r="AZ96" s="172">
        <v>353.99299999999999</v>
      </c>
      <c r="BA96" s="172">
        <v>353.99299999999999</v>
      </c>
      <c r="BB96" s="172">
        <v>1769.9649999999999</v>
      </c>
      <c r="BC96" s="172">
        <v>359.1</v>
      </c>
      <c r="BD96" s="172">
        <v>359.1</v>
      </c>
      <c r="BE96" s="172">
        <v>359.1</v>
      </c>
      <c r="BF96" s="172">
        <v>0</v>
      </c>
      <c r="BG96" s="172">
        <v>0</v>
      </c>
      <c r="BH96" s="172">
        <v>0</v>
      </c>
      <c r="BI96" s="172">
        <v>0</v>
      </c>
      <c r="BJ96" s="172">
        <v>0</v>
      </c>
      <c r="BK96" s="172">
        <v>0</v>
      </c>
      <c r="BL96" s="172">
        <v>0</v>
      </c>
      <c r="BM96" s="172">
        <v>359.1</v>
      </c>
      <c r="BN96" s="172">
        <v>359.1</v>
      </c>
      <c r="BO96" s="172">
        <v>1795.5</v>
      </c>
      <c r="BP96" s="172">
        <v>25.535000000000082</v>
      </c>
      <c r="BQ96" s="172"/>
      <c r="BR96" s="172"/>
      <c r="BS96" s="193">
        <v>1.442683894879293E-2</v>
      </c>
    </row>
    <row r="97" spans="1:71">
      <c r="AM97" s="64" t="s">
        <v>2698</v>
      </c>
      <c r="AN97" s="64" t="s">
        <v>830</v>
      </c>
      <c r="AO97" s="64" t="s">
        <v>2700</v>
      </c>
      <c r="AP97" s="172">
        <v>1.3</v>
      </c>
      <c r="AQ97" s="172">
        <v>1.3</v>
      </c>
      <c r="AR97" s="172">
        <v>1.3</v>
      </c>
      <c r="AS97" s="172">
        <v>0.5</v>
      </c>
      <c r="AT97" s="172">
        <v>0.5</v>
      </c>
      <c r="AU97" s="172">
        <v>0.5</v>
      </c>
      <c r="AV97" s="172">
        <v>0.5</v>
      </c>
      <c r="AW97" s="172">
        <v>0.5</v>
      </c>
      <c r="AX97" s="172">
        <v>0.5</v>
      </c>
      <c r="AY97" s="172">
        <v>0.5</v>
      </c>
      <c r="AZ97" s="172">
        <v>1.3</v>
      </c>
      <c r="BA97" s="172">
        <v>1.3</v>
      </c>
      <c r="BB97" s="172">
        <v>10</v>
      </c>
      <c r="BC97" s="172">
        <v>1.3</v>
      </c>
      <c r="BD97" s="172">
        <v>1.3</v>
      </c>
      <c r="BE97" s="172">
        <v>1.3</v>
      </c>
      <c r="BF97" s="172">
        <v>0.5</v>
      </c>
      <c r="BG97" s="172">
        <v>0.5</v>
      </c>
      <c r="BH97" s="172">
        <v>0.5</v>
      </c>
      <c r="BI97" s="172">
        <v>0.5</v>
      </c>
      <c r="BJ97" s="172">
        <v>0.5</v>
      </c>
      <c r="BK97" s="172">
        <v>0.5</v>
      </c>
      <c r="BL97" s="172">
        <v>0.5</v>
      </c>
      <c r="BM97" s="172">
        <v>1.3</v>
      </c>
      <c r="BN97" s="172">
        <v>1.3</v>
      </c>
      <c r="BO97" s="172">
        <v>10</v>
      </c>
      <c r="BP97" s="172">
        <v>0</v>
      </c>
      <c r="BQ97" s="172"/>
      <c r="BR97" s="172"/>
      <c r="BS97" s="193">
        <v>0</v>
      </c>
    </row>
    <row r="98" spans="1:71">
      <c r="AN98" s="64" t="s">
        <v>847</v>
      </c>
      <c r="AO98" s="64" t="s">
        <v>2744</v>
      </c>
      <c r="BB98" s="64">
        <v>0</v>
      </c>
    </row>
    <row r="99" spans="1:71" s="52" customFormat="1">
      <c r="A99" s="113"/>
      <c r="B99" s="113"/>
      <c r="C99" s="113"/>
      <c r="D99" s="113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L99" s="113"/>
      <c r="AM99" s="113" t="s">
        <v>2701</v>
      </c>
      <c r="AN99" s="113"/>
      <c r="AO99" s="113" t="s">
        <v>2702</v>
      </c>
      <c r="AP99" s="194">
        <v>14183.761569644999</v>
      </c>
      <c r="AQ99" s="194">
        <v>13564.310217908996</v>
      </c>
      <c r="AR99" s="194">
        <v>13507.089899036</v>
      </c>
      <c r="AS99" s="194">
        <v>10929.387420591</v>
      </c>
      <c r="AT99" s="194">
        <v>10509.680184662</v>
      </c>
      <c r="AU99" s="194">
        <v>9271.0974309180001</v>
      </c>
      <c r="AV99" s="194">
        <v>9122.2890881059975</v>
      </c>
      <c r="AW99" s="194">
        <v>8944.0539168660016</v>
      </c>
      <c r="AX99" s="194">
        <v>9541.5850773240018</v>
      </c>
      <c r="AY99" s="194">
        <v>12713.10034596</v>
      </c>
      <c r="AZ99" s="194">
        <v>14127.811606925219</v>
      </c>
      <c r="BA99" s="194">
        <v>16604.545747518001</v>
      </c>
      <c r="BB99" s="194">
        <v>143018.71250546022</v>
      </c>
      <c r="BC99" s="194">
        <v>20908.877715523377</v>
      </c>
      <c r="BD99" s="194">
        <v>20314.527032898081</v>
      </c>
      <c r="BE99" s="194">
        <v>19048.947784077442</v>
      </c>
      <c r="BF99" s="194">
        <v>15018.998567902105</v>
      </c>
      <c r="BG99" s="194">
        <v>14246.118577336521</v>
      </c>
      <c r="BH99" s="194">
        <v>11941.925621598448</v>
      </c>
      <c r="BI99" s="194">
        <v>12064.537154097949</v>
      </c>
      <c r="BJ99" s="194">
        <v>11668.761557405969</v>
      </c>
      <c r="BK99" s="194">
        <v>13517.643845952267</v>
      </c>
      <c r="BL99" s="194">
        <v>17629.621219582212</v>
      </c>
      <c r="BM99" s="194">
        <v>20586.233364880132</v>
      </c>
      <c r="BN99" s="194">
        <v>23386.821696844785</v>
      </c>
      <c r="BO99" s="194">
        <v>200333.01413809933</v>
      </c>
      <c r="BP99" s="194">
        <v>57314.301632639108</v>
      </c>
      <c r="BQ99" s="194"/>
      <c r="BR99" s="194"/>
      <c r="BS99" s="195">
        <v>0.40074687171058776</v>
      </c>
    </row>
    <row r="100" spans="1:71">
      <c r="AO100" s="234" t="s">
        <v>2628</v>
      </c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4"/>
      <c r="BB100" s="235">
        <v>1.659827830735594E-11</v>
      </c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5">
        <v>183.00000000006366</v>
      </c>
      <c r="BP100" s="236"/>
    </row>
    <row r="104" spans="1:71">
      <c r="BO104" s="81"/>
    </row>
    <row r="107" spans="1:71" ht="45">
      <c r="AK107" s="249" t="s">
        <v>2742</v>
      </c>
      <c r="AL107" s="242"/>
      <c r="AM107" s="242"/>
      <c r="AN107" s="242"/>
      <c r="AO107" s="242" t="s">
        <v>2741</v>
      </c>
      <c r="AP107" s="242"/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50">
        <v>2373.6285000000007</v>
      </c>
      <c r="BC107" s="250">
        <v>709.99802190000003</v>
      </c>
      <c r="BD107" s="250">
        <v>666.23102055000004</v>
      </c>
      <c r="BE107" s="250">
        <v>700.27202160000002</v>
      </c>
      <c r="BF107" s="250">
        <v>0</v>
      </c>
      <c r="BG107" s="250">
        <v>0</v>
      </c>
      <c r="BH107" s="250">
        <v>0</v>
      </c>
      <c r="BI107" s="250">
        <v>0</v>
      </c>
      <c r="BJ107" s="250">
        <v>0</v>
      </c>
      <c r="BK107" s="250">
        <v>0</v>
      </c>
      <c r="BL107" s="250">
        <v>0</v>
      </c>
      <c r="BM107" s="250">
        <v>643.51002099999994</v>
      </c>
      <c r="BN107" s="250">
        <v>689.47502249999991</v>
      </c>
      <c r="BO107" s="250">
        <v>3409.4861075499998</v>
      </c>
      <c r="BP107" s="250">
        <v>1035.8576075499991</v>
      </c>
      <c r="BQ107" s="244"/>
    </row>
    <row r="108" spans="1:71">
      <c r="AK108" s="245"/>
      <c r="AL108" s="246"/>
      <c r="AM108" s="246"/>
      <c r="AN108" s="246"/>
      <c r="AO108" s="246" t="s">
        <v>2695</v>
      </c>
      <c r="AP108" s="246"/>
      <c r="AQ108" s="246"/>
      <c r="AR108" s="246"/>
      <c r="AS108" s="246"/>
      <c r="AT108" s="246"/>
      <c r="AU108" s="246"/>
      <c r="AV108" s="246"/>
      <c r="AW108" s="246"/>
      <c r="AX108" s="246"/>
      <c r="AY108" s="246"/>
      <c r="AZ108" s="246"/>
      <c r="BA108" s="246"/>
      <c r="BB108" s="251">
        <v>5931.2145993649992</v>
      </c>
      <c r="BC108" s="251">
        <v>798.37770894331493</v>
      </c>
      <c r="BD108" s="251">
        <v>744.09315321772192</v>
      </c>
      <c r="BE108" s="251">
        <v>773.58627029709908</v>
      </c>
      <c r="BF108" s="251">
        <v>648.45951916518402</v>
      </c>
      <c r="BG108" s="251">
        <v>659.42143418160003</v>
      </c>
      <c r="BH108" s="251">
        <v>634.07502043200009</v>
      </c>
      <c r="BI108" s="251">
        <v>634.38440114743992</v>
      </c>
      <c r="BJ108" s="251">
        <v>634.38440114743992</v>
      </c>
      <c r="BK108" s="251">
        <v>624.08279031912002</v>
      </c>
      <c r="BL108" s="251">
        <v>584.60075673320705</v>
      </c>
      <c r="BM108" s="251">
        <v>674.63149971913504</v>
      </c>
      <c r="BN108" s="251">
        <v>705.78629898478198</v>
      </c>
      <c r="BO108" s="251">
        <v>8115.8832542880455</v>
      </c>
      <c r="BP108" s="251">
        <v>2184.6686549230462</v>
      </c>
      <c r="BQ108" s="248"/>
    </row>
    <row r="111" spans="1:71" ht="45">
      <c r="AK111" s="249" t="s">
        <v>2743</v>
      </c>
      <c r="AL111" s="242"/>
      <c r="AM111" s="242"/>
      <c r="AN111" s="242"/>
      <c r="AO111" s="242" t="s">
        <v>2741</v>
      </c>
      <c r="AP111" s="242"/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3">
        <v>0</v>
      </c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3">
        <v>-133.01056404999963</v>
      </c>
      <c r="BP111" s="243">
        <v>-133.01056404999963</v>
      </c>
      <c r="BQ111" s="244"/>
    </row>
    <row r="112" spans="1:71">
      <c r="AK112" s="245"/>
      <c r="AL112" s="246"/>
      <c r="AM112" s="246"/>
      <c r="AN112" s="246"/>
      <c r="AO112" s="246" t="s">
        <v>2695</v>
      </c>
      <c r="AP112" s="246"/>
      <c r="AQ112" s="246"/>
      <c r="AR112" s="246"/>
      <c r="AS112" s="246"/>
      <c r="AT112" s="246"/>
      <c r="AU112" s="246"/>
      <c r="AV112" s="246"/>
      <c r="AW112" s="246"/>
      <c r="AX112" s="246"/>
      <c r="AY112" s="246"/>
      <c r="AZ112" s="246"/>
      <c r="BA112" s="246"/>
      <c r="BB112" s="247">
        <v>0</v>
      </c>
      <c r="BC112" s="246"/>
      <c r="BD112" s="246"/>
      <c r="BE112" s="246"/>
      <c r="BF112" s="246"/>
      <c r="BG112" s="246"/>
      <c r="BH112" s="246"/>
      <c r="BI112" s="246"/>
      <c r="BJ112" s="246"/>
      <c r="BK112" s="246"/>
      <c r="BL112" s="246"/>
      <c r="BM112" s="246"/>
      <c r="BN112" s="246"/>
      <c r="BO112" s="247">
        <v>-17.636724929757293</v>
      </c>
      <c r="BP112" s="247">
        <v>-17.636724929757293</v>
      </c>
      <c r="BQ112" s="248"/>
    </row>
  </sheetData>
  <autoFilter ref="A10:CC81" xr:uid="{E307D33A-8541-499C-8C29-CD6418150B67}"/>
  <mergeCells count="8">
    <mergeCell ref="BT10:BT11"/>
    <mergeCell ref="AH10:AH11"/>
    <mergeCell ref="AI10:AI11"/>
    <mergeCell ref="AF10:AF11"/>
    <mergeCell ref="AG10:AG11"/>
    <mergeCell ref="AJ10:AJ11"/>
    <mergeCell ref="BP10:BP11"/>
    <mergeCell ref="BS10:BS11"/>
  </mergeCells>
  <conditionalFormatting sqref="C12:C80">
    <cfRule type="duplicateValues" dxfId="3" priority="2"/>
  </conditionalFormatting>
  <conditionalFormatting sqref="AN12:AN80">
    <cfRule type="duplicateValues" dxfId="2" priority="1"/>
  </conditionalFormatting>
  <pageMargins left="0.7" right="0.7" top="0.75" bottom="0.75" header="0.3" footer="0.3"/>
  <customProperties>
    <customPr name="Longview.RefreshTimestamp" r:id="rId1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2A73F-C4C5-419D-B776-D2549A708BA4}">
  <dimension ref="A1:BZ117"/>
  <sheetViews>
    <sheetView topLeftCell="AH1" zoomScale="90" zoomScaleNormal="90" workbookViewId="0">
      <pane ySplit="11" topLeftCell="A12" activePane="bottomLeft" state="frozen"/>
      <selection activeCell="C9" sqref="C9"/>
      <selection pane="bottomLeft" activeCell="BL22" sqref="BL22"/>
    </sheetView>
  </sheetViews>
  <sheetFormatPr baseColWidth="10" defaultRowHeight="15" outlineLevelRow="1" outlineLevelCol="2"/>
  <cols>
    <col min="1" max="2" width="11.42578125" style="64" hidden="1" customWidth="1" outlineLevel="2"/>
    <col min="3" max="3" width="17.7109375" style="64" hidden="1" customWidth="1" outlineLevel="2"/>
    <col min="4" max="4" width="36.28515625" style="64" hidden="1" customWidth="1" outlineLevel="1"/>
    <col min="5" max="5" width="17.42578125" style="64" hidden="1" customWidth="1" outlineLevel="2"/>
    <col min="6" max="16" width="14.140625" style="64" hidden="1" customWidth="1" outlineLevel="2"/>
    <col min="17" max="17" width="15.28515625" style="64" hidden="1" customWidth="1" outlineLevel="1"/>
    <col min="18" max="18" width="17.42578125" style="64" hidden="1" customWidth="1" outlineLevel="2"/>
    <col min="19" max="29" width="14.140625" style="64" hidden="1" customWidth="1" outlineLevel="2"/>
    <col min="30" max="30" width="15" style="64" hidden="1" customWidth="1" outlineLevel="1"/>
    <col min="31" max="31" width="15.85546875" style="64" hidden="1" customWidth="1" outlineLevel="1"/>
    <col min="32" max="32" width="13.5703125" style="64" hidden="1" customWidth="1" outlineLevel="1"/>
    <col min="33" max="33" width="132.85546875" hidden="1" customWidth="1" outlineLevel="1"/>
    <col min="34" max="34" width="19.140625" customWidth="1" collapsed="1"/>
    <col min="35" max="35" width="11.42578125" style="64" customWidth="1" outlineLevel="1"/>
    <col min="36" max="36" width="14.85546875" style="64" customWidth="1" outlineLevel="1"/>
    <col min="37" max="37" width="17.7109375" style="64" customWidth="1" outlineLevel="1"/>
    <col min="38" max="38" width="35.7109375" style="64" customWidth="1"/>
    <col min="39" max="39" width="17.42578125" style="64" hidden="1" customWidth="1" outlineLevel="1"/>
    <col min="40" max="50" width="14.140625" style="64" hidden="1" customWidth="1" outlineLevel="1"/>
    <col min="51" max="51" width="16.28515625" style="64" customWidth="1" collapsed="1"/>
    <col min="52" max="52" width="17.42578125" style="64" hidden="1" customWidth="1" outlineLevel="1"/>
    <col min="53" max="63" width="14.140625" style="64" hidden="1" customWidth="1" outlineLevel="1"/>
    <col min="64" max="64" width="15.85546875" style="64" customWidth="1" collapsed="1"/>
    <col min="65" max="65" width="15.85546875" style="64" customWidth="1"/>
    <col min="66" max="67" width="11.5703125" style="64" customWidth="1"/>
    <col min="68" max="68" width="14.7109375" style="64" customWidth="1"/>
    <col min="69" max="69" width="81.140625" bestFit="1" customWidth="1"/>
    <col min="76" max="76" width="15.28515625" bestFit="1" customWidth="1"/>
    <col min="77" max="77" width="13.5703125" customWidth="1"/>
    <col min="78" max="78" width="15.28515625" bestFit="1" customWidth="1"/>
  </cols>
  <sheetData>
    <row r="1" spans="1:78" hidden="1" outlineLevel="1">
      <c r="A1" s="63"/>
      <c r="B1" s="63"/>
      <c r="C1" s="63" t="s">
        <v>511</v>
      </c>
      <c r="D1" s="63" t="s">
        <v>505</v>
      </c>
      <c r="E1" s="63" t="s">
        <v>233</v>
      </c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I1" s="63"/>
      <c r="AJ1" s="63"/>
      <c r="AK1" s="63" t="s">
        <v>2701</v>
      </c>
      <c r="AL1" s="63" t="s">
        <v>505</v>
      </c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</row>
    <row r="2" spans="1:78" hidden="1" outlineLevel="1">
      <c r="A2" s="63"/>
      <c r="B2" s="63"/>
      <c r="C2" s="63" t="s">
        <v>879</v>
      </c>
      <c r="D2" s="63" t="s">
        <v>587</v>
      </c>
      <c r="E2" s="63" t="s">
        <v>513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 t="s">
        <v>2756</v>
      </c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 t="s">
        <v>2598</v>
      </c>
      <c r="AE2" s="63"/>
      <c r="AF2" s="63"/>
      <c r="AI2" s="63"/>
      <c r="AJ2" s="63"/>
      <c r="AK2" s="63" t="s">
        <v>879</v>
      </c>
      <c r="AL2" s="63" t="s">
        <v>513</v>
      </c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59" t="s">
        <v>2748</v>
      </c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 t="s">
        <v>2598</v>
      </c>
      <c r="BM2" s="63"/>
      <c r="BN2" s="63"/>
      <c r="BO2" s="63"/>
      <c r="BP2" s="63"/>
    </row>
    <row r="3" spans="1:78" hidden="1" outlineLevel="1">
      <c r="A3" s="63"/>
      <c r="B3" s="63"/>
      <c r="C3" s="161" t="s">
        <v>2651</v>
      </c>
      <c r="D3" s="63" t="s">
        <v>2652</v>
      </c>
      <c r="E3" s="63" t="s">
        <v>2757</v>
      </c>
      <c r="F3" s="63" t="s">
        <v>2758</v>
      </c>
      <c r="G3" s="63" t="s">
        <v>2759</v>
      </c>
      <c r="H3" s="63" t="s">
        <v>2760</v>
      </c>
      <c r="I3" s="63" t="s">
        <v>2761</v>
      </c>
      <c r="J3" s="63" t="s">
        <v>2762</v>
      </c>
      <c r="K3" s="63" t="s">
        <v>2763</v>
      </c>
      <c r="L3" s="63" t="s">
        <v>2764</v>
      </c>
      <c r="M3" s="63" t="s">
        <v>2765</v>
      </c>
      <c r="N3" s="63" t="s">
        <v>2745</v>
      </c>
      <c r="O3" s="63" t="s">
        <v>2746</v>
      </c>
      <c r="P3" s="63" t="s">
        <v>2747</v>
      </c>
      <c r="Q3" s="63" t="s">
        <v>2747</v>
      </c>
      <c r="R3" s="63" t="s">
        <v>590</v>
      </c>
      <c r="S3" s="63" t="s">
        <v>591</v>
      </c>
      <c r="T3" s="63" t="s">
        <v>592</v>
      </c>
      <c r="U3" s="63" t="s">
        <v>593</v>
      </c>
      <c r="V3" s="63" t="s">
        <v>594</v>
      </c>
      <c r="W3" s="63" t="s">
        <v>595</v>
      </c>
      <c r="X3" s="63" t="s">
        <v>596</v>
      </c>
      <c r="Y3" s="63" t="s">
        <v>597</v>
      </c>
      <c r="Z3" s="63" t="s">
        <v>598</v>
      </c>
      <c r="AA3" s="63" t="s">
        <v>599</v>
      </c>
      <c r="AB3" s="63" t="s">
        <v>600</v>
      </c>
      <c r="AC3" s="63" t="s">
        <v>601</v>
      </c>
      <c r="AD3" s="63" t="s">
        <v>601</v>
      </c>
      <c r="AE3" s="63"/>
      <c r="AF3" s="63"/>
      <c r="AI3" s="63"/>
      <c r="AJ3" s="63" t="s">
        <v>511</v>
      </c>
      <c r="AK3" s="161" t="s">
        <v>2651</v>
      </c>
      <c r="AL3" s="63" t="s">
        <v>2630</v>
      </c>
      <c r="AM3" s="252" t="s">
        <v>2757</v>
      </c>
      <c r="AN3" s="252" t="s">
        <v>2758</v>
      </c>
      <c r="AO3" s="252" t="s">
        <v>2759</v>
      </c>
      <c r="AP3" s="252" t="s">
        <v>2760</v>
      </c>
      <c r="AQ3" s="252" t="s">
        <v>2761</v>
      </c>
      <c r="AR3" s="252" t="s">
        <v>2762</v>
      </c>
      <c r="AS3" s="252" t="s">
        <v>2763</v>
      </c>
      <c r="AT3" s="252" t="s">
        <v>2764</v>
      </c>
      <c r="AU3" s="252" t="s">
        <v>2765</v>
      </c>
      <c r="AV3" s="252" t="s">
        <v>2745</v>
      </c>
      <c r="AW3" s="252" t="s">
        <v>2746</v>
      </c>
      <c r="AX3" s="252" t="s">
        <v>2747</v>
      </c>
      <c r="AY3" s="63" t="s">
        <v>2747</v>
      </c>
      <c r="AZ3" s="63" t="s">
        <v>590</v>
      </c>
      <c r="BA3" s="63" t="s">
        <v>591</v>
      </c>
      <c r="BB3" s="63" t="s">
        <v>592</v>
      </c>
      <c r="BC3" s="63" t="s">
        <v>593</v>
      </c>
      <c r="BD3" s="63" t="s">
        <v>594</v>
      </c>
      <c r="BE3" s="63" t="s">
        <v>595</v>
      </c>
      <c r="BF3" s="63" t="s">
        <v>596</v>
      </c>
      <c r="BG3" s="63" t="s">
        <v>597</v>
      </c>
      <c r="BH3" s="63" t="s">
        <v>598</v>
      </c>
      <c r="BI3" s="63" t="s">
        <v>599</v>
      </c>
      <c r="BJ3" s="63" t="s">
        <v>600</v>
      </c>
      <c r="BK3" s="63" t="s">
        <v>601</v>
      </c>
      <c r="BL3" s="63" t="s">
        <v>601</v>
      </c>
      <c r="BM3" s="63"/>
      <c r="BN3" s="63"/>
      <c r="BO3" s="63"/>
      <c r="BP3" s="63"/>
    </row>
    <row r="4" spans="1:78" hidden="1" outlineLevel="1">
      <c r="A4" s="63"/>
      <c r="B4" s="63" t="s">
        <v>515</v>
      </c>
      <c r="C4" s="63" t="s">
        <v>588</v>
      </c>
      <c r="D4" s="63" t="s">
        <v>516</v>
      </c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I4" s="63"/>
      <c r="AJ4" s="63" t="s">
        <v>515</v>
      </c>
      <c r="AK4" s="63" t="s">
        <v>516</v>
      </c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</row>
    <row r="5" spans="1:78" hidden="1" outlineLevel="1">
      <c r="A5" s="63"/>
      <c r="B5" s="63" t="s">
        <v>517</v>
      </c>
      <c r="C5" s="63" t="s">
        <v>506</v>
      </c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I5" s="63"/>
      <c r="AJ5" s="63" t="s">
        <v>517</v>
      </c>
      <c r="AK5" s="63" t="s">
        <v>506</v>
      </c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</row>
    <row r="6" spans="1:78" hidden="1" outlineLevel="1">
      <c r="A6" s="63"/>
      <c r="B6" s="63" t="s">
        <v>518</v>
      </c>
      <c r="C6" s="63" t="s">
        <v>507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I6" s="63"/>
      <c r="AJ6" s="63" t="s">
        <v>518</v>
      </c>
      <c r="AK6" s="63" t="s">
        <v>507</v>
      </c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</row>
    <row r="7" spans="1:78" hidden="1" outlineLevel="1">
      <c r="A7" s="63"/>
      <c r="B7" s="63" t="s">
        <v>519</v>
      </c>
      <c r="C7" s="63" t="s">
        <v>508</v>
      </c>
      <c r="D7" s="63"/>
      <c r="E7" s="24" t="s">
        <v>235</v>
      </c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24" t="s">
        <v>235</v>
      </c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I7" s="63"/>
      <c r="AJ7" s="63" t="s">
        <v>519</v>
      </c>
      <c r="AK7" s="63" t="s">
        <v>508</v>
      </c>
      <c r="AL7" s="63"/>
      <c r="AM7" s="24" t="s">
        <v>235</v>
      </c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24" t="s">
        <v>235</v>
      </c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</row>
    <row r="8" spans="1:78" hidden="1" outlineLevel="1">
      <c r="A8" s="63"/>
      <c r="B8" s="63" t="s">
        <v>520</v>
      </c>
      <c r="C8" s="63" t="s">
        <v>509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I8" s="63"/>
      <c r="AJ8" s="63" t="s">
        <v>520</v>
      </c>
      <c r="AK8" s="63" t="s">
        <v>509</v>
      </c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</row>
    <row r="9" spans="1:78" ht="15.75" collapsed="1" thickBot="1">
      <c r="C9" s="80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K9" s="80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260" t="s">
        <v>523</v>
      </c>
      <c r="BN9" s="63"/>
      <c r="BO9" s="63"/>
      <c r="BP9" s="63"/>
    </row>
    <row r="10" spans="1:78" ht="42" customHeight="1" thickBot="1">
      <c r="A10" s="65"/>
      <c r="B10" s="65"/>
      <c r="C10" s="65"/>
      <c r="D10" s="83" t="s">
        <v>2704</v>
      </c>
      <c r="E10" s="85" t="str">
        <f>_xll.LVDESC("Timeperiods",E$3,$R$7)</f>
        <v>Janv. 18 Prév</v>
      </c>
      <c r="F10" s="85" t="str">
        <f>_xll.LVDESC("Timeperiods",F$3,$R$7)</f>
        <v>Févr. 18 Prév</v>
      </c>
      <c r="G10" s="85" t="str">
        <f>_xll.LVDESC("Timeperiods",G$3,$R$7)</f>
        <v>Mars 18 Prév</v>
      </c>
      <c r="H10" s="85" t="str">
        <f>_xll.LVDESC("Timeperiods",H$3,$R$7)</f>
        <v>Avr. 18 Prév</v>
      </c>
      <c r="I10" s="85" t="str">
        <f>_xll.LVDESC("Timeperiods",I$3,$R$7)</f>
        <v>Mai 18 Prév</v>
      </c>
      <c r="J10" s="85" t="str">
        <f>_xll.LVDESC("Timeperiods",J$3,$R$7)</f>
        <v>Juin 18 Prév</v>
      </c>
      <c r="K10" s="85" t="str">
        <f>_xll.LVDESC("Timeperiods",K$3,$R$7)</f>
        <v>Juill. 18 Prév</v>
      </c>
      <c r="L10" s="85" t="str">
        <f>_xll.LVDESC("Timeperiods",L$3,$R$7)</f>
        <v>Août 18 Prév</v>
      </c>
      <c r="M10" s="85" t="str">
        <f>_xll.LVDESC("Timeperiods",M$3,$R$7)</f>
        <v>Sept. 18 Prév</v>
      </c>
      <c r="N10" s="85" t="str">
        <f>_xll.LVDESC("Timeperiods",N$3,$R$7)</f>
        <v>Oct. 18 Prév</v>
      </c>
      <c r="O10" s="85" t="str">
        <f>_xll.LVDESC("Timeperiods",O$3,$R$7)</f>
        <v>Nov. 18 Prév</v>
      </c>
      <c r="P10" s="85" t="str">
        <f>_xll.LVDESC("Timeperiods",P$3,$R$7)</f>
        <v>Déc. 18 Prév</v>
      </c>
      <c r="Q10" s="85" t="str">
        <f>_xll.LVDESC("Timeperiods",Q$2,$R$7)</f>
        <v>Déc. 18 YTD Prév</v>
      </c>
      <c r="R10" s="85" t="str">
        <f>_xll.LVDESC("Timeperiods",R$3,$R$7)</f>
        <v>Janv. 19 Budg</v>
      </c>
      <c r="S10" s="85" t="str">
        <f>_xll.LVDESC("Timeperiods",S$3,$R$7)</f>
        <v>Févr. 19 Budg</v>
      </c>
      <c r="T10" s="85" t="str">
        <f>_xll.LVDESC("Timeperiods",T$3,$R$7)</f>
        <v>Mars 19 Budg</v>
      </c>
      <c r="U10" s="85" t="str">
        <f>_xll.LVDESC("Timeperiods",U$3,$R$7)</f>
        <v>Avr. 19 Budg</v>
      </c>
      <c r="V10" s="85" t="str">
        <f>_xll.LVDESC("Timeperiods",V$3,$R$7)</f>
        <v>Mai 19 Budg</v>
      </c>
      <c r="W10" s="85" t="str">
        <f>_xll.LVDESC("Timeperiods",W$3,$R$7)</f>
        <v>Juin 19 Budg</v>
      </c>
      <c r="X10" s="85" t="str">
        <f>_xll.LVDESC("Timeperiods",X$3,$R$7)</f>
        <v>Juill. 19 Budg</v>
      </c>
      <c r="Y10" s="85" t="str">
        <f>_xll.LVDESC("Timeperiods",Y$3,$R$7)</f>
        <v>Août 19 Budg</v>
      </c>
      <c r="Z10" s="85" t="str">
        <f>_xll.LVDESC("Timeperiods",Z$3,$R$7)</f>
        <v>Sept. 19 Budg</v>
      </c>
      <c r="AA10" s="85" t="str">
        <f>_xll.LVDESC("Timeperiods",AA$3,$R$7)</f>
        <v>Oct. 19 Budg</v>
      </c>
      <c r="AB10" s="85" t="str">
        <f>_xll.LVDESC("Timeperiods",AB$3,$R$7)</f>
        <v>Nov. 19 Budg</v>
      </c>
      <c r="AC10" s="85" t="str">
        <f>_xll.LVDESC("Timeperiods",AC$3,$R$7)</f>
        <v>Déc. 19 Budg</v>
      </c>
      <c r="AD10" s="85" t="str">
        <f>_xll.LVDESC("Timeperiods",AD$2,$R$7)</f>
        <v>Déc. 19 YTD Budg</v>
      </c>
      <c r="AE10" s="774" t="s">
        <v>2736</v>
      </c>
      <c r="AF10" s="774" t="s">
        <v>2674</v>
      </c>
      <c r="AG10" s="772" t="s">
        <v>2667</v>
      </c>
      <c r="AI10" s="65" t="s">
        <v>2755</v>
      </c>
      <c r="AJ10" s="65"/>
      <c r="AK10" s="65"/>
      <c r="AL10" s="83" t="s">
        <v>2750</v>
      </c>
      <c r="AM10" s="85" t="str">
        <f>_xll.LVDESC("Timeperiods",AM$3,$R$7)</f>
        <v>Janv. 18 Prév</v>
      </c>
      <c r="AN10" s="85" t="str">
        <f>_xll.LVDESC("Timeperiods",AN$3,$R$7)</f>
        <v>Févr. 18 Prév</v>
      </c>
      <c r="AO10" s="85" t="str">
        <f>_xll.LVDESC("Timeperiods",AO$3,$R$7)</f>
        <v>Mars 18 Prév</v>
      </c>
      <c r="AP10" s="85" t="str">
        <f>_xll.LVDESC("Timeperiods",AP$3,$R$7)</f>
        <v>Avr. 18 Prév</v>
      </c>
      <c r="AQ10" s="85" t="str">
        <f>_xll.LVDESC("Timeperiods",AQ$3,$R$7)</f>
        <v>Mai 18 Prév</v>
      </c>
      <c r="AR10" s="85" t="str">
        <f>_xll.LVDESC("Timeperiods",AR$3,$R$7)</f>
        <v>Juin 18 Prév</v>
      </c>
      <c r="AS10" s="85" t="str">
        <f>_xll.LVDESC("Timeperiods",AS$3,$R$7)</f>
        <v>Juill. 18 Prév</v>
      </c>
      <c r="AT10" s="85" t="str">
        <f>_xll.LVDESC("Timeperiods",AT$3,$R$7)</f>
        <v>Août 18 Prév</v>
      </c>
      <c r="AU10" s="85" t="str">
        <f>_xll.LVDESC("Timeperiods",AU$3,$R$7)</f>
        <v>Sept. 18 Prév</v>
      </c>
      <c r="AV10" s="85" t="str">
        <f>_xll.LVDESC("Timeperiods",AV$3,$R$7)</f>
        <v>Oct. 18 Prév</v>
      </c>
      <c r="AW10" s="85" t="str">
        <f>_xll.LVDESC("Timeperiods",AW$3,$R$7)</f>
        <v>Nov. 18 Prév</v>
      </c>
      <c r="AX10" s="85" t="str">
        <f>_xll.LVDESC("Timeperiods",AX$3,$R$7)</f>
        <v>Déc. 18 Prév</v>
      </c>
      <c r="AY10" s="85" t="str">
        <f>_xll.LVDESC("Timeperiods",AY$2,$R$7)</f>
        <v>2018 Prév</v>
      </c>
      <c r="AZ10" s="85" t="str">
        <f>_xll.LVDESC("Timeperiods",AZ$3,$R$7)</f>
        <v>Janv. 19 Budg</v>
      </c>
      <c r="BA10" s="85" t="str">
        <f>_xll.LVDESC("Timeperiods",BA$3,$R$7)</f>
        <v>Févr. 19 Budg</v>
      </c>
      <c r="BB10" s="85" t="str">
        <f>_xll.LVDESC("Timeperiods",BB$3,$R$7)</f>
        <v>Mars 19 Budg</v>
      </c>
      <c r="BC10" s="85" t="str">
        <f>_xll.LVDESC("Timeperiods",BC$3,$R$7)</f>
        <v>Avr. 19 Budg</v>
      </c>
      <c r="BD10" s="85" t="str">
        <f>_xll.LVDESC("Timeperiods",BD$3,$R$7)</f>
        <v>Mai 19 Budg</v>
      </c>
      <c r="BE10" s="85" t="str">
        <f>_xll.LVDESC("Timeperiods",BE$3,$R$7)</f>
        <v>Juin 19 Budg</v>
      </c>
      <c r="BF10" s="85" t="str">
        <f>_xll.LVDESC("Timeperiods",BF$3,$R$7)</f>
        <v>Juill. 19 Budg</v>
      </c>
      <c r="BG10" s="85" t="str">
        <f>_xll.LVDESC("Timeperiods",BG$3,$R$7)</f>
        <v>Août 19 Budg</v>
      </c>
      <c r="BH10" s="85" t="str">
        <f>_xll.LVDESC("Timeperiods",BH$3,$R$7)</f>
        <v>Sept. 19 Budg</v>
      </c>
      <c r="BI10" s="85" t="str">
        <f>_xll.LVDESC("Timeperiods",BI$3,$R$7)</f>
        <v>Oct. 19 Budg</v>
      </c>
      <c r="BJ10" s="85" t="str">
        <f>_xll.LVDESC("Timeperiods",BJ$3,$R$7)</f>
        <v>Nov. 19 Budg</v>
      </c>
      <c r="BK10" s="85" t="str">
        <f>_xll.LVDESC("Timeperiods",BK$3,$R$7)</f>
        <v>Déc. 19 Budg</v>
      </c>
      <c r="BL10" s="85" t="str">
        <f>_xll.LVDESC("Timeperiods",BL$2,$R$7)</f>
        <v>Déc. 19 YTD Budg</v>
      </c>
      <c r="BM10" s="776" t="s">
        <v>2753</v>
      </c>
      <c r="BN10" s="219" t="s">
        <v>2737</v>
      </c>
      <c r="BO10" s="220" t="s">
        <v>2738</v>
      </c>
      <c r="BP10" s="774" t="s">
        <v>2754</v>
      </c>
      <c r="BQ10" s="772" t="s">
        <v>2667</v>
      </c>
      <c r="BS10" t="s">
        <v>2706</v>
      </c>
      <c r="BT10" t="s">
        <v>2707</v>
      </c>
      <c r="BU10" t="s">
        <v>2708</v>
      </c>
      <c r="BV10" t="s">
        <v>2709</v>
      </c>
      <c r="BX10" s="206" t="s">
        <v>2710</v>
      </c>
      <c r="BY10" s="206" t="s">
        <v>2711</v>
      </c>
      <c r="BZ10" s="206" t="s">
        <v>2712</v>
      </c>
    </row>
    <row r="11" spans="1:78" ht="39" outlineLevel="1" thickBot="1">
      <c r="A11" s="88" t="s">
        <v>523</v>
      </c>
      <c r="B11" s="88" t="s">
        <v>829</v>
      </c>
      <c r="C11" s="89" t="s">
        <v>524</v>
      </c>
      <c r="D11" s="89" t="s">
        <v>278</v>
      </c>
      <c r="E11" s="85" t="str">
        <f>_xll.LVDESC("accounts",$D$1,$R$7)</f>
        <v>Électricité en KWh vendue - Régulière</v>
      </c>
      <c r="F11" s="85" t="str">
        <f>_xll.LVDESC("accounts",$D$1,$R$7)</f>
        <v>Électricité en KWh vendue - Régulière</v>
      </c>
      <c r="G11" s="85" t="str">
        <f>_xll.LVDESC("accounts",$D$1,$R$7)</f>
        <v>Électricité en KWh vendue - Régulière</v>
      </c>
      <c r="H11" s="85" t="str">
        <f>_xll.LVDESC("accounts",$D$1,$R$7)</f>
        <v>Électricité en KWh vendue - Régulière</v>
      </c>
      <c r="I11" s="85" t="str">
        <f>_xll.LVDESC("accounts",$D$1,$R$7)</f>
        <v>Électricité en KWh vendue - Régulière</v>
      </c>
      <c r="J11" s="85" t="str">
        <f>_xll.LVDESC("accounts",$D$1,$R$7)</f>
        <v>Électricité en KWh vendue - Régulière</v>
      </c>
      <c r="K11" s="85" t="str">
        <f>_xll.LVDESC("accounts",$D$1,$R$7)</f>
        <v>Électricité en KWh vendue - Régulière</v>
      </c>
      <c r="L11" s="85" t="str">
        <f>_xll.LVDESC("accounts",$D$1,$R$7)</f>
        <v>Électricité en KWh vendue - Régulière</v>
      </c>
      <c r="M11" s="85" t="str">
        <f>_xll.LVDESC("accounts",$D$1,$R$7)</f>
        <v>Électricité en KWh vendue - Régulière</v>
      </c>
      <c r="N11" s="85" t="str">
        <f>_xll.LVDESC("accounts",$D$1,$R$7)</f>
        <v>Électricité en KWh vendue - Régulière</v>
      </c>
      <c r="O11" s="85" t="str">
        <f>_xll.LVDESC("accounts",$D$1,$R$7)</f>
        <v>Électricité en KWh vendue - Régulière</v>
      </c>
      <c r="P11" s="85" t="str">
        <f>_xll.LVDESC("accounts",$D$1,$R$7)</f>
        <v>Électricité en KWh vendue - Régulière</v>
      </c>
      <c r="Q11" s="85" t="str">
        <f>_xll.LVDESC("accounts",$D$1,$R$7)</f>
        <v>Électricité en KWh vendue - Régulière</v>
      </c>
      <c r="R11" s="85" t="str">
        <f>_xll.LVDESC("accounts",$D$1,$R$7)</f>
        <v>Électricité en KWh vendue - Régulière</v>
      </c>
      <c r="S11" s="85" t="str">
        <f>_xll.LVDESC("accounts",$D$1,$R$7)</f>
        <v>Électricité en KWh vendue - Régulière</v>
      </c>
      <c r="T11" s="85" t="str">
        <f>_xll.LVDESC("accounts",$D$1,$R$7)</f>
        <v>Électricité en KWh vendue - Régulière</v>
      </c>
      <c r="U11" s="85" t="str">
        <f>_xll.LVDESC("accounts",$D$1,$R$7)</f>
        <v>Électricité en KWh vendue - Régulière</v>
      </c>
      <c r="V11" s="85" t="str">
        <f>_xll.LVDESC("accounts",$D$1,$R$7)</f>
        <v>Électricité en KWh vendue - Régulière</v>
      </c>
      <c r="W11" s="85" t="str">
        <f>_xll.LVDESC("accounts",$D$1,$R$7)</f>
        <v>Électricité en KWh vendue - Régulière</v>
      </c>
      <c r="X11" s="85" t="str">
        <f>_xll.LVDESC("accounts",$D$1,$R$7)</f>
        <v>Électricité en KWh vendue - Régulière</v>
      </c>
      <c r="Y11" s="85" t="str">
        <f>_xll.LVDESC("accounts",$D$1,$R$7)</f>
        <v>Électricité en KWh vendue - Régulière</v>
      </c>
      <c r="Z11" s="85" t="str">
        <f>_xll.LVDESC("accounts",$D$1,$R$7)</f>
        <v>Électricité en KWh vendue - Régulière</v>
      </c>
      <c r="AA11" s="85" t="str">
        <f>_xll.LVDESC("accounts",$D$1,$R$7)</f>
        <v>Électricité en KWh vendue - Régulière</v>
      </c>
      <c r="AB11" s="85" t="str">
        <f>_xll.LVDESC("accounts",$D$1,$R$7)</f>
        <v>Électricité en KWh vendue - Régulière</v>
      </c>
      <c r="AC11" s="85" t="str">
        <f>_xll.LVDESC("accounts",$D$1,$R$7)</f>
        <v>Électricité en KWh vendue - Régulière</v>
      </c>
      <c r="AD11" s="85" t="str">
        <f>_xll.LVDESC("accounts",$D$1,$R$7)</f>
        <v>Électricité en KWh vendue - Régulière</v>
      </c>
      <c r="AE11" s="775"/>
      <c r="AF11" s="775"/>
      <c r="AG11" s="773"/>
      <c r="AI11" s="88" t="s">
        <v>523</v>
      </c>
      <c r="AJ11" s="88" t="s">
        <v>829</v>
      </c>
      <c r="AK11" s="89" t="s">
        <v>524</v>
      </c>
      <c r="AL11" s="89" t="s">
        <v>278</v>
      </c>
      <c r="AM11" s="85" t="str">
        <f>_xll.LVDESC("accounts",$AK$1,$R$7)</f>
        <v>Produits de la vente d'énergie</v>
      </c>
      <c r="AN11" s="85" t="str">
        <f>_xll.LVDESC("accounts",$AK$1,$R$7)</f>
        <v>Produits de la vente d'énergie</v>
      </c>
      <c r="AO11" s="85" t="str">
        <f>_xll.LVDESC("accounts",$AK$1,$R$7)</f>
        <v>Produits de la vente d'énergie</v>
      </c>
      <c r="AP11" s="85" t="str">
        <f>_xll.LVDESC("accounts",$AK$1,$R$7)</f>
        <v>Produits de la vente d'énergie</v>
      </c>
      <c r="AQ11" s="85" t="str">
        <f>_xll.LVDESC("accounts",$AK$1,$R$7)</f>
        <v>Produits de la vente d'énergie</v>
      </c>
      <c r="AR11" s="85" t="str">
        <f>_xll.LVDESC("accounts",$AK$1,$R$7)</f>
        <v>Produits de la vente d'énergie</v>
      </c>
      <c r="AS11" s="85" t="str">
        <f>_xll.LVDESC("accounts",$AK$1,$R$7)</f>
        <v>Produits de la vente d'énergie</v>
      </c>
      <c r="AT11" s="85" t="str">
        <f>_xll.LVDESC("accounts",$AK$1,$R$7)</f>
        <v>Produits de la vente d'énergie</v>
      </c>
      <c r="AU11" s="85" t="str">
        <f>_xll.LVDESC("accounts",$AK$1,$R$7)</f>
        <v>Produits de la vente d'énergie</v>
      </c>
      <c r="AV11" s="85" t="str">
        <f>_xll.LVDESC("accounts",$AK$1,$R$7)</f>
        <v>Produits de la vente d'énergie</v>
      </c>
      <c r="AW11" s="85" t="str">
        <f>_xll.LVDESC("accounts",$AK$1,$R$7)</f>
        <v>Produits de la vente d'énergie</v>
      </c>
      <c r="AX11" s="85" t="str">
        <f>_xll.LVDESC("accounts",$AK$1,$R$7)</f>
        <v>Produits de la vente d'énergie</v>
      </c>
      <c r="AY11" s="85" t="str">
        <f>_xll.LVDESC("accounts",$AK$1,$R$7)</f>
        <v>Produits de la vente d'énergie</v>
      </c>
      <c r="AZ11" s="85" t="str">
        <f>_xll.LVDESC("accounts",$AK$1,$R$7)</f>
        <v>Produits de la vente d'énergie</v>
      </c>
      <c r="BA11" s="85" t="str">
        <f>_xll.LVDESC("accounts",$AK$1,$R$7)</f>
        <v>Produits de la vente d'énergie</v>
      </c>
      <c r="BB11" s="85" t="str">
        <f>_xll.LVDESC("accounts",$AK$1,$R$7)</f>
        <v>Produits de la vente d'énergie</v>
      </c>
      <c r="BC11" s="85" t="str">
        <f>_xll.LVDESC("accounts",$AK$1,$R$7)</f>
        <v>Produits de la vente d'énergie</v>
      </c>
      <c r="BD11" s="85" t="str">
        <f>_xll.LVDESC("accounts",$AK$1,$R$7)</f>
        <v>Produits de la vente d'énergie</v>
      </c>
      <c r="BE11" s="85" t="str">
        <f>_xll.LVDESC("accounts",$AK$1,$R$7)</f>
        <v>Produits de la vente d'énergie</v>
      </c>
      <c r="BF11" s="85" t="str">
        <f>_xll.LVDESC("accounts",$AK$1,$R$7)</f>
        <v>Produits de la vente d'énergie</v>
      </c>
      <c r="BG11" s="85" t="str">
        <f>_xll.LVDESC("accounts",$AK$1,$R$7)</f>
        <v>Produits de la vente d'énergie</v>
      </c>
      <c r="BH11" s="85" t="str">
        <f>_xll.LVDESC("accounts",$AK$1,$R$7)</f>
        <v>Produits de la vente d'énergie</v>
      </c>
      <c r="BI11" s="85" t="str">
        <f>_xll.LVDESC("accounts",$AK$1,$R$7)</f>
        <v>Produits de la vente d'énergie</v>
      </c>
      <c r="BJ11" s="85" t="str">
        <f>_xll.LVDESC("accounts",$AK$1,$R$7)</f>
        <v>Produits de la vente d'énergie</v>
      </c>
      <c r="BK11" s="85" t="str">
        <f>_xll.LVDESC("accounts",$AK$1,$R$7)</f>
        <v>Produits de la vente d'énergie</v>
      </c>
      <c r="BL11" s="85" t="str">
        <f>_xll.LVDESC("accounts",$AK$1,$R$7)</f>
        <v>Produits de la vente d'énergie</v>
      </c>
      <c r="BM11" s="777"/>
      <c r="BN11" s="215"/>
      <c r="BO11" s="216"/>
      <c r="BP11" s="775"/>
      <c r="BQ11" s="773"/>
    </row>
    <row r="12" spans="1:78">
      <c r="B12" s="64" t="s">
        <v>406</v>
      </c>
      <c r="C12" s="64" t="s">
        <v>406</v>
      </c>
      <c r="D12" s="192" t="s">
        <v>526</v>
      </c>
      <c r="E12" s="172" t="e">
        <f>_xll.LVCELL($D$1,E$3,$C12,$D$2,$C$4,$C$5,$C$6,$C$7,$C$8,$D$3)/1000</f>
        <v>#VALUE!</v>
      </c>
      <c r="F12" s="172" t="e">
        <f>_xll.LVCELL($D$1,F$3,$C12,$D$2,$C$4,$C$5,$C$6,$C$7,$C$8,$D$3)/1000</f>
        <v>#VALUE!</v>
      </c>
      <c r="G12" s="172" t="e">
        <f>_xll.LVCELL($D$1,G$3,$C12,$D$2,$C$4,$C$5,$C$6,$C$7,$C$8,$D$3)/1000</f>
        <v>#VALUE!</v>
      </c>
      <c r="H12" s="172" t="e">
        <f>_xll.LVCELL($D$1,H$3,$C12,$D$2,$C$4,$C$5,$C$6,$C$7,$C$8,$D$3)/1000</f>
        <v>#VALUE!</v>
      </c>
      <c r="I12" s="172" t="e">
        <f>_xll.LVCELL($D$1,I$3,$C12,$D$2,$C$4,$C$5,$C$6,$C$7,$C$8,$D$3)/1000</f>
        <v>#VALUE!</v>
      </c>
      <c r="J12" s="172" t="e">
        <f>_xll.LVCELL($D$1,J$3,$C12,$D$2,$C$4,$C$5,$C$6,$C$7,$C$8,$D$3)/1000</f>
        <v>#VALUE!</v>
      </c>
      <c r="K12" s="172" t="e">
        <f>_xll.LVCELL($D$1,K$3,$C12,$D$2,$C$4,$C$5,$C$6,$C$7,$C$8,$D$3)/1000</f>
        <v>#VALUE!</v>
      </c>
      <c r="L12" s="172" t="e">
        <f>_xll.LVCELL($D$1,L$3,$C12,$D$2,$C$4,$C$5,$C$6,$C$7,$C$8,$D$3)/1000</f>
        <v>#VALUE!</v>
      </c>
      <c r="M12" s="172" t="e">
        <f>_xll.LVCELL($D$1,M$3,$C12,$D$2,$C$4,$C$5,$C$6,$C$7,$C$8,$D$3)/1000</f>
        <v>#VALUE!</v>
      </c>
      <c r="N12" s="172" t="e">
        <f>_xll.LVCELL($D$1,N$3,$C12,$D$2,$C$4,$C$5,$C$6,$C$7,$C$8,$D$3)/1000</f>
        <v>#VALUE!</v>
      </c>
      <c r="O12" s="172" t="e">
        <f>_xll.LVCELL($D$1,O$3,$C12,$D$2,$C$4,$C$5,$C$6,$C$7,$C$8,$D$3)/1000</f>
        <v>#VALUE!</v>
      </c>
      <c r="P12" s="172" t="e">
        <f>_xll.LVCELL($D$1,P$3,$C12,$D$2,$C$4,$C$5,$C$6,$C$7,$C$8,$D$3)/1000</f>
        <v>#VALUE!</v>
      </c>
      <c r="Q12" s="172" t="e">
        <f>_xll.LVCELL($D$1,Q$2,$C12,$D$2,$C$4,$C$5,$C$6,$C$7,$C$8,$D$3)/1000</f>
        <v>#VALUE!</v>
      </c>
      <c r="R12" s="172" t="e">
        <f>_xll.LVCELL($D$1,R$3,$C12,$D$2,$C$4,$C$5,$C$6,$C$7,$C$8,$D$3)/1000</f>
        <v>#VALUE!</v>
      </c>
      <c r="S12" s="172" t="e">
        <f>_xll.LVCELL($D$1,S$3,$C12,$D$2,$C$4,$C$5,$C$6,$C$7,$C$8,$D$3)/1000</f>
        <v>#VALUE!</v>
      </c>
      <c r="T12" s="172" t="e">
        <f>_xll.LVCELL($D$1,T$3,$C12,$D$2,$C$4,$C$5,$C$6,$C$7,$C$8,$D$3)/1000</f>
        <v>#VALUE!</v>
      </c>
      <c r="U12" s="172" t="e">
        <f>_xll.LVCELL($D$1,U$3,$C12,$D$2,$C$4,$C$5,$C$6,$C$7,$C$8,$D$3)/1000</f>
        <v>#VALUE!</v>
      </c>
      <c r="V12" s="172" t="e">
        <f>_xll.LVCELL($D$1,V$3,$C12,$D$2,$C$4,$C$5,$C$6,$C$7,$C$8,$D$3)/1000</f>
        <v>#VALUE!</v>
      </c>
      <c r="W12" s="172" t="e">
        <f>_xll.LVCELL($D$1,W$3,$C12,$D$2,$C$4,$C$5,$C$6,$C$7,$C$8,$D$3)/1000</f>
        <v>#VALUE!</v>
      </c>
      <c r="X12" s="172" t="e">
        <f>_xll.LVCELL($D$1,X$3,$C12,$D$2,$C$4,$C$5,$C$6,$C$7,$C$8,$D$3)/1000</f>
        <v>#VALUE!</v>
      </c>
      <c r="Y12" s="172" t="e">
        <f>_xll.LVCELL($D$1,Y$3,$C12,$D$2,$C$4,$C$5,$C$6,$C$7,$C$8,$D$3)/1000</f>
        <v>#VALUE!</v>
      </c>
      <c r="Z12" s="172" t="e">
        <f>_xll.LVCELL($D$1,Z$3,$C12,$D$2,$C$4,$C$5,$C$6,$C$7,$C$8,$D$3)/1000</f>
        <v>#VALUE!</v>
      </c>
      <c r="AA12" s="172" t="e">
        <f>_xll.LVCELL($D$1,AA$3,$C12,$D$2,$C$4,$C$5,$C$6,$C$7,$C$8,$D$3)/1000</f>
        <v>#VALUE!</v>
      </c>
      <c r="AB12" s="172" t="e">
        <f>_xll.LVCELL($D$1,AB$3,$C12,$D$2,$C$4,$C$5,$C$6,$C$7,$C$8,$D$3)/1000</f>
        <v>#VALUE!</v>
      </c>
      <c r="AC12" s="172" t="e">
        <f>_xll.LVCELL($D$1,AC$3,$C12,$D$2,$C$4,$C$5,$C$6,$C$7,$C$8,$D$3)/1000</f>
        <v>#VALUE!</v>
      </c>
      <c r="AD12" s="172" t="e">
        <f>_xll.LVCELL($D$1,AD$2,$C12,$D$2,$C$4,$C$5,$C$6,$C$7,$C$8,$D$3)/1000</f>
        <v>#VALUE!</v>
      </c>
      <c r="AE12" s="172" t="e">
        <f>AD12-Q12</f>
        <v>#VALUE!</v>
      </c>
      <c r="AF12" s="193" t="e">
        <f>AD12/Q12-1</f>
        <v>#VALUE!</v>
      </c>
      <c r="AG12" s="172" t="s">
        <v>2713</v>
      </c>
      <c r="AH12" s="61" t="e">
        <f>BN12+BO12-BM12</f>
        <v>#VALUE!</v>
      </c>
      <c r="AI12" s="64" t="s">
        <v>2766</v>
      </c>
      <c r="AJ12" s="64" t="s">
        <v>406</v>
      </c>
      <c r="AK12" s="64" t="s">
        <v>406</v>
      </c>
      <c r="AL12" s="192" t="s">
        <v>526</v>
      </c>
      <c r="AM12" s="172" t="e">
        <f>_xll.LVCELL($AK$1,AM$3,$AK12,$AL$2,$AK$4,$AK$5,$AK$6,$AK$7,$AK$8,$AL$3)/1000</f>
        <v>#VALUE!</v>
      </c>
      <c r="AN12" s="172" t="e">
        <f>_xll.LVCELL($AK$1,AN$3,$AK12,$AL$2,$AK$4,$AK$5,$AK$6,$AK$7,$AK$8,$AL$3)/1000</f>
        <v>#VALUE!</v>
      </c>
      <c r="AO12" s="172" t="e">
        <f>_xll.LVCELL($AK$1,AO$3,$AK12,$AL$2,$AK$4,$AK$5,$AK$6,$AK$7,$AK$8,$AL$3)/1000</f>
        <v>#VALUE!</v>
      </c>
      <c r="AP12" s="172" t="e">
        <f>_xll.LVCELL($AK$1,AP$3,$AK12,$AL$2,$AK$4,$AK$5,$AK$6,$AK$7,$AK$8,$AL$3)/1000</f>
        <v>#VALUE!</v>
      </c>
      <c r="AQ12" s="172" t="e">
        <f>_xll.LVCELL($AK$1,AQ$3,$AK12,$AL$2,$AK$4,$AK$5,$AK$6,$AK$7,$AK$8,$AL$3)/1000</f>
        <v>#VALUE!</v>
      </c>
      <c r="AR12" s="172" t="e">
        <f>_xll.LVCELL($AK$1,AR$3,$AK12,$AL$2,$AK$4,$AK$5,$AK$6,$AK$7,$AK$8,$AL$3)/1000</f>
        <v>#VALUE!</v>
      </c>
      <c r="AS12" s="172" t="e">
        <f>_xll.LVCELL($AK$1,AS$3,$AK12,$AL$2,$AK$4,$AK$5,$AK$6,$AK$7,$AK$8,$AL$3)/1000</f>
        <v>#VALUE!</v>
      </c>
      <c r="AT12" s="172" t="e">
        <f>_xll.LVCELL($AK$1,AT$3,$AK12,$AL$2,$AK$4,$AK$5,$AK$6,$AK$7,$AK$8,$AL$3)/1000</f>
        <v>#VALUE!</v>
      </c>
      <c r="AU12" s="172" t="e">
        <f>_xll.LVCELL($AK$1,AU$3,$AK12,$AL$2,$AK$4,$AK$5,$AK$6,$AK$7,$AK$8,$AL$3)/1000</f>
        <v>#VALUE!</v>
      </c>
      <c r="AV12" s="172" t="e">
        <f>_xll.LVCELL($AK$1,AV$3,$AK12,$AL$2,$AK$4,$AK$5,$AK$6,$AK$7,$AK$8,$AL$3)/1000</f>
        <v>#VALUE!</v>
      </c>
      <c r="AW12" s="172" t="e">
        <f>_xll.LVCELL($AK$1,AW$3,$AK12,$AL$2,$AK$4,$AK$5,$AK$6,$AK$7,$AK$8,$AL$3)/1000</f>
        <v>#VALUE!</v>
      </c>
      <c r="AX12" s="172" t="e">
        <f>_xll.LVCELL($AK$1,AX$3,$AK12,$AL$2,$AK$4,$AK$5,$AK$6,$AK$7,$AK$8,$AL$3)/1000</f>
        <v>#VALUE!</v>
      </c>
      <c r="AY12" s="172" t="e">
        <f>_xll.LVCELL($AK$1,AY$2,$AK12,$AL$2,$AK$4,$AK$5,$AK$6,$AK$7,$AK$8,$AL$3)/1000</f>
        <v>#VALUE!</v>
      </c>
      <c r="AZ12" s="172" t="e">
        <f>_xll.LVCELL($AK$1,AZ$3,$AK12,$AL$2,$AK$4,$AK$5,$AK$6,$AK$7,$AK$8,$AL$3)/1000</f>
        <v>#VALUE!</v>
      </c>
      <c r="BA12" s="172" t="e">
        <f>_xll.LVCELL($AK$1,BA$3,$AK12,$AL$2,$AK$4,$AK$5,$AK$6,$AK$7,$AK$8,$AL$3)/1000</f>
        <v>#VALUE!</v>
      </c>
      <c r="BB12" s="172" t="e">
        <f>_xll.LVCELL($AK$1,BB$3,$AK12,$AL$2,$AK$4,$AK$5,$AK$6,$AK$7,$AK$8,$AL$3)/1000</f>
        <v>#VALUE!</v>
      </c>
      <c r="BC12" s="172" t="e">
        <f>_xll.LVCELL($AK$1,BC$3,$AK12,$AL$2,$AK$4,$AK$5,$AK$6,$AK$7,$AK$8,$AL$3)/1000</f>
        <v>#VALUE!</v>
      </c>
      <c r="BD12" s="172" t="e">
        <f>_xll.LVCELL($AK$1,BD$3,$AK12,$AL$2,$AK$4,$AK$5,$AK$6,$AK$7,$AK$8,$AL$3)/1000</f>
        <v>#VALUE!</v>
      </c>
      <c r="BE12" s="172" t="e">
        <f>_xll.LVCELL($AK$1,BE$3,$AK12,$AL$2,$AK$4,$AK$5,$AK$6,$AK$7,$AK$8,$AL$3)/1000</f>
        <v>#VALUE!</v>
      </c>
      <c r="BF12" s="172" t="e">
        <f>_xll.LVCELL($AK$1,BF$3,$AK12,$AL$2,$AK$4,$AK$5,$AK$6,$AK$7,$AK$8,$AL$3)/1000</f>
        <v>#VALUE!</v>
      </c>
      <c r="BG12" s="172" t="e">
        <f>_xll.LVCELL($AK$1,BG$3,$AK12,$AL$2,$AK$4,$AK$5,$AK$6,$AK$7,$AK$8,$AL$3)/1000</f>
        <v>#VALUE!</v>
      </c>
      <c r="BH12" s="172" t="e">
        <f>_xll.LVCELL($AK$1,BH$3,$AK12,$AL$2,$AK$4,$AK$5,$AK$6,$AK$7,$AK$8,$AL$3)/1000</f>
        <v>#VALUE!</v>
      </c>
      <c r="BI12" s="172" t="e">
        <f>_xll.LVCELL($AK$1,BI$3,$AK12,$AL$2,$AK$4,$AK$5,$AK$6,$AK$7,$AK$8,$AL$3)/1000</f>
        <v>#VALUE!</v>
      </c>
      <c r="BJ12" s="172" t="e">
        <f>_xll.LVCELL($AK$1,BJ$3,$AK12,$AL$2,$AK$4,$AK$5,$AK$6,$AK$7,$AK$8,$AL$3)/1000</f>
        <v>#VALUE!</v>
      </c>
      <c r="BK12" s="172" t="e">
        <f>_xll.LVCELL($AK$1,BK$3,$AK12,$AL$2,$AK$4,$AK$5,$AK$6,$AK$7,$AK$8,$AL$3)/1000</f>
        <v>#VALUE!</v>
      </c>
      <c r="BL12" s="172" t="e">
        <f>_xll.LVCELL($AK$1,BL$2,$AK12,$AL$2,$AK$4,$AK$5,$AK$6,$AK$7,$AK$8,$AL$3)/1000</f>
        <v>#VALUE!</v>
      </c>
      <c r="BM12" s="214" t="e">
        <f>BL12-AY12</f>
        <v>#VALUE!</v>
      </c>
      <c r="BN12" s="217" t="e">
        <f>BX12</f>
        <v>#VALUE!</v>
      </c>
      <c r="BO12" s="218" t="e">
        <f>BY12</f>
        <v>#VALUE!</v>
      </c>
      <c r="BP12" s="193" t="e">
        <f>BL12/AY12-1</f>
        <v>#VALUE!</v>
      </c>
      <c r="BQ12" s="172" t="s">
        <v>2693</v>
      </c>
      <c r="BS12" s="198">
        <f>+IFERROR(AY12/Q12*1000,0)</f>
        <v>0</v>
      </c>
      <c r="BT12" s="198">
        <f>+IFERROR(BL12/AD12*1000,0)</f>
        <v>0</v>
      </c>
      <c r="BU12" s="198">
        <f>+BT12-BS12</f>
        <v>0</v>
      </c>
      <c r="BV12" s="199" t="str">
        <f>+IFERROR(BU12/BS12,"N/A")</f>
        <v>N/A</v>
      </c>
      <c r="BX12" s="200" t="e">
        <f>+AE12*BT12/1000</f>
        <v>#VALUE!</v>
      </c>
      <c r="BY12" s="200" t="e">
        <f>+BU12*Q12/1000</f>
        <v>#VALUE!</v>
      </c>
      <c r="BZ12" s="200" t="e">
        <f>+SUM(BX12:BY12)</f>
        <v>#VALUE!</v>
      </c>
    </row>
    <row r="13" spans="1:78">
      <c r="B13" s="64" t="s">
        <v>250</v>
      </c>
      <c r="C13" s="64" t="s">
        <v>250</v>
      </c>
      <c r="D13" s="192" t="s">
        <v>527</v>
      </c>
      <c r="E13" s="172" t="e">
        <f>_xll.LVCELL($D$1,E$3,$C13,$D$2,$C$4,$C$5,$C$6,$C$7,$C$8,$D$3)/1000</f>
        <v>#VALUE!</v>
      </c>
      <c r="F13" s="172" t="e">
        <f>_xll.LVCELL($D$1,F$3,$C13,$D$2,$C$4,$C$5,$C$6,$C$7,$C$8,$D$3)/1000</f>
        <v>#VALUE!</v>
      </c>
      <c r="G13" s="172" t="e">
        <f>_xll.LVCELL($D$1,G$3,$C13,$D$2,$C$4,$C$5,$C$6,$C$7,$C$8,$D$3)/1000</f>
        <v>#VALUE!</v>
      </c>
      <c r="H13" s="172" t="e">
        <f>_xll.LVCELL($D$1,H$3,$C13,$D$2,$C$4,$C$5,$C$6,$C$7,$C$8,$D$3)/1000</f>
        <v>#VALUE!</v>
      </c>
      <c r="I13" s="172" t="e">
        <f>_xll.LVCELL($D$1,I$3,$C13,$D$2,$C$4,$C$5,$C$6,$C$7,$C$8,$D$3)/1000</f>
        <v>#VALUE!</v>
      </c>
      <c r="J13" s="172" t="e">
        <f>_xll.LVCELL($D$1,J$3,$C13,$D$2,$C$4,$C$5,$C$6,$C$7,$C$8,$D$3)/1000</f>
        <v>#VALUE!</v>
      </c>
      <c r="K13" s="172" t="e">
        <f>_xll.LVCELL($D$1,K$3,$C13,$D$2,$C$4,$C$5,$C$6,$C$7,$C$8,$D$3)/1000</f>
        <v>#VALUE!</v>
      </c>
      <c r="L13" s="172" t="e">
        <f>_xll.LVCELL($D$1,L$3,$C13,$D$2,$C$4,$C$5,$C$6,$C$7,$C$8,$D$3)/1000</f>
        <v>#VALUE!</v>
      </c>
      <c r="M13" s="172" t="e">
        <f>_xll.LVCELL($D$1,M$3,$C13,$D$2,$C$4,$C$5,$C$6,$C$7,$C$8,$D$3)/1000</f>
        <v>#VALUE!</v>
      </c>
      <c r="N13" s="172" t="e">
        <f>_xll.LVCELL($D$1,N$3,$C13,$D$2,$C$4,$C$5,$C$6,$C$7,$C$8,$D$3)/1000</f>
        <v>#VALUE!</v>
      </c>
      <c r="O13" s="172" t="e">
        <f>_xll.LVCELL($D$1,O$3,$C13,$D$2,$C$4,$C$5,$C$6,$C$7,$C$8,$D$3)/1000</f>
        <v>#VALUE!</v>
      </c>
      <c r="P13" s="172" t="e">
        <f>_xll.LVCELL($D$1,P$3,$C13,$D$2,$C$4,$C$5,$C$6,$C$7,$C$8,$D$3)/1000</f>
        <v>#VALUE!</v>
      </c>
      <c r="Q13" s="172" t="e">
        <f>_xll.LVCELL($D$1,Q$2,$C13,$D$2,$C$4,$C$5,$C$6,$C$7,$C$8,$D$3)/1000</f>
        <v>#VALUE!</v>
      </c>
      <c r="R13" s="172" t="e">
        <f>_xll.LVCELL($D$1,R$3,$C13,$D$2,$C$4,$C$5,$C$6,$C$7,$C$8,$D$3)/1000</f>
        <v>#VALUE!</v>
      </c>
      <c r="S13" s="172" t="e">
        <f>_xll.LVCELL($D$1,S$3,$C13,$D$2,$C$4,$C$5,$C$6,$C$7,$C$8,$D$3)/1000</f>
        <v>#VALUE!</v>
      </c>
      <c r="T13" s="172" t="e">
        <f>_xll.LVCELL($D$1,T$3,$C13,$D$2,$C$4,$C$5,$C$6,$C$7,$C$8,$D$3)/1000</f>
        <v>#VALUE!</v>
      </c>
      <c r="U13" s="172" t="e">
        <f>_xll.LVCELL($D$1,U$3,$C13,$D$2,$C$4,$C$5,$C$6,$C$7,$C$8,$D$3)/1000</f>
        <v>#VALUE!</v>
      </c>
      <c r="V13" s="172" t="e">
        <f>_xll.LVCELL($D$1,V$3,$C13,$D$2,$C$4,$C$5,$C$6,$C$7,$C$8,$D$3)/1000</f>
        <v>#VALUE!</v>
      </c>
      <c r="W13" s="172" t="e">
        <f>_xll.LVCELL($D$1,W$3,$C13,$D$2,$C$4,$C$5,$C$6,$C$7,$C$8,$D$3)/1000</f>
        <v>#VALUE!</v>
      </c>
      <c r="X13" s="172" t="e">
        <f>_xll.LVCELL($D$1,X$3,$C13,$D$2,$C$4,$C$5,$C$6,$C$7,$C$8,$D$3)/1000</f>
        <v>#VALUE!</v>
      </c>
      <c r="Y13" s="172" t="e">
        <f>_xll.LVCELL($D$1,Y$3,$C13,$D$2,$C$4,$C$5,$C$6,$C$7,$C$8,$D$3)/1000</f>
        <v>#VALUE!</v>
      </c>
      <c r="Z13" s="172" t="e">
        <f>_xll.LVCELL($D$1,Z$3,$C13,$D$2,$C$4,$C$5,$C$6,$C$7,$C$8,$D$3)/1000</f>
        <v>#VALUE!</v>
      </c>
      <c r="AA13" s="172" t="e">
        <f>_xll.LVCELL($D$1,AA$3,$C13,$D$2,$C$4,$C$5,$C$6,$C$7,$C$8,$D$3)/1000</f>
        <v>#VALUE!</v>
      </c>
      <c r="AB13" s="172" t="e">
        <f>_xll.LVCELL($D$1,AB$3,$C13,$D$2,$C$4,$C$5,$C$6,$C$7,$C$8,$D$3)/1000</f>
        <v>#VALUE!</v>
      </c>
      <c r="AC13" s="172" t="e">
        <f>_xll.LVCELL($D$1,AC$3,$C13,$D$2,$C$4,$C$5,$C$6,$C$7,$C$8,$D$3)/1000</f>
        <v>#VALUE!</v>
      </c>
      <c r="AD13" s="172" t="e">
        <f>_xll.LVCELL($D$1,AD$2,$C13,$D$2,$C$4,$C$5,$C$6,$C$7,$C$8,$D$3)/1000</f>
        <v>#VALUE!</v>
      </c>
      <c r="AE13" s="172" t="e">
        <f t="shared" ref="AE13:AE76" si="0">AD13-Q13</f>
        <v>#VALUE!</v>
      </c>
      <c r="AF13" s="193" t="e">
        <f t="shared" ref="AF13:AF56" si="1">AD13/Q13-1</f>
        <v>#VALUE!</v>
      </c>
      <c r="AG13" s="172" t="s">
        <v>2713</v>
      </c>
      <c r="AH13" s="61" t="e">
        <f t="shared" ref="AH13:AH76" si="2">BN13+BO13-BM13</f>
        <v>#VALUE!</v>
      </c>
      <c r="AI13" s="64" t="s">
        <v>2766</v>
      </c>
      <c r="AJ13" s="64" t="s">
        <v>250</v>
      </c>
      <c r="AK13" s="64" t="s">
        <v>250</v>
      </c>
      <c r="AL13" s="192" t="s">
        <v>527</v>
      </c>
      <c r="AM13" s="172" t="e">
        <f>_xll.LVCELL($AK$1,AM$3,$AK13,$AL$2,$AK$4,$AK$5,$AK$6,$AK$7,$AK$8,$AL$3)/1000</f>
        <v>#VALUE!</v>
      </c>
      <c r="AN13" s="172" t="e">
        <f>_xll.LVCELL($AK$1,AN$3,$AK13,$AL$2,$AK$4,$AK$5,$AK$6,$AK$7,$AK$8,$AL$3)/1000</f>
        <v>#VALUE!</v>
      </c>
      <c r="AO13" s="172" t="e">
        <f>_xll.LVCELL($AK$1,AO$3,$AK13,$AL$2,$AK$4,$AK$5,$AK$6,$AK$7,$AK$8,$AL$3)/1000</f>
        <v>#VALUE!</v>
      </c>
      <c r="AP13" s="172" t="e">
        <f>_xll.LVCELL($AK$1,AP$3,$AK13,$AL$2,$AK$4,$AK$5,$AK$6,$AK$7,$AK$8,$AL$3)/1000</f>
        <v>#VALUE!</v>
      </c>
      <c r="AQ13" s="172" t="e">
        <f>_xll.LVCELL($AK$1,AQ$3,$AK13,$AL$2,$AK$4,$AK$5,$AK$6,$AK$7,$AK$8,$AL$3)/1000</f>
        <v>#VALUE!</v>
      </c>
      <c r="AR13" s="172" t="e">
        <f>_xll.LVCELL($AK$1,AR$3,$AK13,$AL$2,$AK$4,$AK$5,$AK$6,$AK$7,$AK$8,$AL$3)/1000</f>
        <v>#VALUE!</v>
      </c>
      <c r="AS13" s="172" t="e">
        <f>_xll.LVCELL($AK$1,AS$3,$AK13,$AL$2,$AK$4,$AK$5,$AK$6,$AK$7,$AK$8,$AL$3)/1000</f>
        <v>#VALUE!</v>
      </c>
      <c r="AT13" s="172" t="e">
        <f>_xll.LVCELL($AK$1,AT$3,$AK13,$AL$2,$AK$4,$AK$5,$AK$6,$AK$7,$AK$8,$AL$3)/1000</f>
        <v>#VALUE!</v>
      </c>
      <c r="AU13" s="172" t="e">
        <f>_xll.LVCELL($AK$1,AU$3,$AK13,$AL$2,$AK$4,$AK$5,$AK$6,$AK$7,$AK$8,$AL$3)/1000</f>
        <v>#VALUE!</v>
      </c>
      <c r="AV13" s="172" t="e">
        <f>_xll.LVCELL($AK$1,AV$3,$AK13,$AL$2,$AK$4,$AK$5,$AK$6,$AK$7,$AK$8,$AL$3)/1000</f>
        <v>#VALUE!</v>
      </c>
      <c r="AW13" s="172" t="e">
        <f>_xll.LVCELL($AK$1,AW$3,$AK13,$AL$2,$AK$4,$AK$5,$AK$6,$AK$7,$AK$8,$AL$3)/1000</f>
        <v>#VALUE!</v>
      </c>
      <c r="AX13" s="172" t="e">
        <f>_xll.LVCELL($AK$1,AX$3,$AK13,$AL$2,$AK$4,$AK$5,$AK$6,$AK$7,$AK$8,$AL$3)/1000</f>
        <v>#VALUE!</v>
      </c>
      <c r="AY13" s="172" t="e">
        <f>_xll.LVCELL($AK$1,AY$2,$AK13,$AL$2,$AK$4,$AK$5,$AK$6,$AK$7,$AK$8,$AL$3)/1000</f>
        <v>#VALUE!</v>
      </c>
      <c r="AZ13" s="172" t="e">
        <f>_xll.LVCELL($AK$1,AZ$3,$AK13,$AL$2,$AK$4,$AK$5,$AK$6,$AK$7,$AK$8,$AL$3)/1000</f>
        <v>#VALUE!</v>
      </c>
      <c r="BA13" s="172" t="e">
        <f>_xll.LVCELL($AK$1,BA$3,$AK13,$AL$2,$AK$4,$AK$5,$AK$6,$AK$7,$AK$8,$AL$3)/1000</f>
        <v>#VALUE!</v>
      </c>
      <c r="BB13" s="172" t="e">
        <f>_xll.LVCELL($AK$1,BB$3,$AK13,$AL$2,$AK$4,$AK$5,$AK$6,$AK$7,$AK$8,$AL$3)/1000</f>
        <v>#VALUE!</v>
      </c>
      <c r="BC13" s="172" t="e">
        <f>_xll.LVCELL($AK$1,BC$3,$AK13,$AL$2,$AK$4,$AK$5,$AK$6,$AK$7,$AK$8,$AL$3)/1000</f>
        <v>#VALUE!</v>
      </c>
      <c r="BD13" s="172" t="e">
        <f>_xll.LVCELL($AK$1,BD$3,$AK13,$AL$2,$AK$4,$AK$5,$AK$6,$AK$7,$AK$8,$AL$3)/1000</f>
        <v>#VALUE!</v>
      </c>
      <c r="BE13" s="172" t="e">
        <f>_xll.LVCELL($AK$1,BE$3,$AK13,$AL$2,$AK$4,$AK$5,$AK$6,$AK$7,$AK$8,$AL$3)/1000</f>
        <v>#VALUE!</v>
      </c>
      <c r="BF13" s="172" t="e">
        <f>_xll.LVCELL($AK$1,BF$3,$AK13,$AL$2,$AK$4,$AK$5,$AK$6,$AK$7,$AK$8,$AL$3)/1000</f>
        <v>#VALUE!</v>
      </c>
      <c r="BG13" s="172" t="e">
        <f>_xll.LVCELL($AK$1,BG$3,$AK13,$AL$2,$AK$4,$AK$5,$AK$6,$AK$7,$AK$8,$AL$3)/1000</f>
        <v>#VALUE!</v>
      </c>
      <c r="BH13" s="172" t="e">
        <f>_xll.LVCELL($AK$1,BH$3,$AK13,$AL$2,$AK$4,$AK$5,$AK$6,$AK$7,$AK$8,$AL$3)/1000</f>
        <v>#VALUE!</v>
      </c>
      <c r="BI13" s="172" t="e">
        <f>_xll.LVCELL($AK$1,BI$3,$AK13,$AL$2,$AK$4,$AK$5,$AK$6,$AK$7,$AK$8,$AL$3)/1000</f>
        <v>#VALUE!</v>
      </c>
      <c r="BJ13" s="172" t="e">
        <f>_xll.LVCELL($AK$1,BJ$3,$AK13,$AL$2,$AK$4,$AK$5,$AK$6,$AK$7,$AK$8,$AL$3)/1000</f>
        <v>#VALUE!</v>
      </c>
      <c r="BK13" s="172" t="e">
        <f>_xll.LVCELL($AK$1,BK$3,$AK13,$AL$2,$AK$4,$AK$5,$AK$6,$AK$7,$AK$8,$AL$3)/1000</f>
        <v>#VALUE!</v>
      </c>
      <c r="BL13" s="172" t="e">
        <f>_xll.LVCELL($AK$1,BL$2,$AK13,$AL$2,$AK$4,$AK$5,$AK$6,$AK$7,$AK$8,$AL$3)/1000</f>
        <v>#VALUE!</v>
      </c>
      <c r="BM13" s="214" t="e">
        <f t="shared" ref="BM13:BM72" si="3">BL13-AY13</f>
        <v>#VALUE!</v>
      </c>
      <c r="BN13" s="217" t="e">
        <f t="shared" ref="BN13:BO76" si="4">BX13</f>
        <v>#VALUE!</v>
      </c>
      <c r="BO13" s="218" t="e">
        <f t="shared" si="4"/>
        <v>#VALUE!</v>
      </c>
      <c r="BP13" s="193" t="e">
        <f t="shared" ref="BP13:BP77" si="5">BL13/AY13-1</f>
        <v>#VALUE!</v>
      </c>
      <c r="BQ13" s="172" t="s">
        <v>2679</v>
      </c>
      <c r="BS13" s="198">
        <f t="shared" ref="BS13:BS76" si="6">+IFERROR(AY13/Q13*1000,0)</f>
        <v>0</v>
      </c>
      <c r="BT13" s="198">
        <f t="shared" ref="BT13:BT76" si="7">+IFERROR(BL13/AD13*1000,0)</f>
        <v>0</v>
      </c>
      <c r="BU13" s="198">
        <f t="shared" ref="BU13:BU76" si="8">+BT13-BS13</f>
        <v>0</v>
      </c>
      <c r="BV13" s="199" t="str">
        <f t="shared" ref="BV13:BV76" si="9">+IFERROR(BU13/BS13,"N/A")</f>
        <v>N/A</v>
      </c>
      <c r="BX13" s="200" t="e">
        <f t="shared" ref="BX13:BX76" si="10">+AE13*BT13/1000</f>
        <v>#VALUE!</v>
      </c>
      <c r="BY13" s="200" t="e">
        <f t="shared" ref="BY13:BY76" si="11">+BU13*Q13/1000</f>
        <v>#VALUE!</v>
      </c>
      <c r="BZ13" s="200" t="e">
        <f t="shared" ref="BZ13:BZ76" si="12">+SUM(BX13:BY13)</f>
        <v>#VALUE!</v>
      </c>
    </row>
    <row r="14" spans="1:78">
      <c r="B14" s="64" t="s">
        <v>409</v>
      </c>
      <c r="C14" s="64" t="s">
        <v>409</v>
      </c>
      <c r="D14" s="192" t="s">
        <v>284</v>
      </c>
      <c r="E14" s="172" t="e">
        <f>_xll.LVCELL($D$1,E$3,$C14,$D$2,$C$4,$C$5,$C$6,$C$7,$C$8,$D$3)/1000</f>
        <v>#VALUE!</v>
      </c>
      <c r="F14" s="172" t="e">
        <f>_xll.LVCELL($D$1,F$3,$C14,$D$2,$C$4,$C$5,$C$6,$C$7,$C$8,$D$3)/1000</f>
        <v>#VALUE!</v>
      </c>
      <c r="G14" s="172" t="e">
        <f>_xll.LVCELL($D$1,G$3,$C14,$D$2,$C$4,$C$5,$C$6,$C$7,$C$8,$D$3)/1000</f>
        <v>#VALUE!</v>
      </c>
      <c r="H14" s="172" t="e">
        <f>_xll.LVCELL($D$1,H$3,$C14,$D$2,$C$4,$C$5,$C$6,$C$7,$C$8,$D$3)/1000</f>
        <v>#VALUE!</v>
      </c>
      <c r="I14" s="172" t="e">
        <f>_xll.LVCELL($D$1,I$3,$C14,$D$2,$C$4,$C$5,$C$6,$C$7,$C$8,$D$3)/1000</f>
        <v>#VALUE!</v>
      </c>
      <c r="J14" s="172" t="e">
        <f>_xll.LVCELL($D$1,J$3,$C14,$D$2,$C$4,$C$5,$C$6,$C$7,$C$8,$D$3)/1000</f>
        <v>#VALUE!</v>
      </c>
      <c r="K14" s="172" t="e">
        <f>_xll.LVCELL($D$1,K$3,$C14,$D$2,$C$4,$C$5,$C$6,$C$7,$C$8,$D$3)/1000</f>
        <v>#VALUE!</v>
      </c>
      <c r="L14" s="172" t="e">
        <f>_xll.LVCELL($D$1,L$3,$C14,$D$2,$C$4,$C$5,$C$6,$C$7,$C$8,$D$3)/1000</f>
        <v>#VALUE!</v>
      </c>
      <c r="M14" s="172" t="e">
        <f>_xll.LVCELL($D$1,M$3,$C14,$D$2,$C$4,$C$5,$C$6,$C$7,$C$8,$D$3)/1000</f>
        <v>#VALUE!</v>
      </c>
      <c r="N14" s="172" t="e">
        <f>_xll.LVCELL($D$1,N$3,$C14,$D$2,$C$4,$C$5,$C$6,$C$7,$C$8,$D$3)/1000</f>
        <v>#VALUE!</v>
      </c>
      <c r="O14" s="172" t="e">
        <f>_xll.LVCELL($D$1,O$3,$C14,$D$2,$C$4,$C$5,$C$6,$C$7,$C$8,$D$3)/1000</f>
        <v>#VALUE!</v>
      </c>
      <c r="P14" s="172" t="e">
        <f>_xll.LVCELL($D$1,P$3,$C14,$D$2,$C$4,$C$5,$C$6,$C$7,$C$8,$D$3)/1000</f>
        <v>#VALUE!</v>
      </c>
      <c r="Q14" s="172" t="e">
        <f>_xll.LVCELL($D$1,Q$2,$C14,$D$2,$C$4,$C$5,$C$6,$C$7,$C$8,$D$3)/1000</f>
        <v>#VALUE!</v>
      </c>
      <c r="R14" s="172" t="e">
        <f>_xll.LVCELL($D$1,R$3,$C14,$D$2,$C$4,$C$5,$C$6,$C$7,$C$8,$D$3)/1000</f>
        <v>#VALUE!</v>
      </c>
      <c r="S14" s="172" t="e">
        <f>_xll.LVCELL($D$1,S$3,$C14,$D$2,$C$4,$C$5,$C$6,$C$7,$C$8,$D$3)/1000</f>
        <v>#VALUE!</v>
      </c>
      <c r="T14" s="172" t="e">
        <f>_xll.LVCELL($D$1,T$3,$C14,$D$2,$C$4,$C$5,$C$6,$C$7,$C$8,$D$3)/1000</f>
        <v>#VALUE!</v>
      </c>
      <c r="U14" s="172" t="e">
        <f>_xll.LVCELL($D$1,U$3,$C14,$D$2,$C$4,$C$5,$C$6,$C$7,$C$8,$D$3)/1000</f>
        <v>#VALUE!</v>
      </c>
      <c r="V14" s="172" t="e">
        <f>_xll.LVCELL($D$1,V$3,$C14,$D$2,$C$4,$C$5,$C$6,$C$7,$C$8,$D$3)/1000</f>
        <v>#VALUE!</v>
      </c>
      <c r="W14" s="172" t="e">
        <f>_xll.LVCELL($D$1,W$3,$C14,$D$2,$C$4,$C$5,$C$6,$C$7,$C$8,$D$3)/1000</f>
        <v>#VALUE!</v>
      </c>
      <c r="X14" s="172" t="e">
        <f>_xll.LVCELL($D$1,X$3,$C14,$D$2,$C$4,$C$5,$C$6,$C$7,$C$8,$D$3)/1000</f>
        <v>#VALUE!</v>
      </c>
      <c r="Y14" s="172" t="e">
        <f>_xll.LVCELL($D$1,Y$3,$C14,$D$2,$C$4,$C$5,$C$6,$C$7,$C$8,$D$3)/1000</f>
        <v>#VALUE!</v>
      </c>
      <c r="Z14" s="172" t="e">
        <f>_xll.LVCELL($D$1,Z$3,$C14,$D$2,$C$4,$C$5,$C$6,$C$7,$C$8,$D$3)/1000</f>
        <v>#VALUE!</v>
      </c>
      <c r="AA14" s="172" t="e">
        <f>_xll.LVCELL($D$1,AA$3,$C14,$D$2,$C$4,$C$5,$C$6,$C$7,$C$8,$D$3)/1000</f>
        <v>#VALUE!</v>
      </c>
      <c r="AB14" s="172" t="e">
        <f>_xll.LVCELL($D$1,AB$3,$C14,$D$2,$C$4,$C$5,$C$6,$C$7,$C$8,$D$3)/1000</f>
        <v>#VALUE!</v>
      </c>
      <c r="AC14" s="172" t="e">
        <f>_xll.LVCELL($D$1,AC$3,$C14,$D$2,$C$4,$C$5,$C$6,$C$7,$C$8,$D$3)/1000</f>
        <v>#VALUE!</v>
      </c>
      <c r="AD14" s="172" t="e">
        <f>_xll.LVCELL($D$1,AD$2,$C14,$D$2,$C$4,$C$5,$C$6,$C$7,$C$8,$D$3)/1000</f>
        <v>#VALUE!</v>
      </c>
      <c r="AE14" s="172" t="e">
        <f t="shared" si="0"/>
        <v>#VALUE!</v>
      </c>
      <c r="AF14" s="193" t="e">
        <f t="shared" si="1"/>
        <v>#VALUE!</v>
      </c>
      <c r="AG14" s="172" t="s">
        <v>2713</v>
      </c>
      <c r="AH14" s="61" t="e">
        <f t="shared" si="2"/>
        <v>#VALUE!</v>
      </c>
      <c r="AI14" s="64" t="s">
        <v>2767</v>
      </c>
      <c r="AJ14" s="64" t="s">
        <v>409</v>
      </c>
      <c r="AK14" s="64" t="s">
        <v>409</v>
      </c>
      <c r="AL14" s="192" t="s">
        <v>284</v>
      </c>
      <c r="AM14" s="172" t="e">
        <f>_xll.LVCELL($AK$1,AM$3,$AK14,$AL$2,$AK$4,$AK$5,$AK$6,$AK$7,$AK$8,$AL$3)/1000</f>
        <v>#VALUE!</v>
      </c>
      <c r="AN14" s="172" t="e">
        <f>_xll.LVCELL($AK$1,AN$3,$AK14,$AL$2,$AK$4,$AK$5,$AK$6,$AK$7,$AK$8,$AL$3)/1000</f>
        <v>#VALUE!</v>
      </c>
      <c r="AO14" s="172" t="e">
        <f>_xll.LVCELL($AK$1,AO$3,$AK14,$AL$2,$AK$4,$AK$5,$AK$6,$AK$7,$AK$8,$AL$3)/1000</f>
        <v>#VALUE!</v>
      </c>
      <c r="AP14" s="172" t="e">
        <f>_xll.LVCELL($AK$1,AP$3,$AK14,$AL$2,$AK$4,$AK$5,$AK$6,$AK$7,$AK$8,$AL$3)/1000</f>
        <v>#VALUE!</v>
      </c>
      <c r="AQ14" s="172" t="e">
        <f>_xll.LVCELL($AK$1,AQ$3,$AK14,$AL$2,$AK$4,$AK$5,$AK$6,$AK$7,$AK$8,$AL$3)/1000</f>
        <v>#VALUE!</v>
      </c>
      <c r="AR14" s="172" t="e">
        <f>_xll.LVCELL($AK$1,AR$3,$AK14,$AL$2,$AK$4,$AK$5,$AK$6,$AK$7,$AK$8,$AL$3)/1000</f>
        <v>#VALUE!</v>
      </c>
      <c r="AS14" s="172" t="e">
        <f>_xll.LVCELL($AK$1,AS$3,$AK14,$AL$2,$AK$4,$AK$5,$AK$6,$AK$7,$AK$8,$AL$3)/1000</f>
        <v>#VALUE!</v>
      </c>
      <c r="AT14" s="172" t="e">
        <f>_xll.LVCELL($AK$1,AT$3,$AK14,$AL$2,$AK$4,$AK$5,$AK$6,$AK$7,$AK$8,$AL$3)/1000</f>
        <v>#VALUE!</v>
      </c>
      <c r="AU14" s="172" t="e">
        <f>_xll.LVCELL($AK$1,AU$3,$AK14,$AL$2,$AK$4,$AK$5,$AK$6,$AK$7,$AK$8,$AL$3)/1000</f>
        <v>#VALUE!</v>
      </c>
      <c r="AV14" s="172" t="e">
        <f>_xll.LVCELL($AK$1,AV$3,$AK14,$AL$2,$AK$4,$AK$5,$AK$6,$AK$7,$AK$8,$AL$3)/1000</f>
        <v>#VALUE!</v>
      </c>
      <c r="AW14" s="172" t="e">
        <f>_xll.LVCELL($AK$1,AW$3,$AK14,$AL$2,$AK$4,$AK$5,$AK$6,$AK$7,$AK$8,$AL$3)/1000</f>
        <v>#VALUE!</v>
      </c>
      <c r="AX14" s="172" t="e">
        <f>_xll.LVCELL($AK$1,AX$3,$AK14,$AL$2,$AK$4,$AK$5,$AK$6,$AK$7,$AK$8,$AL$3)/1000</f>
        <v>#VALUE!</v>
      </c>
      <c r="AY14" s="172" t="e">
        <f>_xll.LVCELL($AK$1,AY$2,$AK14,$AL$2,$AK$4,$AK$5,$AK$6,$AK$7,$AK$8,$AL$3)/1000</f>
        <v>#VALUE!</v>
      </c>
      <c r="AZ14" s="172" t="e">
        <f>_xll.LVCELL($AK$1,AZ$3,$AK14,$AL$2,$AK$4,$AK$5,$AK$6,$AK$7,$AK$8,$AL$3)/1000</f>
        <v>#VALUE!</v>
      </c>
      <c r="BA14" s="172" t="e">
        <f>_xll.LVCELL($AK$1,BA$3,$AK14,$AL$2,$AK$4,$AK$5,$AK$6,$AK$7,$AK$8,$AL$3)/1000</f>
        <v>#VALUE!</v>
      </c>
      <c r="BB14" s="172" t="e">
        <f>_xll.LVCELL($AK$1,BB$3,$AK14,$AL$2,$AK$4,$AK$5,$AK$6,$AK$7,$AK$8,$AL$3)/1000</f>
        <v>#VALUE!</v>
      </c>
      <c r="BC14" s="172" t="e">
        <f>_xll.LVCELL($AK$1,BC$3,$AK14,$AL$2,$AK$4,$AK$5,$AK$6,$AK$7,$AK$8,$AL$3)/1000</f>
        <v>#VALUE!</v>
      </c>
      <c r="BD14" s="172" t="e">
        <f>_xll.LVCELL($AK$1,BD$3,$AK14,$AL$2,$AK$4,$AK$5,$AK$6,$AK$7,$AK$8,$AL$3)/1000</f>
        <v>#VALUE!</v>
      </c>
      <c r="BE14" s="172" t="e">
        <f>_xll.LVCELL($AK$1,BE$3,$AK14,$AL$2,$AK$4,$AK$5,$AK$6,$AK$7,$AK$8,$AL$3)/1000</f>
        <v>#VALUE!</v>
      </c>
      <c r="BF14" s="172" t="e">
        <f>_xll.LVCELL($AK$1,BF$3,$AK14,$AL$2,$AK$4,$AK$5,$AK$6,$AK$7,$AK$8,$AL$3)/1000</f>
        <v>#VALUE!</v>
      </c>
      <c r="BG14" s="172" t="e">
        <f>_xll.LVCELL($AK$1,BG$3,$AK14,$AL$2,$AK$4,$AK$5,$AK$6,$AK$7,$AK$8,$AL$3)/1000</f>
        <v>#VALUE!</v>
      </c>
      <c r="BH14" s="172" t="e">
        <f>_xll.LVCELL($AK$1,BH$3,$AK14,$AL$2,$AK$4,$AK$5,$AK$6,$AK$7,$AK$8,$AL$3)/1000</f>
        <v>#VALUE!</v>
      </c>
      <c r="BI14" s="172" t="e">
        <f>_xll.LVCELL($AK$1,BI$3,$AK14,$AL$2,$AK$4,$AK$5,$AK$6,$AK$7,$AK$8,$AL$3)/1000</f>
        <v>#VALUE!</v>
      </c>
      <c r="BJ14" s="172" t="e">
        <f>_xll.LVCELL($AK$1,BJ$3,$AK14,$AL$2,$AK$4,$AK$5,$AK$6,$AK$7,$AK$8,$AL$3)/1000</f>
        <v>#VALUE!</v>
      </c>
      <c r="BK14" s="172" t="e">
        <f>_xll.LVCELL($AK$1,BK$3,$AK14,$AL$2,$AK$4,$AK$5,$AK$6,$AK$7,$AK$8,$AL$3)/1000</f>
        <v>#VALUE!</v>
      </c>
      <c r="BL14" s="172" t="e">
        <f>_xll.LVCELL($AK$1,BL$2,$AK14,$AL$2,$AK$4,$AK$5,$AK$6,$AK$7,$AK$8,$AL$3)/1000</f>
        <v>#VALUE!</v>
      </c>
      <c r="BM14" s="214" t="e">
        <f t="shared" si="3"/>
        <v>#VALUE!</v>
      </c>
      <c r="BN14" s="217" t="e">
        <f t="shared" si="4"/>
        <v>#VALUE!</v>
      </c>
      <c r="BO14" s="218" t="e">
        <f t="shared" si="4"/>
        <v>#VALUE!</v>
      </c>
      <c r="BP14" s="193" t="e">
        <f t="shared" si="5"/>
        <v>#VALUE!</v>
      </c>
      <c r="BQ14" s="172" t="s">
        <v>2670</v>
      </c>
      <c r="BS14" s="198">
        <f t="shared" si="6"/>
        <v>0</v>
      </c>
      <c r="BT14" s="198">
        <f t="shared" si="7"/>
        <v>0</v>
      </c>
      <c r="BU14" s="198">
        <f t="shared" si="8"/>
        <v>0</v>
      </c>
      <c r="BV14" s="199" t="str">
        <f t="shared" si="9"/>
        <v>N/A</v>
      </c>
      <c r="BX14" s="200" t="e">
        <f t="shared" si="10"/>
        <v>#VALUE!</v>
      </c>
      <c r="BY14" s="200" t="e">
        <f t="shared" si="11"/>
        <v>#VALUE!</v>
      </c>
      <c r="BZ14" s="200" t="e">
        <f t="shared" si="12"/>
        <v>#VALUE!</v>
      </c>
    </row>
    <row r="15" spans="1:78">
      <c r="B15" s="64" t="s">
        <v>411</v>
      </c>
      <c r="C15" s="64" t="s">
        <v>411</v>
      </c>
      <c r="D15" s="192" t="s">
        <v>285</v>
      </c>
      <c r="E15" s="172" t="e">
        <f>_xll.LVCELL($D$1,E$3,$C15,$D$2,$C$4,$C$5,$C$6,$C$7,$C$8,$D$3)/1000</f>
        <v>#VALUE!</v>
      </c>
      <c r="F15" s="172" t="e">
        <f>_xll.LVCELL($D$1,F$3,$C15,$D$2,$C$4,$C$5,$C$6,$C$7,$C$8,$D$3)/1000</f>
        <v>#VALUE!</v>
      </c>
      <c r="G15" s="172" t="e">
        <f>_xll.LVCELL($D$1,G$3,$C15,$D$2,$C$4,$C$5,$C$6,$C$7,$C$8,$D$3)/1000</f>
        <v>#VALUE!</v>
      </c>
      <c r="H15" s="172" t="e">
        <f>_xll.LVCELL($D$1,H$3,$C15,$D$2,$C$4,$C$5,$C$6,$C$7,$C$8,$D$3)/1000</f>
        <v>#VALUE!</v>
      </c>
      <c r="I15" s="172" t="e">
        <f>_xll.LVCELL($D$1,I$3,$C15,$D$2,$C$4,$C$5,$C$6,$C$7,$C$8,$D$3)/1000</f>
        <v>#VALUE!</v>
      </c>
      <c r="J15" s="172" t="e">
        <f>_xll.LVCELL($D$1,J$3,$C15,$D$2,$C$4,$C$5,$C$6,$C$7,$C$8,$D$3)/1000</f>
        <v>#VALUE!</v>
      </c>
      <c r="K15" s="172" t="e">
        <f>_xll.LVCELL($D$1,K$3,$C15,$D$2,$C$4,$C$5,$C$6,$C$7,$C$8,$D$3)/1000</f>
        <v>#VALUE!</v>
      </c>
      <c r="L15" s="172" t="e">
        <f>_xll.LVCELL($D$1,L$3,$C15,$D$2,$C$4,$C$5,$C$6,$C$7,$C$8,$D$3)/1000</f>
        <v>#VALUE!</v>
      </c>
      <c r="M15" s="172" t="e">
        <f>_xll.LVCELL($D$1,M$3,$C15,$D$2,$C$4,$C$5,$C$6,$C$7,$C$8,$D$3)/1000</f>
        <v>#VALUE!</v>
      </c>
      <c r="N15" s="172" t="e">
        <f>_xll.LVCELL($D$1,N$3,$C15,$D$2,$C$4,$C$5,$C$6,$C$7,$C$8,$D$3)/1000</f>
        <v>#VALUE!</v>
      </c>
      <c r="O15" s="172" t="e">
        <f>_xll.LVCELL($D$1,O$3,$C15,$D$2,$C$4,$C$5,$C$6,$C$7,$C$8,$D$3)/1000</f>
        <v>#VALUE!</v>
      </c>
      <c r="P15" s="172" t="e">
        <f>_xll.LVCELL($D$1,P$3,$C15,$D$2,$C$4,$C$5,$C$6,$C$7,$C$8,$D$3)/1000</f>
        <v>#VALUE!</v>
      </c>
      <c r="Q15" s="172" t="e">
        <f>_xll.LVCELL($D$1,Q$2,$C15,$D$2,$C$4,$C$5,$C$6,$C$7,$C$8,$D$3)/1000</f>
        <v>#VALUE!</v>
      </c>
      <c r="R15" s="172" t="e">
        <f>_xll.LVCELL($D$1,R$3,$C15,$D$2,$C$4,$C$5,$C$6,$C$7,$C$8,$D$3)/1000</f>
        <v>#VALUE!</v>
      </c>
      <c r="S15" s="172" t="e">
        <f>_xll.LVCELL($D$1,S$3,$C15,$D$2,$C$4,$C$5,$C$6,$C$7,$C$8,$D$3)/1000</f>
        <v>#VALUE!</v>
      </c>
      <c r="T15" s="172" t="e">
        <f>_xll.LVCELL($D$1,T$3,$C15,$D$2,$C$4,$C$5,$C$6,$C$7,$C$8,$D$3)/1000</f>
        <v>#VALUE!</v>
      </c>
      <c r="U15" s="172" t="e">
        <f>_xll.LVCELL($D$1,U$3,$C15,$D$2,$C$4,$C$5,$C$6,$C$7,$C$8,$D$3)/1000</f>
        <v>#VALUE!</v>
      </c>
      <c r="V15" s="172" t="e">
        <f>_xll.LVCELL($D$1,V$3,$C15,$D$2,$C$4,$C$5,$C$6,$C$7,$C$8,$D$3)/1000</f>
        <v>#VALUE!</v>
      </c>
      <c r="W15" s="172" t="e">
        <f>_xll.LVCELL($D$1,W$3,$C15,$D$2,$C$4,$C$5,$C$6,$C$7,$C$8,$D$3)/1000</f>
        <v>#VALUE!</v>
      </c>
      <c r="X15" s="172" t="e">
        <f>_xll.LVCELL($D$1,X$3,$C15,$D$2,$C$4,$C$5,$C$6,$C$7,$C$8,$D$3)/1000</f>
        <v>#VALUE!</v>
      </c>
      <c r="Y15" s="172" t="e">
        <f>_xll.LVCELL($D$1,Y$3,$C15,$D$2,$C$4,$C$5,$C$6,$C$7,$C$8,$D$3)/1000</f>
        <v>#VALUE!</v>
      </c>
      <c r="Z15" s="172" t="e">
        <f>_xll.LVCELL($D$1,Z$3,$C15,$D$2,$C$4,$C$5,$C$6,$C$7,$C$8,$D$3)/1000</f>
        <v>#VALUE!</v>
      </c>
      <c r="AA15" s="172" t="e">
        <f>_xll.LVCELL($D$1,AA$3,$C15,$D$2,$C$4,$C$5,$C$6,$C$7,$C$8,$D$3)/1000</f>
        <v>#VALUE!</v>
      </c>
      <c r="AB15" s="172" t="e">
        <f>_xll.LVCELL($D$1,AB$3,$C15,$D$2,$C$4,$C$5,$C$6,$C$7,$C$8,$D$3)/1000</f>
        <v>#VALUE!</v>
      </c>
      <c r="AC15" s="172" t="e">
        <f>_xll.LVCELL($D$1,AC$3,$C15,$D$2,$C$4,$C$5,$C$6,$C$7,$C$8,$D$3)/1000</f>
        <v>#VALUE!</v>
      </c>
      <c r="AD15" s="172" t="e">
        <f>_xll.LVCELL($D$1,AD$2,$C15,$D$2,$C$4,$C$5,$C$6,$C$7,$C$8,$D$3)/1000</f>
        <v>#VALUE!</v>
      </c>
      <c r="AE15" s="172" t="e">
        <f t="shared" si="0"/>
        <v>#VALUE!</v>
      </c>
      <c r="AF15" s="193" t="e">
        <f t="shared" si="1"/>
        <v>#VALUE!</v>
      </c>
      <c r="AG15" s="172" t="s">
        <v>2713</v>
      </c>
      <c r="AH15" s="61" t="e">
        <f t="shared" si="2"/>
        <v>#VALUE!</v>
      </c>
      <c r="AI15" s="64" t="s">
        <v>2767</v>
      </c>
      <c r="AJ15" s="64" t="s">
        <v>411</v>
      </c>
      <c r="AK15" s="64" t="s">
        <v>411</v>
      </c>
      <c r="AL15" s="192" t="s">
        <v>285</v>
      </c>
      <c r="AM15" s="172" t="e">
        <f>_xll.LVCELL($AK$1,AM$3,$AK15,$AL$2,$AK$4,$AK$5,$AK$6,$AK$7,$AK$8,$AL$3)/1000</f>
        <v>#VALUE!</v>
      </c>
      <c r="AN15" s="172" t="e">
        <f>_xll.LVCELL($AK$1,AN$3,$AK15,$AL$2,$AK$4,$AK$5,$AK$6,$AK$7,$AK$8,$AL$3)/1000</f>
        <v>#VALUE!</v>
      </c>
      <c r="AO15" s="172" t="e">
        <f>_xll.LVCELL($AK$1,AO$3,$AK15,$AL$2,$AK$4,$AK$5,$AK$6,$AK$7,$AK$8,$AL$3)/1000</f>
        <v>#VALUE!</v>
      </c>
      <c r="AP15" s="172" t="e">
        <f>_xll.LVCELL($AK$1,AP$3,$AK15,$AL$2,$AK$4,$AK$5,$AK$6,$AK$7,$AK$8,$AL$3)/1000</f>
        <v>#VALUE!</v>
      </c>
      <c r="AQ15" s="172" t="e">
        <f>_xll.LVCELL($AK$1,AQ$3,$AK15,$AL$2,$AK$4,$AK$5,$AK$6,$AK$7,$AK$8,$AL$3)/1000</f>
        <v>#VALUE!</v>
      </c>
      <c r="AR15" s="172" t="e">
        <f>_xll.LVCELL($AK$1,AR$3,$AK15,$AL$2,$AK$4,$AK$5,$AK$6,$AK$7,$AK$8,$AL$3)/1000</f>
        <v>#VALUE!</v>
      </c>
      <c r="AS15" s="172" t="e">
        <f>_xll.LVCELL($AK$1,AS$3,$AK15,$AL$2,$AK$4,$AK$5,$AK$6,$AK$7,$AK$8,$AL$3)/1000</f>
        <v>#VALUE!</v>
      </c>
      <c r="AT15" s="172" t="e">
        <f>_xll.LVCELL($AK$1,AT$3,$AK15,$AL$2,$AK$4,$AK$5,$AK$6,$AK$7,$AK$8,$AL$3)/1000</f>
        <v>#VALUE!</v>
      </c>
      <c r="AU15" s="172" t="e">
        <f>_xll.LVCELL($AK$1,AU$3,$AK15,$AL$2,$AK$4,$AK$5,$AK$6,$AK$7,$AK$8,$AL$3)/1000</f>
        <v>#VALUE!</v>
      </c>
      <c r="AV15" s="172" t="e">
        <f>_xll.LVCELL($AK$1,AV$3,$AK15,$AL$2,$AK$4,$AK$5,$AK$6,$AK$7,$AK$8,$AL$3)/1000</f>
        <v>#VALUE!</v>
      </c>
      <c r="AW15" s="172" t="e">
        <f>_xll.LVCELL($AK$1,AW$3,$AK15,$AL$2,$AK$4,$AK$5,$AK$6,$AK$7,$AK$8,$AL$3)/1000</f>
        <v>#VALUE!</v>
      </c>
      <c r="AX15" s="172" t="e">
        <f>_xll.LVCELL($AK$1,AX$3,$AK15,$AL$2,$AK$4,$AK$5,$AK$6,$AK$7,$AK$8,$AL$3)/1000</f>
        <v>#VALUE!</v>
      </c>
      <c r="AY15" s="172" t="e">
        <f>_xll.LVCELL($AK$1,AY$2,$AK15,$AL$2,$AK$4,$AK$5,$AK$6,$AK$7,$AK$8,$AL$3)/1000</f>
        <v>#VALUE!</v>
      </c>
      <c r="AZ15" s="172" t="e">
        <f>_xll.LVCELL($AK$1,AZ$3,$AK15,$AL$2,$AK$4,$AK$5,$AK$6,$AK$7,$AK$8,$AL$3)/1000</f>
        <v>#VALUE!</v>
      </c>
      <c r="BA15" s="172" t="e">
        <f>_xll.LVCELL($AK$1,BA$3,$AK15,$AL$2,$AK$4,$AK$5,$AK$6,$AK$7,$AK$8,$AL$3)/1000</f>
        <v>#VALUE!</v>
      </c>
      <c r="BB15" s="172" t="e">
        <f>_xll.LVCELL($AK$1,BB$3,$AK15,$AL$2,$AK$4,$AK$5,$AK$6,$AK$7,$AK$8,$AL$3)/1000</f>
        <v>#VALUE!</v>
      </c>
      <c r="BC15" s="172" t="e">
        <f>_xll.LVCELL($AK$1,BC$3,$AK15,$AL$2,$AK$4,$AK$5,$AK$6,$AK$7,$AK$8,$AL$3)/1000</f>
        <v>#VALUE!</v>
      </c>
      <c r="BD15" s="172" t="e">
        <f>_xll.LVCELL($AK$1,BD$3,$AK15,$AL$2,$AK$4,$AK$5,$AK$6,$AK$7,$AK$8,$AL$3)/1000</f>
        <v>#VALUE!</v>
      </c>
      <c r="BE15" s="172" t="e">
        <f>_xll.LVCELL($AK$1,BE$3,$AK15,$AL$2,$AK$4,$AK$5,$AK$6,$AK$7,$AK$8,$AL$3)/1000</f>
        <v>#VALUE!</v>
      </c>
      <c r="BF15" s="172" t="e">
        <f>_xll.LVCELL($AK$1,BF$3,$AK15,$AL$2,$AK$4,$AK$5,$AK$6,$AK$7,$AK$8,$AL$3)/1000</f>
        <v>#VALUE!</v>
      </c>
      <c r="BG15" s="172" t="e">
        <f>_xll.LVCELL($AK$1,BG$3,$AK15,$AL$2,$AK$4,$AK$5,$AK$6,$AK$7,$AK$8,$AL$3)/1000</f>
        <v>#VALUE!</v>
      </c>
      <c r="BH15" s="172" t="e">
        <f>_xll.LVCELL($AK$1,BH$3,$AK15,$AL$2,$AK$4,$AK$5,$AK$6,$AK$7,$AK$8,$AL$3)/1000</f>
        <v>#VALUE!</v>
      </c>
      <c r="BI15" s="172" t="e">
        <f>_xll.LVCELL($AK$1,BI$3,$AK15,$AL$2,$AK$4,$AK$5,$AK$6,$AK$7,$AK$8,$AL$3)/1000</f>
        <v>#VALUE!</v>
      </c>
      <c r="BJ15" s="172" t="e">
        <f>_xll.LVCELL($AK$1,BJ$3,$AK15,$AL$2,$AK$4,$AK$5,$AK$6,$AK$7,$AK$8,$AL$3)/1000</f>
        <v>#VALUE!</v>
      </c>
      <c r="BK15" s="172" t="e">
        <f>_xll.LVCELL($AK$1,BK$3,$AK15,$AL$2,$AK$4,$AK$5,$AK$6,$AK$7,$AK$8,$AL$3)/1000</f>
        <v>#VALUE!</v>
      </c>
      <c r="BL15" s="172" t="e">
        <f>_xll.LVCELL($AK$1,BL$2,$AK15,$AL$2,$AK$4,$AK$5,$AK$6,$AK$7,$AK$8,$AL$3)/1000</f>
        <v>#VALUE!</v>
      </c>
      <c r="BM15" s="214" t="e">
        <f t="shared" si="3"/>
        <v>#VALUE!</v>
      </c>
      <c r="BN15" s="217" t="e">
        <f t="shared" si="4"/>
        <v>#VALUE!</v>
      </c>
      <c r="BO15" s="218" t="e">
        <f t="shared" si="4"/>
        <v>#VALUE!</v>
      </c>
      <c r="BP15" s="193" t="e">
        <f t="shared" si="5"/>
        <v>#VALUE!</v>
      </c>
      <c r="BQ15" s="190" t="s">
        <v>2714</v>
      </c>
      <c r="BS15" s="198">
        <f t="shared" si="6"/>
        <v>0</v>
      </c>
      <c r="BT15" s="198">
        <f t="shared" si="7"/>
        <v>0</v>
      </c>
      <c r="BU15" s="198">
        <f t="shared" si="8"/>
        <v>0</v>
      </c>
      <c r="BV15" s="199" t="str">
        <f t="shared" si="9"/>
        <v>N/A</v>
      </c>
      <c r="BX15" s="200" t="e">
        <f t="shared" si="10"/>
        <v>#VALUE!</v>
      </c>
      <c r="BY15" s="200" t="e">
        <f t="shared" si="11"/>
        <v>#VALUE!</v>
      </c>
      <c r="BZ15" s="200" t="e">
        <f t="shared" si="12"/>
        <v>#VALUE!</v>
      </c>
    </row>
    <row r="16" spans="1:78">
      <c r="B16" s="64" t="s">
        <v>316</v>
      </c>
      <c r="C16" s="64" t="s">
        <v>316</v>
      </c>
      <c r="D16" s="192" t="s">
        <v>528</v>
      </c>
      <c r="E16" s="172" t="e">
        <f>_xll.LVCELL($D$1,E$3,$C16,$D$2,$C$4,$C$5,$C$6,$C$7,$C$8,$D$3)/1000</f>
        <v>#VALUE!</v>
      </c>
      <c r="F16" s="172" t="e">
        <f>_xll.LVCELL($D$1,F$3,$C16,$D$2,$C$4,$C$5,$C$6,$C$7,$C$8,$D$3)/1000</f>
        <v>#VALUE!</v>
      </c>
      <c r="G16" s="172" t="e">
        <f>_xll.LVCELL($D$1,G$3,$C16,$D$2,$C$4,$C$5,$C$6,$C$7,$C$8,$D$3)/1000</f>
        <v>#VALUE!</v>
      </c>
      <c r="H16" s="172" t="e">
        <f>_xll.LVCELL($D$1,H$3,$C16,$D$2,$C$4,$C$5,$C$6,$C$7,$C$8,$D$3)/1000</f>
        <v>#VALUE!</v>
      </c>
      <c r="I16" s="172" t="e">
        <f>_xll.LVCELL($D$1,I$3,$C16,$D$2,$C$4,$C$5,$C$6,$C$7,$C$8,$D$3)/1000</f>
        <v>#VALUE!</v>
      </c>
      <c r="J16" s="172" t="e">
        <f>_xll.LVCELL($D$1,J$3,$C16,$D$2,$C$4,$C$5,$C$6,$C$7,$C$8,$D$3)/1000</f>
        <v>#VALUE!</v>
      </c>
      <c r="K16" s="172" t="e">
        <f>_xll.LVCELL($D$1,K$3,$C16,$D$2,$C$4,$C$5,$C$6,$C$7,$C$8,$D$3)/1000</f>
        <v>#VALUE!</v>
      </c>
      <c r="L16" s="172" t="e">
        <f>_xll.LVCELL($D$1,L$3,$C16,$D$2,$C$4,$C$5,$C$6,$C$7,$C$8,$D$3)/1000</f>
        <v>#VALUE!</v>
      </c>
      <c r="M16" s="172" t="e">
        <f>_xll.LVCELL($D$1,M$3,$C16,$D$2,$C$4,$C$5,$C$6,$C$7,$C$8,$D$3)/1000</f>
        <v>#VALUE!</v>
      </c>
      <c r="N16" s="172" t="e">
        <f>_xll.LVCELL($D$1,N$3,$C16,$D$2,$C$4,$C$5,$C$6,$C$7,$C$8,$D$3)/1000</f>
        <v>#VALUE!</v>
      </c>
      <c r="O16" s="172" t="e">
        <f>_xll.LVCELL($D$1,O$3,$C16,$D$2,$C$4,$C$5,$C$6,$C$7,$C$8,$D$3)/1000</f>
        <v>#VALUE!</v>
      </c>
      <c r="P16" s="172" t="e">
        <f>_xll.LVCELL($D$1,P$3,$C16,$D$2,$C$4,$C$5,$C$6,$C$7,$C$8,$D$3)/1000</f>
        <v>#VALUE!</v>
      </c>
      <c r="Q16" s="172" t="e">
        <f>_xll.LVCELL($D$1,Q$2,$C16,$D$2,$C$4,$C$5,$C$6,$C$7,$C$8,$D$3)/1000</f>
        <v>#VALUE!</v>
      </c>
      <c r="R16" s="172" t="e">
        <f>_xll.LVCELL($D$1,R$3,$C16,$D$2,$C$4,$C$5,$C$6,$C$7,$C$8,$D$3)/1000</f>
        <v>#VALUE!</v>
      </c>
      <c r="S16" s="172" t="e">
        <f>_xll.LVCELL($D$1,S$3,$C16,$D$2,$C$4,$C$5,$C$6,$C$7,$C$8,$D$3)/1000</f>
        <v>#VALUE!</v>
      </c>
      <c r="T16" s="172" t="e">
        <f>_xll.LVCELL($D$1,T$3,$C16,$D$2,$C$4,$C$5,$C$6,$C$7,$C$8,$D$3)/1000</f>
        <v>#VALUE!</v>
      </c>
      <c r="U16" s="172" t="e">
        <f>_xll.LVCELL($D$1,U$3,$C16,$D$2,$C$4,$C$5,$C$6,$C$7,$C$8,$D$3)/1000</f>
        <v>#VALUE!</v>
      </c>
      <c r="V16" s="172" t="e">
        <f>_xll.LVCELL($D$1,V$3,$C16,$D$2,$C$4,$C$5,$C$6,$C$7,$C$8,$D$3)/1000</f>
        <v>#VALUE!</v>
      </c>
      <c r="W16" s="172" t="e">
        <f>_xll.LVCELL($D$1,W$3,$C16,$D$2,$C$4,$C$5,$C$6,$C$7,$C$8,$D$3)/1000</f>
        <v>#VALUE!</v>
      </c>
      <c r="X16" s="172" t="e">
        <f>_xll.LVCELL($D$1,X$3,$C16,$D$2,$C$4,$C$5,$C$6,$C$7,$C$8,$D$3)/1000</f>
        <v>#VALUE!</v>
      </c>
      <c r="Y16" s="172" t="e">
        <f>_xll.LVCELL($D$1,Y$3,$C16,$D$2,$C$4,$C$5,$C$6,$C$7,$C$8,$D$3)/1000</f>
        <v>#VALUE!</v>
      </c>
      <c r="Z16" s="172" t="e">
        <f>_xll.LVCELL($D$1,Z$3,$C16,$D$2,$C$4,$C$5,$C$6,$C$7,$C$8,$D$3)/1000</f>
        <v>#VALUE!</v>
      </c>
      <c r="AA16" s="172" t="e">
        <f>_xll.LVCELL($D$1,AA$3,$C16,$D$2,$C$4,$C$5,$C$6,$C$7,$C$8,$D$3)/1000</f>
        <v>#VALUE!</v>
      </c>
      <c r="AB16" s="172" t="e">
        <f>_xll.LVCELL($D$1,AB$3,$C16,$D$2,$C$4,$C$5,$C$6,$C$7,$C$8,$D$3)/1000</f>
        <v>#VALUE!</v>
      </c>
      <c r="AC16" s="172" t="e">
        <f>_xll.LVCELL($D$1,AC$3,$C16,$D$2,$C$4,$C$5,$C$6,$C$7,$C$8,$D$3)/1000</f>
        <v>#VALUE!</v>
      </c>
      <c r="AD16" s="172" t="e">
        <f>_xll.LVCELL($D$1,AD$2,$C16,$D$2,$C$4,$C$5,$C$6,$C$7,$C$8,$D$3)/1000</f>
        <v>#VALUE!</v>
      </c>
      <c r="AE16" s="172" t="e">
        <f t="shared" si="0"/>
        <v>#VALUE!</v>
      </c>
      <c r="AF16" s="193" t="e">
        <f t="shared" si="1"/>
        <v>#VALUE!</v>
      </c>
      <c r="AG16" s="172" t="s">
        <v>2715</v>
      </c>
      <c r="AH16" s="61" t="e">
        <f t="shared" si="2"/>
        <v>#VALUE!</v>
      </c>
      <c r="AI16" s="64" t="s">
        <v>2766</v>
      </c>
      <c r="AJ16" s="64" t="s">
        <v>316</v>
      </c>
      <c r="AK16" s="64" t="s">
        <v>316</v>
      </c>
      <c r="AL16" s="192" t="s">
        <v>528</v>
      </c>
      <c r="AM16" s="172" t="e">
        <f>_xll.LVCELL($AK$1,AM$3,$AK16,$AL$2,$AK$4,$AK$5,$AK$6,$AK$7,$AK$8,$AL$3)/1000</f>
        <v>#VALUE!</v>
      </c>
      <c r="AN16" s="172" t="e">
        <f>_xll.LVCELL($AK$1,AN$3,$AK16,$AL$2,$AK$4,$AK$5,$AK$6,$AK$7,$AK$8,$AL$3)/1000</f>
        <v>#VALUE!</v>
      </c>
      <c r="AO16" s="172" t="e">
        <f>_xll.LVCELL($AK$1,AO$3,$AK16,$AL$2,$AK$4,$AK$5,$AK$6,$AK$7,$AK$8,$AL$3)/1000</f>
        <v>#VALUE!</v>
      </c>
      <c r="AP16" s="172" t="e">
        <f>_xll.LVCELL($AK$1,AP$3,$AK16,$AL$2,$AK$4,$AK$5,$AK$6,$AK$7,$AK$8,$AL$3)/1000</f>
        <v>#VALUE!</v>
      </c>
      <c r="AQ16" s="172" t="e">
        <f>_xll.LVCELL($AK$1,AQ$3,$AK16,$AL$2,$AK$4,$AK$5,$AK$6,$AK$7,$AK$8,$AL$3)/1000</f>
        <v>#VALUE!</v>
      </c>
      <c r="AR16" s="172" t="e">
        <f>_xll.LVCELL($AK$1,AR$3,$AK16,$AL$2,$AK$4,$AK$5,$AK$6,$AK$7,$AK$8,$AL$3)/1000</f>
        <v>#VALUE!</v>
      </c>
      <c r="AS16" s="172" t="e">
        <f>_xll.LVCELL($AK$1,AS$3,$AK16,$AL$2,$AK$4,$AK$5,$AK$6,$AK$7,$AK$8,$AL$3)/1000</f>
        <v>#VALUE!</v>
      </c>
      <c r="AT16" s="172" t="e">
        <f>_xll.LVCELL($AK$1,AT$3,$AK16,$AL$2,$AK$4,$AK$5,$AK$6,$AK$7,$AK$8,$AL$3)/1000</f>
        <v>#VALUE!</v>
      </c>
      <c r="AU16" s="172" t="e">
        <f>_xll.LVCELL($AK$1,AU$3,$AK16,$AL$2,$AK$4,$AK$5,$AK$6,$AK$7,$AK$8,$AL$3)/1000</f>
        <v>#VALUE!</v>
      </c>
      <c r="AV16" s="172" t="e">
        <f>_xll.LVCELL($AK$1,AV$3,$AK16,$AL$2,$AK$4,$AK$5,$AK$6,$AK$7,$AK$8,$AL$3)/1000</f>
        <v>#VALUE!</v>
      </c>
      <c r="AW16" s="172" t="e">
        <f>_xll.LVCELL($AK$1,AW$3,$AK16,$AL$2,$AK$4,$AK$5,$AK$6,$AK$7,$AK$8,$AL$3)/1000</f>
        <v>#VALUE!</v>
      </c>
      <c r="AX16" s="172" t="e">
        <f>_xll.LVCELL($AK$1,AX$3,$AK16,$AL$2,$AK$4,$AK$5,$AK$6,$AK$7,$AK$8,$AL$3)/1000</f>
        <v>#VALUE!</v>
      </c>
      <c r="AY16" s="172" t="e">
        <f>_xll.LVCELL($AK$1,AY$2,$AK16,$AL$2,$AK$4,$AK$5,$AK$6,$AK$7,$AK$8,$AL$3)/1000</f>
        <v>#VALUE!</v>
      </c>
      <c r="AZ16" s="172" t="e">
        <f>_xll.LVCELL($AK$1,AZ$3,$AK16,$AL$2,$AK$4,$AK$5,$AK$6,$AK$7,$AK$8,$AL$3)/1000</f>
        <v>#VALUE!</v>
      </c>
      <c r="BA16" s="172" t="e">
        <f>_xll.LVCELL($AK$1,BA$3,$AK16,$AL$2,$AK$4,$AK$5,$AK$6,$AK$7,$AK$8,$AL$3)/1000</f>
        <v>#VALUE!</v>
      </c>
      <c r="BB16" s="172" t="e">
        <f>_xll.LVCELL($AK$1,BB$3,$AK16,$AL$2,$AK$4,$AK$5,$AK$6,$AK$7,$AK$8,$AL$3)/1000</f>
        <v>#VALUE!</v>
      </c>
      <c r="BC16" s="172" t="e">
        <f>_xll.LVCELL($AK$1,BC$3,$AK16,$AL$2,$AK$4,$AK$5,$AK$6,$AK$7,$AK$8,$AL$3)/1000</f>
        <v>#VALUE!</v>
      </c>
      <c r="BD16" s="172" t="e">
        <f>_xll.LVCELL($AK$1,BD$3,$AK16,$AL$2,$AK$4,$AK$5,$AK$6,$AK$7,$AK$8,$AL$3)/1000</f>
        <v>#VALUE!</v>
      </c>
      <c r="BE16" s="172" t="e">
        <f>_xll.LVCELL($AK$1,BE$3,$AK16,$AL$2,$AK$4,$AK$5,$AK$6,$AK$7,$AK$8,$AL$3)/1000</f>
        <v>#VALUE!</v>
      </c>
      <c r="BF16" s="172" t="e">
        <f>_xll.LVCELL($AK$1,BF$3,$AK16,$AL$2,$AK$4,$AK$5,$AK$6,$AK$7,$AK$8,$AL$3)/1000</f>
        <v>#VALUE!</v>
      </c>
      <c r="BG16" s="172" t="e">
        <f>_xll.LVCELL($AK$1,BG$3,$AK16,$AL$2,$AK$4,$AK$5,$AK$6,$AK$7,$AK$8,$AL$3)/1000</f>
        <v>#VALUE!</v>
      </c>
      <c r="BH16" s="172" t="e">
        <f>_xll.LVCELL($AK$1,BH$3,$AK16,$AL$2,$AK$4,$AK$5,$AK$6,$AK$7,$AK$8,$AL$3)/1000</f>
        <v>#VALUE!</v>
      </c>
      <c r="BI16" s="172" t="e">
        <f>_xll.LVCELL($AK$1,BI$3,$AK16,$AL$2,$AK$4,$AK$5,$AK$6,$AK$7,$AK$8,$AL$3)/1000</f>
        <v>#VALUE!</v>
      </c>
      <c r="BJ16" s="172" t="e">
        <f>_xll.LVCELL($AK$1,BJ$3,$AK16,$AL$2,$AK$4,$AK$5,$AK$6,$AK$7,$AK$8,$AL$3)/1000</f>
        <v>#VALUE!</v>
      </c>
      <c r="BK16" s="172" t="e">
        <f>_xll.LVCELL($AK$1,BK$3,$AK16,$AL$2,$AK$4,$AK$5,$AK$6,$AK$7,$AK$8,$AL$3)/1000</f>
        <v>#VALUE!</v>
      </c>
      <c r="BL16" s="172" t="e">
        <f>_xll.LVCELL($AK$1,BL$2,$AK16,$AL$2,$AK$4,$AK$5,$AK$6,$AK$7,$AK$8,$AL$3)/1000</f>
        <v>#VALUE!</v>
      </c>
      <c r="BM16" s="214" t="e">
        <f t="shared" si="3"/>
        <v>#VALUE!</v>
      </c>
      <c r="BN16" s="217" t="e">
        <f t="shared" si="4"/>
        <v>#VALUE!</v>
      </c>
      <c r="BO16" s="218" t="e">
        <f t="shared" si="4"/>
        <v>#VALUE!</v>
      </c>
      <c r="BP16" s="193" t="e">
        <f t="shared" si="5"/>
        <v>#VALUE!</v>
      </c>
      <c r="BQ16" s="190" t="s">
        <v>2680</v>
      </c>
      <c r="BS16" s="198">
        <f t="shared" si="6"/>
        <v>0</v>
      </c>
      <c r="BT16" s="198">
        <f t="shared" si="7"/>
        <v>0</v>
      </c>
      <c r="BU16" s="198">
        <f t="shared" si="8"/>
        <v>0</v>
      </c>
      <c r="BV16" s="199" t="str">
        <f t="shared" si="9"/>
        <v>N/A</v>
      </c>
      <c r="BX16" s="200" t="e">
        <f t="shared" si="10"/>
        <v>#VALUE!</v>
      </c>
      <c r="BY16" s="200" t="e">
        <f t="shared" si="11"/>
        <v>#VALUE!</v>
      </c>
      <c r="BZ16" s="200" t="e">
        <f t="shared" si="12"/>
        <v>#VALUE!</v>
      </c>
    </row>
    <row r="17" spans="2:78">
      <c r="B17" s="64" t="s">
        <v>317</v>
      </c>
      <c r="C17" s="64" t="s">
        <v>317</v>
      </c>
      <c r="D17" s="192" t="s">
        <v>529</v>
      </c>
      <c r="E17" s="172" t="e">
        <f>_xll.LVCELL($D$1,E$3,$C17,$D$2,$C$4,$C$5,$C$6,$C$7,$C$8,$D$3)/1000</f>
        <v>#VALUE!</v>
      </c>
      <c r="F17" s="172" t="e">
        <f>_xll.LVCELL($D$1,F$3,$C17,$D$2,$C$4,$C$5,$C$6,$C$7,$C$8,$D$3)/1000</f>
        <v>#VALUE!</v>
      </c>
      <c r="G17" s="172" t="e">
        <f>_xll.LVCELL($D$1,G$3,$C17,$D$2,$C$4,$C$5,$C$6,$C$7,$C$8,$D$3)/1000</f>
        <v>#VALUE!</v>
      </c>
      <c r="H17" s="172" t="e">
        <f>_xll.LVCELL($D$1,H$3,$C17,$D$2,$C$4,$C$5,$C$6,$C$7,$C$8,$D$3)/1000</f>
        <v>#VALUE!</v>
      </c>
      <c r="I17" s="172" t="e">
        <f>_xll.LVCELL($D$1,I$3,$C17,$D$2,$C$4,$C$5,$C$6,$C$7,$C$8,$D$3)/1000</f>
        <v>#VALUE!</v>
      </c>
      <c r="J17" s="172" t="e">
        <f>_xll.LVCELL($D$1,J$3,$C17,$D$2,$C$4,$C$5,$C$6,$C$7,$C$8,$D$3)/1000</f>
        <v>#VALUE!</v>
      </c>
      <c r="K17" s="172" t="e">
        <f>_xll.LVCELL($D$1,K$3,$C17,$D$2,$C$4,$C$5,$C$6,$C$7,$C$8,$D$3)/1000</f>
        <v>#VALUE!</v>
      </c>
      <c r="L17" s="172" t="e">
        <f>_xll.LVCELL($D$1,L$3,$C17,$D$2,$C$4,$C$5,$C$6,$C$7,$C$8,$D$3)/1000</f>
        <v>#VALUE!</v>
      </c>
      <c r="M17" s="172" t="e">
        <f>_xll.LVCELL($D$1,M$3,$C17,$D$2,$C$4,$C$5,$C$6,$C$7,$C$8,$D$3)/1000</f>
        <v>#VALUE!</v>
      </c>
      <c r="N17" s="172" t="e">
        <f>_xll.LVCELL($D$1,N$3,$C17,$D$2,$C$4,$C$5,$C$6,$C$7,$C$8,$D$3)/1000</f>
        <v>#VALUE!</v>
      </c>
      <c r="O17" s="172" t="e">
        <f>_xll.LVCELL($D$1,O$3,$C17,$D$2,$C$4,$C$5,$C$6,$C$7,$C$8,$D$3)/1000</f>
        <v>#VALUE!</v>
      </c>
      <c r="P17" s="172" t="e">
        <f>_xll.LVCELL($D$1,P$3,$C17,$D$2,$C$4,$C$5,$C$6,$C$7,$C$8,$D$3)/1000</f>
        <v>#VALUE!</v>
      </c>
      <c r="Q17" s="172" t="e">
        <f>_xll.LVCELL($D$1,Q$2,$C17,$D$2,$C$4,$C$5,$C$6,$C$7,$C$8,$D$3)/1000</f>
        <v>#VALUE!</v>
      </c>
      <c r="R17" s="172" t="e">
        <f>_xll.LVCELL($D$1,R$3,$C17,$D$2,$C$4,$C$5,$C$6,$C$7,$C$8,$D$3)/1000</f>
        <v>#VALUE!</v>
      </c>
      <c r="S17" s="172" t="e">
        <f>_xll.LVCELL($D$1,S$3,$C17,$D$2,$C$4,$C$5,$C$6,$C$7,$C$8,$D$3)/1000</f>
        <v>#VALUE!</v>
      </c>
      <c r="T17" s="172" t="e">
        <f>_xll.LVCELL($D$1,T$3,$C17,$D$2,$C$4,$C$5,$C$6,$C$7,$C$8,$D$3)/1000</f>
        <v>#VALUE!</v>
      </c>
      <c r="U17" s="172" t="e">
        <f>_xll.LVCELL($D$1,U$3,$C17,$D$2,$C$4,$C$5,$C$6,$C$7,$C$8,$D$3)/1000</f>
        <v>#VALUE!</v>
      </c>
      <c r="V17" s="172" t="e">
        <f>_xll.LVCELL($D$1,V$3,$C17,$D$2,$C$4,$C$5,$C$6,$C$7,$C$8,$D$3)/1000</f>
        <v>#VALUE!</v>
      </c>
      <c r="W17" s="172" t="e">
        <f>_xll.LVCELL($D$1,W$3,$C17,$D$2,$C$4,$C$5,$C$6,$C$7,$C$8,$D$3)/1000</f>
        <v>#VALUE!</v>
      </c>
      <c r="X17" s="172" t="e">
        <f>_xll.LVCELL($D$1,X$3,$C17,$D$2,$C$4,$C$5,$C$6,$C$7,$C$8,$D$3)/1000</f>
        <v>#VALUE!</v>
      </c>
      <c r="Y17" s="172" t="e">
        <f>_xll.LVCELL($D$1,Y$3,$C17,$D$2,$C$4,$C$5,$C$6,$C$7,$C$8,$D$3)/1000</f>
        <v>#VALUE!</v>
      </c>
      <c r="Z17" s="172" t="e">
        <f>_xll.LVCELL($D$1,Z$3,$C17,$D$2,$C$4,$C$5,$C$6,$C$7,$C$8,$D$3)/1000</f>
        <v>#VALUE!</v>
      </c>
      <c r="AA17" s="172" t="e">
        <f>_xll.LVCELL($D$1,AA$3,$C17,$D$2,$C$4,$C$5,$C$6,$C$7,$C$8,$D$3)/1000</f>
        <v>#VALUE!</v>
      </c>
      <c r="AB17" s="172" t="e">
        <f>_xll.LVCELL($D$1,AB$3,$C17,$D$2,$C$4,$C$5,$C$6,$C$7,$C$8,$D$3)/1000</f>
        <v>#VALUE!</v>
      </c>
      <c r="AC17" s="172" t="e">
        <f>_xll.LVCELL($D$1,AC$3,$C17,$D$2,$C$4,$C$5,$C$6,$C$7,$C$8,$D$3)/1000</f>
        <v>#VALUE!</v>
      </c>
      <c r="AD17" s="172" t="e">
        <f>_xll.LVCELL($D$1,AD$2,$C17,$D$2,$C$4,$C$5,$C$6,$C$7,$C$8,$D$3)/1000</f>
        <v>#VALUE!</v>
      </c>
      <c r="AE17" s="172" t="e">
        <f t="shared" si="0"/>
        <v>#VALUE!</v>
      </c>
      <c r="AF17" s="193" t="e">
        <f t="shared" si="1"/>
        <v>#VALUE!</v>
      </c>
      <c r="AG17" s="172" t="s">
        <v>2715</v>
      </c>
      <c r="AH17" s="61" t="e">
        <f t="shared" si="2"/>
        <v>#VALUE!</v>
      </c>
      <c r="AI17" s="64" t="s">
        <v>2766</v>
      </c>
      <c r="AJ17" s="64" t="s">
        <v>317</v>
      </c>
      <c r="AK17" s="64" t="s">
        <v>317</v>
      </c>
      <c r="AL17" s="192" t="s">
        <v>529</v>
      </c>
      <c r="AM17" s="172" t="e">
        <f>_xll.LVCELL($AK$1,AM$3,$AK17,$AL$2,$AK$4,$AK$5,$AK$6,$AK$7,$AK$8,$AL$3)/1000</f>
        <v>#VALUE!</v>
      </c>
      <c r="AN17" s="172" t="e">
        <f>_xll.LVCELL($AK$1,AN$3,$AK17,$AL$2,$AK$4,$AK$5,$AK$6,$AK$7,$AK$8,$AL$3)/1000</f>
        <v>#VALUE!</v>
      </c>
      <c r="AO17" s="172" t="e">
        <f>_xll.LVCELL($AK$1,AO$3,$AK17,$AL$2,$AK$4,$AK$5,$AK$6,$AK$7,$AK$8,$AL$3)/1000</f>
        <v>#VALUE!</v>
      </c>
      <c r="AP17" s="172" t="e">
        <f>_xll.LVCELL($AK$1,AP$3,$AK17,$AL$2,$AK$4,$AK$5,$AK$6,$AK$7,$AK$8,$AL$3)/1000</f>
        <v>#VALUE!</v>
      </c>
      <c r="AQ17" s="172" t="e">
        <f>_xll.LVCELL($AK$1,AQ$3,$AK17,$AL$2,$AK$4,$AK$5,$AK$6,$AK$7,$AK$8,$AL$3)/1000</f>
        <v>#VALUE!</v>
      </c>
      <c r="AR17" s="172" t="e">
        <f>_xll.LVCELL($AK$1,AR$3,$AK17,$AL$2,$AK$4,$AK$5,$AK$6,$AK$7,$AK$8,$AL$3)/1000</f>
        <v>#VALUE!</v>
      </c>
      <c r="AS17" s="172" t="e">
        <f>_xll.LVCELL($AK$1,AS$3,$AK17,$AL$2,$AK$4,$AK$5,$AK$6,$AK$7,$AK$8,$AL$3)/1000</f>
        <v>#VALUE!</v>
      </c>
      <c r="AT17" s="172" t="e">
        <f>_xll.LVCELL($AK$1,AT$3,$AK17,$AL$2,$AK$4,$AK$5,$AK$6,$AK$7,$AK$8,$AL$3)/1000</f>
        <v>#VALUE!</v>
      </c>
      <c r="AU17" s="172" t="e">
        <f>_xll.LVCELL($AK$1,AU$3,$AK17,$AL$2,$AK$4,$AK$5,$AK$6,$AK$7,$AK$8,$AL$3)/1000</f>
        <v>#VALUE!</v>
      </c>
      <c r="AV17" s="172" t="e">
        <f>_xll.LVCELL($AK$1,AV$3,$AK17,$AL$2,$AK$4,$AK$5,$AK$6,$AK$7,$AK$8,$AL$3)/1000</f>
        <v>#VALUE!</v>
      </c>
      <c r="AW17" s="172" t="e">
        <f>_xll.LVCELL($AK$1,AW$3,$AK17,$AL$2,$AK$4,$AK$5,$AK$6,$AK$7,$AK$8,$AL$3)/1000</f>
        <v>#VALUE!</v>
      </c>
      <c r="AX17" s="172" t="e">
        <f>_xll.LVCELL($AK$1,AX$3,$AK17,$AL$2,$AK$4,$AK$5,$AK$6,$AK$7,$AK$8,$AL$3)/1000</f>
        <v>#VALUE!</v>
      </c>
      <c r="AY17" s="172" t="e">
        <f>_xll.LVCELL($AK$1,AY$2,$AK17,$AL$2,$AK$4,$AK$5,$AK$6,$AK$7,$AK$8,$AL$3)/1000</f>
        <v>#VALUE!</v>
      </c>
      <c r="AZ17" s="172" t="e">
        <f>_xll.LVCELL($AK$1,AZ$3,$AK17,$AL$2,$AK$4,$AK$5,$AK$6,$AK$7,$AK$8,$AL$3)/1000</f>
        <v>#VALUE!</v>
      </c>
      <c r="BA17" s="172" t="e">
        <f>_xll.LVCELL($AK$1,BA$3,$AK17,$AL$2,$AK$4,$AK$5,$AK$6,$AK$7,$AK$8,$AL$3)/1000</f>
        <v>#VALUE!</v>
      </c>
      <c r="BB17" s="172" t="e">
        <f>_xll.LVCELL($AK$1,BB$3,$AK17,$AL$2,$AK$4,$AK$5,$AK$6,$AK$7,$AK$8,$AL$3)/1000</f>
        <v>#VALUE!</v>
      </c>
      <c r="BC17" s="172" t="e">
        <f>_xll.LVCELL($AK$1,BC$3,$AK17,$AL$2,$AK$4,$AK$5,$AK$6,$AK$7,$AK$8,$AL$3)/1000</f>
        <v>#VALUE!</v>
      </c>
      <c r="BD17" s="172" t="e">
        <f>_xll.LVCELL($AK$1,BD$3,$AK17,$AL$2,$AK$4,$AK$5,$AK$6,$AK$7,$AK$8,$AL$3)/1000</f>
        <v>#VALUE!</v>
      </c>
      <c r="BE17" s="172" t="e">
        <f>_xll.LVCELL($AK$1,BE$3,$AK17,$AL$2,$AK$4,$AK$5,$AK$6,$AK$7,$AK$8,$AL$3)/1000</f>
        <v>#VALUE!</v>
      </c>
      <c r="BF17" s="172" t="e">
        <f>_xll.LVCELL($AK$1,BF$3,$AK17,$AL$2,$AK$4,$AK$5,$AK$6,$AK$7,$AK$8,$AL$3)/1000</f>
        <v>#VALUE!</v>
      </c>
      <c r="BG17" s="172" t="e">
        <f>_xll.LVCELL($AK$1,BG$3,$AK17,$AL$2,$AK$4,$AK$5,$AK$6,$AK$7,$AK$8,$AL$3)/1000</f>
        <v>#VALUE!</v>
      </c>
      <c r="BH17" s="172" t="e">
        <f>_xll.LVCELL($AK$1,BH$3,$AK17,$AL$2,$AK$4,$AK$5,$AK$6,$AK$7,$AK$8,$AL$3)/1000</f>
        <v>#VALUE!</v>
      </c>
      <c r="BI17" s="172" t="e">
        <f>_xll.LVCELL($AK$1,BI$3,$AK17,$AL$2,$AK$4,$AK$5,$AK$6,$AK$7,$AK$8,$AL$3)/1000</f>
        <v>#VALUE!</v>
      </c>
      <c r="BJ17" s="172" t="e">
        <f>_xll.LVCELL($AK$1,BJ$3,$AK17,$AL$2,$AK$4,$AK$5,$AK$6,$AK$7,$AK$8,$AL$3)/1000</f>
        <v>#VALUE!</v>
      </c>
      <c r="BK17" s="172" t="e">
        <f>_xll.LVCELL($AK$1,BK$3,$AK17,$AL$2,$AK$4,$AK$5,$AK$6,$AK$7,$AK$8,$AL$3)/1000</f>
        <v>#VALUE!</v>
      </c>
      <c r="BL17" s="172" t="e">
        <f>_xll.LVCELL($AK$1,BL$2,$AK17,$AL$2,$AK$4,$AK$5,$AK$6,$AK$7,$AK$8,$AL$3)/1000</f>
        <v>#VALUE!</v>
      </c>
      <c r="BM17" s="214" t="e">
        <f t="shared" si="3"/>
        <v>#VALUE!</v>
      </c>
      <c r="BN17" s="217" t="e">
        <f t="shared" si="4"/>
        <v>#VALUE!</v>
      </c>
      <c r="BO17" s="218" t="e">
        <f t="shared" si="4"/>
        <v>#VALUE!</v>
      </c>
      <c r="BP17" s="193" t="e">
        <f t="shared" si="5"/>
        <v>#VALUE!</v>
      </c>
      <c r="BQ17" s="190" t="s">
        <v>2680</v>
      </c>
      <c r="BS17" s="198">
        <f t="shared" si="6"/>
        <v>0</v>
      </c>
      <c r="BT17" s="198">
        <f t="shared" si="7"/>
        <v>0</v>
      </c>
      <c r="BU17" s="198">
        <f t="shared" si="8"/>
        <v>0</v>
      </c>
      <c r="BV17" s="199" t="str">
        <f t="shared" si="9"/>
        <v>N/A</v>
      </c>
      <c r="BX17" s="200" t="e">
        <f t="shared" si="10"/>
        <v>#VALUE!</v>
      </c>
      <c r="BY17" s="200" t="e">
        <f t="shared" si="11"/>
        <v>#VALUE!</v>
      </c>
      <c r="BZ17" s="200" t="e">
        <f t="shared" si="12"/>
        <v>#VALUE!</v>
      </c>
    </row>
    <row r="18" spans="2:78">
      <c r="B18" s="64" t="s">
        <v>318</v>
      </c>
      <c r="C18" s="64" t="s">
        <v>318</v>
      </c>
      <c r="D18" s="192" t="s">
        <v>530</v>
      </c>
      <c r="E18" s="172" t="e">
        <f>_xll.LVCELL($D$1,E$3,$C18,$D$2,$C$4,$C$5,$C$6,$C$7,$C$8,$D$3)/1000</f>
        <v>#VALUE!</v>
      </c>
      <c r="F18" s="172" t="e">
        <f>_xll.LVCELL($D$1,F$3,$C18,$D$2,$C$4,$C$5,$C$6,$C$7,$C$8,$D$3)/1000</f>
        <v>#VALUE!</v>
      </c>
      <c r="G18" s="172" t="e">
        <f>_xll.LVCELL($D$1,G$3,$C18,$D$2,$C$4,$C$5,$C$6,$C$7,$C$8,$D$3)/1000</f>
        <v>#VALUE!</v>
      </c>
      <c r="H18" s="172" t="e">
        <f>_xll.LVCELL($D$1,H$3,$C18,$D$2,$C$4,$C$5,$C$6,$C$7,$C$8,$D$3)/1000</f>
        <v>#VALUE!</v>
      </c>
      <c r="I18" s="172" t="e">
        <f>_xll.LVCELL($D$1,I$3,$C18,$D$2,$C$4,$C$5,$C$6,$C$7,$C$8,$D$3)/1000</f>
        <v>#VALUE!</v>
      </c>
      <c r="J18" s="172" t="e">
        <f>_xll.LVCELL($D$1,J$3,$C18,$D$2,$C$4,$C$5,$C$6,$C$7,$C$8,$D$3)/1000</f>
        <v>#VALUE!</v>
      </c>
      <c r="K18" s="172" t="e">
        <f>_xll.LVCELL($D$1,K$3,$C18,$D$2,$C$4,$C$5,$C$6,$C$7,$C$8,$D$3)/1000</f>
        <v>#VALUE!</v>
      </c>
      <c r="L18" s="172" t="e">
        <f>_xll.LVCELL($D$1,L$3,$C18,$D$2,$C$4,$C$5,$C$6,$C$7,$C$8,$D$3)/1000</f>
        <v>#VALUE!</v>
      </c>
      <c r="M18" s="172" t="e">
        <f>_xll.LVCELL($D$1,M$3,$C18,$D$2,$C$4,$C$5,$C$6,$C$7,$C$8,$D$3)/1000</f>
        <v>#VALUE!</v>
      </c>
      <c r="N18" s="172" t="e">
        <f>_xll.LVCELL($D$1,N$3,$C18,$D$2,$C$4,$C$5,$C$6,$C$7,$C$8,$D$3)/1000</f>
        <v>#VALUE!</v>
      </c>
      <c r="O18" s="172" t="e">
        <f>_xll.LVCELL($D$1,O$3,$C18,$D$2,$C$4,$C$5,$C$6,$C$7,$C$8,$D$3)/1000</f>
        <v>#VALUE!</v>
      </c>
      <c r="P18" s="172" t="e">
        <f>_xll.LVCELL($D$1,P$3,$C18,$D$2,$C$4,$C$5,$C$6,$C$7,$C$8,$D$3)/1000</f>
        <v>#VALUE!</v>
      </c>
      <c r="Q18" s="172" t="e">
        <f>_xll.LVCELL($D$1,Q$2,$C18,$D$2,$C$4,$C$5,$C$6,$C$7,$C$8,$D$3)/1000</f>
        <v>#VALUE!</v>
      </c>
      <c r="R18" s="172" t="e">
        <f>_xll.LVCELL($D$1,R$3,$C18,$D$2,$C$4,$C$5,$C$6,$C$7,$C$8,$D$3)/1000</f>
        <v>#VALUE!</v>
      </c>
      <c r="S18" s="172" t="e">
        <f>_xll.LVCELL($D$1,S$3,$C18,$D$2,$C$4,$C$5,$C$6,$C$7,$C$8,$D$3)/1000</f>
        <v>#VALUE!</v>
      </c>
      <c r="T18" s="172" t="e">
        <f>_xll.LVCELL($D$1,T$3,$C18,$D$2,$C$4,$C$5,$C$6,$C$7,$C$8,$D$3)/1000</f>
        <v>#VALUE!</v>
      </c>
      <c r="U18" s="172" t="e">
        <f>_xll.LVCELL($D$1,U$3,$C18,$D$2,$C$4,$C$5,$C$6,$C$7,$C$8,$D$3)/1000</f>
        <v>#VALUE!</v>
      </c>
      <c r="V18" s="172" t="e">
        <f>_xll.LVCELL($D$1,V$3,$C18,$D$2,$C$4,$C$5,$C$6,$C$7,$C$8,$D$3)/1000</f>
        <v>#VALUE!</v>
      </c>
      <c r="W18" s="172" t="e">
        <f>_xll.LVCELL($D$1,W$3,$C18,$D$2,$C$4,$C$5,$C$6,$C$7,$C$8,$D$3)/1000</f>
        <v>#VALUE!</v>
      </c>
      <c r="X18" s="172" t="e">
        <f>_xll.LVCELL($D$1,X$3,$C18,$D$2,$C$4,$C$5,$C$6,$C$7,$C$8,$D$3)/1000</f>
        <v>#VALUE!</v>
      </c>
      <c r="Y18" s="172" t="e">
        <f>_xll.LVCELL($D$1,Y$3,$C18,$D$2,$C$4,$C$5,$C$6,$C$7,$C$8,$D$3)/1000</f>
        <v>#VALUE!</v>
      </c>
      <c r="Z18" s="172" t="e">
        <f>_xll.LVCELL($D$1,Z$3,$C18,$D$2,$C$4,$C$5,$C$6,$C$7,$C$8,$D$3)/1000</f>
        <v>#VALUE!</v>
      </c>
      <c r="AA18" s="172" t="e">
        <f>_xll.LVCELL($D$1,AA$3,$C18,$D$2,$C$4,$C$5,$C$6,$C$7,$C$8,$D$3)/1000</f>
        <v>#VALUE!</v>
      </c>
      <c r="AB18" s="172" t="e">
        <f>_xll.LVCELL($D$1,AB$3,$C18,$D$2,$C$4,$C$5,$C$6,$C$7,$C$8,$D$3)/1000</f>
        <v>#VALUE!</v>
      </c>
      <c r="AC18" s="172" t="e">
        <f>_xll.LVCELL($D$1,AC$3,$C18,$D$2,$C$4,$C$5,$C$6,$C$7,$C$8,$D$3)/1000</f>
        <v>#VALUE!</v>
      </c>
      <c r="AD18" s="172" t="e">
        <f>_xll.LVCELL($D$1,AD$2,$C18,$D$2,$C$4,$C$5,$C$6,$C$7,$C$8,$D$3)/1000</f>
        <v>#VALUE!</v>
      </c>
      <c r="AE18" s="172" t="e">
        <f t="shared" si="0"/>
        <v>#VALUE!</v>
      </c>
      <c r="AF18" s="193" t="e">
        <f t="shared" si="1"/>
        <v>#VALUE!</v>
      </c>
      <c r="AG18" s="172" t="s">
        <v>2715</v>
      </c>
      <c r="AH18" s="61" t="e">
        <f t="shared" si="2"/>
        <v>#VALUE!</v>
      </c>
      <c r="AI18" s="64" t="s">
        <v>2766</v>
      </c>
      <c r="AJ18" s="64" t="s">
        <v>318</v>
      </c>
      <c r="AK18" s="64" t="s">
        <v>318</v>
      </c>
      <c r="AL18" s="192" t="s">
        <v>530</v>
      </c>
      <c r="AM18" s="172" t="e">
        <f>_xll.LVCELL($AK$1,AM$3,$AK18,$AL$2,$AK$4,$AK$5,$AK$6,$AK$7,$AK$8,$AL$3)/1000</f>
        <v>#VALUE!</v>
      </c>
      <c r="AN18" s="172" t="e">
        <f>_xll.LVCELL($AK$1,AN$3,$AK18,$AL$2,$AK$4,$AK$5,$AK$6,$AK$7,$AK$8,$AL$3)/1000</f>
        <v>#VALUE!</v>
      </c>
      <c r="AO18" s="172" t="e">
        <f>_xll.LVCELL($AK$1,AO$3,$AK18,$AL$2,$AK$4,$AK$5,$AK$6,$AK$7,$AK$8,$AL$3)/1000</f>
        <v>#VALUE!</v>
      </c>
      <c r="AP18" s="172" t="e">
        <f>_xll.LVCELL($AK$1,AP$3,$AK18,$AL$2,$AK$4,$AK$5,$AK$6,$AK$7,$AK$8,$AL$3)/1000</f>
        <v>#VALUE!</v>
      </c>
      <c r="AQ18" s="172" t="e">
        <f>_xll.LVCELL($AK$1,AQ$3,$AK18,$AL$2,$AK$4,$AK$5,$AK$6,$AK$7,$AK$8,$AL$3)/1000</f>
        <v>#VALUE!</v>
      </c>
      <c r="AR18" s="172" t="e">
        <f>_xll.LVCELL($AK$1,AR$3,$AK18,$AL$2,$AK$4,$AK$5,$AK$6,$AK$7,$AK$8,$AL$3)/1000</f>
        <v>#VALUE!</v>
      </c>
      <c r="AS18" s="172" t="e">
        <f>_xll.LVCELL($AK$1,AS$3,$AK18,$AL$2,$AK$4,$AK$5,$AK$6,$AK$7,$AK$8,$AL$3)/1000</f>
        <v>#VALUE!</v>
      </c>
      <c r="AT18" s="172" t="e">
        <f>_xll.LVCELL($AK$1,AT$3,$AK18,$AL$2,$AK$4,$AK$5,$AK$6,$AK$7,$AK$8,$AL$3)/1000</f>
        <v>#VALUE!</v>
      </c>
      <c r="AU18" s="172" t="e">
        <f>_xll.LVCELL($AK$1,AU$3,$AK18,$AL$2,$AK$4,$AK$5,$AK$6,$AK$7,$AK$8,$AL$3)/1000</f>
        <v>#VALUE!</v>
      </c>
      <c r="AV18" s="172" t="e">
        <f>_xll.LVCELL($AK$1,AV$3,$AK18,$AL$2,$AK$4,$AK$5,$AK$6,$AK$7,$AK$8,$AL$3)/1000</f>
        <v>#VALUE!</v>
      </c>
      <c r="AW18" s="172" t="e">
        <f>_xll.LVCELL($AK$1,AW$3,$AK18,$AL$2,$AK$4,$AK$5,$AK$6,$AK$7,$AK$8,$AL$3)/1000</f>
        <v>#VALUE!</v>
      </c>
      <c r="AX18" s="172" t="e">
        <f>_xll.LVCELL($AK$1,AX$3,$AK18,$AL$2,$AK$4,$AK$5,$AK$6,$AK$7,$AK$8,$AL$3)/1000</f>
        <v>#VALUE!</v>
      </c>
      <c r="AY18" s="172" t="e">
        <f>_xll.LVCELL($AK$1,AY$2,$AK18,$AL$2,$AK$4,$AK$5,$AK$6,$AK$7,$AK$8,$AL$3)/1000</f>
        <v>#VALUE!</v>
      </c>
      <c r="AZ18" s="172" t="e">
        <f>_xll.LVCELL($AK$1,AZ$3,$AK18,$AL$2,$AK$4,$AK$5,$AK$6,$AK$7,$AK$8,$AL$3)/1000</f>
        <v>#VALUE!</v>
      </c>
      <c r="BA18" s="172" t="e">
        <f>_xll.LVCELL($AK$1,BA$3,$AK18,$AL$2,$AK$4,$AK$5,$AK$6,$AK$7,$AK$8,$AL$3)/1000</f>
        <v>#VALUE!</v>
      </c>
      <c r="BB18" s="172" t="e">
        <f>_xll.LVCELL($AK$1,BB$3,$AK18,$AL$2,$AK$4,$AK$5,$AK$6,$AK$7,$AK$8,$AL$3)/1000</f>
        <v>#VALUE!</v>
      </c>
      <c r="BC18" s="172" t="e">
        <f>_xll.LVCELL($AK$1,BC$3,$AK18,$AL$2,$AK$4,$AK$5,$AK$6,$AK$7,$AK$8,$AL$3)/1000</f>
        <v>#VALUE!</v>
      </c>
      <c r="BD18" s="172" t="e">
        <f>_xll.LVCELL($AK$1,BD$3,$AK18,$AL$2,$AK$4,$AK$5,$AK$6,$AK$7,$AK$8,$AL$3)/1000</f>
        <v>#VALUE!</v>
      </c>
      <c r="BE18" s="172" t="e">
        <f>_xll.LVCELL($AK$1,BE$3,$AK18,$AL$2,$AK$4,$AK$5,$AK$6,$AK$7,$AK$8,$AL$3)/1000</f>
        <v>#VALUE!</v>
      </c>
      <c r="BF18" s="172" t="e">
        <f>_xll.LVCELL($AK$1,BF$3,$AK18,$AL$2,$AK$4,$AK$5,$AK$6,$AK$7,$AK$8,$AL$3)/1000</f>
        <v>#VALUE!</v>
      </c>
      <c r="BG18" s="172" t="e">
        <f>_xll.LVCELL($AK$1,BG$3,$AK18,$AL$2,$AK$4,$AK$5,$AK$6,$AK$7,$AK$8,$AL$3)/1000</f>
        <v>#VALUE!</v>
      </c>
      <c r="BH18" s="172" t="e">
        <f>_xll.LVCELL($AK$1,BH$3,$AK18,$AL$2,$AK$4,$AK$5,$AK$6,$AK$7,$AK$8,$AL$3)/1000</f>
        <v>#VALUE!</v>
      </c>
      <c r="BI18" s="172" t="e">
        <f>_xll.LVCELL($AK$1,BI$3,$AK18,$AL$2,$AK$4,$AK$5,$AK$6,$AK$7,$AK$8,$AL$3)/1000</f>
        <v>#VALUE!</v>
      </c>
      <c r="BJ18" s="172" t="e">
        <f>_xll.LVCELL($AK$1,BJ$3,$AK18,$AL$2,$AK$4,$AK$5,$AK$6,$AK$7,$AK$8,$AL$3)/1000</f>
        <v>#VALUE!</v>
      </c>
      <c r="BK18" s="172" t="e">
        <f>_xll.LVCELL($AK$1,BK$3,$AK18,$AL$2,$AK$4,$AK$5,$AK$6,$AK$7,$AK$8,$AL$3)/1000</f>
        <v>#VALUE!</v>
      </c>
      <c r="BL18" s="172" t="e">
        <f>_xll.LVCELL($AK$1,BL$2,$AK18,$AL$2,$AK$4,$AK$5,$AK$6,$AK$7,$AK$8,$AL$3)/1000</f>
        <v>#VALUE!</v>
      </c>
      <c r="BM18" s="214" t="e">
        <f t="shared" si="3"/>
        <v>#VALUE!</v>
      </c>
      <c r="BN18" s="217" t="e">
        <f t="shared" si="4"/>
        <v>#VALUE!</v>
      </c>
      <c r="BO18" s="218" t="e">
        <f t="shared" si="4"/>
        <v>#VALUE!</v>
      </c>
      <c r="BP18" s="193" t="e">
        <f t="shared" si="5"/>
        <v>#VALUE!</v>
      </c>
      <c r="BQ18" s="190" t="s">
        <v>2680</v>
      </c>
      <c r="BS18" s="198">
        <f t="shared" si="6"/>
        <v>0</v>
      </c>
      <c r="BT18" s="198">
        <f t="shared" si="7"/>
        <v>0</v>
      </c>
      <c r="BU18" s="198">
        <f t="shared" si="8"/>
        <v>0</v>
      </c>
      <c r="BV18" s="199" t="str">
        <f t="shared" si="9"/>
        <v>N/A</v>
      </c>
      <c r="BX18" s="200" t="e">
        <f t="shared" si="10"/>
        <v>#VALUE!</v>
      </c>
      <c r="BY18" s="200" t="e">
        <f t="shared" si="11"/>
        <v>#VALUE!</v>
      </c>
      <c r="BZ18" s="200" t="e">
        <f t="shared" si="12"/>
        <v>#VALUE!</v>
      </c>
    </row>
    <row r="19" spans="2:78">
      <c r="B19" s="64" t="s">
        <v>319</v>
      </c>
      <c r="C19" s="64" t="s">
        <v>319</v>
      </c>
      <c r="D19" s="192" t="s">
        <v>531</v>
      </c>
      <c r="E19" s="172" t="e">
        <f>_xll.LVCELL($D$1,E$3,$C19,$D$2,$C$4,$C$5,$C$6,$C$7,$C$8,$D$3)/1000</f>
        <v>#VALUE!</v>
      </c>
      <c r="F19" s="172" t="e">
        <f>_xll.LVCELL($D$1,F$3,$C19,$D$2,$C$4,$C$5,$C$6,$C$7,$C$8,$D$3)/1000</f>
        <v>#VALUE!</v>
      </c>
      <c r="G19" s="172" t="e">
        <f>_xll.LVCELL($D$1,G$3,$C19,$D$2,$C$4,$C$5,$C$6,$C$7,$C$8,$D$3)/1000</f>
        <v>#VALUE!</v>
      </c>
      <c r="H19" s="172" t="e">
        <f>_xll.LVCELL($D$1,H$3,$C19,$D$2,$C$4,$C$5,$C$6,$C$7,$C$8,$D$3)/1000</f>
        <v>#VALUE!</v>
      </c>
      <c r="I19" s="172" t="e">
        <f>_xll.LVCELL($D$1,I$3,$C19,$D$2,$C$4,$C$5,$C$6,$C$7,$C$8,$D$3)/1000</f>
        <v>#VALUE!</v>
      </c>
      <c r="J19" s="172" t="e">
        <f>_xll.LVCELL($D$1,J$3,$C19,$D$2,$C$4,$C$5,$C$6,$C$7,$C$8,$D$3)/1000</f>
        <v>#VALUE!</v>
      </c>
      <c r="K19" s="172" t="e">
        <f>_xll.LVCELL($D$1,K$3,$C19,$D$2,$C$4,$C$5,$C$6,$C$7,$C$8,$D$3)/1000</f>
        <v>#VALUE!</v>
      </c>
      <c r="L19" s="172" t="e">
        <f>_xll.LVCELL($D$1,L$3,$C19,$D$2,$C$4,$C$5,$C$6,$C$7,$C$8,$D$3)/1000</f>
        <v>#VALUE!</v>
      </c>
      <c r="M19" s="172" t="e">
        <f>_xll.LVCELL($D$1,M$3,$C19,$D$2,$C$4,$C$5,$C$6,$C$7,$C$8,$D$3)/1000</f>
        <v>#VALUE!</v>
      </c>
      <c r="N19" s="172" t="e">
        <f>_xll.LVCELL($D$1,N$3,$C19,$D$2,$C$4,$C$5,$C$6,$C$7,$C$8,$D$3)/1000</f>
        <v>#VALUE!</v>
      </c>
      <c r="O19" s="172" t="e">
        <f>_xll.LVCELL($D$1,O$3,$C19,$D$2,$C$4,$C$5,$C$6,$C$7,$C$8,$D$3)/1000</f>
        <v>#VALUE!</v>
      </c>
      <c r="P19" s="172" t="e">
        <f>_xll.LVCELL($D$1,P$3,$C19,$D$2,$C$4,$C$5,$C$6,$C$7,$C$8,$D$3)/1000</f>
        <v>#VALUE!</v>
      </c>
      <c r="Q19" s="172" t="e">
        <f>_xll.LVCELL($D$1,Q$2,$C19,$D$2,$C$4,$C$5,$C$6,$C$7,$C$8,$D$3)/1000</f>
        <v>#VALUE!</v>
      </c>
      <c r="R19" s="172" t="e">
        <f>_xll.LVCELL($D$1,R$3,$C19,$D$2,$C$4,$C$5,$C$6,$C$7,$C$8,$D$3)/1000</f>
        <v>#VALUE!</v>
      </c>
      <c r="S19" s="172" t="e">
        <f>_xll.LVCELL($D$1,S$3,$C19,$D$2,$C$4,$C$5,$C$6,$C$7,$C$8,$D$3)/1000</f>
        <v>#VALUE!</v>
      </c>
      <c r="T19" s="172" t="e">
        <f>_xll.LVCELL($D$1,T$3,$C19,$D$2,$C$4,$C$5,$C$6,$C$7,$C$8,$D$3)/1000</f>
        <v>#VALUE!</v>
      </c>
      <c r="U19" s="172" t="e">
        <f>_xll.LVCELL($D$1,U$3,$C19,$D$2,$C$4,$C$5,$C$6,$C$7,$C$8,$D$3)/1000</f>
        <v>#VALUE!</v>
      </c>
      <c r="V19" s="172" t="e">
        <f>_xll.LVCELL($D$1,V$3,$C19,$D$2,$C$4,$C$5,$C$6,$C$7,$C$8,$D$3)/1000</f>
        <v>#VALUE!</v>
      </c>
      <c r="W19" s="172" t="e">
        <f>_xll.LVCELL($D$1,W$3,$C19,$D$2,$C$4,$C$5,$C$6,$C$7,$C$8,$D$3)/1000</f>
        <v>#VALUE!</v>
      </c>
      <c r="X19" s="172" t="e">
        <f>_xll.LVCELL($D$1,X$3,$C19,$D$2,$C$4,$C$5,$C$6,$C$7,$C$8,$D$3)/1000</f>
        <v>#VALUE!</v>
      </c>
      <c r="Y19" s="172" t="e">
        <f>_xll.LVCELL($D$1,Y$3,$C19,$D$2,$C$4,$C$5,$C$6,$C$7,$C$8,$D$3)/1000</f>
        <v>#VALUE!</v>
      </c>
      <c r="Z19" s="172" t="e">
        <f>_xll.LVCELL($D$1,Z$3,$C19,$D$2,$C$4,$C$5,$C$6,$C$7,$C$8,$D$3)/1000</f>
        <v>#VALUE!</v>
      </c>
      <c r="AA19" s="172" t="e">
        <f>_xll.LVCELL($D$1,AA$3,$C19,$D$2,$C$4,$C$5,$C$6,$C$7,$C$8,$D$3)/1000</f>
        <v>#VALUE!</v>
      </c>
      <c r="AB19" s="172" t="e">
        <f>_xll.LVCELL($D$1,AB$3,$C19,$D$2,$C$4,$C$5,$C$6,$C$7,$C$8,$D$3)/1000</f>
        <v>#VALUE!</v>
      </c>
      <c r="AC19" s="172" t="e">
        <f>_xll.LVCELL($D$1,AC$3,$C19,$D$2,$C$4,$C$5,$C$6,$C$7,$C$8,$D$3)/1000</f>
        <v>#VALUE!</v>
      </c>
      <c r="AD19" s="172" t="e">
        <f>_xll.LVCELL($D$1,AD$2,$C19,$D$2,$C$4,$C$5,$C$6,$C$7,$C$8,$D$3)/1000</f>
        <v>#VALUE!</v>
      </c>
      <c r="AE19" s="172" t="e">
        <f t="shared" si="0"/>
        <v>#VALUE!</v>
      </c>
      <c r="AF19" s="193" t="e">
        <f t="shared" si="1"/>
        <v>#VALUE!</v>
      </c>
      <c r="AG19" s="172" t="s">
        <v>2715</v>
      </c>
      <c r="AH19" s="61" t="e">
        <f t="shared" si="2"/>
        <v>#VALUE!</v>
      </c>
      <c r="AI19" s="64" t="s">
        <v>2766</v>
      </c>
      <c r="AJ19" s="64" t="s">
        <v>319</v>
      </c>
      <c r="AK19" s="64" t="s">
        <v>319</v>
      </c>
      <c r="AL19" s="192" t="s">
        <v>531</v>
      </c>
      <c r="AM19" s="172" t="e">
        <f>_xll.LVCELL($AK$1,AM$3,$AK19,$AL$2,$AK$4,$AK$5,$AK$6,$AK$7,$AK$8,$AL$3)/1000</f>
        <v>#VALUE!</v>
      </c>
      <c r="AN19" s="172" t="e">
        <f>_xll.LVCELL($AK$1,AN$3,$AK19,$AL$2,$AK$4,$AK$5,$AK$6,$AK$7,$AK$8,$AL$3)/1000</f>
        <v>#VALUE!</v>
      </c>
      <c r="AO19" s="172" t="e">
        <f>_xll.LVCELL($AK$1,AO$3,$AK19,$AL$2,$AK$4,$AK$5,$AK$6,$AK$7,$AK$8,$AL$3)/1000</f>
        <v>#VALUE!</v>
      </c>
      <c r="AP19" s="172" t="e">
        <f>_xll.LVCELL($AK$1,AP$3,$AK19,$AL$2,$AK$4,$AK$5,$AK$6,$AK$7,$AK$8,$AL$3)/1000</f>
        <v>#VALUE!</v>
      </c>
      <c r="AQ19" s="172" t="e">
        <f>_xll.LVCELL($AK$1,AQ$3,$AK19,$AL$2,$AK$4,$AK$5,$AK$6,$AK$7,$AK$8,$AL$3)/1000</f>
        <v>#VALUE!</v>
      </c>
      <c r="AR19" s="172" t="e">
        <f>_xll.LVCELL($AK$1,AR$3,$AK19,$AL$2,$AK$4,$AK$5,$AK$6,$AK$7,$AK$8,$AL$3)/1000</f>
        <v>#VALUE!</v>
      </c>
      <c r="AS19" s="172" t="e">
        <f>_xll.LVCELL($AK$1,AS$3,$AK19,$AL$2,$AK$4,$AK$5,$AK$6,$AK$7,$AK$8,$AL$3)/1000</f>
        <v>#VALUE!</v>
      </c>
      <c r="AT19" s="172" t="e">
        <f>_xll.LVCELL($AK$1,AT$3,$AK19,$AL$2,$AK$4,$AK$5,$AK$6,$AK$7,$AK$8,$AL$3)/1000</f>
        <v>#VALUE!</v>
      </c>
      <c r="AU19" s="172" t="e">
        <f>_xll.LVCELL($AK$1,AU$3,$AK19,$AL$2,$AK$4,$AK$5,$AK$6,$AK$7,$AK$8,$AL$3)/1000</f>
        <v>#VALUE!</v>
      </c>
      <c r="AV19" s="172" t="e">
        <f>_xll.LVCELL($AK$1,AV$3,$AK19,$AL$2,$AK$4,$AK$5,$AK$6,$AK$7,$AK$8,$AL$3)/1000</f>
        <v>#VALUE!</v>
      </c>
      <c r="AW19" s="172" t="e">
        <f>_xll.LVCELL($AK$1,AW$3,$AK19,$AL$2,$AK$4,$AK$5,$AK$6,$AK$7,$AK$8,$AL$3)/1000</f>
        <v>#VALUE!</v>
      </c>
      <c r="AX19" s="172" t="e">
        <f>_xll.LVCELL($AK$1,AX$3,$AK19,$AL$2,$AK$4,$AK$5,$AK$6,$AK$7,$AK$8,$AL$3)/1000</f>
        <v>#VALUE!</v>
      </c>
      <c r="AY19" s="172" t="e">
        <f>_xll.LVCELL($AK$1,AY$2,$AK19,$AL$2,$AK$4,$AK$5,$AK$6,$AK$7,$AK$8,$AL$3)/1000</f>
        <v>#VALUE!</v>
      </c>
      <c r="AZ19" s="172" t="e">
        <f>_xll.LVCELL($AK$1,AZ$3,$AK19,$AL$2,$AK$4,$AK$5,$AK$6,$AK$7,$AK$8,$AL$3)/1000</f>
        <v>#VALUE!</v>
      </c>
      <c r="BA19" s="172" t="e">
        <f>_xll.LVCELL($AK$1,BA$3,$AK19,$AL$2,$AK$4,$AK$5,$AK$6,$AK$7,$AK$8,$AL$3)/1000</f>
        <v>#VALUE!</v>
      </c>
      <c r="BB19" s="172" t="e">
        <f>_xll.LVCELL($AK$1,BB$3,$AK19,$AL$2,$AK$4,$AK$5,$AK$6,$AK$7,$AK$8,$AL$3)/1000</f>
        <v>#VALUE!</v>
      </c>
      <c r="BC19" s="172" t="e">
        <f>_xll.LVCELL($AK$1,BC$3,$AK19,$AL$2,$AK$4,$AK$5,$AK$6,$AK$7,$AK$8,$AL$3)/1000</f>
        <v>#VALUE!</v>
      </c>
      <c r="BD19" s="172" t="e">
        <f>_xll.LVCELL($AK$1,BD$3,$AK19,$AL$2,$AK$4,$AK$5,$AK$6,$AK$7,$AK$8,$AL$3)/1000</f>
        <v>#VALUE!</v>
      </c>
      <c r="BE19" s="172" t="e">
        <f>_xll.LVCELL($AK$1,BE$3,$AK19,$AL$2,$AK$4,$AK$5,$AK$6,$AK$7,$AK$8,$AL$3)/1000</f>
        <v>#VALUE!</v>
      </c>
      <c r="BF19" s="172" t="e">
        <f>_xll.LVCELL($AK$1,BF$3,$AK19,$AL$2,$AK$4,$AK$5,$AK$6,$AK$7,$AK$8,$AL$3)/1000</f>
        <v>#VALUE!</v>
      </c>
      <c r="BG19" s="172" t="e">
        <f>_xll.LVCELL($AK$1,BG$3,$AK19,$AL$2,$AK$4,$AK$5,$AK$6,$AK$7,$AK$8,$AL$3)/1000</f>
        <v>#VALUE!</v>
      </c>
      <c r="BH19" s="172" t="e">
        <f>_xll.LVCELL($AK$1,BH$3,$AK19,$AL$2,$AK$4,$AK$5,$AK$6,$AK$7,$AK$8,$AL$3)/1000</f>
        <v>#VALUE!</v>
      </c>
      <c r="BI19" s="172" t="e">
        <f>_xll.LVCELL($AK$1,BI$3,$AK19,$AL$2,$AK$4,$AK$5,$AK$6,$AK$7,$AK$8,$AL$3)/1000</f>
        <v>#VALUE!</v>
      </c>
      <c r="BJ19" s="172" t="e">
        <f>_xll.LVCELL($AK$1,BJ$3,$AK19,$AL$2,$AK$4,$AK$5,$AK$6,$AK$7,$AK$8,$AL$3)/1000</f>
        <v>#VALUE!</v>
      </c>
      <c r="BK19" s="172" t="e">
        <f>_xll.LVCELL($AK$1,BK$3,$AK19,$AL$2,$AK$4,$AK$5,$AK$6,$AK$7,$AK$8,$AL$3)/1000</f>
        <v>#VALUE!</v>
      </c>
      <c r="BL19" s="172" t="e">
        <f>_xll.LVCELL($AK$1,BL$2,$AK19,$AL$2,$AK$4,$AK$5,$AK$6,$AK$7,$AK$8,$AL$3)/1000</f>
        <v>#VALUE!</v>
      </c>
      <c r="BM19" s="214" t="e">
        <f t="shared" si="3"/>
        <v>#VALUE!</v>
      </c>
      <c r="BN19" s="217" t="e">
        <f t="shared" si="4"/>
        <v>#VALUE!</v>
      </c>
      <c r="BO19" s="218" t="e">
        <f t="shared" si="4"/>
        <v>#VALUE!</v>
      </c>
      <c r="BP19" s="193" t="e">
        <f t="shared" si="5"/>
        <v>#VALUE!</v>
      </c>
      <c r="BQ19" s="190" t="s">
        <v>2680</v>
      </c>
      <c r="BS19" s="198">
        <f t="shared" si="6"/>
        <v>0</v>
      </c>
      <c r="BT19" s="198">
        <f t="shared" si="7"/>
        <v>0</v>
      </c>
      <c r="BU19" s="198">
        <f t="shared" si="8"/>
        <v>0</v>
      </c>
      <c r="BV19" s="199" t="str">
        <f t="shared" si="9"/>
        <v>N/A</v>
      </c>
      <c r="BX19" s="200" t="e">
        <f t="shared" si="10"/>
        <v>#VALUE!</v>
      </c>
      <c r="BY19" s="200" t="e">
        <f t="shared" si="11"/>
        <v>#VALUE!</v>
      </c>
      <c r="BZ19" s="200" t="e">
        <f t="shared" si="12"/>
        <v>#VALUE!</v>
      </c>
    </row>
    <row r="20" spans="2:78">
      <c r="B20" s="64" t="s">
        <v>320</v>
      </c>
      <c r="C20" s="64" t="s">
        <v>320</v>
      </c>
      <c r="D20" s="192" t="s">
        <v>532</v>
      </c>
      <c r="E20" s="172" t="e">
        <f>_xll.LVCELL($D$1,E$3,$C20,$D$2,$C$4,$C$5,$C$6,$C$7,$C$8,$D$3)/1000</f>
        <v>#VALUE!</v>
      </c>
      <c r="F20" s="172" t="e">
        <f>_xll.LVCELL($D$1,F$3,$C20,$D$2,$C$4,$C$5,$C$6,$C$7,$C$8,$D$3)/1000</f>
        <v>#VALUE!</v>
      </c>
      <c r="G20" s="172" t="e">
        <f>_xll.LVCELL($D$1,G$3,$C20,$D$2,$C$4,$C$5,$C$6,$C$7,$C$8,$D$3)/1000</f>
        <v>#VALUE!</v>
      </c>
      <c r="H20" s="172" t="e">
        <f>_xll.LVCELL($D$1,H$3,$C20,$D$2,$C$4,$C$5,$C$6,$C$7,$C$8,$D$3)/1000</f>
        <v>#VALUE!</v>
      </c>
      <c r="I20" s="172" t="e">
        <f>_xll.LVCELL($D$1,I$3,$C20,$D$2,$C$4,$C$5,$C$6,$C$7,$C$8,$D$3)/1000</f>
        <v>#VALUE!</v>
      </c>
      <c r="J20" s="172" t="e">
        <f>_xll.LVCELL($D$1,J$3,$C20,$D$2,$C$4,$C$5,$C$6,$C$7,$C$8,$D$3)/1000</f>
        <v>#VALUE!</v>
      </c>
      <c r="K20" s="172" t="e">
        <f>_xll.LVCELL($D$1,K$3,$C20,$D$2,$C$4,$C$5,$C$6,$C$7,$C$8,$D$3)/1000</f>
        <v>#VALUE!</v>
      </c>
      <c r="L20" s="172" t="e">
        <f>_xll.LVCELL($D$1,L$3,$C20,$D$2,$C$4,$C$5,$C$6,$C$7,$C$8,$D$3)/1000</f>
        <v>#VALUE!</v>
      </c>
      <c r="M20" s="172" t="e">
        <f>_xll.LVCELL($D$1,M$3,$C20,$D$2,$C$4,$C$5,$C$6,$C$7,$C$8,$D$3)/1000</f>
        <v>#VALUE!</v>
      </c>
      <c r="N20" s="172" t="e">
        <f>_xll.LVCELL($D$1,N$3,$C20,$D$2,$C$4,$C$5,$C$6,$C$7,$C$8,$D$3)/1000</f>
        <v>#VALUE!</v>
      </c>
      <c r="O20" s="172" t="e">
        <f>_xll.LVCELL($D$1,O$3,$C20,$D$2,$C$4,$C$5,$C$6,$C$7,$C$8,$D$3)/1000</f>
        <v>#VALUE!</v>
      </c>
      <c r="P20" s="172" t="e">
        <f>_xll.LVCELL($D$1,P$3,$C20,$D$2,$C$4,$C$5,$C$6,$C$7,$C$8,$D$3)/1000</f>
        <v>#VALUE!</v>
      </c>
      <c r="Q20" s="172" t="e">
        <f>_xll.LVCELL($D$1,Q$2,$C20,$D$2,$C$4,$C$5,$C$6,$C$7,$C$8,$D$3)/1000</f>
        <v>#VALUE!</v>
      </c>
      <c r="R20" s="172" t="e">
        <f>_xll.LVCELL($D$1,R$3,$C20,$D$2,$C$4,$C$5,$C$6,$C$7,$C$8,$D$3)/1000</f>
        <v>#VALUE!</v>
      </c>
      <c r="S20" s="172" t="e">
        <f>_xll.LVCELL($D$1,S$3,$C20,$D$2,$C$4,$C$5,$C$6,$C$7,$C$8,$D$3)/1000</f>
        <v>#VALUE!</v>
      </c>
      <c r="T20" s="172" t="e">
        <f>_xll.LVCELL($D$1,T$3,$C20,$D$2,$C$4,$C$5,$C$6,$C$7,$C$8,$D$3)/1000</f>
        <v>#VALUE!</v>
      </c>
      <c r="U20" s="172" t="e">
        <f>_xll.LVCELL($D$1,U$3,$C20,$D$2,$C$4,$C$5,$C$6,$C$7,$C$8,$D$3)/1000</f>
        <v>#VALUE!</v>
      </c>
      <c r="V20" s="172" t="e">
        <f>_xll.LVCELL($D$1,V$3,$C20,$D$2,$C$4,$C$5,$C$6,$C$7,$C$8,$D$3)/1000</f>
        <v>#VALUE!</v>
      </c>
      <c r="W20" s="172" t="e">
        <f>_xll.LVCELL($D$1,W$3,$C20,$D$2,$C$4,$C$5,$C$6,$C$7,$C$8,$D$3)/1000</f>
        <v>#VALUE!</v>
      </c>
      <c r="X20" s="172" t="e">
        <f>_xll.LVCELL($D$1,X$3,$C20,$D$2,$C$4,$C$5,$C$6,$C$7,$C$8,$D$3)/1000</f>
        <v>#VALUE!</v>
      </c>
      <c r="Y20" s="172" t="e">
        <f>_xll.LVCELL($D$1,Y$3,$C20,$D$2,$C$4,$C$5,$C$6,$C$7,$C$8,$D$3)/1000</f>
        <v>#VALUE!</v>
      </c>
      <c r="Z20" s="172" t="e">
        <f>_xll.LVCELL($D$1,Z$3,$C20,$D$2,$C$4,$C$5,$C$6,$C$7,$C$8,$D$3)/1000</f>
        <v>#VALUE!</v>
      </c>
      <c r="AA20" s="172" t="e">
        <f>_xll.LVCELL($D$1,AA$3,$C20,$D$2,$C$4,$C$5,$C$6,$C$7,$C$8,$D$3)/1000</f>
        <v>#VALUE!</v>
      </c>
      <c r="AB20" s="172" t="e">
        <f>_xll.LVCELL($D$1,AB$3,$C20,$D$2,$C$4,$C$5,$C$6,$C$7,$C$8,$D$3)/1000</f>
        <v>#VALUE!</v>
      </c>
      <c r="AC20" s="172" t="e">
        <f>_xll.LVCELL($D$1,AC$3,$C20,$D$2,$C$4,$C$5,$C$6,$C$7,$C$8,$D$3)/1000</f>
        <v>#VALUE!</v>
      </c>
      <c r="AD20" s="172" t="e">
        <f>_xll.LVCELL($D$1,AD$2,$C20,$D$2,$C$4,$C$5,$C$6,$C$7,$C$8,$D$3)/1000</f>
        <v>#VALUE!</v>
      </c>
      <c r="AE20" s="172" t="e">
        <f t="shared" si="0"/>
        <v>#VALUE!</v>
      </c>
      <c r="AF20" s="193" t="e">
        <f t="shared" si="1"/>
        <v>#VALUE!</v>
      </c>
      <c r="AG20" s="172" t="s">
        <v>2715</v>
      </c>
      <c r="AH20" s="61" t="e">
        <f t="shared" si="2"/>
        <v>#VALUE!</v>
      </c>
      <c r="AI20" s="64" t="s">
        <v>2766</v>
      </c>
      <c r="AJ20" s="64" t="s">
        <v>320</v>
      </c>
      <c r="AK20" s="64" t="s">
        <v>320</v>
      </c>
      <c r="AL20" s="192" t="s">
        <v>532</v>
      </c>
      <c r="AM20" s="172" t="e">
        <f>_xll.LVCELL($AK$1,AM$3,$AK20,$AL$2,$AK$4,$AK$5,$AK$6,$AK$7,$AK$8,$AL$3)/1000</f>
        <v>#VALUE!</v>
      </c>
      <c r="AN20" s="172" t="e">
        <f>_xll.LVCELL($AK$1,AN$3,$AK20,$AL$2,$AK$4,$AK$5,$AK$6,$AK$7,$AK$8,$AL$3)/1000</f>
        <v>#VALUE!</v>
      </c>
      <c r="AO20" s="172" t="e">
        <f>_xll.LVCELL($AK$1,AO$3,$AK20,$AL$2,$AK$4,$AK$5,$AK$6,$AK$7,$AK$8,$AL$3)/1000</f>
        <v>#VALUE!</v>
      </c>
      <c r="AP20" s="172" t="e">
        <f>_xll.LVCELL($AK$1,AP$3,$AK20,$AL$2,$AK$4,$AK$5,$AK$6,$AK$7,$AK$8,$AL$3)/1000</f>
        <v>#VALUE!</v>
      </c>
      <c r="AQ20" s="172" t="e">
        <f>_xll.LVCELL($AK$1,AQ$3,$AK20,$AL$2,$AK$4,$AK$5,$AK$6,$AK$7,$AK$8,$AL$3)/1000</f>
        <v>#VALUE!</v>
      </c>
      <c r="AR20" s="172" t="e">
        <f>_xll.LVCELL($AK$1,AR$3,$AK20,$AL$2,$AK$4,$AK$5,$AK$6,$AK$7,$AK$8,$AL$3)/1000</f>
        <v>#VALUE!</v>
      </c>
      <c r="AS20" s="172" t="e">
        <f>_xll.LVCELL($AK$1,AS$3,$AK20,$AL$2,$AK$4,$AK$5,$AK$6,$AK$7,$AK$8,$AL$3)/1000</f>
        <v>#VALUE!</v>
      </c>
      <c r="AT20" s="172" t="e">
        <f>_xll.LVCELL($AK$1,AT$3,$AK20,$AL$2,$AK$4,$AK$5,$AK$6,$AK$7,$AK$8,$AL$3)/1000</f>
        <v>#VALUE!</v>
      </c>
      <c r="AU20" s="172" t="e">
        <f>_xll.LVCELL($AK$1,AU$3,$AK20,$AL$2,$AK$4,$AK$5,$AK$6,$AK$7,$AK$8,$AL$3)/1000</f>
        <v>#VALUE!</v>
      </c>
      <c r="AV20" s="172" t="e">
        <f>_xll.LVCELL($AK$1,AV$3,$AK20,$AL$2,$AK$4,$AK$5,$AK$6,$AK$7,$AK$8,$AL$3)/1000</f>
        <v>#VALUE!</v>
      </c>
      <c r="AW20" s="172" t="e">
        <f>_xll.LVCELL($AK$1,AW$3,$AK20,$AL$2,$AK$4,$AK$5,$AK$6,$AK$7,$AK$8,$AL$3)/1000</f>
        <v>#VALUE!</v>
      </c>
      <c r="AX20" s="172" t="e">
        <f>_xll.LVCELL($AK$1,AX$3,$AK20,$AL$2,$AK$4,$AK$5,$AK$6,$AK$7,$AK$8,$AL$3)/1000</f>
        <v>#VALUE!</v>
      </c>
      <c r="AY20" s="172" t="e">
        <f>_xll.LVCELL($AK$1,AY$2,$AK20,$AL$2,$AK$4,$AK$5,$AK$6,$AK$7,$AK$8,$AL$3)/1000</f>
        <v>#VALUE!</v>
      </c>
      <c r="AZ20" s="172" t="e">
        <f>_xll.LVCELL($AK$1,AZ$3,$AK20,$AL$2,$AK$4,$AK$5,$AK$6,$AK$7,$AK$8,$AL$3)/1000</f>
        <v>#VALUE!</v>
      </c>
      <c r="BA20" s="172" t="e">
        <f>_xll.LVCELL($AK$1,BA$3,$AK20,$AL$2,$AK$4,$AK$5,$AK$6,$AK$7,$AK$8,$AL$3)/1000</f>
        <v>#VALUE!</v>
      </c>
      <c r="BB20" s="172" t="e">
        <f>_xll.LVCELL($AK$1,BB$3,$AK20,$AL$2,$AK$4,$AK$5,$AK$6,$AK$7,$AK$8,$AL$3)/1000</f>
        <v>#VALUE!</v>
      </c>
      <c r="BC20" s="172" t="e">
        <f>_xll.LVCELL($AK$1,BC$3,$AK20,$AL$2,$AK$4,$AK$5,$AK$6,$AK$7,$AK$8,$AL$3)/1000</f>
        <v>#VALUE!</v>
      </c>
      <c r="BD20" s="172" t="e">
        <f>_xll.LVCELL($AK$1,BD$3,$AK20,$AL$2,$AK$4,$AK$5,$AK$6,$AK$7,$AK$8,$AL$3)/1000</f>
        <v>#VALUE!</v>
      </c>
      <c r="BE20" s="172" t="e">
        <f>_xll.LVCELL($AK$1,BE$3,$AK20,$AL$2,$AK$4,$AK$5,$AK$6,$AK$7,$AK$8,$AL$3)/1000</f>
        <v>#VALUE!</v>
      </c>
      <c r="BF20" s="172" t="e">
        <f>_xll.LVCELL($AK$1,BF$3,$AK20,$AL$2,$AK$4,$AK$5,$AK$6,$AK$7,$AK$8,$AL$3)/1000</f>
        <v>#VALUE!</v>
      </c>
      <c r="BG20" s="172" t="e">
        <f>_xll.LVCELL($AK$1,BG$3,$AK20,$AL$2,$AK$4,$AK$5,$AK$6,$AK$7,$AK$8,$AL$3)/1000</f>
        <v>#VALUE!</v>
      </c>
      <c r="BH20" s="172" t="e">
        <f>_xll.LVCELL($AK$1,BH$3,$AK20,$AL$2,$AK$4,$AK$5,$AK$6,$AK$7,$AK$8,$AL$3)/1000</f>
        <v>#VALUE!</v>
      </c>
      <c r="BI20" s="172" t="e">
        <f>_xll.LVCELL($AK$1,BI$3,$AK20,$AL$2,$AK$4,$AK$5,$AK$6,$AK$7,$AK$8,$AL$3)/1000</f>
        <v>#VALUE!</v>
      </c>
      <c r="BJ20" s="172" t="e">
        <f>_xll.LVCELL($AK$1,BJ$3,$AK20,$AL$2,$AK$4,$AK$5,$AK$6,$AK$7,$AK$8,$AL$3)/1000</f>
        <v>#VALUE!</v>
      </c>
      <c r="BK20" s="172" t="e">
        <f>_xll.LVCELL($AK$1,BK$3,$AK20,$AL$2,$AK$4,$AK$5,$AK$6,$AK$7,$AK$8,$AL$3)/1000</f>
        <v>#VALUE!</v>
      </c>
      <c r="BL20" s="172" t="e">
        <f>_xll.LVCELL($AK$1,BL$2,$AK20,$AL$2,$AK$4,$AK$5,$AK$6,$AK$7,$AK$8,$AL$3)/1000</f>
        <v>#VALUE!</v>
      </c>
      <c r="BM20" s="214" t="e">
        <f t="shared" si="3"/>
        <v>#VALUE!</v>
      </c>
      <c r="BN20" s="217" t="e">
        <f t="shared" si="4"/>
        <v>#VALUE!</v>
      </c>
      <c r="BO20" s="218" t="e">
        <f t="shared" si="4"/>
        <v>#VALUE!</v>
      </c>
      <c r="BP20" s="193" t="e">
        <f t="shared" si="5"/>
        <v>#VALUE!</v>
      </c>
      <c r="BQ20" s="190" t="s">
        <v>2680</v>
      </c>
      <c r="BS20" s="198">
        <f t="shared" si="6"/>
        <v>0</v>
      </c>
      <c r="BT20" s="198">
        <f t="shared" si="7"/>
        <v>0</v>
      </c>
      <c r="BU20" s="198">
        <f t="shared" si="8"/>
        <v>0</v>
      </c>
      <c r="BV20" s="199" t="str">
        <f t="shared" si="9"/>
        <v>N/A</v>
      </c>
      <c r="BX20" s="200" t="e">
        <f t="shared" si="10"/>
        <v>#VALUE!</v>
      </c>
      <c r="BY20" s="200" t="e">
        <f t="shared" si="11"/>
        <v>#VALUE!</v>
      </c>
      <c r="BZ20" s="200" t="e">
        <f t="shared" si="12"/>
        <v>#VALUE!</v>
      </c>
    </row>
    <row r="21" spans="2:78">
      <c r="B21" s="64" t="s">
        <v>321</v>
      </c>
      <c r="C21" s="64" t="s">
        <v>321</v>
      </c>
      <c r="D21" s="192" t="s">
        <v>841</v>
      </c>
      <c r="E21" s="172" t="e">
        <f>_xll.LVCELL($D$1,E$3,$C21,$D$2,$C$4,$C$5,$C$6,$C$7,$C$8,$D$3)/1000</f>
        <v>#VALUE!</v>
      </c>
      <c r="F21" s="172" t="e">
        <f>_xll.LVCELL($D$1,F$3,$C21,$D$2,$C$4,$C$5,$C$6,$C$7,$C$8,$D$3)/1000</f>
        <v>#VALUE!</v>
      </c>
      <c r="G21" s="172" t="e">
        <f>_xll.LVCELL($D$1,G$3,$C21,$D$2,$C$4,$C$5,$C$6,$C$7,$C$8,$D$3)/1000</f>
        <v>#VALUE!</v>
      </c>
      <c r="H21" s="172" t="e">
        <f>_xll.LVCELL($D$1,H$3,$C21,$D$2,$C$4,$C$5,$C$6,$C$7,$C$8,$D$3)/1000</f>
        <v>#VALUE!</v>
      </c>
      <c r="I21" s="172" t="e">
        <f>_xll.LVCELL($D$1,I$3,$C21,$D$2,$C$4,$C$5,$C$6,$C$7,$C$8,$D$3)/1000</f>
        <v>#VALUE!</v>
      </c>
      <c r="J21" s="172" t="e">
        <f>_xll.LVCELL($D$1,J$3,$C21,$D$2,$C$4,$C$5,$C$6,$C$7,$C$8,$D$3)/1000</f>
        <v>#VALUE!</v>
      </c>
      <c r="K21" s="172" t="e">
        <f>_xll.LVCELL($D$1,K$3,$C21,$D$2,$C$4,$C$5,$C$6,$C$7,$C$8,$D$3)/1000</f>
        <v>#VALUE!</v>
      </c>
      <c r="L21" s="172" t="e">
        <f>_xll.LVCELL($D$1,L$3,$C21,$D$2,$C$4,$C$5,$C$6,$C$7,$C$8,$D$3)/1000</f>
        <v>#VALUE!</v>
      </c>
      <c r="M21" s="172" t="e">
        <f>_xll.LVCELL($D$1,M$3,$C21,$D$2,$C$4,$C$5,$C$6,$C$7,$C$8,$D$3)/1000</f>
        <v>#VALUE!</v>
      </c>
      <c r="N21" s="172" t="e">
        <f>_xll.LVCELL($D$1,N$3,$C21,$D$2,$C$4,$C$5,$C$6,$C$7,$C$8,$D$3)/1000</f>
        <v>#VALUE!</v>
      </c>
      <c r="O21" s="172" t="e">
        <f>_xll.LVCELL($D$1,O$3,$C21,$D$2,$C$4,$C$5,$C$6,$C$7,$C$8,$D$3)/1000</f>
        <v>#VALUE!</v>
      </c>
      <c r="P21" s="172" t="e">
        <f>_xll.LVCELL($D$1,P$3,$C21,$D$2,$C$4,$C$5,$C$6,$C$7,$C$8,$D$3)/1000</f>
        <v>#VALUE!</v>
      </c>
      <c r="Q21" s="172" t="e">
        <f>_xll.LVCELL($D$1,Q$2,$C21,$D$2,$C$4,$C$5,$C$6,$C$7,$C$8,$D$3)/1000</f>
        <v>#VALUE!</v>
      </c>
      <c r="R21" s="172" t="e">
        <f>_xll.LVCELL($D$1,R$3,$C21,$D$2,$C$4,$C$5,$C$6,$C$7,$C$8,$D$3)/1000</f>
        <v>#VALUE!</v>
      </c>
      <c r="S21" s="172" t="e">
        <f>_xll.LVCELL($D$1,S$3,$C21,$D$2,$C$4,$C$5,$C$6,$C$7,$C$8,$D$3)/1000</f>
        <v>#VALUE!</v>
      </c>
      <c r="T21" s="172" t="e">
        <f>_xll.LVCELL($D$1,T$3,$C21,$D$2,$C$4,$C$5,$C$6,$C$7,$C$8,$D$3)/1000</f>
        <v>#VALUE!</v>
      </c>
      <c r="U21" s="172" t="e">
        <f>_xll.LVCELL($D$1,U$3,$C21,$D$2,$C$4,$C$5,$C$6,$C$7,$C$8,$D$3)/1000</f>
        <v>#VALUE!</v>
      </c>
      <c r="V21" s="172" t="e">
        <f>_xll.LVCELL($D$1,V$3,$C21,$D$2,$C$4,$C$5,$C$6,$C$7,$C$8,$D$3)/1000</f>
        <v>#VALUE!</v>
      </c>
      <c r="W21" s="172" t="e">
        <f>_xll.LVCELL($D$1,W$3,$C21,$D$2,$C$4,$C$5,$C$6,$C$7,$C$8,$D$3)/1000</f>
        <v>#VALUE!</v>
      </c>
      <c r="X21" s="172" t="e">
        <f>_xll.LVCELL($D$1,X$3,$C21,$D$2,$C$4,$C$5,$C$6,$C$7,$C$8,$D$3)/1000</f>
        <v>#VALUE!</v>
      </c>
      <c r="Y21" s="172" t="e">
        <f>_xll.LVCELL($D$1,Y$3,$C21,$D$2,$C$4,$C$5,$C$6,$C$7,$C$8,$D$3)/1000</f>
        <v>#VALUE!</v>
      </c>
      <c r="Z21" s="172" t="e">
        <f>_xll.LVCELL($D$1,Z$3,$C21,$D$2,$C$4,$C$5,$C$6,$C$7,$C$8,$D$3)/1000</f>
        <v>#VALUE!</v>
      </c>
      <c r="AA21" s="172" t="e">
        <f>_xll.LVCELL($D$1,AA$3,$C21,$D$2,$C$4,$C$5,$C$6,$C$7,$C$8,$D$3)/1000</f>
        <v>#VALUE!</v>
      </c>
      <c r="AB21" s="172" t="e">
        <f>_xll.LVCELL($D$1,AB$3,$C21,$D$2,$C$4,$C$5,$C$6,$C$7,$C$8,$D$3)/1000</f>
        <v>#VALUE!</v>
      </c>
      <c r="AC21" s="172" t="e">
        <f>_xll.LVCELL($D$1,AC$3,$C21,$D$2,$C$4,$C$5,$C$6,$C$7,$C$8,$D$3)/1000</f>
        <v>#VALUE!</v>
      </c>
      <c r="AD21" s="172" t="e">
        <f>_xll.LVCELL($D$1,AD$2,$C21,$D$2,$C$4,$C$5,$C$6,$C$7,$C$8,$D$3)/1000</f>
        <v>#VALUE!</v>
      </c>
      <c r="AE21" s="172" t="e">
        <f t="shared" si="0"/>
        <v>#VALUE!</v>
      </c>
      <c r="AF21" s="193" t="e">
        <f t="shared" si="1"/>
        <v>#VALUE!</v>
      </c>
      <c r="AG21" s="172" t="s">
        <v>2715</v>
      </c>
      <c r="AH21" s="61" t="e">
        <f t="shared" si="2"/>
        <v>#VALUE!</v>
      </c>
      <c r="AI21" s="64" t="s">
        <v>2766</v>
      </c>
      <c r="AJ21" s="64" t="s">
        <v>321</v>
      </c>
      <c r="AK21" s="64" t="s">
        <v>321</v>
      </c>
      <c r="AL21" s="192" t="s">
        <v>841</v>
      </c>
      <c r="AM21" s="172" t="e">
        <f>_xll.LVCELL($AK$1,AM$3,$AK21,$AL$2,$AK$4,$AK$5,$AK$6,$AK$7,$AK$8,$AL$3)/1000</f>
        <v>#VALUE!</v>
      </c>
      <c r="AN21" s="172" t="e">
        <f>_xll.LVCELL($AK$1,AN$3,$AK21,$AL$2,$AK$4,$AK$5,$AK$6,$AK$7,$AK$8,$AL$3)/1000</f>
        <v>#VALUE!</v>
      </c>
      <c r="AO21" s="172" t="e">
        <f>_xll.LVCELL($AK$1,AO$3,$AK21,$AL$2,$AK$4,$AK$5,$AK$6,$AK$7,$AK$8,$AL$3)/1000</f>
        <v>#VALUE!</v>
      </c>
      <c r="AP21" s="172" t="e">
        <f>_xll.LVCELL($AK$1,AP$3,$AK21,$AL$2,$AK$4,$AK$5,$AK$6,$AK$7,$AK$8,$AL$3)/1000</f>
        <v>#VALUE!</v>
      </c>
      <c r="AQ21" s="172" t="e">
        <f>_xll.LVCELL($AK$1,AQ$3,$AK21,$AL$2,$AK$4,$AK$5,$AK$6,$AK$7,$AK$8,$AL$3)/1000</f>
        <v>#VALUE!</v>
      </c>
      <c r="AR21" s="172" t="e">
        <f>_xll.LVCELL($AK$1,AR$3,$AK21,$AL$2,$AK$4,$AK$5,$AK$6,$AK$7,$AK$8,$AL$3)/1000</f>
        <v>#VALUE!</v>
      </c>
      <c r="AS21" s="172" t="e">
        <f>_xll.LVCELL($AK$1,AS$3,$AK21,$AL$2,$AK$4,$AK$5,$AK$6,$AK$7,$AK$8,$AL$3)/1000</f>
        <v>#VALUE!</v>
      </c>
      <c r="AT21" s="172" t="e">
        <f>_xll.LVCELL($AK$1,AT$3,$AK21,$AL$2,$AK$4,$AK$5,$AK$6,$AK$7,$AK$8,$AL$3)/1000</f>
        <v>#VALUE!</v>
      </c>
      <c r="AU21" s="172" t="e">
        <f>_xll.LVCELL($AK$1,AU$3,$AK21,$AL$2,$AK$4,$AK$5,$AK$6,$AK$7,$AK$8,$AL$3)/1000</f>
        <v>#VALUE!</v>
      </c>
      <c r="AV21" s="172" t="e">
        <f>_xll.LVCELL($AK$1,AV$3,$AK21,$AL$2,$AK$4,$AK$5,$AK$6,$AK$7,$AK$8,$AL$3)/1000</f>
        <v>#VALUE!</v>
      </c>
      <c r="AW21" s="172" t="e">
        <f>_xll.LVCELL($AK$1,AW$3,$AK21,$AL$2,$AK$4,$AK$5,$AK$6,$AK$7,$AK$8,$AL$3)/1000</f>
        <v>#VALUE!</v>
      </c>
      <c r="AX21" s="172" t="e">
        <f>_xll.LVCELL($AK$1,AX$3,$AK21,$AL$2,$AK$4,$AK$5,$AK$6,$AK$7,$AK$8,$AL$3)/1000</f>
        <v>#VALUE!</v>
      </c>
      <c r="AY21" s="172" t="e">
        <f>_xll.LVCELL($AK$1,AY$2,$AK21,$AL$2,$AK$4,$AK$5,$AK$6,$AK$7,$AK$8,$AL$3)/1000</f>
        <v>#VALUE!</v>
      </c>
      <c r="AZ21" s="172" t="e">
        <f>_xll.LVCELL($AK$1,AZ$3,$AK21,$AL$2,$AK$4,$AK$5,$AK$6,$AK$7,$AK$8,$AL$3)/1000</f>
        <v>#VALUE!</v>
      </c>
      <c r="BA21" s="172" t="e">
        <f>_xll.LVCELL($AK$1,BA$3,$AK21,$AL$2,$AK$4,$AK$5,$AK$6,$AK$7,$AK$8,$AL$3)/1000</f>
        <v>#VALUE!</v>
      </c>
      <c r="BB21" s="172" t="e">
        <f>_xll.LVCELL($AK$1,BB$3,$AK21,$AL$2,$AK$4,$AK$5,$AK$6,$AK$7,$AK$8,$AL$3)/1000</f>
        <v>#VALUE!</v>
      </c>
      <c r="BC21" s="172" t="e">
        <f>_xll.LVCELL($AK$1,BC$3,$AK21,$AL$2,$AK$4,$AK$5,$AK$6,$AK$7,$AK$8,$AL$3)/1000</f>
        <v>#VALUE!</v>
      </c>
      <c r="BD21" s="172" t="e">
        <f>_xll.LVCELL($AK$1,BD$3,$AK21,$AL$2,$AK$4,$AK$5,$AK$6,$AK$7,$AK$8,$AL$3)/1000</f>
        <v>#VALUE!</v>
      </c>
      <c r="BE21" s="172" t="e">
        <f>_xll.LVCELL($AK$1,BE$3,$AK21,$AL$2,$AK$4,$AK$5,$AK$6,$AK$7,$AK$8,$AL$3)/1000</f>
        <v>#VALUE!</v>
      </c>
      <c r="BF21" s="172" t="e">
        <f>_xll.LVCELL($AK$1,BF$3,$AK21,$AL$2,$AK$4,$AK$5,$AK$6,$AK$7,$AK$8,$AL$3)/1000</f>
        <v>#VALUE!</v>
      </c>
      <c r="BG21" s="172" t="e">
        <f>_xll.LVCELL($AK$1,BG$3,$AK21,$AL$2,$AK$4,$AK$5,$AK$6,$AK$7,$AK$8,$AL$3)/1000</f>
        <v>#VALUE!</v>
      </c>
      <c r="BH21" s="172" t="e">
        <f>_xll.LVCELL($AK$1,BH$3,$AK21,$AL$2,$AK$4,$AK$5,$AK$6,$AK$7,$AK$8,$AL$3)/1000</f>
        <v>#VALUE!</v>
      </c>
      <c r="BI21" s="172" t="e">
        <f>_xll.LVCELL($AK$1,BI$3,$AK21,$AL$2,$AK$4,$AK$5,$AK$6,$AK$7,$AK$8,$AL$3)/1000</f>
        <v>#VALUE!</v>
      </c>
      <c r="BJ21" s="172" t="e">
        <f>_xll.LVCELL($AK$1,BJ$3,$AK21,$AL$2,$AK$4,$AK$5,$AK$6,$AK$7,$AK$8,$AL$3)/1000</f>
        <v>#VALUE!</v>
      </c>
      <c r="BK21" s="172" t="e">
        <f>_xll.LVCELL($AK$1,BK$3,$AK21,$AL$2,$AK$4,$AK$5,$AK$6,$AK$7,$AK$8,$AL$3)/1000</f>
        <v>#VALUE!</v>
      </c>
      <c r="BL21" s="172" t="e">
        <f>_xll.LVCELL($AK$1,BL$2,$AK21,$AL$2,$AK$4,$AK$5,$AK$6,$AK$7,$AK$8,$AL$3)/1000</f>
        <v>#VALUE!</v>
      </c>
      <c r="BM21" s="214" t="e">
        <f t="shared" si="3"/>
        <v>#VALUE!</v>
      </c>
      <c r="BN21" s="217" t="e">
        <f t="shared" si="4"/>
        <v>#VALUE!</v>
      </c>
      <c r="BO21" s="218" t="e">
        <f t="shared" si="4"/>
        <v>#VALUE!</v>
      </c>
      <c r="BP21" s="193" t="e">
        <f t="shared" si="5"/>
        <v>#VALUE!</v>
      </c>
      <c r="BQ21" s="190" t="s">
        <v>2680</v>
      </c>
      <c r="BS21" s="198">
        <f t="shared" si="6"/>
        <v>0</v>
      </c>
      <c r="BT21" s="198">
        <f t="shared" si="7"/>
        <v>0</v>
      </c>
      <c r="BU21" s="198">
        <f t="shared" si="8"/>
        <v>0</v>
      </c>
      <c r="BV21" s="199" t="str">
        <f t="shared" si="9"/>
        <v>N/A</v>
      </c>
      <c r="BX21" s="200" t="e">
        <f t="shared" si="10"/>
        <v>#VALUE!</v>
      </c>
      <c r="BY21" s="200" t="e">
        <f t="shared" si="11"/>
        <v>#VALUE!</v>
      </c>
      <c r="BZ21" s="200" t="e">
        <f t="shared" si="12"/>
        <v>#VALUE!</v>
      </c>
    </row>
    <row r="22" spans="2:78">
      <c r="B22" s="64" t="s">
        <v>419</v>
      </c>
      <c r="C22" s="64" t="s">
        <v>419</v>
      </c>
      <c r="D22" s="192" t="s">
        <v>295</v>
      </c>
      <c r="E22" s="172" t="e">
        <f>_xll.LVCELL($D$1,E$3,$C22,$D$2,$C$4,$C$5,$C$6,$C$7,$C$8,$D$3)/1000</f>
        <v>#VALUE!</v>
      </c>
      <c r="F22" s="172" t="e">
        <f>_xll.LVCELL($D$1,F$3,$C22,$D$2,$C$4,$C$5,$C$6,$C$7,$C$8,$D$3)/1000</f>
        <v>#VALUE!</v>
      </c>
      <c r="G22" s="172" t="e">
        <f>_xll.LVCELL($D$1,G$3,$C22,$D$2,$C$4,$C$5,$C$6,$C$7,$C$8,$D$3)/1000</f>
        <v>#VALUE!</v>
      </c>
      <c r="H22" s="172" t="e">
        <f>_xll.LVCELL($D$1,H$3,$C22,$D$2,$C$4,$C$5,$C$6,$C$7,$C$8,$D$3)/1000</f>
        <v>#VALUE!</v>
      </c>
      <c r="I22" s="172" t="e">
        <f>_xll.LVCELL($D$1,I$3,$C22,$D$2,$C$4,$C$5,$C$6,$C$7,$C$8,$D$3)/1000</f>
        <v>#VALUE!</v>
      </c>
      <c r="J22" s="172" t="e">
        <f>_xll.LVCELL($D$1,J$3,$C22,$D$2,$C$4,$C$5,$C$6,$C$7,$C$8,$D$3)/1000</f>
        <v>#VALUE!</v>
      </c>
      <c r="K22" s="172" t="e">
        <f>_xll.LVCELL($D$1,K$3,$C22,$D$2,$C$4,$C$5,$C$6,$C$7,$C$8,$D$3)/1000</f>
        <v>#VALUE!</v>
      </c>
      <c r="L22" s="172" t="e">
        <f>_xll.LVCELL($D$1,L$3,$C22,$D$2,$C$4,$C$5,$C$6,$C$7,$C$8,$D$3)/1000</f>
        <v>#VALUE!</v>
      </c>
      <c r="M22" s="172" t="e">
        <f>_xll.LVCELL($D$1,M$3,$C22,$D$2,$C$4,$C$5,$C$6,$C$7,$C$8,$D$3)/1000</f>
        <v>#VALUE!</v>
      </c>
      <c r="N22" s="172" t="e">
        <f>_xll.LVCELL($D$1,N$3,$C22,$D$2,$C$4,$C$5,$C$6,$C$7,$C$8,$D$3)/1000</f>
        <v>#VALUE!</v>
      </c>
      <c r="O22" s="172" t="e">
        <f>_xll.LVCELL($D$1,O$3,$C22,$D$2,$C$4,$C$5,$C$6,$C$7,$C$8,$D$3)/1000</f>
        <v>#VALUE!</v>
      </c>
      <c r="P22" s="172" t="e">
        <f>_xll.LVCELL($D$1,P$3,$C22,$D$2,$C$4,$C$5,$C$6,$C$7,$C$8,$D$3)/1000</f>
        <v>#VALUE!</v>
      </c>
      <c r="Q22" s="172" t="e">
        <f>_xll.LVCELL($D$1,Q$2,$C22,$D$2,$C$4,$C$5,$C$6,$C$7,$C$8,$D$3)/1000</f>
        <v>#VALUE!</v>
      </c>
      <c r="R22" s="172" t="e">
        <f>_xll.LVCELL($D$1,R$3,$C22,$D$2,$C$4,$C$5,$C$6,$C$7,$C$8,$D$3)/1000</f>
        <v>#VALUE!</v>
      </c>
      <c r="S22" s="172" t="e">
        <f>_xll.LVCELL($D$1,S$3,$C22,$D$2,$C$4,$C$5,$C$6,$C$7,$C$8,$D$3)/1000</f>
        <v>#VALUE!</v>
      </c>
      <c r="T22" s="172" t="e">
        <f>_xll.LVCELL($D$1,T$3,$C22,$D$2,$C$4,$C$5,$C$6,$C$7,$C$8,$D$3)/1000</f>
        <v>#VALUE!</v>
      </c>
      <c r="U22" s="172" t="e">
        <f>_xll.LVCELL($D$1,U$3,$C22,$D$2,$C$4,$C$5,$C$6,$C$7,$C$8,$D$3)/1000</f>
        <v>#VALUE!</v>
      </c>
      <c r="V22" s="172" t="e">
        <f>_xll.LVCELL($D$1,V$3,$C22,$D$2,$C$4,$C$5,$C$6,$C$7,$C$8,$D$3)/1000</f>
        <v>#VALUE!</v>
      </c>
      <c r="W22" s="172" t="e">
        <f>_xll.LVCELL($D$1,W$3,$C22,$D$2,$C$4,$C$5,$C$6,$C$7,$C$8,$D$3)/1000</f>
        <v>#VALUE!</v>
      </c>
      <c r="X22" s="172" t="e">
        <f>_xll.LVCELL($D$1,X$3,$C22,$D$2,$C$4,$C$5,$C$6,$C$7,$C$8,$D$3)/1000</f>
        <v>#VALUE!</v>
      </c>
      <c r="Y22" s="172" t="e">
        <f>_xll.LVCELL($D$1,Y$3,$C22,$D$2,$C$4,$C$5,$C$6,$C$7,$C$8,$D$3)/1000</f>
        <v>#VALUE!</v>
      </c>
      <c r="Z22" s="172" t="e">
        <f>_xll.LVCELL($D$1,Z$3,$C22,$D$2,$C$4,$C$5,$C$6,$C$7,$C$8,$D$3)/1000</f>
        <v>#VALUE!</v>
      </c>
      <c r="AA22" s="172" t="e">
        <f>_xll.LVCELL($D$1,AA$3,$C22,$D$2,$C$4,$C$5,$C$6,$C$7,$C$8,$D$3)/1000</f>
        <v>#VALUE!</v>
      </c>
      <c r="AB22" s="172" t="e">
        <f>_xll.LVCELL($D$1,AB$3,$C22,$D$2,$C$4,$C$5,$C$6,$C$7,$C$8,$D$3)/1000</f>
        <v>#VALUE!</v>
      </c>
      <c r="AC22" s="172" t="e">
        <f>_xll.LVCELL($D$1,AC$3,$C22,$D$2,$C$4,$C$5,$C$6,$C$7,$C$8,$D$3)/1000</f>
        <v>#VALUE!</v>
      </c>
      <c r="AD22" s="172" t="e">
        <f>_xll.LVCELL($D$1,AD$2,$C22,$D$2,$C$4,$C$5,$C$6,$C$7,$C$8,$D$3)/1000</f>
        <v>#VALUE!</v>
      </c>
      <c r="AE22" s="172" t="e">
        <f t="shared" si="0"/>
        <v>#VALUE!</v>
      </c>
      <c r="AF22" s="193" t="e">
        <f t="shared" si="1"/>
        <v>#VALUE!</v>
      </c>
      <c r="AG22" s="172" t="s">
        <v>2715</v>
      </c>
      <c r="AH22" s="61" t="e">
        <f t="shared" si="2"/>
        <v>#VALUE!</v>
      </c>
      <c r="AI22" s="64" t="s">
        <v>2766</v>
      </c>
      <c r="AJ22" s="64" t="s">
        <v>419</v>
      </c>
      <c r="AK22" s="64" t="s">
        <v>419</v>
      </c>
      <c r="AL22" s="192" t="s">
        <v>295</v>
      </c>
      <c r="AM22" s="172" t="e">
        <f>_xll.LVCELL($AK$1,AM$3,$AK22,$AL$2,$AK$4,$AK$5,$AK$6,$AK$7,$AK$8,$AL$3)/1000</f>
        <v>#VALUE!</v>
      </c>
      <c r="AN22" s="172" t="e">
        <f>_xll.LVCELL($AK$1,AN$3,$AK22,$AL$2,$AK$4,$AK$5,$AK$6,$AK$7,$AK$8,$AL$3)/1000</f>
        <v>#VALUE!</v>
      </c>
      <c r="AO22" s="172" t="e">
        <f>_xll.LVCELL($AK$1,AO$3,$AK22,$AL$2,$AK$4,$AK$5,$AK$6,$AK$7,$AK$8,$AL$3)/1000</f>
        <v>#VALUE!</v>
      </c>
      <c r="AP22" s="172" t="e">
        <f>_xll.LVCELL($AK$1,AP$3,$AK22,$AL$2,$AK$4,$AK$5,$AK$6,$AK$7,$AK$8,$AL$3)/1000</f>
        <v>#VALUE!</v>
      </c>
      <c r="AQ22" s="172" t="e">
        <f>_xll.LVCELL($AK$1,AQ$3,$AK22,$AL$2,$AK$4,$AK$5,$AK$6,$AK$7,$AK$8,$AL$3)/1000</f>
        <v>#VALUE!</v>
      </c>
      <c r="AR22" s="172" t="e">
        <f>_xll.LVCELL($AK$1,AR$3,$AK22,$AL$2,$AK$4,$AK$5,$AK$6,$AK$7,$AK$8,$AL$3)/1000</f>
        <v>#VALUE!</v>
      </c>
      <c r="AS22" s="172" t="e">
        <f>_xll.LVCELL($AK$1,AS$3,$AK22,$AL$2,$AK$4,$AK$5,$AK$6,$AK$7,$AK$8,$AL$3)/1000</f>
        <v>#VALUE!</v>
      </c>
      <c r="AT22" s="172" t="e">
        <f>_xll.LVCELL($AK$1,AT$3,$AK22,$AL$2,$AK$4,$AK$5,$AK$6,$AK$7,$AK$8,$AL$3)/1000</f>
        <v>#VALUE!</v>
      </c>
      <c r="AU22" s="172" t="e">
        <f>_xll.LVCELL($AK$1,AU$3,$AK22,$AL$2,$AK$4,$AK$5,$AK$6,$AK$7,$AK$8,$AL$3)/1000</f>
        <v>#VALUE!</v>
      </c>
      <c r="AV22" s="172" t="e">
        <f>_xll.LVCELL($AK$1,AV$3,$AK22,$AL$2,$AK$4,$AK$5,$AK$6,$AK$7,$AK$8,$AL$3)/1000</f>
        <v>#VALUE!</v>
      </c>
      <c r="AW22" s="172" t="e">
        <f>_xll.LVCELL($AK$1,AW$3,$AK22,$AL$2,$AK$4,$AK$5,$AK$6,$AK$7,$AK$8,$AL$3)/1000</f>
        <v>#VALUE!</v>
      </c>
      <c r="AX22" s="172" t="e">
        <f>_xll.LVCELL($AK$1,AX$3,$AK22,$AL$2,$AK$4,$AK$5,$AK$6,$AK$7,$AK$8,$AL$3)/1000</f>
        <v>#VALUE!</v>
      </c>
      <c r="AY22" s="172" t="e">
        <f>_xll.LVCELL($AK$1,AY$2,$AK22,$AL$2,$AK$4,$AK$5,$AK$6,$AK$7,$AK$8,$AL$3)/1000</f>
        <v>#VALUE!</v>
      </c>
      <c r="AZ22" s="172" t="e">
        <f>_xll.LVCELL($AK$1,AZ$3,$AK22,$AL$2,$AK$4,$AK$5,$AK$6,$AK$7,$AK$8,$AL$3)/1000</f>
        <v>#VALUE!</v>
      </c>
      <c r="BA22" s="172" t="e">
        <f>_xll.LVCELL($AK$1,BA$3,$AK22,$AL$2,$AK$4,$AK$5,$AK$6,$AK$7,$AK$8,$AL$3)/1000</f>
        <v>#VALUE!</v>
      </c>
      <c r="BB22" s="172" t="e">
        <f>_xll.LVCELL($AK$1,BB$3,$AK22,$AL$2,$AK$4,$AK$5,$AK$6,$AK$7,$AK$8,$AL$3)/1000</f>
        <v>#VALUE!</v>
      </c>
      <c r="BC22" s="172" t="e">
        <f>_xll.LVCELL($AK$1,BC$3,$AK22,$AL$2,$AK$4,$AK$5,$AK$6,$AK$7,$AK$8,$AL$3)/1000</f>
        <v>#VALUE!</v>
      </c>
      <c r="BD22" s="172" t="e">
        <f>_xll.LVCELL($AK$1,BD$3,$AK22,$AL$2,$AK$4,$AK$5,$AK$6,$AK$7,$AK$8,$AL$3)/1000</f>
        <v>#VALUE!</v>
      </c>
      <c r="BE22" s="172" t="e">
        <f>_xll.LVCELL($AK$1,BE$3,$AK22,$AL$2,$AK$4,$AK$5,$AK$6,$AK$7,$AK$8,$AL$3)/1000</f>
        <v>#VALUE!</v>
      </c>
      <c r="BF22" s="172" t="e">
        <f>_xll.LVCELL($AK$1,BF$3,$AK22,$AL$2,$AK$4,$AK$5,$AK$6,$AK$7,$AK$8,$AL$3)/1000</f>
        <v>#VALUE!</v>
      </c>
      <c r="BG22" s="172" t="e">
        <f>_xll.LVCELL($AK$1,BG$3,$AK22,$AL$2,$AK$4,$AK$5,$AK$6,$AK$7,$AK$8,$AL$3)/1000</f>
        <v>#VALUE!</v>
      </c>
      <c r="BH22" s="172" t="e">
        <f>_xll.LVCELL($AK$1,BH$3,$AK22,$AL$2,$AK$4,$AK$5,$AK$6,$AK$7,$AK$8,$AL$3)/1000</f>
        <v>#VALUE!</v>
      </c>
      <c r="BI22" s="172" t="e">
        <f>_xll.LVCELL($AK$1,BI$3,$AK22,$AL$2,$AK$4,$AK$5,$AK$6,$AK$7,$AK$8,$AL$3)/1000</f>
        <v>#VALUE!</v>
      </c>
      <c r="BJ22" s="172" t="e">
        <f>_xll.LVCELL($AK$1,BJ$3,$AK22,$AL$2,$AK$4,$AK$5,$AK$6,$AK$7,$AK$8,$AL$3)/1000</f>
        <v>#VALUE!</v>
      </c>
      <c r="BK22" s="172" t="e">
        <f>_xll.LVCELL($AK$1,BK$3,$AK22,$AL$2,$AK$4,$AK$5,$AK$6,$AK$7,$AK$8,$AL$3)/1000</f>
        <v>#VALUE!</v>
      </c>
      <c r="BL22" s="172" t="e">
        <f>_xll.LVCELL($AK$1,BL$2,$AK22,$AL$2,$AK$4,$AK$5,$AK$6,$AK$7,$AK$8,$AL$3)/1000</f>
        <v>#VALUE!</v>
      </c>
      <c r="BM22" s="214" t="e">
        <f t="shared" si="3"/>
        <v>#VALUE!</v>
      </c>
      <c r="BN22" s="217" t="e">
        <f t="shared" si="4"/>
        <v>#VALUE!</v>
      </c>
      <c r="BO22" s="218" t="e">
        <f t="shared" si="4"/>
        <v>#VALUE!</v>
      </c>
      <c r="BP22" s="193" t="e">
        <f t="shared" si="5"/>
        <v>#VALUE!</v>
      </c>
      <c r="BQ22" s="190" t="s">
        <v>2681</v>
      </c>
      <c r="BS22" s="198">
        <f t="shared" si="6"/>
        <v>0</v>
      </c>
      <c r="BT22" s="198">
        <f t="shared" si="7"/>
        <v>0</v>
      </c>
      <c r="BU22" s="198">
        <f t="shared" si="8"/>
        <v>0</v>
      </c>
      <c r="BV22" s="199" t="str">
        <f t="shared" si="9"/>
        <v>N/A</v>
      </c>
      <c r="BX22" s="200" t="e">
        <f t="shared" si="10"/>
        <v>#VALUE!</v>
      </c>
      <c r="BY22" s="200" t="e">
        <f t="shared" si="11"/>
        <v>#VALUE!</v>
      </c>
      <c r="BZ22" s="200" t="e">
        <f t="shared" si="12"/>
        <v>#VALUE!</v>
      </c>
    </row>
    <row r="23" spans="2:78">
      <c r="B23" s="64" t="s">
        <v>421</v>
      </c>
      <c r="C23" s="64" t="s">
        <v>421</v>
      </c>
      <c r="D23" s="192" t="s">
        <v>288</v>
      </c>
      <c r="E23" s="172" t="e">
        <f>_xll.LVCELL($D$1,E$3,$C23,$D$2,$C$4,$C$5,$C$6,$C$7,$C$8,$D$3)/1000</f>
        <v>#VALUE!</v>
      </c>
      <c r="F23" s="172" t="e">
        <f>_xll.LVCELL($D$1,F$3,$C23,$D$2,$C$4,$C$5,$C$6,$C$7,$C$8,$D$3)/1000</f>
        <v>#VALUE!</v>
      </c>
      <c r="G23" s="172" t="e">
        <f>_xll.LVCELL($D$1,G$3,$C23,$D$2,$C$4,$C$5,$C$6,$C$7,$C$8,$D$3)/1000</f>
        <v>#VALUE!</v>
      </c>
      <c r="H23" s="172" t="e">
        <f>_xll.LVCELL($D$1,H$3,$C23,$D$2,$C$4,$C$5,$C$6,$C$7,$C$8,$D$3)/1000</f>
        <v>#VALUE!</v>
      </c>
      <c r="I23" s="172" t="e">
        <f>_xll.LVCELL($D$1,I$3,$C23,$D$2,$C$4,$C$5,$C$6,$C$7,$C$8,$D$3)/1000</f>
        <v>#VALUE!</v>
      </c>
      <c r="J23" s="172" t="e">
        <f>_xll.LVCELL($D$1,J$3,$C23,$D$2,$C$4,$C$5,$C$6,$C$7,$C$8,$D$3)/1000</f>
        <v>#VALUE!</v>
      </c>
      <c r="K23" s="172" t="e">
        <f>_xll.LVCELL($D$1,K$3,$C23,$D$2,$C$4,$C$5,$C$6,$C$7,$C$8,$D$3)/1000</f>
        <v>#VALUE!</v>
      </c>
      <c r="L23" s="172" t="e">
        <f>_xll.LVCELL($D$1,L$3,$C23,$D$2,$C$4,$C$5,$C$6,$C$7,$C$8,$D$3)/1000</f>
        <v>#VALUE!</v>
      </c>
      <c r="M23" s="172" t="e">
        <f>_xll.LVCELL($D$1,M$3,$C23,$D$2,$C$4,$C$5,$C$6,$C$7,$C$8,$D$3)/1000</f>
        <v>#VALUE!</v>
      </c>
      <c r="N23" s="172" t="e">
        <f>_xll.LVCELL($D$1,N$3,$C23,$D$2,$C$4,$C$5,$C$6,$C$7,$C$8,$D$3)/1000</f>
        <v>#VALUE!</v>
      </c>
      <c r="O23" s="172" t="e">
        <f>_xll.LVCELL($D$1,O$3,$C23,$D$2,$C$4,$C$5,$C$6,$C$7,$C$8,$D$3)/1000</f>
        <v>#VALUE!</v>
      </c>
      <c r="P23" s="172" t="e">
        <f>_xll.LVCELL($D$1,P$3,$C23,$D$2,$C$4,$C$5,$C$6,$C$7,$C$8,$D$3)/1000</f>
        <v>#VALUE!</v>
      </c>
      <c r="Q23" s="172" t="e">
        <f>_xll.LVCELL($D$1,Q$2,$C23,$D$2,$C$4,$C$5,$C$6,$C$7,$C$8,$D$3)/1000</f>
        <v>#VALUE!</v>
      </c>
      <c r="R23" s="172" t="e">
        <f>_xll.LVCELL($D$1,R$3,$C23,$D$2,$C$4,$C$5,$C$6,$C$7,$C$8,$D$3)/1000</f>
        <v>#VALUE!</v>
      </c>
      <c r="S23" s="172" t="e">
        <f>_xll.LVCELL($D$1,S$3,$C23,$D$2,$C$4,$C$5,$C$6,$C$7,$C$8,$D$3)/1000</f>
        <v>#VALUE!</v>
      </c>
      <c r="T23" s="172" t="e">
        <f>_xll.LVCELL($D$1,T$3,$C23,$D$2,$C$4,$C$5,$C$6,$C$7,$C$8,$D$3)/1000</f>
        <v>#VALUE!</v>
      </c>
      <c r="U23" s="172" t="e">
        <f>_xll.LVCELL($D$1,U$3,$C23,$D$2,$C$4,$C$5,$C$6,$C$7,$C$8,$D$3)/1000</f>
        <v>#VALUE!</v>
      </c>
      <c r="V23" s="172" t="e">
        <f>_xll.LVCELL($D$1,V$3,$C23,$D$2,$C$4,$C$5,$C$6,$C$7,$C$8,$D$3)/1000</f>
        <v>#VALUE!</v>
      </c>
      <c r="W23" s="172" t="e">
        <f>_xll.LVCELL($D$1,W$3,$C23,$D$2,$C$4,$C$5,$C$6,$C$7,$C$8,$D$3)/1000</f>
        <v>#VALUE!</v>
      </c>
      <c r="X23" s="172" t="e">
        <f>_xll.LVCELL($D$1,X$3,$C23,$D$2,$C$4,$C$5,$C$6,$C$7,$C$8,$D$3)/1000</f>
        <v>#VALUE!</v>
      </c>
      <c r="Y23" s="172" t="e">
        <f>_xll.LVCELL($D$1,Y$3,$C23,$D$2,$C$4,$C$5,$C$6,$C$7,$C$8,$D$3)/1000</f>
        <v>#VALUE!</v>
      </c>
      <c r="Z23" s="172" t="e">
        <f>_xll.LVCELL($D$1,Z$3,$C23,$D$2,$C$4,$C$5,$C$6,$C$7,$C$8,$D$3)/1000</f>
        <v>#VALUE!</v>
      </c>
      <c r="AA23" s="172" t="e">
        <f>_xll.LVCELL($D$1,AA$3,$C23,$D$2,$C$4,$C$5,$C$6,$C$7,$C$8,$D$3)/1000</f>
        <v>#VALUE!</v>
      </c>
      <c r="AB23" s="172" t="e">
        <f>_xll.LVCELL($D$1,AB$3,$C23,$D$2,$C$4,$C$5,$C$6,$C$7,$C$8,$D$3)/1000</f>
        <v>#VALUE!</v>
      </c>
      <c r="AC23" s="172" t="e">
        <f>_xll.LVCELL($D$1,AC$3,$C23,$D$2,$C$4,$C$5,$C$6,$C$7,$C$8,$D$3)/1000</f>
        <v>#VALUE!</v>
      </c>
      <c r="AD23" s="172" t="e">
        <f>_xll.LVCELL($D$1,AD$2,$C23,$D$2,$C$4,$C$5,$C$6,$C$7,$C$8,$D$3)/1000</f>
        <v>#VALUE!</v>
      </c>
      <c r="AE23" s="172" t="e">
        <f t="shared" si="0"/>
        <v>#VALUE!</v>
      </c>
      <c r="AF23" s="193" t="e">
        <f t="shared" si="1"/>
        <v>#VALUE!</v>
      </c>
      <c r="AG23" s="172" t="s">
        <v>2713</v>
      </c>
      <c r="AH23" s="61" t="e">
        <f t="shared" si="2"/>
        <v>#VALUE!</v>
      </c>
      <c r="AI23" s="64" t="s">
        <v>2767</v>
      </c>
      <c r="AJ23" s="64" t="s">
        <v>421</v>
      </c>
      <c r="AK23" s="64" t="s">
        <v>421</v>
      </c>
      <c r="AL23" s="192" t="s">
        <v>288</v>
      </c>
      <c r="AM23" s="172" t="e">
        <f>_xll.LVCELL($AK$1,AM$3,$AK23,$AL$2,$AK$4,$AK$5,$AK$6,$AK$7,$AK$8,$AL$3)/1000</f>
        <v>#VALUE!</v>
      </c>
      <c r="AN23" s="172" t="e">
        <f>_xll.LVCELL($AK$1,AN$3,$AK23,$AL$2,$AK$4,$AK$5,$AK$6,$AK$7,$AK$8,$AL$3)/1000</f>
        <v>#VALUE!</v>
      </c>
      <c r="AO23" s="172" t="e">
        <f>_xll.LVCELL($AK$1,AO$3,$AK23,$AL$2,$AK$4,$AK$5,$AK$6,$AK$7,$AK$8,$AL$3)/1000</f>
        <v>#VALUE!</v>
      </c>
      <c r="AP23" s="172" t="e">
        <f>_xll.LVCELL($AK$1,AP$3,$AK23,$AL$2,$AK$4,$AK$5,$AK$6,$AK$7,$AK$8,$AL$3)/1000</f>
        <v>#VALUE!</v>
      </c>
      <c r="AQ23" s="172" t="e">
        <f>_xll.LVCELL($AK$1,AQ$3,$AK23,$AL$2,$AK$4,$AK$5,$AK$6,$AK$7,$AK$8,$AL$3)/1000</f>
        <v>#VALUE!</v>
      </c>
      <c r="AR23" s="172" t="e">
        <f>_xll.LVCELL($AK$1,AR$3,$AK23,$AL$2,$AK$4,$AK$5,$AK$6,$AK$7,$AK$8,$AL$3)/1000</f>
        <v>#VALUE!</v>
      </c>
      <c r="AS23" s="172" t="e">
        <f>_xll.LVCELL($AK$1,AS$3,$AK23,$AL$2,$AK$4,$AK$5,$AK$6,$AK$7,$AK$8,$AL$3)/1000</f>
        <v>#VALUE!</v>
      </c>
      <c r="AT23" s="172" t="e">
        <f>_xll.LVCELL($AK$1,AT$3,$AK23,$AL$2,$AK$4,$AK$5,$AK$6,$AK$7,$AK$8,$AL$3)/1000</f>
        <v>#VALUE!</v>
      </c>
      <c r="AU23" s="172" t="e">
        <f>_xll.LVCELL($AK$1,AU$3,$AK23,$AL$2,$AK$4,$AK$5,$AK$6,$AK$7,$AK$8,$AL$3)/1000</f>
        <v>#VALUE!</v>
      </c>
      <c r="AV23" s="172" t="e">
        <f>_xll.LVCELL($AK$1,AV$3,$AK23,$AL$2,$AK$4,$AK$5,$AK$6,$AK$7,$AK$8,$AL$3)/1000</f>
        <v>#VALUE!</v>
      </c>
      <c r="AW23" s="172" t="e">
        <f>_xll.LVCELL($AK$1,AW$3,$AK23,$AL$2,$AK$4,$AK$5,$AK$6,$AK$7,$AK$8,$AL$3)/1000</f>
        <v>#VALUE!</v>
      </c>
      <c r="AX23" s="172" t="e">
        <f>_xll.LVCELL($AK$1,AX$3,$AK23,$AL$2,$AK$4,$AK$5,$AK$6,$AK$7,$AK$8,$AL$3)/1000</f>
        <v>#VALUE!</v>
      </c>
      <c r="AY23" s="172" t="e">
        <f>_xll.LVCELL($AK$1,AY$2,$AK23,$AL$2,$AK$4,$AK$5,$AK$6,$AK$7,$AK$8,$AL$3)/1000</f>
        <v>#VALUE!</v>
      </c>
      <c r="AZ23" s="172" t="e">
        <f>_xll.LVCELL($AK$1,AZ$3,$AK23,$AL$2,$AK$4,$AK$5,$AK$6,$AK$7,$AK$8,$AL$3)/1000</f>
        <v>#VALUE!</v>
      </c>
      <c r="BA23" s="172" t="e">
        <f>_xll.LVCELL($AK$1,BA$3,$AK23,$AL$2,$AK$4,$AK$5,$AK$6,$AK$7,$AK$8,$AL$3)/1000</f>
        <v>#VALUE!</v>
      </c>
      <c r="BB23" s="172" t="e">
        <f>_xll.LVCELL($AK$1,BB$3,$AK23,$AL$2,$AK$4,$AK$5,$AK$6,$AK$7,$AK$8,$AL$3)/1000</f>
        <v>#VALUE!</v>
      </c>
      <c r="BC23" s="172" t="e">
        <f>_xll.LVCELL($AK$1,BC$3,$AK23,$AL$2,$AK$4,$AK$5,$AK$6,$AK$7,$AK$8,$AL$3)/1000</f>
        <v>#VALUE!</v>
      </c>
      <c r="BD23" s="172" t="e">
        <f>_xll.LVCELL($AK$1,BD$3,$AK23,$AL$2,$AK$4,$AK$5,$AK$6,$AK$7,$AK$8,$AL$3)/1000</f>
        <v>#VALUE!</v>
      </c>
      <c r="BE23" s="172" t="e">
        <f>_xll.LVCELL($AK$1,BE$3,$AK23,$AL$2,$AK$4,$AK$5,$AK$6,$AK$7,$AK$8,$AL$3)/1000</f>
        <v>#VALUE!</v>
      </c>
      <c r="BF23" s="172" t="e">
        <f>_xll.LVCELL($AK$1,BF$3,$AK23,$AL$2,$AK$4,$AK$5,$AK$6,$AK$7,$AK$8,$AL$3)/1000</f>
        <v>#VALUE!</v>
      </c>
      <c r="BG23" s="172" t="e">
        <f>_xll.LVCELL($AK$1,BG$3,$AK23,$AL$2,$AK$4,$AK$5,$AK$6,$AK$7,$AK$8,$AL$3)/1000</f>
        <v>#VALUE!</v>
      </c>
      <c r="BH23" s="172" t="e">
        <f>_xll.LVCELL($AK$1,BH$3,$AK23,$AL$2,$AK$4,$AK$5,$AK$6,$AK$7,$AK$8,$AL$3)/1000</f>
        <v>#VALUE!</v>
      </c>
      <c r="BI23" s="172" t="e">
        <f>_xll.LVCELL($AK$1,BI$3,$AK23,$AL$2,$AK$4,$AK$5,$AK$6,$AK$7,$AK$8,$AL$3)/1000</f>
        <v>#VALUE!</v>
      </c>
      <c r="BJ23" s="172" t="e">
        <f>_xll.LVCELL($AK$1,BJ$3,$AK23,$AL$2,$AK$4,$AK$5,$AK$6,$AK$7,$AK$8,$AL$3)/1000</f>
        <v>#VALUE!</v>
      </c>
      <c r="BK23" s="172" t="e">
        <f>_xll.LVCELL($AK$1,BK$3,$AK23,$AL$2,$AK$4,$AK$5,$AK$6,$AK$7,$AK$8,$AL$3)/1000</f>
        <v>#VALUE!</v>
      </c>
      <c r="BL23" s="172" t="e">
        <f>_xll.LVCELL($AK$1,BL$2,$AK23,$AL$2,$AK$4,$AK$5,$AK$6,$AK$7,$AK$8,$AL$3)/1000</f>
        <v>#VALUE!</v>
      </c>
      <c r="BM23" s="214" t="e">
        <f t="shared" si="3"/>
        <v>#VALUE!</v>
      </c>
      <c r="BN23" s="217" t="e">
        <f t="shared" si="4"/>
        <v>#VALUE!</v>
      </c>
      <c r="BO23" s="218" t="e">
        <f t="shared" si="4"/>
        <v>#VALUE!</v>
      </c>
      <c r="BP23" s="193" t="e">
        <f t="shared" si="5"/>
        <v>#VALUE!</v>
      </c>
      <c r="BQ23" s="190" t="s">
        <v>2682</v>
      </c>
      <c r="BS23" s="198">
        <f t="shared" si="6"/>
        <v>0</v>
      </c>
      <c r="BT23" s="198">
        <f t="shared" si="7"/>
        <v>0</v>
      </c>
      <c r="BU23" s="198">
        <f t="shared" si="8"/>
        <v>0</v>
      </c>
      <c r="BV23" s="199" t="str">
        <f t="shared" si="9"/>
        <v>N/A</v>
      </c>
      <c r="BX23" s="200" t="e">
        <f t="shared" si="10"/>
        <v>#VALUE!</v>
      </c>
      <c r="BY23" s="200" t="e">
        <f t="shared" si="11"/>
        <v>#VALUE!</v>
      </c>
      <c r="BZ23" s="200" t="e">
        <f t="shared" si="12"/>
        <v>#VALUE!</v>
      </c>
    </row>
    <row r="24" spans="2:78">
      <c r="B24" s="64" t="s">
        <v>423</v>
      </c>
      <c r="C24" s="64" t="s">
        <v>423</v>
      </c>
      <c r="D24" s="192" t="s">
        <v>289</v>
      </c>
      <c r="E24" s="172" t="e">
        <f>_xll.LVCELL($D$1,E$3,$C24,$D$2,$C$4,$C$5,$C$6,$C$7,$C$8,$D$3)/1000</f>
        <v>#VALUE!</v>
      </c>
      <c r="F24" s="172" t="e">
        <f>_xll.LVCELL($D$1,F$3,$C24,$D$2,$C$4,$C$5,$C$6,$C$7,$C$8,$D$3)/1000</f>
        <v>#VALUE!</v>
      </c>
      <c r="G24" s="172" t="e">
        <f>_xll.LVCELL($D$1,G$3,$C24,$D$2,$C$4,$C$5,$C$6,$C$7,$C$8,$D$3)/1000</f>
        <v>#VALUE!</v>
      </c>
      <c r="H24" s="172" t="e">
        <f>_xll.LVCELL($D$1,H$3,$C24,$D$2,$C$4,$C$5,$C$6,$C$7,$C$8,$D$3)/1000</f>
        <v>#VALUE!</v>
      </c>
      <c r="I24" s="172" t="e">
        <f>_xll.LVCELL($D$1,I$3,$C24,$D$2,$C$4,$C$5,$C$6,$C$7,$C$8,$D$3)/1000</f>
        <v>#VALUE!</v>
      </c>
      <c r="J24" s="172" t="e">
        <f>_xll.LVCELL($D$1,J$3,$C24,$D$2,$C$4,$C$5,$C$6,$C$7,$C$8,$D$3)/1000</f>
        <v>#VALUE!</v>
      </c>
      <c r="K24" s="172" t="e">
        <f>_xll.LVCELL($D$1,K$3,$C24,$D$2,$C$4,$C$5,$C$6,$C$7,$C$8,$D$3)/1000</f>
        <v>#VALUE!</v>
      </c>
      <c r="L24" s="172" t="e">
        <f>_xll.LVCELL($D$1,L$3,$C24,$D$2,$C$4,$C$5,$C$6,$C$7,$C$8,$D$3)/1000</f>
        <v>#VALUE!</v>
      </c>
      <c r="M24" s="172" t="e">
        <f>_xll.LVCELL($D$1,M$3,$C24,$D$2,$C$4,$C$5,$C$6,$C$7,$C$8,$D$3)/1000</f>
        <v>#VALUE!</v>
      </c>
      <c r="N24" s="172" t="e">
        <f>_xll.LVCELL($D$1,N$3,$C24,$D$2,$C$4,$C$5,$C$6,$C$7,$C$8,$D$3)/1000</f>
        <v>#VALUE!</v>
      </c>
      <c r="O24" s="172" t="e">
        <f>_xll.LVCELL($D$1,O$3,$C24,$D$2,$C$4,$C$5,$C$6,$C$7,$C$8,$D$3)/1000</f>
        <v>#VALUE!</v>
      </c>
      <c r="P24" s="172" t="e">
        <f>_xll.LVCELL($D$1,P$3,$C24,$D$2,$C$4,$C$5,$C$6,$C$7,$C$8,$D$3)/1000</f>
        <v>#VALUE!</v>
      </c>
      <c r="Q24" s="172" t="e">
        <f>_xll.LVCELL($D$1,Q$2,$C24,$D$2,$C$4,$C$5,$C$6,$C$7,$C$8,$D$3)/1000</f>
        <v>#VALUE!</v>
      </c>
      <c r="R24" s="172" t="e">
        <f>_xll.LVCELL($D$1,R$3,$C24,$D$2,$C$4,$C$5,$C$6,$C$7,$C$8,$D$3)/1000</f>
        <v>#VALUE!</v>
      </c>
      <c r="S24" s="172" t="e">
        <f>_xll.LVCELL($D$1,S$3,$C24,$D$2,$C$4,$C$5,$C$6,$C$7,$C$8,$D$3)/1000</f>
        <v>#VALUE!</v>
      </c>
      <c r="T24" s="172" t="e">
        <f>_xll.LVCELL($D$1,T$3,$C24,$D$2,$C$4,$C$5,$C$6,$C$7,$C$8,$D$3)/1000</f>
        <v>#VALUE!</v>
      </c>
      <c r="U24" s="172" t="e">
        <f>_xll.LVCELL($D$1,U$3,$C24,$D$2,$C$4,$C$5,$C$6,$C$7,$C$8,$D$3)/1000</f>
        <v>#VALUE!</v>
      </c>
      <c r="V24" s="172" t="e">
        <f>_xll.LVCELL($D$1,V$3,$C24,$D$2,$C$4,$C$5,$C$6,$C$7,$C$8,$D$3)/1000</f>
        <v>#VALUE!</v>
      </c>
      <c r="W24" s="172" t="e">
        <f>_xll.LVCELL($D$1,W$3,$C24,$D$2,$C$4,$C$5,$C$6,$C$7,$C$8,$D$3)/1000</f>
        <v>#VALUE!</v>
      </c>
      <c r="X24" s="172" t="e">
        <f>_xll.LVCELL($D$1,X$3,$C24,$D$2,$C$4,$C$5,$C$6,$C$7,$C$8,$D$3)/1000</f>
        <v>#VALUE!</v>
      </c>
      <c r="Y24" s="172" t="e">
        <f>_xll.LVCELL($D$1,Y$3,$C24,$D$2,$C$4,$C$5,$C$6,$C$7,$C$8,$D$3)/1000</f>
        <v>#VALUE!</v>
      </c>
      <c r="Z24" s="172" t="e">
        <f>_xll.LVCELL($D$1,Z$3,$C24,$D$2,$C$4,$C$5,$C$6,$C$7,$C$8,$D$3)/1000</f>
        <v>#VALUE!</v>
      </c>
      <c r="AA24" s="172" t="e">
        <f>_xll.LVCELL($D$1,AA$3,$C24,$D$2,$C$4,$C$5,$C$6,$C$7,$C$8,$D$3)/1000</f>
        <v>#VALUE!</v>
      </c>
      <c r="AB24" s="172" t="e">
        <f>_xll.LVCELL($D$1,AB$3,$C24,$D$2,$C$4,$C$5,$C$6,$C$7,$C$8,$D$3)/1000</f>
        <v>#VALUE!</v>
      </c>
      <c r="AC24" s="172" t="e">
        <f>_xll.LVCELL($D$1,AC$3,$C24,$D$2,$C$4,$C$5,$C$6,$C$7,$C$8,$D$3)/1000</f>
        <v>#VALUE!</v>
      </c>
      <c r="AD24" s="172" t="e">
        <f>_xll.LVCELL($D$1,AD$2,$C24,$D$2,$C$4,$C$5,$C$6,$C$7,$C$8,$D$3)/1000</f>
        <v>#VALUE!</v>
      </c>
      <c r="AE24" s="172" t="e">
        <f t="shared" si="0"/>
        <v>#VALUE!</v>
      </c>
      <c r="AF24" s="193" t="e">
        <f t="shared" si="1"/>
        <v>#VALUE!</v>
      </c>
      <c r="AG24" s="172" t="s">
        <v>2713</v>
      </c>
      <c r="AH24" s="61" t="e">
        <f t="shared" si="2"/>
        <v>#VALUE!</v>
      </c>
      <c r="AI24" s="64" t="s">
        <v>2766</v>
      </c>
      <c r="AJ24" s="64" t="s">
        <v>423</v>
      </c>
      <c r="AK24" s="64" t="s">
        <v>423</v>
      </c>
      <c r="AL24" s="192" t="s">
        <v>289</v>
      </c>
      <c r="AM24" s="172" t="e">
        <f>_xll.LVCELL($AK$1,AM$3,$AK24,$AL$2,$AK$4,$AK$5,$AK$6,$AK$7,$AK$8,$AL$3)/1000</f>
        <v>#VALUE!</v>
      </c>
      <c r="AN24" s="172" t="e">
        <f>_xll.LVCELL($AK$1,AN$3,$AK24,$AL$2,$AK$4,$AK$5,$AK$6,$AK$7,$AK$8,$AL$3)/1000</f>
        <v>#VALUE!</v>
      </c>
      <c r="AO24" s="172" t="e">
        <f>_xll.LVCELL($AK$1,AO$3,$AK24,$AL$2,$AK$4,$AK$5,$AK$6,$AK$7,$AK$8,$AL$3)/1000</f>
        <v>#VALUE!</v>
      </c>
      <c r="AP24" s="172" t="e">
        <f>_xll.LVCELL($AK$1,AP$3,$AK24,$AL$2,$AK$4,$AK$5,$AK$6,$AK$7,$AK$8,$AL$3)/1000</f>
        <v>#VALUE!</v>
      </c>
      <c r="AQ24" s="172" t="e">
        <f>_xll.LVCELL($AK$1,AQ$3,$AK24,$AL$2,$AK$4,$AK$5,$AK$6,$AK$7,$AK$8,$AL$3)/1000</f>
        <v>#VALUE!</v>
      </c>
      <c r="AR24" s="172" t="e">
        <f>_xll.LVCELL($AK$1,AR$3,$AK24,$AL$2,$AK$4,$AK$5,$AK$6,$AK$7,$AK$8,$AL$3)/1000</f>
        <v>#VALUE!</v>
      </c>
      <c r="AS24" s="172" t="e">
        <f>_xll.LVCELL($AK$1,AS$3,$AK24,$AL$2,$AK$4,$AK$5,$AK$6,$AK$7,$AK$8,$AL$3)/1000</f>
        <v>#VALUE!</v>
      </c>
      <c r="AT24" s="172" t="e">
        <f>_xll.LVCELL($AK$1,AT$3,$AK24,$AL$2,$AK$4,$AK$5,$AK$6,$AK$7,$AK$8,$AL$3)/1000</f>
        <v>#VALUE!</v>
      </c>
      <c r="AU24" s="172" t="e">
        <f>_xll.LVCELL($AK$1,AU$3,$AK24,$AL$2,$AK$4,$AK$5,$AK$6,$AK$7,$AK$8,$AL$3)/1000</f>
        <v>#VALUE!</v>
      </c>
      <c r="AV24" s="172" t="e">
        <f>_xll.LVCELL($AK$1,AV$3,$AK24,$AL$2,$AK$4,$AK$5,$AK$6,$AK$7,$AK$8,$AL$3)/1000</f>
        <v>#VALUE!</v>
      </c>
      <c r="AW24" s="172" t="e">
        <f>_xll.LVCELL($AK$1,AW$3,$AK24,$AL$2,$AK$4,$AK$5,$AK$6,$AK$7,$AK$8,$AL$3)/1000</f>
        <v>#VALUE!</v>
      </c>
      <c r="AX24" s="172" t="e">
        <f>_xll.LVCELL($AK$1,AX$3,$AK24,$AL$2,$AK$4,$AK$5,$AK$6,$AK$7,$AK$8,$AL$3)/1000</f>
        <v>#VALUE!</v>
      </c>
      <c r="AY24" s="172" t="e">
        <f>_xll.LVCELL($AK$1,AY$2,$AK24,$AL$2,$AK$4,$AK$5,$AK$6,$AK$7,$AK$8,$AL$3)/1000</f>
        <v>#VALUE!</v>
      </c>
      <c r="AZ24" s="172" t="e">
        <f>_xll.LVCELL($AK$1,AZ$3,$AK24,$AL$2,$AK$4,$AK$5,$AK$6,$AK$7,$AK$8,$AL$3)/1000</f>
        <v>#VALUE!</v>
      </c>
      <c r="BA24" s="172" t="e">
        <f>_xll.LVCELL($AK$1,BA$3,$AK24,$AL$2,$AK$4,$AK$5,$AK$6,$AK$7,$AK$8,$AL$3)/1000</f>
        <v>#VALUE!</v>
      </c>
      <c r="BB24" s="172" t="e">
        <f>_xll.LVCELL($AK$1,BB$3,$AK24,$AL$2,$AK$4,$AK$5,$AK$6,$AK$7,$AK$8,$AL$3)/1000</f>
        <v>#VALUE!</v>
      </c>
      <c r="BC24" s="172" t="e">
        <f>_xll.LVCELL($AK$1,BC$3,$AK24,$AL$2,$AK$4,$AK$5,$AK$6,$AK$7,$AK$8,$AL$3)/1000</f>
        <v>#VALUE!</v>
      </c>
      <c r="BD24" s="172" t="e">
        <f>_xll.LVCELL($AK$1,BD$3,$AK24,$AL$2,$AK$4,$AK$5,$AK$6,$AK$7,$AK$8,$AL$3)/1000</f>
        <v>#VALUE!</v>
      </c>
      <c r="BE24" s="172" t="e">
        <f>_xll.LVCELL($AK$1,BE$3,$AK24,$AL$2,$AK$4,$AK$5,$AK$6,$AK$7,$AK$8,$AL$3)/1000</f>
        <v>#VALUE!</v>
      </c>
      <c r="BF24" s="172" t="e">
        <f>_xll.LVCELL($AK$1,BF$3,$AK24,$AL$2,$AK$4,$AK$5,$AK$6,$AK$7,$AK$8,$AL$3)/1000</f>
        <v>#VALUE!</v>
      </c>
      <c r="BG24" s="172" t="e">
        <f>_xll.LVCELL($AK$1,BG$3,$AK24,$AL$2,$AK$4,$AK$5,$AK$6,$AK$7,$AK$8,$AL$3)/1000</f>
        <v>#VALUE!</v>
      </c>
      <c r="BH24" s="172" t="e">
        <f>_xll.LVCELL($AK$1,BH$3,$AK24,$AL$2,$AK$4,$AK$5,$AK$6,$AK$7,$AK$8,$AL$3)/1000</f>
        <v>#VALUE!</v>
      </c>
      <c r="BI24" s="172" t="e">
        <f>_xll.LVCELL($AK$1,BI$3,$AK24,$AL$2,$AK$4,$AK$5,$AK$6,$AK$7,$AK$8,$AL$3)/1000</f>
        <v>#VALUE!</v>
      </c>
      <c r="BJ24" s="172" t="e">
        <f>_xll.LVCELL($AK$1,BJ$3,$AK24,$AL$2,$AK$4,$AK$5,$AK$6,$AK$7,$AK$8,$AL$3)/1000</f>
        <v>#VALUE!</v>
      </c>
      <c r="BK24" s="172" t="e">
        <f>_xll.LVCELL($AK$1,BK$3,$AK24,$AL$2,$AK$4,$AK$5,$AK$6,$AK$7,$AK$8,$AL$3)/1000</f>
        <v>#VALUE!</v>
      </c>
      <c r="BL24" s="172" t="e">
        <f>_xll.LVCELL($AK$1,BL$2,$AK24,$AL$2,$AK$4,$AK$5,$AK$6,$AK$7,$AK$8,$AL$3)/1000</f>
        <v>#VALUE!</v>
      </c>
      <c r="BM24" s="214" t="e">
        <f t="shared" si="3"/>
        <v>#VALUE!</v>
      </c>
      <c r="BN24" s="217" t="e">
        <f t="shared" si="4"/>
        <v>#VALUE!</v>
      </c>
      <c r="BO24" s="218" t="e">
        <f t="shared" si="4"/>
        <v>#VALUE!</v>
      </c>
      <c r="BP24" s="193" t="e">
        <f t="shared" si="5"/>
        <v>#VALUE!</v>
      </c>
      <c r="BQ24" s="190" t="s">
        <v>2683</v>
      </c>
      <c r="BS24" s="198">
        <f t="shared" si="6"/>
        <v>0</v>
      </c>
      <c r="BT24" s="198">
        <f t="shared" si="7"/>
        <v>0</v>
      </c>
      <c r="BU24" s="198">
        <f t="shared" si="8"/>
        <v>0</v>
      </c>
      <c r="BV24" s="199" t="str">
        <f t="shared" si="9"/>
        <v>N/A</v>
      </c>
      <c r="BX24" s="200" t="e">
        <f t="shared" si="10"/>
        <v>#VALUE!</v>
      </c>
      <c r="BY24" s="200" t="e">
        <f t="shared" si="11"/>
        <v>#VALUE!</v>
      </c>
      <c r="BZ24" s="200" t="e">
        <f t="shared" si="12"/>
        <v>#VALUE!</v>
      </c>
    </row>
    <row r="25" spans="2:78">
      <c r="B25" s="64" t="s">
        <v>425</v>
      </c>
      <c r="C25" s="64" t="s">
        <v>425</v>
      </c>
      <c r="D25" s="192" t="s">
        <v>296</v>
      </c>
      <c r="E25" s="172" t="e">
        <f>_xll.LVCELL($D$1,E$3,$C25,$D$2,$C$4,$C$5,$C$6,$C$7,$C$8,$D$3)/1000</f>
        <v>#VALUE!</v>
      </c>
      <c r="F25" s="172" t="e">
        <f>_xll.LVCELL($D$1,F$3,$C25,$D$2,$C$4,$C$5,$C$6,$C$7,$C$8,$D$3)/1000</f>
        <v>#VALUE!</v>
      </c>
      <c r="G25" s="172" t="e">
        <f>_xll.LVCELL($D$1,G$3,$C25,$D$2,$C$4,$C$5,$C$6,$C$7,$C$8,$D$3)/1000</f>
        <v>#VALUE!</v>
      </c>
      <c r="H25" s="172" t="e">
        <f>_xll.LVCELL($D$1,H$3,$C25,$D$2,$C$4,$C$5,$C$6,$C$7,$C$8,$D$3)/1000</f>
        <v>#VALUE!</v>
      </c>
      <c r="I25" s="172" t="e">
        <f>_xll.LVCELL($D$1,I$3,$C25,$D$2,$C$4,$C$5,$C$6,$C$7,$C$8,$D$3)/1000</f>
        <v>#VALUE!</v>
      </c>
      <c r="J25" s="172" t="e">
        <f>_xll.LVCELL($D$1,J$3,$C25,$D$2,$C$4,$C$5,$C$6,$C$7,$C$8,$D$3)/1000</f>
        <v>#VALUE!</v>
      </c>
      <c r="K25" s="172" t="e">
        <f>_xll.LVCELL($D$1,K$3,$C25,$D$2,$C$4,$C$5,$C$6,$C$7,$C$8,$D$3)/1000</f>
        <v>#VALUE!</v>
      </c>
      <c r="L25" s="172" t="e">
        <f>_xll.LVCELL($D$1,L$3,$C25,$D$2,$C$4,$C$5,$C$6,$C$7,$C$8,$D$3)/1000</f>
        <v>#VALUE!</v>
      </c>
      <c r="M25" s="172" t="e">
        <f>_xll.LVCELL($D$1,M$3,$C25,$D$2,$C$4,$C$5,$C$6,$C$7,$C$8,$D$3)/1000</f>
        <v>#VALUE!</v>
      </c>
      <c r="N25" s="172" t="e">
        <f>_xll.LVCELL($D$1,N$3,$C25,$D$2,$C$4,$C$5,$C$6,$C$7,$C$8,$D$3)/1000</f>
        <v>#VALUE!</v>
      </c>
      <c r="O25" s="172" t="e">
        <f>_xll.LVCELL($D$1,O$3,$C25,$D$2,$C$4,$C$5,$C$6,$C$7,$C$8,$D$3)/1000</f>
        <v>#VALUE!</v>
      </c>
      <c r="P25" s="172" t="e">
        <f>_xll.LVCELL($D$1,P$3,$C25,$D$2,$C$4,$C$5,$C$6,$C$7,$C$8,$D$3)/1000</f>
        <v>#VALUE!</v>
      </c>
      <c r="Q25" s="172" t="e">
        <f>_xll.LVCELL($D$1,Q$2,$C25,$D$2,$C$4,$C$5,$C$6,$C$7,$C$8,$D$3)/1000</f>
        <v>#VALUE!</v>
      </c>
      <c r="R25" s="172" t="e">
        <f>_xll.LVCELL($D$1,R$3,$C25,$D$2,$C$4,$C$5,$C$6,$C$7,$C$8,$D$3)/1000</f>
        <v>#VALUE!</v>
      </c>
      <c r="S25" s="172" t="e">
        <f>_xll.LVCELL($D$1,S$3,$C25,$D$2,$C$4,$C$5,$C$6,$C$7,$C$8,$D$3)/1000</f>
        <v>#VALUE!</v>
      </c>
      <c r="T25" s="172" t="e">
        <f>_xll.LVCELL($D$1,T$3,$C25,$D$2,$C$4,$C$5,$C$6,$C$7,$C$8,$D$3)/1000</f>
        <v>#VALUE!</v>
      </c>
      <c r="U25" s="172" t="e">
        <f>_xll.LVCELL($D$1,U$3,$C25,$D$2,$C$4,$C$5,$C$6,$C$7,$C$8,$D$3)/1000</f>
        <v>#VALUE!</v>
      </c>
      <c r="V25" s="172" t="e">
        <f>_xll.LVCELL($D$1,V$3,$C25,$D$2,$C$4,$C$5,$C$6,$C$7,$C$8,$D$3)/1000</f>
        <v>#VALUE!</v>
      </c>
      <c r="W25" s="172" t="e">
        <f>_xll.LVCELL($D$1,W$3,$C25,$D$2,$C$4,$C$5,$C$6,$C$7,$C$8,$D$3)/1000</f>
        <v>#VALUE!</v>
      </c>
      <c r="X25" s="172" t="e">
        <f>_xll.LVCELL($D$1,X$3,$C25,$D$2,$C$4,$C$5,$C$6,$C$7,$C$8,$D$3)/1000</f>
        <v>#VALUE!</v>
      </c>
      <c r="Y25" s="172" t="e">
        <f>_xll.LVCELL($D$1,Y$3,$C25,$D$2,$C$4,$C$5,$C$6,$C$7,$C$8,$D$3)/1000</f>
        <v>#VALUE!</v>
      </c>
      <c r="Z25" s="172" t="e">
        <f>_xll.LVCELL($D$1,Z$3,$C25,$D$2,$C$4,$C$5,$C$6,$C$7,$C$8,$D$3)/1000</f>
        <v>#VALUE!</v>
      </c>
      <c r="AA25" s="172" t="e">
        <f>_xll.LVCELL($D$1,AA$3,$C25,$D$2,$C$4,$C$5,$C$6,$C$7,$C$8,$D$3)/1000</f>
        <v>#VALUE!</v>
      </c>
      <c r="AB25" s="172" t="e">
        <f>_xll.LVCELL($D$1,AB$3,$C25,$D$2,$C$4,$C$5,$C$6,$C$7,$C$8,$D$3)/1000</f>
        <v>#VALUE!</v>
      </c>
      <c r="AC25" s="172" t="e">
        <f>_xll.LVCELL($D$1,AC$3,$C25,$D$2,$C$4,$C$5,$C$6,$C$7,$C$8,$D$3)/1000</f>
        <v>#VALUE!</v>
      </c>
      <c r="AD25" s="172" t="e">
        <f>_xll.LVCELL($D$1,AD$2,$C25,$D$2,$C$4,$C$5,$C$6,$C$7,$C$8,$D$3)/1000</f>
        <v>#VALUE!</v>
      </c>
      <c r="AE25" s="172" t="e">
        <f t="shared" si="0"/>
        <v>#VALUE!</v>
      </c>
      <c r="AF25" s="193" t="e">
        <f t="shared" si="1"/>
        <v>#VALUE!</v>
      </c>
      <c r="AG25" s="172" t="s">
        <v>2716</v>
      </c>
      <c r="AH25" s="61" t="e">
        <f t="shared" si="2"/>
        <v>#VALUE!</v>
      </c>
      <c r="AI25" s="64" t="s">
        <v>2767</v>
      </c>
      <c r="AJ25" s="64" t="s">
        <v>425</v>
      </c>
      <c r="AK25" s="64" t="s">
        <v>425</v>
      </c>
      <c r="AL25" s="192" t="s">
        <v>296</v>
      </c>
      <c r="AM25" s="172" t="e">
        <f>_xll.LVCELL($AK$1,AM$3,$AK25,$AL$2,$AK$4,$AK$5,$AK$6,$AK$7,$AK$8,$AL$3)/1000</f>
        <v>#VALUE!</v>
      </c>
      <c r="AN25" s="172" t="e">
        <f>_xll.LVCELL($AK$1,AN$3,$AK25,$AL$2,$AK$4,$AK$5,$AK$6,$AK$7,$AK$8,$AL$3)/1000</f>
        <v>#VALUE!</v>
      </c>
      <c r="AO25" s="172" t="e">
        <f>_xll.LVCELL($AK$1,AO$3,$AK25,$AL$2,$AK$4,$AK$5,$AK$6,$AK$7,$AK$8,$AL$3)/1000</f>
        <v>#VALUE!</v>
      </c>
      <c r="AP25" s="172" t="e">
        <f>_xll.LVCELL($AK$1,AP$3,$AK25,$AL$2,$AK$4,$AK$5,$AK$6,$AK$7,$AK$8,$AL$3)/1000</f>
        <v>#VALUE!</v>
      </c>
      <c r="AQ25" s="172" t="e">
        <f>_xll.LVCELL($AK$1,AQ$3,$AK25,$AL$2,$AK$4,$AK$5,$AK$6,$AK$7,$AK$8,$AL$3)/1000</f>
        <v>#VALUE!</v>
      </c>
      <c r="AR25" s="172" t="e">
        <f>_xll.LVCELL($AK$1,AR$3,$AK25,$AL$2,$AK$4,$AK$5,$AK$6,$AK$7,$AK$8,$AL$3)/1000</f>
        <v>#VALUE!</v>
      </c>
      <c r="AS25" s="172" t="e">
        <f>_xll.LVCELL($AK$1,AS$3,$AK25,$AL$2,$AK$4,$AK$5,$AK$6,$AK$7,$AK$8,$AL$3)/1000</f>
        <v>#VALUE!</v>
      </c>
      <c r="AT25" s="172" t="e">
        <f>_xll.LVCELL($AK$1,AT$3,$AK25,$AL$2,$AK$4,$AK$5,$AK$6,$AK$7,$AK$8,$AL$3)/1000</f>
        <v>#VALUE!</v>
      </c>
      <c r="AU25" s="172" t="e">
        <f>_xll.LVCELL($AK$1,AU$3,$AK25,$AL$2,$AK$4,$AK$5,$AK$6,$AK$7,$AK$8,$AL$3)/1000</f>
        <v>#VALUE!</v>
      </c>
      <c r="AV25" s="172" t="e">
        <f>_xll.LVCELL($AK$1,AV$3,$AK25,$AL$2,$AK$4,$AK$5,$AK$6,$AK$7,$AK$8,$AL$3)/1000</f>
        <v>#VALUE!</v>
      </c>
      <c r="AW25" s="172" t="e">
        <f>_xll.LVCELL($AK$1,AW$3,$AK25,$AL$2,$AK$4,$AK$5,$AK$6,$AK$7,$AK$8,$AL$3)/1000</f>
        <v>#VALUE!</v>
      </c>
      <c r="AX25" s="172" t="e">
        <f>_xll.LVCELL($AK$1,AX$3,$AK25,$AL$2,$AK$4,$AK$5,$AK$6,$AK$7,$AK$8,$AL$3)/1000</f>
        <v>#VALUE!</v>
      </c>
      <c r="AY25" s="172" t="e">
        <f>_xll.LVCELL($AK$1,AY$2,$AK25,$AL$2,$AK$4,$AK$5,$AK$6,$AK$7,$AK$8,$AL$3)/1000</f>
        <v>#VALUE!</v>
      </c>
      <c r="AZ25" s="172" t="e">
        <f>_xll.LVCELL($AK$1,AZ$3,$AK25,$AL$2,$AK$4,$AK$5,$AK$6,$AK$7,$AK$8,$AL$3)/1000</f>
        <v>#VALUE!</v>
      </c>
      <c r="BA25" s="172" t="e">
        <f>_xll.LVCELL($AK$1,BA$3,$AK25,$AL$2,$AK$4,$AK$5,$AK$6,$AK$7,$AK$8,$AL$3)/1000</f>
        <v>#VALUE!</v>
      </c>
      <c r="BB25" s="172" t="e">
        <f>_xll.LVCELL($AK$1,BB$3,$AK25,$AL$2,$AK$4,$AK$5,$AK$6,$AK$7,$AK$8,$AL$3)/1000</f>
        <v>#VALUE!</v>
      </c>
      <c r="BC25" s="172" t="e">
        <f>_xll.LVCELL($AK$1,BC$3,$AK25,$AL$2,$AK$4,$AK$5,$AK$6,$AK$7,$AK$8,$AL$3)/1000</f>
        <v>#VALUE!</v>
      </c>
      <c r="BD25" s="172" t="e">
        <f>_xll.LVCELL($AK$1,BD$3,$AK25,$AL$2,$AK$4,$AK$5,$AK$6,$AK$7,$AK$8,$AL$3)/1000</f>
        <v>#VALUE!</v>
      </c>
      <c r="BE25" s="172" t="e">
        <f>_xll.LVCELL($AK$1,BE$3,$AK25,$AL$2,$AK$4,$AK$5,$AK$6,$AK$7,$AK$8,$AL$3)/1000</f>
        <v>#VALUE!</v>
      </c>
      <c r="BF25" s="172" t="e">
        <f>_xll.LVCELL($AK$1,BF$3,$AK25,$AL$2,$AK$4,$AK$5,$AK$6,$AK$7,$AK$8,$AL$3)/1000</f>
        <v>#VALUE!</v>
      </c>
      <c r="BG25" s="172" t="e">
        <f>_xll.LVCELL($AK$1,BG$3,$AK25,$AL$2,$AK$4,$AK$5,$AK$6,$AK$7,$AK$8,$AL$3)/1000</f>
        <v>#VALUE!</v>
      </c>
      <c r="BH25" s="172" t="e">
        <f>_xll.LVCELL($AK$1,BH$3,$AK25,$AL$2,$AK$4,$AK$5,$AK$6,$AK$7,$AK$8,$AL$3)/1000</f>
        <v>#VALUE!</v>
      </c>
      <c r="BI25" s="172" t="e">
        <f>_xll.LVCELL($AK$1,BI$3,$AK25,$AL$2,$AK$4,$AK$5,$AK$6,$AK$7,$AK$8,$AL$3)/1000</f>
        <v>#VALUE!</v>
      </c>
      <c r="BJ25" s="172" t="e">
        <f>_xll.LVCELL($AK$1,BJ$3,$AK25,$AL$2,$AK$4,$AK$5,$AK$6,$AK$7,$AK$8,$AL$3)/1000</f>
        <v>#VALUE!</v>
      </c>
      <c r="BK25" s="172" t="e">
        <f>_xll.LVCELL($AK$1,BK$3,$AK25,$AL$2,$AK$4,$AK$5,$AK$6,$AK$7,$AK$8,$AL$3)/1000</f>
        <v>#VALUE!</v>
      </c>
      <c r="BL25" s="172" t="e">
        <f>_xll.LVCELL($AK$1,BL$2,$AK25,$AL$2,$AK$4,$AK$5,$AK$6,$AK$7,$AK$8,$AL$3)/1000</f>
        <v>#VALUE!</v>
      </c>
      <c r="BM25" s="214" t="e">
        <f t="shared" si="3"/>
        <v>#VALUE!</v>
      </c>
      <c r="BN25" s="217" t="e">
        <f t="shared" si="4"/>
        <v>#VALUE!</v>
      </c>
      <c r="BO25" s="218" t="e">
        <f t="shared" si="4"/>
        <v>#VALUE!</v>
      </c>
      <c r="BP25" s="193" t="e">
        <f t="shared" si="5"/>
        <v>#VALUE!</v>
      </c>
      <c r="BQ25" s="190" t="s">
        <v>2684</v>
      </c>
      <c r="BS25" s="198">
        <f t="shared" si="6"/>
        <v>0</v>
      </c>
      <c r="BT25" s="198">
        <f t="shared" si="7"/>
        <v>0</v>
      </c>
      <c r="BU25" s="198">
        <f t="shared" si="8"/>
        <v>0</v>
      </c>
      <c r="BV25" s="199" t="str">
        <f t="shared" si="9"/>
        <v>N/A</v>
      </c>
      <c r="BX25" s="200" t="e">
        <f t="shared" si="10"/>
        <v>#VALUE!</v>
      </c>
      <c r="BY25" s="200" t="e">
        <f t="shared" si="11"/>
        <v>#VALUE!</v>
      </c>
      <c r="BZ25" s="200" t="e">
        <f t="shared" si="12"/>
        <v>#VALUE!</v>
      </c>
    </row>
    <row r="26" spans="2:78">
      <c r="B26" s="64" t="s">
        <v>427</v>
      </c>
      <c r="C26" s="64" t="s">
        <v>427</v>
      </c>
      <c r="D26" s="192" t="s">
        <v>2631</v>
      </c>
      <c r="E26" s="172" t="e">
        <f>_xll.LVCELL($D$1,E$3,$C26,$D$2,$C$4,$C$5,$C$6,$C$7,$C$8,$D$3)/1000</f>
        <v>#VALUE!</v>
      </c>
      <c r="F26" s="172" t="e">
        <f>_xll.LVCELL($D$1,F$3,$C26,$D$2,$C$4,$C$5,$C$6,$C$7,$C$8,$D$3)/1000</f>
        <v>#VALUE!</v>
      </c>
      <c r="G26" s="172" t="e">
        <f>_xll.LVCELL($D$1,G$3,$C26,$D$2,$C$4,$C$5,$C$6,$C$7,$C$8,$D$3)/1000</f>
        <v>#VALUE!</v>
      </c>
      <c r="H26" s="172" t="e">
        <f>_xll.LVCELL($D$1,H$3,$C26,$D$2,$C$4,$C$5,$C$6,$C$7,$C$8,$D$3)/1000</f>
        <v>#VALUE!</v>
      </c>
      <c r="I26" s="172" t="e">
        <f>_xll.LVCELL($D$1,I$3,$C26,$D$2,$C$4,$C$5,$C$6,$C$7,$C$8,$D$3)/1000</f>
        <v>#VALUE!</v>
      </c>
      <c r="J26" s="172" t="e">
        <f>_xll.LVCELL($D$1,J$3,$C26,$D$2,$C$4,$C$5,$C$6,$C$7,$C$8,$D$3)/1000</f>
        <v>#VALUE!</v>
      </c>
      <c r="K26" s="172" t="e">
        <f>_xll.LVCELL($D$1,K$3,$C26,$D$2,$C$4,$C$5,$C$6,$C$7,$C$8,$D$3)/1000</f>
        <v>#VALUE!</v>
      </c>
      <c r="L26" s="172" t="e">
        <f>_xll.LVCELL($D$1,L$3,$C26,$D$2,$C$4,$C$5,$C$6,$C$7,$C$8,$D$3)/1000</f>
        <v>#VALUE!</v>
      </c>
      <c r="M26" s="172" t="e">
        <f>_xll.LVCELL($D$1,M$3,$C26,$D$2,$C$4,$C$5,$C$6,$C$7,$C$8,$D$3)/1000</f>
        <v>#VALUE!</v>
      </c>
      <c r="N26" s="172" t="e">
        <f>_xll.LVCELL($D$1,N$3,$C26,$D$2,$C$4,$C$5,$C$6,$C$7,$C$8,$D$3)/1000</f>
        <v>#VALUE!</v>
      </c>
      <c r="O26" s="172" t="e">
        <f>_xll.LVCELL($D$1,O$3,$C26,$D$2,$C$4,$C$5,$C$6,$C$7,$C$8,$D$3)/1000</f>
        <v>#VALUE!</v>
      </c>
      <c r="P26" s="172" t="e">
        <f>_xll.LVCELL($D$1,P$3,$C26,$D$2,$C$4,$C$5,$C$6,$C$7,$C$8,$D$3)/1000</f>
        <v>#VALUE!</v>
      </c>
      <c r="Q26" s="172" t="e">
        <f>_xll.LVCELL($D$1,Q$2,$C26,$D$2,$C$4,$C$5,$C$6,$C$7,$C$8,$D$3)/1000</f>
        <v>#VALUE!</v>
      </c>
      <c r="R26" s="172" t="e">
        <f>_xll.LVCELL($D$1,R$3,$C26,$D$2,$C$4,$C$5,$C$6,$C$7,$C$8,$D$3)/1000</f>
        <v>#VALUE!</v>
      </c>
      <c r="S26" s="172" t="e">
        <f>_xll.LVCELL($D$1,S$3,$C26,$D$2,$C$4,$C$5,$C$6,$C$7,$C$8,$D$3)/1000</f>
        <v>#VALUE!</v>
      </c>
      <c r="T26" s="172" t="e">
        <f>_xll.LVCELL($D$1,T$3,$C26,$D$2,$C$4,$C$5,$C$6,$C$7,$C$8,$D$3)/1000</f>
        <v>#VALUE!</v>
      </c>
      <c r="U26" s="172" t="e">
        <f>_xll.LVCELL($D$1,U$3,$C26,$D$2,$C$4,$C$5,$C$6,$C$7,$C$8,$D$3)/1000</f>
        <v>#VALUE!</v>
      </c>
      <c r="V26" s="172" t="e">
        <f>_xll.LVCELL($D$1,V$3,$C26,$D$2,$C$4,$C$5,$C$6,$C$7,$C$8,$D$3)/1000</f>
        <v>#VALUE!</v>
      </c>
      <c r="W26" s="172" t="e">
        <f>_xll.LVCELL($D$1,W$3,$C26,$D$2,$C$4,$C$5,$C$6,$C$7,$C$8,$D$3)/1000</f>
        <v>#VALUE!</v>
      </c>
      <c r="X26" s="172" t="e">
        <f>_xll.LVCELL($D$1,X$3,$C26,$D$2,$C$4,$C$5,$C$6,$C$7,$C$8,$D$3)/1000</f>
        <v>#VALUE!</v>
      </c>
      <c r="Y26" s="172" t="e">
        <f>_xll.LVCELL($D$1,Y$3,$C26,$D$2,$C$4,$C$5,$C$6,$C$7,$C$8,$D$3)/1000</f>
        <v>#VALUE!</v>
      </c>
      <c r="Z26" s="172" t="e">
        <f>_xll.LVCELL($D$1,Z$3,$C26,$D$2,$C$4,$C$5,$C$6,$C$7,$C$8,$D$3)/1000</f>
        <v>#VALUE!</v>
      </c>
      <c r="AA26" s="172" t="e">
        <f>_xll.LVCELL($D$1,AA$3,$C26,$D$2,$C$4,$C$5,$C$6,$C$7,$C$8,$D$3)/1000</f>
        <v>#VALUE!</v>
      </c>
      <c r="AB26" s="172" t="e">
        <f>_xll.LVCELL($D$1,AB$3,$C26,$D$2,$C$4,$C$5,$C$6,$C$7,$C$8,$D$3)/1000</f>
        <v>#VALUE!</v>
      </c>
      <c r="AC26" s="172" t="e">
        <f>_xll.LVCELL($D$1,AC$3,$C26,$D$2,$C$4,$C$5,$C$6,$C$7,$C$8,$D$3)/1000</f>
        <v>#VALUE!</v>
      </c>
      <c r="AD26" s="172" t="e">
        <f>_xll.LVCELL($D$1,AD$2,$C26,$D$2,$C$4,$C$5,$C$6,$C$7,$C$8,$D$3)/1000</f>
        <v>#VALUE!</v>
      </c>
      <c r="AE26" s="172" t="e">
        <f t="shared" si="0"/>
        <v>#VALUE!</v>
      </c>
      <c r="AF26" s="193" t="e">
        <f t="shared" si="1"/>
        <v>#VALUE!</v>
      </c>
      <c r="AG26" s="172" t="s">
        <v>2715</v>
      </c>
      <c r="AH26" s="61" t="e">
        <f t="shared" si="2"/>
        <v>#VALUE!</v>
      </c>
      <c r="AI26" s="64" t="s">
        <v>2767</v>
      </c>
      <c r="AJ26" s="64" t="s">
        <v>427</v>
      </c>
      <c r="AK26" s="64" t="s">
        <v>427</v>
      </c>
      <c r="AL26" s="192" t="s">
        <v>2631</v>
      </c>
      <c r="AM26" s="172" t="e">
        <f>_xll.LVCELL($AK$1,AM$3,$AK26,$AL$2,$AK$4,$AK$5,$AK$6,$AK$7,$AK$8,$AL$3)/1000</f>
        <v>#VALUE!</v>
      </c>
      <c r="AN26" s="172" t="e">
        <f>_xll.LVCELL($AK$1,AN$3,$AK26,$AL$2,$AK$4,$AK$5,$AK$6,$AK$7,$AK$8,$AL$3)/1000</f>
        <v>#VALUE!</v>
      </c>
      <c r="AO26" s="172" t="e">
        <f>_xll.LVCELL($AK$1,AO$3,$AK26,$AL$2,$AK$4,$AK$5,$AK$6,$AK$7,$AK$8,$AL$3)/1000</f>
        <v>#VALUE!</v>
      </c>
      <c r="AP26" s="172" t="e">
        <f>_xll.LVCELL($AK$1,AP$3,$AK26,$AL$2,$AK$4,$AK$5,$AK$6,$AK$7,$AK$8,$AL$3)/1000</f>
        <v>#VALUE!</v>
      </c>
      <c r="AQ26" s="172" t="e">
        <f>_xll.LVCELL($AK$1,AQ$3,$AK26,$AL$2,$AK$4,$AK$5,$AK$6,$AK$7,$AK$8,$AL$3)/1000</f>
        <v>#VALUE!</v>
      </c>
      <c r="AR26" s="172" t="e">
        <f>_xll.LVCELL($AK$1,AR$3,$AK26,$AL$2,$AK$4,$AK$5,$AK$6,$AK$7,$AK$8,$AL$3)/1000</f>
        <v>#VALUE!</v>
      </c>
      <c r="AS26" s="172" t="e">
        <f>_xll.LVCELL($AK$1,AS$3,$AK26,$AL$2,$AK$4,$AK$5,$AK$6,$AK$7,$AK$8,$AL$3)/1000</f>
        <v>#VALUE!</v>
      </c>
      <c r="AT26" s="172" t="e">
        <f>_xll.LVCELL($AK$1,AT$3,$AK26,$AL$2,$AK$4,$AK$5,$AK$6,$AK$7,$AK$8,$AL$3)/1000</f>
        <v>#VALUE!</v>
      </c>
      <c r="AU26" s="172" t="e">
        <f>_xll.LVCELL($AK$1,AU$3,$AK26,$AL$2,$AK$4,$AK$5,$AK$6,$AK$7,$AK$8,$AL$3)/1000</f>
        <v>#VALUE!</v>
      </c>
      <c r="AV26" s="172" t="e">
        <f>_xll.LVCELL($AK$1,AV$3,$AK26,$AL$2,$AK$4,$AK$5,$AK$6,$AK$7,$AK$8,$AL$3)/1000</f>
        <v>#VALUE!</v>
      </c>
      <c r="AW26" s="172" t="e">
        <f>_xll.LVCELL($AK$1,AW$3,$AK26,$AL$2,$AK$4,$AK$5,$AK$6,$AK$7,$AK$8,$AL$3)/1000</f>
        <v>#VALUE!</v>
      </c>
      <c r="AX26" s="172" t="e">
        <f>_xll.LVCELL($AK$1,AX$3,$AK26,$AL$2,$AK$4,$AK$5,$AK$6,$AK$7,$AK$8,$AL$3)/1000</f>
        <v>#VALUE!</v>
      </c>
      <c r="AY26" s="172" t="e">
        <f>_xll.LVCELL($AK$1,AY$2,$AK26,$AL$2,$AK$4,$AK$5,$AK$6,$AK$7,$AK$8,$AL$3)/1000</f>
        <v>#VALUE!</v>
      </c>
      <c r="AZ26" s="172" t="e">
        <f>_xll.LVCELL($AK$1,AZ$3,$AK26,$AL$2,$AK$4,$AK$5,$AK$6,$AK$7,$AK$8,$AL$3)/1000</f>
        <v>#VALUE!</v>
      </c>
      <c r="BA26" s="172" t="e">
        <f>_xll.LVCELL($AK$1,BA$3,$AK26,$AL$2,$AK$4,$AK$5,$AK$6,$AK$7,$AK$8,$AL$3)/1000</f>
        <v>#VALUE!</v>
      </c>
      <c r="BB26" s="172" t="e">
        <f>_xll.LVCELL($AK$1,BB$3,$AK26,$AL$2,$AK$4,$AK$5,$AK$6,$AK$7,$AK$8,$AL$3)/1000</f>
        <v>#VALUE!</v>
      </c>
      <c r="BC26" s="172" t="e">
        <f>_xll.LVCELL($AK$1,BC$3,$AK26,$AL$2,$AK$4,$AK$5,$AK$6,$AK$7,$AK$8,$AL$3)/1000</f>
        <v>#VALUE!</v>
      </c>
      <c r="BD26" s="172" t="e">
        <f>_xll.LVCELL($AK$1,BD$3,$AK26,$AL$2,$AK$4,$AK$5,$AK$6,$AK$7,$AK$8,$AL$3)/1000</f>
        <v>#VALUE!</v>
      </c>
      <c r="BE26" s="172" t="e">
        <f>_xll.LVCELL($AK$1,BE$3,$AK26,$AL$2,$AK$4,$AK$5,$AK$6,$AK$7,$AK$8,$AL$3)/1000</f>
        <v>#VALUE!</v>
      </c>
      <c r="BF26" s="172" t="e">
        <f>_xll.LVCELL($AK$1,BF$3,$AK26,$AL$2,$AK$4,$AK$5,$AK$6,$AK$7,$AK$8,$AL$3)/1000</f>
        <v>#VALUE!</v>
      </c>
      <c r="BG26" s="172" t="e">
        <f>_xll.LVCELL($AK$1,BG$3,$AK26,$AL$2,$AK$4,$AK$5,$AK$6,$AK$7,$AK$8,$AL$3)/1000</f>
        <v>#VALUE!</v>
      </c>
      <c r="BH26" s="172" t="e">
        <f>_xll.LVCELL($AK$1,BH$3,$AK26,$AL$2,$AK$4,$AK$5,$AK$6,$AK$7,$AK$8,$AL$3)/1000</f>
        <v>#VALUE!</v>
      </c>
      <c r="BI26" s="172" t="e">
        <f>_xll.LVCELL($AK$1,BI$3,$AK26,$AL$2,$AK$4,$AK$5,$AK$6,$AK$7,$AK$8,$AL$3)/1000</f>
        <v>#VALUE!</v>
      </c>
      <c r="BJ26" s="172" t="e">
        <f>_xll.LVCELL($AK$1,BJ$3,$AK26,$AL$2,$AK$4,$AK$5,$AK$6,$AK$7,$AK$8,$AL$3)/1000</f>
        <v>#VALUE!</v>
      </c>
      <c r="BK26" s="172" t="e">
        <f>_xll.LVCELL($AK$1,BK$3,$AK26,$AL$2,$AK$4,$AK$5,$AK$6,$AK$7,$AK$8,$AL$3)/1000</f>
        <v>#VALUE!</v>
      </c>
      <c r="BL26" s="172" t="e">
        <f>_xll.LVCELL($AK$1,BL$2,$AK26,$AL$2,$AK$4,$AK$5,$AK$6,$AK$7,$AK$8,$AL$3)/1000</f>
        <v>#VALUE!</v>
      </c>
      <c r="BM26" s="214" t="e">
        <f t="shared" si="3"/>
        <v>#VALUE!</v>
      </c>
      <c r="BN26" s="217" t="e">
        <f t="shared" si="4"/>
        <v>#VALUE!</v>
      </c>
      <c r="BO26" s="218" t="e">
        <f t="shared" si="4"/>
        <v>#VALUE!</v>
      </c>
      <c r="BP26" s="193" t="e">
        <f t="shared" si="5"/>
        <v>#VALUE!</v>
      </c>
      <c r="BQ26" s="190" t="s">
        <v>2684</v>
      </c>
      <c r="BS26" s="198">
        <f t="shared" si="6"/>
        <v>0</v>
      </c>
      <c r="BT26" s="198">
        <f t="shared" si="7"/>
        <v>0</v>
      </c>
      <c r="BU26" s="198">
        <f t="shared" si="8"/>
        <v>0</v>
      </c>
      <c r="BV26" s="199" t="str">
        <f t="shared" si="9"/>
        <v>N/A</v>
      </c>
      <c r="BX26" s="200" t="e">
        <f t="shared" si="10"/>
        <v>#VALUE!</v>
      </c>
      <c r="BY26" s="200" t="e">
        <f t="shared" si="11"/>
        <v>#VALUE!</v>
      </c>
      <c r="BZ26" s="200" t="e">
        <f t="shared" si="12"/>
        <v>#VALUE!</v>
      </c>
    </row>
    <row r="27" spans="2:78">
      <c r="B27" s="64" t="s">
        <v>429</v>
      </c>
      <c r="C27" s="64" t="s">
        <v>429</v>
      </c>
      <c r="D27" s="192" t="s">
        <v>297</v>
      </c>
      <c r="E27" s="172" t="e">
        <f>_xll.LVCELL($D$1,E$3,$C27,$D$2,$C$4,$C$5,$C$6,$C$7,$C$8,$D$3)/1000</f>
        <v>#VALUE!</v>
      </c>
      <c r="F27" s="172" t="e">
        <f>_xll.LVCELL($D$1,F$3,$C27,$D$2,$C$4,$C$5,$C$6,$C$7,$C$8,$D$3)/1000</f>
        <v>#VALUE!</v>
      </c>
      <c r="G27" s="172" t="e">
        <f>_xll.LVCELL($D$1,G$3,$C27,$D$2,$C$4,$C$5,$C$6,$C$7,$C$8,$D$3)/1000</f>
        <v>#VALUE!</v>
      </c>
      <c r="H27" s="172" t="e">
        <f>_xll.LVCELL($D$1,H$3,$C27,$D$2,$C$4,$C$5,$C$6,$C$7,$C$8,$D$3)/1000</f>
        <v>#VALUE!</v>
      </c>
      <c r="I27" s="172" t="e">
        <f>_xll.LVCELL($D$1,I$3,$C27,$D$2,$C$4,$C$5,$C$6,$C$7,$C$8,$D$3)/1000</f>
        <v>#VALUE!</v>
      </c>
      <c r="J27" s="172" t="e">
        <f>_xll.LVCELL($D$1,J$3,$C27,$D$2,$C$4,$C$5,$C$6,$C$7,$C$8,$D$3)/1000</f>
        <v>#VALUE!</v>
      </c>
      <c r="K27" s="172" t="e">
        <f>_xll.LVCELL($D$1,K$3,$C27,$D$2,$C$4,$C$5,$C$6,$C$7,$C$8,$D$3)/1000</f>
        <v>#VALUE!</v>
      </c>
      <c r="L27" s="172" t="e">
        <f>_xll.LVCELL($D$1,L$3,$C27,$D$2,$C$4,$C$5,$C$6,$C$7,$C$8,$D$3)/1000</f>
        <v>#VALUE!</v>
      </c>
      <c r="M27" s="172" t="e">
        <f>_xll.LVCELL($D$1,M$3,$C27,$D$2,$C$4,$C$5,$C$6,$C$7,$C$8,$D$3)/1000</f>
        <v>#VALUE!</v>
      </c>
      <c r="N27" s="172" t="e">
        <f>_xll.LVCELL($D$1,N$3,$C27,$D$2,$C$4,$C$5,$C$6,$C$7,$C$8,$D$3)/1000</f>
        <v>#VALUE!</v>
      </c>
      <c r="O27" s="172" t="e">
        <f>_xll.LVCELL($D$1,O$3,$C27,$D$2,$C$4,$C$5,$C$6,$C$7,$C$8,$D$3)/1000</f>
        <v>#VALUE!</v>
      </c>
      <c r="P27" s="172" t="e">
        <f>_xll.LVCELL($D$1,P$3,$C27,$D$2,$C$4,$C$5,$C$6,$C$7,$C$8,$D$3)/1000</f>
        <v>#VALUE!</v>
      </c>
      <c r="Q27" s="172" t="e">
        <f>_xll.LVCELL($D$1,Q$2,$C27,$D$2,$C$4,$C$5,$C$6,$C$7,$C$8,$D$3)/1000</f>
        <v>#VALUE!</v>
      </c>
      <c r="R27" s="172" t="e">
        <f>_xll.LVCELL($D$1,R$3,$C27,$D$2,$C$4,$C$5,$C$6,$C$7,$C$8,$D$3)/1000</f>
        <v>#VALUE!</v>
      </c>
      <c r="S27" s="172" t="e">
        <f>_xll.LVCELL($D$1,S$3,$C27,$D$2,$C$4,$C$5,$C$6,$C$7,$C$8,$D$3)/1000</f>
        <v>#VALUE!</v>
      </c>
      <c r="T27" s="172" t="e">
        <f>_xll.LVCELL($D$1,T$3,$C27,$D$2,$C$4,$C$5,$C$6,$C$7,$C$8,$D$3)/1000</f>
        <v>#VALUE!</v>
      </c>
      <c r="U27" s="172" t="e">
        <f>_xll.LVCELL($D$1,U$3,$C27,$D$2,$C$4,$C$5,$C$6,$C$7,$C$8,$D$3)/1000</f>
        <v>#VALUE!</v>
      </c>
      <c r="V27" s="172" t="e">
        <f>_xll.LVCELL($D$1,V$3,$C27,$D$2,$C$4,$C$5,$C$6,$C$7,$C$8,$D$3)/1000</f>
        <v>#VALUE!</v>
      </c>
      <c r="W27" s="172" t="e">
        <f>_xll.LVCELL($D$1,W$3,$C27,$D$2,$C$4,$C$5,$C$6,$C$7,$C$8,$D$3)/1000</f>
        <v>#VALUE!</v>
      </c>
      <c r="X27" s="172" t="e">
        <f>_xll.LVCELL($D$1,X$3,$C27,$D$2,$C$4,$C$5,$C$6,$C$7,$C$8,$D$3)/1000</f>
        <v>#VALUE!</v>
      </c>
      <c r="Y27" s="172" t="e">
        <f>_xll.LVCELL($D$1,Y$3,$C27,$D$2,$C$4,$C$5,$C$6,$C$7,$C$8,$D$3)/1000</f>
        <v>#VALUE!</v>
      </c>
      <c r="Z27" s="172" t="e">
        <f>_xll.LVCELL($D$1,Z$3,$C27,$D$2,$C$4,$C$5,$C$6,$C$7,$C$8,$D$3)/1000</f>
        <v>#VALUE!</v>
      </c>
      <c r="AA27" s="172" t="e">
        <f>_xll.LVCELL($D$1,AA$3,$C27,$D$2,$C$4,$C$5,$C$6,$C$7,$C$8,$D$3)/1000</f>
        <v>#VALUE!</v>
      </c>
      <c r="AB27" s="172" t="e">
        <f>_xll.LVCELL($D$1,AB$3,$C27,$D$2,$C$4,$C$5,$C$6,$C$7,$C$8,$D$3)/1000</f>
        <v>#VALUE!</v>
      </c>
      <c r="AC27" s="172" t="e">
        <f>_xll.LVCELL($D$1,AC$3,$C27,$D$2,$C$4,$C$5,$C$6,$C$7,$C$8,$D$3)/1000</f>
        <v>#VALUE!</v>
      </c>
      <c r="AD27" s="172" t="e">
        <f>_xll.LVCELL($D$1,AD$2,$C27,$D$2,$C$4,$C$5,$C$6,$C$7,$C$8,$D$3)/1000</f>
        <v>#VALUE!</v>
      </c>
      <c r="AE27" s="172" t="e">
        <f t="shared" si="0"/>
        <v>#VALUE!</v>
      </c>
      <c r="AF27" s="193" t="e">
        <f t="shared" si="1"/>
        <v>#VALUE!</v>
      </c>
      <c r="AG27" s="172" t="s">
        <v>2715</v>
      </c>
      <c r="AH27" s="61" t="e">
        <f t="shared" si="2"/>
        <v>#VALUE!</v>
      </c>
      <c r="AI27" s="64" t="s">
        <v>2767</v>
      </c>
      <c r="AJ27" s="64" t="s">
        <v>429</v>
      </c>
      <c r="AK27" s="64" t="s">
        <v>429</v>
      </c>
      <c r="AL27" s="192" t="s">
        <v>297</v>
      </c>
      <c r="AM27" s="172" t="e">
        <f>_xll.LVCELL($AK$1,AM$3,$AK27,$AL$2,$AK$4,$AK$5,$AK$6,$AK$7,$AK$8,$AL$3)/1000</f>
        <v>#VALUE!</v>
      </c>
      <c r="AN27" s="172" t="e">
        <f>_xll.LVCELL($AK$1,AN$3,$AK27,$AL$2,$AK$4,$AK$5,$AK$6,$AK$7,$AK$8,$AL$3)/1000</f>
        <v>#VALUE!</v>
      </c>
      <c r="AO27" s="172" t="e">
        <f>_xll.LVCELL($AK$1,AO$3,$AK27,$AL$2,$AK$4,$AK$5,$AK$6,$AK$7,$AK$8,$AL$3)/1000</f>
        <v>#VALUE!</v>
      </c>
      <c r="AP27" s="172" t="e">
        <f>_xll.LVCELL($AK$1,AP$3,$AK27,$AL$2,$AK$4,$AK$5,$AK$6,$AK$7,$AK$8,$AL$3)/1000</f>
        <v>#VALUE!</v>
      </c>
      <c r="AQ27" s="172" t="e">
        <f>_xll.LVCELL($AK$1,AQ$3,$AK27,$AL$2,$AK$4,$AK$5,$AK$6,$AK$7,$AK$8,$AL$3)/1000</f>
        <v>#VALUE!</v>
      </c>
      <c r="AR27" s="172" t="e">
        <f>_xll.LVCELL($AK$1,AR$3,$AK27,$AL$2,$AK$4,$AK$5,$AK$6,$AK$7,$AK$8,$AL$3)/1000</f>
        <v>#VALUE!</v>
      </c>
      <c r="AS27" s="172" t="e">
        <f>_xll.LVCELL($AK$1,AS$3,$AK27,$AL$2,$AK$4,$AK$5,$AK$6,$AK$7,$AK$8,$AL$3)/1000</f>
        <v>#VALUE!</v>
      </c>
      <c r="AT27" s="172" t="e">
        <f>_xll.LVCELL($AK$1,AT$3,$AK27,$AL$2,$AK$4,$AK$5,$AK$6,$AK$7,$AK$8,$AL$3)/1000</f>
        <v>#VALUE!</v>
      </c>
      <c r="AU27" s="172" t="e">
        <f>_xll.LVCELL($AK$1,AU$3,$AK27,$AL$2,$AK$4,$AK$5,$AK$6,$AK$7,$AK$8,$AL$3)/1000</f>
        <v>#VALUE!</v>
      </c>
      <c r="AV27" s="172" t="e">
        <f>_xll.LVCELL($AK$1,AV$3,$AK27,$AL$2,$AK$4,$AK$5,$AK$6,$AK$7,$AK$8,$AL$3)/1000</f>
        <v>#VALUE!</v>
      </c>
      <c r="AW27" s="172" t="e">
        <f>_xll.LVCELL($AK$1,AW$3,$AK27,$AL$2,$AK$4,$AK$5,$AK$6,$AK$7,$AK$8,$AL$3)/1000</f>
        <v>#VALUE!</v>
      </c>
      <c r="AX27" s="172" t="e">
        <f>_xll.LVCELL($AK$1,AX$3,$AK27,$AL$2,$AK$4,$AK$5,$AK$6,$AK$7,$AK$8,$AL$3)/1000</f>
        <v>#VALUE!</v>
      </c>
      <c r="AY27" s="172" t="e">
        <f>_xll.LVCELL($AK$1,AY$2,$AK27,$AL$2,$AK$4,$AK$5,$AK$6,$AK$7,$AK$8,$AL$3)/1000</f>
        <v>#VALUE!</v>
      </c>
      <c r="AZ27" s="172" t="e">
        <f>_xll.LVCELL($AK$1,AZ$3,$AK27,$AL$2,$AK$4,$AK$5,$AK$6,$AK$7,$AK$8,$AL$3)/1000</f>
        <v>#VALUE!</v>
      </c>
      <c r="BA27" s="172" t="e">
        <f>_xll.LVCELL($AK$1,BA$3,$AK27,$AL$2,$AK$4,$AK$5,$AK$6,$AK$7,$AK$8,$AL$3)/1000</f>
        <v>#VALUE!</v>
      </c>
      <c r="BB27" s="172" t="e">
        <f>_xll.LVCELL($AK$1,BB$3,$AK27,$AL$2,$AK$4,$AK$5,$AK$6,$AK$7,$AK$8,$AL$3)/1000</f>
        <v>#VALUE!</v>
      </c>
      <c r="BC27" s="172" t="e">
        <f>_xll.LVCELL($AK$1,BC$3,$AK27,$AL$2,$AK$4,$AK$5,$AK$6,$AK$7,$AK$8,$AL$3)/1000</f>
        <v>#VALUE!</v>
      </c>
      <c r="BD27" s="172" t="e">
        <f>_xll.LVCELL($AK$1,BD$3,$AK27,$AL$2,$AK$4,$AK$5,$AK$6,$AK$7,$AK$8,$AL$3)/1000</f>
        <v>#VALUE!</v>
      </c>
      <c r="BE27" s="172" t="e">
        <f>_xll.LVCELL($AK$1,BE$3,$AK27,$AL$2,$AK$4,$AK$5,$AK$6,$AK$7,$AK$8,$AL$3)/1000</f>
        <v>#VALUE!</v>
      </c>
      <c r="BF27" s="172" t="e">
        <f>_xll.LVCELL($AK$1,BF$3,$AK27,$AL$2,$AK$4,$AK$5,$AK$6,$AK$7,$AK$8,$AL$3)/1000</f>
        <v>#VALUE!</v>
      </c>
      <c r="BG27" s="172" t="e">
        <f>_xll.LVCELL($AK$1,BG$3,$AK27,$AL$2,$AK$4,$AK$5,$AK$6,$AK$7,$AK$8,$AL$3)/1000</f>
        <v>#VALUE!</v>
      </c>
      <c r="BH27" s="172" t="e">
        <f>_xll.LVCELL($AK$1,BH$3,$AK27,$AL$2,$AK$4,$AK$5,$AK$6,$AK$7,$AK$8,$AL$3)/1000</f>
        <v>#VALUE!</v>
      </c>
      <c r="BI27" s="172" t="e">
        <f>_xll.LVCELL($AK$1,BI$3,$AK27,$AL$2,$AK$4,$AK$5,$AK$6,$AK$7,$AK$8,$AL$3)/1000</f>
        <v>#VALUE!</v>
      </c>
      <c r="BJ27" s="172" t="e">
        <f>_xll.LVCELL($AK$1,BJ$3,$AK27,$AL$2,$AK$4,$AK$5,$AK$6,$AK$7,$AK$8,$AL$3)/1000</f>
        <v>#VALUE!</v>
      </c>
      <c r="BK27" s="172" t="e">
        <f>_xll.LVCELL($AK$1,BK$3,$AK27,$AL$2,$AK$4,$AK$5,$AK$6,$AK$7,$AK$8,$AL$3)/1000</f>
        <v>#VALUE!</v>
      </c>
      <c r="BL27" s="172" t="e">
        <f>_xll.LVCELL($AK$1,BL$2,$AK27,$AL$2,$AK$4,$AK$5,$AK$6,$AK$7,$AK$8,$AL$3)/1000</f>
        <v>#VALUE!</v>
      </c>
      <c r="BM27" s="214" t="e">
        <f t="shared" si="3"/>
        <v>#VALUE!</v>
      </c>
      <c r="BN27" s="217" t="e">
        <f t="shared" si="4"/>
        <v>#VALUE!</v>
      </c>
      <c r="BO27" s="218" t="e">
        <f t="shared" si="4"/>
        <v>#VALUE!</v>
      </c>
      <c r="BP27" s="193" t="e">
        <f t="shared" si="5"/>
        <v>#VALUE!</v>
      </c>
      <c r="BQ27" s="190" t="s">
        <v>2684</v>
      </c>
      <c r="BS27" s="198">
        <f t="shared" si="6"/>
        <v>0</v>
      </c>
      <c r="BT27" s="198">
        <f t="shared" si="7"/>
        <v>0</v>
      </c>
      <c r="BU27" s="198">
        <f t="shared" si="8"/>
        <v>0</v>
      </c>
      <c r="BV27" s="199" t="str">
        <f t="shared" si="9"/>
        <v>N/A</v>
      </c>
      <c r="BX27" s="200" t="e">
        <f t="shared" si="10"/>
        <v>#VALUE!</v>
      </c>
      <c r="BY27" s="200" t="e">
        <f t="shared" si="11"/>
        <v>#VALUE!</v>
      </c>
      <c r="BZ27" s="200" t="e">
        <f t="shared" si="12"/>
        <v>#VALUE!</v>
      </c>
    </row>
    <row r="28" spans="2:78">
      <c r="B28" s="64" t="s">
        <v>437</v>
      </c>
      <c r="C28" s="64" t="s">
        <v>437</v>
      </c>
      <c r="D28" s="192" t="s">
        <v>2632</v>
      </c>
      <c r="E28" s="172" t="e">
        <f>_xll.LVCELL($D$1,E$3,$C28,$D$2,$C$4,$C$5,$C$6,$C$7,$C$8,$D$3)/1000</f>
        <v>#VALUE!</v>
      </c>
      <c r="F28" s="172" t="e">
        <f>_xll.LVCELL($D$1,F$3,$C28,$D$2,$C$4,$C$5,$C$6,$C$7,$C$8,$D$3)/1000</f>
        <v>#VALUE!</v>
      </c>
      <c r="G28" s="172" t="e">
        <f>_xll.LVCELL($D$1,G$3,$C28,$D$2,$C$4,$C$5,$C$6,$C$7,$C$8,$D$3)/1000</f>
        <v>#VALUE!</v>
      </c>
      <c r="H28" s="172" t="e">
        <f>_xll.LVCELL($D$1,H$3,$C28,$D$2,$C$4,$C$5,$C$6,$C$7,$C$8,$D$3)/1000</f>
        <v>#VALUE!</v>
      </c>
      <c r="I28" s="172" t="e">
        <f>_xll.LVCELL($D$1,I$3,$C28,$D$2,$C$4,$C$5,$C$6,$C$7,$C$8,$D$3)/1000</f>
        <v>#VALUE!</v>
      </c>
      <c r="J28" s="172" t="e">
        <f>_xll.LVCELL($D$1,J$3,$C28,$D$2,$C$4,$C$5,$C$6,$C$7,$C$8,$D$3)/1000</f>
        <v>#VALUE!</v>
      </c>
      <c r="K28" s="172" t="e">
        <f>_xll.LVCELL($D$1,K$3,$C28,$D$2,$C$4,$C$5,$C$6,$C$7,$C$8,$D$3)/1000</f>
        <v>#VALUE!</v>
      </c>
      <c r="L28" s="172" t="e">
        <f>_xll.LVCELL($D$1,L$3,$C28,$D$2,$C$4,$C$5,$C$6,$C$7,$C$8,$D$3)/1000</f>
        <v>#VALUE!</v>
      </c>
      <c r="M28" s="172" t="e">
        <f>_xll.LVCELL($D$1,M$3,$C28,$D$2,$C$4,$C$5,$C$6,$C$7,$C$8,$D$3)/1000</f>
        <v>#VALUE!</v>
      </c>
      <c r="N28" s="172" t="e">
        <f>_xll.LVCELL($D$1,N$3,$C28,$D$2,$C$4,$C$5,$C$6,$C$7,$C$8,$D$3)/1000</f>
        <v>#VALUE!</v>
      </c>
      <c r="O28" s="172" t="e">
        <f>_xll.LVCELL($D$1,O$3,$C28,$D$2,$C$4,$C$5,$C$6,$C$7,$C$8,$D$3)/1000</f>
        <v>#VALUE!</v>
      </c>
      <c r="P28" s="172" t="e">
        <f>_xll.LVCELL($D$1,P$3,$C28,$D$2,$C$4,$C$5,$C$6,$C$7,$C$8,$D$3)/1000</f>
        <v>#VALUE!</v>
      </c>
      <c r="Q28" s="172" t="e">
        <f>_xll.LVCELL($D$1,Q$2,$C28,$D$2,$C$4,$C$5,$C$6,$C$7,$C$8,$D$3)/1000</f>
        <v>#VALUE!</v>
      </c>
      <c r="R28" s="172" t="e">
        <f>_xll.LVCELL($D$1,R$3,$C28,$D$2,$C$4,$C$5,$C$6,$C$7,$C$8,$D$3)/1000</f>
        <v>#VALUE!</v>
      </c>
      <c r="S28" s="172" t="e">
        <f>_xll.LVCELL($D$1,S$3,$C28,$D$2,$C$4,$C$5,$C$6,$C$7,$C$8,$D$3)/1000</f>
        <v>#VALUE!</v>
      </c>
      <c r="T28" s="172" t="e">
        <f>_xll.LVCELL($D$1,T$3,$C28,$D$2,$C$4,$C$5,$C$6,$C$7,$C$8,$D$3)/1000</f>
        <v>#VALUE!</v>
      </c>
      <c r="U28" s="172" t="e">
        <f>_xll.LVCELL($D$1,U$3,$C28,$D$2,$C$4,$C$5,$C$6,$C$7,$C$8,$D$3)/1000</f>
        <v>#VALUE!</v>
      </c>
      <c r="V28" s="172" t="e">
        <f>_xll.LVCELL($D$1,V$3,$C28,$D$2,$C$4,$C$5,$C$6,$C$7,$C$8,$D$3)/1000</f>
        <v>#VALUE!</v>
      </c>
      <c r="W28" s="172" t="e">
        <f>_xll.LVCELL($D$1,W$3,$C28,$D$2,$C$4,$C$5,$C$6,$C$7,$C$8,$D$3)/1000</f>
        <v>#VALUE!</v>
      </c>
      <c r="X28" s="172" t="e">
        <f>_xll.LVCELL($D$1,X$3,$C28,$D$2,$C$4,$C$5,$C$6,$C$7,$C$8,$D$3)/1000</f>
        <v>#VALUE!</v>
      </c>
      <c r="Y28" s="172" t="e">
        <f>_xll.LVCELL($D$1,Y$3,$C28,$D$2,$C$4,$C$5,$C$6,$C$7,$C$8,$D$3)/1000</f>
        <v>#VALUE!</v>
      </c>
      <c r="Z28" s="172" t="e">
        <f>_xll.LVCELL($D$1,Z$3,$C28,$D$2,$C$4,$C$5,$C$6,$C$7,$C$8,$D$3)/1000</f>
        <v>#VALUE!</v>
      </c>
      <c r="AA28" s="172" t="e">
        <f>_xll.LVCELL($D$1,AA$3,$C28,$D$2,$C$4,$C$5,$C$6,$C$7,$C$8,$D$3)/1000</f>
        <v>#VALUE!</v>
      </c>
      <c r="AB28" s="172" t="e">
        <f>_xll.LVCELL($D$1,AB$3,$C28,$D$2,$C$4,$C$5,$C$6,$C$7,$C$8,$D$3)/1000</f>
        <v>#VALUE!</v>
      </c>
      <c r="AC28" s="172" t="e">
        <f>_xll.LVCELL($D$1,AC$3,$C28,$D$2,$C$4,$C$5,$C$6,$C$7,$C$8,$D$3)/1000</f>
        <v>#VALUE!</v>
      </c>
      <c r="AD28" s="172" t="e">
        <f>_xll.LVCELL($D$1,AD$2,$C28,$D$2,$C$4,$C$5,$C$6,$C$7,$C$8,$D$3)/1000</f>
        <v>#VALUE!</v>
      </c>
      <c r="AE28" s="172" t="e">
        <f t="shared" si="0"/>
        <v>#VALUE!</v>
      </c>
      <c r="AF28" s="193" t="e">
        <f t="shared" si="1"/>
        <v>#VALUE!</v>
      </c>
      <c r="AG28" s="172" t="s">
        <v>2717</v>
      </c>
      <c r="AH28" s="61" t="e">
        <f t="shared" si="2"/>
        <v>#VALUE!</v>
      </c>
      <c r="AI28" s="64" t="s">
        <v>2767</v>
      </c>
      <c r="AJ28" s="64" t="s">
        <v>437</v>
      </c>
      <c r="AK28" s="64" t="s">
        <v>437</v>
      </c>
      <c r="AL28" s="192" t="s">
        <v>2632</v>
      </c>
      <c r="AM28" s="172" t="e">
        <f>_xll.LVCELL($AK$1,AM$3,$AK28,$AL$2,$AK$4,$AK$5,$AK$6,$AK$7,$AK$8,$AL$3)/1000</f>
        <v>#VALUE!</v>
      </c>
      <c r="AN28" s="172" t="e">
        <f>_xll.LVCELL($AK$1,AN$3,$AK28,$AL$2,$AK$4,$AK$5,$AK$6,$AK$7,$AK$8,$AL$3)/1000</f>
        <v>#VALUE!</v>
      </c>
      <c r="AO28" s="172" t="e">
        <f>_xll.LVCELL($AK$1,AO$3,$AK28,$AL$2,$AK$4,$AK$5,$AK$6,$AK$7,$AK$8,$AL$3)/1000</f>
        <v>#VALUE!</v>
      </c>
      <c r="AP28" s="172" t="e">
        <f>_xll.LVCELL($AK$1,AP$3,$AK28,$AL$2,$AK$4,$AK$5,$AK$6,$AK$7,$AK$8,$AL$3)/1000</f>
        <v>#VALUE!</v>
      </c>
      <c r="AQ28" s="172" t="e">
        <f>_xll.LVCELL($AK$1,AQ$3,$AK28,$AL$2,$AK$4,$AK$5,$AK$6,$AK$7,$AK$8,$AL$3)/1000</f>
        <v>#VALUE!</v>
      </c>
      <c r="AR28" s="172" t="e">
        <f>_xll.LVCELL($AK$1,AR$3,$AK28,$AL$2,$AK$4,$AK$5,$AK$6,$AK$7,$AK$8,$AL$3)/1000</f>
        <v>#VALUE!</v>
      </c>
      <c r="AS28" s="172" t="e">
        <f>_xll.LVCELL($AK$1,AS$3,$AK28,$AL$2,$AK$4,$AK$5,$AK$6,$AK$7,$AK$8,$AL$3)/1000</f>
        <v>#VALUE!</v>
      </c>
      <c r="AT28" s="172" t="e">
        <f>_xll.LVCELL($AK$1,AT$3,$AK28,$AL$2,$AK$4,$AK$5,$AK$6,$AK$7,$AK$8,$AL$3)/1000</f>
        <v>#VALUE!</v>
      </c>
      <c r="AU28" s="172" t="e">
        <f>_xll.LVCELL($AK$1,AU$3,$AK28,$AL$2,$AK$4,$AK$5,$AK$6,$AK$7,$AK$8,$AL$3)/1000</f>
        <v>#VALUE!</v>
      </c>
      <c r="AV28" s="172" t="e">
        <f>_xll.LVCELL($AK$1,AV$3,$AK28,$AL$2,$AK$4,$AK$5,$AK$6,$AK$7,$AK$8,$AL$3)/1000</f>
        <v>#VALUE!</v>
      </c>
      <c r="AW28" s="172" t="e">
        <f>_xll.LVCELL($AK$1,AW$3,$AK28,$AL$2,$AK$4,$AK$5,$AK$6,$AK$7,$AK$8,$AL$3)/1000</f>
        <v>#VALUE!</v>
      </c>
      <c r="AX28" s="172" t="e">
        <f>_xll.LVCELL($AK$1,AX$3,$AK28,$AL$2,$AK$4,$AK$5,$AK$6,$AK$7,$AK$8,$AL$3)/1000</f>
        <v>#VALUE!</v>
      </c>
      <c r="AY28" s="172" t="e">
        <f>_xll.LVCELL($AK$1,AY$2,$AK28,$AL$2,$AK$4,$AK$5,$AK$6,$AK$7,$AK$8,$AL$3)/1000</f>
        <v>#VALUE!</v>
      </c>
      <c r="AZ28" s="172" t="e">
        <f>_xll.LVCELL($AK$1,AZ$3,$AK28,$AL$2,$AK$4,$AK$5,$AK$6,$AK$7,$AK$8,$AL$3)/1000</f>
        <v>#VALUE!</v>
      </c>
      <c r="BA28" s="172" t="e">
        <f>_xll.LVCELL($AK$1,BA$3,$AK28,$AL$2,$AK$4,$AK$5,$AK$6,$AK$7,$AK$8,$AL$3)/1000</f>
        <v>#VALUE!</v>
      </c>
      <c r="BB28" s="172" t="e">
        <f>_xll.LVCELL($AK$1,BB$3,$AK28,$AL$2,$AK$4,$AK$5,$AK$6,$AK$7,$AK$8,$AL$3)/1000</f>
        <v>#VALUE!</v>
      </c>
      <c r="BC28" s="172" t="e">
        <f>_xll.LVCELL($AK$1,BC$3,$AK28,$AL$2,$AK$4,$AK$5,$AK$6,$AK$7,$AK$8,$AL$3)/1000</f>
        <v>#VALUE!</v>
      </c>
      <c r="BD28" s="172" t="e">
        <f>_xll.LVCELL($AK$1,BD$3,$AK28,$AL$2,$AK$4,$AK$5,$AK$6,$AK$7,$AK$8,$AL$3)/1000</f>
        <v>#VALUE!</v>
      </c>
      <c r="BE28" s="172" t="e">
        <f>_xll.LVCELL($AK$1,BE$3,$AK28,$AL$2,$AK$4,$AK$5,$AK$6,$AK$7,$AK$8,$AL$3)/1000</f>
        <v>#VALUE!</v>
      </c>
      <c r="BF28" s="172" t="e">
        <f>_xll.LVCELL($AK$1,BF$3,$AK28,$AL$2,$AK$4,$AK$5,$AK$6,$AK$7,$AK$8,$AL$3)/1000</f>
        <v>#VALUE!</v>
      </c>
      <c r="BG28" s="172" t="e">
        <f>_xll.LVCELL($AK$1,BG$3,$AK28,$AL$2,$AK$4,$AK$5,$AK$6,$AK$7,$AK$8,$AL$3)/1000</f>
        <v>#VALUE!</v>
      </c>
      <c r="BH28" s="172" t="e">
        <f>_xll.LVCELL($AK$1,BH$3,$AK28,$AL$2,$AK$4,$AK$5,$AK$6,$AK$7,$AK$8,$AL$3)/1000</f>
        <v>#VALUE!</v>
      </c>
      <c r="BI28" s="172" t="e">
        <f>_xll.LVCELL($AK$1,BI$3,$AK28,$AL$2,$AK$4,$AK$5,$AK$6,$AK$7,$AK$8,$AL$3)/1000</f>
        <v>#VALUE!</v>
      </c>
      <c r="BJ28" s="172" t="e">
        <f>_xll.LVCELL($AK$1,BJ$3,$AK28,$AL$2,$AK$4,$AK$5,$AK$6,$AK$7,$AK$8,$AL$3)/1000</f>
        <v>#VALUE!</v>
      </c>
      <c r="BK28" s="172" t="e">
        <f>_xll.LVCELL($AK$1,BK$3,$AK28,$AL$2,$AK$4,$AK$5,$AK$6,$AK$7,$AK$8,$AL$3)/1000</f>
        <v>#VALUE!</v>
      </c>
      <c r="BL28" s="172" t="e">
        <f>_xll.LVCELL($AK$1,BL$2,$AK28,$AL$2,$AK$4,$AK$5,$AK$6,$AK$7,$AK$8,$AL$3)/1000</f>
        <v>#VALUE!</v>
      </c>
      <c r="BM28" s="214" t="e">
        <f t="shared" si="3"/>
        <v>#VALUE!</v>
      </c>
      <c r="BN28" s="217" t="e">
        <f t="shared" si="4"/>
        <v>#VALUE!</v>
      </c>
      <c r="BO28" s="218" t="e">
        <f t="shared" si="4"/>
        <v>#VALUE!</v>
      </c>
      <c r="BP28" s="193" t="e">
        <f t="shared" si="5"/>
        <v>#VALUE!</v>
      </c>
      <c r="BQ28" s="172" t="s">
        <v>2678</v>
      </c>
      <c r="BS28" s="198">
        <f t="shared" si="6"/>
        <v>0</v>
      </c>
      <c r="BT28" s="198">
        <f t="shared" si="7"/>
        <v>0</v>
      </c>
      <c r="BU28" s="198">
        <f t="shared" si="8"/>
        <v>0</v>
      </c>
      <c r="BV28" s="199" t="str">
        <f t="shared" si="9"/>
        <v>N/A</v>
      </c>
      <c r="BX28" s="200" t="e">
        <f t="shared" si="10"/>
        <v>#VALUE!</v>
      </c>
      <c r="BY28" s="200" t="e">
        <f t="shared" si="11"/>
        <v>#VALUE!</v>
      </c>
      <c r="BZ28" s="200" t="e">
        <f t="shared" si="12"/>
        <v>#VALUE!</v>
      </c>
    </row>
    <row r="29" spans="2:78">
      <c r="B29" s="64" t="s">
        <v>260</v>
      </c>
      <c r="C29" s="64" t="s">
        <v>260</v>
      </c>
      <c r="D29" s="192" t="s">
        <v>537</v>
      </c>
      <c r="E29" s="172" t="e">
        <f>_xll.LVCELL($D$1,E$3,$C29,$D$2,$C$4,$C$5,$C$6,$C$7,$C$8,$D$3)/1000</f>
        <v>#VALUE!</v>
      </c>
      <c r="F29" s="172" t="e">
        <f>_xll.LVCELL($D$1,F$3,$C29,$D$2,$C$4,$C$5,$C$6,$C$7,$C$8,$D$3)/1000</f>
        <v>#VALUE!</v>
      </c>
      <c r="G29" s="172" t="e">
        <f>_xll.LVCELL($D$1,G$3,$C29,$D$2,$C$4,$C$5,$C$6,$C$7,$C$8,$D$3)/1000</f>
        <v>#VALUE!</v>
      </c>
      <c r="H29" s="172" t="e">
        <f>_xll.LVCELL($D$1,H$3,$C29,$D$2,$C$4,$C$5,$C$6,$C$7,$C$8,$D$3)/1000</f>
        <v>#VALUE!</v>
      </c>
      <c r="I29" s="172" t="e">
        <f>_xll.LVCELL($D$1,I$3,$C29,$D$2,$C$4,$C$5,$C$6,$C$7,$C$8,$D$3)/1000</f>
        <v>#VALUE!</v>
      </c>
      <c r="J29" s="172" t="e">
        <f>_xll.LVCELL($D$1,J$3,$C29,$D$2,$C$4,$C$5,$C$6,$C$7,$C$8,$D$3)/1000</f>
        <v>#VALUE!</v>
      </c>
      <c r="K29" s="172" t="e">
        <f>_xll.LVCELL($D$1,K$3,$C29,$D$2,$C$4,$C$5,$C$6,$C$7,$C$8,$D$3)/1000</f>
        <v>#VALUE!</v>
      </c>
      <c r="L29" s="172" t="e">
        <f>_xll.LVCELL($D$1,L$3,$C29,$D$2,$C$4,$C$5,$C$6,$C$7,$C$8,$D$3)/1000</f>
        <v>#VALUE!</v>
      </c>
      <c r="M29" s="172" t="e">
        <f>_xll.LVCELL($D$1,M$3,$C29,$D$2,$C$4,$C$5,$C$6,$C$7,$C$8,$D$3)/1000</f>
        <v>#VALUE!</v>
      </c>
      <c r="N29" s="172" t="e">
        <f>_xll.LVCELL($D$1,N$3,$C29,$D$2,$C$4,$C$5,$C$6,$C$7,$C$8,$D$3)/1000</f>
        <v>#VALUE!</v>
      </c>
      <c r="O29" s="172" t="e">
        <f>_xll.LVCELL($D$1,O$3,$C29,$D$2,$C$4,$C$5,$C$6,$C$7,$C$8,$D$3)/1000</f>
        <v>#VALUE!</v>
      </c>
      <c r="P29" s="172" t="e">
        <f>_xll.LVCELL($D$1,P$3,$C29,$D$2,$C$4,$C$5,$C$6,$C$7,$C$8,$D$3)/1000</f>
        <v>#VALUE!</v>
      </c>
      <c r="Q29" s="172" t="e">
        <f>_xll.LVCELL($D$1,Q$2,$C29,$D$2,$C$4,$C$5,$C$6,$C$7,$C$8,$D$3)/1000</f>
        <v>#VALUE!</v>
      </c>
      <c r="R29" s="172" t="e">
        <f>_xll.LVCELL($D$1,R$3,$C29,$D$2,$C$4,$C$5,$C$6,$C$7,$C$8,$D$3)/1000</f>
        <v>#VALUE!</v>
      </c>
      <c r="S29" s="172" t="e">
        <f>_xll.LVCELL($D$1,S$3,$C29,$D$2,$C$4,$C$5,$C$6,$C$7,$C$8,$D$3)/1000</f>
        <v>#VALUE!</v>
      </c>
      <c r="T29" s="172" t="e">
        <f>_xll.LVCELL($D$1,T$3,$C29,$D$2,$C$4,$C$5,$C$6,$C$7,$C$8,$D$3)/1000</f>
        <v>#VALUE!</v>
      </c>
      <c r="U29" s="172" t="e">
        <f>_xll.LVCELL($D$1,U$3,$C29,$D$2,$C$4,$C$5,$C$6,$C$7,$C$8,$D$3)/1000</f>
        <v>#VALUE!</v>
      </c>
      <c r="V29" s="172" t="e">
        <f>_xll.LVCELL($D$1,V$3,$C29,$D$2,$C$4,$C$5,$C$6,$C$7,$C$8,$D$3)/1000</f>
        <v>#VALUE!</v>
      </c>
      <c r="W29" s="172" t="e">
        <f>_xll.LVCELL($D$1,W$3,$C29,$D$2,$C$4,$C$5,$C$6,$C$7,$C$8,$D$3)/1000</f>
        <v>#VALUE!</v>
      </c>
      <c r="X29" s="172" t="e">
        <f>_xll.LVCELL($D$1,X$3,$C29,$D$2,$C$4,$C$5,$C$6,$C$7,$C$8,$D$3)/1000</f>
        <v>#VALUE!</v>
      </c>
      <c r="Y29" s="172" t="e">
        <f>_xll.LVCELL($D$1,Y$3,$C29,$D$2,$C$4,$C$5,$C$6,$C$7,$C$8,$D$3)/1000</f>
        <v>#VALUE!</v>
      </c>
      <c r="Z29" s="172" t="e">
        <f>_xll.LVCELL($D$1,Z$3,$C29,$D$2,$C$4,$C$5,$C$6,$C$7,$C$8,$D$3)/1000</f>
        <v>#VALUE!</v>
      </c>
      <c r="AA29" s="172" t="e">
        <f>_xll.LVCELL($D$1,AA$3,$C29,$D$2,$C$4,$C$5,$C$6,$C$7,$C$8,$D$3)/1000</f>
        <v>#VALUE!</v>
      </c>
      <c r="AB29" s="172" t="e">
        <f>_xll.LVCELL($D$1,AB$3,$C29,$D$2,$C$4,$C$5,$C$6,$C$7,$C$8,$D$3)/1000</f>
        <v>#VALUE!</v>
      </c>
      <c r="AC29" s="172" t="e">
        <f>_xll.LVCELL($D$1,AC$3,$C29,$D$2,$C$4,$C$5,$C$6,$C$7,$C$8,$D$3)/1000</f>
        <v>#VALUE!</v>
      </c>
      <c r="AD29" s="172" t="e">
        <f>_xll.LVCELL($D$1,AD$2,$C29,$D$2,$C$4,$C$5,$C$6,$C$7,$C$8,$D$3)/1000</f>
        <v>#VALUE!</v>
      </c>
      <c r="AE29" s="172" t="e">
        <f t="shared" si="0"/>
        <v>#VALUE!</v>
      </c>
      <c r="AF29" s="193" t="e">
        <f t="shared" si="1"/>
        <v>#VALUE!</v>
      </c>
      <c r="AG29" s="172" t="s">
        <v>2718</v>
      </c>
      <c r="AH29" s="61" t="e">
        <f t="shared" si="2"/>
        <v>#VALUE!</v>
      </c>
      <c r="AI29" s="64" t="s">
        <v>2767</v>
      </c>
      <c r="AJ29" s="64" t="s">
        <v>260</v>
      </c>
      <c r="AK29" s="64" t="s">
        <v>260</v>
      </c>
      <c r="AL29" s="192" t="s">
        <v>537</v>
      </c>
      <c r="AM29" s="172" t="e">
        <f>_xll.LVCELL($AK$1,AM$3,$AK29,$AL$2,$AK$4,$AK$5,$AK$6,$AK$7,$AK$8,$AL$3)/1000</f>
        <v>#VALUE!</v>
      </c>
      <c r="AN29" s="172" t="e">
        <f>_xll.LVCELL($AK$1,AN$3,$AK29,$AL$2,$AK$4,$AK$5,$AK$6,$AK$7,$AK$8,$AL$3)/1000</f>
        <v>#VALUE!</v>
      </c>
      <c r="AO29" s="172" t="e">
        <f>_xll.LVCELL($AK$1,AO$3,$AK29,$AL$2,$AK$4,$AK$5,$AK$6,$AK$7,$AK$8,$AL$3)/1000</f>
        <v>#VALUE!</v>
      </c>
      <c r="AP29" s="172" t="e">
        <f>_xll.LVCELL($AK$1,AP$3,$AK29,$AL$2,$AK$4,$AK$5,$AK$6,$AK$7,$AK$8,$AL$3)/1000</f>
        <v>#VALUE!</v>
      </c>
      <c r="AQ29" s="172" t="e">
        <f>_xll.LVCELL($AK$1,AQ$3,$AK29,$AL$2,$AK$4,$AK$5,$AK$6,$AK$7,$AK$8,$AL$3)/1000</f>
        <v>#VALUE!</v>
      </c>
      <c r="AR29" s="172" t="e">
        <f>_xll.LVCELL($AK$1,AR$3,$AK29,$AL$2,$AK$4,$AK$5,$AK$6,$AK$7,$AK$8,$AL$3)/1000</f>
        <v>#VALUE!</v>
      </c>
      <c r="AS29" s="172" t="e">
        <f>_xll.LVCELL($AK$1,AS$3,$AK29,$AL$2,$AK$4,$AK$5,$AK$6,$AK$7,$AK$8,$AL$3)/1000</f>
        <v>#VALUE!</v>
      </c>
      <c r="AT29" s="172" t="e">
        <f>_xll.LVCELL($AK$1,AT$3,$AK29,$AL$2,$AK$4,$AK$5,$AK$6,$AK$7,$AK$8,$AL$3)/1000</f>
        <v>#VALUE!</v>
      </c>
      <c r="AU29" s="172" t="e">
        <f>_xll.LVCELL($AK$1,AU$3,$AK29,$AL$2,$AK$4,$AK$5,$AK$6,$AK$7,$AK$8,$AL$3)/1000</f>
        <v>#VALUE!</v>
      </c>
      <c r="AV29" s="172" t="e">
        <f>_xll.LVCELL($AK$1,AV$3,$AK29,$AL$2,$AK$4,$AK$5,$AK$6,$AK$7,$AK$8,$AL$3)/1000</f>
        <v>#VALUE!</v>
      </c>
      <c r="AW29" s="172" t="e">
        <f>_xll.LVCELL($AK$1,AW$3,$AK29,$AL$2,$AK$4,$AK$5,$AK$6,$AK$7,$AK$8,$AL$3)/1000</f>
        <v>#VALUE!</v>
      </c>
      <c r="AX29" s="172" t="e">
        <f>_xll.LVCELL($AK$1,AX$3,$AK29,$AL$2,$AK$4,$AK$5,$AK$6,$AK$7,$AK$8,$AL$3)/1000</f>
        <v>#VALUE!</v>
      </c>
      <c r="AY29" s="172" t="e">
        <f>_xll.LVCELL($AK$1,AY$2,$AK29,$AL$2,$AK$4,$AK$5,$AK$6,$AK$7,$AK$8,$AL$3)/1000</f>
        <v>#VALUE!</v>
      </c>
      <c r="AZ29" s="172" t="e">
        <f>_xll.LVCELL($AK$1,AZ$3,$AK29,$AL$2,$AK$4,$AK$5,$AK$6,$AK$7,$AK$8,$AL$3)/1000</f>
        <v>#VALUE!</v>
      </c>
      <c r="BA29" s="172" t="e">
        <f>_xll.LVCELL($AK$1,BA$3,$AK29,$AL$2,$AK$4,$AK$5,$AK$6,$AK$7,$AK$8,$AL$3)/1000</f>
        <v>#VALUE!</v>
      </c>
      <c r="BB29" s="172" t="e">
        <f>_xll.LVCELL($AK$1,BB$3,$AK29,$AL$2,$AK$4,$AK$5,$AK$6,$AK$7,$AK$8,$AL$3)/1000</f>
        <v>#VALUE!</v>
      </c>
      <c r="BC29" s="172" t="e">
        <f>_xll.LVCELL($AK$1,BC$3,$AK29,$AL$2,$AK$4,$AK$5,$AK$6,$AK$7,$AK$8,$AL$3)/1000</f>
        <v>#VALUE!</v>
      </c>
      <c r="BD29" s="172" t="e">
        <f>_xll.LVCELL($AK$1,BD$3,$AK29,$AL$2,$AK$4,$AK$5,$AK$6,$AK$7,$AK$8,$AL$3)/1000</f>
        <v>#VALUE!</v>
      </c>
      <c r="BE29" s="172" t="e">
        <f>_xll.LVCELL($AK$1,BE$3,$AK29,$AL$2,$AK$4,$AK$5,$AK$6,$AK$7,$AK$8,$AL$3)/1000</f>
        <v>#VALUE!</v>
      </c>
      <c r="BF29" s="172" t="e">
        <f>_xll.LVCELL($AK$1,BF$3,$AK29,$AL$2,$AK$4,$AK$5,$AK$6,$AK$7,$AK$8,$AL$3)/1000</f>
        <v>#VALUE!</v>
      </c>
      <c r="BG29" s="172" t="e">
        <f>_xll.LVCELL($AK$1,BG$3,$AK29,$AL$2,$AK$4,$AK$5,$AK$6,$AK$7,$AK$8,$AL$3)/1000</f>
        <v>#VALUE!</v>
      </c>
      <c r="BH29" s="172" t="e">
        <f>_xll.LVCELL($AK$1,BH$3,$AK29,$AL$2,$AK$4,$AK$5,$AK$6,$AK$7,$AK$8,$AL$3)/1000</f>
        <v>#VALUE!</v>
      </c>
      <c r="BI29" s="172" t="e">
        <f>_xll.LVCELL($AK$1,BI$3,$AK29,$AL$2,$AK$4,$AK$5,$AK$6,$AK$7,$AK$8,$AL$3)/1000</f>
        <v>#VALUE!</v>
      </c>
      <c r="BJ29" s="172" t="e">
        <f>_xll.LVCELL($AK$1,BJ$3,$AK29,$AL$2,$AK$4,$AK$5,$AK$6,$AK$7,$AK$8,$AL$3)/1000</f>
        <v>#VALUE!</v>
      </c>
      <c r="BK29" s="172" t="e">
        <f>_xll.LVCELL($AK$1,BK$3,$AK29,$AL$2,$AK$4,$AK$5,$AK$6,$AK$7,$AK$8,$AL$3)/1000</f>
        <v>#VALUE!</v>
      </c>
      <c r="BL29" s="172" t="e">
        <f>_xll.LVCELL($AK$1,BL$2,$AK29,$AL$2,$AK$4,$AK$5,$AK$6,$AK$7,$AK$8,$AL$3)/1000</f>
        <v>#VALUE!</v>
      </c>
      <c r="BM29" s="214" t="e">
        <f t="shared" si="3"/>
        <v>#VALUE!</v>
      </c>
      <c r="BN29" s="217" t="e">
        <f t="shared" si="4"/>
        <v>#VALUE!</v>
      </c>
      <c r="BO29" s="218" t="e">
        <f t="shared" si="4"/>
        <v>#VALUE!</v>
      </c>
      <c r="BP29" s="193" t="e">
        <f t="shared" si="5"/>
        <v>#VALUE!</v>
      </c>
      <c r="BQ29" s="190" t="s">
        <v>2685</v>
      </c>
      <c r="BS29" s="198">
        <f t="shared" si="6"/>
        <v>0</v>
      </c>
      <c r="BT29" s="198">
        <f t="shared" si="7"/>
        <v>0</v>
      </c>
      <c r="BU29" s="198">
        <f t="shared" si="8"/>
        <v>0</v>
      </c>
      <c r="BV29" s="199" t="str">
        <f t="shared" si="9"/>
        <v>N/A</v>
      </c>
      <c r="BX29" s="200" t="e">
        <f t="shared" si="10"/>
        <v>#VALUE!</v>
      </c>
      <c r="BY29" s="200" t="e">
        <f t="shared" si="11"/>
        <v>#VALUE!</v>
      </c>
      <c r="BZ29" s="200" t="e">
        <f t="shared" si="12"/>
        <v>#VALUE!</v>
      </c>
    </row>
    <row r="30" spans="2:78">
      <c r="B30" s="64" t="s">
        <v>315</v>
      </c>
      <c r="C30" s="64" t="s">
        <v>315</v>
      </c>
      <c r="D30" s="192" t="s">
        <v>2653</v>
      </c>
      <c r="E30" s="172" t="e">
        <f>_xll.LVCELL($D$1,E$3,$C30,$D$2,$C$4,$C$5,$C$6,$C$7,$C$8,$D$3)/1000</f>
        <v>#VALUE!</v>
      </c>
      <c r="F30" s="172" t="e">
        <f>_xll.LVCELL($D$1,F$3,$C30,$D$2,$C$4,$C$5,$C$6,$C$7,$C$8,$D$3)/1000</f>
        <v>#VALUE!</v>
      </c>
      <c r="G30" s="172" t="e">
        <f>_xll.LVCELL($D$1,G$3,$C30,$D$2,$C$4,$C$5,$C$6,$C$7,$C$8,$D$3)/1000</f>
        <v>#VALUE!</v>
      </c>
      <c r="H30" s="172" t="e">
        <f>_xll.LVCELL($D$1,H$3,$C30,$D$2,$C$4,$C$5,$C$6,$C$7,$C$8,$D$3)/1000</f>
        <v>#VALUE!</v>
      </c>
      <c r="I30" s="172" t="e">
        <f>_xll.LVCELL($D$1,I$3,$C30,$D$2,$C$4,$C$5,$C$6,$C$7,$C$8,$D$3)/1000</f>
        <v>#VALUE!</v>
      </c>
      <c r="J30" s="172" t="e">
        <f>_xll.LVCELL($D$1,J$3,$C30,$D$2,$C$4,$C$5,$C$6,$C$7,$C$8,$D$3)/1000</f>
        <v>#VALUE!</v>
      </c>
      <c r="K30" s="172" t="e">
        <f>_xll.LVCELL($D$1,K$3,$C30,$D$2,$C$4,$C$5,$C$6,$C$7,$C$8,$D$3)/1000</f>
        <v>#VALUE!</v>
      </c>
      <c r="L30" s="172" t="e">
        <f>_xll.LVCELL($D$1,L$3,$C30,$D$2,$C$4,$C$5,$C$6,$C$7,$C$8,$D$3)/1000</f>
        <v>#VALUE!</v>
      </c>
      <c r="M30" s="172" t="e">
        <f>_xll.LVCELL($D$1,M$3,$C30,$D$2,$C$4,$C$5,$C$6,$C$7,$C$8,$D$3)/1000</f>
        <v>#VALUE!</v>
      </c>
      <c r="N30" s="172" t="e">
        <f>_xll.LVCELL($D$1,N$3,$C30,$D$2,$C$4,$C$5,$C$6,$C$7,$C$8,$D$3)/1000</f>
        <v>#VALUE!</v>
      </c>
      <c r="O30" s="172" t="e">
        <f>_xll.LVCELL($D$1,O$3,$C30,$D$2,$C$4,$C$5,$C$6,$C$7,$C$8,$D$3)/1000</f>
        <v>#VALUE!</v>
      </c>
      <c r="P30" s="172" t="e">
        <f>_xll.LVCELL($D$1,P$3,$C30,$D$2,$C$4,$C$5,$C$6,$C$7,$C$8,$D$3)/1000</f>
        <v>#VALUE!</v>
      </c>
      <c r="Q30" s="172" t="e">
        <f>_xll.LVCELL($D$1,Q$2,$C30,$D$2,$C$4,$C$5,$C$6,$C$7,$C$8,$D$3)/1000</f>
        <v>#VALUE!</v>
      </c>
      <c r="R30" s="172" t="e">
        <f>_xll.LVCELL($D$1,R$3,$C30,$D$2,$C$4,$C$5,$C$6,$C$7,$C$8,$D$3)/1000</f>
        <v>#VALUE!</v>
      </c>
      <c r="S30" s="172" t="e">
        <f>_xll.LVCELL($D$1,S$3,$C30,$D$2,$C$4,$C$5,$C$6,$C$7,$C$8,$D$3)/1000</f>
        <v>#VALUE!</v>
      </c>
      <c r="T30" s="172" t="e">
        <f>_xll.LVCELL($D$1,T$3,$C30,$D$2,$C$4,$C$5,$C$6,$C$7,$C$8,$D$3)/1000</f>
        <v>#VALUE!</v>
      </c>
      <c r="U30" s="172" t="e">
        <f>_xll.LVCELL($D$1,U$3,$C30,$D$2,$C$4,$C$5,$C$6,$C$7,$C$8,$D$3)/1000</f>
        <v>#VALUE!</v>
      </c>
      <c r="V30" s="172" t="e">
        <f>_xll.LVCELL($D$1,V$3,$C30,$D$2,$C$4,$C$5,$C$6,$C$7,$C$8,$D$3)/1000</f>
        <v>#VALUE!</v>
      </c>
      <c r="W30" s="172" t="e">
        <f>_xll.LVCELL($D$1,W$3,$C30,$D$2,$C$4,$C$5,$C$6,$C$7,$C$8,$D$3)/1000</f>
        <v>#VALUE!</v>
      </c>
      <c r="X30" s="172" t="e">
        <f>_xll.LVCELL($D$1,X$3,$C30,$D$2,$C$4,$C$5,$C$6,$C$7,$C$8,$D$3)/1000</f>
        <v>#VALUE!</v>
      </c>
      <c r="Y30" s="172" t="e">
        <f>_xll.LVCELL($D$1,Y$3,$C30,$D$2,$C$4,$C$5,$C$6,$C$7,$C$8,$D$3)/1000</f>
        <v>#VALUE!</v>
      </c>
      <c r="Z30" s="172" t="e">
        <f>_xll.LVCELL($D$1,Z$3,$C30,$D$2,$C$4,$C$5,$C$6,$C$7,$C$8,$D$3)/1000</f>
        <v>#VALUE!</v>
      </c>
      <c r="AA30" s="172" t="e">
        <f>_xll.LVCELL($D$1,AA$3,$C30,$D$2,$C$4,$C$5,$C$6,$C$7,$C$8,$D$3)/1000</f>
        <v>#VALUE!</v>
      </c>
      <c r="AB30" s="172" t="e">
        <f>_xll.LVCELL($D$1,AB$3,$C30,$D$2,$C$4,$C$5,$C$6,$C$7,$C$8,$D$3)/1000</f>
        <v>#VALUE!</v>
      </c>
      <c r="AC30" s="172" t="e">
        <f>_xll.LVCELL($D$1,AC$3,$C30,$D$2,$C$4,$C$5,$C$6,$C$7,$C$8,$D$3)/1000</f>
        <v>#VALUE!</v>
      </c>
      <c r="AD30" s="172" t="e">
        <f>_xll.LVCELL($D$1,AD$2,$C30,$D$2,$C$4,$C$5,$C$6,$C$7,$C$8,$D$3)/1000</f>
        <v>#VALUE!</v>
      </c>
      <c r="AE30" s="172" t="e">
        <f t="shared" si="0"/>
        <v>#VALUE!</v>
      </c>
      <c r="AF30" s="193" t="e">
        <f t="shared" si="1"/>
        <v>#VALUE!</v>
      </c>
      <c r="AG30" s="172" t="s">
        <v>2719</v>
      </c>
      <c r="AH30" s="61" t="e">
        <f t="shared" si="2"/>
        <v>#VALUE!</v>
      </c>
      <c r="AI30" s="64" t="s">
        <v>2766</v>
      </c>
      <c r="AJ30" s="64" t="s">
        <v>315</v>
      </c>
      <c r="AK30" s="64" t="s">
        <v>315</v>
      </c>
      <c r="AL30" s="192" t="s">
        <v>2653</v>
      </c>
      <c r="AM30" s="172" t="e">
        <f>_xll.LVCELL($AK$1,AM$3,$AK30,$AL$2,$AK$4,$AK$5,$AK$6,$AK$7,$AK$8,$AL$3)/1000</f>
        <v>#VALUE!</v>
      </c>
      <c r="AN30" s="172" t="e">
        <f>_xll.LVCELL($AK$1,AN$3,$AK30,$AL$2,$AK$4,$AK$5,$AK$6,$AK$7,$AK$8,$AL$3)/1000</f>
        <v>#VALUE!</v>
      </c>
      <c r="AO30" s="172" t="e">
        <f>_xll.LVCELL($AK$1,AO$3,$AK30,$AL$2,$AK$4,$AK$5,$AK$6,$AK$7,$AK$8,$AL$3)/1000</f>
        <v>#VALUE!</v>
      </c>
      <c r="AP30" s="172" t="e">
        <f>_xll.LVCELL($AK$1,AP$3,$AK30,$AL$2,$AK$4,$AK$5,$AK$6,$AK$7,$AK$8,$AL$3)/1000</f>
        <v>#VALUE!</v>
      </c>
      <c r="AQ30" s="172" t="e">
        <f>_xll.LVCELL($AK$1,AQ$3,$AK30,$AL$2,$AK$4,$AK$5,$AK$6,$AK$7,$AK$8,$AL$3)/1000</f>
        <v>#VALUE!</v>
      </c>
      <c r="AR30" s="172" t="e">
        <f>_xll.LVCELL($AK$1,AR$3,$AK30,$AL$2,$AK$4,$AK$5,$AK$6,$AK$7,$AK$8,$AL$3)/1000</f>
        <v>#VALUE!</v>
      </c>
      <c r="AS30" s="172" t="e">
        <f>_xll.LVCELL($AK$1,AS$3,$AK30,$AL$2,$AK$4,$AK$5,$AK$6,$AK$7,$AK$8,$AL$3)/1000</f>
        <v>#VALUE!</v>
      </c>
      <c r="AT30" s="172" t="e">
        <f>_xll.LVCELL($AK$1,AT$3,$AK30,$AL$2,$AK$4,$AK$5,$AK$6,$AK$7,$AK$8,$AL$3)/1000</f>
        <v>#VALUE!</v>
      </c>
      <c r="AU30" s="172" t="e">
        <f>_xll.LVCELL($AK$1,AU$3,$AK30,$AL$2,$AK$4,$AK$5,$AK$6,$AK$7,$AK$8,$AL$3)/1000</f>
        <v>#VALUE!</v>
      </c>
      <c r="AV30" s="172" t="e">
        <f>_xll.LVCELL($AK$1,AV$3,$AK30,$AL$2,$AK$4,$AK$5,$AK$6,$AK$7,$AK$8,$AL$3)/1000</f>
        <v>#VALUE!</v>
      </c>
      <c r="AW30" s="172" t="e">
        <f>_xll.LVCELL($AK$1,AW$3,$AK30,$AL$2,$AK$4,$AK$5,$AK$6,$AK$7,$AK$8,$AL$3)/1000</f>
        <v>#VALUE!</v>
      </c>
      <c r="AX30" s="172" t="e">
        <f>_xll.LVCELL($AK$1,AX$3,$AK30,$AL$2,$AK$4,$AK$5,$AK$6,$AK$7,$AK$8,$AL$3)/1000</f>
        <v>#VALUE!</v>
      </c>
      <c r="AY30" s="172" t="e">
        <f>_xll.LVCELL($AK$1,AY$2,$AK30,$AL$2,$AK$4,$AK$5,$AK$6,$AK$7,$AK$8,$AL$3)/1000</f>
        <v>#VALUE!</v>
      </c>
      <c r="AZ30" s="172" t="e">
        <f>_xll.LVCELL($AK$1,AZ$3,$AK30,$AL$2,$AK$4,$AK$5,$AK$6,$AK$7,$AK$8,$AL$3)/1000</f>
        <v>#VALUE!</v>
      </c>
      <c r="BA30" s="172" t="e">
        <f>_xll.LVCELL($AK$1,BA$3,$AK30,$AL$2,$AK$4,$AK$5,$AK$6,$AK$7,$AK$8,$AL$3)/1000</f>
        <v>#VALUE!</v>
      </c>
      <c r="BB30" s="172" t="e">
        <f>_xll.LVCELL($AK$1,BB$3,$AK30,$AL$2,$AK$4,$AK$5,$AK$6,$AK$7,$AK$8,$AL$3)/1000</f>
        <v>#VALUE!</v>
      </c>
      <c r="BC30" s="172" t="e">
        <f>_xll.LVCELL($AK$1,BC$3,$AK30,$AL$2,$AK$4,$AK$5,$AK$6,$AK$7,$AK$8,$AL$3)/1000</f>
        <v>#VALUE!</v>
      </c>
      <c r="BD30" s="172" t="e">
        <f>_xll.LVCELL($AK$1,BD$3,$AK30,$AL$2,$AK$4,$AK$5,$AK$6,$AK$7,$AK$8,$AL$3)/1000</f>
        <v>#VALUE!</v>
      </c>
      <c r="BE30" s="172" t="e">
        <f>_xll.LVCELL($AK$1,BE$3,$AK30,$AL$2,$AK$4,$AK$5,$AK$6,$AK$7,$AK$8,$AL$3)/1000</f>
        <v>#VALUE!</v>
      </c>
      <c r="BF30" s="172" t="e">
        <f>_xll.LVCELL($AK$1,BF$3,$AK30,$AL$2,$AK$4,$AK$5,$AK$6,$AK$7,$AK$8,$AL$3)/1000</f>
        <v>#VALUE!</v>
      </c>
      <c r="BG30" s="172" t="e">
        <f>_xll.LVCELL($AK$1,BG$3,$AK30,$AL$2,$AK$4,$AK$5,$AK$6,$AK$7,$AK$8,$AL$3)/1000</f>
        <v>#VALUE!</v>
      </c>
      <c r="BH30" s="172" t="e">
        <f>_xll.LVCELL($AK$1,BH$3,$AK30,$AL$2,$AK$4,$AK$5,$AK$6,$AK$7,$AK$8,$AL$3)/1000</f>
        <v>#VALUE!</v>
      </c>
      <c r="BI30" s="172" t="e">
        <f>_xll.LVCELL($AK$1,BI$3,$AK30,$AL$2,$AK$4,$AK$5,$AK$6,$AK$7,$AK$8,$AL$3)/1000</f>
        <v>#VALUE!</v>
      </c>
      <c r="BJ30" s="172" t="e">
        <f>_xll.LVCELL($AK$1,BJ$3,$AK30,$AL$2,$AK$4,$AK$5,$AK$6,$AK$7,$AK$8,$AL$3)/1000</f>
        <v>#VALUE!</v>
      </c>
      <c r="BK30" s="172" t="e">
        <f>_xll.LVCELL($AK$1,BK$3,$AK30,$AL$2,$AK$4,$AK$5,$AK$6,$AK$7,$AK$8,$AL$3)/1000</f>
        <v>#VALUE!</v>
      </c>
      <c r="BL30" s="172" t="e">
        <f>_xll.LVCELL($AK$1,BL$2,$AK30,$AL$2,$AK$4,$AK$5,$AK$6,$AK$7,$AK$8,$AL$3)/1000</f>
        <v>#VALUE!</v>
      </c>
      <c r="BM30" s="214" t="e">
        <f t="shared" si="3"/>
        <v>#VALUE!</v>
      </c>
      <c r="BN30" s="217" t="e">
        <f t="shared" si="4"/>
        <v>#VALUE!</v>
      </c>
      <c r="BO30" s="218" t="e">
        <f t="shared" si="4"/>
        <v>#VALUE!</v>
      </c>
      <c r="BP30" s="193" t="e">
        <f t="shared" si="5"/>
        <v>#VALUE!</v>
      </c>
      <c r="BQ30" s="190" t="s">
        <v>2686</v>
      </c>
      <c r="BS30" s="198">
        <f t="shared" si="6"/>
        <v>0</v>
      </c>
      <c r="BT30" s="198">
        <f t="shared" si="7"/>
        <v>0</v>
      </c>
      <c r="BU30" s="198">
        <f t="shared" si="8"/>
        <v>0</v>
      </c>
      <c r="BV30" s="199" t="str">
        <f t="shared" si="9"/>
        <v>N/A</v>
      </c>
      <c r="BX30" s="200" t="e">
        <f t="shared" si="10"/>
        <v>#VALUE!</v>
      </c>
      <c r="BY30" s="200" t="e">
        <f t="shared" si="11"/>
        <v>#VALUE!</v>
      </c>
      <c r="BZ30" s="200" t="e">
        <f t="shared" si="12"/>
        <v>#VALUE!</v>
      </c>
    </row>
    <row r="31" spans="2:78">
      <c r="B31" s="64" t="s">
        <v>314</v>
      </c>
      <c r="C31" s="64" t="s">
        <v>314</v>
      </c>
      <c r="D31" s="192" t="s">
        <v>541</v>
      </c>
      <c r="E31" s="172" t="e">
        <f>_xll.LVCELL($D$1,E$3,$C31,$D$2,$C$4,$C$5,$C$6,$C$7,$C$8,$D$3)/1000</f>
        <v>#VALUE!</v>
      </c>
      <c r="F31" s="172" t="e">
        <f>_xll.LVCELL($D$1,F$3,$C31,$D$2,$C$4,$C$5,$C$6,$C$7,$C$8,$D$3)/1000</f>
        <v>#VALUE!</v>
      </c>
      <c r="G31" s="172" t="e">
        <f>_xll.LVCELL($D$1,G$3,$C31,$D$2,$C$4,$C$5,$C$6,$C$7,$C$8,$D$3)/1000</f>
        <v>#VALUE!</v>
      </c>
      <c r="H31" s="172" t="e">
        <f>_xll.LVCELL($D$1,H$3,$C31,$D$2,$C$4,$C$5,$C$6,$C$7,$C$8,$D$3)/1000</f>
        <v>#VALUE!</v>
      </c>
      <c r="I31" s="172" t="e">
        <f>_xll.LVCELL($D$1,I$3,$C31,$D$2,$C$4,$C$5,$C$6,$C$7,$C$8,$D$3)/1000</f>
        <v>#VALUE!</v>
      </c>
      <c r="J31" s="172" t="e">
        <f>_xll.LVCELL($D$1,J$3,$C31,$D$2,$C$4,$C$5,$C$6,$C$7,$C$8,$D$3)/1000</f>
        <v>#VALUE!</v>
      </c>
      <c r="K31" s="172" t="e">
        <f>_xll.LVCELL($D$1,K$3,$C31,$D$2,$C$4,$C$5,$C$6,$C$7,$C$8,$D$3)/1000</f>
        <v>#VALUE!</v>
      </c>
      <c r="L31" s="172" t="e">
        <f>_xll.LVCELL($D$1,L$3,$C31,$D$2,$C$4,$C$5,$C$6,$C$7,$C$8,$D$3)/1000</f>
        <v>#VALUE!</v>
      </c>
      <c r="M31" s="172" t="e">
        <f>_xll.LVCELL($D$1,M$3,$C31,$D$2,$C$4,$C$5,$C$6,$C$7,$C$8,$D$3)/1000</f>
        <v>#VALUE!</v>
      </c>
      <c r="N31" s="172" t="e">
        <f>_xll.LVCELL($D$1,N$3,$C31,$D$2,$C$4,$C$5,$C$6,$C$7,$C$8,$D$3)/1000</f>
        <v>#VALUE!</v>
      </c>
      <c r="O31" s="172" t="e">
        <f>_xll.LVCELL($D$1,O$3,$C31,$D$2,$C$4,$C$5,$C$6,$C$7,$C$8,$D$3)/1000</f>
        <v>#VALUE!</v>
      </c>
      <c r="P31" s="172" t="e">
        <f>_xll.LVCELL($D$1,P$3,$C31,$D$2,$C$4,$C$5,$C$6,$C$7,$C$8,$D$3)/1000</f>
        <v>#VALUE!</v>
      </c>
      <c r="Q31" s="172" t="e">
        <f>_xll.LVCELL($D$1,Q$2,$C31,$D$2,$C$4,$C$5,$C$6,$C$7,$C$8,$D$3)/1000</f>
        <v>#VALUE!</v>
      </c>
      <c r="R31" s="172" t="e">
        <f>_xll.LVCELL($D$1,R$3,$C31,$D$2,$C$4,$C$5,$C$6,$C$7,$C$8,$D$3)/1000</f>
        <v>#VALUE!</v>
      </c>
      <c r="S31" s="172" t="e">
        <f>_xll.LVCELL($D$1,S$3,$C31,$D$2,$C$4,$C$5,$C$6,$C$7,$C$8,$D$3)/1000</f>
        <v>#VALUE!</v>
      </c>
      <c r="T31" s="172" t="e">
        <f>_xll.LVCELL($D$1,T$3,$C31,$D$2,$C$4,$C$5,$C$6,$C$7,$C$8,$D$3)/1000</f>
        <v>#VALUE!</v>
      </c>
      <c r="U31" s="172" t="e">
        <f>_xll.LVCELL($D$1,U$3,$C31,$D$2,$C$4,$C$5,$C$6,$C$7,$C$8,$D$3)/1000</f>
        <v>#VALUE!</v>
      </c>
      <c r="V31" s="172" t="e">
        <f>_xll.LVCELL($D$1,V$3,$C31,$D$2,$C$4,$C$5,$C$6,$C$7,$C$8,$D$3)/1000</f>
        <v>#VALUE!</v>
      </c>
      <c r="W31" s="172" t="e">
        <f>_xll.LVCELL($D$1,W$3,$C31,$D$2,$C$4,$C$5,$C$6,$C$7,$C$8,$D$3)/1000</f>
        <v>#VALUE!</v>
      </c>
      <c r="X31" s="172" t="e">
        <f>_xll.LVCELL($D$1,X$3,$C31,$D$2,$C$4,$C$5,$C$6,$C$7,$C$8,$D$3)/1000</f>
        <v>#VALUE!</v>
      </c>
      <c r="Y31" s="172" t="e">
        <f>_xll.LVCELL($D$1,Y$3,$C31,$D$2,$C$4,$C$5,$C$6,$C$7,$C$8,$D$3)/1000</f>
        <v>#VALUE!</v>
      </c>
      <c r="Z31" s="172" t="e">
        <f>_xll.LVCELL($D$1,Z$3,$C31,$D$2,$C$4,$C$5,$C$6,$C$7,$C$8,$D$3)/1000</f>
        <v>#VALUE!</v>
      </c>
      <c r="AA31" s="172" t="e">
        <f>_xll.LVCELL($D$1,AA$3,$C31,$D$2,$C$4,$C$5,$C$6,$C$7,$C$8,$D$3)/1000</f>
        <v>#VALUE!</v>
      </c>
      <c r="AB31" s="172" t="e">
        <f>_xll.LVCELL($D$1,AB$3,$C31,$D$2,$C$4,$C$5,$C$6,$C$7,$C$8,$D$3)/1000</f>
        <v>#VALUE!</v>
      </c>
      <c r="AC31" s="172" t="e">
        <f>_xll.LVCELL($D$1,AC$3,$C31,$D$2,$C$4,$C$5,$C$6,$C$7,$C$8,$D$3)/1000</f>
        <v>#VALUE!</v>
      </c>
      <c r="AD31" s="172" t="e">
        <f>_xll.LVCELL($D$1,AD$2,$C31,$D$2,$C$4,$C$5,$C$6,$C$7,$C$8,$D$3)/1000</f>
        <v>#VALUE!</v>
      </c>
      <c r="AE31" s="172" t="e">
        <f t="shared" si="0"/>
        <v>#VALUE!</v>
      </c>
      <c r="AF31" s="193" t="e">
        <f t="shared" si="1"/>
        <v>#VALUE!</v>
      </c>
      <c r="AG31" s="172" t="s">
        <v>2719</v>
      </c>
      <c r="AH31" s="61" t="e">
        <f t="shared" si="2"/>
        <v>#VALUE!</v>
      </c>
      <c r="AI31" s="64" t="s">
        <v>2766</v>
      </c>
      <c r="AJ31" s="64" t="s">
        <v>314</v>
      </c>
      <c r="AK31" s="64" t="s">
        <v>314</v>
      </c>
      <c r="AL31" s="192" t="s">
        <v>541</v>
      </c>
      <c r="AM31" s="172" t="e">
        <f>_xll.LVCELL($AK$1,AM$3,$AK31,$AL$2,$AK$4,$AK$5,$AK$6,$AK$7,$AK$8,$AL$3)/1000</f>
        <v>#VALUE!</v>
      </c>
      <c r="AN31" s="172" t="e">
        <f>_xll.LVCELL($AK$1,AN$3,$AK31,$AL$2,$AK$4,$AK$5,$AK$6,$AK$7,$AK$8,$AL$3)/1000</f>
        <v>#VALUE!</v>
      </c>
      <c r="AO31" s="172" t="e">
        <f>_xll.LVCELL($AK$1,AO$3,$AK31,$AL$2,$AK$4,$AK$5,$AK$6,$AK$7,$AK$8,$AL$3)/1000</f>
        <v>#VALUE!</v>
      </c>
      <c r="AP31" s="172" t="e">
        <f>_xll.LVCELL($AK$1,AP$3,$AK31,$AL$2,$AK$4,$AK$5,$AK$6,$AK$7,$AK$8,$AL$3)/1000</f>
        <v>#VALUE!</v>
      </c>
      <c r="AQ31" s="172" t="e">
        <f>_xll.LVCELL($AK$1,AQ$3,$AK31,$AL$2,$AK$4,$AK$5,$AK$6,$AK$7,$AK$8,$AL$3)/1000</f>
        <v>#VALUE!</v>
      </c>
      <c r="AR31" s="172" t="e">
        <f>_xll.LVCELL($AK$1,AR$3,$AK31,$AL$2,$AK$4,$AK$5,$AK$6,$AK$7,$AK$8,$AL$3)/1000</f>
        <v>#VALUE!</v>
      </c>
      <c r="AS31" s="172" t="e">
        <f>_xll.LVCELL($AK$1,AS$3,$AK31,$AL$2,$AK$4,$AK$5,$AK$6,$AK$7,$AK$8,$AL$3)/1000</f>
        <v>#VALUE!</v>
      </c>
      <c r="AT31" s="172" t="e">
        <f>_xll.LVCELL($AK$1,AT$3,$AK31,$AL$2,$AK$4,$AK$5,$AK$6,$AK$7,$AK$8,$AL$3)/1000</f>
        <v>#VALUE!</v>
      </c>
      <c r="AU31" s="172" t="e">
        <f>_xll.LVCELL($AK$1,AU$3,$AK31,$AL$2,$AK$4,$AK$5,$AK$6,$AK$7,$AK$8,$AL$3)/1000</f>
        <v>#VALUE!</v>
      </c>
      <c r="AV31" s="172" t="e">
        <f>_xll.LVCELL($AK$1,AV$3,$AK31,$AL$2,$AK$4,$AK$5,$AK$6,$AK$7,$AK$8,$AL$3)/1000</f>
        <v>#VALUE!</v>
      </c>
      <c r="AW31" s="172" t="e">
        <f>_xll.LVCELL($AK$1,AW$3,$AK31,$AL$2,$AK$4,$AK$5,$AK$6,$AK$7,$AK$8,$AL$3)/1000</f>
        <v>#VALUE!</v>
      </c>
      <c r="AX31" s="172" t="e">
        <f>_xll.LVCELL($AK$1,AX$3,$AK31,$AL$2,$AK$4,$AK$5,$AK$6,$AK$7,$AK$8,$AL$3)/1000</f>
        <v>#VALUE!</v>
      </c>
      <c r="AY31" s="172" t="e">
        <f>_xll.LVCELL($AK$1,AY$2,$AK31,$AL$2,$AK$4,$AK$5,$AK$6,$AK$7,$AK$8,$AL$3)/1000</f>
        <v>#VALUE!</v>
      </c>
      <c r="AZ31" s="172" t="e">
        <f>_xll.LVCELL($AK$1,AZ$3,$AK31,$AL$2,$AK$4,$AK$5,$AK$6,$AK$7,$AK$8,$AL$3)/1000</f>
        <v>#VALUE!</v>
      </c>
      <c r="BA31" s="172" t="e">
        <f>_xll.LVCELL($AK$1,BA$3,$AK31,$AL$2,$AK$4,$AK$5,$AK$6,$AK$7,$AK$8,$AL$3)/1000</f>
        <v>#VALUE!</v>
      </c>
      <c r="BB31" s="172" t="e">
        <f>_xll.LVCELL($AK$1,BB$3,$AK31,$AL$2,$AK$4,$AK$5,$AK$6,$AK$7,$AK$8,$AL$3)/1000</f>
        <v>#VALUE!</v>
      </c>
      <c r="BC31" s="172" t="e">
        <f>_xll.LVCELL($AK$1,BC$3,$AK31,$AL$2,$AK$4,$AK$5,$AK$6,$AK$7,$AK$8,$AL$3)/1000</f>
        <v>#VALUE!</v>
      </c>
      <c r="BD31" s="172" t="e">
        <f>_xll.LVCELL($AK$1,BD$3,$AK31,$AL$2,$AK$4,$AK$5,$AK$6,$AK$7,$AK$8,$AL$3)/1000</f>
        <v>#VALUE!</v>
      </c>
      <c r="BE31" s="172" t="e">
        <f>_xll.LVCELL($AK$1,BE$3,$AK31,$AL$2,$AK$4,$AK$5,$AK$6,$AK$7,$AK$8,$AL$3)/1000</f>
        <v>#VALUE!</v>
      </c>
      <c r="BF31" s="172" t="e">
        <f>_xll.LVCELL($AK$1,BF$3,$AK31,$AL$2,$AK$4,$AK$5,$AK$6,$AK$7,$AK$8,$AL$3)/1000</f>
        <v>#VALUE!</v>
      </c>
      <c r="BG31" s="172" t="e">
        <f>_xll.LVCELL($AK$1,BG$3,$AK31,$AL$2,$AK$4,$AK$5,$AK$6,$AK$7,$AK$8,$AL$3)/1000</f>
        <v>#VALUE!</v>
      </c>
      <c r="BH31" s="172" t="e">
        <f>_xll.LVCELL($AK$1,BH$3,$AK31,$AL$2,$AK$4,$AK$5,$AK$6,$AK$7,$AK$8,$AL$3)/1000</f>
        <v>#VALUE!</v>
      </c>
      <c r="BI31" s="172" t="e">
        <f>_xll.LVCELL($AK$1,BI$3,$AK31,$AL$2,$AK$4,$AK$5,$AK$6,$AK$7,$AK$8,$AL$3)/1000</f>
        <v>#VALUE!</v>
      </c>
      <c r="BJ31" s="172" t="e">
        <f>_xll.LVCELL($AK$1,BJ$3,$AK31,$AL$2,$AK$4,$AK$5,$AK$6,$AK$7,$AK$8,$AL$3)/1000</f>
        <v>#VALUE!</v>
      </c>
      <c r="BK31" s="172" t="e">
        <f>_xll.LVCELL($AK$1,BK$3,$AK31,$AL$2,$AK$4,$AK$5,$AK$6,$AK$7,$AK$8,$AL$3)/1000</f>
        <v>#VALUE!</v>
      </c>
      <c r="BL31" s="172" t="e">
        <f>_xll.LVCELL($AK$1,BL$2,$AK31,$AL$2,$AK$4,$AK$5,$AK$6,$AK$7,$AK$8,$AL$3)/1000</f>
        <v>#VALUE!</v>
      </c>
      <c r="BM31" s="214" t="e">
        <f t="shared" si="3"/>
        <v>#VALUE!</v>
      </c>
      <c r="BN31" s="217" t="e">
        <f t="shared" si="4"/>
        <v>#VALUE!</v>
      </c>
      <c r="BO31" s="218" t="e">
        <f t="shared" si="4"/>
        <v>#VALUE!</v>
      </c>
      <c r="BP31" s="193" t="e">
        <f t="shared" si="5"/>
        <v>#VALUE!</v>
      </c>
      <c r="BQ31" s="190" t="s">
        <v>2686</v>
      </c>
      <c r="BS31" s="198">
        <f t="shared" si="6"/>
        <v>0</v>
      </c>
      <c r="BT31" s="198">
        <f t="shared" si="7"/>
        <v>0</v>
      </c>
      <c r="BU31" s="198">
        <f t="shared" si="8"/>
        <v>0</v>
      </c>
      <c r="BV31" s="199" t="str">
        <f t="shared" si="9"/>
        <v>N/A</v>
      </c>
      <c r="BX31" s="200" t="e">
        <f t="shared" si="10"/>
        <v>#VALUE!</v>
      </c>
      <c r="BY31" s="200" t="e">
        <f t="shared" si="11"/>
        <v>#VALUE!</v>
      </c>
      <c r="BZ31" s="200" t="e">
        <f t="shared" si="12"/>
        <v>#VALUE!</v>
      </c>
    </row>
    <row r="32" spans="2:78">
      <c r="B32" s="64" t="s">
        <v>216</v>
      </c>
      <c r="C32" s="64" t="s">
        <v>216</v>
      </c>
      <c r="D32" s="192" t="s">
        <v>2633</v>
      </c>
      <c r="E32" s="172" t="e">
        <f>_xll.LVCELL($D$1,E$3,$C32,$D$2,$C$4,$C$5,$C$6,$C$7,$C$8,$D$3)/1000</f>
        <v>#VALUE!</v>
      </c>
      <c r="F32" s="172" t="e">
        <f>_xll.LVCELL($D$1,F$3,$C32,$D$2,$C$4,$C$5,$C$6,$C$7,$C$8,$D$3)/1000</f>
        <v>#VALUE!</v>
      </c>
      <c r="G32" s="172" t="e">
        <f>_xll.LVCELL($D$1,G$3,$C32,$D$2,$C$4,$C$5,$C$6,$C$7,$C$8,$D$3)/1000</f>
        <v>#VALUE!</v>
      </c>
      <c r="H32" s="172" t="e">
        <f>_xll.LVCELL($D$1,H$3,$C32,$D$2,$C$4,$C$5,$C$6,$C$7,$C$8,$D$3)/1000</f>
        <v>#VALUE!</v>
      </c>
      <c r="I32" s="172" t="e">
        <f>_xll.LVCELL($D$1,I$3,$C32,$D$2,$C$4,$C$5,$C$6,$C$7,$C$8,$D$3)/1000</f>
        <v>#VALUE!</v>
      </c>
      <c r="J32" s="172" t="e">
        <f>_xll.LVCELL($D$1,J$3,$C32,$D$2,$C$4,$C$5,$C$6,$C$7,$C$8,$D$3)/1000</f>
        <v>#VALUE!</v>
      </c>
      <c r="K32" s="172" t="e">
        <f>_xll.LVCELL($D$1,K$3,$C32,$D$2,$C$4,$C$5,$C$6,$C$7,$C$8,$D$3)/1000</f>
        <v>#VALUE!</v>
      </c>
      <c r="L32" s="172" t="e">
        <f>_xll.LVCELL($D$1,L$3,$C32,$D$2,$C$4,$C$5,$C$6,$C$7,$C$8,$D$3)/1000</f>
        <v>#VALUE!</v>
      </c>
      <c r="M32" s="172" t="e">
        <f>_xll.LVCELL($D$1,M$3,$C32,$D$2,$C$4,$C$5,$C$6,$C$7,$C$8,$D$3)/1000</f>
        <v>#VALUE!</v>
      </c>
      <c r="N32" s="172" t="e">
        <f>_xll.LVCELL($D$1,N$3,$C32,$D$2,$C$4,$C$5,$C$6,$C$7,$C$8,$D$3)/1000</f>
        <v>#VALUE!</v>
      </c>
      <c r="O32" s="172" t="e">
        <f>_xll.LVCELL($D$1,O$3,$C32,$D$2,$C$4,$C$5,$C$6,$C$7,$C$8,$D$3)/1000</f>
        <v>#VALUE!</v>
      </c>
      <c r="P32" s="172" t="e">
        <f>_xll.LVCELL($D$1,P$3,$C32,$D$2,$C$4,$C$5,$C$6,$C$7,$C$8,$D$3)/1000</f>
        <v>#VALUE!</v>
      </c>
      <c r="Q32" s="172" t="e">
        <f>_xll.LVCELL($D$1,Q$2,$C32,$D$2,$C$4,$C$5,$C$6,$C$7,$C$8,$D$3)/1000</f>
        <v>#VALUE!</v>
      </c>
      <c r="R32" s="172" t="e">
        <f>_xll.LVCELL($D$1,R$3,$C32,$D$2,$C$4,$C$5,$C$6,$C$7,$C$8,$D$3)/1000</f>
        <v>#VALUE!</v>
      </c>
      <c r="S32" s="172" t="e">
        <f>_xll.LVCELL($D$1,S$3,$C32,$D$2,$C$4,$C$5,$C$6,$C$7,$C$8,$D$3)/1000</f>
        <v>#VALUE!</v>
      </c>
      <c r="T32" s="172" t="e">
        <f>_xll.LVCELL($D$1,T$3,$C32,$D$2,$C$4,$C$5,$C$6,$C$7,$C$8,$D$3)/1000</f>
        <v>#VALUE!</v>
      </c>
      <c r="U32" s="172" t="e">
        <f>_xll.LVCELL($D$1,U$3,$C32,$D$2,$C$4,$C$5,$C$6,$C$7,$C$8,$D$3)/1000</f>
        <v>#VALUE!</v>
      </c>
      <c r="V32" s="172" t="e">
        <f>_xll.LVCELL($D$1,V$3,$C32,$D$2,$C$4,$C$5,$C$6,$C$7,$C$8,$D$3)/1000</f>
        <v>#VALUE!</v>
      </c>
      <c r="W32" s="172" t="e">
        <f>_xll.LVCELL($D$1,W$3,$C32,$D$2,$C$4,$C$5,$C$6,$C$7,$C$8,$D$3)/1000</f>
        <v>#VALUE!</v>
      </c>
      <c r="X32" s="172" t="e">
        <f>_xll.LVCELL($D$1,X$3,$C32,$D$2,$C$4,$C$5,$C$6,$C$7,$C$8,$D$3)/1000</f>
        <v>#VALUE!</v>
      </c>
      <c r="Y32" s="172" t="e">
        <f>_xll.LVCELL($D$1,Y$3,$C32,$D$2,$C$4,$C$5,$C$6,$C$7,$C$8,$D$3)/1000</f>
        <v>#VALUE!</v>
      </c>
      <c r="Z32" s="172" t="e">
        <f>_xll.LVCELL($D$1,Z$3,$C32,$D$2,$C$4,$C$5,$C$6,$C$7,$C$8,$D$3)/1000</f>
        <v>#VALUE!</v>
      </c>
      <c r="AA32" s="172" t="e">
        <f>_xll.LVCELL($D$1,AA$3,$C32,$D$2,$C$4,$C$5,$C$6,$C$7,$C$8,$D$3)/1000</f>
        <v>#VALUE!</v>
      </c>
      <c r="AB32" s="172" t="e">
        <f>_xll.LVCELL($D$1,AB$3,$C32,$D$2,$C$4,$C$5,$C$6,$C$7,$C$8,$D$3)/1000</f>
        <v>#VALUE!</v>
      </c>
      <c r="AC32" s="172" t="e">
        <f>_xll.LVCELL($D$1,AC$3,$C32,$D$2,$C$4,$C$5,$C$6,$C$7,$C$8,$D$3)/1000</f>
        <v>#VALUE!</v>
      </c>
      <c r="AD32" s="172" t="e">
        <f>_xll.LVCELL($D$1,AD$2,$C32,$D$2,$C$4,$C$5,$C$6,$C$7,$C$8,$D$3)/1000</f>
        <v>#VALUE!</v>
      </c>
      <c r="AE32" s="172" t="e">
        <f t="shared" si="0"/>
        <v>#VALUE!</v>
      </c>
      <c r="AF32" s="193" t="e">
        <f t="shared" si="1"/>
        <v>#VALUE!</v>
      </c>
      <c r="AG32" s="172" t="s">
        <v>2720</v>
      </c>
      <c r="AH32" s="61" t="e">
        <f t="shared" si="2"/>
        <v>#VALUE!</v>
      </c>
      <c r="AI32" s="64" t="s">
        <v>2767</v>
      </c>
      <c r="AJ32" s="64" t="s">
        <v>216</v>
      </c>
      <c r="AK32" s="64" t="s">
        <v>216</v>
      </c>
      <c r="AL32" s="192" t="s">
        <v>2633</v>
      </c>
      <c r="AM32" s="172" t="e">
        <f>_xll.LVCELL($AK$1,AM$3,$AK32,$AL$2,$AK$4,$AK$5,$AK$6,$AK$7,$AK$8,$AL$3)/1000</f>
        <v>#VALUE!</v>
      </c>
      <c r="AN32" s="172" t="e">
        <f>_xll.LVCELL($AK$1,AN$3,$AK32,$AL$2,$AK$4,$AK$5,$AK$6,$AK$7,$AK$8,$AL$3)/1000</f>
        <v>#VALUE!</v>
      </c>
      <c r="AO32" s="172" t="e">
        <f>_xll.LVCELL($AK$1,AO$3,$AK32,$AL$2,$AK$4,$AK$5,$AK$6,$AK$7,$AK$8,$AL$3)/1000</f>
        <v>#VALUE!</v>
      </c>
      <c r="AP32" s="172" t="e">
        <f>_xll.LVCELL($AK$1,AP$3,$AK32,$AL$2,$AK$4,$AK$5,$AK$6,$AK$7,$AK$8,$AL$3)/1000</f>
        <v>#VALUE!</v>
      </c>
      <c r="AQ32" s="172" t="e">
        <f>_xll.LVCELL($AK$1,AQ$3,$AK32,$AL$2,$AK$4,$AK$5,$AK$6,$AK$7,$AK$8,$AL$3)/1000</f>
        <v>#VALUE!</v>
      </c>
      <c r="AR32" s="172" t="e">
        <f>_xll.LVCELL($AK$1,AR$3,$AK32,$AL$2,$AK$4,$AK$5,$AK$6,$AK$7,$AK$8,$AL$3)/1000</f>
        <v>#VALUE!</v>
      </c>
      <c r="AS32" s="172" t="e">
        <f>_xll.LVCELL($AK$1,AS$3,$AK32,$AL$2,$AK$4,$AK$5,$AK$6,$AK$7,$AK$8,$AL$3)/1000</f>
        <v>#VALUE!</v>
      </c>
      <c r="AT32" s="172" t="e">
        <f>_xll.LVCELL($AK$1,AT$3,$AK32,$AL$2,$AK$4,$AK$5,$AK$6,$AK$7,$AK$8,$AL$3)/1000</f>
        <v>#VALUE!</v>
      </c>
      <c r="AU32" s="172" t="e">
        <f>_xll.LVCELL($AK$1,AU$3,$AK32,$AL$2,$AK$4,$AK$5,$AK$6,$AK$7,$AK$8,$AL$3)/1000</f>
        <v>#VALUE!</v>
      </c>
      <c r="AV32" s="172" t="e">
        <f>_xll.LVCELL($AK$1,AV$3,$AK32,$AL$2,$AK$4,$AK$5,$AK$6,$AK$7,$AK$8,$AL$3)/1000</f>
        <v>#VALUE!</v>
      </c>
      <c r="AW32" s="172" t="e">
        <f>_xll.LVCELL($AK$1,AW$3,$AK32,$AL$2,$AK$4,$AK$5,$AK$6,$AK$7,$AK$8,$AL$3)/1000</f>
        <v>#VALUE!</v>
      </c>
      <c r="AX32" s="172" t="e">
        <f>_xll.LVCELL($AK$1,AX$3,$AK32,$AL$2,$AK$4,$AK$5,$AK$6,$AK$7,$AK$8,$AL$3)/1000</f>
        <v>#VALUE!</v>
      </c>
      <c r="AY32" s="172" t="e">
        <f>_xll.LVCELL($AK$1,AY$2,$AK32,$AL$2,$AK$4,$AK$5,$AK$6,$AK$7,$AK$8,$AL$3)/1000</f>
        <v>#VALUE!</v>
      </c>
      <c r="AZ32" s="172" t="e">
        <f>_xll.LVCELL($AK$1,AZ$3,$AK32,$AL$2,$AK$4,$AK$5,$AK$6,$AK$7,$AK$8,$AL$3)/1000</f>
        <v>#VALUE!</v>
      </c>
      <c r="BA32" s="172" t="e">
        <f>_xll.LVCELL($AK$1,BA$3,$AK32,$AL$2,$AK$4,$AK$5,$AK$6,$AK$7,$AK$8,$AL$3)/1000</f>
        <v>#VALUE!</v>
      </c>
      <c r="BB32" s="172" t="e">
        <f>_xll.LVCELL($AK$1,BB$3,$AK32,$AL$2,$AK$4,$AK$5,$AK$6,$AK$7,$AK$8,$AL$3)/1000</f>
        <v>#VALUE!</v>
      </c>
      <c r="BC32" s="172" t="e">
        <f>_xll.LVCELL($AK$1,BC$3,$AK32,$AL$2,$AK$4,$AK$5,$AK$6,$AK$7,$AK$8,$AL$3)/1000</f>
        <v>#VALUE!</v>
      </c>
      <c r="BD32" s="172" t="e">
        <f>_xll.LVCELL($AK$1,BD$3,$AK32,$AL$2,$AK$4,$AK$5,$AK$6,$AK$7,$AK$8,$AL$3)/1000</f>
        <v>#VALUE!</v>
      </c>
      <c r="BE32" s="172" t="e">
        <f>_xll.LVCELL($AK$1,BE$3,$AK32,$AL$2,$AK$4,$AK$5,$AK$6,$AK$7,$AK$8,$AL$3)/1000</f>
        <v>#VALUE!</v>
      </c>
      <c r="BF32" s="172" t="e">
        <f>_xll.LVCELL($AK$1,BF$3,$AK32,$AL$2,$AK$4,$AK$5,$AK$6,$AK$7,$AK$8,$AL$3)/1000</f>
        <v>#VALUE!</v>
      </c>
      <c r="BG32" s="172" t="e">
        <f>_xll.LVCELL($AK$1,BG$3,$AK32,$AL$2,$AK$4,$AK$5,$AK$6,$AK$7,$AK$8,$AL$3)/1000</f>
        <v>#VALUE!</v>
      </c>
      <c r="BH32" s="172" t="e">
        <f>_xll.LVCELL($AK$1,BH$3,$AK32,$AL$2,$AK$4,$AK$5,$AK$6,$AK$7,$AK$8,$AL$3)/1000</f>
        <v>#VALUE!</v>
      </c>
      <c r="BI32" s="172" t="e">
        <f>_xll.LVCELL($AK$1,BI$3,$AK32,$AL$2,$AK$4,$AK$5,$AK$6,$AK$7,$AK$8,$AL$3)/1000</f>
        <v>#VALUE!</v>
      </c>
      <c r="BJ32" s="172" t="e">
        <f>_xll.LVCELL($AK$1,BJ$3,$AK32,$AL$2,$AK$4,$AK$5,$AK$6,$AK$7,$AK$8,$AL$3)/1000</f>
        <v>#VALUE!</v>
      </c>
      <c r="BK32" s="172" t="e">
        <f>_xll.LVCELL($AK$1,BK$3,$AK32,$AL$2,$AK$4,$AK$5,$AK$6,$AK$7,$AK$8,$AL$3)/1000</f>
        <v>#VALUE!</v>
      </c>
      <c r="BL32" s="172" t="e">
        <f>_xll.LVCELL($AK$1,BL$2,$AK32,$AL$2,$AK$4,$AK$5,$AK$6,$AK$7,$AK$8,$AL$3)/1000</f>
        <v>#VALUE!</v>
      </c>
      <c r="BM32" s="214" t="e">
        <f t="shared" si="3"/>
        <v>#VALUE!</v>
      </c>
      <c r="BN32" s="217" t="e">
        <f t="shared" si="4"/>
        <v>#VALUE!</v>
      </c>
      <c r="BO32" s="218" t="e">
        <f t="shared" si="4"/>
        <v>#VALUE!</v>
      </c>
      <c r="BP32" s="193" t="e">
        <f t="shared" si="5"/>
        <v>#VALUE!</v>
      </c>
      <c r="BQ32" s="190" t="s">
        <v>2686</v>
      </c>
      <c r="BS32" s="198">
        <f t="shared" si="6"/>
        <v>0</v>
      </c>
      <c r="BT32" s="198">
        <f t="shared" si="7"/>
        <v>0</v>
      </c>
      <c r="BU32" s="198">
        <f t="shared" si="8"/>
        <v>0</v>
      </c>
      <c r="BV32" s="199" t="str">
        <f t="shared" si="9"/>
        <v>N/A</v>
      </c>
      <c r="BX32" s="200" t="e">
        <f t="shared" si="10"/>
        <v>#VALUE!</v>
      </c>
      <c r="BY32" s="200" t="e">
        <f t="shared" si="11"/>
        <v>#VALUE!</v>
      </c>
      <c r="BZ32" s="200" t="e">
        <f t="shared" si="12"/>
        <v>#VALUE!</v>
      </c>
    </row>
    <row r="33" spans="2:78">
      <c r="B33" s="64" t="s">
        <v>262</v>
      </c>
      <c r="C33" s="64" t="s">
        <v>262</v>
      </c>
      <c r="D33" s="192" t="s">
        <v>2634</v>
      </c>
      <c r="E33" s="172" t="e">
        <f>_xll.LVCELL($D$1,E$3,$C33,$D$2,$C$4,$C$5,$C$6,$C$7,$C$8,$D$3)/1000</f>
        <v>#VALUE!</v>
      </c>
      <c r="F33" s="172" t="e">
        <f>_xll.LVCELL($D$1,F$3,$C33,$D$2,$C$4,$C$5,$C$6,$C$7,$C$8,$D$3)/1000</f>
        <v>#VALUE!</v>
      </c>
      <c r="G33" s="172" t="e">
        <f>_xll.LVCELL($D$1,G$3,$C33,$D$2,$C$4,$C$5,$C$6,$C$7,$C$8,$D$3)/1000</f>
        <v>#VALUE!</v>
      </c>
      <c r="H33" s="172" t="e">
        <f>_xll.LVCELL($D$1,H$3,$C33,$D$2,$C$4,$C$5,$C$6,$C$7,$C$8,$D$3)/1000</f>
        <v>#VALUE!</v>
      </c>
      <c r="I33" s="172" t="e">
        <f>_xll.LVCELL($D$1,I$3,$C33,$D$2,$C$4,$C$5,$C$6,$C$7,$C$8,$D$3)/1000</f>
        <v>#VALUE!</v>
      </c>
      <c r="J33" s="172" t="e">
        <f>_xll.LVCELL($D$1,J$3,$C33,$D$2,$C$4,$C$5,$C$6,$C$7,$C$8,$D$3)/1000</f>
        <v>#VALUE!</v>
      </c>
      <c r="K33" s="172" t="e">
        <f>_xll.LVCELL($D$1,K$3,$C33,$D$2,$C$4,$C$5,$C$6,$C$7,$C$8,$D$3)/1000</f>
        <v>#VALUE!</v>
      </c>
      <c r="L33" s="172" t="e">
        <f>_xll.LVCELL($D$1,L$3,$C33,$D$2,$C$4,$C$5,$C$6,$C$7,$C$8,$D$3)/1000</f>
        <v>#VALUE!</v>
      </c>
      <c r="M33" s="172" t="e">
        <f>_xll.LVCELL($D$1,M$3,$C33,$D$2,$C$4,$C$5,$C$6,$C$7,$C$8,$D$3)/1000</f>
        <v>#VALUE!</v>
      </c>
      <c r="N33" s="172" t="e">
        <f>_xll.LVCELL($D$1,N$3,$C33,$D$2,$C$4,$C$5,$C$6,$C$7,$C$8,$D$3)/1000</f>
        <v>#VALUE!</v>
      </c>
      <c r="O33" s="172" t="e">
        <f>_xll.LVCELL($D$1,O$3,$C33,$D$2,$C$4,$C$5,$C$6,$C$7,$C$8,$D$3)/1000</f>
        <v>#VALUE!</v>
      </c>
      <c r="P33" s="172" t="e">
        <f>_xll.LVCELL($D$1,P$3,$C33,$D$2,$C$4,$C$5,$C$6,$C$7,$C$8,$D$3)/1000</f>
        <v>#VALUE!</v>
      </c>
      <c r="Q33" s="172" t="e">
        <f>_xll.LVCELL($D$1,Q$2,$C33,$D$2,$C$4,$C$5,$C$6,$C$7,$C$8,$D$3)/1000</f>
        <v>#VALUE!</v>
      </c>
      <c r="R33" s="172" t="e">
        <f>_xll.LVCELL($D$1,R$3,$C33,$D$2,$C$4,$C$5,$C$6,$C$7,$C$8,$D$3)/1000</f>
        <v>#VALUE!</v>
      </c>
      <c r="S33" s="172" t="e">
        <f>_xll.LVCELL($D$1,S$3,$C33,$D$2,$C$4,$C$5,$C$6,$C$7,$C$8,$D$3)/1000</f>
        <v>#VALUE!</v>
      </c>
      <c r="T33" s="172" t="e">
        <f>_xll.LVCELL($D$1,T$3,$C33,$D$2,$C$4,$C$5,$C$6,$C$7,$C$8,$D$3)/1000</f>
        <v>#VALUE!</v>
      </c>
      <c r="U33" s="172" t="e">
        <f>_xll.LVCELL($D$1,U$3,$C33,$D$2,$C$4,$C$5,$C$6,$C$7,$C$8,$D$3)/1000</f>
        <v>#VALUE!</v>
      </c>
      <c r="V33" s="172" t="e">
        <f>_xll.LVCELL($D$1,V$3,$C33,$D$2,$C$4,$C$5,$C$6,$C$7,$C$8,$D$3)/1000</f>
        <v>#VALUE!</v>
      </c>
      <c r="W33" s="172" t="e">
        <f>_xll.LVCELL($D$1,W$3,$C33,$D$2,$C$4,$C$5,$C$6,$C$7,$C$8,$D$3)/1000</f>
        <v>#VALUE!</v>
      </c>
      <c r="X33" s="172" t="e">
        <f>_xll.LVCELL($D$1,X$3,$C33,$D$2,$C$4,$C$5,$C$6,$C$7,$C$8,$D$3)/1000</f>
        <v>#VALUE!</v>
      </c>
      <c r="Y33" s="172" t="e">
        <f>_xll.LVCELL($D$1,Y$3,$C33,$D$2,$C$4,$C$5,$C$6,$C$7,$C$8,$D$3)/1000</f>
        <v>#VALUE!</v>
      </c>
      <c r="Z33" s="172" t="e">
        <f>_xll.LVCELL($D$1,Z$3,$C33,$D$2,$C$4,$C$5,$C$6,$C$7,$C$8,$D$3)/1000</f>
        <v>#VALUE!</v>
      </c>
      <c r="AA33" s="172" t="e">
        <f>_xll.LVCELL($D$1,AA$3,$C33,$D$2,$C$4,$C$5,$C$6,$C$7,$C$8,$D$3)/1000</f>
        <v>#VALUE!</v>
      </c>
      <c r="AB33" s="172" t="e">
        <f>_xll.LVCELL($D$1,AB$3,$C33,$D$2,$C$4,$C$5,$C$6,$C$7,$C$8,$D$3)/1000</f>
        <v>#VALUE!</v>
      </c>
      <c r="AC33" s="172" t="e">
        <f>_xll.LVCELL($D$1,AC$3,$C33,$D$2,$C$4,$C$5,$C$6,$C$7,$C$8,$D$3)/1000</f>
        <v>#VALUE!</v>
      </c>
      <c r="AD33" s="172" t="e">
        <f>_xll.LVCELL($D$1,AD$2,$C33,$D$2,$C$4,$C$5,$C$6,$C$7,$C$8,$D$3)/1000</f>
        <v>#VALUE!</v>
      </c>
      <c r="AE33" s="172" t="e">
        <f t="shared" si="0"/>
        <v>#VALUE!</v>
      </c>
      <c r="AF33" s="193" t="e">
        <f t="shared" si="1"/>
        <v>#VALUE!</v>
      </c>
      <c r="AG33" s="172" t="s">
        <v>2720</v>
      </c>
      <c r="AH33" s="61" t="e">
        <f t="shared" si="2"/>
        <v>#VALUE!</v>
      </c>
      <c r="AI33" s="64" t="s">
        <v>2767</v>
      </c>
      <c r="AJ33" s="64" t="s">
        <v>262</v>
      </c>
      <c r="AK33" s="64" t="s">
        <v>262</v>
      </c>
      <c r="AL33" s="192" t="s">
        <v>2634</v>
      </c>
      <c r="AM33" s="172" t="e">
        <f>_xll.LVCELL($AK$1,AM$3,$AK33,$AL$2,$AK$4,$AK$5,$AK$6,$AK$7,$AK$8,$AL$3)/1000</f>
        <v>#VALUE!</v>
      </c>
      <c r="AN33" s="172" t="e">
        <f>_xll.LVCELL($AK$1,AN$3,$AK33,$AL$2,$AK$4,$AK$5,$AK$6,$AK$7,$AK$8,$AL$3)/1000</f>
        <v>#VALUE!</v>
      </c>
      <c r="AO33" s="172" t="e">
        <f>_xll.LVCELL($AK$1,AO$3,$AK33,$AL$2,$AK$4,$AK$5,$AK$6,$AK$7,$AK$8,$AL$3)/1000</f>
        <v>#VALUE!</v>
      </c>
      <c r="AP33" s="172" t="e">
        <f>_xll.LVCELL($AK$1,AP$3,$AK33,$AL$2,$AK$4,$AK$5,$AK$6,$AK$7,$AK$8,$AL$3)/1000</f>
        <v>#VALUE!</v>
      </c>
      <c r="AQ33" s="172" t="e">
        <f>_xll.LVCELL($AK$1,AQ$3,$AK33,$AL$2,$AK$4,$AK$5,$AK$6,$AK$7,$AK$8,$AL$3)/1000</f>
        <v>#VALUE!</v>
      </c>
      <c r="AR33" s="172" t="e">
        <f>_xll.LVCELL($AK$1,AR$3,$AK33,$AL$2,$AK$4,$AK$5,$AK$6,$AK$7,$AK$8,$AL$3)/1000</f>
        <v>#VALUE!</v>
      </c>
      <c r="AS33" s="172" t="e">
        <f>_xll.LVCELL($AK$1,AS$3,$AK33,$AL$2,$AK$4,$AK$5,$AK$6,$AK$7,$AK$8,$AL$3)/1000</f>
        <v>#VALUE!</v>
      </c>
      <c r="AT33" s="172" t="e">
        <f>_xll.LVCELL($AK$1,AT$3,$AK33,$AL$2,$AK$4,$AK$5,$AK$6,$AK$7,$AK$8,$AL$3)/1000</f>
        <v>#VALUE!</v>
      </c>
      <c r="AU33" s="172" t="e">
        <f>_xll.LVCELL($AK$1,AU$3,$AK33,$AL$2,$AK$4,$AK$5,$AK$6,$AK$7,$AK$8,$AL$3)/1000</f>
        <v>#VALUE!</v>
      </c>
      <c r="AV33" s="172" t="e">
        <f>_xll.LVCELL($AK$1,AV$3,$AK33,$AL$2,$AK$4,$AK$5,$AK$6,$AK$7,$AK$8,$AL$3)/1000</f>
        <v>#VALUE!</v>
      </c>
      <c r="AW33" s="172" t="e">
        <f>_xll.LVCELL($AK$1,AW$3,$AK33,$AL$2,$AK$4,$AK$5,$AK$6,$AK$7,$AK$8,$AL$3)/1000</f>
        <v>#VALUE!</v>
      </c>
      <c r="AX33" s="172" t="e">
        <f>_xll.LVCELL($AK$1,AX$3,$AK33,$AL$2,$AK$4,$AK$5,$AK$6,$AK$7,$AK$8,$AL$3)/1000</f>
        <v>#VALUE!</v>
      </c>
      <c r="AY33" s="172" t="e">
        <f>_xll.LVCELL($AK$1,AY$2,$AK33,$AL$2,$AK$4,$AK$5,$AK$6,$AK$7,$AK$8,$AL$3)/1000</f>
        <v>#VALUE!</v>
      </c>
      <c r="AZ33" s="172" t="e">
        <f>_xll.LVCELL($AK$1,AZ$3,$AK33,$AL$2,$AK$4,$AK$5,$AK$6,$AK$7,$AK$8,$AL$3)/1000</f>
        <v>#VALUE!</v>
      </c>
      <c r="BA33" s="172" t="e">
        <f>_xll.LVCELL($AK$1,BA$3,$AK33,$AL$2,$AK$4,$AK$5,$AK$6,$AK$7,$AK$8,$AL$3)/1000</f>
        <v>#VALUE!</v>
      </c>
      <c r="BB33" s="172" t="e">
        <f>_xll.LVCELL($AK$1,BB$3,$AK33,$AL$2,$AK$4,$AK$5,$AK$6,$AK$7,$AK$8,$AL$3)/1000</f>
        <v>#VALUE!</v>
      </c>
      <c r="BC33" s="172" t="e">
        <f>_xll.LVCELL($AK$1,BC$3,$AK33,$AL$2,$AK$4,$AK$5,$AK$6,$AK$7,$AK$8,$AL$3)/1000</f>
        <v>#VALUE!</v>
      </c>
      <c r="BD33" s="172" t="e">
        <f>_xll.LVCELL($AK$1,BD$3,$AK33,$AL$2,$AK$4,$AK$5,$AK$6,$AK$7,$AK$8,$AL$3)/1000</f>
        <v>#VALUE!</v>
      </c>
      <c r="BE33" s="172" t="e">
        <f>_xll.LVCELL($AK$1,BE$3,$AK33,$AL$2,$AK$4,$AK$5,$AK$6,$AK$7,$AK$8,$AL$3)/1000</f>
        <v>#VALUE!</v>
      </c>
      <c r="BF33" s="172" t="e">
        <f>_xll.LVCELL($AK$1,BF$3,$AK33,$AL$2,$AK$4,$AK$5,$AK$6,$AK$7,$AK$8,$AL$3)/1000</f>
        <v>#VALUE!</v>
      </c>
      <c r="BG33" s="172" t="e">
        <f>_xll.LVCELL($AK$1,BG$3,$AK33,$AL$2,$AK$4,$AK$5,$AK$6,$AK$7,$AK$8,$AL$3)/1000</f>
        <v>#VALUE!</v>
      </c>
      <c r="BH33" s="172" t="e">
        <f>_xll.LVCELL($AK$1,BH$3,$AK33,$AL$2,$AK$4,$AK$5,$AK$6,$AK$7,$AK$8,$AL$3)/1000</f>
        <v>#VALUE!</v>
      </c>
      <c r="BI33" s="172" t="e">
        <f>_xll.LVCELL($AK$1,BI$3,$AK33,$AL$2,$AK$4,$AK$5,$AK$6,$AK$7,$AK$8,$AL$3)/1000</f>
        <v>#VALUE!</v>
      </c>
      <c r="BJ33" s="172" t="e">
        <f>_xll.LVCELL($AK$1,BJ$3,$AK33,$AL$2,$AK$4,$AK$5,$AK$6,$AK$7,$AK$8,$AL$3)/1000</f>
        <v>#VALUE!</v>
      </c>
      <c r="BK33" s="172" t="e">
        <f>_xll.LVCELL($AK$1,BK$3,$AK33,$AL$2,$AK$4,$AK$5,$AK$6,$AK$7,$AK$8,$AL$3)/1000</f>
        <v>#VALUE!</v>
      </c>
      <c r="BL33" s="172" t="e">
        <f>_xll.LVCELL($AK$1,BL$2,$AK33,$AL$2,$AK$4,$AK$5,$AK$6,$AK$7,$AK$8,$AL$3)/1000</f>
        <v>#VALUE!</v>
      </c>
      <c r="BM33" s="214" t="e">
        <f t="shared" si="3"/>
        <v>#VALUE!</v>
      </c>
      <c r="BN33" s="217" t="e">
        <f t="shared" si="4"/>
        <v>#VALUE!</v>
      </c>
      <c r="BO33" s="218" t="e">
        <f t="shared" si="4"/>
        <v>#VALUE!</v>
      </c>
      <c r="BP33" s="193" t="e">
        <f t="shared" si="5"/>
        <v>#VALUE!</v>
      </c>
      <c r="BQ33" s="190" t="s">
        <v>2685</v>
      </c>
      <c r="BS33" s="198">
        <f t="shared" si="6"/>
        <v>0</v>
      </c>
      <c r="BT33" s="198">
        <f t="shared" si="7"/>
        <v>0</v>
      </c>
      <c r="BU33" s="198">
        <f t="shared" si="8"/>
        <v>0</v>
      </c>
      <c r="BV33" s="199" t="str">
        <f t="shared" si="9"/>
        <v>N/A</v>
      </c>
      <c r="BX33" s="200" t="e">
        <f t="shared" si="10"/>
        <v>#VALUE!</v>
      </c>
      <c r="BY33" s="200" t="e">
        <f t="shared" si="11"/>
        <v>#VALUE!</v>
      </c>
      <c r="BZ33" s="200" t="e">
        <f t="shared" si="12"/>
        <v>#VALUE!</v>
      </c>
    </row>
    <row r="34" spans="2:78">
      <c r="B34" s="64" t="s">
        <v>263</v>
      </c>
      <c r="C34" s="64" t="s">
        <v>263</v>
      </c>
      <c r="D34" s="192" t="s">
        <v>546</v>
      </c>
      <c r="E34" s="172" t="e">
        <f>_xll.LVCELL($D$1,E$3,$C34,$D$2,$C$4,$C$5,$C$6,$C$7,$C$8,$D$3)/1000</f>
        <v>#VALUE!</v>
      </c>
      <c r="F34" s="172" t="e">
        <f>_xll.LVCELL($D$1,F$3,$C34,$D$2,$C$4,$C$5,$C$6,$C$7,$C$8,$D$3)/1000</f>
        <v>#VALUE!</v>
      </c>
      <c r="G34" s="172" t="e">
        <f>_xll.LVCELL($D$1,G$3,$C34,$D$2,$C$4,$C$5,$C$6,$C$7,$C$8,$D$3)/1000</f>
        <v>#VALUE!</v>
      </c>
      <c r="H34" s="172" t="e">
        <f>_xll.LVCELL($D$1,H$3,$C34,$D$2,$C$4,$C$5,$C$6,$C$7,$C$8,$D$3)/1000</f>
        <v>#VALUE!</v>
      </c>
      <c r="I34" s="172" t="e">
        <f>_xll.LVCELL($D$1,I$3,$C34,$D$2,$C$4,$C$5,$C$6,$C$7,$C$8,$D$3)/1000</f>
        <v>#VALUE!</v>
      </c>
      <c r="J34" s="172" t="e">
        <f>_xll.LVCELL($D$1,J$3,$C34,$D$2,$C$4,$C$5,$C$6,$C$7,$C$8,$D$3)/1000</f>
        <v>#VALUE!</v>
      </c>
      <c r="K34" s="172" t="e">
        <f>_xll.LVCELL($D$1,K$3,$C34,$D$2,$C$4,$C$5,$C$6,$C$7,$C$8,$D$3)/1000</f>
        <v>#VALUE!</v>
      </c>
      <c r="L34" s="172" t="e">
        <f>_xll.LVCELL($D$1,L$3,$C34,$D$2,$C$4,$C$5,$C$6,$C$7,$C$8,$D$3)/1000</f>
        <v>#VALUE!</v>
      </c>
      <c r="M34" s="172" t="e">
        <f>_xll.LVCELL($D$1,M$3,$C34,$D$2,$C$4,$C$5,$C$6,$C$7,$C$8,$D$3)/1000</f>
        <v>#VALUE!</v>
      </c>
      <c r="N34" s="172" t="e">
        <f>_xll.LVCELL($D$1,N$3,$C34,$D$2,$C$4,$C$5,$C$6,$C$7,$C$8,$D$3)/1000</f>
        <v>#VALUE!</v>
      </c>
      <c r="O34" s="172" t="e">
        <f>_xll.LVCELL($D$1,O$3,$C34,$D$2,$C$4,$C$5,$C$6,$C$7,$C$8,$D$3)/1000</f>
        <v>#VALUE!</v>
      </c>
      <c r="P34" s="172" t="e">
        <f>_xll.LVCELL($D$1,P$3,$C34,$D$2,$C$4,$C$5,$C$6,$C$7,$C$8,$D$3)/1000</f>
        <v>#VALUE!</v>
      </c>
      <c r="Q34" s="172" t="e">
        <f>_xll.LVCELL($D$1,Q$2,$C34,$D$2,$C$4,$C$5,$C$6,$C$7,$C$8,$D$3)/1000</f>
        <v>#VALUE!</v>
      </c>
      <c r="R34" s="172" t="e">
        <f>_xll.LVCELL($D$1,R$3,$C34,$D$2,$C$4,$C$5,$C$6,$C$7,$C$8,$D$3)/1000</f>
        <v>#VALUE!</v>
      </c>
      <c r="S34" s="172" t="e">
        <f>_xll.LVCELL($D$1,S$3,$C34,$D$2,$C$4,$C$5,$C$6,$C$7,$C$8,$D$3)/1000</f>
        <v>#VALUE!</v>
      </c>
      <c r="T34" s="172" t="e">
        <f>_xll.LVCELL($D$1,T$3,$C34,$D$2,$C$4,$C$5,$C$6,$C$7,$C$8,$D$3)/1000</f>
        <v>#VALUE!</v>
      </c>
      <c r="U34" s="172" t="e">
        <f>_xll.LVCELL($D$1,U$3,$C34,$D$2,$C$4,$C$5,$C$6,$C$7,$C$8,$D$3)/1000</f>
        <v>#VALUE!</v>
      </c>
      <c r="V34" s="172" t="e">
        <f>_xll.LVCELL($D$1,V$3,$C34,$D$2,$C$4,$C$5,$C$6,$C$7,$C$8,$D$3)/1000</f>
        <v>#VALUE!</v>
      </c>
      <c r="W34" s="172" t="e">
        <f>_xll.LVCELL($D$1,W$3,$C34,$D$2,$C$4,$C$5,$C$6,$C$7,$C$8,$D$3)/1000</f>
        <v>#VALUE!</v>
      </c>
      <c r="X34" s="172" t="e">
        <f>_xll.LVCELL($D$1,X$3,$C34,$D$2,$C$4,$C$5,$C$6,$C$7,$C$8,$D$3)/1000</f>
        <v>#VALUE!</v>
      </c>
      <c r="Y34" s="172" t="e">
        <f>_xll.LVCELL($D$1,Y$3,$C34,$D$2,$C$4,$C$5,$C$6,$C$7,$C$8,$D$3)/1000</f>
        <v>#VALUE!</v>
      </c>
      <c r="Z34" s="172" t="e">
        <f>_xll.LVCELL($D$1,Z$3,$C34,$D$2,$C$4,$C$5,$C$6,$C$7,$C$8,$D$3)/1000</f>
        <v>#VALUE!</v>
      </c>
      <c r="AA34" s="172" t="e">
        <f>_xll.LVCELL($D$1,AA$3,$C34,$D$2,$C$4,$C$5,$C$6,$C$7,$C$8,$D$3)/1000</f>
        <v>#VALUE!</v>
      </c>
      <c r="AB34" s="172" t="e">
        <f>_xll.LVCELL($D$1,AB$3,$C34,$D$2,$C$4,$C$5,$C$6,$C$7,$C$8,$D$3)/1000</f>
        <v>#VALUE!</v>
      </c>
      <c r="AC34" s="172" t="e">
        <f>_xll.LVCELL($D$1,AC$3,$C34,$D$2,$C$4,$C$5,$C$6,$C$7,$C$8,$D$3)/1000</f>
        <v>#VALUE!</v>
      </c>
      <c r="AD34" s="172" t="e">
        <f>_xll.LVCELL($D$1,AD$2,$C34,$D$2,$C$4,$C$5,$C$6,$C$7,$C$8,$D$3)/1000</f>
        <v>#VALUE!</v>
      </c>
      <c r="AE34" s="172" t="e">
        <f t="shared" si="0"/>
        <v>#VALUE!</v>
      </c>
      <c r="AF34" s="193" t="e">
        <f t="shared" si="1"/>
        <v>#VALUE!</v>
      </c>
      <c r="AG34" s="172" t="s">
        <v>2721</v>
      </c>
      <c r="AH34" s="61" t="e">
        <f t="shared" si="2"/>
        <v>#VALUE!</v>
      </c>
      <c r="AI34" s="64" t="s">
        <v>2766</v>
      </c>
      <c r="AJ34" s="64" t="s">
        <v>263</v>
      </c>
      <c r="AK34" s="64" t="s">
        <v>263</v>
      </c>
      <c r="AL34" s="192" t="s">
        <v>546</v>
      </c>
      <c r="AM34" s="172" t="e">
        <f>_xll.LVCELL($AK$1,AM$3,$AK34,$AL$2,$AK$4,$AK$5,$AK$6,$AK$7,$AK$8,$AL$3)/1000</f>
        <v>#VALUE!</v>
      </c>
      <c r="AN34" s="172" t="e">
        <f>_xll.LVCELL($AK$1,AN$3,$AK34,$AL$2,$AK$4,$AK$5,$AK$6,$AK$7,$AK$8,$AL$3)/1000</f>
        <v>#VALUE!</v>
      </c>
      <c r="AO34" s="172" t="e">
        <f>_xll.LVCELL($AK$1,AO$3,$AK34,$AL$2,$AK$4,$AK$5,$AK$6,$AK$7,$AK$8,$AL$3)/1000</f>
        <v>#VALUE!</v>
      </c>
      <c r="AP34" s="172" t="e">
        <f>_xll.LVCELL($AK$1,AP$3,$AK34,$AL$2,$AK$4,$AK$5,$AK$6,$AK$7,$AK$8,$AL$3)/1000</f>
        <v>#VALUE!</v>
      </c>
      <c r="AQ34" s="172" t="e">
        <f>_xll.LVCELL($AK$1,AQ$3,$AK34,$AL$2,$AK$4,$AK$5,$AK$6,$AK$7,$AK$8,$AL$3)/1000</f>
        <v>#VALUE!</v>
      </c>
      <c r="AR34" s="172" t="e">
        <f>_xll.LVCELL($AK$1,AR$3,$AK34,$AL$2,$AK$4,$AK$5,$AK$6,$AK$7,$AK$8,$AL$3)/1000</f>
        <v>#VALUE!</v>
      </c>
      <c r="AS34" s="172" t="e">
        <f>_xll.LVCELL($AK$1,AS$3,$AK34,$AL$2,$AK$4,$AK$5,$AK$6,$AK$7,$AK$8,$AL$3)/1000</f>
        <v>#VALUE!</v>
      </c>
      <c r="AT34" s="172" t="e">
        <f>_xll.LVCELL($AK$1,AT$3,$AK34,$AL$2,$AK$4,$AK$5,$AK$6,$AK$7,$AK$8,$AL$3)/1000</f>
        <v>#VALUE!</v>
      </c>
      <c r="AU34" s="172" t="e">
        <f>_xll.LVCELL($AK$1,AU$3,$AK34,$AL$2,$AK$4,$AK$5,$AK$6,$AK$7,$AK$8,$AL$3)/1000</f>
        <v>#VALUE!</v>
      </c>
      <c r="AV34" s="172" t="e">
        <f>_xll.LVCELL($AK$1,AV$3,$AK34,$AL$2,$AK$4,$AK$5,$AK$6,$AK$7,$AK$8,$AL$3)/1000</f>
        <v>#VALUE!</v>
      </c>
      <c r="AW34" s="172" t="e">
        <f>_xll.LVCELL($AK$1,AW$3,$AK34,$AL$2,$AK$4,$AK$5,$AK$6,$AK$7,$AK$8,$AL$3)/1000</f>
        <v>#VALUE!</v>
      </c>
      <c r="AX34" s="172" t="e">
        <f>_xll.LVCELL($AK$1,AX$3,$AK34,$AL$2,$AK$4,$AK$5,$AK$6,$AK$7,$AK$8,$AL$3)/1000</f>
        <v>#VALUE!</v>
      </c>
      <c r="AY34" s="172" t="e">
        <f>_xll.LVCELL($AK$1,AY$2,$AK34,$AL$2,$AK$4,$AK$5,$AK$6,$AK$7,$AK$8,$AL$3)/1000</f>
        <v>#VALUE!</v>
      </c>
      <c r="AZ34" s="172" t="e">
        <f>_xll.LVCELL($AK$1,AZ$3,$AK34,$AL$2,$AK$4,$AK$5,$AK$6,$AK$7,$AK$8,$AL$3)/1000</f>
        <v>#VALUE!</v>
      </c>
      <c r="BA34" s="172" t="e">
        <f>_xll.LVCELL($AK$1,BA$3,$AK34,$AL$2,$AK$4,$AK$5,$AK$6,$AK$7,$AK$8,$AL$3)/1000</f>
        <v>#VALUE!</v>
      </c>
      <c r="BB34" s="172" t="e">
        <f>_xll.LVCELL($AK$1,BB$3,$AK34,$AL$2,$AK$4,$AK$5,$AK$6,$AK$7,$AK$8,$AL$3)/1000</f>
        <v>#VALUE!</v>
      </c>
      <c r="BC34" s="172" t="e">
        <f>_xll.LVCELL($AK$1,BC$3,$AK34,$AL$2,$AK$4,$AK$5,$AK$6,$AK$7,$AK$8,$AL$3)/1000</f>
        <v>#VALUE!</v>
      </c>
      <c r="BD34" s="172" t="e">
        <f>_xll.LVCELL($AK$1,BD$3,$AK34,$AL$2,$AK$4,$AK$5,$AK$6,$AK$7,$AK$8,$AL$3)/1000</f>
        <v>#VALUE!</v>
      </c>
      <c r="BE34" s="172" t="e">
        <f>_xll.LVCELL($AK$1,BE$3,$AK34,$AL$2,$AK$4,$AK$5,$AK$6,$AK$7,$AK$8,$AL$3)/1000</f>
        <v>#VALUE!</v>
      </c>
      <c r="BF34" s="172" t="e">
        <f>_xll.LVCELL($AK$1,BF$3,$AK34,$AL$2,$AK$4,$AK$5,$AK$6,$AK$7,$AK$8,$AL$3)/1000</f>
        <v>#VALUE!</v>
      </c>
      <c r="BG34" s="172" t="e">
        <f>_xll.LVCELL($AK$1,BG$3,$AK34,$AL$2,$AK$4,$AK$5,$AK$6,$AK$7,$AK$8,$AL$3)/1000</f>
        <v>#VALUE!</v>
      </c>
      <c r="BH34" s="172" t="e">
        <f>_xll.LVCELL($AK$1,BH$3,$AK34,$AL$2,$AK$4,$AK$5,$AK$6,$AK$7,$AK$8,$AL$3)/1000</f>
        <v>#VALUE!</v>
      </c>
      <c r="BI34" s="172" t="e">
        <f>_xll.LVCELL($AK$1,BI$3,$AK34,$AL$2,$AK$4,$AK$5,$AK$6,$AK$7,$AK$8,$AL$3)/1000</f>
        <v>#VALUE!</v>
      </c>
      <c r="BJ34" s="172" t="e">
        <f>_xll.LVCELL($AK$1,BJ$3,$AK34,$AL$2,$AK$4,$AK$5,$AK$6,$AK$7,$AK$8,$AL$3)/1000</f>
        <v>#VALUE!</v>
      </c>
      <c r="BK34" s="172" t="e">
        <f>_xll.LVCELL($AK$1,BK$3,$AK34,$AL$2,$AK$4,$AK$5,$AK$6,$AK$7,$AK$8,$AL$3)/1000</f>
        <v>#VALUE!</v>
      </c>
      <c r="BL34" s="172" t="e">
        <f>_xll.LVCELL($AK$1,BL$2,$AK34,$AL$2,$AK$4,$AK$5,$AK$6,$AK$7,$AK$8,$AL$3)/1000</f>
        <v>#VALUE!</v>
      </c>
      <c r="BM34" s="214" t="e">
        <f t="shared" si="3"/>
        <v>#VALUE!</v>
      </c>
      <c r="BN34" s="217" t="e">
        <f t="shared" si="4"/>
        <v>#VALUE!</v>
      </c>
      <c r="BO34" s="218" t="e">
        <f t="shared" si="4"/>
        <v>#VALUE!</v>
      </c>
      <c r="BP34" s="193" t="e">
        <f t="shared" si="5"/>
        <v>#VALUE!</v>
      </c>
      <c r="BQ34" s="190" t="s">
        <v>2685</v>
      </c>
      <c r="BS34" s="198">
        <f t="shared" si="6"/>
        <v>0</v>
      </c>
      <c r="BT34" s="198">
        <f t="shared" si="7"/>
        <v>0</v>
      </c>
      <c r="BU34" s="198">
        <f t="shared" si="8"/>
        <v>0</v>
      </c>
      <c r="BV34" s="199" t="str">
        <f t="shared" si="9"/>
        <v>N/A</v>
      </c>
      <c r="BX34" s="200" t="e">
        <f t="shared" si="10"/>
        <v>#VALUE!</v>
      </c>
      <c r="BY34" s="200" t="e">
        <f t="shared" si="11"/>
        <v>#VALUE!</v>
      </c>
      <c r="BZ34" s="200" t="e">
        <f t="shared" si="12"/>
        <v>#VALUE!</v>
      </c>
    </row>
    <row r="35" spans="2:78">
      <c r="B35" s="64" t="s">
        <v>440</v>
      </c>
      <c r="C35" s="64" t="s">
        <v>265</v>
      </c>
      <c r="D35" s="192" t="s">
        <v>547</v>
      </c>
      <c r="E35" s="172" t="e">
        <f>_xll.LVCELL($D$1,E$3,$C35,$D$2,$C$4,$C$5,$C$6,$C$7,$C$8,$D$3)/1000</f>
        <v>#VALUE!</v>
      </c>
      <c r="F35" s="172" t="e">
        <f>_xll.LVCELL($D$1,F$3,$C35,$D$2,$C$4,$C$5,$C$6,$C$7,$C$8,$D$3)/1000</f>
        <v>#VALUE!</v>
      </c>
      <c r="G35" s="172" t="e">
        <f>_xll.LVCELL($D$1,G$3,$C35,$D$2,$C$4,$C$5,$C$6,$C$7,$C$8,$D$3)/1000</f>
        <v>#VALUE!</v>
      </c>
      <c r="H35" s="172" t="e">
        <f>_xll.LVCELL($D$1,H$3,$C35,$D$2,$C$4,$C$5,$C$6,$C$7,$C$8,$D$3)/1000</f>
        <v>#VALUE!</v>
      </c>
      <c r="I35" s="172" t="e">
        <f>_xll.LVCELL($D$1,I$3,$C35,$D$2,$C$4,$C$5,$C$6,$C$7,$C$8,$D$3)/1000</f>
        <v>#VALUE!</v>
      </c>
      <c r="J35" s="172" t="e">
        <f>_xll.LVCELL($D$1,J$3,$C35,$D$2,$C$4,$C$5,$C$6,$C$7,$C$8,$D$3)/1000</f>
        <v>#VALUE!</v>
      </c>
      <c r="K35" s="172" t="e">
        <f>_xll.LVCELL($D$1,K$3,$C35,$D$2,$C$4,$C$5,$C$6,$C$7,$C$8,$D$3)/1000</f>
        <v>#VALUE!</v>
      </c>
      <c r="L35" s="172" t="e">
        <f>_xll.LVCELL($D$1,L$3,$C35,$D$2,$C$4,$C$5,$C$6,$C$7,$C$8,$D$3)/1000</f>
        <v>#VALUE!</v>
      </c>
      <c r="M35" s="172" t="e">
        <f>_xll.LVCELL($D$1,M$3,$C35,$D$2,$C$4,$C$5,$C$6,$C$7,$C$8,$D$3)/1000</f>
        <v>#VALUE!</v>
      </c>
      <c r="N35" s="172" t="e">
        <f>_xll.LVCELL($D$1,N$3,$C35,$D$2,$C$4,$C$5,$C$6,$C$7,$C$8,$D$3)/1000</f>
        <v>#VALUE!</v>
      </c>
      <c r="O35" s="172" t="e">
        <f>_xll.LVCELL($D$1,O$3,$C35,$D$2,$C$4,$C$5,$C$6,$C$7,$C$8,$D$3)/1000</f>
        <v>#VALUE!</v>
      </c>
      <c r="P35" s="172" t="e">
        <f>_xll.LVCELL($D$1,P$3,$C35,$D$2,$C$4,$C$5,$C$6,$C$7,$C$8,$D$3)/1000</f>
        <v>#VALUE!</v>
      </c>
      <c r="Q35" s="172" t="e">
        <f>_xll.LVCELL($D$1,Q$2,$C35,$D$2,$C$4,$C$5,$C$6,$C$7,$C$8,$D$3)/1000</f>
        <v>#VALUE!</v>
      </c>
      <c r="R35" s="172" t="e">
        <f>_xll.LVCELL($D$1,R$3,$C35,$D$2,$C$4,$C$5,$C$6,$C$7,$C$8,$D$3)/1000</f>
        <v>#VALUE!</v>
      </c>
      <c r="S35" s="172" t="e">
        <f>_xll.LVCELL($D$1,S$3,$C35,$D$2,$C$4,$C$5,$C$6,$C$7,$C$8,$D$3)/1000</f>
        <v>#VALUE!</v>
      </c>
      <c r="T35" s="172" t="e">
        <f>_xll.LVCELL($D$1,T$3,$C35,$D$2,$C$4,$C$5,$C$6,$C$7,$C$8,$D$3)/1000</f>
        <v>#VALUE!</v>
      </c>
      <c r="U35" s="172" t="e">
        <f>_xll.LVCELL($D$1,U$3,$C35,$D$2,$C$4,$C$5,$C$6,$C$7,$C$8,$D$3)/1000</f>
        <v>#VALUE!</v>
      </c>
      <c r="V35" s="172" t="e">
        <f>_xll.LVCELL($D$1,V$3,$C35,$D$2,$C$4,$C$5,$C$6,$C$7,$C$8,$D$3)/1000</f>
        <v>#VALUE!</v>
      </c>
      <c r="W35" s="172" t="e">
        <f>_xll.LVCELL($D$1,W$3,$C35,$D$2,$C$4,$C$5,$C$6,$C$7,$C$8,$D$3)/1000</f>
        <v>#VALUE!</v>
      </c>
      <c r="X35" s="172" t="e">
        <f>_xll.LVCELL($D$1,X$3,$C35,$D$2,$C$4,$C$5,$C$6,$C$7,$C$8,$D$3)/1000</f>
        <v>#VALUE!</v>
      </c>
      <c r="Y35" s="172" t="e">
        <f>_xll.LVCELL($D$1,Y$3,$C35,$D$2,$C$4,$C$5,$C$6,$C$7,$C$8,$D$3)/1000</f>
        <v>#VALUE!</v>
      </c>
      <c r="Z35" s="172" t="e">
        <f>_xll.LVCELL($D$1,Z$3,$C35,$D$2,$C$4,$C$5,$C$6,$C$7,$C$8,$D$3)/1000</f>
        <v>#VALUE!</v>
      </c>
      <c r="AA35" s="172" t="e">
        <f>_xll.LVCELL($D$1,AA$3,$C35,$D$2,$C$4,$C$5,$C$6,$C$7,$C$8,$D$3)/1000</f>
        <v>#VALUE!</v>
      </c>
      <c r="AB35" s="172" t="e">
        <f>_xll.LVCELL($D$1,AB$3,$C35,$D$2,$C$4,$C$5,$C$6,$C$7,$C$8,$D$3)/1000</f>
        <v>#VALUE!</v>
      </c>
      <c r="AC35" s="172" t="e">
        <f>_xll.LVCELL($D$1,AC$3,$C35,$D$2,$C$4,$C$5,$C$6,$C$7,$C$8,$D$3)/1000</f>
        <v>#VALUE!</v>
      </c>
      <c r="AD35" s="172" t="e">
        <f>_xll.LVCELL($D$1,AD$2,$C35,$D$2,$C$4,$C$5,$C$6,$C$7,$C$8,$D$3)/1000</f>
        <v>#VALUE!</v>
      </c>
      <c r="AE35" s="172" t="e">
        <f t="shared" si="0"/>
        <v>#VALUE!</v>
      </c>
      <c r="AF35" s="193" t="e">
        <f t="shared" si="1"/>
        <v>#VALUE!</v>
      </c>
      <c r="AG35" s="172" t="s">
        <v>2723</v>
      </c>
      <c r="AH35" s="61" t="e">
        <f t="shared" si="2"/>
        <v>#VALUE!</v>
      </c>
      <c r="AI35" s="64" t="s">
        <v>2767</v>
      </c>
      <c r="AJ35" s="64" t="s">
        <v>440</v>
      </c>
      <c r="AK35" s="64" t="s">
        <v>265</v>
      </c>
      <c r="AL35" s="192" t="s">
        <v>547</v>
      </c>
      <c r="AM35" s="172" t="e">
        <f>_xll.LVCELL($AK$1,AM$3,$AK35,$AL$2,$AK$4,$AK$5,$AK$6,$AK$7,$AK$8,$AL$3)/1000</f>
        <v>#VALUE!</v>
      </c>
      <c r="AN35" s="172" t="e">
        <f>_xll.LVCELL($AK$1,AN$3,$AK35,$AL$2,$AK$4,$AK$5,$AK$6,$AK$7,$AK$8,$AL$3)/1000</f>
        <v>#VALUE!</v>
      </c>
      <c r="AO35" s="172" t="e">
        <f>_xll.LVCELL($AK$1,AO$3,$AK35,$AL$2,$AK$4,$AK$5,$AK$6,$AK$7,$AK$8,$AL$3)/1000</f>
        <v>#VALUE!</v>
      </c>
      <c r="AP35" s="172" t="e">
        <f>_xll.LVCELL($AK$1,AP$3,$AK35,$AL$2,$AK$4,$AK$5,$AK$6,$AK$7,$AK$8,$AL$3)/1000</f>
        <v>#VALUE!</v>
      </c>
      <c r="AQ35" s="172" t="e">
        <f>_xll.LVCELL($AK$1,AQ$3,$AK35,$AL$2,$AK$4,$AK$5,$AK$6,$AK$7,$AK$8,$AL$3)/1000</f>
        <v>#VALUE!</v>
      </c>
      <c r="AR35" s="172" t="e">
        <f>_xll.LVCELL($AK$1,AR$3,$AK35,$AL$2,$AK$4,$AK$5,$AK$6,$AK$7,$AK$8,$AL$3)/1000</f>
        <v>#VALUE!</v>
      </c>
      <c r="AS35" s="172" t="e">
        <f>_xll.LVCELL($AK$1,AS$3,$AK35,$AL$2,$AK$4,$AK$5,$AK$6,$AK$7,$AK$8,$AL$3)/1000</f>
        <v>#VALUE!</v>
      </c>
      <c r="AT35" s="172" t="e">
        <f>_xll.LVCELL($AK$1,AT$3,$AK35,$AL$2,$AK$4,$AK$5,$AK$6,$AK$7,$AK$8,$AL$3)/1000</f>
        <v>#VALUE!</v>
      </c>
      <c r="AU35" s="172" t="e">
        <f>_xll.LVCELL($AK$1,AU$3,$AK35,$AL$2,$AK$4,$AK$5,$AK$6,$AK$7,$AK$8,$AL$3)/1000</f>
        <v>#VALUE!</v>
      </c>
      <c r="AV35" s="172" t="e">
        <f>_xll.LVCELL($AK$1,AV$3,$AK35,$AL$2,$AK$4,$AK$5,$AK$6,$AK$7,$AK$8,$AL$3)/1000</f>
        <v>#VALUE!</v>
      </c>
      <c r="AW35" s="172" t="e">
        <f>_xll.LVCELL($AK$1,AW$3,$AK35,$AL$2,$AK$4,$AK$5,$AK$6,$AK$7,$AK$8,$AL$3)/1000</f>
        <v>#VALUE!</v>
      </c>
      <c r="AX35" s="172" t="e">
        <f>_xll.LVCELL($AK$1,AX$3,$AK35,$AL$2,$AK$4,$AK$5,$AK$6,$AK$7,$AK$8,$AL$3)/1000</f>
        <v>#VALUE!</v>
      </c>
      <c r="AY35" s="172" t="e">
        <f>_xll.LVCELL($AK$1,AY$2,$AK35,$AL$2,$AK$4,$AK$5,$AK$6,$AK$7,$AK$8,$AL$3)/1000</f>
        <v>#VALUE!</v>
      </c>
      <c r="AZ35" s="172" t="e">
        <f>_xll.LVCELL($AK$1,AZ$3,$AK35,$AL$2,$AK$4,$AK$5,$AK$6,$AK$7,$AK$8,$AL$3)/1000</f>
        <v>#VALUE!</v>
      </c>
      <c r="BA35" s="172" t="e">
        <f>_xll.LVCELL($AK$1,BA$3,$AK35,$AL$2,$AK$4,$AK$5,$AK$6,$AK$7,$AK$8,$AL$3)/1000</f>
        <v>#VALUE!</v>
      </c>
      <c r="BB35" s="172" t="e">
        <f>_xll.LVCELL($AK$1,BB$3,$AK35,$AL$2,$AK$4,$AK$5,$AK$6,$AK$7,$AK$8,$AL$3)/1000</f>
        <v>#VALUE!</v>
      </c>
      <c r="BC35" s="172" t="e">
        <f>_xll.LVCELL($AK$1,BC$3,$AK35,$AL$2,$AK$4,$AK$5,$AK$6,$AK$7,$AK$8,$AL$3)/1000</f>
        <v>#VALUE!</v>
      </c>
      <c r="BD35" s="172" t="e">
        <f>_xll.LVCELL($AK$1,BD$3,$AK35,$AL$2,$AK$4,$AK$5,$AK$6,$AK$7,$AK$8,$AL$3)/1000</f>
        <v>#VALUE!</v>
      </c>
      <c r="BE35" s="172" t="e">
        <f>_xll.LVCELL($AK$1,BE$3,$AK35,$AL$2,$AK$4,$AK$5,$AK$6,$AK$7,$AK$8,$AL$3)/1000</f>
        <v>#VALUE!</v>
      </c>
      <c r="BF35" s="172" t="e">
        <f>_xll.LVCELL($AK$1,BF$3,$AK35,$AL$2,$AK$4,$AK$5,$AK$6,$AK$7,$AK$8,$AL$3)/1000</f>
        <v>#VALUE!</v>
      </c>
      <c r="BG35" s="172" t="e">
        <f>_xll.LVCELL($AK$1,BG$3,$AK35,$AL$2,$AK$4,$AK$5,$AK$6,$AK$7,$AK$8,$AL$3)/1000</f>
        <v>#VALUE!</v>
      </c>
      <c r="BH35" s="172" t="e">
        <f>_xll.LVCELL($AK$1,BH$3,$AK35,$AL$2,$AK$4,$AK$5,$AK$6,$AK$7,$AK$8,$AL$3)/1000</f>
        <v>#VALUE!</v>
      </c>
      <c r="BI35" s="172" t="e">
        <f>_xll.LVCELL($AK$1,BI$3,$AK35,$AL$2,$AK$4,$AK$5,$AK$6,$AK$7,$AK$8,$AL$3)/1000</f>
        <v>#VALUE!</v>
      </c>
      <c r="BJ35" s="172" t="e">
        <f>_xll.LVCELL($AK$1,BJ$3,$AK35,$AL$2,$AK$4,$AK$5,$AK$6,$AK$7,$AK$8,$AL$3)/1000</f>
        <v>#VALUE!</v>
      </c>
      <c r="BK35" s="172" t="e">
        <f>_xll.LVCELL($AK$1,BK$3,$AK35,$AL$2,$AK$4,$AK$5,$AK$6,$AK$7,$AK$8,$AL$3)/1000</f>
        <v>#VALUE!</v>
      </c>
      <c r="BL35" s="172" t="e">
        <f>_xll.LVCELL($AK$1,BL$2,$AK35,$AL$2,$AK$4,$AK$5,$AK$6,$AK$7,$AK$8,$AL$3)/1000</f>
        <v>#VALUE!</v>
      </c>
      <c r="BM35" s="214" t="e">
        <f t="shared" si="3"/>
        <v>#VALUE!</v>
      </c>
      <c r="BN35" s="217" t="e">
        <f t="shared" si="4"/>
        <v>#VALUE!</v>
      </c>
      <c r="BO35" s="218" t="e">
        <f t="shared" si="4"/>
        <v>#VALUE!</v>
      </c>
      <c r="BP35" s="193" t="e">
        <f t="shared" si="5"/>
        <v>#VALUE!</v>
      </c>
      <c r="BQ35" s="190" t="s">
        <v>2684</v>
      </c>
      <c r="BS35" s="198">
        <f t="shared" si="6"/>
        <v>0</v>
      </c>
      <c r="BT35" s="198">
        <f t="shared" si="7"/>
        <v>0</v>
      </c>
      <c r="BU35" s="198">
        <f t="shared" si="8"/>
        <v>0</v>
      </c>
      <c r="BV35" s="199" t="str">
        <f t="shared" si="9"/>
        <v>N/A</v>
      </c>
      <c r="BX35" s="200" t="e">
        <f t="shared" si="10"/>
        <v>#VALUE!</v>
      </c>
      <c r="BY35" s="200" t="e">
        <f t="shared" si="11"/>
        <v>#VALUE!</v>
      </c>
      <c r="BZ35" s="200" t="e">
        <f t="shared" si="12"/>
        <v>#VALUE!</v>
      </c>
    </row>
    <row r="36" spans="2:78">
      <c r="B36" s="64" t="s">
        <v>442</v>
      </c>
      <c r="C36" s="64" t="s">
        <v>266</v>
      </c>
      <c r="D36" s="192" t="s">
        <v>548</v>
      </c>
      <c r="E36" s="172" t="e">
        <f>_xll.LVCELL($D$1,E$3,$C36,$D$2,$C$4,$C$5,$C$6,$C$7,$C$8,$D$3)/1000</f>
        <v>#VALUE!</v>
      </c>
      <c r="F36" s="172" t="e">
        <f>_xll.LVCELL($D$1,F$3,$C36,$D$2,$C$4,$C$5,$C$6,$C$7,$C$8,$D$3)/1000</f>
        <v>#VALUE!</v>
      </c>
      <c r="G36" s="172" t="e">
        <f>_xll.LVCELL($D$1,G$3,$C36,$D$2,$C$4,$C$5,$C$6,$C$7,$C$8,$D$3)/1000</f>
        <v>#VALUE!</v>
      </c>
      <c r="H36" s="172" t="e">
        <f>_xll.LVCELL($D$1,H$3,$C36,$D$2,$C$4,$C$5,$C$6,$C$7,$C$8,$D$3)/1000</f>
        <v>#VALUE!</v>
      </c>
      <c r="I36" s="172" t="e">
        <f>_xll.LVCELL($D$1,I$3,$C36,$D$2,$C$4,$C$5,$C$6,$C$7,$C$8,$D$3)/1000</f>
        <v>#VALUE!</v>
      </c>
      <c r="J36" s="172" t="e">
        <f>_xll.LVCELL($D$1,J$3,$C36,$D$2,$C$4,$C$5,$C$6,$C$7,$C$8,$D$3)/1000</f>
        <v>#VALUE!</v>
      </c>
      <c r="K36" s="172" t="e">
        <f>_xll.LVCELL($D$1,K$3,$C36,$D$2,$C$4,$C$5,$C$6,$C$7,$C$8,$D$3)/1000</f>
        <v>#VALUE!</v>
      </c>
      <c r="L36" s="172" t="e">
        <f>_xll.LVCELL($D$1,L$3,$C36,$D$2,$C$4,$C$5,$C$6,$C$7,$C$8,$D$3)/1000</f>
        <v>#VALUE!</v>
      </c>
      <c r="M36" s="172" t="e">
        <f>_xll.LVCELL($D$1,M$3,$C36,$D$2,$C$4,$C$5,$C$6,$C$7,$C$8,$D$3)/1000</f>
        <v>#VALUE!</v>
      </c>
      <c r="N36" s="172" t="e">
        <f>_xll.LVCELL($D$1,N$3,$C36,$D$2,$C$4,$C$5,$C$6,$C$7,$C$8,$D$3)/1000</f>
        <v>#VALUE!</v>
      </c>
      <c r="O36" s="172" t="e">
        <f>_xll.LVCELL($D$1,O$3,$C36,$D$2,$C$4,$C$5,$C$6,$C$7,$C$8,$D$3)/1000</f>
        <v>#VALUE!</v>
      </c>
      <c r="P36" s="172" t="e">
        <f>_xll.LVCELL($D$1,P$3,$C36,$D$2,$C$4,$C$5,$C$6,$C$7,$C$8,$D$3)/1000</f>
        <v>#VALUE!</v>
      </c>
      <c r="Q36" s="172" t="e">
        <f>_xll.LVCELL($D$1,Q$2,$C36,$D$2,$C$4,$C$5,$C$6,$C$7,$C$8,$D$3)/1000</f>
        <v>#VALUE!</v>
      </c>
      <c r="R36" s="172" t="e">
        <f>_xll.LVCELL($D$1,R$3,$C36,$D$2,$C$4,$C$5,$C$6,$C$7,$C$8,$D$3)/1000</f>
        <v>#VALUE!</v>
      </c>
      <c r="S36" s="172" t="e">
        <f>_xll.LVCELL($D$1,S$3,$C36,$D$2,$C$4,$C$5,$C$6,$C$7,$C$8,$D$3)/1000</f>
        <v>#VALUE!</v>
      </c>
      <c r="T36" s="172" t="e">
        <f>_xll.LVCELL($D$1,T$3,$C36,$D$2,$C$4,$C$5,$C$6,$C$7,$C$8,$D$3)/1000</f>
        <v>#VALUE!</v>
      </c>
      <c r="U36" s="172" t="e">
        <f>_xll.LVCELL($D$1,U$3,$C36,$D$2,$C$4,$C$5,$C$6,$C$7,$C$8,$D$3)/1000</f>
        <v>#VALUE!</v>
      </c>
      <c r="V36" s="172" t="e">
        <f>_xll.LVCELL($D$1,V$3,$C36,$D$2,$C$4,$C$5,$C$6,$C$7,$C$8,$D$3)/1000</f>
        <v>#VALUE!</v>
      </c>
      <c r="W36" s="172" t="e">
        <f>_xll.LVCELL($D$1,W$3,$C36,$D$2,$C$4,$C$5,$C$6,$C$7,$C$8,$D$3)/1000</f>
        <v>#VALUE!</v>
      </c>
      <c r="X36" s="172" t="e">
        <f>_xll.LVCELL($D$1,X$3,$C36,$D$2,$C$4,$C$5,$C$6,$C$7,$C$8,$D$3)/1000</f>
        <v>#VALUE!</v>
      </c>
      <c r="Y36" s="172" t="e">
        <f>_xll.LVCELL($D$1,Y$3,$C36,$D$2,$C$4,$C$5,$C$6,$C$7,$C$8,$D$3)/1000</f>
        <v>#VALUE!</v>
      </c>
      <c r="Z36" s="172" t="e">
        <f>_xll.LVCELL($D$1,Z$3,$C36,$D$2,$C$4,$C$5,$C$6,$C$7,$C$8,$D$3)/1000</f>
        <v>#VALUE!</v>
      </c>
      <c r="AA36" s="172" t="e">
        <f>_xll.LVCELL($D$1,AA$3,$C36,$D$2,$C$4,$C$5,$C$6,$C$7,$C$8,$D$3)/1000</f>
        <v>#VALUE!</v>
      </c>
      <c r="AB36" s="172" t="e">
        <f>_xll.LVCELL($D$1,AB$3,$C36,$D$2,$C$4,$C$5,$C$6,$C$7,$C$8,$D$3)/1000</f>
        <v>#VALUE!</v>
      </c>
      <c r="AC36" s="172" t="e">
        <f>_xll.LVCELL($D$1,AC$3,$C36,$D$2,$C$4,$C$5,$C$6,$C$7,$C$8,$D$3)/1000</f>
        <v>#VALUE!</v>
      </c>
      <c r="AD36" s="172" t="e">
        <f>_xll.LVCELL($D$1,AD$2,$C36,$D$2,$C$4,$C$5,$C$6,$C$7,$C$8,$D$3)/1000</f>
        <v>#VALUE!</v>
      </c>
      <c r="AE36" s="172" t="e">
        <f t="shared" si="0"/>
        <v>#VALUE!</v>
      </c>
      <c r="AF36" s="193" t="e">
        <f t="shared" si="1"/>
        <v>#VALUE!</v>
      </c>
      <c r="AG36" s="172" t="s">
        <v>2723</v>
      </c>
      <c r="AH36" s="61" t="e">
        <f t="shared" si="2"/>
        <v>#VALUE!</v>
      </c>
      <c r="AI36" s="64" t="s">
        <v>2767</v>
      </c>
      <c r="AJ36" s="64" t="s">
        <v>442</v>
      </c>
      <c r="AK36" s="64" t="s">
        <v>266</v>
      </c>
      <c r="AL36" s="192" t="s">
        <v>548</v>
      </c>
      <c r="AM36" s="172" t="e">
        <f>_xll.LVCELL($AK$1,AM$3,$AK36,$AL$2,$AK$4,$AK$5,$AK$6,$AK$7,$AK$8,$AL$3)/1000</f>
        <v>#VALUE!</v>
      </c>
      <c r="AN36" s="172" t="e">
        <f>_xll.LVCELL($AK$1,AN$3,$AK36,$AL$2,$AK$4,$AK$5,$AK$6,$AK$7,$AK$8,$AL$3)/1000</f>
        <v>#VALUE!</v>
      </c>
      <c r="AO36" s="172" t="e">
        <f>_xll.LVCELL($AK$1,AO$3,$AK36,$AL$2,$AK$4,$AK$5,$AK$6,$AK$7,$AK$8,$AL$3)/1000</f>
        <v>#VALUE!</v>
      </c>
      <c r="AP36" s="172" t="e">
        <f>_xll.LVCELL($AK$1,AP$3,$AK36,$AL$2,$AK$4,$AK$5,$AK$6,$AK$7,$AK$8,$AL$3)/1000</f>
        <v>#VALUE!</v>
      </c>
      <c r="AQ36" s="172" t="e">
        <f>_xll.LVCELL($AK$1,AQ$3,$AK36,$AL$2,$AK$4,$AK$5,$AK$6,$AK$7,$AK$8,$AL$3)/1000</f>
        <v>#VALUE!</v>
      </c>
      <c r="AR36" s="172" t="e">
        <f>_xll.LVCELL($AK$1,AR$3,$AK36,$AL$2,$AK$4,$AK$5,$AK$6,$AK$7,$AK$8,$AL$3)/1000</f>
        <v>#VALUE!</v>
      </c>
      <c r="AS36" s="172" t="e">
        <f>_xll.LVCELL($AK$1,AS$3,$AK36,$AL$2,$AK$4,$AK$5,$AK$6,$AK$7,$AK$8,$AL$3)/1000</f>
        <v>#VALUE!</v>
      </c>
      <c r="AT36" s="172" t="e">
        <f>_xll.LVCELL($AK$1,AT$3,$AK36,$AL$2,$AK$4,$AK$5,$AK$6,$AK$7,$AK$8,$AL$3)/1000</f>
        <v>#VALUE!</v>
      </c>
      <c r="AU36" s="172" t="e">
        <f>_xll.LVCELL($AK$1,AU$3,$AK36,$AL$2,$AK$4,$AK$5,$AK$6,$AK$7,$AK$8,$AL$3)/1000</f>
        <v>#VALUE!</v>
      </c>
      <c r="AV36" s="172" t="e">
        <f>_xll.LVCELL($AK$1,AV$3,$AK36,$AL$2,$AK$4,$AK$5,$AK$6,$AK$7,$AK$8,$AL$3)/1000</f>
        <v>#VALUE!</v>
      </c>
      <c r="AW36" s="172" t="e">
        <f>_xll.LVCELL($AK$1,AW$3,$AK36,$AL$2,$AK$4,$AK$5,$AK$6,$AK$7,$AK$8,$AL$3)/1000</f>
        <v>#VALUE!</v>
      </c>
      <c r="AX36" s="172" t="e">
        <f>_xll.LVCELL($AK$1,AX$3,$AK36,$AL$2,$AK$4,$AK$5,$AK$6,$AK$7,$AK$8,$AL$3)/1000</f>
        <v>#VALUE!</v>
      </c>
      <c r="AY36" s="172" t="e">
        <f>_xll.LVCELL($AK$1,AY$2,$AK36,$AL$2,$AK$4,$AK$5,$AK$6,$AK$7,$AK$8,$AL$3)/1000</f>
        <v>#VALUE!</v>
      </c>
      <c r="AZ36" s="172" t="e">
        <f>_xll.LVCELL($AK$1,AZ$3,$AK36,$AL$2,$AK$4,$AK$5,$AK$6,$AK$7,$AK$8,$AL$3)/1000</f>
        <v>#VALUE!</v>
      </c>
      <c r="BA36" s="172" t="e">
        <f>_xll.LVCELL($AK$1,BA$3,$AK36,$AL$2,$AK$4,$AK$5,$AK$6,$AK$7,$AK$8,$AL$3)/1000</f>
        <v>#VALUE!</v>
      </c>
      <c r="BB36" s="172" t="e">
        <f>_xll.LVCELL($AK$1,BB$3,$AK36,$AL$2,$AK$4,$AK$5,$AK$6,$AK$7,$AK$8,$AL$3)/1000</f>
        <v>#VALUE!</v>
      </c>
      <c r="BC36" s="172" t="e">
        <f>_xll.LVCELL($AK$1,BC$3,$AK36,$AL$2,$AK$4,$AK$5,$AK$6,$AK$7,$AK$8,$AL$3)/1000</f>
        <v>#VALUE!</v>
      </c>
      <c r="BD36" s="172" t="e">
        <f>_xll.LVCELL($AK$1,BD$3,$AK36,$AL$2,$AK$4,$AK$5,$AK$6,$AK$7,$AK$8,$AL$3)/1000</f>
        <v>#VALUE!</v>
      </c>
      <c r="BE36" s="172" t="e">
        <f>_xll.LVCELL($AK$1,BE$3,$AK36,$AL$2,$AK$4,$AK$5,$AK$6,$AK$7,$AK$8,$AL$3)/1000</f>
        <v>#VALUE!</v>
      </c>
      <c r="BF36" s="172" t="e">
        <f>_xll.LVCELL($AK$1,BF$3,$AK36,$AL$2,$AK$4,$AK$5,$AK$6,$AK$7,$AK$8,$AL$3)/1000</f>
        <v>#VALUE!</v>
      </c>
      <c r="BG36" s="172" t="e">
        <f>_xll.LVCELL($AK$1,BG$3,$AK36,$AL$2,$AK$4,$AK$5,$AK$6,$AK$7,$AK$8,$AL$3)/1000</f>
        <v>#VALUE!</v>
      </c>
      <c r="BH36" s="172" t="e">
        <f>_xll.LVCELL($AK$1,BH$3,$AK36,$AL$2,$AK$4,$AK$5,$AK$6,$AK$7,$AK$8,$AL$3)/1000</f>
        <v>#VALUE!</v>
      </c>
      <c r="BI36" s="172" t="e">
        <f>_xll.LVCELL($AK$1,BI$3,$AK36,$AL$2,$AK$4,$AK$5,$AK$6,$AK$7,$AK$8,$AL$3)/1000</f>
        <v>#VALUE!</v>
      </c>
      <c r="BJ36" s="172" t="e">
        <f>_xll.LVCELL($AK$1,BJ$3,$AK36,$AL$2,$AK$4,$AK$5,$AK$6,$AK$7,$AK$8,$AL$3)/1000</f>
        <v>#VALUE!</v>
      </c>
      <c r="BK36" s="172" t="e">
        <f>_xll.LVCELL($AK$1,BK$3,$AK36,$AL$2,$AK$4,$AK$5,$AK$6,$AK$7,$AK$8,$AL$3)/1000</f>
        <v>#VALUE!</v>
      </c>
      <c r="BL36" s="172" t="e">
        <f>_xll.LVCELL($AK$1,BL$2,$AK36,$AL$2,$AK$4,$AK$5,$AK$6,$AK$7,$AK$8,$AL$3)/1000</f>
        <v>#VALUE!</v>
      </c>
      <c r="BM36" s="214" t="e">
        <f t="shared" si="3"/>
        <v>#VALUE!</v>
      </c>
      <c r="BN36" s="217" t="e">
        <f t="shared" si="4"/>
        <v>#VALUE!</v>
      </c>
      <c r="BO36" s="218" t="e">
        <f t="shared" si="4"/>
        <v>#VALUE!</v>
      </c>
      <c r="BP36" s="193" t="e">
        <f t="shared" si="5"/>
        <v>#VALUE!</v>
      </c>
      <c r="BQ36" s="190" t="s">
        <v>2687</v>
      </c>
      <c r="BS36" s="198">
        <f t="shared" si="6"/>
        <v>0</v>
      </c>
      <c r="BT36" s="198">
        <f t="shared" si="7"/>
        <v>0</v>
      </c>
      <c r="BU36" s="198">
        <f t="shared" si="8"/>
        <v>0</v>
      </c>
      <c r="BV36" s="199" t="str">
        <f t="shared" si="9"/>
        <v>N/A</v>
      </c>
      <c r="BX36" s="200" t="e">
        <f t="shared" si="10"/>
        <v>#VALUE!</v>
      </c>
      <c r="BY36" s="200" t="e">
        <f t="shared" si="11"/>
        <v>#VALUE!</v>
      </c>
      <c r="BZ36" s="200" t="e">
        <f t="shared" si="12"/>
        <v>#VALUE!</v>
      </c>
    </row>
    <row r="37" spans="2:78">
      <c r="B37" s="64" t="s">
        <v>450</v>
      </c>
      <c r="C37" s="64" t="s">
        <v>267</v>
      </c>
      <c r="D37" s="192" t="s">
        <v>280</v>
      </c>
      <c r="E37" s="172" t="e">
        <f>_xll.LVCELL($D$1,E$3,$C37,$D$2,$C$4,$C$5,$C$6,$C$7,$C$8,$D$3)/1000</f>
        <v>#VALUE!</v>
      </c>
      <c r="F37" s="172" t="e">
        <f>_xll.LVCELL($D$1,F$3,$C37,$D$2,$C$4,$C$5,$C$6,$C$7,$C$8,$D$3)/1000</f>
        <v>#VALUE!</v>
      </c>
      <c r="G37" s="172" t="e">
        <f>_xll.LVCELL($D$1,G$3,$C37,$D$2,$C$4,$C$5,$C$6,$C$7,$C$8,$D$3)/1000</f>
        <v>#VALUE!</v>
      </c>
      <c r="H37" s="172" t="e">
        <f>_xll.LVCELL($D$1,H$3,$C37,$D$2,$C$4,$C$5,$C$6,$C$7,$C$8,$D$3)/1000</f>
        <v>#VALUE!</v>
      </c>
      <c r="I37" s="172" t="e">
        <f>_xll.LVCELL($D$1,I$3,$C37,$D$2,$C$4,$C$5,$C$6,$C$7,$C$8,$D$3)/1000</f>
        <v>#VALUE!</v>
      </c>
      <c r="J37" s="172" t="e">
        <f>_xll.LVCELL($D$1,J$3,$C37,$D$2,$C$4,$C$5,$C$6,$C$7,$C$8,$D$3)/1000</f>
        <v>#VALUE!</v>
      </c>
      <c r="K37" s="172" t="e">
        <f>_xll.LVCELL($D$1,K$3,$C37,$D$2,$C$4,$C$5,$C$6,$C$7,$C$8,$D$3)/1000</f>
        <v>#VALUE!</v>
      </c>
      <c r="L37" s="172" t="e">
        <f>_xll.LVCELL($D$1,L$3,$C37,$D$2,$C$4,$C$5,$C$6,$C$7,$C$8,$D$3)/1000</f>
        <v>#VALUE!</v>
      </c>
      <c r="M37" s="172" t="e">
        <f>_xll.LVCELL($D$1,M$3,$C37,$D$2,$C$4,$C$5,$C$6,$C$7,$C$8,$D$3)/1000</f>
        <v>#VALUE!</v>
      </c>
      <c r="N37" s="172" t="e">
        <f>_xll.LVCELL($D$1,N$3,$C37,$D$2,$C$4,$C$5,$C$6,$C$7,$C$8,$D$3)/1000</f>
        <v>#VALUE!</v>
      </c>
      <c r="O37" s="172" t="e">
        <f>_xll.LVCELL($D$1,O$3,$C37,$D$2,$C$4,$C$5,$C$6,$C$7,$C$8,$D$3)/1000</f>
        <v>#VALUE!</v>
      </c>
      <c r="P37" s="172" t="e">
        <f>_xll.LVCELL($D$1,P$3,$C37,$D$2,$C$4,$C$5,$C$6,$C$7,$C$8,$D$3)/1000</f>
        <v>#VALUE!</v>
      </c>
      <c r="Q37" s="172" t="e">
        <f>_xll.LVCELL($D$1,Q$2,$C37,$D$2,$C$4,$C$5,$C$6,$C$7,$C$8,$D$3)/1000</f>
        <v>#VALUE!</v>
      </c>
      <c r="R37" s="172" t="e">
        <f>_xll.LVCELL($D$1,R$3,$C37,$D$2,$C$4,$C$5,$C$6,$C$7,$C$8,$D$3)/1000</f>
        <v>#VALUE!</v>
      </c>
      <c r="S37" s="172" t="e">
        <f>_xll.LVCELL($D$1,S$3,$C37,$D$2,$C$4,$C$5,$C$6,$C$7,$C$8,$D$3)/1000</f>
        <v>#VALUE!</v>
      </c>
      <c r="T37" s="172" t="e">
        <f>_xll.LVCELL($D$1,T$3,$C37,$D$2,$C$4,$C$5,$C$6,$C$7,$C$8,$D$3)/1000</f>
        <v>#VALUE!</v>
      </c>
      <c r="U37" s="172" t="e">
        <f>_xll.LVCELL($D$1,U$3,$C37,$D$2,$C$4,$C$5,$C$6,$C$7,$C$8,$D$3)/1000</f>
        <v>#VALUE!</v>
      </c>
      <c r="V37" s="172" t="e">
        <f>_xll.LVCELL($D$1,V$3,$C37,$D$2,$C$4,$C$5,$C$6,$C$7,$C$8,$D$3)/1000</f>
        <v>#VALUE!</v>
      </c>
      <c r="W37" s="172" t="e">
        <f>_xll.LVCELL($D$1,W$3,$C37,$D$2,$C$4,$C$5,$C$6,$C$7,$C$8,$D$3)/1000</f>
        <v>#VALUE!</v>
      </c>
      <c r="X37" s="172" t="e">
        <f>_xll.LVCELL($D$1,X$3,$C37,$D$2,$C$4,$C$5,$C$6,$C$7,$C$8,$D$3)/1000</f>
        <v>#VALUE!</v>
      </c>
      <c r="Y37" s="172" t="e">
        <f>_xll.LVCELL($D$1,Y$3,$C37,$D$2,$C$4,$C$5,$C$6,$C$7,$C$8,$D$3)/1000</f>
        <v>#VALUE!</v>
      </c>
      <c r="Z37" s="172" t="e">
        <f>_xll.LVCELL($D$1,Z$3,$C37,$D$2,$C$4,$C$5,$C$6,$C$7,$C$8,$D$3)/1000</f>
        <v>#VALUE!</v>
      </c>
      <c r="AA37" s="172" t="e">
        <f>_xll.LVCELL($D$1,AA$3,$C37,$D$2,$C$4,$C$5,$C$6,$C$7,$C$8,$D$3)/1000</f>
        <v>#VALUE!</v>
      </c>
      <c r="AB37" s="172" t="e">
        <f>_xll.LVCELL($D$1,AB$3,$C37,$D$2,$C$4,$C$5,$C$6,$C$7,$C$8,$D$3)/1000</f>
        <v>#VALUE!</v>
      </c>
      <c r="AC37" s="172" t="e">
        <f>_xll.LVCELL($D$1,AC$3,$C37,$D$2,$C$4,$C$5,$C$6,$C$7,$C$8,$D$3)/1000</f>
        <v>#VALUE!</v>
      </c>
      <c r="AD37" s="172" t="e">
        <f>_xll.LVCELL($D$1,AD$2,$C37,$D$2,$C$4,$C$5,$C$6,$C$7,$C$8,$D$3)/1000</f>
        <v>#VALUE!</v>
      </c>
      <c r="AE37" s="172" t="e">
        <f t="shared" si="0"/>
        <v>#VALUE!</v>
      </c>
      <c r="AF37" s="193" t="e">
        <f t="shared" si="1"/>
        <v>#VALUE!</v>
      </c>
      <c r="AG37" s="172" t="s">
        <v>2723</v>
      </c>
      <c r="AH37" s="61" t="e">
        <f t="shared" si="2"/>
        <v>#VALUE!</v>
      </c>
      <c r="AI37" s="64" t="s">
        <v>2768</v>
      </c>
      <c r="AJ37" s="64" t="s">
        <v>450</v>
      </c>
      <c r="AK37" s="64" t="s">
        <v>267</v>
      </c>
      <c r="AL37" s="192" t="s">
        <v>280</v>
      </c>
      <c r="AM37" s="172" t="e">
        <f>_xll.LVCELL($AK$1,AM$3,$AK37,$AL$2,$AK$4,$AK$5,$AK$6,$AK$7,$AK$8,$AL$3)/1000</f>
        <v>#VALUE!</v>
      </c>
      <c r="AN37" s="172" t="e">
        <f>_xll.LVCELL($AK$1,AN$3,$AK37,$AL$2,$AK$4,$AK$5,$AK$6,$AK$7,$AK$8,$AL$3)/1000</f>
        <v>#VALUE!</v>
      </c>
      <c r="AO37" s="172" t="e">
        <f>_xll.LVCELL($AK$1,AO$3,$AK37,$AL$2,$AK$4,$AK$5,$AK$6,$AK$7,$AK$8,$AL$3)/1000</f>
        <v>#VALUE!</v>
      </c>
      <c r="AP37" s="172" t="e">
        <f>_xll.LVCELL($AK$1,AP$3,$AK37,$AL$2,$AK$4,$AK$5,$AK$6,$AK$7,$AK$8,$AL$3)/1000</f>
        <v>#VALUE!</v>
      </c>
      <c r="AQ37" s="172" t="e">
        <f>_xll.LVCELL($AK$1,AQ$3,$AK37,$AL$2,$AK$4,$AK$5,$AK$6,$AK$7,$AK$8,$AL$3)/1000</f>
        <v>#VALUE!</v>
      </c>
      <c r="AR37" s="172" t="e">
        <f>_xll.LVCELL($AK$1,AR$3,$AK37,$AL$2,$AK$4,$AK$5,$AK$6,$AK$7,$AK$8,$AL$3)/1000</f>
        <v>#VALUE!</v>
      </c>
      <c r="AS37" s="172" t="e">
        <f>_xll.LVCELL($AK$1,AS$3,$AK37,$AL$2,$AK$4,$AK$5,$AK$6,$AK$7,$AK$8,$AL$3)/1000</f>
        <v>#VALUE!</v>
      </c>
      <c r="AT37" s="172" t="e">
        <f>_xll.LVCELL($AK$1,AT$3,$AK37,$AL$2,$AK$4,$AK$5,$AK$6,$AK$7,$AK$8,$AL$3)/1000</f>
        <v>#VALUE!</v>
      </c>
      <c r="AU37" s="172" t="e">
        <f>_xll.LVCELL($AK$1,AU$3,$AK37,$AL$2,$AK$4,$AK$5,$AK$6,$AK$7,$AK$8,$AL$3)/1000</f>
        <v>#VALUE!</v>
      </c>
      <c r="AV37" s="172" t="e">
        <f>_xll.LVCELL($AK$1,AV$3,$AK37,$AL$2,$AK$4,$AK$5,$AK$6,$AK$7,$AK$8,$AL$3)/1000</f>
        <v>#VALUE!</v>
      </c>
      <c r="AW37" s="172" t="e">
        <f>_xll.LVCELL($AK$1,AW$3,$AK37,$AL$2,$AK$4,$AK$5,$AK$6,$AK$7,$AK$8,$AL$3)/1000</f>
        <v>#VALUE!</v>
      </c>
      <c r="AX37" s="172" t="e">
        <f>_xll.LVCELL($AK$1,AX$3,$AK37,$AL$2,$AK$4,$AK$5,$AK$6,$AK$7,$AK$8,$AL$3)/1000</f>
        <v>#VALUE!</v>
      </c>
      <c r="AY37" s="172" t="e">
        <f>_xll.LVCELL($AK$1,AY$2,$AK37,$AL$2,$AK$4,$AK$5,$AK$6,$AK$7,$AK$8,$AL$3)/1000</f>
        <v>#VALUE!</v>
      </c>
      <c r="AZ37" s="172" t="e">
        <f>_xll.LVCELL($AK$1,AZ$3,$AK37,$AL$2,$AK$4,$AK$5,$AK$6,$AK$7,$AK$8,$AL$3)/1000</f>
        <v>#VALUE!</v>
      </c>
      <c r="BA37" s="172" t="e">
        <f>_xll.LVCELL($AK$1,BA$3,$AK37,$AL$2,$AK$4,$AK$5,$AK$6,$AK$7,$AK$8,$AL$3)/1000</f>
        <v>#VALUE!</v>
      </c>
      <c r="BB37" s="172" t="e">
        <f>_xll.LVCELL($AK$1,BB$3,$AK37,$AL$2,$AK$4,$AK$5,$AK$6,$AK$7,$AK$8,$AL$3)/1000</f>
        <v>#VALUE!</v>
      </c>
      <c r="BC37" s="172" t="e">
        <f>_xll.LVCELL($AK$1,BC$3,$AK37,$AL$2,$AK$4,$AK$5,$AK$6,$AK$7,$AK$8,$AL$3)/1000</f>
        <v>#VALUE!</v>
      </c>
      <c r="BD37" s="172" t="e">
        <f>_xll.LVCELL($AK$1,BD$3,$AK37,$AL$2,$AK$4,$AK$5,$AK$6,$AK$7,$AK$8,$AL$3)/1000</f>
        <v>#VALUE!</v>
      </c>
      <c r="BE37" s="172" t="e">
        <f>_xll.LVCELL($AK$1,BE$3,$AK37,$AL$2,$AK$4,$AK$5,$AK$6,$AK$7,$AK$8,$AL$3)/1000</f>
        <v>#VALUE!</v>
      </c>
      <c r="BF37" s="172" t="e">
        <f>_xll.LVCELL($AK$1,BF$3,$AK37,$AL$2,$AK$4,$AK$5,$AK$6,$AK$7,$AK$8,$AL$3)/1000</f>
        <v>#VALUE!</v>
      </c>
      <c r="BG37" s="172" t="e">
        <f>_xll.LVCELL($AK$1,BG$3,$AK37,$AL$2,$AK$4,$AK$5,$AK$6,$AK$7,$AK$8,$AL$3)/1000</f>
        <v>#VALUE!</v>
      </c>
      <c r="BH37" s="172" t="e">
        <f>_xll.LVCELL($AK$1,BH$3,$AK37,$AL$2,$AK$4,$AK$5,$AK$6,$AK$7,$AK$8,$AL$3)/1000</f>
        <v>#VALUE!</v>
      </c>
      <c r="BI37" s="172" t="e">
        <f>_xll.LVCELL($AK$1,BI$3,$AK37,$AL$2,$AK$4,$AK$5,$AK$6,$AK$7,$AK$8,$AL$3)/1000</f>
        <v>#VALUE!</v>
      </c>
      <c r="BJ37" s="172" t="e">
        <f>_xll.LVCELL($AK$1,BJ$3,$AK37,$AL$2,$AK$4,$AK$5,$AK$6,$AK$7,$AK$8,$AL$3)/1000</f>
        <v>#VALUE!</v>
      </c>
      <c r="BK37" s="172" t="e">
        <f>_xll.LVCELL($AK$1,BK$3,$AK37,$AL$2,$AK$4,$AK$5,$AK$6,$AK$7,$AK$8,$AL$3)/1000</f>
        <v>#VALUE!</v>
      </c>
      <c r="BL37" s="172" t="e">
        <f>_xll.LVCELL($AK$1,BL$2,$AK37,$AL$2,$AK$4,$AK$5,$AK$6,$AK$7,$AK$8,$AL$3)/1000</f>
        <v>#VALUE!</v>
      </c>
      <c r="BM37" s="214" t="e">
        <f t="shared" si="3"/>
        <v>#VALUE!</v>
      </c>
      <c r="BN37" s="217" t="e">
        <f t="shared" si="4"/>
        <v>#VALUE!</v>
      </c>
      <c r="BO37" s="218" t="e">
        <f t="shared" si="4"/>
        <v>#VALUE!</v>
      </c>
      <c r="BP37" s="193" t="e">
        <f t="shared" si="5"/>
        <v>#VALUE!</v>
      </c>
      <c r="BQ37" s="190" t="s">
        <v>2687</v>
      </c>
      <c r="BS37" s="198">
        <f t="shared" si="6"/>
        <v>0</v>
      </c>
      <c r="BT37" s="198">
        <f t="shared" si="7"/>
        <v>0</v>
      </c>
      <c r="BU37" s="198">
        <f t="shared" si="8"/>
        <v>0</v>
      </c>
      <c r="BV37" s="199" t="str">
        <f t="shared" si="9"/>
        <v>N/A</v>
      </c>
      <c r="BX37" s="200" t="e">
        <f t="shared" si="10"/>
        <v>#VALUE!</v>
      </c>
      <c r="BY37" s="200" t="e">
        <f t="shared" si="11"/>
        <v>#VALUE!</v>
      </c>
      <c r="BZ37" s="200" t="e">
        <f t="shared" si="12"/>
        <v>#VALUE!</v>
      </c>
    </row>
    <row r="38" spans="2:78">
      <c r="B38" s="64" t="s">
        <v>454</v>
      </c>
      <c r="C38" s="64" t="s">
        <v>268</v>
      </c>
      <c r="D38" s="192" t="s">
        <v>2642</v>
      </c>
      <c r="E38" s="172" t="e">
        <f>_xll.LVCELL($D$1,E$3,$C38,$D$2,$C$4,$C$5,$C$6,$C$7,$C$8,$D$3)/1000</f>
        <v>#VALUE!</v>
      </c>
      <c r="F38" s="172" t="e">
        <f>_xll.LVCELL($D$1,F$3,$C38,$D$2,$C$4,$C$5,$C$6,$C$7,$C$8,$D$3)/1000</f>
        <v>#VALUE!</v>
      </c>
      <c r="G38" s="172" t="e">
        <f>_xll.LVCELL($D$1,G$3,$C38,$D$2,$C$4,$C$5,$C$6,$C$7,$C$8,$D$3)/1000</f>
        <v>#VALUE!</v>
      </c>
      <c r="H38" s="172" t="e">
        <f>_xll.LVCELL($D$1,H$3,$C38,$D$2,$C$4,$C$5,$C$6,$C$7,$C$8,$D$3)/1000</f>
        <v>#VALUE!</v>
      </c>
      <c r="I38" s="172" t="e">
        <f>_xll.LVCELL($D$1,I$3,$C38,$D$2,$C$4,$C$5,$C$6,$C$7,$C$8,$D$3)/1000</f>
        <v>#VALUE!</v>
      </c>
      <c r="J38" s="172" t="e">
        <f>_xll.LVCELL($D$1,J$3,$C38,$D$2,$C$4,$C$5,$C$6,$C$7,$C$8,$D$3)/1000</f>
        <v>#VALUE!</v>
      </c>
      <c r="K38" s="172" t="e">
        <f>_xll.LVCELL($D$1,K$3,$C38,$D$2,$C$4,$C$5,$C$6,$C$7,$C$8,$D$3)/1000</f>
        <v>#VALUE!</v>
      </c>
      <c r="L38" s="172" t="e">
        <f>_xll.LVCELL($D$1,L$3,$C38,$D$2,$C$4,$C$5,$C$6,$C$7,$C$8,$D$3)/1000</f>
        <v>#VALUE!</v>
      </c>
      <c r="M38" s="172" t="e">
        <f>_xll.LVCELL($D$1,M$3,$C38,$D$2,$C$4,$C$5,$C$6,$C$7,$C$8,$D$3)/1000</f>
        <v>#VALUE!</v>
      </c>
      <c r="N38" s="172" t="e">
        <f>_xll.LVCELL($D$1,N$3,$C38,$D$2,$C$4,$C$5,$C$6,$C$7,$C$8,$D$3)/1000</f>
        <v>#VALUE!</v>
      </c>
      <c r="O38" s="172" t="e">
        <f>_xll.LVCELL($D$1,O$3,$C38,$D$2,$C$4,$C$5,$C$6,$C$7,$C$8,$D$3)/1000</f>
        <v>#VALUE!</v>
      </c>
      <c r="P38" s="172" t="e">
        <f>_xll.LVCELL($D$1,P$3,$C38,$D$2,$C$4,$C$5,$C$6,$C$7,$C$8,$D$3)/1000</f>
        <v>#VALUE!</v>
      </c>
      <c r="Q38" s="172" t="e">
        <f>_xll.LVCELL($D$1,Q$2,$C38,$D$2,$C$4,$C$5,$C$6,$C$7,$C$8,$D$3)/1000</f>
        <v>#VALUE!</v>
      </c>
      <c r="R38" s="172" t="e">
        <f>_xll.LVCELL($D$1,R$3,$C38,$D$2,$C$4,$C$5,$C$6,$C$7,$C$8,$D$3)/1000</f>
        <v>#VALUE!</v>
      </c>
      <c r="S38" s="172" t="e">
        <f>_xll.LVCELL($D$1,S$3,$C38,$D$2,$C$4,$C$5,$C$6,$C$7,$C$8,$D$3)/1000</f>
        <v>#VALUE!</v>
      </c>
      <c r="T38" s="172" t="e">
        <f>_xll.LVCELL($D$1,T$3,$C38,$D$2,$C$4,$C$5,$C$6,$C$7,$C$8,$D$3)/1000</f>
        <v>#VALUE!</v>
      </c>
      <c r="U38" s="172" t="e">
        <f>_xll.LVCELL($D$1,U$3,$C38,$D$2,$C$4,$C$5,$C$6,$C$7,$C$8,$D$3)/1000</f>
        <v>#VALUE!</v>
      </c>
      <c r="V38" s="172" t="e">
        <f>_xll.LVCELL($D$1,V$3,$C38,$D$2,$C$4,$C$5,$C$6,$C$7,$C$8,$D$3)/1000</f>
        <v>#VALUE!</v>
      </c>
      <c r="W38" s="172" t="e">
        <f>_xll.LVCELL($D$1,W$3,$C38,$D$2,$C$4,$C$5,$C$6,$C$7,$C$8,$D$3)/1000</f>
        <v>#VALUE!</v>
      </c>
      <c r="X38" s="172" t="e">
        <f>_xll.LVCELL($D$1,X$3,$C38,$D$2,$C$4,$C$5,$C$6,$C$7,$C$8,$D$3)/1000</f>
        <v>#VALUE!</v>
      </c>
      <c r="Y38" s="172" t="e">
        <f>_xll.LVCELL($D$1,Y$3,$C38,$D$2,$C$4,$C$5,$C$6,$C$7,$C$8,$D$3)/1000</f>
        <v>#VALUE!</v>
      </c>
      <c r="Z38" s="172" t="e">
        <f>_xll.LVCELL($D$1,Z$3,$C38,$D$2,$C$4,$C$5,$C$6,$C$7,$C$8,$D$3)/1000</f>
        <v>#VALUE!</v>
      </c>
      <c r="AA38" s="172" t="e">
        <f>_xll.LVCELL($D$1,AA$3,$C38,$D$2,$C$4,$C$5,$C$6,$C$7,$C$8,$D$3)/1000</f>
        <v>#VALUE!</v>
      </c>
      <c r="AB38" s="172" t="e">
        <f>_xll.LVCELL($D$1,AB$3,$C38,$D$2,$C$4,$C$5,$C$6,$C$7,$C$8,$D$3)/1000</f>
        <v>#VALUE!</v>
      </c>
      <c r="AC38" s="172" t="e">
        <f>_xll.LVCELL($D$1,AC$3,$C38,$D$2,$C$4,$C$5,$C$6,$C$7,$C$8,$D$3)/1000</f>
        <v>#VALUE!</v>
      </c>
      <c r="AD38" s="172" t="e">
        <f>_xll.LVCELL($D$1,AD$2,$C38,$D$2,$C$4,$C$5,$C$6,$C$7,$C$8,$D$3)/1000</f>
        <v>#VALUE!</v>
      </c>
      <c r="AE38" s="172" t="e">
        <f t="shared" si="0"/>
        <v>#VALUE!</v>
      </c>
      <c r="AF38" s="193" t="e">
        <f t="shared" si="1"/>
        <v>#VALUE!</v>
      </c>
      <c r="AG38" s="172" t="s">
        <v>2722</v>
      </c>
      <c r="AH38" s="61" t="e">
        <f t="shared" si="2"/>
        <v>#VALUE!</v>
      </c>
      <c r="AI38" s="64" t="s">
        <v>2768</v>
      </c>
      <c r="AJ38" s="64" t="s">
        <v>454</v>
      </c>
      <c r="AK38" s="64" t="s">
        <v>268</v>
      </c>
      <c r="AL38" s="192" t="s">
        <v>2642</v>
      </c>
      <c r="AM38" s="172" t="e">
        <f>_xll.LVCELL($AK$1,AM$3,$AK38,$AL$2,$AK$4,$AK$5,$AK$6,$AK$7,$AK$8,$AL$3)/1000</f>
        <v>#VALUE!</v>
      </c>
      <c r="AN38" s="172" t="e">
        <f>_xll.LVCELL($AK$1,AN$3,$AK38,$AL$2,$AK$4,$AK$5,$AK$6,$AK$7,$AK$8,$AL$3)/1000</f>
        <v>#VALUE!</v>
      </c>
      <c r="AO38" s="172" t="e">
        <f>_xll.LVCELL($AK$1,AO$3,$AK38,$AL$2,$AK$4,$AK$5,$AK$6,$AK$7,$AK$8,$AL$3)/1000</f>
        <v>#VALUE!</v>
      </c>
      <c r="AP38" s="172" t="e">
        <f>_xll.LVCELL($AK$1,AP$3,$AK38,$AL$2,$AK$4,$AK$5,$AK$6,$AK$7,$AK$8,$AL$3)/1000</f>
        <v>#VALUE!</v>
      </c>
      <c r="AQ38" s="172" t="e">
        <f>_xll.LVCELL($AK$1,AQ$3,$AK38,$AL$2,$AK$4,$AK$5,$AK$6,$AK$7,$AK$8,$AL$3)/1000</f>
        <v>#VALUE!</v>
      </c>
      <c r="AR38" s="172" t="e">
        <f>_xll.LVCELL($AK$1,AR$3,$AK38,$AL$2,$AK$4,$AK$5,$AK$6,$AK$7,$AK$8,$AL$3)/1000</f>
        <v>#VALUE!</v>
      </c>
      <c r="AS38" s="172" t="e">
        <f>_xll.LVCELL($AK$1,AS$3,$AK38,$AL$2,$AK$4,$AK$5,$AK$6,$AK$7,$AK$8,$AL$3)/1000</f>
        <v>#VALUE!</v>
      </c>
      <c r="AT38" s="172" t="e">
        <f>_xll.LVCELL($AK$1,AT$3,$AK38,$AL$2,$AK$4,$AK$5,$AK$6,$AK$7,$AK$8,$AL$3)/1000</f>
        <v>#VALUE!</v>
      </c>
      <c r="AU38" s="172" t="e">
        <f>_xll.LVCELL($AK$1,AU$3,$AK38,$AL$2,$AK$4,$AK$5,$AK$6,$AK$7,$AK$8,$AL$3)/1000</f>
        <v>#VALUE!</v>
      </c>
      <c r="AV38" s="172" t="e">
        <f>_xll.LVCELL($AK$1,AV$3,$AK38,$AL$2,$AK$4,$AK$5,$AK$6,$AK$7,$AK$8,$AL$3)/1000</f>
        <v>#VALUE!</v>
      </c>
      <c r="AW38" s="172" t="e">
        <f>_xll.LVCELL($AK$1,AW$3,$AK38,$AL$2,$AK$4,$AK$5,$AK$6,$AK$7,$AK$8,$AL$3)/1000</f>
        <v>#VALUE!</v>
      </c>
      <c r="AX38" s="172" t="e">
        <f>_xll.LVCELL($AK$1,AX$3,$AK38,$AL$2,$AK$4,$AK$5,$AK$6,$AK$7,$AK$8,$AL$3)/1000</f>
        <v>#VALUE!</v>
      </c>
      <c r="AY38" s="172" t="e">
        <f>_xll.LVCELL($AK$1,AY$2,$AK38,$AL$2,$AK$4,$AK$5,$AK$6,$AK$7,$AK$8,$AL$3)/1000</f>
        <v>#VALUE!</v>
      </c>
      <c r="AZ38" s="172" t="e">
        <f>_xll.LVCELL($AK$1,AZ$3,$AK38,$AL$2,$AK$4,$AK$5,$AK$6,$AK$7,$AK$8,$AL$3)/1000</f>
        <v>#VALUE!</v>
      </c>
      <c r="BA38" s="172" t="e">
        <f>_xll.LVCELL($AK$1,BA$3,$AK38,$AL$2,$AK$4,$AK$5,$AK$6,$AK$7,$AK$8,$AL$3)/1000</f>
        <v>#VALUE!</v>
      </c>
      <c r="BB38" s="172" t="e">
        <f>_xll.LVCELL($AK$1,BB$3,$AK38,$AL$2,$AK$4,$AK$5,$AK$6,$AK$7,$AK$8,$AL$3)/1000</f>
        <v>#VALUE!</v>
      </c>
      <c r="BC38" s="172" t="e">
        <f>_xll.LVCELL($AK$1,BC$3,$AK38,$AL$2,$AK$4,$AK$5,$AK$6,$AK$7,$AK$8,$AL$3)/1000</f>
        <v>#VALUE!</v>
      </c>
      <c r="BD38" s="172" t="e">
        <f>_xll.LVCELL($AK$1,BD$3,$AK38,$AL$2,$AK$4,$AK$5,$AK$6,$AK$7,$AK$8,$AL$3)/1000</f>
        <v>#VALUE!</v>
      </c>
      <c r="BE38" s="172" t="e">
        <f>_xll.LVCELL($AK$1,BE$3,$AK38,$AL$2,$AK$4,$AK$5,$AK$6,$AK$7,$AK$8,$AL$3)/1000</f>
        <v>#VALUE!</v>
      </c>
      <c r="BF38" s="172" t="e">
        <f>_xll.LVCELL($AK$1,BF$3,$AK38,$AL$2,$AK$4,$AK$5,$AK$6,$AK$7,$AK$8,$AL$3)/1000</f>
        <v>#VALUE!</v>
      </c>
      <c r="BG38" s="172" t="e">
        <f>_xll.LVCELL($AK$1,BG$3,$AK38,$AL$2,$AK$4,$AK$5,$AK$6,$AK$7,$AK$8,$AL$3)/1000</f>
        <v>#VALUE!</v>
      </c>
      <c r="BH38" s="172" t="e">
        <f>_xll.LVCELL($AK$1,BH$3,$AK38,$AL$2,$AK$4,$AK$5,$AK$6,$AK$7,$AK$8,$AL$3)/1000</f>
        <v>#VALUE!</v>
      </c>
      <c r="BI38" s="172" t="e">
        <f>_xll.LVCELL($AK$1,BI$3,$AK38,$AL$2,$AK$4,$AK$5,$AK$6,$AK$7,$AK$8,$AL$3)/1000</f>
        <v>#VALUE!</v>
      </c>
      <c r="BJ38" s="172" t="e">
        <f>_xll.LVCELL($AK$1,BJ$3,$AK38,$AL$2,$AK$4,$AK$5,$AK$6,$AK$7,$AK$8,$AL$3)/1000</f>
        <v>#VALUE!</v>
      </c>
      <c r="BK38" s="172" t="e">
        <f>_xll.LVCELL($AK$1,BK$3,$AK38,$AL$2,$AK$4,$AK$5,$AK$6,$AK$7,$AK$8,$AL$3)/1000</f>
        <v>#VALUE!</v>
      </c>
      <c r="BL38" s="172" t="e">
        <f>_xll.LVCELL($AK$1,BL$2,$AK38,$AL$2,$AK$4,$AK$5,$AK$6,$AK$7,$AK$8,$AL$3)/1000</f>
        <v>#VALUE!</v>
      </c>
      <c r="BM38" s="214" t="e">
        <f t="shared" si="3"/>
        <v>#VALUE!</v>
      </c>
      <c r="BN38" s="217" t="e">
        <f t="shared" si="4"/>
        <v>#VALUE!</v>
      </c>
      <c r="BO38" s="218" t="e">
        <f t="shared" si="4"/>
        <v>#VALUE!</v>
      </c>
      <c r="BP38" s="193" t="e">
        <f t="shared" si="5"/>
        <v>#VALUE!</v>
      </c>
      <c r="BQ38" s="190" t="s">
        <v>2681</v>
      </c>
      <c r="BS38" s="198">
        <f t="shared" si="6"/>
        <v>0</v>
      </c>
      <c r="BT38" s="198">
        <f t="shared" si="7"/>
        <v>0</v>
      </c>
      <c r="BU38" s="198">
        <f t="shared" si="8"/>
        <v>0</v>
      </c>
      <c r="BV38" s="199" t="str">
        <f t="shared" si="9"/>
        <v>N/A</v>
      </c>
      <c r="BX38" s="200" t="e">
        <f t="shared" si="10"/>
        <v>#VALUE!</v>
      </c>
      <c r="BY38" s="200" t="e">
        <f t="shared" si="11"/>
        <v>#VALUE!</v>
      </c>
      <c r="BZ38" s="200" t="e">
        <f t="shared" si="12"/>
        <v>#VALUE!</v>
      </c>
    </row>
    <row r="39" spans="2:78">
      <c r="B39" s="64" t="s">
        <v>444</v>
      </c>
      <c r="C39" s="64" t="s">
        <v>269</v>
      </c>
      <c r="D39" s="192" t="s">
        <v>2643</v>
      </c>
      <c r="E39" s="172" t="e">
        <f>_xll.LVCELL($D$1,E$3,$C39,$D$2,$C$4,$C$5,$C$6,$C$7,$C$8,$D$3)/1000</f>
        <v>#VALUE!</v>
      </c>
      <c r="F39" s="172" t="e">
        <f>_xll.LVCELL($D$1,F$3,$C39,$D$2,$C$4,$C$5,$C$6,$C$7,$C$8,$D$3)/1000</f>
        <v>#VALUE!</v>
      </c>
      <c r="G39" s="172" t="e">
        <f>_xll.LVCELL($D$1,G$3,$C39,$D$2,$C$4,$C$5,$C$6,$C$7,$C$8,$D$3)/1000</f>
        <v>#VALUE!</v>
      </c>
      <c r="H39" s="172" t="e">
        <f>_xll.LVCELL($D$1,H$3,$C39,$D$2,$C$4,$C$5,$C$6,$C$7,$C$8,$D$3)/1000</f>
        <v>#VALUE!</v>
      </c>
      <c r="I39" s="172" t="e">
        <f>_xll.LVCELL($D$1,I$3,$C39,$D$2,$C$4,$C$5,$C$6,$C$7,$C$8,$D$3)/1000</f>
        <v>#VALUE!</v>
      </c>
      <c r="J39" s="172" t="e">
        <f>_xll.LVCELL($D$1,J$3,$C39,$D$2,$C$4,$C$5,$C$6,$C$7,$C$8,$D$3)/1000</f>
        <v>#VALUE!</v>
      </c>
      <c r="K39" s="172" t="e">
        <f>_xll.LVCELL($D$1,K$3,$C39,$D$2,$C$4,$C$5,$C$6,$C$7,$C$8,$D$3)/1000</f>
        <v>#VALUE!</v>
      </c>
      <c r="L39" s="172" t="e">
        <f>_xll.LVCELL($D$1,L$3,$C39,$D$2,$C$4,$C$5,$C$6,$C$7,$C$8,$D$3)/1000</f>
        <v>#VALUE!</v>
      </c>
      <c r="M39" s="172" t="e">
        <f>_xll.LVCELL($D$1,M$3,$C39,$D$2,$C$4,$C$5,$C$6,$C$7,$C$8,$D$3)/1000</f>
        <v>#VALUE!</v>
      </c>
      <c r="N39" s="172" t="e">
        <f>_xll.LVCELL($D$1,N$3,$C39,$D$2,$C$4,$C$5,$C$6,$C$7,$C$8,$D$3)/1000</f>
        <v>#VALUE!</v>
      </c>
      <c r="O39" s="172" t="e">
        <f>_xll.LVCELL($D$1,O$3,$C39,$D$2,$C$4,$C$5,$C$6,$C$7,$C$8,$D$3)/1000</f>
        <v>#VALUE!</v>
      </c>
      <c r="P39" s="172" t="e">
        <f>_xll.LVCELL($D$1,P$3,$C39,$D$2,$C$4,$C$5,$C$6,$C$7,$C$8,$D$3)/1000</f>
        <v>#VALUE!</v>
      </c>
      <c r="Q39" s="172" t="e">
        <f>_xll.LVCELL($D$1,Q$2,$C39,$D$2,$C$4,$C$5,$C$6,$C$7,$C$8,$D$3)/1000</f>
        <v>#VALUE!</v>
      </c>
      <c r="R39" s="172" t="e">
        <f>_xll.LVCELL($D$1,R$3,$C39,$D$2,$C$4,$C$5,$C$6,$C$7,$C$8,$D$3)/1000</f>
        <v>#VALUE!</v>
      </c>
      <c r="S39" s="172" t="e">
        <f>_xll.LVCELL($D$1,S$3,$C39,$D$2,$C$4,$C$5,$C$6,$C$7,$C$8,$D$3)/1000</f>
        <v>#VALUE!</v>
      </c>
      <c r="T39" s="172" t="e">
        <f>_xll.LVCELL($D$1,T$3,$C39,$D$2,$C$4,$C$5,$C$6,$C$7,$C$8,$D$3)/1000</f>
        <v>#VALUE!</v>
      </c>
      <c r="U39" s="172" t="e">
        <f>_xll.LVCELL($D$1,U$3,$C39,$D$2,$C$4,$C$5,$C$6,$C$7,$C$8,$D$3)/1000</f>
        <v>#VALUE!</v>
      </c>
      <c r="V39" s="172" t="e">
        <f>_xll.LVCELL($D$1,V$3,$C39,$D$2,$C$4,$C$5,$C$6,$C$7,$C$8,$D$3)/1000</f>
        <v>#VALUE!</v>
      </c>
      <c r="W39" s="172" t="e">
        <f>_xll.LVCELL($D$1,W$3,$C39,$D$2,$C$4,$C$5,$C$6,$C$7,$C$8,$D$3)/1000</f>
        <v>#VALUE!</v>
      </c>
      <c r="X39" s="172" t="e">
        <f>_xll.LVCELL($D$1,X$3,$C39,$D$2,$C$4,$C$5,$C$6,$C$7,$C$8,$D$3)/1000</f>
        <v>#VALUE!</v>
      </c>
      <c r="Y39" s="172" t="e">
        <f>_xll.LVCELL($D$1,Y$3,$C39,$D$2,$C$4,$C$5,$C$6,$C$7,$C$8,$D$3)/1000</f>
        <v>#VALUE!</v>
      </c>
      <c r="Z39" s="172" t="e">
        <f>_xll.LVCELL($D$1,Z$3,$C39,$D$2,$C$4,$C$5,$C$6,$C$7,$C$8,$D$3)/1000</f>
        <v>#VALUE!</v>
      </c>
      <c r="AA39" s="172" t="e">
        <f>_xll.LVCELL($D$1,AA$3,$C39,$D$2,$C$4,$C$5,$C$6,$C$7,$C$8,$D$3)/1000</f>
        <v>#VALUE!</v>
      </c>
      <c r="AB39" s="172" t="e">
        <f>_xll.LVCELL($D$1,AB$3,$C39,$D$2,$C$4,$C$5,$C$6,$C$7,$C$8,$D$3)/1000</f>
        <v>#VALUE!</v>
      </c>
      <c r="AC39" s="172" t="e">
        <f>_xll.LVCELL($D$1,AC$3,$C39,$D$2,$C$4,$C$5,$C$6,$C$7,$C$8,$D$3)/1000</f>
        <v>#VALUE!</v>
      </c>
      <c r="AD39" s="172" t="e">
        <f>_xll.LVCELL($D$1,AD$2,$C39,$D$2,$C$4,$C$5,$C$6,$C$7,$C$8,$D$3)/1000</f>
        <v>#VALUE!</v>
      </c>
      <c r="AE39" s="172" t="e">
        <f t="shared" si="0"/>
        <v>#VALUE!</v>
      </c>
      <c r="AF39" s="193" t="e">
        <f t="shared" si="1"/>
        <v>#VALUE!</v>
      </c>
      <c r="AG39" s="172" t="s">
        <v>2724</v>
      </c>
      <c r="AH39" s="61" t="e">
        <f t="shared" si="2"/>
        <v>#VALUE!</v>
      </c>
      <c r="AI39" s="64" t="s">
        <v>2768</v>
      </c>
      <c r="AJ39" s="64" t="s">
        <v>444</v>
      </c>
      <c r="AK39" s="64" t="s">
        <v>269</v>
      </c>
      <c r="AL39" s="192" t="s">
        <v>2643</v>
      </c>
      <c r="AM39" s="172" t="e">
        <f>_xll.LVCELL($AK$1,AM$3,$AK39,$AL$2,$AK$4,$AK$5,$AK$6,$AK$7,$AK$8,$AL$3)/1000</f>
        <v>#VALUE!</v>
      </c>
      <c r="AN39" s="172" t="e">
        <f>_xll.LVCELL($AK$1,AN$3,$AK39,$AL$2,$AK$4,$AK$5,$AK$6,$AK$7,$AK$8,$AL$3)/1000</f>
        <v>#VALUE!</v>
      </c>
      <c r="AO39" s="172" t="e">
        <f>_xll.LVCELL($AK$1,AO$3,$AK39,$AL$2,$AK$4,$AK$5,$AK$6,$AK$7,$AK$8,$AL$3)/1000</f>
        <v>#VALUE!</v>
      </c>
      <c r="AP39" s="172" t="e">
        <f>_xll.LVCELL($AK$1,AP$3,$AK39,$AL$2,$AK$4,$AK$5,$AK$6,$AK$7,$AK$8,$AL$3)/1000</f>
        <v>#VALUE!</v>
      </c>
      <c r="AQ39" s="172" t="e">
        <f>_xll.LVCELL($AK$1,AQ$3,$AK39,$AL$2,$AK$4,$AK$5,$AK$6,$AK$7,$AK$8,$AL$3)/1000</f>
        <v>#VALUE!</v>
      </c>
      <c r="AR39" s="172" t="e">
        <f>_xll.LVCELL($AK$1,AR$3,$AK39,$AL$2,$AK$4,$AK$5,$AK$6,$AK$7,$AK$8,$AL$3)/1000</f>
        <v>#VALUE!</v>
      </c>
      <c r="AS39" s="172" t="e">
        <f>_xll.LVCELL($AK$1,AS$3,$AK39,$AL$2,$AK$4,$AK$5,$AK$6,$AK$7,$AK$8,$AL$3)/1000</f>
        <v>#VALUE!</v>
      </c>
      <c r="AT39" s="172" t="e">
        <f>_xll.LVCELL($AK$1,AT$3,$AK39,$AL$2,$AK$4,$AK$5,$AK$6,$AK$7,$AK$8,$AL$3)/1000</f>
        <v>#VALUE!</v>
      </c>
      <c r="AU39" s="172" t="e">
        <f>_xll.LVCELL($AK$1,AU$3,$AK39,$AL$2,$AK$4,$AK$5,$AK$6,$AK$7,$AK$8,$AL$3)/1000</f>
        <v>#VALUE!</v>
      </c>
      <c r="AV39" s="172" t="e">
        <f>_xll.LVCELL($AK$1,AV$3,$AK39,$AL$2,$AK$4,$AK$5,$AK$6,$AK$7,$AK$8,$AL$3)/1000</f>
        <v>#VALUE!</v>
      </c>
      <c r="AW39" s="172" t="e">
        <f>_xll.LVCELL($AK$1,AW$3,$AK39,$AL$2,$AK$4,$AK$5,$AK$6,$AK$7,$AK$8,$AL$3)/1000</f>
        <v>#VALUE!</v>
      </c>
      <c r="AX39" s="172" t="e">
        <f>_xll.LVCELL($AK$1,AX$3,$AK39,$AL$2,$AK$4,$AK$5,$AK$6,$AK$7,$AK$8,$AL$3)/1000</f>
        <v>#VALUE!</v>
      </c>
      <c r="AY39" s="172" t="e">
        <f>_xll.LVCELL($AK$1,AY$2,$AK39,$AL$2,$AK$4,$AK$5,$AK$6,$AK$7,$AK$8,$AL$3)/1000</f>
        <v>#VALUE!</v>
      </c>
      <c r="AZ39" s="172" t="e">
        <f>_xll.LVCELL($AK$1,AZ$3,$AK39,$AL$2,$AK$4,$AK$5,$AK$6,$AK$7,$AK$8,$AL$3)/1000</f>
        <v>#VALUE!</v>
      </c>
      <c r="BA39" s="172" t="e">
        <f>_xll.LVCELL($AK$1,BA$3,$AK39,$AL$2,$AK$4,$AK$5,$AK$6,$AK$7,$AK$8,$AL$3)/1000</f>
        <v>#VALUE!</v>
      </c>
      <c r="BB39" s="172" t="e">
        <f>_xll.LVCELL($AK$1,BB$3,$AK39,$AL$2,$AK$4,$AK$5,$AK$6,$AK$7,$AK$8,$AL$3)/1000</f>
        <v>#VALUE!</v>
      </c>
      <c r="BC39" s="172" t="e">
        <f>_xll.LVCELL($AK$1,BC$3,$AK39,$AL$2,$AK$4,$AK$5,$AK$6,$AK$7,$AK$8,$AL$3)/1000</f>
        <v>#VALUE!</v>
      </c>
      <c r="BD39" s="172" t="e">
        <f>_xll.LVCELL($AK$1,BD$3,$AK39,$AL$2,$AK$4,$AK$5,$AK$6,$AK$7,$AK$8,$AL$3)/1000</f>
        <v>#VALUE!</v>
      </c>
      <c r="BE39" s="172" t="e">
        <f>_xll.LVCELL($AK$1,BE$3,$AK39,$AL$2,$AK$4,$AK$5,$AK$6,$AK$7,$AK$8,$AL$3)/1000</f>
        <v>#VALUE!</v>
      </c>
      <c r="BF39" s="172" t="e">
        <f>_xll.LVCELL($AK$1,BF$3,$AK39,$AL$2,$AK$4,$AK$5,$AK$6,$AK$7,$AK$8,$AL$3)/1000</f>
        <v>#VALUE!</v>
      </c>
      <c r="BG39" s="172" t="e">
        <f>_xll.LVCELL($AK$1,BG$3,$AK39,$AL$2,$AK$4,$AK$5,$AK$6,$AK$7,$AK$8,$AL$3)/1000</f>
        <v>#VALUE!</v>
      </c>
      <c r="BH39" s="172" t="e">
        <f>_xll.LVCELL($AK$1,BH$3,$AK39,$AL$2,$AK$4,$AK$5,$AK$6,$AK$7,$AK$8,$AL$3)/1000</f>
        <v>#VALUE!</v>
      </c>
      <c r="BI39" s="172" t="e">
        <f>_xll.LVCELL($AK$1,BI$3,$AK39,$AL$2,$AK$4,$AK$5,$AK$6,$AK$7,$AK$8,$AL$3)/1000</f>
        <v>#VALUE!</v>
      </c>
      <c r="BJ39" s="172" t="e">
        <f>_xll.LVCELL($AK$1,BJ$3,$AK39,$AL$2,$AK$4,$AK$5,$AK$6,$AK$7,$AK$8,$AL$3)/1000</f>
        <v>#VALUE!</v>
      </c>
      <c r="BK39" s="172" t="e">
        <f>_xll.LVCELL($AK$1,BK$3,$AK39,$AL$2,$AK$4,$AK$5,$AK$6,$AK$7,$AK$8,$AL$3)/1000</f>
        <v>#VALUE!</v>
      </c>
      <c r="BL39" s="172" t="e">
        <f>_xll.LVCELL($AK$1,BL$2,$AK39,$AL$2,$AK$4,$AK$5,$AK$6,$AK$7,$AK$8,$AL$3)/1000</f>
        <v>#VALUE!</v>
      </c>
      <c r="BM39" s="214" t="e">
        <f t="shared" si="3"/>
        <v>#VALUE!</v>
      </c>
      <c r="BN39" s="217" t="e">
        <f t="shared" si="4"/>
        <v>#VALUE!</v>
      </c>
      <c r="BO39" s="218" t="e">
        <f t="shared" si="4"/>
        <v>#VALUE!</v>
      </c>
      <c r="BP39" s="193" t="e">
        <f t="shared" si="5"/>
        <v>#VALUE!</v>
      </c>
      <c r="BQ39" s="190" t="s">
        <v>2683</v>
      </c>
      <c r="BS39" s="198">
        <f t="shared" si="6"/>
        <v>0</v>
      </c>
      <c r="BT39" s="198">
        <f t="shared" si="7"/>
        <v>0</v>
      </c>
      <c r="BU39" s="198">
        <f t="shared" si="8"/>
        <v>0</v>
      </c>
      <c r="BV39" s="199" t="str">
        <f t="shared" si="9"/>
        <v>N/A</v>
      </c>
      <c r="BX39" s="200" t="e">
        <f t="shared" si="10"/>
        <v>#VALUE!</v>
      </c>
      <c r="BY39" s="200" t="e">
        <f t="shared" si="11"/>
        <v>#VALUE!</v>
      </c>
      <c r="BZ39" s="200" t="e">
        <f t="shared" si="12"/>
        <v>#VALUE!</v>
      </c>
    </row>
    <row r="40" spans="2:78">
      <c r="B40" s="64" t="s">
        <v>446</v>
      </c>
      <c r="C40" s="64" t="s">
        <v>270</v>
      </c>
      <c r="D40" s="192" t="s">
        <v>304</v>
      </c>
      <c r="E40" s="172" t="e">
        <f>_xll.LVCELL($D$1,E$3,$C40,$D$2,$C$4,$C$5,$C$6,$C$7,$C$8,$D$3)/1000</f>
        <v>#VALUE!</v>
      </c>
      <c r="F40" s="172" t="e">
        <f>_xll.LVCELL($D$1,F$3,$C40,$D$2,$C$4,$C$5,$C$6,$C$7,$C$8,$D$3)/1000</f>
        <v>#VALUE!</v>
      </c>
      <c r="G40" s="172" t="e">
        <f>_xll.LVCELL($D$1,G$3,$C40,$D$2,$C$4,$C$5,$C$6,$C$7,$C$8,$D$3)/1000</f>
        <v>#VALUE!</v>
      </c>
      <c r="H40" s="172" t="e">
        <f>_xll.LVCELL($D$1,H$3,$C40,$D$2,$C$4,$C$5,$C$6,$C$7,$C$8,$D$3)/1000</f>
        <v>#VALUE!</v>
      </c>
      <c r="I40" s="172" t="e">
        <f>_xll.LVCELL($D$1,I$3,$C40,$D$2,$C$4,$C$5,$C$6,$C$7,$C$8,$D$3)/1000</f>
        <v>#VALUE!</v>
      </c>
      <c r="J40" s="172" t="e">
        <f>_xll.LVCELL($D$1,J$3,$C40,$D$2,$C$4,$C$5,$C$6,$C$7,$C$8,$D$3)/1000</f>
        <v>#VALUE!</v>
      </c>
      <c r="K40" s="172" t="e">
        <f>_xll.LVCELL($D$1,K$3,$C40,$D$2,$C$4,$C$5,$C$6,$C$7,$C$8,$D$3)/1000</f>
        <v>#VALUE!</v>
      </c>
      <c r="L40" s="172" t="e">
        <f>_xll.LVCELL($D$1,L$3,$C40,$D$2,$C$4,$C$5,$C$6,$C$7,$C$8,$D$3)/1000</f>
        <v>#VALUE!</v>
      </c>
      <c r="M40" s="172" t="e">
        <f>_xll.LVCELL($D$1,M$3,$C40,$D$2,$C$4,$C$5,$C$6,$C$7,$C$8,$D$3)/1000</f>
        <v>#VALUE!</v>
      </c>
      <c r="N40" s="172" t="e">
        <f>_xll.LVCELL($D$1,N$3,$C40,$D$2,$C$4,$C$5,$C$6,$C$7,$C$8,$D$3)/1000</f>
        <v>#VALUE!</v>
      </c>
      <c r="O40" s="172" t="e">
        <f>_xll.LVCELL($D$1,O$3,$C40,$D$2,$C$4,$C$5,$C$6,$C$7,$C$8,$D$3)/1000</f>
        <v>#VALUE!</v>
      </c>
      <c r="P40" s="172" t="e">
        <f>_xll.LVCELL($D$1,P$3,$C40,$D$2,$C$4,$C$5,$C$6,$C$7,$C$8,$D$3)/1000</f>
        <v>#VALUE!</v>
      </c>
      <c r="Q40" s="172" t="e">
        <f>_xll.LVCELL($D$1,Q$2,$C40,$D$2,$C$4,$C$5,$C$6,$C$7,$C$8,$D$3)/1000</f>
        <v>#VALUE!</v>
      </c>
      <c r="R40" s="172" t="e">
        <f>_xll.LVCELL($D$1,R$3,$C40,$D$2,$C$4,$C$5,$C$6,$C$7,$C$8,$D$3)/1000</f>
        <v>#VALUE!</v>
      </c>
      <c r="S40" s="172" t="e">
        <f>_xll.LVCELL($D$1,S$3,$C40,$D$2,$C$4,$C$5,$C$6,$C$7,$C$8,$D$3)/1000</f>
        <v>#VALUE!</v>
      </c>
      <c r="T40" s="172" t="e">
        <f>_xll.LVCELL($D$1,T$3,$C40,$D$2,$C$4,$C$5,$C$6,$C$7,$C$8,$D$3)/1000</f>
        <v>#VALUE!</v>
      </c>
      <c r="U40" s="172" t="e">
        <f>_xll.LVCELL($D$1,U$3,$C40,$D$2,$C$4,$C$5,$C$6,$C$7,$C$8,$D$3)/1000</f>
        <v>#VALUE!</v>
      </c>
      <c r="V40" s="172" t="e">
        <f>_xll.LVCELL($D$1,V$3,$C40,$D$2,$C$4,$C$5,$C$6,$C$7,$C$8,$D$3)/1000</f>
        <v>#VALUE!</v>
      </c>
      <c r="W40" s="172" t="e">
        <f>_xll.LVCELL($D$1,W$3,$C40,$D$2,$C$4,$C$5,$C$6,$C$7,$C$8,$D$3)/1000</f>
        <v>#VALUE!</v>
      </c>
      <c r="X40" s="172" t="e">
        <f>_xll.LVCELL($D$1,X$3,$C40,$D$2,$C$4,$C$5,$C$6,$C$7,$C$8,$D$3)/1000</f>
        <v>#VALUE!</v>
      </c>
      <c r="Y40" s="172" t="e">
        <f>_xll.LVCELL($D$1,Y$3,$C40,$D$2,$C$4,$C$5,$C$6,$C$7,$C$8,$D$3)/1000</f>
        <v>#VALUE!</v>
      </c>
      <c r="Z40" s="172" t="e">
        <f>_xll.LVCELL($D$1,Z$3,$C40,$D$2,$C$4,$C$5,$C$6,$C$7,$C$8,$D$3)/1000</f>
        <v>#VALUE!</v>
      </c>
      <c r="AA40" s="172" t="e">
        <f>_xll.LVCELL($D$1,AA$3,$C40,$D$2,$C$4,$C$5,$C$6,$C$7,$C$8,$D$3)/1000</f>
        <v>#VALUE!</v>
      </c>
      <c r="AB40" s="172" t="e">
        <f>_xll.LVCELL($D$1,AB$3,$C40,$D$2,$C$4,$C$5,$C$6,$C$7,$C$8,$D$3)/1000</f>
        <v>#VALUE!</v>
      </c>
      <c r="AC40" s="172" t="e">
        <f>_xll.LVCELL($D$1,AC$3,$C40,$D$2,$C$4,$C$5,$C$6,$C$7,$C$8,$D$3)/1000</f>
        <v>#VALUE!</v>
      </c>
      <c r="AD40" s="172" t="e">
        <f>_xll.LVCELL($D$1,AD$2,$C40,$D$2,$C$4,$C$5,$C$6,$C$7,$C$8,$D$3)/1000</f>
        <v>#VALUE!</v>
      </c>
      <c r="AE40" s="172" t="e">
        <f t="shared" si="0"/>
        <v>#VALUE!</v>
      </c>
      <c r="AF40" s="193" t="e">
        <f t="shared" si="1"/>
        <v>#VALUE!</v>
      </c>
      <c r="AG40" s="172" t="s">
        <v>2725</v>
      </c>
      <c r="AH40" s="61" t="e">
        <f t="shared" si="2"/>
        <v>#VALUE!</v>
      </c>
      <c r="AI40" s="64" t="s">
        <v>2766</v>
      </c>
      <c r="AJ40" s="64" t="s">
        <v>446</v>
      </c>
      <c r="AK40" s="64" t="s">
        <v>270</v>
      </c>
      <c r="AL40" s="192" t="s">
        <v>304</v>
      </c>
      <c r="AM40" s="172" t="e">
        <f>_xll.LVCELL($AK$1,AM$3,$AK40,$AL$2,$AK$4,$AK$5,$AK$6,$AK$7,$AK$8,$AL$3)/1000</f>
        <v>#VALUE!</v>
      </c>
      <c r="AN40" s="172" t="e">
        <f>_xll.LVCELL($AK$1,AN$3,$AK40,$AL$2,$AK$4,$AK$5,$AK$6,$AK$7,$AK$8,$AL$3)/1000</f>
        <v>#VALUE!</v>
      </c>
      <c r="AO40" s="172" t="e">
        <f>_xll.LVCELL($AK$1,AO$3,$AK40,$AL$2,$AK$4,$AK$5,$AK$6,$AK$7,$AK$8,$AL$3)/1000</f>
        <v>#VALUE!</v>
      </c>
      <c r="AP40" s="172" t="e">
        <f>_xll.LVCELL($AK$1,AP$3,$AK40,$AL$2,$AK$4,$AK$5,$AK$6,$AK$7,$AK$8,$AL$3)/1000</f>
        <v>#VALUE!</v>
      </c>
      <c r="AQ40" s="172" t="e">
        <f>_xll.LVCELL($AK$1,AQ$3,$AK40,$AL$2,$AK$4,$AK$5,$AK$6,$AK$7,$AK$8,$AL$3)/1000</f>
        <v>#VALUE!</v>
      </c>
      <c r="AR40" s="172" t="e">
        <f>_xll.LVCELL($AK$1,AR$3,$AK40,$AL$2,$AK$4,$AK$5,$AK$6,$AK$7,$AK$8,$AL$3)/1000</f>
        <v>#VALUE!</v>
      </c>
      <c r="AS40" s="172" t="e">
        <f>_xll.LVCELL($AK$1,AS$3,$AK40,$AL$2,$AK$4,$AK$5,$AK$6,$AK$7,$AK$8,$AL$3)/1000</f>
        <v>#VALUE!</v>
      </c>
      <c r="AT40" s="172" t="e">
        <f>_xll.LVCELL($AK$1,AT$3,$AK40,$AL$2,$AK$4,$AK$5,$AK$6,$AK$7,$AK$8,$AL$3)/1000</f>
        <v>#VALUE!</v>
      </c>
      <c r="AU40" s="172" t="e">
        <f>_xll.LVCELL($AK$1,AU$3,$AK40,$AL$2,$AK$4,$AK$5,$AK$6,$AK$7,$AK$8,$AL$3)/1000</f>
        <v>#VALUE!</v>
      </c>
      <c r="AV40" s="172" t="e">
        <f>_xll.LVCELL($AK$1,AV$3,$AK40,$AL$2,$AK$4,$AK$5,$AK$6,$AK$7,$AK$8,$AL$3)/1000</f>
        <v>#VALUE!</v>
      </c>
      <c r="AW40" s="172" t="e">
        <f>_xll.LVCELL($AK$1,AW$3,$AK40,$AL$2,$AK$4,$AK$5,$AK$6,$AK$7,$AK$8,$AL$3)/1000</f>
        <v>#VALUE!</v>
      </c>
      <c r="AX40" s="172" t="e">
        <f>_xll.LVCELL($AK$1,AX$3,$AK40,$AL$2,$AK$4,$AK$5,$AK$6,$AK$7,$AK$8,$AL$3)/1000</f>
        <v>#VALUE!</v>
      </c>
      <c r="AY40" s="172" t="e">
        <f>_xll.LVCELL($AK$1,AY$2,$AK40,$AL$2,$AK$4,$AK$5,$AK$6,$AK$7,$AK$8,$AL$3)/1000</f>
        <v>#VALUE!</v>
      </c>
      <c r="AZ40" s="172" t="e">
        <f>_xll.LVCELL($AK$1,AZ$3,$AK40,$AL$2,$AK$4,$AK$5,$AK$6,$AK$7,$AK$8,$AL$3)/1000</f>
        <v>#VALUE!</v>
      </c>
      <c r="BA40" s="172" t="e">
        <f>_xll.LVCELL($AK$1,BA$3,$AK40,$AL$2,$AK$4,$AK$5,$AK$6,$AK$7,$AK$8,$AL$3)/1000</f>
        <v>#VALUE!</v>
      </c>
      <c r="BB40" s="172" t="e">
        <f>_xll.LVCELL($AK$1,BB$3,$AK40,$AL$2,$AK$4,$AK$5,$AK$6,$AK$7,$AK$8,$AL$3)/1000</f>
        <v>#VALUE!</v>
      </c>
      <c r="BC40" s="172" t="e">
        <f>_xll.LVCELL($AK$1,BC$3,$AK40,$AL$2,$AK$4,$AK$5,$AK$6,$AK$7,$AK$8,$AL$3)/1000</f>
        <v>#VALUE!</v>
      </c>
      <c r="BD40" s="172" t="e">
        <f>_xll.LVCELL($AK$1,BD$3,$AK40,$AL$2,$AK$4,$AK$5,$AK$6,$AK$7,$AK$8,$AL$3)/1000</f>
        <v>#VALUE!</v>
      </c>
      <c r="BE40" s="172" t="e">
        <f>_xll.LVCELL($AK$1,BE$3,$AK40,$AL$2,$AK$4,$AK$5,$AK$6,$AK$7,$AK$8,$AL$3)/1000</f>
        <v>#VALUE!</v>
      </c>
      <c r="BF40" s="172" t="e">
        <f>_xll.LVCELL($AK$1,BF$3,$AK40,$AL$2,$AK$4,$AK$5,$AK$6,$AK$7,$AK$8,$AL$3)/1000</f>
        <v>#VALUE!</v>
      </c>
      <c r="BG40" s="172" t="e">
        <f>_xll.LVCELL($AK$1,BG$3,$AK40,$AL$2,$AK$4,$AK$5,$AK$6,$AK$7,$AK$8,$AL$3)/1000</f>
        <v>#VALUE!</v>
      </c>
      <c r="BH40" s="172" t="e">
        <f>_xll.LVCELL($AK$1,BH$3,$AK40,$AL$2,$AK$4,$AK$5,$AK$6,$AK$7,$AK$8,$AL$3)/1000</f>
        <v>#VALUE!</v>
      </c>
      <c r="BI40" s="172" t="e">
        <f>_xll.LVCELL($AK$1,BI$3,$AK40,$AL$2,$AK$4,$AK$5,$AK$6,$AK$7,$AK$8,$AL$3)/1000</f>
        <v>#VALUE!</v>
      </c>
      <c r="BJ40" s="172" t="e">
        <f>_xll.LVCELL($AK$1,BJ$3,$AK40,$AL$2,$AK$4,$AK$5,$AK$6,$AK$7,$AK$8,$AL$3)/1000</f>
        <v>#VALUE!</v>
      </c>
      <c r="BK40" s="172" t="e">
        <f>_xll.LVCELL($AK$1,BK$3,$AK40,$AL$2,$AK$4,$AK$5,$AK$6,$AK$7,$AK$8,$AL$3)/1000</f>
        <v>#VALUE!</v>
      </c>
      <c r="BL40" s="172" t="e">
        <f>_xll.LVCELL($AK$1,BL$2,$AK40,$AL$2,$AK$4,$AK$5,$AK$6,$AK$7,$AK$8,$AL$3)/1000</f>
        <v>#VALUE!</v>
      </c>
      <c r="BM40" s="214" t="e">
        <f t="shared" si="3"/>
        <v>#VALUE!</v>
      </c>
      <c r="BN40" s="217" t="e">
        <f t="shared" si="4"/>
        <v>#VALUE!</v>
      </c>
      <c r="BO40" s="218" t="e">
        <f t="shared" si="4"/>
        <v>#VALUE!</v>
      </c>
      <c r="BP40" s="193" t="e">
        <f t="shared" si="5"/>
        <v>#VALUE!</v>
      </c>
      <c r="BQ40" s="190" t="s">
        <v>2684</v>
      </c>
      <c r="BS40" s="198">
        <f t="shared" si="6"/>
        <v>0</v>
      </c>
      <c r="BT40" s="198">
        <f t="shared" si="7"/>
        <v>0</v>
      </c>
      <c r="BU40" s="198">
        <f t="shared" si="8"/>
        <v>0</v>
      </c>
      <c r="BV40" s="199" t="str">
        <f t="shared" si="9"/>
        <v>N/A</v>
      </c>
      <c r="BX40" s="200" t="e">
        <f t="shared" si="10"/>
        <v>#VALUE!</v>
      </c>
      <c r="BY40" s="200" t="e">
        <f t="shared" si="11"/>
        <v>#VALUE!</v>
      </c>
      <c r="BZ40" s="200" t="e">
        <f t="shared" si="12"/>
        <v>#VALUE!</v>
      </c>
    </row>
    <row r="41" spans="2:78">
      <c r="B41" s="64" t="s">
        <v>448</v>
      </c>
      <c r="C41" s="64" t="s">
        <v>271</v>
      </c>
      <c r="D41" s="192" t="s">
        <v>2635</v>
      </c>
      <c r="E41" s="172" t="e">
        <f>_xll.LVCELL($D$1,E$3,$C41,$D$2,$C$4,$C$5,$C$6,$C$7,$C$8,$D$3)/1000</f>
        <v>#VALUE!</v>
      </c>
      <c r="F41" s="172" t="e">
        <f>_xll.LVCELL($D$1,F$3,$C41,$D$2,$C$4,$C$5,$C$6,$C$7,$C$8,$D$3)/1000</f>
        <v>#VALUE!</v>
      </c>
      <c r="G41" s="172" t="e">
        <f>_xll.LVCELL($D$1,G$3,$C41,$D$2,$C$4,$C$5,$C$6,$C$7,$C$8,$D$3)/1000</f>
        <v>#VALUE!</v>
      </c>
      <c r="H41" s="172" t="e">
        <f>_xll.LVCELL($D$1,H$3,$C41,$D$2,$C$4,$C$5,$C$6,$C$7,$C$8,$D$3)/1000</f>
        <v>#VALUE!</v>
      </c>
      <c r="I41" s="172" t="e">
        <f>_xll.LVCELL($D$1,I$3,$C41,$D$2,$C$4,$C$5,$C$6,$C$7,$C$8,$D$3)/1000</f>
        <v>#VALUE!</v>
      </c>
      <c r="J41" s="172" t="e">
        <f>_xll.LVCELL($D$1,J$3,$C41,$D$2,$C$4,$C$5,$C$6,$C$7,$C$8,$D$3)/1000</f>
        <v>#VALUE!</v>
      </c>
      <c r="K41" s="172" t="e">
        <f>_xll.LVCELL($D$1,K$3,$C41,$D$2,$C$4,$C$5,$C$6,$C$7,$C$8,$D$3)/1000</f>
        <v>#VALUE!</v>
      </c>
      <c r="L41" s="172" t="e">
        <f>_xll.LVCELL($D$1,L$3,$C41,$D$2,$C$4,$C$5,$C$6,$C$7,$C$8,$D$3)/1000</f>
        <v>#VALUE!</v>
      </c>
      <c r="M41" s="172" t="e">
        <f>_xll.LVCELL($D$1,M$3,$C41,$D$2,$C$4,$C$5,$C$6,$C$7,$C$8,$D$3)/1000</f>
        <v>#VALUE!</v>
      </c>
      <c r="N41" s="172" t="e">
        <f>_xll.LVCELL($D$1,N$3,$C41,$D$2,$C$4,$C$5,$C$6,$C$7,$C$8,$D$3)/1000</f>
        <v>#VALUE!</v>
      </c>
      <c r="O41" s="172" t="e">
        <f>_xll.LVCELL($D$1,O$3,$C41,$D$2,$C$4,$C$5,$C$6,$C$7,$C$8,$D$3)/1000</f>
        <v>#VALUE!</v>
      </c>
      <c r="P41" s="172" t="e">
        <f>_xll.LVCELL($D$1,P$3,$C41,$D$2,$C$4,$C$5,$C$6,$C$7,$C$8,$D$3)/1000</f>
        <v>#VALUE!</v>
      </c>
      <c r="Q41" s="172" t="e">
        <f>_xll.LVCELL($D$1,Q$2,$C41,$D$2,$C$4,$C$5,$C$6,$C$7,$C$8,$D$3)/1000</f>
        <v>#VALUE!</v>
      </c>
      <c r="R41" s="172" t="e">
        <f>_xll.LVCELL($D$1,R$3,$C41,$D$2,$C$4,$C$5,$C$6,$C$7,$C$8,$D$3)/1000</f>
        <v>#VALUE!</v>
      </c>
      <c r="S41" s="172" t="e">
        <f>_xll.LVCELL($D$1,S$3,$C41,$D$2,$C$4,$C$5,$C$6,$C$7,$C$8,$D$3)/1000</f>
        <v>#VALUE!</v>
      </c>
      <c r="T41" s="172" t="e">
        <f>_xll.LVCELL($D$1,T$3,$C41,$D$2,$C$4,$C$5,$C$6,$C$7,$C$8,$D$3)/1000</f>
        <v>#VALUE!</v>
      </c>
      <c r="U41" s="172" t="e">
        <f>_xll.LVCELL($D$1,U$3,$C41,$D$2,$C$4,$C$5,$C$6,$C$7,$C$8,$D$3)/1000</f>
        <v>#VALUE!</v>
      </c>
      <c r="V41" s="172" t="e">
        <f>_xll.LVCELL($D$1,V$3,$C41,$D$2,$C$4,$C$5,$C$6,$C$7,$C$8,$D$3)/1000</f>
        <v>#VALUE!</v>
      </c>
      <c r="W41" s="172" t="e">
        <f>_xll.LVCELL($D$1,W$3,$C41,$D$2,$C$4,$C$5,$C$6,$C$7,$C$8,$D$3)/1000</f>
        <v>#VALUE!</v>
      </c>
      <c r="X41" s="172" t="e">
        <f>_xll.LVCELL($D$1,X$3,$C41,$D$2,$C$4,$C$5,$C$6,$C$7,$C$8,$D$3)/1000</f>
        <v>#VALUE!</v>
      </c>
      <c r="Y41" s="172" t="e">
        <f>_xll.LVCELL($D$1,Y$3,$C41,$D$2,$C$4,$C$5,$C$6,$C$7,$C$8,$D$3)/1000</f>
        <v>#VALUE!</v>
      </c>
      <c r="Z41" s="172" t="e">
        <f>_xll.LVCELL($D$1,Z$3,$C41,$D$2,$C$4,$C$5,$C$6,$C$7,$C$8,$D$3)/1000</f>
        <v>#VALUE!</v>
      </c>
      <c r="AA41" s="172" t="e">
        <f>_xll.LVCELL($D$1,AA$3,$C41,$D$2,$C$4,$C$5,$C$6,$C$7,$C$8,$D$3)/1000</f>
        <v>#VALUE!</v>
      </c>
      <c r="AB41" s="172" t="e">
        <f>_xll.LVCELL($D$1,AB$3,$C41,$D$2,$C$4,$C$5,$C$6,$C$7,$C$8,$D$3)/1000</f>
        <v>#VALUE!</v>
      </c>
      <c r="AC41" s="172" t="e">
        <f>_xll.LVCELL($D$1,AC$3,$C41,$D$2,$C$4,$C$5,$C$6,$C$7,$C$8,$D$3)/1000</f>
        <v>#VALUE!</v>
      </c>
      <c r="AD41" s="172" t="e">
        <f>_xll.LVCELL($D$1,AD$2,$C41,$D$2,$C$4,$C$5,$C$6,$C$7,$C$8,$D$3)/1000</f>
        <v>#VALUE!</v>
      </c>
      <c r="AE41" s="172" t="e">
        <f t="shared" si="0"/>
        <v>#VALUE!</v>
      </c>
      <c r="AF41" s="193" t="e">
        <f t="shared" si="1"/>
        <v>#VALUE!</v>
      </c>
      <c r="AG41" s="172" t="s">
        <v>2724</v>
      </c>
      <c r="AH41" s="61" t="e">
        <f t="shared" si="2"/>
        <v>#VALUE!</v>
      </c>
      <c r="AI41" s="64" t="s">
        <v>2768</v>
      </c>
      <c r="AJ41" s="64" t="s">
        <v>448</v>
      </c>
      <c r="AK41" s="64" t="s">
        <v>271</v>
      </c>
      <c r="AL41" s="192" t="s">
        <v>2635</v>
      </c>
      <c r="AM41" s="172" t="e">
        <f>_xll.LVCELL($AK$1,AM$3,$AK41,$AL$2,$AK$4,$AK$5,$AK$6,$AK$7,$AK$8,$AL$3)/1000</f>
        <v>#VALUE!</v>
      </c>
      <c r="AN41" s="172" t="e">
        <f>_xll.LVCELL($AK$1,AN$3,$AK41,$AL$2,$AK$4,$AK$5,$AK$6,$AK$7,$AK$8,$AL$3)/1000</f>
        <v>#VALUE!</v>
      </c>
      <c r="AO41" s="172" t="e">
        <f>_xll.LVCELL($AK$1,AO$3,$AK41,$AL$2,$AK$4,$AK$5,$AK$6,$AK$7,$AK$8,$AL$3)/1000</f>
        <v>#VALUE!</v>
      </c>
      <c r="AP41" s="172" t="e">
        <f>_xll.LVCELL($AK$1,AP$3,$AK41,$AL$2,$AK$4,$AK$5,$AK$6,$AK$7,$AK$8,$AL$3)/1000</f>
        <v>#VALUE!</v>
      </c>
      <c r="AQ41" s="172" t="e">
        <f>_xll.LVCELL($AK$1,AQ$3,$AK41,$AL$2,$AK$4,$AK$5,$AK$6,$AK$7,$AK$8,$AL$3)/1000</f>
        <v>#VALUE!</v>
      </c>
      <c r="AR41" s="172" t="e">
        <f>_xll.LVCELL($AK$1,AR$3,$AK41,$AL$2,$AK$4,$AK$5,$AK$6,$AK$7,$AK$8,$AL$3)/1000</f>
        <v>#VALUE!</v>
      </c>
      <c r="AS41" s="172" t="e">
        <f>_xll.LVCELL($AK$1,AS$3,$AK41,$AL$2,$AK$4,$AK$5,$AK$6,$AK$7,$AK$8,$AL$3)/1000</f>
        <v>#VALUE!</v>
      </c>
      <c r="AT41" s="172" t="e">
        <f>_xll.LVCELL($AK$1,AT$3,$AK41,$AL$2,$AK$4,$AK$5,$AK$6,$AK$7,$AK$8,$AL$3)/1000</f>
        <v>#VALUE!</v>
      </c>
      <c r="AU41" s="172" t="e">
        <f>_xll.LVCELL($AK$1,AU$3,$AK41,$AL$2,$AK$4,$AK$5,$AK$6,$AK$7,$AK$8,$AL$3)/1000</f>
        <v>#VALUE!</v>
      </c>
      <c r="AV41" s="172" t="e">
        <f>_xll.LVCELL($AK$1,AV$3,$AK41,$AL$2,$AK$4,$AK$5,$AK$6,$AK$7,$AK$8,$AL$3)/1000</f>
        <v>#VALUE!</v>
      </c>
      <c r="AW41" s="172" t="e">
        <f>_xll.LVCELL($AK$1,AW$3,$AK41,$AL$2,$AK$4,$AK$5,$AK$6,$AK$7,$AK$8,$AL$3)/1000</f>
        <v>#VALUE!</v>
      </c>
      <c r="AX41" s="172" t="e">
        <f>_xll.LVCELL($AK$1,AX$3,$AK41,$AL$2,$AK$4,$AK$5,$AK$6,$AK$7,$AK$8,$AL$3)/1000</f>
        <v>#VALUE!</v>
      </c>
      <c r="AY41" s="172" t="e">
        <f>_xll.LVCELL($AK$1,AY$2,$AK41,$AL$2,$AK$4,$AK$5,$AK$6,$AK$7,$AK$8,$AL$3)/1000</f>
        <v>#VALUE!</v>
      </c>
      <c r="AZ41" s="172" t="e">
        <f>_xll.LVCELL($AK$1,AZ$3,$AK41,$AL$2,$AK$4,$AK$5,$AK$6,$AK$7,$AK$8,$AL$3)/1000</f>
        <v>#VALUE!</v>
      </c>
      <c r="BA41" s="172" t="e">
        <f>_xll.LVCELL($AK$1,BA$3,$AK41,$AL$2,$AK$4,$AK$5,$AK$6,$AK$7,$AK$8,$AL$3)/1000</f>
        <v>#VALUE!</v>
      </c>
      <c r="BB41" s="172" t="e">
        <f>_xll.LVCELL($AK$1,BB$3,$AK41,$AL$2,$AK$4,$AK$5,$AK$6,$AK$7,$AK$8,$AL$3)/1000</f>
        <v>#VALUE!</v>
      </c>
      <c r="BC41" s="172" t="e">
        <f>_xll.LVCELL($AK$1,BC$3,$AK41,$AL$2,$AK$4,$AK$5,$AK$6,$AK$7,$AK$8,$AL$3)/1000</f>
        <v>#VALUE!</v>
      </c>
      <c r="BD41" s="172" t="e">
        <f>_xll.LVCELL($AK$1,BD$3,$AK41,$AL$2,$AK$4,$AK$5,$AK$6,$AK$7,$AK$8,$AL$3)/1000</f>
        <v>#VALUE!</v>
      </c>
      <c r="BE41" s="172" t="e">
        <f>_xll.LVCELL($AK$1,BE$3,$AK41,$AL$2,$AK$4,$AK$5,$AK$6,$AK$7,$AK$8,$AL$3)/1000</f>
        <v>#VALUE!</v>
      </c>
      <c r="BF41" s="172" t="e">
        <f>_xll.LVCELL($AK$1,BF$3,$AK41,$AL$2,$AK$4,$AK$5,$AK$6,$AK$7,$AK$8,$AL$3)/1000</f>
        <v>#VALUE!</v>
      </c>
      <c r="BG41" s="172" t="e">
        <f>_xll.LVCELL($AK$1,BG$3,$AK41,$AL$2,$AK$4,$AK$5,$AK$6,$AK$7,$AK$8,$AL$3)/1000</f>
        <v>#VALUE!</v>
      </c>
      <c r="BH41" s="172" t="e">
        <f>_xll.LVCELL($AK$1,BH$3,$AK41,$AL$2,$AK$4,$AK$5,$AK$6,$AK$7,$AK$8,$AL$3)/1000</f>
        <v>#VALUE!</v>
      </c>
      <c r="BI41" s="172" t="e">
        <f>_xll.LVCELL($AK$1,BI$3,$AK41,$AL$2,$AK$4,$AK$5,$AK$6,$AK$7,$AK$8,$AL$3)/1000</f>
        <v>#VALUE!</v>
      </c>
      <c r="BJ41" s="172" t="e">
        <f>_xll.LVCELL($AK$1,BJ$3,$AK41,$AL$2,$AK$4,$AK$5,$AK$6,$AK$7,$AK$8,$AL$3)/1000</f>
        <v>#VALUE!</v>
      </c>
      <c r="BK41" s="172" t="e">
        <f>_xll.LVCELL($AK$1,BK$3,$AK41,$AL$2,$AK$4,$AK$5,$AK$6,$AK$7,$AK$8,$AL$3)/1000</f>
        <v>#VALUE!</v>
      </c>
      <c r="BL41" s="172" t="e">
        <f>_xll.LVCELL($AK$1,BL$2,$AK41,$AL$2,$AK$4,$AK$5,$AK$6,$AK$7,$AK$8,$AL$3)/1000</f>
        <v>#VALUE!</v>
      </c>
      <c r="BM41" s="214" t="e">
        <f t="shared" si="3"/>
        <v>#VALUE!</v>
      </c>
      <c r="BN41" s="217" t="e">
        <f t="shared" si="4"/>
        <v>#VALUE!</v>
      </c>
      <c r="BO41" s="218" t="e">
        <f t="shared" si="4"/>
        <v>#VALUE!</v>
      </c>
      <c r="BP41" s="193" t="e">
        <f t="shared" si="5"/>
        <v>#VALUE!</v>
      </c>
      <c r="BQ41" s="190" t="s">
        <v>2688</v>
      </c>
      <c r="BS41" s="198">
        <f t="shared" si="6"/>
        <v>0</v>
      </c>
      <c r="BT41" s="198">
        <f t="shared" si="7"/>
        <v>0</v>
      </c>
      <c r="BU41" s="198">
        <f t="shared" si="8"/>
        <v>0</v>
      </c>
      <c r="BV41" s="199" t="str">
        <f t="shared" si="9"/>
        <v>N/A</v>
      </c>
      <c r="BX41" s="200" t="e">
        <f t="shared" si="10"/>
        <v>#VALUE!</v>
      </c>
      <c r="BY41" s="200" t="e">
        <f t="shared" si="11"/>
        <v>#VALUE!</v>
      </c>
      <c r="BZ41" s="200" t="e">
        <f t="shared" si="12"/>
        <v>#VALUE!</v>
      </c>
    </row>
    <row r="42" spans="2:78">
      <c r="B42" s="64" t="s">
        <v>452</v>
      </c>
      <c r="C42" s="64" t="s">
        <v>272</v>
      </c>
      <c r="D42" s="192" t="s">
        <v>305</v>
      </c>
      <c r="E42" s="172" t="e">
        <f>_xll.LVCELL($D$1,E$3,$C42,$D$2,$C$4,$C$5,$C$6,$C$7,$C$8,$D$3)/1000</f>
        <v>#VALUE!</v>
      </c>
      <c r="F42" s="172" t="e">
        <f>_xll.LVCELL($D$1,F$3,$C42,$D$2,$C$4,$C$5,$C$6,$C$7,$C$8,$D$3)/1000</f>
        <v>#VALUE!</v>
      </c>
      <c r="G42" s="172" t="e">
        <f>_xll.LVCELL($D$1,G$3,$C42,$D$2,$C$4,$C$5,$C$6,$C$7,$C$8,$D$3)/1000</f>
        <v>#VALUE!</v>
      </c>
      <c r="H42" s="172" t="e">
        <f>_xll.LVCELL($D$1,H$3,$C42,$D$2,$C$4,$C$5,$C$6,$C$7,$C$8,$D$3)/1000</f>
        <v>#VALUE!</v>
      </c>
      <c r="I42" s="172" t="e">
        <f>_xll.LVCELL($D$1,I$3,$C42,$D$2,$C$4,$C$5,$C$6,$C$7,$C$8,$D$3)/1000</f>
        <v>#VALUE!</v>
      </c>
      <c r="J42" s="172" t="e">
        <f>_xll.LVCELL($D$1,J$3,$C42,$D$2,$C$4,$C$5,$C$6,$C$7,$C$8,$D$3)/1000</f>
        <v>#VALUE!</v>
      </c>
      <c r="K42" s="172" t="e">
        <f>_xll.LVCELL($D$1,K$3,$C42,$D$2,$C$4,$C$5,$C$6,$C$7,$C$8,$D$3)/1000</f>
        <v>#VALUE!</v>
      </c>
      <c r="L42" s="172" t="e">
        <f>_xll.LVCELL($D$1,L$3,$C42,$D$2,$C$4,$C$5,$C$6,$C$7,$C$8,$D$3)/1000</f>
        <v>#VALUE!</v>
      </c>
      <c r="M42" s="172" t="e">
        <f>_xll.LVCELL($D$1,M$3,$C42,$D$2,$C$4,$C$5,$C$6,$C$7,$C$8,$D$3)/1000</f>
        <v>#VALUE!</v>
      </c>
      <c r="N42" s="172" t="e">
        <f>_xll.LVCELL($D$1,N$3,$C42,$D$2,$C$4,$C$5,$C$6,$C$7,$C$8,$D$3)/1000</f>
        <v>#VALUE!</v>
      </c>
      <c r="O42" s="172" t="e">
        <f>_xll.LVCELL($D$1,O$3,$C42,$D$2,$C$4,$C$5,$C$6,$C$7,$C$8,$D$3)/1000</f>
        <v>#VALUE!</v>
      </c>
      <c r="P42" s="172" t="e">
        <f>_xll.LVCELL($D$1,P$3,$C42,$D$2,$C$4,$C$5,$C$6,$C$7,$C$8,$D$3)/1000</f>
        <v>#VALUE!</v>
      </c>
      <c r="Q42" s="172" t="e">
        <f>_xll.LVCELL($D$1,Q$2,$C42,$D$2,$C$4,$C$5,$C$6,$C$7,$C$8,$D$3)/1000</f>
        <v>#VALUE!</v>
      </c>
      <c r="R42" s="172" t="e">
        <f>_xll.LVCELL($D$1,R$3,$C42,$D$2,$C$4,$C$5,$C$6,$C$7,$C$8,$D$3)/1000</f>
        <v>#VALUE!</v>
      </c>
      <c r="S42" s="172" t="e">
        <f>_xll.LVCELL($D$1,S$3,$C42,$D$2,$C$4,$C$5,$C$6,$C$7,$C$8,$D$3)/1000</f>
        <v>#VALUE!</v>
      </c>
      <c r="T42" s="172" t="e">
        <f>_xll.LVCELL($D$1,T$3,$C42,$D$2,$C$4,$C$5,$C$6,$C$7,$C$8,$D$3)/1000</f>
        <v>#VALUE!</v>
      </c>
      <c r="U42" s="172" t="e">
        <f>_xll.LVCELL($D$1,U$3,$C42,$D$2,$C$4,$C$5,$C$6,$C$7,$C$8,$D$3)/1000</f>
        <v>#VALUE!</v>
      </c>
      <c r="V42" s="172" t="e">
        <f>_xll.LVCELL($D$1,V$3,$C42,$D$2,$C$4,$C$5,$C$6,$C$7,$C$8,$D$3)/1000</f>
        <v>#VALUE!</v>
      </c>
      <c r="W42" s="172" t="e">
        <f>_xll.LVCELL($D$1,W$3,$C42,$D$2,$C$4,$C$5,$C$6,$C$7,$C$8,$D$3)/1000</f>
        <v>#VALUE!</v>
      </c>
      <c r="X42" s="172" t="e">
        <f>_xll.LVCELL($D$1,X$3,$C42,$D$2,$C$4,$C$5,$C$6,$C$7,$C$8,$D$3)/1000</f>
        <v>#VALUE!</v>
      </c>
      <c r="Y42" s="172" t="e">
        <f>_xll.LVCELL($D$1,Y$3,$C42,$D$2,$C$4,$C$5,$C$6,$C$7,$C$8,$D$3)/1000</f>
        <v>#VALUE!</v>
      </c>
      <c r="Z42" s="172" t="e">
        <f>_xll.LVCELL($D$1,Z$3,$C42,$D$2,$C$4,$C$5,$C$6,$C$7,$C$8,$D$3)/1000</f>
        <v>#VALUE!</v>
      </c>
      <c r="AA42" s="172" t="e">
        <f>_xll.LVCELL($D$1,AA$3,$C42,$D$2,$C$4,$C$5,$C$6,$C$7,$C$8,$D$3)/1000</f>
        <v>#VALUE!</v>
      </c>
      <c r="AB42" s="172" t="e">
        <f>_xll.LVCELL($D$1,AB$3,$C42,$D$2,$C$4,$C$5,$C$6,$C$7,$C$8,$D$3)/1000</f>
        <v>#VALUE!</v>
      </c>
      <c r="AC42" s="172" t="e">
        <f>_xll.LVCELL($D$1,AC$3,$C42,$D$2,$C$4,$C$5,$C$6,$C$7,$C$8,$D$3)/1000</f>
        <v>#VALUE!</v>
      </c>
      <c r="AD42" s="172" t="e">
        <f>_xll.LVCELL($D$1,AD$2,$C42,$D$2,$C$4,$C$5,$C$6,$C$7,$C$8,$D$3)/1000</f>
        <v>#VALUE!</v>
      </c>
      <c r="AE42" s="172" t="e">
        <f t="shared" si="0"/>
        <v>#VALUE!</v>
      </c>
      <c r="AF42" s="193" t="e">
        <f t="shared" si="1"/>
        <v>#VALUE!</v>
      </c>
      <c r="AG42" s="172" t="s">
        <v>2725</v>
      </c>
      <c r="AH42" s="61" t="e">
        <f t="shared" si="2"/>
        <v>#VALUE!</v>
      </c>
      <c r="AI42" s="64" t="s">
        <v>2768</v>
      </c>
      <c r="AJ42" s="64" t="s">
        <v>452</v>
      </c>
      <c r="AK42" s="64" t="s">
        <v>272</v>
      </c>
      <c r="AL42" s="192" t="s">
        <v>305</v>
      </c>
      <c r="AM42" s="172" t="e">
        <f>_xll.LVCELL($AK$1,AM$3,$AK42,$AL$2,$AK$4,$AK$5,$AK$6,$AK$7,$AK$8,$AL$3)/1000</f>
        <v>#VALUE!</v>
      </c>
      <c r="AN42" s="172" t="e">
        <f>_xll.LVCELL($AK$1,AN$3,$AK42,$AL$2,$AK$4,$AK$5,$AK$6,$AK$7,$AK$8,$AL$3)/1000</f>
        <v>#VALUE!</v>
      </c>
      <c r="AO42" s="172" t="e">
        <f>_xll.LVCELL($AK$1,AO$3,$AK42,$AL$2,$AK$4,$AK$5,$AK$6,$AK$7,$AK$8,$AL$3)/1000</f>
        <v>#VALUE!</v>
      </c>
      <c r="AP42" s="172" t="e">
        <f>_xll.LVCELL($AK$1,AP$3,$AK42,$AL$2,$AK$4,$AK$5,$AK$6,$AK$7,$AK$8,$AL$3)/1000</f>
        <v>#VALUE!</v>
      </c>
      <c r="AQ42" s="172" t="e">
        <f>_xll.LVCELL($AK$1,AQ$3,$AK42,$AL$2,$AK$4,$AK$5,$AK$6,$AK$7,$AK$8,$AL$3)/1000</f>
        <v>#VALUE!</v>
      </c>
      <c r="AR42" s="172" t="e">
        <f>_xll.LVCELL($AK$1,AR$3,$AK42,$AL$2,$AK$4,$AK$5,$AK$6,$AK$7,$AK$8,$AL$3)/1000</f>
        <v>#VALUE!</v>
      </c>
      <c r="AS42" s="172" t="e">
        <f>_xll.LVCELL($AK$1,AS$3,$AK42,$AL$2,$AK$4,$AK$5,$AK$6,$AK$7,$AK$8,$AL$3)/1000</f>
        <v>#VALUE!</v>
      </c>
      <c r="AT42" s="172" t="e">
        <f>_xll.LVCELL($AK$1,AT$3,$AK42,$AL$2,$AK$4,$AK$5,$AK$6,$AK$7,$AK$8,$AL$3)/1000</f>
        <v>#VALUE!</v>
      </c>
      <c r="AU42" s="172" t="e">
        <f>_xll.LVCELL($AK$1,AU$3,$AK42,$AL$2,$AK$4,$AK$5,$AK$6,$AK$7,$AK$8,$AL$3)/1000</f>
        <v>#VALUE!</v>
      </c>
      <c r="AV42" s="172" t="e">
        <f>_xll.LVCELL($AK$1,AV$3,$AK42,$AL$2,$AK$4,$AK$5,$AK$6,$AK$7,$AK$8,$AL$3)/1000</f>
        <v>#VALUE!</v>
      </c>
      <c r="AW42" s="172" t="e">
        <f>_xll.LVCELL($AK$1,AW$3,$AK42,$AL$2,$AK$4,$AK$5,$AK$6,$AK$7,$AK$8,$AL$3)/1000</f>
        <v>#VALUE!</v>
      </c>
      <c r="AX42" s="172" t="e">
        <f>_xll.LVCELL($AK$1,AX$3,$AK42,$AL$2,$AK$4,$AK$5,$AK$6,$AK$7,$AK$8,$AL$3)/1000</f>
        <v>#VALUE!</v>
      </c>
      <c r="AY42" s="172" t="e">
        <f>_xll.LVCELL($AK$1,AY$2,$AK42,$AL$2,$AK$4,$AK$5,$AK$6,$AK$7,$AK$8,$AL$3)/1000</f>
        <v>#VALUE!</v>
      </c>
      <c r="AZ42" s="172" t="e">
        <f>_xll.LVCELL($AK$1,AZ$3,$AK42,$AL$2,$AK$4,$AK$5,$AK$6,$AK$7,$AK$8,$AL$3)/1000</f>
        <v>#VALUE!</v>
      </c>
      <c r="BA42" s="172" t="e">
        <f>_xll.LVCELL($AK$1,BA$3,$AK42,$AL$2,$AK$4,$AK$5,$AK$6,$AK$7,$AK$8,$AL$3)/1000</f>
        <v>#VALUE!</v>
      </c>
      <c r="BB42" s="172" t="e">
        <f>_xll.LVCELL($AK$1,BB$3,$AK42,$AL$2,$AK$4,$AK$5,$AK$6,$AK$7,$AK$8,$AL$3)/1000</f>
        <v>#VALUE!</v>
      </c>
      <c r="BC42" s="172" t="e">
        <f>_xll.LVCELL($AK$1,BC$3,$AK42,$AL$2,$AK$4,$AK$5,$AK$6,$AK$7,$AK$8,$AL$3)/1000</f>
        <v>#VALUE!</v>
      </c>
      <c r="BD42" s="172" t="e">
        <f>_xll.LVCELL($AK$1,BD$3,$AK42,$AL$2,$AK$4,$AK$5,$AK$6,$AK$7,$AK$8,$AL$3)/1000</f>
        <v>#VALUE!</v>
      </c>
      <c r="BE42" s="172" t="e">
        <f>_xll.LVCELL($AK$1,BE$3,$AK42,$AL$2,$AK$4,$AK$5,$AK$6,$AK$7,$AK$8,$AL$3)/1000</f>
        <v>#VALUE!</v>
      </c>
      <c r="BF42" s="172" t="e">
        <f>_xll.LVCELL($AK$1,BF$3,$AK42,$AL$2,$AK$4,$AK$5,$AK$6,$AK$7,$AK$8,$AL$3)/1000</f>
        <v>#VALUE!</v>
      </c>
      <c r="BG42" s="172" t="e">
        <f>_xll.LVCELL($AK$1,BG$3,$AK42,$AL$2,$AK$4,$AK$5,$AK$6,$AK$7,$AK$8,$AL$3)/1000</f>
        <v>#VALUE!</v>
      </c>
      <c r="BH42" s="172" t="e">
        <f>_xll.LVCELL($AK$1,BH$3,$AK42,$AL$2,$AK$4,$AK$5,$AK$6,$AK$7,$AK$8,$AL$3)/1000</f>
        <v>#VALUE!</v>
      </c>
      <c r="BI42" s="172" t="e">
        <f>_xll.LVCELL($AK$1,BI$3,$AK42,$AL$2,$AK$4,$AK$5,$AK$6,$AK$7,$AK$8,$AL$3)/1000</f>
        <v>#VALUE!</v>
      </c>
      <c r="BJ42" s="172" t="e">
        <f>_xll.LVCELL($AK$1,BJ$3,$AK42,$AL$2,$AK$4,$AK$5,$AK$6,$AK$7,$AK$8,$AL$3)/1000</f>
        <v>#VALUE!</v>
      </c>
      <c r="BK42" s="172" t="e">
        <f>_xll.LVCELL($AK$1,BK$3,$AK42,$AL$2,$AK$4,$AK$5,$AK$6,$AK$7,$AK$8,$AL$3)/1000</f>
        <v>#VALUE!</v>
      </c>
      <c r="BL42" s="172" t="e">
        <f>_xll.LVCELL($AK$1,BL$2,$AK42,$AL$2,$AK$4,$AK$5,$AK$6,$AK$7,$AK$8,$AL$3)/1000</f>
        <v>#VALUE!</v>
      </c>
      <c r="BM42" s="214" t="e">
        <f t="shared" si="3"/>
        <v>#VALUE!</v>
      </c>
      <c r="BN42" s="217" t="e">
        <f t="shared" si="4"/>
        <v>#VALUE!</v>
      </c>
      <c r="BO42" s="218" t="e">
        <f t="shared" si="4"/>
        <v>#VALUE!</v>
      </c>
      <c r="BP42" s="193" t="e">
        <f t="shared" si="5"/>
        <v>#VALUE!</v>
      </c>
      <c r="BQ42" s="190" t="s">
        <v>2687</v>
      </c>
      <c r="BS42" s="198">
        <f t="shared" si="6"/>
        <v>0</v>
      </c>
      <c r="BT42" s="198">
        <f t="shared" si="7"/>
        <v>0</v>
      </c>
      <c r="BU42" s="198">
        <f t="shared" si="8"/>
        <v>0</v>
      </c>
      <c r="BV42" s="199" t="str">
        <f t="shared" si="9"/>
        <v>N/A</v>
      </c>
      <c r="BX42" s="200" t="e">
        <f t="shared" si="10"/>
        <v>#VALUE!</v>
      </c>
      <c r="BY42" s="200" t="e">
        <f t="shared" si="11"/>
        <v>#VALUE!</v>
      </c>
      <c r="BZ42" s="200" t="e">
        <f t="shared" si="12"/>
        <v>#VALUE!</v>
      </c>
    </row>
    <row r="43" spans="2:78">
      <c r="B43" s="64" t="s">
        <v>456</v>
      </c>
      <c r="C43" s="64" t="s">
        <v>273</v>
      </c>
      <c r="D43" s="192" t="s">
        <v>2636</v>
      </c>
      <c r="E43" s="172" t="e">
        <f>_xll.LVCELL($D$1,E$3,$C43,$D$2,$C$4,$C$5,$C$6,$C$7,$C$8,$D$3)/1000</f>
        <v>#VALUE!</v>
      </c>
      <c r="F43" s="172" t="e">
        <f>_xll.LVCELL($D$1,F$3,$C43,$D$2,$C$4,$C$5,$C$6,$C$7,$C$8,$D$3)/1000</f>
        <v>#VALUE!</v>
      </c>
      <c r="G43" s="172" t="e">
        <f>_xll.LVCELL($D$1,G$3,$C43,$D$2,$C$4,$C$5,$C$6,$C$7,$C$8,$D$3)/1000</f>
        <v>#VALUE!</v>
      </c>
      <c r="H43" s="172" t="e">
        <f>_xll.LVCELL($D$1,H$3,$C43,$D$2,$C$4,$C$5,$C$6,$C$7,$C$8,$D$3)/1000</f>
        <v>#VALUE!</v>
      </c>
      <c r="I43" s="172" t="e">
        <f>_xll.LVCELL($D$1,I$3,$C43,$D$2,$C$4,$C$5,$C$6,$C$7,$C$8,$D$3)/1000</f>
        <v>#VALUE!</v>
      </c>
      <c r="J43" s="172" t="e">
        <f>_xll.LVCELL($D$1,J$3,$C43,$D$2,$C$4,$C$5,$C$6,$C$7,$C$8,$D$3)/1000</f>
        <v>#VALUE!</v>
      </c>
      <c r="K43" s="172" t="e">
        <f>_xll.LVCELL($D$1,K$3,$C43,$D$2,$C$4,$C$5,$C$6,$C$7,$C$8,$D$3)/1000</f>
        <v>#VALUE!</v>
      </c>
      <c r="L43" s="172" t="e">
        <f>_xll.LVCELL($D$1,L$3,$C43,$D$2,$C$4,$C$5,$C$6,$C$7,$C$8,$D$3)/1000</f>
        <v>#VALUE!</v>
      </c>
      <c r="M43" s="172" t="e">
        <f>_xll.LVCELL($D$1,M$3,$C43,$D$2,$C$4,$C$5,$C$6,$C$7,$C$8,$D$3)/1000</f>
        <v>#VALUE!</v>
      </c>
      <c r="N43" s="172" t="e">
        <f>_xll.LVCELL($D$1,N$3,$C43,$D$2,$C$4,$C$5,$C$6,$C$7,$C$8,$D$3)/1000</f>
        <v>#VALUE!</v>
      </c>
      <c r="O43" s="172" t="e">
        <f>_xll.LVCELL($D$1,O$3,$C43,$D$2,$C$4,$C$5,$C$6,$C$7,$C$8,$D$3)/1000</f>
        <v>#VALUE!</v>
      </c>
      <c r="P43" s="172" t="e">
        <f>_xll.LVCELL($D$1,P$3,$C43,$D$2,$C$4,$C$5,$C$6,$C$7,$C$8,$D$3)/1000</f>
        <v>#VALUE!</v>
      </c>
      <c r="Q43" s="172" t="e">
        <f>_xll.LVCELL($D$1,Q$2,$C43,$D$2,$C$4,$C$5,$C$6,$C$7,$C$8,$D$3)/1000</f>
        <v>#VALUE!</v>
      </c>
      <c r="R43" s="172" t="e">
        <f>_xll.LVCELL($D$1,R$3,$C43,$D$2,$C$4,$C$5,$C$6,$C$7,$C$8,$D$3)/1000</f>
        <v>#VALUE!</v>
      </c>
      <c r="S43" s="172" t="e">
        <f>_xll.LVCELL($D$1,S$3,$C43,$D$2,$C$4,$C$5,$C$6,$C$7,$C$8,$D$3)/1000</f>
        <v>#VALUE!</v>
      </c>
      <c r="T43" s="172" t="e">
        <f>_xll.LVCELL($D$1,T$3,$C43,$D$2,$C$4,$C$5,$C$6,$C$7,$C$8,$D$3)/1000</f>
        <v>#VALUE!</v>
      </c>
      <c r="U43" s="172" t="e">
        <f>_xll.LVCELL($D$1,U$3,$C43,$D$2,$C$4,$C$5,$C$6,$C$7,$C$8,$D$3)/1000</f>
        <v>#VALUE!</v>
      </c>
      <c r="V43" s="172" t="e">
        <f>_xll.LVCELL($D$1,V$3,$C43,$D$2,$C$4,$C$5,$C$6,$C$7,$C$8,$D$3)/1000</f>
        <v>#VALUE!</v>
      </c>
      <c r="W43" s="172" t="e">
        <f>_xll.LVCELL($D$1,W$3,$C43,$D$2,$C$4,$C$5,$C$6,$C$7,$C$8,$D$3)/1000</f>
        <v>#VALUE!</v>
      </c>
      <c r="X43" s="172" t="e">
        <f>_xll.LVCELL($D$1,X$3,$C43,$D$2,$C$4,$C$5,$C$6,$C$7,$C$8,$D$3)/1000</f>
        <v>#VALUE!</v>
      </c>
      <c r="Y43" s="172" t="e">
        <f>_xll.LVCELL($D$1,Y$3,$C43,$D$2,$C$4,$C$5,$C$6,$C$7,$C$8,$D$3)/1000</f>
        <v>#VALUE!</v>
      </c>
      <c r="Z43" s="172" t="e">
        <f>_xll.LVCELL($D$1,Z$3,$C43,$D$2,$C$4,$C$5,$C$6,$C$7,$C$8,$D$3)/1000</f>
        <v>#VALUE!</v>
      </c>
      <c r="AA43" s="172" t="e">
        <f>_xll.LVCELL($D$1,AA$3,$C43,$D$2,$C$4,$C$5,$C$6,$C$7,$C$8,$D$3)/1000</f>
        <v>#VALUE!</v>
      </c>
      <c r="AB43" s="172" t="e">
        <f>_xll.LVCELL($D$1,AB$3,$C43,$D$2,$C$4,$C$5,$C$6,$C$7,$C$8,$D$3)/1000</f>
        <v>#VALUE!</v>
      </c>
      <c r="AC43" s="172" t="e">
        <f>_xll.LVCELL($D$1,AC$3,$C43,$D$2,$C$4,$C$5,$C$6,$C$7,$C$8,$D$3)/1000</f>
        <v>#VALUE!</v>
      </c>
      <c r="AD43" s="172" t="e">
        <f>_xll.LVCELL($D$1,AD$2,$C43,$D$2,$C$4,$C$5,$C$6,$C$7,$C$8,$D$3)/1000</f>
        <v>#VALUE!</v>
      </c>
      <c r="AE43" s="172" t="e">
        <f t="shared" si="0"/>
        <v>#VALUE!</v>
      </c>
      <c r="AF43" s="193" t="e">
        <f t="shared" si="1"/>
        <v>#VALUE!</v>
      </c>
      <c r="AG43" s="172" t="s">
        <v>2726</v>
      </c>
      <c r="AH43" s="61" t="e">
        <f t="shared" si="2"/>
        <v>#VALUE!</v>
      </c>
      <c r="AI43" s="64" t="s">
        <v>2768</v>
      </c>
      <c r="AJ43" s="64" t="s">
        <v>456</v>
      </c>
      <c r="AK43" s="64" t="s">
        <v>273</v>
      </c>
      <c r="AL43" s="192" t="s">
        <v>2636</v>
      </c>
      <c r="AM43" s="172" t="e">
        <f>_xll.LVCELL($AK$1,AM$3,$AK43,$AL$2,$AK$4,$AK$5,$AK$6,$AK$7,$AK$8,$AL$3)/1000</f>
        <v>#VALUE!</v>
      </c>
      <c r="AN43" s="172" t="e">
        <f>_xll.LVCELL($AK$1,AN$3,$AK43,$AL$2,$AK$4,$AK$5,$AK$6,$AK$7,$AK$8,$AL$3)/1000</f>
        <v>#VALUE!</v>
      </c>
      <c r="AO43" s="172" t="e">
        <f>_xll.LVCELL($AK$1,AO$3,$AK43,$AL$2,$AK$4,$AK$5,$AK$6,$AK$7,$AK$8,$AL$3)/1000</f>
        <v>#VALUE!</v>
      </c>
      <c r="AP43" s="172" t="e">
        <f>_xll.LVCELL($AK$1,AP$3,$AK43,$AL$2,$AK$4,$AK$5,$AK$6,$AK$7,$AK$8,$AL$3)/1000</f>
        <v>#VALUE!</v>
      </c>
      <c r="AQ43" s="172" t="e">
        <f>_xll.LVCELL($AK$1,AQ$3,$AK43,$AL$2,$AK$4,$AK$5,$AK$6,$AK$7,$AK$8,$AL$3)/1000</f>
        <v>#VALUE!</v>
      </c>
      <c r="AR43" s="172" t="e">
        <f>_xll.LVCELL($AK$1,AR$3,$AK43,$AL$2,$AK$4,$AK$5,$AK$6,$AK$7,$AK$8,$AL$3)/1000</f>
        <v>#VALUE!</v>
      </c>
      <c r="AS43" s="172" t="e">
        <f>_xll.LVCELL($AK$1,AS$3,$AK43,$AL$2,$AK$4,$AK$5,$AK$6,$AK$7,$AK$8,$AL$3)/1000</f>
        <v>#VALUE!</v>
      </c>
      <c r="AT43" s="172" t="e">
        <f>_xll.LVCELL($AK$1,AT$3,$AK43,$AL$2,$AK$4,$AK$5,$AK$6,$AK$7,$AK$8,$AL$3)/1000</f>
        <v>#VALUE!</v>
      </c>
      <c r="AU43" s="172" t="e">
        <f>_xll.LVCELL($AK$1,AU$3,$AK43,$AL$2,$AK$4,$AK$5,$AK$6,$AK$7,$AK$8,$AL$3)/1000</f>
        <v>#VALUE!</v>
      </c>
      <c r="AV43" s="172" t="e">
        <f>_xll.LVCELL($AK$1,AV$3,$AK43,$AL$2,$AK$4,$AK$5,$AK$6,$AK$7,$AK$8,$AL$3)/1000</f>
        <v>#VALUE!</v>
      </c>
      <c r="AW43" s="172" t="e">
        <f>_xll.LVCELL($AK$1,AW$3,$AK43,$AL$2,$AK$4,$AK$5,$AK$6,$AK$7,$AK$8,$AL$3)/1000</f>
        <v>#VALUE!</v>
      </c>
      <c r="AX43" s="172" t="e">
        <f>_xll.LVCELL($AK$1,AX$3,$AK43,$AL$2,$AK$4,$AK$5,$AK$6,$AK$7,$AK$8,$AL$3)/1000</f>
        <v>#VALUE!</v>
      </c>
      <c r="AY43" s="172" t="e">
        <f>_xll.LVCELL($AK$1,AY$2,$AK43,$AL$2,$AK$4,$AK$5,$AK$6,$AK$7,$AK$8,$AL$3)/1000</f>
        <v>#VALUE!</v>
      </c>
      <c r="AZ43" s="172" t="e">
        <f>_xll.LVCELL($AK$1,AZ$3,$AK43,$AL$2,$AK$4,$AK$5,$AK$6,$AK$7,$AK$8,$AL$3)/1000</f>
        <v>#VALUE!</v>
      </c>
      <c r="BA43" s="172" t="e">
        <f>_xll.LVCELL($AK$1,BA$3,$AK43,$AL$2,$AK$4,$AK$5,$AK$6,$AK$7,$AK$8,$AL$3)/1000</f>
        <v>#VALUE!</v>
      </c>
      <c r="BB43" s="172" t="e">
        <f>_xll.LVCELL($AK$1,BB$3,$AK43,$AL$2,$AK$4,$AK$5,$AK$6,$AK$7,$AK$8,$AL$3)/1000</f>
        <v>#VALUE!</v>
      </c>
      <c r="BC43" s="172" t="e">
        <f>_xll.LVCELL($AK$1,BC$3,$AK43,$AL$2,$AK$4,$AK$5,$AK$6,$AK$7,$AK$8,$AL$3)/1000</f>
        <v>#VALUE!</v>
      </c>
      <c r="BD43" s="172" t="e">
        <f>_xll.LVCELL($AK$1,BD$3,$AK43,$AL$2,$AK$4,$AK$5,$AK$6,$AK$7,$AK$8,$AL$3)/1000</f>
        <v>#VALUE!</v>
      </c>
      <c r="BE43" s="172" t="e">
        <f>_xll.LVCELL($AK$1,BE$3,$AK43,$AL$2,$AK$4,$AK$5,$AK$6,$AK$7,$AK$8,$AL$3)/1000</f>
        <v>#VALUE!</v>
      </c>
      <c r="BF43" s="172" t="e">
        <f>_xll.LVCELL($AK$1,BF$3,$AK43,$AL$2,$AK$4,$AK$5,$AK$6,$AK$7,$AK$8,$AL$3)/1000</f>
        <v>#VALUE!</v>
      </c>
      <c r="BG43" s="172" t="e">
        <f>_xll.LVCELL($AK$1,BG$3,$AK43,$AL$2,$AK$4,$AK$5,$AK$6,$AK$7,$AK$8,$AL$3)/1000</f>
        <v>#VALUE!</v>
      </c>
      <c r="BH43" s="172" t="e">
        <f>_xll.LVCELL($AK$1,BH$3,$AK43,$AL$2,$AK$4,$AK$5,$AK$6,$AK$7,$AK$8,$AL$3)/1000</f>
        <v>#VALUE!</v>
      </c>
      <c r="BI43" s="172" t="e">
        <f>_xll.LVCELL($AK$1,BI$3,$AK43,$AL$2,$AK$4,$AK$5,$AK$6,$AK$7,$AK$8,$AL$3)/1000</f>
        <v>#VALUE!</v>
      </c>
      <c r="BJ43" s="172" t="e">
        <f>_xll.LVCELL($AK$1,BJ$3,$AK43,$AL$2,$AK$4,$AK$5,$AK$6,$AK$7,$AK$8,$AL$3)/1000</f>
        <v>#VALUE!</v>
      </c>
      <c r="BK43" s="172" t="e">
        <f>_xll.LVCELL($AK$1,BK$3,$AK43,$AL$2,$AK$4,$AK$5,$AK$6,$AK$7,$AK$8,$AL$3)/1000</f>
        <v>#VALUE!</v>
      </c>
      <c r="BL43" s="172" t="e">
        <f>_xll.LVCELL($AK$1,BL$2,$AK43,$AL$2,$AK$4,$AK$5,$AK$6,$AK$7,$AK$8,$AL$3)/1000</f>
        <v>#VALUE!</v>
      </c>
      <c r="BM43" s="214" t="e">
        <f t="shared" si="3"/>
        <v>#VALUE!</v>
      </c>
      <c r="BN43" s="217" t="e">
        <f t="shared" si="4"/>
        <v>#VALUE!</v>
      </c>
      <c r="BO43" s="218" t="e">
        <f t="shared" si="4"/>
        <v>#VALUE!</v>
      </c>
      <c r="BP43" s="193" t="e">
        <f t="shared" si="5"/>
        <v>#VALUE!</v>
      </c>
      <c r="BQ43" s="190" t="s">
        <v>2687</v>
      </c>
      <c r="BS43" s="198">
        <f t="shared" si="6"/>
        <v>0</v>
      </c>
      <c r="BT43" s="198">
        <f t="shared" si="7"/>
        <v>0</v>
      </c>
      <c r="BU43" s="198">
        <f t="shared" si="8"/>
        <v>0</v>
      </c>
      <c r="BV43" s="199" t="str">
        <f t="shared" si="9"/>
        <v>N/A</v>
      </c>
      <c r="BX43" s="200" t="e">
        <f t="shared" si="10"/>
        <v>#VALUE!</v>
      </c>
      <c r="BY43" s="200" t="e">
        <f t="shared" si="11"/>
        <v>#VALUE!</v>
      </c>
      <c r="BZ43" s="200" t="e">
        <f t="shared" si="12"/>
        <v>#VALUE!</v>
      </c>
    </row>
    <row r="44" spans="2:78">
      <c r="B44" s="64" t="s">
        <v>458</v>
      </c>
      <c r="C44" s="64" t="s">
        <v>274</v>
      </c>
      <c r="D44" s="192" t="s">
        <v>2644</v>
      </c>
      <c r="E44" s="172" t="e">
        <f>_xll.LVCELL($D$1,E$3,$C44,$D$2,$C$4,$C$5,$C$6,$C$7,$C$8,$D$3)/1000</f>
        <v>#VALUE!</v>
      </c>
      <c r="F44" s="172" t="e">
        <f>_xll.LVCELL($D$1,F$3,$C44,$D$2,$C$4,$C$5,$C$6,$C$7,$C$8,$D$3)/1000</f>
        <v>#VALUE!</v>
      </c>
      <c r="G44" s="172" t="e">
        <f>_xll.LVCELL($D$1,G$3,$C44,$D$2,$C$4,$C$5,$C$6,$C$7,$C$8,$D$3)/1000</f>
        <v>#VALUE!</v>
      </c>
      <c r="H44" s="172" t="e">
        <f>_xll.LVCELL($D$1,H$3,$C44,$D$2,$C$4,$C$5,$C$6,$C$7,$C$8,$D$3)/1000</f>
        <v>#VALUE!</v>
      </c>
      <c r="I44" s="172" t="e">
        <f>_xll.LVCELL($D$1,I$3,$C44,$D$2,$C$4,$C$5,$C$6,$C$7,$C$8,$D$3)/1000</f>
        <v>#VALUE!</v>
      </c>
      <c r="J44" s="172" t="e">
        <f>_xll.LVCELL($D$1,J$3,$C44,$D$2,$C$4,$C$5,$C$6,$C$7,$C$8,$D$3)/1000</f>
        <v>#VALUE!</v>
      </c>
      <c r="K44" s="172" t="e">
        <f>_xll.LVCELL($D$1,K$3,$C44,$D$2,$C$4,$C$5,$C$6,$C$7,$C$8,$D$3)/1000</f>
        <v>#VALUE!</v>
      </c>
      <c r="L44" s="172" t="e">
        <f>_xll.LVCELL($D$1,L$3,$C44,$D$2,$C$4,$C$5,$C$6,$C$7,$C$8,$D$3)/1000</f>
        <v>#VALUE!</v>
      </c>
      <c r="M44" s="172" t="e">
        <f>_xll.LVCELL($D$1,M$3,$C44,$D$2,$C$4,$C$5,$C$6,$C$7,$C$8,$D$3)/1000</f>
        <v>#VALUE!</v>
      </c>
      <c r="N44" s="172" t="e">
        <f>_xll.LVCELL($D$1,N$3,$C44,$D$2,$C$4,$C$5,$C$6,$C$7,$C$8,$D$3)/1000</f>
        <v>#VALUE!</v>
      </c>
      <c r="O44" s="172" t="e">
        <f>_xll.LVCELL($D$1,O$3,$C44,$D$2,$C$4,$C$5,$C$6,$C$7,$C$8,$D$3)/1000</f>
        <v>#VALUE!</v>
      </c>
      <c r="P44" s="172" t="e">
        <f>_xll.LVCELL($D$1,P$3,$C44,$D$2,$C$4,$C$5,$C$6,$C$7,$C$8,$D$3)/1000</f>
        <v>#VALUE!</v>
      </c>
      <c r="Q44" s="172" t="e">
        <f>_xll.LVCELL($D$1,Q$2,$C44,$D$2,$C$4,$C$5,$C$6,$C$7,$C$8,$D$3)/1000</f>
        <v>#VALUE!</v>
      </c>
      <c r="R44" s="172" t="e">
        <f>_xll.LVCELL($D$1,R$3,$C44,$D$2,$C$4,$C$5,$C$6,$C$7,$C$8,$D$3)/1000</f>
        <v>#VALUE!</v>
      </c>
      <c r="S44" s="172" t="e">
        <f>_xll.LVCELL($D$1,S$3,$C44,$D$2,$C$4,$C$5,$C$6,$C$7,$C$8,$D$3)/1000</f>
        <v>#VALUE!</v>
      </c>
      <c r="T44" s="172" t="e">
        <f>_xll.LVCELL($D$1,T$3,$C44,$D$2,$C$4,$C$5,$C$6,$C$7,$C$8,$D$3)/1000</f>
        <v>#VALUE!</v>
      </c>
      <c r="U44" s="172" t="e">
        <f>_xll.LVCELL($D$1,U$3,$C44,$D$2,$C$4,$C$5,$C$6,$C$7,$C$8,$D$3)/1000</f>
        <v>#VALUE!</v>
      </c>
      <c r="V44" s="172" t="e">
        <f>_xll.LVCELL($D$1,V$3,$C44,$D$2,$C$4,$C$5,$C$6,$C$7,$C$8,$D$3)/1000</f>
        <v>#VALUE!</v>
      </c>
      <c r="W44" s="172" t="e">
        <f>_xll.LVCELL($D$1,W$3,$C44,$D$2,$C$4,$C$5,$C$6,$C$7,$C$8,$D$3)/1000</f>
        <v>#VALUE!</v>
      </c>
      <c r="X44" s="172" t="e">
        <f>_xll.LVCELL($D$1,X$3,$C44,$D$2,$C$4,$C$5,$C$6,$C$7,$C$8,$D$3)/1000</f>
        <v>#VALUE!</v>
      </c>
      <c r="Y44" s="172" t="e">
        <f>_xll.LVCELL($D$1,Y$3,$C44,$D$2,$C$4,$C$5,$C$6,$C$7,$C$8,$D$3)/1000</f>
        <v>#VALUE!</v>
      </c>
      <c r="Z44" s="172" t="e">
        <f>_xll.LVCELL($D$1,Z$3,$C44,$D$2,$C$4,$C$5,$C$6,$C$7,$C$8,$D$3)/1000</f>
        <v>#VALUE!</v>
      </c>
      <c r="AA44" s="172" t="e">
        <f>_xll.LVCELL($D$1,AA$3,$C44,$D$2,$C$4,$C$5,$C$6,$C$7,$C$8,$D$3)/1000</f>
        <v>#VALUE!</v>
      </c>
      <c r="AB44" s="172" t="e">
        <f>_xll.LVCELL($D$1,AB$3,$C44,$D$2,$C$4,$C$5,$C$6,$C$7,$C$8,$D$3)/1000</f>
        <v>#VALUE!</v>
      </c>
      <c r="AC44" s="172" t="e">
        <f>_xll.LVCELL($D$1,AC$3,$C44,$D$2,$C$4,$C$5,$C$6,$C$7,$C$8,$D$3)/1000</f>
        <v>#VALUE!</v>
      </c>
      <c r="AD44" s="172" t="e">
        <f>_xll.LVCELL($D$1,AD$2,$C44,$D$2,$C$4,$C$5,$C$6,$C$7,$C$8,$D$3)/1000</f>
        <v>#VALUE!</v>
      </c>
      <c r="AE44" s="172" t="e">
        <f t="shared" si="0"/>
        <v>#VALUE!</v>
      </c>
      <c r="AF44" s="193" t="e">
        <f t="shared" si="1"/>
        <v>#VALUE!</v>
      </c>
      <c r="AG44" s="172" t="s">
        <v>2724</v>
      </c>
      <c r="AH44" s="61" t="e">
        <f t="shared" si="2"/>
        <v>#VALUE!</v>
      </c>
      <c r="AI44" s="64" t="s">
        <v>2766</v>
      </c>
      <c r="AJ44" s="64" t="s">
        <v>458</v>
      </c>
      <c r="AK44" s="64" t="s">
        <v>274</v>
      </c>
      <c r="AL44" s="192" t="s">
        <v>2644</v>
      </c>
      <c r="AM44" s="172" t="e">
        <f>_xll.LVCELL($AK$1,AM$3,$AK44,$AL$2,$AK$4,$AK$5,$AK$6,$AK$7,$AK$8,$AL$3)/1000</f>
        <v>#VALUE!</v>
      </c>
      <c r="AN44" s="172" t="e">
        <f>_xll.LVCELL($AK$1,AN$3,$AK44,$AL$2,$AK$4,$AK$5,$AK$6,$AK$7,$AK$8,$AL$3)/1000</f>
        <v>#VALUE!</v>
      </c>
      <c r="AO44" s="172" t="e">
        <f>_xll.LVCELL($AK$1,AO$3,$AK44,$AL$2,$AK$4,$AK$5,$AK$6,$AK$7,$AK$8,$AL$3)/1000</f>
        <v>#VALUE!</v>
      </c>
      <c r="AP44" s="172" t="e">
        <f>_xll.LVCELL($AK$1,AP$3,$AK44,$AL$2,$AK$4,$AK$5,$AK$6,$AK$7,$AK$8,$AL$3)/1000</f>
        <v>#VALUE!</v>
      </c>
      <c r="AQ44" s="172" t="e">
        <f>_xll.LVCELL($AK$1,AQ$3,$AK44,$AL$2,$AK$4,$AK$5,$AK$6,$AK$7,$AK$8,$AL$3)/1000</f>
        <v>#VALUE!</v>
      </c>
      <c r="AR44" s="172" t="e">
        <f>_xll.LVCELL($AK$1,AR$3,$AK44,$AL$2,$AK$4,$AK$5,$AK$6,$AK$7,$AK$8,$AL$3)/1000</f>
        <v>#VALUE!</v>
      </c>
      <c r="AS44" s="172" t="e">
        <f>_xll.LVCELL($AK$1,AS$3,$AK44,$AL$2,$AK$4,$AK$5,$AK$6,$AK$7,$AK$8,$AL$3)/1000</f>
        <v>#VALUE!</v>
      </c>
      <c r="AT44" s="172" t="e">
        <f>_xll.LVCELL($AK$1,AT$3,$AK44,$AL$2,$AK$4,$AK$5,$AK$6,$AK$7,$AK$8,$AL$3)/1000</f>
        <v>#VALUE!</v>
      </c>
      <c r="AU44" s="172" t="e">
        <f>_xll.LVCELL($AK$1,AU$3,$AK44,$AL$2,$AK$4,$AK$5,$AK$6,$AK$7,$AK$8,$AL$3)/1000</f>
        <v>#VALUE!</v>
      </c>
      <c r="AV44" s="172" t="e">
        <f>_xll.LVCELL($AK$1,AV$3,$AK44,$AL$2,$AK$4,$AK$5,$AK$6,$AK$7,$AK$8,$AL$3)/1000</f>
        <v>#VALUE!</v>
      </c>
      <c r="AW44" s="172" t="e">
        <f>_xll.LVCELL($AK$1,AW$3,$AK44,$AL$2,$AK$4,$AK$5,$AK$6,$AK$7,$AK$8,$AL$3)/1000</f>
        <v>#VALUE!</v>
      </c>
      <c r="AX44" s="172" t="e">
        <f>_xll.LVCELL($AK$1,AX$3,$AK44,$AL$2,$AK$4,$AK$5,$AK$6,$AK$7,$AK$8,$AL$3)/1000</f>
        <v>#VALUE!</v>
      </c>
      <c r="AY44" s="172" t="e">
        <f>_xll.LVCELL($AK$1,AY$2,$AK44,$AL$2,$AK$4,$AK$5,$AK$6,$AK$7,$AK$8,$AL$3)/1000</f>
        <v>#VALUE!</v>
      </c>
      <c r="AZ44" s="172" t="e">
        <f>_xll.LVCELL($AK$1,AZ$3,$AK44,$AL$2,$AK$4,$AK$5,$AK$6,$AK$7,$AK$8,$AL$3)/1000</f>
        <v>#VALUE!</v>
      </c>
      <c r="BA44" s="172" t="e">
        <f>_xll.LVCELL($AK$1,BA$3,$AK44,$AL$2,$AK$4,$AK$5,$AK$6,$AK$7,$AK$8,$AL$3)/1000</f>
        <v>#VALUE!</v>
      </c>
      <c r="BB44" s="172" t="e">
        <f>_xll.LVCELL($AK$1,BB$3,$AK44,$AL$2,$AK$4,$AK$5,$AK$6,$AK$7,$AK$8,$AL$3)/1000</f>
        <v>#VALUE!</v>
      </c>
      <c r="BC44" s="172" t="e">
        <f>_xll.LVCELL($AK$1,BC$3,$AK44,$AL$2,$AK$4,$AK$5,$AK$6,$AK$7,$AK$8,$AL$3)/1000</f>
        <v>#VALUE!</v>
      </c>
      <c r="BD44" s="172" t="e">
        <f>_xll.LVCELL($AK$1,BD$3,$AK44,$AL$2,$AK$4,$AK$5,$AK$6,$AK$7,$AK$8,$AL$3)/1000</f>
        <v>#VALUE!</v>
      </c>
      <c r="BE44" s="172" t="e">
        <f>_xll.LVCELL($AK$1,BE$3,$AK44,$AL$2,$AK$4,$AK$5,$AK$6,$AK$7,$AK$8,$AL$3)/1000</f>
        <v>#VALUE!</v>
      </c>
      <c r="BF44" s="172" t="e">
        <f>_xll.LVCELL($AK$1,BF$3,$AK44,$AL$2,$AK$4,$AK$5,$AK$6,$AK$7,$AK$8,$AL$3)/1000</f>
        <v>#VALUE!</v>
      </c>
      <c r="BG44" s="172" t="e">
        <f>_xll.LVCELL($AK$1,BG$3,$AK44,$AL$2,$AK$4,$AK$5,$AK$6,$AK$7,$AK$8,$AL$3)/1000</f>
        <v>#VALUE!</v>
      </c>
      <c r="BH44" s="172" t="e">
        <f>_xll.LVCELL($AK$1,BH$3,$AK44,$AL$2,$AK$4,$AK$5,$AK$6,$AK$7,$AK$8,$AL$3)/1000</f>
        <v>#VALUE!</v>
      </c>
      <c r="BI44" s="172" t="e">
        <f>_xll.LVCELL($AK$1,BI$3,$AK44,$AL$2,$AK$4,$AK$5,$AK$6,$AK$7,$AK$8,$AL$3)/1000</f>
        <v>#VALUE!</v>
      </c>
      <c r="BJ44" s="172" t="e">
        <f>_xll.LVCELL($AK$1,BJ$3,$AK44,$AL$2,$AK$4,$AK$5,$AK$6,$AK$7,$AK$8,$AL$3)/1000</f>
        <v>#VALUE!</v>
      </c>
      <c r="BK44" s="172" t="e">
        <f>_xll.LVCELL($AK$1,BK$3,$AK44,$AL$2,$AK$4,$AK$5,$AK$6,$AK$7,$AK$8,$AL$3)/1000</f>
        <v>#VALUE!</v>
      </c>
      <c r="BL44" s="172" t="e">
        <f>_xll.LVCELL($AK$1,BL$2,$AK44,$AL$2,$AK$4,$AK$5,$AK$6,$AK$7,$AK$8,$AL$3)/1000</f>
        <v>#VALUE!</v>
      </c>
      <c r="BM44" s="214" t="e">
        <f t="shared" si="3"/>
        <v>#VALUE!</v>
      </c>
      <c r="BN44" s="217" t="e">
        <f t="shared" si="4"/>
        <v>#VALUE!</v>
      </c>
      <c r="BO44" s="218" t="e">
        <f t="shared" si="4"/>
        <v>#VALUE!</v>
      </c>
      <c r="BP44" s="193" t="e">
        <f t="shared" si="5"/>
        <v>#VALUE!</v>
      </c>
      <c r="BQ44" s="190" t="s">
        <v>2689</v>
      </c>
      <c r="BS44" s="198">
        <f t="shared" si="6"/>
        <v>0</v>
      </c>
      <c r="BT44" s="198">
        <f t="shared" si="7"/>
        <v>0</v>
      </c>
      <c r="BU44" s="198">
        <f t="shared" si="8"/>
        <v>0</v>
      </c>
      <c r="BV44" s="199" t="str">
        <f t="shared" si="9"/>
        <v>N/A</v>
      </c>
      <c r="BX44" s="200" t="e">
        <f t="shared" si="10"/>
        <v>#VALUE!</v>
      </c>
      <c r="BY44" s="200" t="e">
        <f t="shared" si="11"/>
        <v>#VALUE!</v>
      </c>
      <c r="BZ44" s="200" t="e">
        <f t="shared" si="12"/>
        <v>#VALUE!</v>
      </c>
    </row>
    <row r="45" spans="2:78">
      <c r="B45" s="64" t="s">
        <v>460</v>
      </c>
      <c r="C45" s="64" t="s">
        <v>275</v>
      </c>
      <c r="D45" s="192" t="s">
        <v>555</v>
      </c>
      <c r="E45" s="172" t="e">
        <f>_xll.LVCELL($D$1,E$3,$C45,$D$2,$C$4,$C$5,$C$6,$C$7,$C$8,$D$3)/1000</f>
        <v>#VALUE!</v>
      </c>
      <c r="F45" s="172" t="e">
        <f>_xll.LVCELL($D$1,F$3,$C45,$D$2,$C$4,$C$5,$C$6,$C$7,$C$8,$D$3)/1000</f>
        <v>#VALUE!</v>
      </c>
      <c r="G45" s="172" t="e">
        <f>_xll.LVCELL($D$1,G$3,$C45,$D$2,$C$4,$C$5,$C$6,$C$7,$C$8,$D$3)/1000</f>
        <v>#VALUE!</v>
      </c>
      <c r="H45" s="172" t="e">
        <f>_xll.LVCELL($D$1,H$3,$C45,$D$2,$C$4,$C$5,$C$6,$C$7,$C$8,$D$3)/1000</f>
        <v>#VALUE!</v>
      </c>
      <c r="I45" s="172" t="e">
        <f>_xll.LVCELL($D$1,I$3,$C45,$D$2,$C$4,$C$5,$C$6,$C$7,$C$8,$D$3)/1000</f>
        <v>#VALUE!</v>
      </c>
      <c r="J45" s="172" t="e">
        <f>_xll.LVCELL($D$1,J$3,$C45,$D$2,$C$4,$C$5,$C$6,$C$7,$C$8,$D$3)/1000</f>
        <v>#VALUE!</v>
      </c>
      <c r="K45" s="172" t="e">
        <f>_xll.LVCELL($D$1,K$3,$C45,$D$2,$C$4,$C$5,$C$6,$C$7,$C$8,$D$3)/1000</f>
        <v>#VALUE!</v>
      </c>
      <c r="L45" s="172" t="e">
        <f>_xll.LVCELL($D$1,L$3,$C45,$D$2,$C$4,$C$5,$C$6,$C$7,$C$8,$D$3)/1000</f>
        <v>#VALUE!</v>
      </c>
      <c r="M45" s="172" t="e">
        <f>_xll.LVCELL($D$1,M$3,$C45,$D$2,$C$4,$C$5,$C$6,$C$7,$C$8,$D$3)/1000</f>
        <v>#VALUE!</v>
      </c>
      <c r="N45" s="172" t="e">
        <f>_xll.LVCELL($D$1,N$3,$C45,$D$2,$C$4,$C$5,$C$6,$C$7,$C$8,$D$3)/1000</f>
        <v>#VALUE!</v>
      </c>
      <c r="O45" s="172" t="e">
        <f>_xll.LVCELL($D$1,O$3,$C45,$D$2,$C$4,$C$5,$C$6,$C$7,$C$8,$D$3)/1000</f>
        <v>#VALUE!</v>
      </c>
      <c r="P45" s="172" t="e">
        <f>_xll.LVCELL($D$1,P$3,$C45,$D$2,$C$4,$C$5,$C$6,$C$7,$C$8,$D$3)/1000</f>
        <v>#VALUE!</v>
      </c>
      <c r="Q45" s="172" t="e">
        <f>_xll.LVCELL($D$1,Q$2,$C45,$D$2,$C$4,$C$5,$C$6,$C$7,$C$8,$D$3)/1000</f>
        <v>#VALUE!</v>
      </c>
      <c r="R45" s="172" t="e">
        <f>_xll.LVCELL($D$1,R$3,$C45,$D$2,$C$4,$C$5,$C$6,$C$7,$C$8,$D$3)/1000</f>
        <v>#VALUE!</v>
      </c>
      <c r="S45" s="172" t="e">
        <f>_xll.LVCELL($D$1,S$3,$C45,$D$2,$C$4,$C$5,$C$6,$C$7,$C$8,$D$3)/1000</f>
        <v>#VALUE!</v>
      </c>
      <c r="T45" s="172" t="e">
        <f>_xll.LVCELL($D$1,T$3,$C45,$D$2,$C$4,$C$5,$C$6,$C$7,$C$8,$D$3)/1000</f>
        <v>#VALUE!</v>
      </c>
      <c r="U45" s="172" t="e">
        <f>_xll.LVCELL($D$1,U$3,$C45,$D$2,$C$4,$C$5,$C$6,$C$7,$C$8,$D$3)/1000</f>
        <v>#VALUE!</v>
      </c>
      <c r="V45" s="172" t="e">
        <f>_xll.LVCELL($D$1,V$3,$C45,$D$2,$C$4,$C$5,$C$6,$C$7,$C$8,$D$3)/1000</f>
        <v>#VALUE!</v>
      </c>
      <c r="W45" s="172" t="e">
        <f>_xll.LVCELL($D$1,W$3,$C45,$D$2,$C$4,$C$5,$C$6,$C$7,$C$8,$D$3)/1000</f>
        <v>#VALUE!</v>
      </c>
      <c r="X45" s="172" t="e">
        <f>_xll.LVCELL($D$1,X$3,$C45,$D$2,$C$4,$C$5,$C$6,$C$7,$C$8,$D$3)/1000</f>
        <v>#VALUE!</v>
      </c>
      <c r="Y45" s="172" t="e">
        <f>_xll.LVCELL($D$1,Y$3,$C45,$D$2,$C$4,$C$5,$C$6,$C$7,$C$8,$D$3)/1000</f>
        <v>#VALUE!</v>
      </c>
      <c r="Z45" s="172" t="e">
        <f>_xll.LVCELL($D$1,Z$3,$C45,$D$2,$C$4,$C$5,$C$6,$C$7,$C$8,$D$3)/1000</f>
        <v>#VALUE!</v>
      </c>
      <c r="AA45" s="172" t="e">
        <f>_xll.LVCELL($D$1,AA$3,$C45,$D$2,$C$4,$C$5,$C$6,$C$7,$C$8,$D$3)/1000</f>
        <v>#VALUE!</v>
      </c>
      <c r="AB45" s="172" t="e">
        <f>_xll.LVCELL($D$1,AB$3,$C45,$D$2,$C$4,$C$5,$C$6,$C$7,$C$8,$D$3)/1000</f>
        <v>#VALUE!</v>
      </c>
      <c r="AC45" s="172" t="e">
        <f>_xll.LVCELL($D$1,AC$3,$C45,$D$2,$C$4,$C$5,$C$6,$C$7,$C$8,$D$3)/1000</f>
        <v>#VALUE!</v>
      </c>
      <c r="AD45" s="172" t="e">
        <f>_xll.LVCELL($D$1,AD$2,$C45,$D$2,$C$4,$C$5,$C$6,$C$7,$C$8,$D$3)/1000</f>
        <v>#VALUE!</v>
      </c>
      <c r="AE45" s="172" t="e">
        <f t="shared" si="0"/>
        <v>#VALUE!</v>
      </c>
      <c r="AF45" s="193" t="e">
        <f t="shared" si="1"/>
        <v>#VALUE!</v>
      </c>
      <c r="AG45" s="172" t="s">
        <v>2727</v>
      </c>
      <c r="AH45" s="61" t="e">
        <f t="shared" si="2"/>
        <v>#VALUE!</v>
      </c>
      <c r="AI45" s="64" t="s">
        <v>2768</v>
      </c>
      <c r="AJ45" s="64" t="s">
        <v>460</v>
      </c>
      <c r="AK45" s="64" t="s">
        <v>275</v>
      </c>
      <c r="AL45" s="192" t="s">
        <v>555</v>
      </c>
      <c r="AM45" s="172" t="e">
        <f>_xll.LVCELL($AK$1,AM$3,$AK45,$AL$2,$AK$4,$AK$5,$AK$6,$AK$7,$AK$8,$AL$3)/1000</f>
        <v>#VALUE!</v>
      </c>
      <c r="AN45" s="172" t="e">
        <f>_xll.LVCELL($AK$1,AN$3,$AK45,$AL$2,$AK$4,$AK$5,$AK$6,$AK$7,$AK$8,$AL$3)/1000</f>
        <v>#VALUE!</v>
      </c>
      <c r="AO45" s="172" t="e">
        <f>_xll.LVCELL($AK$1,AO$3,$AK45,$AL$2,$AK$4,$AK$5,$AK$6,$AK$7,$AK$8,$AL$3)/1000</f>
        <v>#VALUE!</v>
      </c>
      <c r="AP45" s="172" t="e">
        <f>_xll.LVCELL($AK$1,AP$3,$AK45,$AL$2,$AK$4,$AK$5,$AK$6,$AK$7,$AK$8,$AL$3)/1000</f>
        <v>#VALUE!</v>
      </c>
      <c r="AQ45" s="172" t="e">
        <f>_xll.LVCELL($AK$1,AQ$3,$AK45,$AL$2,$AK$4,$AK$5,$AK$6,$AK$7,$AK$8,$AL$3)/1000</f>
        <v>#VALUE!</v>
      </c>
      <c r="AR45" s="172" t="e">
        <f>_xll.LVCELL($AK$1,AR$3,$AK45,$AL$2,$AK$4,$AK$5,$AK$6,$AK$7,$AK$8,$AL$3)/1000</f>
        <v>#VALUE!</v>
      </c>
      <c r="AS45" s="172" t="e">
        <f>_xll.LVCELL($AK$1,AS$3,$AK45,$AL$2,$AK$4,$AK$5,$AK$6,$AK$7,$AK$8,$AL$3)/1000</f>
        <v>#VALUE!</v>
      </c>
      <c r="AT45" s="172" t="e">
        <f>_xll.LVCELL($AK$1,AT$3,$AK45,$AL$2,$AK$4,$AK$5,$AK$6,$AK$7,$AK$8,$AL$3)/1000</f>
        <v>#VALUE!</v>
      </c>
      <c r="AU45" s="172" t="e">
        <f>_xll.LVCELL($AK$1,AU$3,$AK45,$AL$2,$AK$4,$AK$5,$AK$6,$AK$7,$AK$8,$AL$3)/1000</f>
        <v>#VALUE!</v>
      </c>
      <c r="AV45" s="172" t="e">
        <f>_xll.LVCELL($AK$1,AV$3,$AK45,$AL$2,$AK$4,$AK$5,$AK$6,$AK$7,$AK$8,$AL$3)/1000</f>
        <v>#VALUE!</v>
      </c>
      <c r="AW45" s="172" t="e">
        <f>_xll.LVCELL($AK$1,AW$3,$AK45,$AL$2,$AK$4,$AK$5,$AK$6,$AK$7,$AK$8,$AL$3)/1000</f>
        <v>#VALUE!</v>
      </c>
      <c r="AX45" s="172" t="e">
        <f>_xll.LVCELL($AK$1,AX$3,$AK45,$AL$2,$AK$4,$AK$5,$AK$6,$AK$7,$AK$8,$AL$3)/1000</f>
        <v>#VALUE!</v>
      </c>
      <c r="AY45" s="172" t="e">
        <f>_xll.LVCELL($AK$1,AY$2,$AK45,$AL$2,$AK$4,$AK$5,$AK$6,$AK$7,$AK$8,$AL$3)/1000</f>
        <v>#VALUE!</v>
      </c>
      <c r="AZ45" s="172" t="e">
        <f>_xll.LVCELL($AK$1,AZ$3,$AK45,$AL$2,$AK$4,$AK$5,$AK$6,$AK$7,$AK$8,$AL$3)/1000</f>
        <v>#VALUE!</v>
      </c>
      <c r="BA45" s="172" t="e">
        <f>_xll.LVCELL($AK$1,BA$3,$AK45,$AL$2,$AK$4,$AK$5,$AK$6,$AK$7,$AK$8,$AL$3)/1000</f>
        <v>#VALUE!</v>
      </c>
      <c r="BB45" s="172" t="e">
        <f>_xll.LVCELL($AK$1,BB$3,$AK45,$AL$2,$AK$4,$AK$5,$AK$6,$AK$7,$AK$8,$AL$3)/1000</f>
        <v>#VALUE!</v>
      </c>
      <c r="BC45" s="172" t="e">
        <f>_xll.LVCELL($AK$1,BC$3,$AK45,$AL$2,$AK$4,$AK$5,$AK$6,$AK$7,$AK$8,$AL$3)/1000</f>
        <v>#VALUE!</v>
      </c>
      <c r="BD45" s="172" t="e">
        <f>_xll.LVCELL($AK$1,BD$3,$AK45,$AL$2,$AK$4,$AK$5,$AK$6,$AK$7,$AK$8,$AL$3)/1000</f>
        <v>#VALUE!</v>
      </c>
      <c r="BE45" s="172" t="e">
        <f>_xll.LVCELL($AK$1,BE$3,$AK45,$AL$2,$AK$4,$AK$5,$AK$6,$AK$7,$AK$8,$AL$3)/1000</f>
        <v>#VALUE!</v>
      </c>
      <c r="BF45" s="172" t="e">
        <f>_xll.LVCELL($AK$1,BF$3,$AK45,$AL$2,$AK$4,$AK$5,$AK$6,$AK$7,$AK$8,$AL$3)/1000</f>
        <v>#VALUE!</v>
      </c>
      <c r="BG45" s="172" t="e">
        <f>_xll.LVCELL($AK$1,BG$3,$AK45,$AL$2,$AK$4,$AK$5,$AK$6,$AK$7,$AK$8,$AL$3)/1000</f>
        <v>#VALUE!</v>
      </c>
      <c r="BH45" s="172" t="e">
        <f>_xll.LVCELL($AK$1,BH$3,$AK45,$AL$2,$AK$4,$AK$5,$AK$6,$AK$7,$AK$8,$AL$3)/1000</f>
        <v>#VALUE!</v>
      </c>
      <c r="BI45" s="172" t="e">
        <f>_xll.LVCELL($AK$1,BI$3,$AK45,$AL$2,$AK$4,$AK$5,$AK$6,$AK$7,$AK$8,$AL$3)/1000</f>
        <v>#VALUE!</v>
      </c>
      <c r="BJ45" s="172" t="e">
        <f>_xll.LVCELL($AK$1,BJ$3,$AK45,$AL$2,$AK$4,$AK$5,$AK$6,$AK$7,$AK$8,$AL$3)/1000</f>
        <v>#VALUE!</v>
      </c>
      <c r="BK45" s="172" t="e">
        <f>_xll.LVCELL($AK$1,BK$3,$AK45,$AL$2,$AK$4,$AK$5,$AK$6,$AK$7,$AK$8,$AL$3)/1000</f>
        <v>#VALUE!</v>
      </c>
      <c r="BL45" s="172" t="e">
        <f>_xll.LVCELL($AK$1,BL$2,$AK45,$AL$2,$AK$4,$AK$5,$AK$6,$AK$7,$AK$8,$AL$3)/1000</f>
        <v>#VALUE!</v>
      </c>
      <c r="BM45" s="214" t="e">
        <f t="shared" si="3"/>
        <v>#VALUE!</v>
      </c>
      <c r="BN45" s="217" t="e">
        <f t="shared" si="4"/>
        <v>#VALUE!</v>
      </c>
      <c r="BO45" s="218" t="e">
        <f t="shared" si="4"/>
        <v>#VALUE!</v>
      </c>
      <c r="BP45" s="193" t="e">
        <f t="shared" si="5"/>
        <v>#VALUE!</v>
      </c>
      <c r="BQ45" s="190" t="s">
        <v>2686</v>
      </c>
      <c r="BS45" s="198">
        <f t="shared" si="6"/>
        <v>0</v>
      </c>
      <c r="BT45" s="198">
        <f t="shared" si="7"/>
        <v>0</v>
      </c>
      <c r="BU45" s="198">
        <f t="shared" si="8"/>
        <v>0</v>
      </c>
      <c r="BV45" s="199" t="str">
        <f t="shared" si="9"/>
        <v>N/A</v>
      </c>
      <c r="BX45" s="200" t="e">
        <f t="shared" si="10"/>
        <v>#VALUE!</v>
      </c>
      <c r="BY45" s="200" t="e">
        <f t="shared" si="11"/>
        <v>#VALUE!</v>
      </c>
      <c r="BZ45" s="200" t="e">
        <f t="shared" si="12"/>
        <v>#VALUE!</v>
      </c>
    </row>
    <row r="46" spans="2:78">
      <c r="B46" s="64" t="s">
        <v>462</v>
      </c>
      <c r="C46" s="64" t="s">
        <v>276</v>
      </c>
      <c r="D46" s="192" t="s">
        <v>307</v>
      </c>
      <c r="E46" s="172" t="e">
        <f>_xll.LVCELL($D$1,E$3,$C46,$D$2,$C$4,$C$5,$C$6,$C$7,$C$8,$D$3)/1000</f>
        <v>#VALUE!</v>
      </c>
      <c r="F46" s="172" t="e">
        <f>_xll.LVCELL($D$1,F$3,$C46,$D$2,$C$4,$C$5,$C$6,$C$7,$C$8,$D$3)/1000</f>
        <v>#VALUE!</v>
      </c>
      <c r="G46" s="172" t="e">
        <f>_xll.LVCELL($D$1,G$3,$C46,$D$2,$C$4,$C$5,$C$6,$C$7,$C$8,$D$3)/1000</f>
        <v>#VALUE!</v>
      </c>
      <c r="H46" s="172" t="e">
        <f>_xll.LVCELL($D$1,H$3,$C46,$D$2,$C$4,$C$5,$C$6,$C$7,$C$8,$D$3)/1000</f>
        <v>#VALUE!</v>
      </c>
      <c r="I46" s="172" t="e">
        <f>_xll.LVCELL($D$1,I$3,$C46,$D$2,$C$4,$C$5,$C$6,$C$7,$C$8,$D$3)/1000</f>
        <v>#VALUE!</v>
      </c>
      <c r="J46" s="172" t="e">
        <f>_xll.LVCELL($D$1,J$3,$C46,$D$2,$C$4,$C$5,$C$6,$C$7,$C$8,$D$3)/1000</f>
        <v>#VALUE!</v>
      </c>
      <c r="K46" s="172" t="e">
        <f>_xll.LVCELL($D$1,K$3,$C46,$D$2,$C$4,$C$5,$C$6,$C$7,$C$8,$D$3)/1000</f>
        <v>#VALUE!</v>
      </c>
      <c r="L46" s="172" t="e">
        <f>_xll.LVCELL($D$1,L$3,$C46,$D$2,$C$4,$C$5,$C$6,$C$7,$C$8,$D$3)/1000</f>
        <v>#VALUE!</v>
      </c>
      <c r="M46" s="172" t="e">
        <f>_xll.LVCELL($D$1,M$3,$C46,$D$2,$C$4,$C$5,$C$6,$C$7,$C$8,$D$3)/1000</f>
        <v>#VALUE!</v>
      </c>
      <c r="N46" s="172" t="e">
        <f>_xll.LVCELL($D$1,N$3,$C46,$D$2,$C$4,$C$5,$C$6,$C$7,$C$8,$D$3)/1000</f>
        <v>#VALUE!</v>
      </c>
      <c r="O46" s="172" t="e">
        <f>_xll.LVCELL($D$1,O$3,$C46,$D$2,$C$4,$C$5,$C$6,$C$7,$C$8,$D$3)/1000</f>
        <v>#VALUE!</v>
      </c>
      <c r="P46" s="172" t="e">
        <f>_xll.LVCELL($D$1,P$3,$C46,$D$2,$C$4,$C$5,$C$6,$C$7,$C$8,$D$3)/1000</f>
        <v>#VALUE!</v>
      </c>
      <c r="Q46" s="172" t="e">
        <f>_xll.LVCELL($D$1,Q$2,$C46,$D$2,$C$4,$C$5,$C$6,$C$7,$C$8,$D$3)/1000</f>
        <v>#VALUE!</v>
      </c>
      <c r="R46" s="172" t="e">
        <f>_xll.LVCELL($D$1,R$3,$C46,$D$2,$C$4,$C$5,$C$6,$C$7,$C$8,$D$3)/1000</f>
        <v>#VALUE!</v>
      </c>
      <c r="S46" s="172" t="e">
        <f>_xll.LVCELL($D$1,S$3,$C46,$D$2,$C$4,$C$5,$C$6,$C$7,$C$8,$D$3)/1000</f>
        <v>#VALUE!</v>
      </c>
      <c r="T46" s="172" t="e">
        <f>_xll.LVCELL($D$1,T$3,$C46,$D$2,$C$4,$C$5,$C$6,$C$7,$C$8,$D$3)/1000</f>
        <v>#VALUE!</v>
      </c>
      <c r="U46" s="172" t="e">
        <f>_xll.LVCELL($D$1,U$3,$C46,$D$2,$C$4,$C$5,$C$6,$C$7,$C$8,$D$3)/1000</f>
        <v>#VALUE!</v>
      </c>
      <c r="V46" s="172" t="e">
        <f>_xll.LVCELL($D$1,V$3,$C46,$D$2,$C$4,$C$5,$C$6,$C$7,$C$8,$D$3)/1000</f>
        <v>#VALUE!</v>
      </c>
      <c r="W46" s="172" t="e">
        <f>_xll.LVCELL($D$1,W$3,$C46,$D$2,$C$4,$C$5,$C$6,$C$7,$C$8,$D$3)/1000</f>
        <v>#VALUE!</v>
      </c>
      <c r="X46" s="172" t="e">
        <f>_xll.LVCELL($D$1,X$3,$C46,$D$2,$C$4,$C$5,$C$6,$C$7,$C$8,$D$3)/1000</f>
        <v>#VALUE!</v>
      </c>
      <c r="Y46" s="172" t="e">
        <f>_xll.LVCELL($D$1,Y$3,$C46,$D$2,$C$4,$C$5,$C$6,$C$7,$C$8,$D$3)/1000</f>
        <v>#VALUE!</v>
      </c>
      <c r="Z46" s="172" t="e">
        <f>_xll.LVCELL($D$1,Z$3,$C46,$D$2,$C$4,$C$5,$C$6,$C$7,$C$8,$D$3)/1000</f>
        <v>#VALUE!</v>
      </c>
      <c r="AA46" s="172" t="e">
        <f>_xll.LVCELL($D$1,AA$3,$C46,$D$2,$C$4,$C$5,$C$6,$C$7,$C$8,$D$3)/1000</f>
        <v>#VALUE!</v>
      </c>
      <c r="AB46" s="172" t="e">
        <f>_xll.LVCELL($D$1,AB$3,$C46,$D$2,$C$4,$C$5,$C$6,$C$7,$C$8,$D$3)/1000</f>
        <v>#VALUE!</v>
      </c>
      <c r="AC46" s="172" t="e">
        <f>_xll.LVCELL($D$1,AC$3,$C46,$D$2,$C$4,$C$5,$C$6,$C$7,$C$8,$D$3)/1000</f>
        <v>#VALUE!</v>
      </c>
      <c r="AD46" s="172" t="e">
        <f>_xll.LVCELL($D$1,AD$2,$C46,$D$2,$C$4,$C$5,$C$6,$C$7,$C$8,$D$3)/1000</f>
        <v>#VALUE!</v>
      </c>
      <c r="AE46" s="172" t="e">
        <f t="shared" si="0"/>
        <v>#VALUE!</v>
      </c>
      <c r="AF46" s="193" t="e">
        <f t="shared" si="1"/>
        <v>#VALUE!</v>
      </c>
      <c r="AG46" s="172" t="s">
        <v>2727</v>
      </c>
      <c r="AH46" s="61" t="e">
        <f t="shared" si="2"/>
        <v>#VALUE!</v>
      </c>
      <c r="AI46" s="64" t="s">
        <v>2768</v>
      </c>
      <c r="AJ46" s="64" t="s">
        <v>462</v>
      </c>
      <c r="AK46" s="64" t="s">
        <v>276</v>
      </c>
      <c r="AL46" s="192" t="s">
        <v>307</v>
      </c>
      <c r="AM46" s="172" t="e">
        <f>_xll.LVCELL($AK$1,AM$3,$AK46,$AL$2,$AK$4,$AK$5,$AK$6,$AK$7,$AK$8,$AL$3)/1000</f>
        <v>#VALUE!</v>
      </c>
      <c r="AN46" s="172" t="e">
        <f>_xll.LVCELL($AK$1,AN$3,$AK46,$AL$2,$AK$4,$AK$5,$AK$6,$AK$7,$AK$8,$AL$3)/1000</f>
        <v>#VALUE!</v>
      </c>
      <c r="AO46" s="172" t="e">
        <f>_xll.LVCELL($AK$1,AO$3,$AK46,$AL$2,$AK$4,$AK$5,$AK$6,$AK$7,$AK$8,$AL$3)/1000</f>
        <v>#VALUE!</v>
      </c>
      <c r="AP46" s="172" t="e">
        <f>_xll.LVCELL($AK$1,AP$3,$AK46,$AL$2,$AK$4,$AK$5,$AK$6,$AK$7,$AK$8,$AL$3)/1000</f>
        <v>#VALUE!</v>
      </c>
      <c r="AQ46" s="172" t="e">
        <f>_xll.LVCELL($AK$1,AQ$3,$AK46,$AL$2,$AK$4,$AK$5,$AK$6,$AK$7,$AK$8,$AL$3)/1000</f>
        <v>#VALUE!</v>
      </c>
      <c r="AR46" s="172" t="e">
        <f>_xll.LVCELL($AK$1,AR$3,$AK46,$AL$2,$AK$4,$AK$5,$AK$6,$AK$7,$AK$8,$AL$3)/1000</f>
        <v>#VALUE!</v>
      </c>
      <c r="AS46" s="172" t="e">
        <f>_xll.LVCELL($AK$1,AS$3,$AK46,$AL$2,$AK$4,$AK$5,$AK$6,$AK$7,$AK$8,$AL$3)/1000</f>
        <v>#VALUE!</v>
      </c>
      <c r="AT46" s="172" t="e">
        <f>_xll.LVCELL($AK$1,AT$3,$AK46,$AL$2,$AK$4,$AK$5,$AK$6,$AK$7,$AK$8,$AL$3)/1000</f>
        <v>#VALUE!</v>
      </c>
      <c r="AU46" s="172" t="e">
        <f>_xll.LVCELL($AK$1,AU$3,$AK46,$AL$2,$AK$4,$AK$5,$AK$6,$AK$7,$AK$8,$AL$3)/1000</f>
        <v>#VALUE!</v>
      </c>
      <c r="AV46" s="172" t="e">
        <f>_xll.LVCELL($AK$1,AV$3,$AK46,$AL$2,$AK$4,$AK$5,$AK$6,$AK$7,$AK$8,$AL$3)/1000</f>
        <v>#VALUE!</v>
      </c>
      <c r="AW46" s="172" t="e">
        <f>_xll.LVCELL($AK$1,AW$3,$AK46,$AL$2,$AK$4,$AK$5,$AK$6,$AK$7,$AK$8,$AL$3)/1000</f>
        <v>#VALUE!</v>
      </c>
      <c r="AX46" s="172" t="e">
        <f>_xll.LVCELL($AK$1,AX$3,$AK46,$AL$2,$AK$4,$AK$5,$AK$6,$AK$7,$AK$8,$AL$3)/1000</f>
        <v>#VALUE!</v>
      </c>
      <c r="AY46" s="172" t="e">
        <f>_xll.LVCELL($AK$1,AY$2,$AK46,$AL$2,$AK$4,$AK$5,$AK$6,$AK$7,$AK$8,$AL$3)/1000</f>
        <v>#VALUE!</v>
      </c>
      <c r="AZ46" s="172" t="e">
        <f>_xll.LVCELL($AK$1,AZ$3,$AK46,$AL$2,$AK$4,$AK$5,$AK$6,$AK$7,$AK$8,$AL$3)/1000</f>
        <v>#VALUE!</v>
      </c>
      <c r="BA46" s="172" t="e">
        <f>_xll.LVCELL($AK$1,BA$3,$AK46,$AL$2,$AK$4,$AK$5,$AK$6,$AK$7,$AK$8,$AL$3)/1000</f>
        <v>#VALUE!</v>
      </c>
      <c r="BB46" s="172" t="e">
        <f>_xll.LVCELL($AK$1,BB$3,$AK46,$AL$2,$AK$4,$AK$5,$AK$6,$AK$7,$AK$8,$AL$3)/1000</f>
        <v>#VALUE!</v>
      </c>
      <c r="BC46" s="172" t="e">
        <f>_xll.LVCELL($AK$1,BC$3,$AK46,$AL$2,$AK$4,$AK$5,$AK$6,$AK$7,$AK$8,$AL$3)/1000</f>
        <v>#VALUE!</v>
      </c>
      <c r="BD46" s="172" t="e">
        <f>_xll.LVCELL($AK$1,BD$3,$AK46,$AL$2,$AK$4,$AK$5,$AK$6,$AK$7,$AK$8,$AL$3)/1000</f>
        <v>#VALUE!</v>
      </c>
      <c r="BE46" s="172" t="e">
        <f>_xll.LVCELL($AK$1,BE$3,$AK46,$AL$2,$AK$4,$AK$5,$AK$6,$AK$7,$AK$8,$AL$3)/1000</f>
        <v>#VALUE!</v>
      </c>
      <c r="BF46" s="172" t="e">
        <f>_xll.LVCELL($AK$1,BF$3,$AK46,$AL$2,$AK$4,$AK$5,$AK$6,$AK$7,$AK$8,$AL$3)/1000</f>
        <v>#VALUE!</v>
      </c>
      <c r="BG46" s="172" t="e">
        <f>_xll.LVCELL($AK$1,BG$3,$AK46,$AL$2,$AK$4,$AK$5,$AK$6,$AK$7,$AK$8,$AL$3)/1000</f>
        <v>#VALUE!</v>
      </c>
      <c r="BH46" s="172" t="e">
        <f>_xll.LVCELL($AK$1,BH$3,$AK46,$AL$2,$AK$4,$AK$5,$AK$6,$AK$7,$AK$8,$AL$3)/1000</f>
        <v>#VALUE!</v>
      </c>
      <c r="BI46" s="172" t="e">
        <f>_xll.LVCELL($AK$1,BI$3,$AK46,$AL$2,$AK$4,$AK$5,$AK$6,$AK$7,$AK$8,$AL$3)/1000</f>
        <v>#VALUE!</v>
      </c>
      <c r="BJ46" s="172" t="e">
        <f>_xll.LVCELL($AK$1,BJ$3,$AK46,$AL$2,$AK$4,$AK$5,$AK$6,$AK$7,$AK$8,$AL$3)/1000</f>
        <v>#VALUE!</v>
      </c>
      <c r="BK46" s="172" t="e">
        <f>_xll.LVCELL($AK$1,BK$3,$AK46,$AL$2,$AK$4,$AK$5,$AK$6,$AK$7,$AK$8,$AL$3)/1000</f>
        <v>#VALUE!</v>
      </c>
      <c r="BL46" s="172" t="e">
        <f>_xll.LVCELL($AK$1,BL$2,$AK46,$AL$2,$AK$4,$AK$5,$AK$6,$AK$7,$AK$8,$AL$3)/1000</f>
        <v>#VALUE!</v>
      </c>
      <c r="BM46" s="214" t="e">
        <f t="shared" si="3"/>
        <v>#VALUE!</v>
      </c>
      <c r="BN46" s="217" t="e">
        <f t="shared" si="4"/>
        <v>#VALUE!</v>
      </c>
      <c r="BO46" s="218" t="e">
        <f t="shared" si="4"/>
        <v>#VALUE!</v>
      </c>
      <c r="BP46" s="193" t="e">
        <f t="shared" si="5"/>
        <v>#VALUE!</v>
      </c>
      <c r="BQ46" s="190" t="s">
        <v>2685</v>
      </c>
      <c r="BS46" s="198">
        <f t="shared" si="6"/>
        <v>0</v>
      </c>
      <c r="BT46" s="198">
        <f t="shared" si="7"/>
        <v>0</v>
      </c>
      <c r="BU46" s="198">
        <f t="shared" si="8"/>
        <v>0</v>
      </c>
      <c r="BV46" s="199" t="str">
        <f t="shared" si="9"/>
        <v>N/A</v>
      </c>
      <c r="BX46" s="200" t="e">
        <f t="shared" si="10"/>
        <v>#VALUE!</v>
      </c>
      <c r="BY46" s="200" t="e">
        <f t="shared" si="11"/>
        <v>#VALUE!</v>
      </c>
      <c r="BZ46" s="200" t="e">
        <f t="shared" si="12"/>
        <v>#VALUE!</v>
      </c>
    </row>
    <row r="47" spans="2:78">
      <c r="B47" s="64" t="s">
        <v>264</v>
      </c>
      <c r="C47" s="64" t="s">
        <v>264</v>
      </c>
      <c r="D47" s="192" t="s">
        <v>215</v>
      </c>
      <c r="E47" s="172" t="e">
        <f>_xll.LVCELL($D$1,E$3,$C47,$D$2,$C$4,$C$5,$C$6,$C$7,$C$8,$D$3)/1000</f>
        <v>#VALUE!</v>
      </c>
      <c r="F47" s="172" t="e">
        <f>_xll.LVCELL($D$1,F$3,$C47,$D$2,$C$4,$C$5,$C$6,$C$7,$C$8,$D$3)/1000</f>
        <v>#VALUE!</v>
      </c>
      <c r="G47" s="172" t="e">
        <f>_xll.LVCELL($D$1,G$3,$C47,$D$2,$C$4,$C$5,$C$6,$C$7,$C$8,$D$3)/1000</f>
        <v>#VALUE!</v>
      </c>
      <c r="H47" s="172" t="e">
        <f>_xll.LVCELL($D$1,H$3,$C47,$D$2,$C$4,$C$5,$C$6,$C$7,$C$8,$D$3)/1000</f>
        <v>#VALUE!</v>
      </c>
      <c r="I47" s="172" t="e">
        <f>_xll.LVCELL($D$1,I$3,$C47,$D$2,$C$4,$C$5,$C$6,$C$7,$C$8,$D$3)/1000</f>
        <v>#VALUE!</v>
      </c>
      <c r="J47" s="172" t="e">
        <f>_xll.LVCELL($D$1,J$3,$C47,$D$2,$C$4,$C$5,$C$6,$C$7,$C$8,$D$3)/1000</f>
        <v>#VALUE!</v>
      </c>
      <c r="K47" s="172" t="e">
        <f>_xll.LVCELL($D$1,K$3,$C47,$D$2,$C$4,$C$5,$C$6,$C$7,$C$8,$D$3)/1000</f>
        <v>#VALUE!</v>
      </c>
      <c r="L47" s="172" t="e">
        <f>_xll.LVCELL($D$1,L$3,$C47,$D$2,$C$4,$C$5,$C$6,$C$7,$C$8,$D$3)/1000</f>
        <v>#VALUE!</v>
      </c>
      <c r="M47" s="172" t="e">
        <f>_xll.LVCELL($D$1,M$3,$C47,$D$2,$C$4,$C$5,$C$6,$C$7,$C$8,$D$3)/1000</f>
        <v>#VALUE!</v>
      </c>
      <c r="N47" s="172" t="e">
        <f>_xll.LVCELL($D$1,N$3,$C47,$D$2,$C$4,$C$5,$C$6,$C$7,$C$8,$D$3)/1000</f>
        <v>#VALUE!</v>
      </c>
      <c r="O47" s="172" t="e">
        <f>_xll.LVCELL($D$1,O$3,$C47,$D$2,$C$4,$C$5,$C$6,$C$7,$C$8,$D$3)/1000</f>
        <v>#VALUE!</v>
      </c>
      <c r="P47" s="172" t="e">
        <f>_xll.LVCELL($D$1,P$3,$C47,$D$2,$C$4,$C$5,$C$6,$C$7,$C$8,$D$3)/1000</f>
        <v>#VALUE!</v>
      </c>
      <c r="Q47" s="172" t="e">
        <f>_xll.LVCELL($D$1,Q$2,$C47,$D$2,$C$4,$C$5,$C$6,$C$7,$C$8,$D$3)/1000</f>
        <v>#VALUE!</v>
      </c>
      <c r="R47" s="172" t="e">
        <f>_xll.LVCELL($D$1,R$3,$C47,$D$2,$C$4,$C$5,$C$6,$C$7,$C$8,$D$3)/1000</f>
        <v>#VALUE!</v>
      </c>
      <c r="S47" s="172" t="e">
        <f>_xll.LVCELL($D$1,S$3,$C47,$D$2,$C$4,$C$5,$C$6,$C$7,$C$8,$D$3)/1000</f>
        <v>#VALUE!</v>
      </c>
      <c r="T47" s="172" t="e">
        <f>_xll.LVCELL($D$1,T$3,$C47,$D$2,$C$4,$C$5,$C$6,$C$7,$C$8,$D$3)/1000</f>
        <v>#VALUE!</v>
      </c>
      <c r="U47" s="172" t="e">
        <f>_xll.LVCELL($D$1,U$3,$C47,$D$2,$C$4,$C$5,$C$6,$C$7,$C$8,$D$3)/1000</f>
        <v>#VALUE!</v>
      </c>
      <c r="V47" s="172" t="e">
        <f>_xll.LVCELL($D$1,V$3,$C47,$D$2,$C$4,$C$5,$C$6,$C$7,$C$8,$D$3)/1000</f>
        <v>#VALUE!</v>
      </c>
      <c r="W47" s="172" t="e">
        <f>_xll.LVCELL($D$1,W$3,$C47,$D$2,$C$4,$C$5,$C$6,$C$7,$C$8,$D$3)/1000</f>
        <v>#VALUE!</v>
      </c>
      <c r="X47" s="172" t="e">
        <f>_xll.LVCELL($D$1,X$3,$C47,$D$2,$C$4,$C$5,$C$6,$C$7,$C$8,$D$3)/1000</f>
        <v>#VALUE!</v>
      </c>
      <c r="Y47" s="172" t="e">
        <f>_xll.LVCELL($D$1,Y$3,$C47,$D$2,$C$4,$C$5,$C$6,$C$7,$C$8,$D$3)/1000</f>
        <v>#VALUE!</v>
      </c>
      <c r="Z47" s="172" t="e">
        <f>_xll.LVCELL($D$1,Z$3,$C47,$D$2,$C$4,$C$5,$C$6,$C$7,$C$8,$D$3)/1000</f>
        <v>#VALUE!</v>
      </c>
      <c r="AA47" s="172" t="e">
        <f>_xll.LVCELL($D$1,AA$3,$C47,$D$2,$C$4,$C$5,$C$6,$C$7,$C$8,$D$3)/1000</f>
        <v>#VALUE!</v>
      </c>
      <c r="AB47" s="172" t="e">
        <f>_xll.LVCELL($D$1,AB$3,$C47,$D$2,$C$4,$C$5,$C$6,$C$7,$C$8,$D$3)/1000</f>
        <v>#VALUE!</v>
      </c>
      <c r="AC47" s="172" t="e">
        <f>_xll.LVCELL($D$1,AC$3,$C47,$D$2,$C$4,$C$5,$C$6,$C$7,$C$8,$D$3)/1000</f>
        <v>#VALUE!</v>
      </c>
      <c r="AD47" s="172" t="e">
        <f>_xll.LVCELL($D$1,AD$2,$C47,$D$2,$C$4,$C$5,$C$6,$C$7,$C$8,$D$3)/1000</f>
        <v>#VALUE!</v>
      </c>
      <c r="AE47" s="172" t="e">
        <f t="shared" si="0"/>
        <v>#VALUE!</v>
      </c>
      <c r="AF47" s="193" t="e">
        <f t="shared" si="1"/>
        <v>#VALUE!</v>
      </c>
      <c r="AG47" s="172" t="s">
        <v>2728</v>
      </c>
      <c r="AH47" s="61" t="e">
        <f t="shared" si="2"/>
        <v>#VALUE!</v>
      </c>
      <c r="AI47" s="64" t="s">
        <v>2767</v>
      </c>
      <c r="AJ47" s="64" t="s">
        <v>264</v>
      </c>
      <c r="AK47" s="64" t="s">
        <v>264</v>
      </c>
      <c r="AL47" s="192" t="s">
        <v>215</v>
      </c>
      <c r="AM47" s="172" t="e">
        <f>_xll.LVCELL($AK$1,AM$3,$AK47,$AL$2,$AK$4,$AK$5,$AK$6,$AK$7,$AK$8,$AL$3)/1000</f>
        <v>#VALUE!</v>
      </c>
      <c r="AN47" s="172" t="e">
        <f>_xll.LVCELL($AK$1,AN$3,$AK47,$AL$2,$AK$4,$AK$5,$AK$6,$AK$7,$AK$8,$AL$3)/1000</f>
        <v>#VALUE!</v>
      </c>
      <c r="AO47" s="172" t="e">
        <f>_xll.LVCELL($AK$1,AO$3,$AK47,$AL$2,$AK$4,$AK$5,$AK$6,$AK$7,$AK$8,$AL$3)/1000</f>
        <v>#VALUE!</v>
      </c>
      <c r="AP47" s="172" t="e">
        <f>_xll.LVCELL($AK$1,AP$3,$AK47,$AL$2,$AK$4,$AK$5,$AK$6,$AK$7,$AK$8,$AL$3)/1000</f>
        <v>#VALUE!</v>
      </c>
      <c r="AQ47" s="172" t="e">
        <f>_xll.LVCELL($AK$1,AQ$3,$AK47,$AL$2,$AK$4,$AK$5,$AK$6,$AK$7,$AK$8,$AL$3)/1000</f>
        <v>#VALUE!</v>
      </c>
      <c r="AR47" s="172" t="e">
        <f>_xll.LVCELL($AK$1,AR$3,$AK47,$AL$2,$AK$4,$AK$5,$AK$6,$AK$7,$AK$8,$AL$3)/1000</f>
        <v>#VALUE!</v>
      </c>
      <c r="AS47" s="172" t="e">
        <f>_xll.LVCELL($AK$1,AS$3,$AK47,$AL$2,$AK$4,$AK$5,$AK$6,$AK$7,$AK$8,$AL$3)/1000</f>
        <v>#VALUE!</v>
      </c>
      <c r="AT47" s="172" t="e">
        <f>_xll.LVCELL($AK$1,AT$3,$AK47,$AL$2,$AK$4,$AK$5,$AK$6,$AK$7,$AK$8,$AL$3)/1000</f>
        <v>#VALUE!</v>
      </c>
      <c r="AU47" s="172" t="e">
        <f>_xll.LVCELL($AK$1,AU$3,$AK47,$AL$2,$AK$4,$AK$5,$AK$6,$AK$7,$AK$8,$AL$3)/1000</f>
        <v>#VALUE!</v>
      </c>
      <c r="AV47" s="172" t="e">
        <f>_xll.LVCELL($AK$1,AV$3,$AK47,$AL$2,$AK$4,$AK$5,$AK$6,$AK$7,$AK$8,$AL$3)/1000</f>
        <v>#VALUE!</v>
      </c>
      <c r="AW47" s="172" t="e">
        <f>_xll.LVCELL($AK$1,AW$3,$AK47,$AL$2,$AK$4,$AK$5,$AK$6,$AK$7,$AK$8,$AL$3)/1000</f>
        <v>#VALUE!</v>
      </c>
      <c r="AX47" s="172" t="e">
        <f>_xll.LVCELL($AK$1,AX$3,$AK47,$AL$2,$AK$4,$AK$5,$AK$6,$AK$7,$AK$8,$AL$3)/1000</f>
        <v>#VALUE!</v>
      </c>
      <c r="AY47" s="172" t="e">
        <f>_xll.LVCELL($AK$1,AY$2,$AK47,$AL$2,$AK$4,$AK$5,$AK$6,$AK$7,$AK$8,$AL$3)/1000</f>
        <v>#VALUE!</v>
      </c>
      <c r="AZ47" s="172" t="e">
        <f>_xll.LVCELL($AK$1,AZ$3,$AK47,$AL$2,$AK$4,$AK$5,$AK$6,$AK$7,$AK$8,$AL$3)/1000</f>
        <v>#VALUE!</v>
      </c>
      <c r="BA47" s="172" t="e">
        <f>_xll.LVCELL($AK$1,BA$3,$AK47,$AL$2,$AK$4,$AK$5,$AK$6,$AK$7,$AK$8,$AL$3)/1000</f>
        <v>#VALUE!</v>
      </c>
      <c r="BB47" s="172" t="e">
        <f>_xll.LVCELL($AK$1,BB$3,$AK47,$AL$2,$AK$4,$AK$5,$AK$6,$AK$7,$AK$8,$AL$3)/1000</f>
        <v>#VALUE!</v>
      </c>
      <c r="BC47" s="172" t="e">
        <f>_xll.LVCELL($AK$1,BC$3,$AK47,$AL$2,$AK$4,$AK$5,$AK$6,$AK$7,$AK$8,$AL$3)/1000</f>
        <v>#VALUE!</v>
      </c>
      <c r="BD47" s="172" t="e">
        <f>_xll.LVCELL($AK$1,BD$3,$AK47,$AL$2,$AK$4,$AK$5,$AK$6,$AK$7,$AK$8,$AL$3)/1000</f>
        <v>#VALUE!</v>
      </c>
      <c r="BE47" s="172" t="e">
        <f>_xll.LVCELL($AK$1,BE$3,$AK47,$AL$2,$AK$4,$AK$5,$AK$6,$AK$7,$AK$8,$AL$3)/1000</f>
        <v>#VALUE!</v>
      </c>
      <c r="BF47" s="172" t="e">
        <f>_xll.LVCELL($AK$1,BF$3,$AK47,$AL$2,$AK$4,$AK$5,$AK$6,$AK$7,$AK$8,$AL$3)/1000</f>
        <v>#VALUE!</v>
      </c>
      <c r="BG47" s="172" t="e">
        <f>_xll.LVCELL($AK$1,BG$3,$AK47,$AL$2,$AK$4,$AK$5,$AK$6,$AK$7,$AK$8,$AL$3)/1000</f>
        <v>#VALUE!</v>
      </c>
      <c r="BH47" s="172" t="e">
        <f>_xll.LVCELL($AK$1,BH$3,$AK47,$AL$2,$AK$4,$AK$5,$AK$6,$AK$7,$AK$8,$AL$3)/1000</f>
        <v>#VALUE!</v>
      </c>
      <c r="BI47" s="172" t="e">
        <f>_xll.LVCELL($AK$1,BI$3,$AK47,$AL$2,$AK$4,$AK$5,$AK$6,$AK$7,$AK$8,$AL$3)/1000</f>
        <v>#VALUE!</v>
      </c>
      <c r="BJ47" s="172" t="e">
        <f>_xll.LVCELL($AK$1,BJ$3,$AK47,$AL$2,$AK$4,$AK$5,$AK$6,$AK$7,$AK$8,$AL$3)/1000</f>
        <v>#VALUE!</v>
      </c>
      <c r="BK47" s="172" t="e">
        <f>_xll.LVCELL($AK$1,BK$3,$AK47,$AL$2,$AK$4,$AK$5,$AK$6,$AK$7,$AK$8,$AL$3)/1000</f>
        <v>#VALUE!</v>
      </c>
      <c r="BL47" s="172" t="e">
        <f>_xll.LVCELL($AK$1,BL$2,$AK47,$AL$2,$AK$4,$AK$5,$AK$6,$AK$7,$AK$8,$AL$3)/1000</f>
        <v>#VALUE!</v>
      </c>
      <c r="BM47" s="214" t="e">
        <f t="shared" si="3"/>
        <v>#VALUE!</v>
      </c>
      <c r="BN47" s="217" t="e">
        <f t="shared" si="4"/>
        <v>#VALUE!</v>
      </c>
      <c r="BO47" s="218" t="e">
        <f t="shared" si="4"/>
        <v>#VALUE!</v>
      </c>
      <c r="BP47" s="193" t="e">
        <f t="shared" si="5"/>
        <v>#VALUE!</v>
      </c>
      <c r="BQ47" s="190" t="s">
        <v>2685</v>
      </c>
      <c r="BS47" s="198">
        <f t="shared" si="6"/>
        <v>0</v>
      </c>
      <c r="BT47" s="198">
        <f t="shared" si="7"/>
        <v>0</v>
      </c>
      <c r="BU47" s="198">
        <f t="shared" si="8"/>
        <v>0</v>
      </c>
      <c r="BV47" s="199" t="str">
        <f t="shared" si="9"/>
        <v>N/A</v>
      </c>
      <c r="BX47" s="200" t="e">
        <f t="shared" si="10"/>
        <v>#VALUE!</v>
      </c>
      <c r="BY47" s="200" t="e">
        <f t="shared" si="11"/>
        <v>#VALUE!</v>
      </c>
      <c r="BZ47" s="200" t="e">
        <f t="shared" si="12"/>
        <v>#VALUE!</v>
      </c>
    </row>
    <row r="48" spans="2:78">
      <c r="B48" s="64" t="s">
        <v>277</v>
      </c>
      <c r="C48" s="64" t="s">
        <v>277</v>
      </c>
      <c r="D48" s="192" t="s">
        <v>2637</v>
      </c>
      <c r="E48" s="172" t="e">
        <f>_xll.LVCELL($D$1,E$3,$C48,$D$2,$C$4,$C$5,$C$6,$C$7,$C$8,$D$3)/1000</f>
        <v>#VALUE!</v>
      </c>
      <c r="F48" s="172" t="e">
        <f>_xll.LVCELL($D$1,F$3,$C48,$D$2,$C$4,$C$5,$C$6,$C$7,$C$8,$D$3)/1000</f>
        <v>#VALUE!</v>
      </c>
      <c r="G48" s="172" t="e">
        <f>_xll.LVCELL($D$1,G$3,$C48,$D$2,$C$4,$C$5,$C$6,$C$7,$C$8,$D$3)/1000</f>
        <v>#VALUE!</v>
      </c>
      <c r="H48" s="172" t="e">
        <f>_xll.LVCELL($D$1,H$3,$C48,$D$2,$C$4,$C$5,$C$6,$C$7,$C$8,$D$3)/1000</f>
        <v>#VALUE!</v>
      </c>
      <c r="I48" s="172" t="e">
        <f>_xll.LVCELL($D$1,I$3,$C48,$D$2,$C$4,$C$5,$C$6,$C$7,$C$8,$D$3)/1000</f>
        <v>#VALUE!</v>
      </c>
      <c r="J48" s="172" t="e">
        <f>_xll.LVCELL($D$1,J$3,$C48,$D$2,$C$4,$C$5,$C$6,$C$7,$C$8,$D$3)/1000</f>
        <v>#VALUE!</v>
      </c>
      <c r="K48" s="172" t="e">
        <f>_xll.LVCELL($D$1,K$3,$C48,$D$2,$C$4,$C$5,$C$6,$C$7,$C$8,$D$3)/1000</f>
        <v>#VALUE!</v>
      </c>
      <c r="L48" s="172" t="e">
        <f>_xll.LVCELL($D$1,L$3,$C48,$D$2,$C$4,$C$5,$C$6,$C$7,$C$8,$D$3)/1000</f>
        <v>#VALUE!</v>
      </c>
      <c r="M48" s="172" t="e">
        <f>_xll.LVCELL($D$1,M$3,$C48,$D$2,$C$4,$C$5,$C$6,$C$7,$C$8,$D$3)/1000</f>
        <v>#VALUE!</v>
      </c>
      <c r="N48" s="172" t="e">
        <f>_xll.LVCELL($D$1,N$3,$C48,$D$2,$C$4,$C$5,$C$6,$C$7,$C$8,$D$3)/1000</f>
        <v>#VALUE!</v>
      </c>
      <c r="O48" s="172" t="e">
        <f>_xll.LVCELL($D$1,O$3,$C48,$D$2,$C$4,$C$5,$C$6,$C$7,$C$8,$D$3)/1000</f>
        <v>#VALUE!</v>
      </c>
      <c r="P48" s="172" t="e">
        <f>_xll.LVCELL($D$1,P$3,$C48,$D$2,$C$4,$C$5,$C$6,$C$7,$C$8,$D$3)/1000</f>
        <v>#VALUE!</v>
      </c>
      <c r="Q48" s="172" t="e">
        <f>_xll.LVCELL($D$1,Q$2,$C48,$D$2,$C$4,$C$5,$C$6,$C$7,$C$8,$D$3)/1000</f>
        <v>#VALUE!</v>
      </c>
      <c r="R48" s="172" t="e">
        <f>_xll.LVCELL($D$1,R$3,$C48,$D$2,$C$4,$C$5,$C$6,$C$7,$C$8,$D$3)/1000</f>
        <v>#VALUE!</v>
      </c>
      <c r="S48" s="172" t="e">
        <f>_xll.LVCELL($D$1,S$3,$C48,$D$2,$C$4,$C$5,$C$6,$C$7,$C$8,$D$3)/1000</f>
        <v>#VALUE!</v>
      </c>
      <c r="T48" s="172" t="e">
        <f>_xll.LVCELL($D$1,T$3,$C48,$D$2,$C$4,$C$5,$C$6,$C$7,$C$8,$D$3)/1000</f>
        <v>#VALUE!</v>
      </c>
      <c r="U48" s="172" t="e">
        <f>_xll.LVCELL($D$1,U$3,$C48,$D$2,$C$4,$C$5,$C$6,$C$7,$C$8,$D$3)/1000</f>
        <v>#VALUE!</v>
      </c>
      <c r="V48" s="172" t="e">
        <f>_xll.LVCELL($D$1,V$3,$C48,$D$2,$C$4,$C$5,$C$6,$C$7,$C$8,$D$3)/1000</f>
        <v>#VALUE!</v>
      </c>
      <c r="W48" s="172" t="e">
        <f>_xll.LVCELL($D$1,W$3,$C48,$D$2,$C$4,$C$5,$C$6,$C$7,$C$8,$D$3)/1000</f>
        <v>#VALUE!</v>
      </c>
      <c r="X48" s="172" t="e">
        <f>_xll.LVCELL($D$1,X$3,$C48,$D$2,$C$4,$C$5,$C$6,$C$7,$C$8,$D$3)/1000</f>
        <v>#VALUE!</v>
      </c>
      <c r="Y48" s="172" t="e">
        <f>_xll.LVCELL($D$1,Y$3,$C48,$D$2,$C$4,$C$5,$C$6,$C$7,$C$8,$D$3)/1000</f>
        <v>#VALUE!</v>
      </c>
      <c r="Z48" s="172" t="e">
        <f>_xll.LVCELL($D$1,Z$3,$C48,$D$2,$C$4,$C$5,$C$6,$C$7,$C$8,$D$3)/1000</f>
        <v>#VALUE!</v>
      </c>
      <c r="AA48" s="172" t="e">
        <f>_xll.LVCELL($D$1,AA$3,$C48,$D$2,$C$4,$C$5,$C$6,$C$7,$C$8,$D$3)/1000</f>
        <v>#VALUE!</v>
      </c>
      <c r="AB48" s="172" t="e">
        <f>_xll.LVCELL($D$1,AB$3,$C48,$D$2,$C$4,$C$5,$C$6,$C$7,$C$8,$D$3)/1000</f>
        <v>#VALUE!</v>
      </c>
      <c r="AC48" s="172" t="e">
        <f>_xll.LVCELL($D$1,AC$3,$C48,$D$2,$C$4,$C$5,$C$6,$C$7,$C$8,$D$3)/1000</f>
        <v>#VALUE!</v>
      </c>
      <c r="AD48" s="172" t="e">
        <f>_xll.LVCELL($D$1,AD$2,$C48,$D$2,$C$4,$C$5,$C$6,$C$7,$C$8,$D$3)/1000</f>
        <v>#VALUE!</v>
      </c>
      <c r="AE48" s="172" t="e">
        <f t="shared" si="0"/>
        <v>#VALUE!</v>
      </c>
      <c r="AF48" s="193" t="e">
        <f t="shared" si="1"/>
        <v>#VALUE!</v>
      </c>
      <c r="AG48" s="172" t="s">
        <v>2729</v>
      </c>
      <c r="AH48" s="61" t="e">
        <f t="shared" si="2"/>
        <v>#VALUE!</v>
      </c>
      <c r="AI48" s="64" t="s">
        <v>2766</v>
      </c>
      <c r="AJ48" s="64" t="s">
        <v>277</v>
      </c>
      <c r="AK48" s="64" t="s">
        <v>277</v>
      </c>
      <c r="AL48" s="192" t="s">
        <v>2637</v>
      </c>
      <c r="AM48" s="172" t="e">
        <f>_xll.LVCELL($AK$1,AM$3,$AK48,$AL$2,$AK$4,$AK$5,$AK$6,$AK$7,$AK$8,$AL$3)/1000</f>
        <v>#VALUE!</v>
      </c>
      <c r="AN48" s="172" t="e">
        <f>_xll.LVCELL($AK$1,AN$3,$AK48,$AL$2,$AK$4,$AK$5,$AK$6,$AK$7,$AK$8,$AL$3)/1000</f>
        <v>#VALUE!</v>
      </c>
      <c r="AO48" s="172" t="e">
        <f>_xll.LVCELL($AK$1,AO$3,$AK48,$AL$2,$AK$4,$AK$5,$AK$6,$AK$7,$AK$8,$AL$3)/1000</f>
        <v>#VALUE!</v>
      </c>
      <c r="AP48" s="172" t="e">
        <f>_xll.LVCELL($AK$1,AP$3,$AK48,$AL$2,$AK$4,$AK$5,$AK$6,$AK$7,$AK$8,$AL$3)/1000</f>
        <v>#VALUE!</v>
      </c>
      <c r="AQ48" s="172" t="e">
        <f>_xll.LVCELL($AK$1,AQ$3,$AK48,$AL$2,$AK$4,$AK$5,$AK$6,$AK$7,$AK$8,$AL$3)/1000</f>
        <v>#VALUE!</v>
      </c>
      <c r="AR48" s="172" t="e">
        <f>_xll.LVCELL($AK$1,AR$3,$AK48,$AL$2,$AK$4,$AK$5,$AK$6,$AK$7,$AK$8,$AL$3)/1000</f>
        <v>#VALUE!</v>
      </c>
      <c r="AS48" s="172" t="e">
        <f>_xll.LVCELL($AK$1,AS$3,$AK48,$AL$2,$AK$4,$AK$5,$AK$6,$AK$7,$AK$8,$AL$3)/1000</f>
        <v>#VALUE!</v>
      </c>
      <c r="AT48" s="172" t="e">
        <f>_xll.LVCELL($AK$1,AT$3,$AK48,$AL$2,$AK$4,$AK$5,$AK$6,$AK$7,$AK$8,$AL$3)/1000</f>
        <v>#VALUE!</v>
      </c>
      <c r="AU48" s="172" t="e">
        <f>_xll.LVCELL($AK$1,AU$3,$AK48,$AL$2,$AK$4,$AK$5,$AK$6,$AK$7,$AK$8,$AL$3)/1000</f>
        <v>#VALUE!</v>
      </c>
      <c r="AV48" s="172" t="e">
        <f>_xll.LVCELL($AK$1,AV$3,$AK48,$AL$2,$AK$4,$AK$5,$AK$6,$AK$7,$AK$8,$AL$3)/1000</f>
        <v>#VALUE!</v>
      </c>
      <c r="AW48" s="172" t="e">
        <f>_xll.LVCELL($AK$1,AW$3,$AK48,$AL$2,$AK$4,$AK$5,$AK$6,$AK$7,$AK$8,$AL$3)/1000</f>
        <v>#VALUE!</v>
      </c>
      <c r="AX48" s="172" t="e">
        <f>_xll.LVCELL($AK$1,AX$3,$AK48,$AL$2,$AK$4,$AK$5,$AK$6,$AK$7,$AK$8,$AL$3)/1000</f>
        <v>#VALUE!</v>
      </c>
      <c r="AY48" s="172" t="e">
        <f>_xll.LVCELL($AK$1,AY$2,$AK48,$AL$2,$AK$4,$AK$5,$AK$6,$AK$7,$AK$8,$AL$3)/1000</f>
        <v>#VALUE!</v>
      </c>
      <c r="AZ48" s="172" t="e">
        <f>_xll.LVCELL($AK$1,AZ$3,$AK48,$AL$2,$AK$4,$AK$5,$AK$6,$AK$7,$AK$8,$AL$3)/1000</f>
        <v>#VALUE!</v>
      </c>
      <c r="BA48" s="172" t="e">
        <f>_xll.LVCELL($AK$1,BA$3,$AK48,$AL$2,$AK$4,$AK$5,$AK$6,$AK$7,$AK$8,$AL$3)/1000</f>
        <v>#VALUE!</v>
      </c>
      <c r="BB48" s="172" t="e">
        <f>_xll.LVCELL($AK$1,BB$3,$AK48,$AL$2,$AK$4,$AK$5,$AK$6,$AK$7,$AK$8,$AL$3)/1000</f>
        <v>#VALUE!</v>
      </c>
      <c r="BC48" s="172" t="e">
        <f>_xll.LVCELL($AK$1,BC$3,$AK48,$AL$2,$AK$4,$AK$5,$AK$6,$AK$7,$AK$8,$AL$3)/1000</f>
        <v>#VALUE!</v>
      </c>
      <c r="BD48" s="172" t="e">
        <f>_xll.LVCELL($AK$1,BD$3,$AK48,$AL$2,$AK$4,$AK$5,$AK$6,$AK$7,$AK$8,$AL$3)/1000</f>
        <v>#VALUE!</v>
      </c>
      <c r="BE48" s="172" t="e">
        <f>_xll.LVCELL($AK$1,BE$3,$AK48,$AL$2,$AK$4,$AK$5,$AK$6,$AK$7,$AK$8,$AL$3)/1000</f>
        <v>#VALUE!</v>
      </c>
      <c r="BF48" s="172" t="e">
        <f>_xll.LVCELL($AK$1,BF$3,$AK48,$AL$2,$AK$4,$AK$5,$AK$6,$AK$7,$AK$8,$AL$3)/1000</f>
        <v>#VALUE!</v>
      </c>
      <c r="BG48" s="172" t="e">
        <f>_xll.LVCELL($AK$1,BG$3,$AK48,$AL$2,$AK$4,$AK$5,$AK$6,$AK$7,$AK$8,$AL$3)/1000</f>
        <v>#VALUE!</v>
      </c>
      <c r="BH48" s="172" t="e">
        <f>_xll.LVCELL($AK$1,BH$3,$AK48,$AL$2,$AK$4,$AK$5,$AK$6,$AK$7,$AK$8,$AL$3)/1000</f>
        <v>#VALUE!</v>
      </c>
      <c r="BI48" s="172" t="e">
        <f>_xll.LVCELL($AK$1,BI$3,$AK48,$AL$2,$AK$4,$AK$5,$AK$6,$AK$7,$AK$8,$AL$3)/1000</f>
        <v>#VALUE!</v>
      </c>
      <c r="BJ48" s="172" t="e">
        <f>_xll.LVCELL($AK$1,BJ$3,$AK48,$AL$2,$AK$4,$AK$5,$AK$6,$AK$7,$AK$8,$AL$3)/1000</f>
        <v>#VALUE!</v>
      </c>
      <c r="BK48" s="172" t="e">
        <f>_xll.LVCELL($AK$1,BK$3,$AK48,$AL$2,$AK$4,$AK$5,$AK$6,$AK$7,$AK$8,$AL$3)/1000</f>
        <v>#VALUE!</v>
      </c>
      <c r="BL48" s="172" t="e">
        <f>_xll.LVCELL($AK$1,BL$2,$AK48,$AL$2,$AK$4,$AK$5,$AK$6,$AK$7,$AK$8,$AL$3)/1000</f>
        <v>#VALUE!</v>
      </c>
      <c r="BM48" s="214" t="e">
        <f t="shared" si="3"/>
        <v>#VALUE!</v>
      </c>
      <c r="BN48" s="217" t="e">
        <f t="shared" si="4"/>
        <v>#VALUE!</v>
      </c>
      <c r="BO48" s="218" t="e">
        <f t="shared" si="4"/>
        <v>#VALUE!</v>
      </c>
      <c r="BP48" s="193" t="e">
        <f t="shared" si="5"/>
        <v>#VALUE!</v>
      </c>
      <c r="BQ48" s="190" t="s">
        <v>2685</v>
      </c>
      <c r="BS48" s="198">
        <f t="shared" si="6"/>
        <v>0</v>
      </c>
      <c r="BT48" s="198">
        <f t="shared" si="7"/>
        <v>0</v>
      </c>
      <c r="BU48" s="198">
        <f t="shared" si="8"/>
        <v>0</v>
      </c>
      <c r="BV48" s="199" t="str">
        <f t="shared" si="9"/>
        <v>N/A</v>
      </c>
      <c r="BX48" s="200" t="e">
        <f t="shared" si="10"/>
        <v>#VALUE!</v>
      </c>
      <c r="BY48" s="200" t="e">
        <f t="shared" si="11"/>
        <v>#VALUE!</v>
      </c>
      <c r="BZ48" s="200" t="e">
        <f t="shared" si="12"/>
        <v>#VALUE!</v>
      </c>
    </row>
    <row r="49" spans="2:78">
      <c r="B49" s="64" t="s">
        <v>473</v>
      </c>
      <c r="C49" s="64" t="s">
        <v>473</v>
      </c>
      <c r="D49" s="192" t="s">
        <v>558</v>
      </c>
      <c r="E49" s="172" t="e">
        <f>_xll.LVCELL($D$1,E$3,$C49,$D$2,$C$4,$C$5,$C$6,$C$7,$C$8,$D$3)/1000</f>
        <v>#VALUE!</v>
      </c>
      <c r="F49" s="172" t="e">
        <f>_xll.LVCELL($D$1,F$3,$C49,$D$2,$C$4,$C$5,$C$6,$C$7,$C$8,$D$3)/1000</f>
        <v>#VALUE!</v>
      </c>
      <c r="G49" s="172" t="e">
        <f>_xll.LVCELL($D$1,G$3,$C49,$D$2,$C$4,$C$5,$C$6,$C$7,$C$8,$D$3)/1000</f>
        <v>#VALUE!</v>
      </c>
      <c r="H49" s="172" t="e">
        <f>_xll.LVCELL($D$1,H$3,$C49,$D$2,$C$4,$C$5,$C$6,$C$7,$C$8,$D$3)/1000</f>
        <v>#VALUE!</v>
      </c>
      <c r="I49" s="172" t="e">
        <f>_xll.LVCELL($D$1,I$3,$C49,$D$2,$C$4,$C$5,$C$6,$C$7,$C$8,$D$3)/1000</f>
        <v>#VALUE!</v>
      </c>
      <c r="J49" s="172" t="e">
        <f>_xll.LVCELL($D$1,J$3,$C49,$D$2,$C$4,$C$5,$C$6,$C$7,$C$8,$D$3)/1000</f>
        <v>#VALUE!</v>
      </c>
      <c r="K49" s="172" t="e">
        <f>_xll.LVCELL($D$1,K$3,$C49,$D$2,$C$4,$C$5,$C$6,$C$7,$C$8,$D$3)/1000</f>
        <v>#VALUE!</v>
      </c>
      <c r="L49" s="172" t="e">
        <f>_xll.LVCELL($D$1,L$3,$C49,$D$2,$C$4,$C$5,$C$6,$C$7,$C$8,$D$3)/1000</f>
        <v>#VALUE!</v>
      </c>
      <c r="M49" s="172" t="e">
        <f>_xll.LVCELL($D$1,M$3,$C49,$D$2,$C$4,$C$5,$C$6,$C$7,$C$8,$D$3)/1000</f>
        <v>#VALUE!</v>
      </c>
      <c r="N49" s="172" t="e">
        <f>_xll.LVCELL($D$1,N$3,$C49,$D$2,$C$4,$C$5,$C$6,$C$7,$C$8,$D$3)/1000</f>
        <v>#VALUE!</v>
      </c>
      <c r="O49" s="172" t="e">
        <f>_xll.LVCELL($D$1,O$3,$C49,$D$2,$C$4,$C$5,$C$6,$C$7,$C$8,$D$3)/1000</f>
        <v>#VALUE!</v>
      </c>
      <c r="P49" s="172" t="e">
        <f>_xll.LVCELL($D$1,P$3,$C49,$D$2,$C$4,$C$5,$C$6,$C$7,$C$8,$D$3)/1000</f>
        <v>#VALUE!</v>
      </c>
      <c r="Q49" s="172" t="e">
        <f>_xll.LVCELL($D$1,Q$2,$C49,$D$2,$C$4,$C$5,$C$6,$C$7,$C$8,$D$3)/1000</f>
        <v>#VALUE!</v>
      </c>
      <c r="R49" s="172" t="e">
        <f>_xll.LVCELL($D$1,R$3,$C49,$D$2,$C$4,$C$5,$C$6,$C$7,$C$8,$D$3)/1000</f>
        <v>#VALUE!</v>
      </c>
      <c r="S49" s="172" t="e">
        <f>_xll.LVCELL($D$1,S$3,$C49,$D$2,$C$4,$C$5,$C$6,$C$7,$C$8,$D$3)/1000</f>
        <v>#VALUE!</v>
      </c>
      <c r="T49" s="172" t="e">
        <f>_xll.LVCELL($D$1,T$3,$C49,$D$2,$C$4,$C$5,$C$6,$C$7,$C$8,$D$3)/1000</f>
        <v>#VALUE!</v>
      </c>
      <c r="U49" s="172" t="e">
        <f>_xll.LVCELL($D$1,U$3,$C49,$D$2,$C$4,$C$5,$C$6,$C$7,$C$8,$D$3)/1000</f>
        <v>#VALUE!</v>
      </c>
      <c r="V49" s="172" t="e">
        <f>_xll.LVCELL($D$1,V$3,$C49,$D$2,$C$4,$C$5,$C$6,$C$7,$C$8,$D$3)/1000</f>
        <v>#VALUE!</v>
      </c>
      <c r="W49" s="172" t="e">
        <f>_xll.LVCELL($D$1,W$3,$C49,$D$2,$C$4,$C$5,$C$6,$C$7,$C$8,$D$3)/1000</f>
        <v>#VALUE!</v>
      </c>
      <c r="X49" s="172" t="e">
        <f>_xll.LVCELL($D$1,X$3,$C49,$D$2,$C$4,$C$5,$C$6,$C$7,$C$8,$D$3)/1000</f>
        <v>#VALUE!</v>
      </c>
      <c r="Y49" s="172" t="e">
        <f>_xll.LVCELL($D$1,Y$3,$C49,$D$2,$C$4,$C$5,$C$6,$C$7,$C$8,$D$3)/1000</f>
        <v>#VALUE!</v>
      </c>
      <c r="Z49" s="172" t="e">
        <f>_xll.LVCELL($D$1,Z$3,$C49,$D$2,$C$4,$C$5,$C$6,$C$7,$C$8,$D$3)/1000</f>
        <v>#VALUE!</v>
      </c>
      <c r="AA49" s="172" t="e">
        <f>_xll.LVCELL($D$1,AA$3,$C49,$D$2,$C$4,$C$5,$C$6,$C$7,$C$8,$D$3)/1000</f>
        <v>#VALUE!</v>
      </c>
      <c r="AB49" s="172" t="e">
        <f>_xll.LVCELL($D$1,AB$3,$C49,$D$2,$C$4,$C$5,$C$6,$C$7,$C$8,$D$3)/1000</f>
        <v>#VALUE!</v>
      </c>
      <c r="AC49" s="172" t="e">
        <f>_xll.LVCELL($D$1,AC$3,$C49,$D$2,$C$4,$C$5,$C$6,$C$7,$C$8,$D$3)/1000</f>
        <v>#VALUE!</v>
      </c>
      <c r="AD49" s="172" t="e">
        <f>_xll.LVCELL($D$1,AD$2,$C49,$D$2,$C$4,$C$5,$C$6,$C$7,$C$8,$D$3)/1000</f>
        <v>#VALUE!</v>
      </c>
      <c r="AE49" s="172" t="e">
        <f t="shared" si="0"/>
        <v>#VALUE!</v>
      </c>
      <c r="AF49" s="193" t="e">
        <f t="shared" si="1"/>
        <v>#VALUE!</v>
      </c>
      <c r="AG49" s="172" t="s">
        <v>2730</v>
      </c>
      <c r="AH49" s="61" t="e">
        <f t="shared" si="2"/>
        <v>#VALUE!</v>
      </c>
      <c r="AI49" s="64" t="s">
        <v>2767</v>
      </c>
      <c r="AJ49" s="64" t="s">
        <v>473</v>
      </c>
      <c r="AK49" s="64" t="s">
        <v>473</v>
      </c>
      <c r="AL49" s="192" t="s">
        <v>558</v>
      </c>
      <c r="AM49" s="172" t="e">
        <f>_xll.LVCELL($AK$1,AM$3,$AK49,$AL$2,$AK$4,$AK$5,$AK$6,$AK$7,$AK$8,$AL$3)/1000</f>
        <v>#VALUE!</v>
      </c>
      <c r="AN49" s="172" t="e">
        <f>_xll.LVCELL($AK$1,AN$3,$AK49,$AL$2,$AK$4,$AK$5,$AK$6,$AK$7,$AK$8,$AL$3)/1000</f>
        <v>#VALUE!</v>
      </c>
      <c r="AO49" s="172" t="e">
        <f>_xll.LVCELL($AK$1,AO$3,$AK49,$AL$2,$AK$4,$AK$5,$AK$6,$AK$7,$AK$8,$AL$3)/1000</f>
        <v>#VALUE!</v>
      </c>
      <c r="AP49" s="172" t="e">
        <f>_xll.LVCELL($AK$1,AP$3,$AK49,$AL$2,$AK$4,$AK$5,$AK$6,$AK$7,$AK$8,$AL$3)/1000</f>
        <v>#VALUE!</v>
      </c>
      <c r="AQ49" s="172" t="e">
        <f>_xll.LVCELL($AK$1,AQ$3,$AK49,$AL$2,$AK$4,$AK$5,$AK$6,$AK$7,$AK$8,$AL$3)/1000</f>
        <v>#VALUE!</v>
      </c>
      <c r="AR49" s="172" t="e">
        <f>_xll.LVCELL($AK$1,AR$3,$AK49,$AL$2,$AK$4,$AK$5,$AK$6,$AK$7,$AK$8,$AL$3)/1000</f>
        <v>#VALUE!</v>
      </c>
      <c r="AS49" s="172" t="e">
        <f>_xll.LVCELL($AK$1,AS$3,$AK49,$AL$2,$AK$4,$AK$5,$AK$6,$AK$7,$AK$8,$AL$3)/1000</f>
        <v>#VALUE!</v>
      </c>
      <c r="AT49" s="172" t="e">
        <f>_xll.LVCELL($AK$1,AT$3,$AK49,$AL$2,$AK$4,$AK$5,$AK$6,$AK$7,$AK$8,$AL$3)/1000</f>
        <v>#VALUE!</v>
      </c>
      <c r="AU49" s="172" t="e">
        <f>_xll.LVCELL($AK$1,AU$3,$AK49,$AL$2,$AK$4,$AK$5,$AK$6,$AK$7,$AK$8,$AL$3)/1000</f>
        <v>#VALUE!</v>
      </c>
      <c r="AV49" s="172" t="e">
        <f>_xll.LVCELL($AK$1,AV$3,$AK49,$AL$2,$AK$4,$AK$5,$AK$6,$AK$7,$AK$8,$AL$3)/1000</f>
        <v>#VALUE!</v>
      </c>
      <c r="AW49" s="172" t="e">
        <f>_xll.LVCELL($AK$1,AW$3,$AK49,$AL$2,$AK$4,$AK$5,$AK$6,$AK$7,$AK$8,$AL$3)/1000</f>
        <v>#VALUE!</v>
      </c>
      <c r="AX49" s="172" t="e">
        <f>_xll.LVCELL($AK$1,AX$3,$AK49,$AL$2,$AK$4,$AK$5,$AK$6,$AK$7,$AK$8,$AL$3)/1000</f>
        <v>#VALUE!</v>
      </c>
      <c r="AY49" s="172" t="e">
        <f>_xll.LVCELL($AK$1,AY$2,$AK49,$AL$2,$AK$4,$AK$5,$AK$6,$AK$7,$AK$8,$AL$3)/1000</f>
        <v>#VALUE!</v>
      </c>
      <c r="AZ49" s="172" t="e">
        <f>_xll.LVCELL($AK$1,AZ$3,$AK49,$AL$2,$AK$4,$AK$5,$AK$6,$AK$7,$AK$8,$AL$3)/1000</f>
        <v>#VALUE!</v>
      </c>
      <c r="BA49" s="172" t="e">
        <f>_xll.LVCELL($AK$1,BA$3,$AK49,$AL$2,$AK$4,$AK$5,$AK$6,$AK$7,$AK$8,$AL$3)/1000</f>
        <v>#VALUE!</v>
      </c>
      <c r="BB49" s="172" t="e">
        <f>_xll.LVCELL($AK$1,BB$3,$AK49,$AL$2,$AK$4,$AK$5,$AK$6,$AK$7,$AK$8,$AL$3)/1000</f>
        <v>#VALUE!</v>
      </c>
      <c r="BC49" s="172" t="e">
        <f>_xll.LVCELL($AK$1,BC$3,$AK49,$AL$2,$AK$4,$AK$5,$AK$6,$AK$7,$AK$8,$AL$3)/1000</f>
        <v>#VALUE!</v>
      </c>
      <c r="BD49" s="172" t="e">
        <f>_xll.LVCELL($AK$1,BD$3,$AK49,$AL$2,$AK$4,$AK$5,$AK$6,$AK$7,$AK$8,$AL$3)/1000</f>
        <v>#VALUE!</v>
      </c>
      <c r="BE49" s="172" t="e">
        <f>_xll.LVCELL($AK$1,BE$3,$AK49,$AL$2,$AK$4,$AK$5,$AK$6,$AK$7,$AK$8,$AL$3)/1000</f>
        <v>#VALUE!</v>
      </c>
      <c r="BF49" s="172" t="e">
        <f>_xll.LVCELL($AK$1,BF$3,$AK49,$AL$2,$AK$4,$AK$5,$AK$6,$AK$7,$AK$8,$AL$3)/1000</f>
        <v>#VALUE!</v>
      </c>
      <c r="BG49" s="172" t="e">
        <f>_xll.LVCELL($AK$1,BG$3,$AK49,$AL$2,$AK$4,$AK$5,$AK$6,$AK$7,$AK$8,$AL$3)/1000</f>
        <v>#VALUE!</v>
      </c>
      <c r="BH49" s="172" t="e">
        <f>_xll.LVCELL($AK$1,BH$3,$AK49,$AL$2,$AK$4,$AK$5,$AK$6,$AK$7,$AK$8,$AL$3)/1000</f>
        <v>#VALUE!</v>
      </c>
      <c r="BI49" s="172" t="e">
        <f>_xll.LVCELL($AK$1,BI$3,$AK49,$AL$2,$AK$4,$AK$5,$AK$6,$AK$7,$AK$8,$AL$3)/1000</f>
        <v>#VALUE!</v>
      </c>
      <c r="BJ49" s="172" t="e">
        <f>_xll.LVCELL($AK$1,BJ$3,$AK49,$AL$2,$AK$4,$AK$5,$AK$6,$AK$7,$AK$8,$AL$3)/1000</f>
        <v>#VALUE!</v>
      </c>
      <c r="BK49" s="172" t="e">
        <f>_xll.LVCELL($AK$1,BK$3,$AK49,$AL$2,$AK$4,$AK$5,$AK$6,$AK$7,$AK$8,$AL$3)/1000</f>
        <v>#VALUE!</v>
      </c>
      <c r="BL49" s="172" t="e">
        <f>_xll.LVCELL($AK$1,BL$2,$AK49,$AL$2,$AK$4,$AK$5,$AK$6,$AK$7,$AK$8,$AL$3)/1000</f>
        <v>#VALUE!</v>
      </c>
      <c r="BM49" s="214" t="e">
        <f t="shared" si="3"/>
        <v>#VALUE!</v>
      </c>
      <c r="BN49" s="217" t="e">
        <f t="shared" si="4"/>
        <v>#VALUE!</v>
      </c>
      <c r="BO49" s="218" t="e">
        <f t="shared" si="4"/>
        <v>#VALUE!</v>
      </c>
      <c r="BP49" s="193" t="e">
        <f t="shared" si="5"/>
        <v>#VALUE!</v>
      </c>
      <c r="BQ49" s="190" t="s">
        <v>2690</v>
      </c>
      <c r="BS49" s="198">
        <f t="shared" si="6"/>
        <v>0</v>
      </c>
      <c r="BT49" s="198">
        <f t="shared" si="7"/>
        <v>0</v>
      </c>
      <c r="BU49" s="198">
        <f t="shared" si="8"/>
        <v>0</v>
      </c>
      <c r="BV49" s="199" t="str">
        <f t="shared" si="9"/>
        <v>N/A</v>
      </c>
      <c r="BX49" s="200" t="e">
        <f t="shared" si="10"/>
        <v>#VALUE!</v>
      </c>
      <c r="BY49" s="200" t="e">
        <f t="shared" si="11"/>
        <v>#VALUE!</v>
      </c>
      <c r="BZ49" s="200" t="e">
        <f t="shared" si="12"/>
        <v>#VALUE!</v>
      </c>
    </row>
    <row r="50" spans="2:78">
      <c r="B50" s="64" t="s">
        <v>467</v>
      </c>
      <c r="C50" s="64" t="s">
        <v>467</v>
      </c>
      <c r="D50" s="192" t="s">
        <v>2645</v>
      </c>
      <c r="E50" s="172" t="e">
        <f>_xll.LVCELL($D$1,E$3,$C50,$D$2,$C$4,$C$5,$C$6,$C$7,$C$8,$D$3)/1000</f>
        <v>#VALUE!</v>
      </c>
      <c r="F50" s="172" t="e">
        <f>_xll.LVCELL($D$1,F$3,$C50,$D$2,$C$4,$C$5,$C$6,$C$7,$C$8,$D$3)/1000</f>
        <v>#VALUE!</v>
      </c>
      <c r="G50" s="172" t="e">
        <f>_xll.LVCELL($D$1,G$3,$C50,$D$2,$C$4,$C$5,$C$6,$C$7,$C$8,$D$3)/1000</f>
        <v>#VALUE!</v>
      </c>
      <c r="H50" s="172" t="e">
        <f>_xll.LVCELL($D$1,H$3,$C50,$D$2,$C$4,$C$5,$C$6,$C$7,$C$8,$D$3)/1000</f>
        <v>#VALUE!</v>
      </c>
      <c r="I50" s="172" t="e">
        <f>_xll.LVCELL($D$1,I$3,$C50,$D$2,$C$4,$C$5,$C$6,$C$7,$C$8,$D$3)/1000</f>
        <v>#VALUE!</v>
      </c>
      <c r="J50" s="172" t="e">
        <f>_xll.LVCELL($D$1,J$3,$C50,$D$2,$C$4,$C$5,$C$6,$C$7,$C$8,$D$3)/1000</f>
        <v>#VALUE!</v>
      </c>
      <c r="K50" s="172" t="e">
        <f>_xll.LVCELL($D$1,K$3,$C50,$D$2,$C$4,$C$5,$C$6,$C$7,$C$8,$D$3)/1000</f>
        <v>#VALUE!</v>
      </c>
      <c r="L50" s="172" t="e">
        <f>_xll.LVCELL($D$1,L$3,$C50,$D$2,$C$4,$C$5,$C$6,$C$7,$C$8,$D$3)/1000</f>
        <v>#VALUE!</v>
      </c>
      <c r="M50" s="172" t="e">
        <f>_xll.LVCELL($D$1,M$3,$C50,$D$2,$C$4,$C$5,$C$6,$C$7,$C$8,$D$3)/1000</f>
        <v>#VALUE!</v>
      </c>
      <c r="N50" s="172" t="e">
        <f>_xll.LVCELL($D$1,N$3,$C50,$D$2,$C$4,$C$5,$C$6,$C$7,$C$8,$D$3)/1000</f>
        <v>#VALUE!</v>
      </c>
      <c r="O50" s="172" t="e">
        <f>_xll.LVCELL($D$1,O$3,$C50,$D$2,$C$4,$C$5,$C$6,$C$7,$C$8,$D$3)/1000</f>
        <v>#VALUE!</v>
      </c>
      <c r="P50" s="172" t="e">
        <f>_xll.LVCELL($D$1,P$3,$C50,$D$2,$C$4,$C$5,$C$6,$C$7,$C$8,$D$3)/1000</f>
        <v>#VALUE!</v>
      </c>
      <c r="Q50" s="172" t="e">
        <f>_xll.LVCELL($D$1,Q$2,$C50,$D$2,$C$4,$C$5,$C$6,$C$7,$C$8,$D$3)/1000</f>
        <v>#VALUE!</v>
      </c>
      <c r="R50" s="172" t="e">
        <f>_xll.LVCELL($D$1,R$3,$C50,$D$2,$C$4,$C$5,$C$6,$C$7,$C$8,$D$3)/1000</f>
        <v>#VALUE!</v>
      </c>
      <c r="S50" s="172" t="e">
        <f>_xll.LVCELL($D$1,S$3,$C50,$D$2,$C$4,$C$5,$C$6,$C$7,$C$8,$D$3)/1000</f>
        <v>#VALUE!</v>
      </c>
      <c r="T50" s="172" t="e">
        <f>_xll.LVCELL($D$1,T$3,$C50,$D$2,$C$4,$C$5,$C$6,$C$7,$C$8,$D$3)/1000</f>
        <v>#VALUE!</v>
      </c>
      <c r="U50" s="172" t="e">
        <f>_xll.LVCELL($D$1,U$3,$C50,$D$2,$C$4,$C$5,$C$6,$C$7,$C$8,$D$3)/1000</f>
        <v>#VALUE!</v>
      </c>
      <c r="V50" s="172" t="e">
        <f>_xll.LVCELL($D$1,V$3,$C50,$D$2,$C$4,$C$5,$C$6,$C$7,$C$8,$D$3)/1000</f>
        <v>#VALUE!</v>
      </c>
      <c r="W50" s="172" t="e">
        <f>_xll.LVCELL($D$1,W$3,$C50,$D$2,$C$4,$C$5,$C$6,$C$7,$C$8,$D$3)/1000</f>
        <v>#VALUE!</v>
      </c>
      <c r="X50" s="172" t="e">
        <f>_xll.LVCELL($D$1,X$3,$C50,$D$2,$C$4,$C$5,$C$6,$C$7,$C$8,$D$3)/1000</f>
        <v>#VALUE!</v>
      </c>
      <c r="Y50" s="172" t="e">
        <f>_xll.LVCELL($D$1,Y$3,$C50,$D$2,$C$4,$C$5,$C$6,$C$7,$C$8,$D$3)/1000</f>
        <v>#VALUE!</v>
      </c>
      <c r="Z50" s="172" t="e">
        <f>_xll.LVCELL($D$1,Z$3,$C50,$D$2,$C$4,$C$5,$C$6,$C$7,$C$8,$D$3)/1000</f>
        <v>#VALUE!</v>
      </c>
      <c r="AA50" s="172" t="e">
        <f>_xll.LVCELL($D$1,AA$3,$C50,$D$2,$C$4,$C$5,$C$6,$C$7,$C$8,$D$3)/1000</f>
        <v>#VALUE!</v>
      </c>
      <c r="AB50" s="172" t="e">
        <f>_xll.LVCELL($D$1,AB$3,$C50,$D$2,$C$4,$C$5,$C$6,$C$7,$C$8,$D$3)/1000</f>
        <v>#VALUE!</v>
      </c>
      <c r="AC50" s="172" t="e">
        <f>_xll.LVCELL($D$1,AC$3,$C50,$D$2,$C$4,$C$5,$C$6,$C$7,$C$8,$D$3)/1000</f>
        <v>#VALUE!</v>
      </c>
      <c r="AD50" s="172" t="e">
        <f>_xll.LVCELL($D$1,AD$2,$C50,$D$2,$C$4,$C$5,$C$6,$C$7,$C$8,$D$3)/1000</f>
        <v>#VALUE!</v>
      </c>
      <c r="AE50" s="172" t="e">
        <f t="shared" si="0"/>
        <v>#VALUE!</v>
      </c>
      <c r="AF50" s="193" t="e">
        <f t="shared" si="1"/>
        <v>#VALUE!</v>
      </c>
      <c r="AG50" s="172" t="s">
        <v>2730</v>
      </c>
      <c r="AH50" s="61" t="e">
        <f t="shared" si="2"/>
        <v>#VALUE!</v>
      </c>
      <c r="AI50" s="64" t="s">
        <v>2767</v>
      </c>
      <c r="AJ50" s="64" t="s">
        <v>467</v>
      </c>
      <c r="AK50" s="64" t="s">
        <v>467</v>
      </c>
      <c r="AL50" s="192" t="s">
        <v>2645</v>
      </c>
      <c r="AM50" s="172" t="e">
        <f>_xll.LVCELL($AK$1,AM$3,$AK50,$AL$2,$AK$4,$AK$5,$AK$6,$AK$7,$AK$8,$AL$3)/1000</f>
        <v>#VALUE!</v>
      </c>
      <c r="AN50" s="172" t="e">
        <f>_xll.LVCELL($AK$1,AN$3,$AK50,$AL$2,$AK$4,$AK$5,$AK$6,$AK$7,$AK$8,$AL$3)/1000</f>
        <v>#VALUE!</v>
      </c>
      <c r="AO50" s="172" t="e">
        <f>_xll.LVCELL($AK$1,AO$3,$AK50,$AL$2,$AK$4,$AK$5,$AK$6,$AK$7,$AK$8,$AL$3)/1000</f>
        <v>#VALUE!</v>
      </c>
      <c r="AP50" s="172" t="e">
        <f>_xll.LVCELL($AK$1,AP$3,$AK50,$AL$2,$AK$4,$AK$5,$AK$6,$AK$7,$AK$8,$AL$3)/1000</f>
        <v>#VALUE!</v>
      </c>
      <c r="AQ50" s="172" t="e">
        <f>_xll.LVCELL($AK$1,AQ$3,$AK50,$AL$2,$AK$4,$AK$5,$AK$6,$AK$7,$AK$8,$AL$3)/1000</f>
        <v>#VALUE!</v>
      </c>
      <c r="AR50" s="172" t="e">
        <f>_xll.LVCELL($AK$1,AR$3,$AK50,$AL$2,$AK$4,$AK$5,$AK$6,$AK$7,$AK$8,$AL$3)/1000</f>
        <v>#VALUE!</v>
      </c>
      <c r="AS50" s="172" t="e">
        <f>_xll.LVCELL($AK$1,AS$3,$AK50,$AL$2,$AK$4,$AK$5,$AK$6,$AK$7,$AK$8,$AL$3)/1000</f>
        <v>#VALUE!</v>
      </c>
      <c r="AT50" s="172" t="e">
        <f>_xll.LVCELL($AK$1,AT$3,$AK50,$AL$2,$AK$4,$AK$5,$AK$6,$AK$7,$AK$8,$AL$3)/1000</f>
        <v>#VALUE!</v>
      </c>
      <c r="AU50" s="172" t="e">
        <f>_xll.LVCELL($AK$1,AU$3,$AK50,$AL$2,$AK$4,$AK$5,$AK$6,$AK$7,$AK$8,$AL$3)/1000</f>
        <v>#VALUE!</v>
      </c>
      <c r="AV50" s="172" t="e">
        <f>_xll.LVCELL($AK$1,AV$3,$AK50,$AL$2,$AK$4,$AK$5,$AK$6,$AK$7,$AK$8,$AL$3)/1000</f>
        <v>#VALUE!</v>
      </c>
      <c r="AW50" s="172" t="e">
        <f>_xll.LVCELL($AK$1,AW$3,$AK50,$AL$2,$AK$4,$AK$5,$AK$6,$AK$7,$AK$8,$AL$3)/1000</f>
        <v>#VALUE!</v>
      </c>
      <c r="AX50" s="172" t="e">
        <f>_xll.LVCELL($AK$1,AX$3,$AK50,$AL$2,$AK$4,$AK$5,$AK$6,$AK$7,$AK$8,$AL$3)/1000</f>
        <v>#VALUE!</v>
      </c>
      <c r="AY50" s="172" t="e">
        <f>_xll.LVCELL($AK$1,AY$2,$AK50,$AL$2,$AK$4,$AK$5,$AK$6,$AK$7,$AK$8,$AL$3)/1000</f>
        <v>#VALUE!</v>
      </c>
      <c r="AZ50" s="172" t="e">
        <f>_xll.LVCELL($AK$1,AZ$3,$AK50,$AL$2,$AK$4,$AK$5,$AK$6,$AK$7,$AK$8,$AL$3)/1000</f>
        <v>#VALUE!</v>
      </c>
      <c r="BA50" s="172" t="e">
        <f>_xll.LVCELL($AK$1,BA$3,$AK50,$AL$2,$AK$4,$AK$5,$AK$6,$AK$7,$AK$8,$AL$3)/1000</f>
        <v>#VALUE!</v>
      </c>
      <c r="BB50" s="172" t="e">
        <f>_xll.LVCELL($AK$1,BB$3,$AK50,$AL$2,$AK$4,$AK$5,$AK$6,$AK$7,$AK$8,$AL$3)/1000</f>
        <v>#VALUE!</v>
      </c>
      <c r="BC50" s="172" t="e">
        <f>_xll.LVCELL($AK$1,BC$3,$AK50,$AL$2,$AK$4,$AK$5,$AK$6,$AK$7,$AK$8,$AL$3)/1000</f>
        <v>#VALUE!</v>
      </c>
      <c r="BD50" s="172" t="e">
        <f>_xll.LVCELL($AK$1,BD$3,$AK50,$AL$2,$AK$4,$AK$5,$AK$6,$AK$7,$AK$8,$AL$3)/1000</f>
        <v>#VALUE!</v>
      </c>
      <c r="BE50" s="172" t="e">
        <f>_xll.LVCELL($AK$1,BE$3,$AK50,$AL$2,$AK$4,$AK$5,$AK$6,$AK$7,$AK$8,$AL$3)/1000</f>
        <v>#VALUE!</v>
      </c>
      <c r="BF50" s="172" t="e">
        <f>_xll.LVCELL($AK$1,BF$3,$AK50,$AL$2,$AK$4,$AK$5,$AK$6,$AK$7,$AK$8,$AL$3)/1000</f>
        <v>#VALUE!</v>
      </c>
      <c r="BG50" s="172" t="e">
        <f>_xll.LVCELL($AK$1,BG$3,$AK50,$AL$2,$AK$4,$AK$5,$AK$6,$AK$7,$AK$8,$AL$3)/1000</f>
        <v>#VALUE!</v>
      </c>
      <c r="BH50" s="172" t="e">
        <f>_xll.LVCELL($AK$1,BH$3,$AK50,$AL$2,$AK$4,$AK$5,$AK$6,$AK$7,$AK$8,$AL$3)/1000</f>
        <v>#VALUE!</v>
      </c>
      <c r="BI50" s="172" t="e">
        <f>_xll.LVCELL($AK$1,BI$3,$AK50,$AL$2,$AK$4,$AK$5,$AK$6,$AK$7,$AK$8,$AL$3)/1000</f>
        <v>#VALUE!</v>
      </c>
      <c r="BJ50" s="172" t="e">
        <f>_xll.LVCELL($AK$1,BJ$3,$AK50,$AL$2,$AK$4,$AK$5,$AK$6,$AK$7,$AK$8,$AL$3)/1000</f>
        <v>#VALUE!</v>
      </c>
      <c r="BK50" s="172" t="e">
        <f>_xll.LVCELL($AK$1,BK$3,$AK50,$AL$2,$AK$4,$AK$5,$AK$6,$AK$7,$AK$8,$AL$3)/1000</f>
        <v>#VALUE!</v>
      </c>
      <c r="BL50" s="172" t="e">
        <f>_xll.LVCELL($AK$1,BL$2,$AK50,$AL$2,$AK$4,$AK$5,$AK$6,$AK$7,$AK$8,$AL$3)/1000</f>
        <v>#VALUE!</v>
      </c>
      <c r="BM50" s="214" t="e">
        <f t="shared" si="3"/>
        <v>#VALUE!</v>
      </c>
      <c r="BN50" s="217" t="e">
        <f t="shared" si="4"/>
        <v>#VALUE!</v>
      </c>
      <c r="BO50" s="218" t="e">
        <f t="shared" si="4"/>
        <v>#VALUE!</v>
      </c>
      <c r="BP50" s="193" t="e">
        <f t="shared" si="5"/>
        <v>#VALUE!</v>
      </c>
      <c r="BQ50" s="190" t="s">
        <v>2686</v>
      </c>
      <c r="BS50" s="198">
        <f t="shared" si="6"/>
        <v>0</v>
      </c>
      <c r="BT50" s="198">
        <f t="shared" si="7"/>
        <v>0</v>
      </c>
      <c r="BU50" s="198">
        <f t="shared" si="8"/>
        <v>0</v>
      </c>
      <c r="BV50" s="199" t="str">
        <f t="shared" si="9"/>
        <v>N/A</v>
      </c>
      <c r="BX50" s="200" t="e">
        <f t="shared" si="10"/>
        <v>#VALUE!</v>
      </c>
      <c r="BY50" s="200" t="e">
        <f t="shared" si="11"/>
        <v>#VALUE!</v>
      </c>
      <c r="BZ50" s="200" t="e">
        <f t="shared" si="12"/>
        <v>#VALUE!</v>
      </c>
    </row>
    <row r="51" spans="2:78">
      <c r="B51" s="64" t="s">
        <v>470</v>
      </c>
      <c r="C51" s="64" t="s">
        <v>470</v>
      </c>
      <c r="D51" s="192" t="s">
        <v>561</v>
      </c>
      <c r="E51" s="172" t="e">
        <f>_xll.LVCELL($D$1,E$3,$C51,$D$2,$C$4,$C$5,$C$6,$C$7,$C$8,$D$3)/1000</f>
        <v>#VALUE!</v>
      </c>
      <c r="F51" s="172" t="e">
        <f>_xll.LVCELL($D$1,F$3,$C51,$D$2,$C$4,$C$5,$C$6,$C$7,$C$8,$D$3)/1000</f>
        <v>#VALUE!</v>
      </c>
      <c r="G51" s="172" t="e">
        <f>_xll.LVCELL($D$1,G$3,$C51,$D$2,$C$4,$C$5,$C$6,$C$7,$C$8,$D$3)/1000</f>
        <v>#VALUE!</v>
      </c>
      <c r="H51" s="172" t="e">
        <f>_xll.LVCELL($D$1,H$3,$C51,$D$2,$C$4,$C$5,$C$6,$C$7,$C$8,$D$3)/1000</f>
        <v>#VALUE!</v>
      </c>
      <c r="I51" s="172" t="e">
        <f>_xll.LVCELL($D$1,I$3,$C51,$D$2,$C$4,$C$5,$C$6,$C$7,$C$8,$D$3)/1000</f>
        <v>#VALUE!</v>
      </c>
      <c r="J51" s="172" t="e">
        <f>_xll.LVCELL($D$1,J$3,$C51,$D$2,$C$4,$C$5,$C$6,$C$7,$C$8,$D$3)/1000</f>
        <v>#VALUE!</v>
      </c>
      <c r="K51" s="172" t="e">
        <f>_xll.LVCELL($D$1,K$3,$C51,$D$2,$C$4,$C$5,$C$6,$C$7,$C$8,$D$3)/1000</f>
        <v>#VALUE!</v>
      </c>
      <c r="L51" s="172" t="e">
        <f>_xll.LVCELL($D$1,L$3,$C51,$D$2,$C$4,$C$5,$C$6,$C$7,$C$8,$D$3)/1000</f>
        <v>#VALUE!</v>
      </c>
      <c r="M51" s="172" t="e">
        <f>_xll.LVCELL($D$1,M$3,$C51,$D$2,$C$4,$C$5,$C$6,$C$7,$C$8,$D$3)/1000</f>
        <v>#VALUE!</v>
      </c>
      <c r="N51" s="172" t="e">
        <f>_xll.LVCELL($D$1,N$3,$C51,$D$2,$C$4,$C$5,$C$6,$C$7,$C$8,$D$3)/1000</f>
        <v>#VALUE!</v>
      </c>
      <c r="O51" s="172" t="e">
        <f>_xll.LVCELL($D$1,O$3,$C51,$D$2,$C$4,$C$5,$C$6,$C$7,$C$8,$D$3)/1000</f>
        <v>#VALUE!</v>
      </c>
      <c r="P51" s="172" t="e">
        <f>_xll.LVCELL($D$1,P$3,$C51,$D$2,$C$4,$C$5,$C$6,$C$7,$C$8,$D$3)/1000</f>
        <v>#VALUE!</v>
      </c>
      <c r="Q51" s="172" t="e">
        <f>_xll.LVCELL($D$1,Q$2,$C51,$D$2,$C$4,$C$5,$C$6,$C$7,$C$8,$D$3)/1000</f>
        <v>#VALUE!</v>
      </c>
      <c r="R51" s="172" t="e">
        <f>_xll.LVCELL($D$1,R$3,$C51,$D$2,$C$4,$C$5,$C$6,$C$7,$C$8,$D$3)/1000</f>
        <v>#VALUE!</v>
      </c>
      <c r="S51" s="172" t="e">
        <f>_xll.LVCELL($D$1,S$3,$C51,$D$2,$C$4,$C$5,$C$6,$C$7,$C$8,$D$3)/1000</f>
        <v>#VALUE!</v>
      </c>
      <c r="T51" s="172" t="e">
        <f>_xll.LVCELL($D$1,T$3,$C51,$D$2,$C$4,$C$5,$C$6,$C$7,$C$8,$D$3)/1000</f>
        <v>#VALUE!</v>
      </c>
      <c r="U51" s="172" t="e">
        <f>_xll.LVCELL($D$1,U$3,$C51,$D$2,$C$4,$C$5,$C$6,$C$7,$C$8,$D$3)/1000</f>
        <v>#VALUE!</v>
      </c>
      <c r="V51" s="172" t="e">
        <f>_xll.LVCELL($D$1,V$3,$C51,$D$2,$C$4,$C$5,$C$6,$C$7,$C$8,$D$3)/1000</f>
        <v>#VALUE!</v>
      </c>
      <c r="W51" s="172" t="e">
        <f>_xll.LVCELL($D$1,W$3,$C51,$D$2,$C$4,$C$5,$C$6,$C$7,$C$8,$D$3)/1000</f>
        <v>#VALUE!</v>
      </c>
      <c r="X51" s="172" t="e">
        <f>_xll.LVCELL($D$1,X$3,$C51,$D$2,$C$4,$C$5,$C$6,$C$7,$C$8,$D$3)/1000</f>
        <v>#VALUE!</v>
      </c>
      <c r="Y51" s="172" t="e">
        <f>_xll.LVCELL($D$1,Y$3,$C51,$D$2,$C$4,$C$5,$C$6,$C$7,$C$8,$D$3)/1000</f>
        <v>#VALUE!</v>
      </c>
      <c r="Z51" s="172" t="e">
        <f>_xll.LVCELL($D$1,Z$3,$C51,$D$2,$C$4,$C$5,$C$6,$C$7,$C$8,$D$3)/1000</f>
        <v>#VALUE!</v>
      </c>
      <c r="AA51" s="172" t="e">
        <f>_xll.LVCELL($D$1,AA$3,$C51,$D$2,$C$4,$C$5,$C$6,$C$7,$C$8,$D$3)/1000</f>
        <v>#VALUE!</v>
      </c>
      <c r="AB51" s="172" t="e">
        <f>_xll.LVCELL($D$1,AB$3,$C51,$D$2,$C$4,$C$5,$C$6,$C$7,$C$8,$D$3)/1000</f>
        <v>#VALUE!</v>
      </c>
      <c r="AC51" s="172" t="e">
        <f>_xll.LVCELL($D$1,AC$3,$C51,$D$2,$C$4,$C$5,$C$6,$C$7,$C$8,$D$3)/1000</f>
        <v>#VALUE!</v>
      </c>
      <c r="AD51" s="172" t="e">
        <f>_xll.LVCELL($D$1,AD$2,$C51,$D$2,$C$4,$C$5,$C$6,$C$7,$C$8,$D$3)/1000</f>
        <v>#VALUE!</v>
      </c>
      <c r="AE51" s="172" t="e">
        <f t="shared" si="0"/>
        <v>#VALUE!</v>
      </c>
      <c r="AF51" s="193" t="e">
        <f t="shared" si="1"/>
        <v>#VALUE!</v>
      </c>
      <c r="AG51" s="172" t="s">
        <v>2730</v>
      </c>
      <c r="AH51" s="61" t="e">
        <f t="shared" si="2"/>
        <v>#VALUE!</v>
      </c>
      <c r="AI51" s="64" t="s">
        <v>2767</v>
      </c>
      <c r="AJ51" s="64" t="s">
        <v>470</v>
      </c>
      <c r="AK51" s="64" t="s">
        <v>470</v>
      </c>
      <c r="AL51" s="192" t="s">
        <v>2691</v>
      </c>
      <c r="AM51" s="172" t="e">
        <f>_xll.LVCELL($AJ$3,AM$3,$AK51,$AL$2,$AK$4,$AK$5,$AK$6,$AK$7,$AK$8,$AL$3)/1000</f>
        <v>#VALUE!</v>
      </c>
      <c r="AN51" s="172" t="e">
        <f>_xll.LVCELL($AJ$3,AN$3,$AK51,$AL$2,$AK$4,$AK$5,$AK$6,$AK$7,$AK$8,$AL$3)/1000</f>
        <v>#VALUE!</v>
      </c>
      <c r="AO51" s="172" t="e">
        <f>_xll.LVCELL($AJ$3,AO$3,$AK51,$AL$2,$AK$4,$AK$5,$AK$6,$AK$7,$AK$8,$AL$3)/1000</f>
        <v>#VALUE!</v>
      </c>
      <c r="AP51" s="172" t="e">
        <f>_xll.LVCELL($AJ$3,AP$3,$AK51,$AL$2,$AK$4,$AK$5,$AK$6,$AK$7,$AK$8,$AL$3)/1000</f>
        <v>#VALUE!</v>
      </c>
      <c r="AQ51" s="172" t="e">
        <f>_xll.LVCELL($AJ$3,AQ$3,$AK51,$AL$2,$AK$4,$AK$5,$AK$6,$AK$7,$AK$8,$AL$3)/1000</f>
        <v>#VALUE!</v>
      </c>
      <c r="AR51" s="172" t="e">
        <f>_xll.LVCELL($AJ$3,AR$3,$AK51,$AL$2,$AK$4,$AK$5,$AK$6,$AK$7,$AK$8,$AL$3)/1000</f>
        <v>#VALUE!</v>
      </c>
      <c r="AS51" s="172" t="e">
        <f>_xll.LVCELL($AJ$3,AS$3,$AK51,$AL$2,$AK$4,$AK$5,$AK$6,$AK$7,$AK$8,$AL$3)/1000</f>
        <v>#VALUE!</v>
      </c>
      <c r="AT51" s="172" t="e">
        <f>_xll.LVCELL($AJ$3,AT$3,$AK51,$AL$2,$AK$4,$AK$5,$AK$6,$AK$7,$AK$8,$AL$3)/1000</f>
        <v>#VALUE!</v>
      </c>
      <c r="AU51" s="172" t="e">
        <f>_xll.LVCELL($AJ$3,AU$3,$AK51,$AL$2,$AK$4,$AK$5,$AK$6,$AK$7,$AK$8,$AL$3)/1000</f>
        <v>#VALUE!</v>
      </c>
      <c r="AV51" s="172" t="e">
        <f>_xll.LVCELL($AJ$3,AV$3,$AK51,$AL$2,$AK$4,$AK$5,$AK$6,$AK$7,$AK$8,$AL$3)/1000</f>
        <v>#VALUE!</v>
      </c>
      <c r="AW51" s="172" t="e">
        <f>_xll.LVCELL($AJ$3,AW$3,$AK51,$AL$2,$AK$4,$AK$5,$AK$6,$AK$7,$AK$8,$AL$3)/1000</f>
        <v>#VALUE!</v>
      </c>
      <c r="AX51" s="172" t="e">
        <f>_xll.LVCELL($AJ$3,AX$3,$AK51,$AL$2,$AK$4,$AK$5,$AK$6,$AK$7,$AK$8,$AL$3)/1000</f>
        <v>#VALUE!</v>
      </c>
      <c r="AY51" s="172" t="e">
        <f>_xll.LVCELL($AJ$3,AY$2,$AK51,$AL$2,$AK$4,$AK$5,$AK$6,$AK$7,$AK$8,$AL$3)/1000</f>
        <v>#VALUE!</v>
      </c>
      <c r="AZ51" s="172" t="e">
        <f>_xll.LVCELL($AK$1,AZ$3,$AK51,$AL$2,$AK$4,$AK$5,$AK$6,$AK$7,$AK$8,$AL$3)/1000</f>
        <v>#VALUE!</v>
      </c>
      <c r="BA51" s="172" t="e">
        <f>_xll.LVCELL($AK$1,BA$3,$AK51,$AL$2,$AK$4,$AK$5,$AK$6,$AK$7,$AK$8,$AL$3)/1000</f>
        <v>#VALUE!</v>
      </c>
      <c r="BB51" s="172" t="e">
        <f>_xll.LVCELL($AK$1,BB$3,$AK51,$AL$2,$AK$4,$AK$5,$AK$6,$AK$7,$AK$8,$AL$3)/1000</f>
        <v>#VALUE!</v>
      </c>
      <c r="BC51" s="172" t="e">
        <f>_xll.LVCELL($AK$1,BC$3,$AK51,$AL$2,$AK$4,$AK$5,$AK$6,$AK$7,$AK$8,$AL$3)/1000</f>
        <v>#VALUE!</v>
      </c>
      <c r="BD51" s="172" t="e">
        <f>_xll.LVCELL($AK$1,BD$3,$AK51,$AL$2,$AK$4,$AK$5,$AK$6,$AK$7,$AK$8,$AL$3)/1000</f>
        <v>#VALUE!</v>
      </c>
      <c r="BE51" s="172" t="e">
        <f>_xll.LVCELL($AK$1,BE$3,$AK51,$AL$2,$AK$4,$AK$5,$AK$6,$AK$7,$AK$8,$AL$3)/1000</f>
        <v>#VALUE!</v>
      </c>
      <c r="BF51" s="172" t="e">
        <f>_xll.LVCELL($AK$1,BF$3,$AK51,$AL$2,$AK$4,$AK$5,$AK$6,$AK$7,$AK$8,$AL$3)/1000</f>
        <v>#VALUE!</v>
      </c>
      <c r="BG51" s="172" t="e">
        <f>_xll.LVCELL($AK$1,BG$3,$AK51,$AL$2,$AK$4,$AK$5,$AK$6,$AK$7,$AK$8,$AL$3)/1000</f>
        <v>#VALUE!</v>
      </c>
      <c r="BH51" s="172" t="e">
        <f>_xll.LVCELL($AK$1,BH$3,$AK51,$AL$2,$AK$4,$AK$5,$AK$6,$AK$7,$AK$8,$AL$3)/1000</f>
        <v>#VALUE!</v>
      </c>
      <c r="BI51" s="172" t="e">
        <f>_xll.LVCELL($AK$1,BI$3,$AK51,$AL$2,$AK$4,$AK$5,$AK$6,$AK$7,$AK$8,$AL$3)/1000</f>
        <v>#VALUE!</v>
      </c>
      <c r="BJ51" s="172" t="e">
        <f>_xll.LVCELL($AK$1,BJ$3,$AK51,$AL$2,$AK$4,$AK$5,$AK$6,$AK$7,$AK$8,$AL$3)/1000</f>
        <v>#VALUE!</v>
      </c>
      <c r="BK51" s="172" t="e">
        <f>_xll.LVCELL($AK$1,BK$3,$AK51,$AL$2,$AK$4,$AK$5,$AK$6,$AK$7,$AK$8,$AL$3)/1000</f>
        <v>#VALUE!</v>
      </c>
      <c r="BL51" s="172" t="e">
        <f>_xll.LVCELL($AK$1,BL$2,$AK51,$AL$2,$AK$4,$AK$5,$AK$6,$AK$7,$AK$8,$AL$3)/1000</f>
        <v>#VALUE!</v>
      </c>
      <c r="BM51" s="214" t="e">
        <f t="shared" si="3"/>
        <v>#VALUE!</v>
      </c>
      <c r="BN51" s="217" t="e">
        <f>BX51</f>
        <v>#VALUE!</v>
      </c>
      <c r="BO51" s="218" t="e">
        <f>BY51</f>
        <v>#VALUE!</v>
      </c>
      <c r="BP51" s="193" t="e">
        <f t="shared" si="5"/>
        <v>#VALUE!</v>
      </c>
      <c r="BQ51" s="190" t="s">
        <v>2684</v>
      </c>
      <c r="BS51" s="198">
        <f t="shared" si="6"/>
        <v>0</v>
      </c>
      <c r="BT51" s="198">
        <f t="shared" si="7"/>
        <v>0</v>
      </c>
      <c r="BU51" s="198">
        <f t="shared" si="8"/>
        <v>0</v>
      </c>
      <c r="BV51" s="199" t="str">
        <f t="shared" si="9"/>
        <v>N/A</v>
      </c>
      <c r="BX51" s="200" t="e">
        <f t="shared" si="10"/>
        <v>#VALUE!</v>
      </c>
      <c r="BY51" s="200" t="e">
        <f t="shared" si="11"/>
        <v>#VALUE!</v>
      </c>
      <c r="BZ51" s="200" t="e">
        <f t="shared" si="12"/>
        <v>#VALUE!</v>
      </c>
    </row>
    <row r="52" spans="2:78">
      <c r="B52" s="64" t="s">
        <v>465</v>
      </c>
      <c r="C52" s="64" t="s">
        <v>465</v>
      </c>
      <c r="D52" s="192" t="s">
        <v>563</v>
      </c>
      <c r="E52" s="172" t="e">
        <f>_xll.LVCELL($D$1,E$3,$C52,$D$2,$C$4,$C$5,$C$6,$C$7,$C$8,$D$3)/1000</f>
        <v>#VALUE!</v>
      </c>
      <c r="F52" s="172" t="e">
        <f>_xll.LVCELL($D$1,F$3,$C52,$D$2,$C$4,$C$5,$C$6,$C$7,$C$8,$D$3)/1000</f>
        <v>#VALUE!</v>
      </c>
      <c r="G52" s="172" t="e">
        <f>_xll.LVCELL($D$1,G$3,$C52,$D$2,$C$4,$C$5,$C$6,$C$7,$C$8,$D$3)/1000</f>
        <v>#VALUE!</v>
      </c>
      <c r="H52" s="172" t="e">
        <f>_xll.LVCELL($D$1,H$3,$C52,$D$2,$C$4,$C$5,$C$6,$C$7,$C$8,$D$3)/1000</f>
        <v>#VALUE!</v>
      </c>
      <c r="I52" s="172" t="e">
        <f>_xll.LVCELL($D$1,I$3,$C52,$D$2,$C$4,$C$5,$C$6,$C$7,$C$8,$D$3)/1000</f>
        <v>#VALUE!</v>
      </c>
      <c r="J52" s="172" t="e">
        <f>_xll.LVCELL($D$1,J$3,$C52,$D$2,$C$4,$C$5,$C$6,$C$7,$C$8,$D$3)/1000</f>
        <v>#VALUE!</v>
      </c>
      <c r="K52" s="172" t="e">
        <f>_xll.LVCELL($D$1,K$3,$C52,$D$2,$C$4,$C$5,$C$6,$C$7,$C$8,$D$3)/1000</f>
        <v>#VALUE!</v>
      </c>
      <c r="L52" s="172" t="e">
        <f>_xll.LVCELL($D$1,L$3,$C52,$D$2,$C$4,$C$5,$C$6,$C$7,$C$8,$D$3)/1000</f>
        <v>#VALUE!</v>
      </c>
      <c r="M52" s="172" t="e">
        <f>_xll.LVCELL($D$1,M$3,$C52,$D$2,$C$4,$C$5,$C$6,$C$7,$C$8,$D$3)/1000</f>
        <v>#VALUE!</v>
      </c>
      <c r="N52" s="172" t="e">
        <f>_xll.LVCELL($D$1,N$3,$C52,$D$2,$C$4,$C$5,$C$6,$C$7,$C$8,$D$3)/1000</f>
        <v>#VALUE!</v>
      </c>
      <c r="O52" s="172" t="e">
        <f>_xll.LVCELL($D$1,O$3,$C52,$D$2,$C$4,$C$5,$C$6,$C$7,$C$8,$D$3)/1000</f>
        <v>#VALUE!</v>
      </c>
      <c r="P52" s="172" t="e">
        <f>_xll.LVCELL($D$1,P$3,$C52,$D$2,$C$4,$C$5,$C$6,$C$7,$C$8,$D$3)/1000</f>
        <v>#VALUE!</v>
      </c>
      <c r="Q52" s="172" t="e">
        <f>_xll.LVCELL($D$1,Q$2,$C52,$D$2,$C$4,$C$5,$C$6,$C$7,$C$8,$D$3)/1000</f>
        <v>#VALUE!</v>
      </c>
      <c r="R52" s="172" t="e">
        <f>_xll.LVCELL($D$1,R$3,$C52,$D$2,$C$4,$C$5,$C$6,$C$7,$C$8,$D$3)/1000</f>
        <v>#VALUE!</v>
      </c>
      <c r="S52" s="172" t="e">
        <f>_xll.LVCELL($D$1,S$3,$C52,$D$2,$C$4,$C$5,$C$6,$C$7,$C$8,$D$3)/1000</f>
        <v>#VALUE!</v>
      </c>
      <c r="T52" s="172" t="e">
        <f>_xll.LVCELL($D$1,T$3,$C52,$D$2,$C$4,$C$5,$C$6,$C$7,$C$8,$D$3)/1000</f>
        <v>#VALUE!</v>
      </c>
      <c r="U52" s="172" t="e">
        <f>_xll.LVCELL($D$1,U$3,$C52,$D$2,$C$4,$C$5,$C$6,$C$7,$C$8,$D$3)/1000</f>
        <v>#VALUE!</v>
      </c>
      <c r="V52" s="172" t="e">
        <f>_xll.LVCELL($D$1,V$3,$C52,$D$2,$C$4,$C$5,$C$6,$C$7,$C$8,$D$3)/1000</f>
        <v>#VALUE!</v>
      </c>
      <c r="W52" s="172" t="e">
        <f>_xll.LVCELL($D$1,W$3,$C52,$D$2,$C$4,$C$5,$C$6,$C$7,$C$8,$D$3)/1000</f>
        <v>#VALUE!</v>
      </c>
      <c r="X52" s="172" t="e">
        <f>_xll.LVCELL($D$1,X$3,$C52,$D$2,$C$4,$C$5,$C$6,$C$7,$C$8,$D$3)/1000</f>
        <v>#VALUE!</v>
      </c>
      <c r="Y52" s="172" t="e">
        <f>_xll.LVCELL($D$1,Y$3,$C52,$D$2,$C$4,$C$5,$C$6,$C$7,$C$8,$D$3)/1000</f>
        <v>#VALUE!</v>
      </c>
      <c r="Z52" s="172" t="e">
        <f>_xll.LVCELL($D$1,Z$3,$C52,$D$2,$C$4,$C$5,$C$6,$C$7,$C$8,$D$3)/1000</f>
        <v>#VALUE!</v>
      </c>
      <c r="AA52" s="172" t="e">
        <f>_xll.LVCELL($D$1,AA$3,$C52,$D$2,$C$4,$C$5,$C$6,$C$7,$C$8,$D$3)/1000</f>
        <v>#VALUE!</v>
      </c>
      <c r="AB52" s="172" t="e">
        <f>_xll.LVCELL($D$1,AB$3,$C52,$D$2,$C$4,$C$5,$C$6,$C$7,$C$8,$D$3)/1000</f>
        <v>#VALUE!</v>
      </c>
      <c r="AC52" s="172" t="e">
        <f>_xll.LVCELL($D$1,AC$3,$C52,$D$2,$C$4,$C$5,$C$6,$C$7,$C$8,$D$3)/1000</f>
        <v>#VALUE!</v>
      </c>
      <c r="AD52" s="172" t="e">
        <f>_xll.LVCELL($D$1,AD$2,$C52,$D$2,$C$4,$C$5,$C$6,$C$7,$C$8,$D$3)/1000</f>
        <v>#VALUE!</v>
      </c>
      <c r="AE52" s="172" t="e">
        <f t="shared" si="0"/>
        <v>#VALUE!</v>
      </c>
      <c r="AF52" s="193" t="e">
        <f t="shared" si="1"/>
        <v>#VALUE!</v>
      </c>
      <c r="AG52" s="172" t="s">
        <v>2730</v>
      </c>
      <c r="AH52" s="61" t="e">
        <f t="shared" si="2"/>
        <v>#VALUE!</v>
      </c>
      <c r="AI52" s="64" t="s">
        <v>2767</v>
      </c>
      <c r="AJ52" s="64" t="s">
        <v>465</v>
      </c>
      <c r="AK52" s="64" t="s">
        <v>465</v>
      </c>
      <c r="AL52" s="192" t="s">
        <v>563</v>
      </c>
      <c r="AM52" s="172" t="e">
        <f>_xll.LVCELL($AK$1,AM$3,$AK52,$AL$2,$AK$4,$AK$5,$AK$6,$AK$7,$AK$8,$AL$3)/1000</f>
        <v>#VALUE!</v>
      </c>
      <c r="AN52" s="172" t="e">
        <f>_xll.LVCELL($AK$1,AN$3,$AK52,$AL$2,$AK$4,$AK$5,$AK$6,$AK$7,$AK$8,$AL$3)/1000</f>
        <v>#VALUE!</v>
      </c>
      <c r="AO52" s="172" t="e">
        <f>_xll.LVCELL($AK$1,AO$3,$AK52,$AL$2,$AK$4,$AK$5,$AK$6,$AK$7,$AK$8,$AL$3)/1000</f>
        <v>#VALUE!</v>
      </c>
      <c r="AP52" s="172" t="e">
        <f>_xll.LVCELL($AK$1,AP$3,$AK52,$AL$2,$AK$4,$AK$5,$AK$6,$AK$7,$AK$8,$AL$3)/1000</f>
        <v>#VALUE!</v>
      </c>
      <c r="AQ52" s="172" t="e">
        <f>_xll.LVCELL($AK$1,AQ$3,$AK52,$AL$2,$AK$4,$AK$5,$AK$6,$AK$7,$AK$8,$AL$3)/1000</f>
        <v>#VALUE!</v>
      </c>
      <c r="AR52" s="172" t="e">
        <f>_xll.LVCELL($AK$1,AR$3,$AK52,$AL$2,$AK$4,$AK$5,$AK$6,$AK$7,$AK$8,$AL$3)/1000</f>
        <v>#VALUE!</v>
      </c>
      <c r="AS52" s="172" t="e">
        <f>_xll.LVCELL($AK$1,AS$3,$AK52,$AL$2,$AK$4,$AK$5,$AK$6,$AK$7,$AK$8,$AL$3)/1000</f>
        <v>#VALUE!</v>
      </c>
      <c r="AT52" s="172" t="e">
        <f>_xll.LVCELL($AK$1,AT$3,$AK52,$AL$2,$AK$4,$AK$5,$AK$6,$AK$7,$AK$8,$AL$3)/1000</f>
        <v>#VALUE!</v>
      </c>
      <c r="AU52" s="172" t="e">
        <f>_xll.LVCELL($AK$1,AU$3,$AK52,$AL$2,$AK$4,$AK$5,$AK$6,$AK$7,$AK$8,$AL$3)/1000</f>
        <v>#VALUE!</v>
      </c>
      <c r="AV52" s="172" t="e">
        <f>_xll.LVCELL($AK$1,AV$3,$AK52,$AL$2,$AK$4,$AK$5,$AK$6,$AK$7,$AK$8,$AL$3)/1000</f>
        <v>#VALUE!</v>
      </c>
      <c r="AW52" s="172" t="e">
        <f>_xll.LVCELL($AK$1,AW$3,$AK52,$AL$2,$AK$4,$AK$5,$AK$6,$AK$7,$AK$8,$AL$3)/1000</f>
        <v>#VALUE!</v>
      </c>
      <c r="AX52" s="172" t="e">
        <f>_xll.LVCELL($AK$1,AX$3,$AK52,$AL$2,$AK$4,$AK$5,$AK$6,$AK$7,$AK$8,$AL$3)/1000</f>
        <v>#VALUE!</v>
      </c>
      <c r="AY52" s="172" t="e">
        <f>_xll.LVCELL($AK$1,AY$2,$AK52,$AL$2,$AK$4,$AK$5,$AK$6,$AK$7,$AK$8,$AL$3)/1000</f>
        <v>#VALUE!</v>
      </c>
      <c r="AZ52" s="172" t="e">
        <f>_xll.LVCELL($AK$1,AZ$3,$AK52,$AL$2,$AK$4,$AK$5,$AK$6,$AK$7,$AK$8,$AL$3)/1000</f>
        <v>#VALUE!</v>
      </c>
      <c r="BA52" s="172" t="e">
        <f>_xll.LVCELL($AK$1,BA$3,$AK52,$AL$2,$AK$4,$AK$5,$AK$6,$AK$7,$AK$8,$AL$3)/1000</f>
        <v>#VALUE!</v>
      </c>
      <c r="BB52" s="172" t="e">
        <f>_xll.LVCELL($AK$1,BB$3,$AK52,$AL$2,$AK$4,$AK$5,$AK$6,$AK$7,$AK$8,$AL$3)/1000</f>
        <v>#VALUE!</v>
      </c>
      <c r="BC52" s="172" t="e">
        <f>_xll.LVCELL($AK$1,BC$3,$AK52,$AL$2,$AK$4,$AK$5,$AK$6,$AK$7,$AK$8,$AL$3)/1000</f>
        <v>#VALUE!</v>
      </c>
      <c r="BD52" s="172" t="e">
        <f>_xll.LVCELL($AK$1,BD$3,$AK52,$AL$2,$AK$4,$AK$5,$AK$6,$AK$7,$AK$8,$AL$3)/1000</f>
        <v>#VALUE!</v>
      </c>
      <c r="BE52" s="172" t="e">
        <f>_xll.LVCELL($AK$1,BE$3,$AK52,$AL$2,$AK$4,$AK$5,$AK$6,$AK$7,$AK$8,$AL$3)/1000</f>
        <v>#VALUE!</v>
      </c>
      <c r="BF52" s="172" t="e">
        <f>_xll.LVCELL($AK$1,BF$3,$AK52,$AL$2,$AK$4,$AK$5,$AK$6,$AK$7,$AK$8,$AL$3)/1000</f>
        <v>#VALUE!</v>
      </c>
      <c r="BG52" s="172" t="e">
        <f>_xll.LVCELL($AK$1,BG$3,$AK52,$AL$2,$AK$4,$AK$5,$AK$6,$AK$7,$AK$8,$AL$3)/1000</f>
        <v>#VALUE!</v>
      </c>
      <c r="BH52" s="172" t="e">
        <f>_xll.LVCELL($AK$1,BH$3,$AK52,$AL$2,$AK$4,$AK$5,$AK$6,$AK$7,$AK$8,$AL$3)/1000</f>
        <v>#VALUE!</v>
      </c>
      <c r="BI52" s="172" t="e">
        <f>_xll.LVCELL($AK$1,BI$3,$AK52,$AL$2,$AK$4,$AK$5,$AK$6,$AK$7,$AK$8,$AL$3)/1000</f>
        <v>#VALUE!</v>
      </c>
      <c r="BJ52" s="172" t="e">
        <f>_xll.LVCELL($AK$1,BJ$3,$AK52,$AL$2,$AK$4,$AK$5,$AK$6,$AK$7,$AK$8,$AL$3)/1000</f>
        <v>#VALUE!</v>
      </c>
      <c r="BK52" s="172" t="e">
        <f>_xll.LVCELL($AK$1,BK$3,$AK52,$AL$2,$AK$4,$AK$5,$AK$6,$AK$7,$AK$8,$AL$3)/1000</f>
        <v>#VALUE!</v>
      </c>
      <c r="BL52" s="172" t="e">
        <f>_xll.LVCELL($AK$1,BL$2,$AK52,$AL$2,$AK$4,$AK$5,$AK$6,$AK$7,$AK$8,$AL$3)/1000</f>
        <v>#VALUE!</v>
      </c>
      <c r="BM52" s="214" t="e">
        <f t="shared" si="3"/>
        <v>#VALUE!</v>
      </c>
      <c r="BN52" s="217" t="e">
        <f t="shared" si="4"/>
        <v>#VALUE!</v>
      </c>
      <c r="BO52" s="218" t="e">
        <f t="shared" si="4"/>
        <v>#VALUE!</v>
      </c>
      <c r="BP52" s="193" t="e">
        <f t="shared" si="5"/>
        <v>#VALUE!</v>
      </c>
      <c r="BQ52" s="190" t="s">
        <v>2684</v>
      </c>
      <c r="BS52" s="198">
        <f t="shared" si="6"/>
        <v>0</v>
      </c>
      <c r="BT52" s="198">
        <f t="shared" si="7"/>
        <v>0</v>
      </c>
      <c r="BU52" s="198">
        <f t="shared" si="8"/>
        <v>0</v>
      </c>
      <c r="BV52" s="199" t="str">
        <f t="shared" si="9"/>
        <v>N/A</v>
      </c>
      <c r="BX52" s="200" t="e">
        <f t="shared" si="10"/>
        <v>#VALUE!</v>
      </c>
      <c r="BY52" s="200" t="e">
        <f t="shared" si="11"/>
        <v>#VALUE!</v>
      </c>
      <c r="BZ52" s="200" t="e">
        <f t="shared" si="12"/>
        <v>#VALUE!</v>
      </c>
    </row>
    <row r="53" spans="2:78">
      <c r="B53" s="64" t="s">
        <v>471</v>
      </c>
      <c r="C53" s="64" t="s">
        <v>471</v>
      </c>
      <c r="D53" s="192" t="s">
        <v>564</v>
      </c>
      <c r="E53" s="172" t="e">
        <f>_xll.LVCELL($D$1,E$3,$C53,$D$2,$C$4,$C$5,$C$6,$C$7,$C$8,$D$3)/1000</f>
        <v>#VALUE!</v>
      </c>
      <c r="F53" s="172" t="e">
        <f>_xll.LVCELL($D$1,F$3,$C53,$D$2,$C$4,$C$5,$C$6,$C$7,$C$8,$D$3)/1000</f>
        <v>#VALUE!</v>
      </c>
      <c r="G53" s="172" t="e">
        <f>_xll.LVCELL($D$1,G$3,$C53,$D$2,$C$4,$C$5,$C$6,$C$7,$C$8,$D$3)/1000</f>
        <v>#VALUE!</v>
      </c>
      <c r="H53" s="172" t="e">
        <f>_xll.LVCELL($D$1,H$3,$C53,$D$2,$C$4,$C$5,$C$6,$C$7,$C$8,$D$3)/1000</f>
        <v>#VALUE!</v>
      </c>
      <c r="I53" s="172" t="e">
        <f>_xll.LVCELL($D$1,I$3,$C53,$D$2,$C$4,$C$5,$C$6,$C$7,$C$8,$D$3)/1000</f>
        <v>#VALUE!</v>
      </c>
      <c r="J53" s="172" t="e">
        <f>_xll.LVCELL($D$1,J$3,$C53,$D$2,$C$4,$C$5,$C$6,$C$7,$C$8,$D$3)/1000</f>
        <v>#VALUE!</v>
      </c>
      <c r="K53" s="172" t="e">
        <f>_xll.LVCELL($D$1,K$3,$C53,$D$2,$C$4,$C$5,$C$6,$C$7,$C$8,$D$3)/1000</f>
        <v>#VALUE!</v>
      </c>
      <c r="L53" s="172" t="e">
        <f>_xll.LVCELL($D$1,L$3,$C53,$D$2,$C$4,$C$5,$C$6,$C$7,$C$8,$D$3)/1000</f>
        <v>#VALUE!</v>
      </c>
      <c r="M53" s="172" t="e">
        <f>_xll.LVCELL($D$1,M$3,$C53,$D$2,$C$4,$C$5,$C$6,$C$7,$C$8,$D$3)/1000</f>
        <v>#VALUE!</v>
      </c>
      <c r="N53" s="172" t="e">
        <f>_xll.LVCELL($D$1,N$3,$C53,$D$2,$C$4,$C$5,$C$6,$C$7,$C$8,$D$3)/1000</f>
        <v>#VALUE!</v>
      </c>
      <c r="O53" s="172" t="e">
        <f>_xll.LVCELL($D$1,O$3,$C53,$D$2,$C$4,$C$5,$C$6,$C$7,$C$8,$D$3)/1000</f>
        <v>#VALUE!</v>
      </c>
      <c r="P53" s="172" t="e">
        <f>_xll.LVCELL($D$1,P$3,$C53,$D$2,$C$4,$C$5,$C$6,$C$7,$C$8,$D$3)/1000</f>
        <v>#VALUE!</v>
      </c>
      <c r="Q53" s="172" t="e">
        <f>_xll.LVCELL($D$1,Q$2,$C53,$D$2,$C$4,$C$5,$C$6,$C$7,$C$8,$D$3)/1000</f>
        <v>#VALUE!</v>
      </c>
      <c r="R53" s="172" t="e">
        <f>_xll.LVCELL($D$1,R$3,$C53,$D$2,$C$4,$C$5,$C$6,$C$7,$C$8,$D$3)/1000</f>
        <v>#VALUE!</v>
      </c>
      <c r="S53" s="172" t="e">
        <f>_xll.LVCELL($D$1,S$3,$C53,$D$2,$C$4,$C$5,$C$6,$C$7,$C$8,$D$3)/1000</f>
        <v>#VALUE!</v>
      </c>
      <c r="T53" s="172" t="e">
        <f>_xll.LVCELL($D$1,T$3,$C53,$D$2,$C$4,$C$5,$C$6,$C$7,$C$8,$D$3)/1000</f>
        <v>#VALUE!</v>
      </c>
      <c r="U53" s="172" t="e">
        <f>_xll.LVCELL($D$1,U$3,$C53,$D$2,$C$4,$C$5,$C$6,$C$7,$C$8,$D$3)/1000</f>
        <v>#VALUE!</v>
      </c>
      <c r="V53" s="172" t="e">
        <f>_xll.LVCELL($D$1,V$3,$C53,$D$2,$C$4,$C$5,$C$6,$C$7,$C$8,$D$3)/1000</f>
        <v>#VALUE!</v>
      </c>
      <c r="W53" s="172" t="e">
        <f>_xll.LVCELL($D$1,W$3,$C53,$D$2,$C$4,$C$5,$C$6,$C$7,$C$8,$D$3)/1000</f>
        <v>#VALUE!</v>
      </c>
      <c r="X53" s="172" t="e">
        <f>_xll.LVCELL($D$1,X$3,$C53,$D$2,$C$4,$C$5,$C$6,$C$7,$C$8,$D$3)/1000</f>
        <v>#VALUE!</v>
      </c>
      <c r="Y53" s="172" t="e">
        <f>_xll.LVCELL($D$1,Y$3,$C53,$D$2,$C$4,$C$5,$C$6,$C$7,$C$8,$D$3)/1000</f>
        <v>#VALUE!</v>
      </c>
      <c r="Z53" s="172" t="e">
        <f>_xll.LVCELL($D$1,Z$3,$C53,$D$2,$C$4,$C$5,$C$6,$C$7,$C$8,$D$3)/1000</f>
        <v>#VALUE!</v>
      </c>
      <c r="AA53" s="172" t="e">
        <f>_xll.LVCELL($D$1,AA$3,$C53,$D$2,$C$4,$C$5,$C$6,$C$7,$C$8,$D$3)/1000</f>
        <v>#VALUE!</v>
      </c>
      <c r="AB53" s="172" t="e">
        <f>_xll.LVCELL($D$1,AB$3,$C53,$D$2,$C$4,$C$5,$C$6,$C$7,$C$8,$D$3)/1000</f>
        <v>#VALUE!</v>
      </c>
      <c r="AC53" s="172" t="e">
        <f>_xll.LVCELL($D$1,AC$3,$C53,$D$2,$C$4,$C$5,$C$6,$C$7,$C$8,$D$3)/1000</f>
        <v>#VALUE!</v>
      </c>
      <c r="AD53" s="172" t="e">
        <f>_xll.LVCELL($D$1,AD$2,$C53,$D$2,$C$4,$C$5,$C$6,$C$7,$C$8,$D$3)/1000</f>
        <v>#VALUE!</v>
      </c>
      <c r="AE53" s="172" t="e">
        <f t="shared" si="0"/>
        <v>#VALUE!</v>
      </c>
      <c r="AF53" s="193" t="e">
        <f t="shared" si="1"/>
        <v>#VALUE!</v>
      </c>
      <c r="AG53" s="172" t="s">
        <v>2730</v>
      </c>
      <c r="AH53" s="61" t="e">
        <f t="shared" si="2"/>
        <v>#VALUE!</v>
      </c>
      <c r="AI53" s="64" t="s">
        <v>2752</v>
      </c>
      <c r="AJ53" s="64" t="s">
        <v>471</v>
      </c>
      <c r="AK53" s="258" t="s">
        <v>471</v>
      </c>
      <c r="AL53" s="192" t="s">
        <v>564</v>
      </c>
      <c r="AM53" s="172" t="e">
        <f>_xll.LVCELL($AK$1,AM$3,$AK53,$AL$2,$AK$4,$AK$5,$AK$6,$AK$7,$AK$8,$AL$3)/1000</f>
        <v>#VALUE!</v>
      </c>
      <c r="AN53" s="172" t="e">
        <f>_xll.LVCELL($AK$1,AN$3,$AK53,$AL$2,$AK$4,$AK$5,$AK$6,$AK$7,$AK$8,$AL$3)/1000</f>
        <v>#VALUE!</v>
      </c>
      <c r="AO53" s="172" t="e">
        <f>_xll.LVCELL($AK$1,AO$3,$AK53,$AL$2,$AK$4,$AK$5,$AK$6,$AK$7,$AK$8,$AL$3)/1000</f>
        <v>#VALUE!</v>
      </c>
      <c r="AP53" s="172" t="e">
        <f>_xll.LVCELL($AK$1,AP$3,$AK53,$AL$2,$AK$4,$AK$5,$AK$6,$AK$7,$AK$8,$AL$3)/1000</f>
        <v>#VALUE!</v>
      </c>
      <c r="AQ53" s="172" t="e">
        <f>_xll.LVCELL($AK$1,AQ$3,$AK53,$AL$2,$AK$4,$AK$5,$AK$6,$AK$7,$AK$8,$AL$3)/1000</f>
        <v>#VALUE!</v>
      </c>
      <c r="AR53" s="172" t="e">
        <f>_xll.LVCELL($AK$1,AR$3,$AK53,$AL$2,$AK$4,$AK$5,$AK$6,$AK$7,$AK$8,$AL$3)/1000</f>
        <v>#VALUE!</v>
      </c>
      <c r="AS53" s="172" t="e">
        <f>_xll.LVCELL($AK$1,AS$3,$AK53,$AL$2,$AK$4,$AK$5,$AK$6,$AK$7,$AK$8,$AL$3)/1000</f>
        <v>#VALUE!</v>
      </c>
      <c r="AT53" s="172" t="e">
        <f>_xll.LVCELL($AK$1,AT$3,$AK53,$AL$2,$AK$4,$AK$5,$AK$6,$AK$7,$AK$8,$AL$3)/1000</f>
        <v>#VALUE!</v>
      </c>
      <c r="AU53" s="172" t="e">
        <f>_xll.LVCELL($AK$1,AU$3,$AK53,$AL$2,$AK$4,$AK$5,$AK$6,$AK$7,$AK$8,$AL$3)/1000</f>
        <v>#VALUE!</v>
      </c>
      <c r="AV53" s="172" t="e">
        <f>_xll.LVCELL($AK$1,AV$3,$AK53,$AL$2,$AK$4,$AK$5,$AK$6,$AK$7,$AK$8,$AL$3)/1000</f>
        <v>#VALUE!</v>
      </c>
      <c r="AW53" s="172" t="e">
        <f>_xll.LVCELL($AK$1,AW$3,$AK53,$AL$2,$AK$4,$AK$5,$AK$6,$AK$7,$AK$8,$AL$3)/1000</f>
        <v>#VALUE!</v>
      </c>
      <c r="AX53" s="172" t="e">
        <f>_xll.LVCELL($AK$1,AX$3,$AK53,$AL$2,$AK$4,$AK$5,$AK$6,$AK$7,$AK$8,$AL$3)/1000</f>
        <v>#VALUE!</v>
      </c>
      <c r="AY53" s="172" t="e">
        <f>_xll.LVCELL($AK$1,AY$2,$AK53,$AL$2,$AK$4,$AK$5,$AK$6,$AK$7,$AK$8,$AL$3)/1000</f>
        <v>#VALUE!</v>
      </c>
      <c r="AZ53" s="172" t="e">
        <f>_xll.LVCELL($AK$1,AZ$3,$AK53,$AL$2,$AK$4,$AK$5,$AK$6,$AK$7,$AK$8,$AL$3)/1000</f>
        <v>#VALUE!</v>
      </c>
      <c r="BA53" s="172" t="e">
        <f>_xll.LVCELL($AK$1,BA$3,$AK53,$AL$2,$AK$4,$AK$5,$AK$6,$AK$7,$AK$8,$AL$3)/1000</f>
        <v>#VALUE!</v>
      </c>
      <c r="BB53" s="172" t="e">
        <f>_xll.LVCELL($AK$1,BB$3,$AK53,$AL$2,$AK$4,$AK$5,$AK$6,$AK$7,$AK$8,$AL$3)/1000</f>
        <v>#VALUE!</v>
      </c>
      <c r="BC53" s="172" t="e">
        <f>_xll.LVCELL($AK$1,BC$3,$AK53,$AL$2,$AK$4,$AK$5,$AK$6,$AK$7,$AK$8,$AL$3)/1000</f>
        <v>#VALUE!</v>
      </c>
      <c r="BD53" s="172" t="e">
        <f>_xll.LVCELL($AK$1,BD$3,$AK53,$AL$2,$AK$4,$AK$5,$AK$6,$AK$7,$AK$8,$AL$3)/1000</f>
        <v>#VALUE!</v>
      </c>
      <c r="BE53" s="172" t="e">
        <f>_xll.LVCELL($AK$1,BE$3,$AK53,$AL$2,$AK$4,$AK$5,$AK$6,$AK$7,$AK$8,$AL$3)/1000</f>
        <v>#VALUE!</v>
      </c>
      <c r="BF53" s="172" t="e">
        <f>_xll.LVCELL($AK$1,BF$3,$AK53,$AL$2,$AK$4,$AK$5,$AK$6,$AK$7,$AK$8,$AL$3)/1000</f>
        <v>#VALUE!</v>
      </c>
      <c r="BG53" s="172" t="e">
        <f>_xll.LVCELL($AK$1,BG$3,$AK53,$AL$2,$AK$4,$AK$5,$AK$6,$AK$7,$AK$8,$AL$3)/1000</f>
        <v>#VALUE!</v>
      </c>
      <c r="BH53" s="172" t="e">
        <f>_xll.LVCELL($AK$1,BH$3,$AK53,$AL$2,$AK$4,$AK$5,$AK$6,$AK$7,$AK$8,$AL$3)/1000</f>
        <v>#VALUE!</v>
      </c>
      <c r="BI53" s="172" t="e">
        <f>_xll.LVCELL($AK$1,BI$3,$AK53,$AL$2,$AK$4,$AK$5,$AK$6,$AK$7,$AK$8,$AL$3)/1000</f>
        <v>#VALUE!</v>
      </c>
      <c r="BJ53" s="172" t="e">
        <f>_xll.LVCELL($AK$1,BJ$3,$AK53,$AL$2,$AK$4,$AK$5,$AK$6,$AK$7,$AK$8,$AL$3)/1000</f>
        <v>#VALUE!</v>
      </c>
      <c r="BK53" s="172" t="e">
        <f>_xll.LVCELL($AK$1,BK$3,$AK53,$AL$2,$AK$4,$AK$5,$AK$6,$AK$7,$AK$8,$AL$3)/1000</f>
        <v>#VALUE!</v>
      </c>
      <c r="BL53" s="172" t="e">
        <f>_xll.LVCELL($AK$1,BL$2,$AK53,$AL$2,$AK$4,$AK$5,$AK$6,$AK$7,$AK$8,$AL$3)/1000</f>
        <v>#VALUE!</v>
      </c>
      <c r="BM53" s="262" t="e">
        <f t="shared" si="3"/>
        <v>#VALUE!</v>
      </c>
      <c r="BN53" s="217" t="e">
        <f t="shared" si="4"/>
        <v>#VALUE!</v>
      </c>
      <c r="BO53" s="218" t="e">
        <f t="shared" si="4"/>
        <v>#VALUE!</v>
      </c>
      <c r="BP53" s="193" t="e">
        <f t="shared" si="5"/>
        <v>#VALUE!</v>
      </c>
      <c r="BQ53" s="172" t="s">
        <v>844</v>
      </c>
      <c r="BS53" s="198">
        <f t="shared" si="6"/>
        <v>0</v>
      </c>
      <c r="BT53" s="198">
        <f t="shared" si="7"/>
        <v>0</v>
      </c>
      <c r="BU53" s="198">
        <f t="shared" si="8"/>
        <v>0</v>
      </c>
      <c r="BV53" s="199" t="str">
        <f t="shared" si="9"/>
        <v>N/A</v>
      </c>
      <c r="BX53" s="200" t="e">
        <f t="shared" si="10"/>
        <v>#VALUE!</v>
      </c>
      <c r="BY53" s="200" t="e">
        <f t="shared" si="11"/>
        <v>#VALUE!</v>
      </c>
      <c r="BZ53" s="200" t="e">
        <f t="shared" si="12"/>
        <v>#VALUE!</v>
      </c>
    </row>
    <row r="54" spans="2:78">
      <c r="B54" s="64" t="s">
        <v>468</v>
      </c>
      <c r="C54" s="64" t="s">
        <v>468</v>
      </c>
      <c r="D54" s="192" t="s">
        <v>565</v>
      </c>
      <c r="E54" s="172" t="e">
        <f>_xll.LVCELL($D$1,E$3,$C54,$D$2,$C$4,$C$5,$C$6,$C$7,$C$8,$D$3)/1000</f>
        <v>#VALUE!</v>
      </c>
      <c r="F54" s="172" t="e">
        <f>_xll.LVCELL($D$1,F$3,$C54,$D$2,$C$4,$C$5,$C$6,$C$7,$C$8,$D$3)/1000</f>
        <v>#VALUE!</v>
      </c>
      <c r="G54" s="172" t="e">
        <f>_xll.LVCELL($D$1,G$3,$C54,$D$2,$C$4,$C$5,$C$6,$C$7,$C$8,$D$3)/1000</f>
        <v>#VALUE!</v>
      </c>
      <c r="H54" s="172" t="e">
        <f>_xll.LVCELL($D$1,H$3,$C54,$D$2,$C$4,$C$5,$C$6,$C$7,$C$8,$D$3)/1000</f>
        <v>#VALUE!</v>
      </c>
      <c r="I54" s="172" t="e">
        <f>_xll.LVCELL($D$1,I$3,$C54,$D$2,$C$4,$C$5,$C$6,$C$7,$C$8,$D$3)/1000</f>
        <v>#VALUE!</v>
      </c>
      <c r="J54" s="172" t="e">
        <f>_xll.LVCELL($D$1,J$3,$C54,$D$2,$C$4,$C$5,$C$6,$C$7,$C$8,$D$3)/1000</f>
        <v>#VALUE!</v>
      </c>
      <c r="K54" s="172" t="e">
        <f>_xll.LVCELL($D$1,K$3,$C54,$D$2,$C$4,$C$5,$C$6,$C$7,$C$8,$D$3)/1000</f>
        <v>#VALUE!</v>
      </c>
      <c r="L54" s="172" t="e">
        <f>_xll.LVCELL($D$1,L$3,$C54,$D$2,$C$4,$C$5,$C$6,$C$7,$C$8,$D$3)/1000</f>
        <v>#VALUE!</v>
      </c>
      <c r="M54" s="172" t="e">
        <f>_xll.LVCELL($D$1,M$3,$C54,$D$2,$C$4,$C$5,$C$6,$C$7,$C$8,$D$3)/1000</f>
        <v>#VALUE!</v>
      </c>
      <c r="N54" s="172" t="e">
        <f>_xll.LVCELL($D$1,N$3,$C54,$D$2,$C$4,$C$5,$C$6,$C$7,$C$8,$D$3)/1000</f>
        <v>#VALUE!</v>
      </c>
      <c r="O54" s="172" t="e">
        <f>_xll.LVCELL($D$1,O$3,$C54,$D$2,$C$4,$C$5,$C$6,$C$7,$C$8,$D$3)/1000</f>
        <v>#VALUE!</v>
      </c>
      <c r="P54" s="172" t="e">
        <f>_xll.LVCELL($D$1,P$3,$C54,$D$2,$C$4,$C$5,$C$6,$C$7,$C$8,$D$3)/1000</f>
        <v>#VALUE!</v>
      </c>
      <c r="Q54" s="172" t="e">
        <f>_xll.LVCELL($D$1,Q$2,$C54,$D$2,$C$4,$C$5,$C$6,$C$7,$C$8,$D$3)/1000</f>
        <v>#VALUE!</v>
      </c>
      <c r="R54" s="172" t="e">
        <f>_xll.LVCELL($D$1,R$3,$C54,$D$2,$C$4,$C$5,$C$6,$C$7,$C$8,$D$3)/1000</f>
        <v>#VALUE!</v>
      </c>
      <c r="S54" s="172" t="e">
        <f>_xll.LVCELL($D$1,S$3,$C54,$D$2,$C$4,$C$5,$C$6,$C$7,$C$8,$D$3)/1000</f>
        <v>#VALUE!</v>
      </c>
      <c r="T54" s="172" t="e">
        <f>_xll.LVCELL($D$1,T$3,$C54,$D$2,$C$4,$C$5,$C$6,$C$7,$C$8,$D$3)/1000</f>
        <v>#VALUE!</v>
      </c>
      <c r="U54" s="172" t="e">
        <f>_xll.LVCELL($D$1,U$3,$C54,$D$2,$C$4,$C$5,$C$6,$C$7,$C$8,$D$3)/1000</f>
        <v>#VALUE!</v>
      </c>
      <c r="V54" s="172" t="e">
        <f>_xll.LVCELL($D$1,V$3,$C54,$D$2,$C$4,$C$5,$C$6,$C$7,$C$8,$D$3)/1000</f>
        <v>#VALUE!</v>
      </c>
      <c r="W54" s="172" t="e">
        <f>_xll.LVCELL($D$1,W$3,$C54,$D$2,$C$4,$C$5,$C$6,$C$7,$C$8,$D$3)/1000</f>
        <v>#VALUE!</v>
      </c>
      <c r="X54" s="172" t="e">
        <f>_xll.LVCELL($D$1,X$3,$C54,$D$2,$C$4,$C$5,$C$6,$C$7,$C$8,$D$3)/1000</f>
        <v>#VALUE!</v>
      </c>
      <c r="Y54" s="172" t="e">
        <f>_xll.LVCELL($D$1,Y$3,$C54,$D$2,$C$4,$C$5,$C$6,$C$7,$C$8,$D$3)/1000</f>
        <v>#VALUE!</v>
      </c>
      <c r="Z54" s="172" t="e">
        <f>_xll.LVCELL($D$1,Z$3,$C54,$D$2,$C$4,$C$5,$C$6,$C$7,$C$8,$D$3)/1000</f>
        <v>#VALUE!</v>
      </c>
      <c r="AA54" s="172" t="e">
        <f>_xll.LVCELL($D$1,AA$3,$C54,$D$2,$C$4,$C$5,$C$6,$C$7,$C$8,$D$3)/1000</f>
        <v>#VALUE!</v>
      </c>
      <c r="AB54" s="172" t="e">
        <f>_xll.LVCELL($D$1,AB$3,$C54,$D$2,$C$4,$C$5,$C$6,$C$7,$C$8,$D$3)/1000</f>
        <v>#VALUE!</v>
      </c>
      <c r="AC54" s="172" t="e">
        <f>_xll.LVCELL($D$1,AC$3,$C54,$D$2,$C$4,$C$5,$C$6,$C$7,$C$8,$D$3)/1000</f>
        <v>#VALUE!</v>
      </c>
      <c r="AD54" s="172" t="e">
        <f>_xll.LVCELL($D$1,AD$2,$C54,$D$2,$C$4,$C$5,$C$6,$C$7,$C$8,$D$3)/1000</f>
        <v>#VALUE!</v>
      </c>
      <c r="AE54" s="172" t="e">
        <f t="shared" si="0"/>
        <v>#VALUE!</v>
      </c>
      <c r="AF54" s="193" t="e">
        <f t="shared" si="1"/>
        <v>#VALUE!</v>
      </c>
      <c r="AG54" s="172" t="s">
        <v>2730</v>
      </c>
      <c r="AH54" s="61" t="e">
        <f t="shared" si="2"/>
        <v>#VALUE!</v>
      </c>
      <c r="AI54" s="64" t="s">
        <v>2752</v>
      </c>
      <c r="AJ54" s="64" t="s">
        <v>468</v>
      </c>
      <c r="AK54" s="258" t="s">
        <v>468</v>
      </c>
      <c r="AL54" s="192" t="s">
        <v>565</v>
      </c>
      <c r="AM54" s="172" t="e">
        <f>_xll.LVCELL($AK$1,AM$3,$AK54,$AL$2,$AK$4,$AK$5,$AK$6,$AK$7,$AK$8,$AL$3)/1000</f>
        <v>#VALUE!</v>
      </c>
      <c r="AN54" s="172" t="e">
        <f>_xll.LVCELL($AK$1,AN$3,$AK54,$AL$2,$AK$4,$AK$5,$AK$6,$AK$7,$AK$8,$AL$3)/1000</f>
        <v>#VALUE!</v>
      </c>
      <c r="AO54" s="172" t="e">
        <f>_xll.LVCELL($AK$1,AO$3,$AK54,$AL$2,$AK$4,$AK$5,$AK$6,$AK$7,$AK$8,$AL$3)/1000</f>
        <v>#VALUE!</v>
      </c>
      <c r="AP54" s="172" t="e">
        <f>_xll.LVCELL($AK$1,AP$3,$AK54,$AL$2,$AK$4,$AK$5,$AK$6,$AK$7,$AK$8,$AL$3)/1000</f>
        <v>#VALUE!</v>
      </c>
      <c r="AQ54" s="172" t="e">
        <f>_xll.LVCELL($AK$1,AQ$3,$AK54,$AL$2,$AK$4,$AK$5,$AK$6,$AK$7,$AK$8,$AL$3)/1000</f>
        <v>#VALUE!</v>
      </c>
      <c r="AR54" s="172" t="e">
        <f>_xll.LVCELL($AK$1,AR$3,$AK54,$AL$2,$AK$4,$AK$5,$AK$6,$AK$7,$AK$8,$AL$3)/1000</f>
        <v>#VALUE!</v>
      </c>
      <c r="AS54" s="172" t="e">
        <f>_xll.LVCELL($AK$1,AS$3,$AK54,$AL$2,$AK$4,$AK$5,$AK$6,$AK$7,$AK$8,$AL$3)/1000</f>
        <v>#VALUE!</v>
      </c>
      <c r="AT54" s="172" t="e">
        <f>_xll.LVCELL($AK$1,AT$3,$AK54,$AL$2,$AK$4,$AK$5,$AK$6,$AK$7,$AK$8,$AL$3)/1000</f>
        <v>#VALUE!</v>
      </c>
      <c r="AU54" s="172" t="e">
        <f>_xll.LVCELL($AK$1,AU$3,$AK54,$AL$2,$AK$4,$AK$5,$AK$6,$AK$7,$AK$8,$AL$3)/1000</f>
        <v>#VALUE!</v>
      </c>
      <c r="AV54" s="172" t="e">
        <f>_xll.LVCELL($AK$1,AV$3,$AK54,$AL$2,$AK$4,$AK$5,$AK$6,$AK$7,$AK$8,$AL$3)/1000</f>
        <v>#VALUE!</v>
      </c>
      <c r="AW54" s="172" t="e">
        <f>_xll.LVCELL($AK$1,AW$3,$AK54,$AL$2,$AK$4,$AK$5,$AK$6,$AK$7,$AK$8,$AL$3)/1000</f>
        <v>#VALUE!</v>
      </c>
      <c r="AX54" s="172" t="e">
        <f>_xll.LVCELL($AK$1,AX$3,$AK54,$AL$2,$AK$4,$AK$5,$AK$6,$AK$7,$AK$8,$AL$3)/1000</f>
        <v>#VALUE!</v>
      </c>
      <c r="AY54" s="172" t="e">
        <f>_xll.LVCELL($AK$1,AY$2,$AK54,$AL$2,$AK$4,$AK$5,$AK$6,$AK$7,$AK$8,$AL$3)/1000</f>
        <v>#VALUE!</v>
      </c>
      <c r="AZ54" s="172" t="e">
        <f>_xll.LVCELL($AK$1,AZ$3,$AK54,$AL$2,$AK$4,$AK$5,$AK$6,$AK$7,$AK$8,$AL$3)/1000</f>
        <v>#VALUE!</v>
      </c>
      <c r="BA54" s="172" t="e">
        <f>_xll.LVCELL($AK$1,BA$3,$AK54,$AL$2,$AK$4,$AK$5,$AK$6,$AK$7,$AK$8,$AL$3)/1000</f>
        <v>#VALUE!</v>
      </c>
      <c r="BB54" s="172" t="e">
        <f>_xll.LVCELL($AK$1,BB$3,$AK54,$AL$2,$AK$4,$AK$5,$AK$6,$AK$7,$AK$8,$AL$3)/1000</f>
        <v>#VALUE!</v>
      </c>
      <c r="BC54" s="172" t="e">
        <f>_xll.LVCELL($AK$1,BC$3,$AK54,$AL$2,$AK$4,$AK$5,$AK$6,$AK$7,$AK$8,$AL$3)/1000</f>
        <v>#VALUE!</v>
      </c>
      <c r="BD54" s="172" t="e">
        <f>_xll.LVCELL($AK$1,BD$3,$AK54,$AL$2,$AK$4,$AK$5,$AK$6,$AK$7,$AK$8,$AL$3)/1000</f>
        <v>#VALUE!</v>
      </c>
      <c r="BE54" s="172" t="e">
        <f>_xll.LVCELL($AK$1,BE$3,$AK54,$AL$2,$AK$4,$AK$5,$AK$6,$AK$7,$AK$8,$AL$3)/1000</f>
        <v>#VALUE!</v>
      </c>
      <c r="BF54" s="172" t="e">
        <f>_xll.LVCELL($AK$1,BF$3,$AK54,$AL$2,$AK$4,$AK$5,$AK$6,$AK$7,$AK$8,$AL$3)/1000</f>
        <v>#VALUE!</v>
      </c>
      <c r="BG54" s="172" t="e">
        <f>_xll.LVCELL($AK$1,BG$3,$AK54,$AL$2,$AK$4,$AK$5,$AK$6,$AK$7,$AK$8,$AL$3)/1000</f>
        <v>#VALUE!</v>
      </c>
      <c r="BH54" s="172" t="e">
        <f>_xll.LVCELL($AK$1,BH$3,$AK54,$AL$2,$AK$4,$AK$5,$AK$6,$AK$7,$AK$8,$AL$3)/1000</f>
        <v>#VALUE!</v>
      </c>
      <c r="BI54" s="172" t="e">
        <f>_xll.LVCELL($AK$1,BI$3,$AK54,$AL$2,$AK$4,$AK$5,$AK$6,$AK$7,$AK$8,$AL$3)/1000</f>
        <v>#VALUE!</v>
      </c>
      <c r="BJ54" s="172" t="e">
        <f>_xll.LVCELL($AK$1,BJ$3,$AK54,$AL$2,$AK$4,$AK$5,$AK$6,$AK$7,$AK$8,$AL$3)/1000</f>
        <v>#VALUE!</v>
      </c>
      <c r="BK54" s="172" t="e">
        <f>_xll.LVCELL($AK$1,BK$3,$AK54,$AL$2,$AK$4,$AK$5,$AK$6,$AK$7,$AK$8,$AL$3)/1000</f>
        <v>#VALUE!</v>
      </c>
      <c r="BL54" s="172" t="e">
        <f>_xll.LVCELL($AK$1,BL$2,$AK54,$AL$2,$AK$4,$AK$5,$AK$6,$AK$7,$AK$8,$AL$3)/1000</f>
        <v>#VALUE!</v>
      </c>
      <c r="BM54" s="262" t="e">
        <f t="shared" si="3"/>
        <v>#VALUE!</v>
      </c>
      <c r="BN54" s="217" t="e">
        <f t="shared" si="4"/>
        <v>#VALUE!</v>
      </c>
      <c r="BO54" s="218" t="e">
        <f t="shared" si="4"/>
        <v>#VALUE!</v>
      </c>
      <c r="BP54" s="193" t="e">
        <f t="shared" si="5"/>
        <v>#VALUE!</v>
      </c>
      <c r="BQ54" s="172" t="s">
        <v>844</v>
      </c>
      <c r="BS54" s="198">
        <f t="shared" si="6"/>
        <v>0</v>
      </c>
      <c r="BT54" s="198">
        <f t="shared" si="7"/>
        <v>0</v>
      </c>
      <c r="BU54" s="198">
        <f t="shared" si="8"/>
        <v>0</v>
      </c>
      <c r="BV54" s="199" t="str">
        <f t="shared" si="9"/>
        <v>N/A</v>
      </c>
      <c r="BX54" s="200" t="e">
        <f t="shared" si="10"/>
        <v>#VALUE!</v>
      </c>
      <c r="BY54" s="200" t="e">
        <f t="shared" si="11"/>
        <v>#VALUE!</v>
      </c>
      <c r="BZ54" s="200" t="e">
        <f t="shared" si="12"/>
        <v>#VALUE!</v>
      </c>
    </row>
    <row r="55" spans="2:78">
      <c r="B55" s="64" t="s">
        <v>474</v>
      </c>
      <c r="C55" s="64" t="s">
        <v>474</v>
      </c>
      <c r="D55" s="192" t="s">
        <v>566</v>
      </c>
      <c r="E55" s="172" t="e">
        <f>_xll.LVCELL($D$1,E$3,$C55,$D$2,$C$4,$C$5,$C$6,$C$7,$C$8,$D$3)/1000</f>
        <v>#VALUE!</v>
      </c>
      <c r="F55" s="172" t="e">
        <f>_xll.LVCELL($D$1,F$3,$C55,$D$2,$C$4,$C$5,$C$6,$C$7,$C$8,$D$3)/1000</f>
        <v>#VALUE!</v>
      </c>
      <c r="G55" s="172" t="e">
        <f>_xll.LVCELL($D$1,G$3,$C55,$D$2,$C$4,$C$5,$C$6,$C$7,$C$8,$D$3)/1000</f>
        <v>#VALUE!</v>
      </c>
      <c r="H55" s="172" t="e">
        <f>_xll.LVCELL($D$1,H$3,$C55,$D$2,$C$4,$C$5,$C$6,$C$7,$C$8,$D$3)/1000</f>
        <v>#VALUE!</v>
      </c>
      <c r="I55" s="172" t="e">
        <f>_xll.LVCELL($D$1,I$3,$C55,$D$2,$C$4,$C$5,$C$6,$C$7,$C$8,$D$3)/1000</f>
        <v>#VALUE!</v>
      </c>
      <c r="J55" s="172" t="e">
        <f>_xll.LVCELL($D$1,J$3,$C55,$D$2,$C$4,$C$5,$C$6,$C$7,$C$8,$D$3)/1000</f>
        <v>#VALUE!</v>
      </c>
      <c r="K55" s="172" t="e">
        <f>_xll.LVCELL($D$1,K$3,$C55,$D$2,$C$4,$C$5,$C$6,$C$7,$C$8,$D$3)/1000</f>
        <v>#VALUE!</v>
      </c>
      <c r="L55" s="172" t="e">
        <f>_xll.LVCELL($D$1,L$3,$C55,$D$2,$C$4,$C$5,$C$6,$C$7,$C$8,$D$3)/1000</f>
        <v>#VALUE!</v>
      </c>
      <c r="M55" s="172" t="e">
        <f>_xll.LVCELL($D$1,M$3,$C55,$D$2,$C$4,$C$5,$C$6,$C$7,$C$8,$D$3)/1000</f>
        <v>#VALUE!</v>
      </c>
      <c r="N55" s="172" t="e">
        <f>_xll.LVCELL($D$1,N$3,$C55,$D$2,$C$4,$C$5,$C$6,$C$7,$C$8,$D$3)/1000</f>
        <v>#VALUE!</v>
      </c>
      <c r="O55" s="172" t="e">
        <f>_xll.LVCELL($D$1,O$3,$C55,$D$2,$C$4,$C$5,$C$6,$C$7,$C$8,$D$3)/1000</f>
        <v>#VALUE!</v>
      </c>
      <c r="P55" s="172" t="e">
        <f>_xll.LVCELL($D$1,P$3,$C55,$D$2,$C$4,$C$5,$C$6,$C$7,$C$8,$D$3)/1000</f>
        <v>#VALUE!</v>
      </c>
      <c r="Q55" s="172" t="e">
        <f>_xll.LVCELL($D$1,Q$2,$C55,$D$2,$C$4,$C$5,$C$6,$C$7,$C$8,$D$3)/1000</f>
        <v>#VALUE!</v>
      </c>
      <c r="R55" s="172" t="e">
        <f>_xll.LVCELL($D$1,R$3,$C55,$D$2,$C$4,$C$5,$C$6,$C$7,$C$8,$D$3)/1000</f>
        <v>#VALUE!</v>
      </c>
      <c r="S55" s="172" t="e">
        <f>_xll.LVCELL($D$1,S$3,$C55,$D$2,$C$4,$C$5,$C$6,$C$7,$C$8,$D$3)/1000</f>
        <v>#VALUE!</v>
      </c>
      <c r="T55" s="172" t="e">
        <f>_xll.LVCELL($D$1,T$3,$C55,$D$2,$C$4,$C$5,$C$6,$C$7,$C$8,$D$3)/1000</f>
        <v>#VALUE!</v>
      </c>
      <c r="U55" s="172" t="e">
        <f>_xll.LVCELL($D$1,U$3,$C55,$D$2,$C$4,$C$5,$C$6,$C$7,$C$8,$D$3)/1000</f>
        <v>#VALUE!</v>
      </c>
      <c r="V55" s="172" t="e">
        <f>_xll.LVCELL($D$1,V$3,$C55,$D$2,$C$4,$C$5,$C$6,$C$7,$C$8,$D$3)/1000</f>
        <v>#VALUE!</v>
      </c>
      <c r="W55" s="172" t="e">
        <f>_xll.LVCELL($D$1,W$3,$C55,$D$2,$C$4,$C$5,$C$6,$C$7,$C$8,$D$3)/1000</f>
        <v>#VALUE!</v>
      </c>
      <c r="X55" s="172" t="e">
        <f>_xll.LVCELL($D$1,X$3,$C55,$D$2,$C$4,$C$5,$C$6,$C$7,$C$8,$D$3)/1000</f>
        <v>#VALUE!</v>
      </c>
      <c r="Y55" s="172" t="e">
        <f>_xll.LVCELL($D$1,Y$3,$C55,$D$2,$C$4,$C$5,$C$6,$C$7,$C$8,$D$3)/1000</f>
        <v>#VALUE!</v>
      </c>
      <c r="Z55" s="172" t="e">
        <f>_xll.LVCELL($D$1,Z$3,$C55,$D$2,$C$4,$C$5,$C$6,$C$7,$C$8,$D$3)/1000</f>
        <v>#VALUE!</v>
      </c>
      <c r="AA55" s="172" t="e">
        <f>_xll.LVCELL($D$1,AA$3,$C55,$D$2,$C$4,$C$5,$C$6,$C$7,$C$8,$D$3)/1000</f>
        <v>#VALUE!</v>
      </c>
      <c r="AB55" s="172" t="e">
        <f>_xll.LVCELL($D$1,AB$3,$C55,$D$2,$C$4,$C$5,$C$6,$C$7,$C$8,$D$3)/1000</f>
        <v>#VALUE!</v>
      </c>
      <c r="AC55" s="172" t="e">
        <f>_xll.LVCELL($D$1,AC$3,$C55,$D$2,$C$4,$C$5,$C$6,$C$7,$C$8,$D$3)/1000</f>
        <v>#VALUE!</v>
      </c>
      <c r="AD55" s="172" t="e">
        <f>_xll.LVCELL($D$1,AD$2,$C55,$D$2,$C$4,$C$5,$C$6,$C$7,$C$8,$D$3)/1000</f>
        <v>#VALUE!</v>
      </c>
      <c r="AE55" s="172" t="e">
        <f t="shared" si="0"/>
        <v>#VALUE!</v>
      </c>
      <c r="AF55" s="193" t="e">
        <f t="shared" si="1"/>
        <v>#VALUE!</v>
      </c>
      <c r="AG55" s="172" t="s">
        <v>2730</v>
      </c>
      <c r="AH55" s="61" t="e">
        <f t="shared" si="2"/>
        <v>#VALUE!</v>
      </c>
      <c r="AI55" s="64" t="s">
        <v>2752</v>
      </c>
      <c r="AJ55" s="64" t="s">
        <v>474</v>
      </c>
      <c r="AK55" s="258" t="s">
        <v>474</v>
      </c>
      <c r="AL55" s="192" t="s">
        <v>566</v>
      </c>
      <c r="AM55" s="172" t="e">
        <f>_xll.LVCELL($AK$1,AM$3,$AK55,$AL$2,$AK$4,$AK$5,$AK$6,$AK$7,$AK$8,$AL$3)/1000</f>
        <v>#VALUE!</v>
      </c>
      <c r="AN55" s="172" t="e">
        <f>_xll.LVCELL($AK$1,AN$3,$AK55,$AL$2,$AK$4,$AK$5,$AK$6,$AK$7,$AK$8,$AL$3)/1000</f>
        <v>#VALUE!</v>
      </c>
      <c r="AO55" s="172" t="e">
        <f>_xll.LVCELL($AK$1,AO$3,$AK55,$AL$2,$AK$4,$AK$5,$AK$6,$AK$7,$AK$8,$AL$3)/1000</f>
        <v>#VALUE!</v>
      </c>
      <c r="AP55" s="172" t="e">
        <f>_xll.LVCELL($AK$1,AP$3,$AK55,$AL$2,$AK$4,$AK$5,$AK$6,$AK$7,$AK$8,$AL$3)/1000</f>
        <v>#VALUE!</v>
      </c>
      <c r="AQ55" s="172" t="e">
        <f>_xll.LVCELL($AK$1,AQ$3,$AK55,$AL$2,$AK$4,$AK$5,$AK$6,$AK$7,$AK$8,$AL$3)/1000</f>
        <v>#VALUE!</v>
      </c>
      <c r="AR55" s="172" t="e">
        <f>_xll.LVCELL($AK$1,AR$3,$AK55,$AL$2,$AK$4,$AK$5,$AK$6,$AK$7,$AK$8,$AL$3)/1000</f>
        <v>#VALUE!</v>
      </c>
      <c r="AS55" s="172" t="e">
        <f>_xll.LVCELL($AK$1,AS$3,$AK55,$AL$2,$AK$4,$AK$5,$AK$6,$AK$7,$AK$8,$AL$3)/1000</f>
        <v>#VALUE!</v>
      </c>
      <c r="AT55" s="172" t="e">
        <f>_xll.LVCELL($AK$1,AT$3,$AK55,$AL$2,$AK$4,$AK$5,$AK$6,$AK$7,$AK$8,$AL$3)/1000</f>
        <v>#VALUE!</v>
      </c>
      <c r="AU55" s="172" t="e">
        <f>_xll.LVCELL($AK$1,AU$3,$AK55,$AL$2,$AK$4,$AK$5,$AK$6,$AK$7,$AK$8,$AL$3)/1000</f>
        <v>#VALUE!</v>
      </c>
      <c r="AV55" s="172" t="e">
        <f>_xll.LVCELL($AK$1,AV$3,$AK55,$AL$2,$AK$4,$AK$5,$AK$6,$AK$7,$AK$8,$AL$3)/1000</f>
        <v>#VALUE!</v>
      </c>
      <c r="AW55" s="172" t="e">
        <f>_xll.LVCELL($AK$1,AW$3,$AK55,$AL$2,$AK$4,$AK$5,$AK$6,$AK$7,$AK$8,$AL$3)/1000</f>
        <v>#VALUE!</v>
      </c>
      <c r="AX55" s="172" t="e">
        <f>_xll.LVCELL($AK$1,AX$3,$AK55,$AL$2,$AK$4,$AK$5,$AK$6,$AK$7,$AK$8,$AL$3)/1000</f>
        <v>#VALUE!</v>
      </c>
      <c r="AY55" s="172" t="e">
        <f>_xll.LVCELL($AK$1,AY$2,$AK55,$AL$2,$AK$4,$AK$5,$AK$6,$AK$7,$AK$8,$AL$3)/1000</f>
        <v>#VALUE!</v>
      </c>
      <c r="AZ55" s="172" t="e">
        <f>_xll.LVCELL($AK$1,AZ$3,$AK55,$AL$2,$AK$4,$AK$5,$AK$6,$AK$7,$AK$8,$AL$3)/1000</f>
        <v>#VALUE!</v>
      </c>
      <c r="BA55" s="172" t="e">
        <f>_xll.LVCELL($AK$1,BA$3,$AK55,$AL$2,$AK$4,$AK$5,$AK$6,$AK$7,$AK$8,$AL$3)/1000</f>
        <v>#VALUE!</v>
      </c>
      <c r="BB55" s="172" t="e">
        <f>_xll.LVCELL($AK$1,BB$3,$AK55,$AL$2,$AK$4,$AK$5,$AK$6,$AK$7,$AK$8,$AL$3)/1000</f>
        <v>#VALUE!</v>
      </c>
      <c r="BC55" s="172" t="e">
        <f>_xll.LVCELL($AK$1,BC$3,$AK55,$AL$2,$AK$4,$AK$5,$AK$6,$AK$7,$AK$8,$AL$3)/1000</f>
        <v>#VALUE!</v>
      </c>
      <c r="BD55" s="172" t="e">
        <f>_xll.LVCELL($AK$1,BD$3,$AK55,$AL$2,$AK$4,$AK$5,$AK$6,$AK$7,$AK$8,$AL$3)/1000</f>
        <v>#VALUE!</v>
      </c>
      <c r="BE55" s="172" t="e">
        <f>_xll.LVCELL($AK$1,BE$3,$AK55,$AL$2,$AK$4,$AK$5,$AK$6,$AK$7,$AK$8,$AL$3)/1000</f>
        <v>#VALUE!</v>
      </c>
      <c r="BF55" s="172" t="e">
        <f>_xll.LVCELL($AK$1,BF$3,$AK55,$AL$2,$AK$4,$AK$5,$AK$6,$AK$7,$AK$8,$AL$3)/1000</f>
        <v>#VALUE!</v>
      </c>
      <c r="BG55" s="172" t="e">
        <f>_xll.LVCELL($AK$1,BG$3,$AK55,$AL$2,$AK$4,$AK$5,$AK$6,$AK$7,$AK$8,$AL$3)/1000</f>
        <v>#VALUE!</v>
      </c>
      <c r="BH55" s="172" t="e">
        <f>_xll.LVCELL($AK$1,BH$3,$AK55,$AL$2,$AK$4,$AK$5,$AK$6,$AK$7,$AK$8,$AL$3)/1000</f>
        <v>#VALUE!</v>
      </c>
      <c r="BI55" s="172" t="e">
        <f>_xll.LVCELL($AK$1,BI$3,$AK55,$AL$2,$AK$4,$AK$5,$AK$6,$AK$7,$AK$8,$AL$3)/1000</f>
        <v>#VALUE!</v>
      </c>
      <c r="BJ55" s="172" t="e">
        <f>_xll.LVCELL($AK$1,BJ$3,$AK55,$AL$2,$AK$4,$AK$5,$AK$6,$AK$7,$AK$8,$AL$3)/1000</f>
        <v>#VALUE!</v>
      </c>
      <c r="BK55" s="172" t="e">
        <f>_xll.LVCELL($AK$1,BK$3,$AK55,$AL$2,$AK$4,$AK$5,$AK$6,$AK$7,$AK$8,$AL$3)/1000</f>
        <v>#VALUE!</v>
      </c>
      <c r="BL55" s="172" t="e">
        <f>_xll.LVCELL($AK$1,BL$2,$AK55,$AL$2,$AK$4,$AK$5,$AK$6,$AK$7,$AK$8,$AL$3)/1000</f>
        <v>#VALUE!</v>
      </c>
      <c r="BM55" s="262" t="e">
        <f t="shared" si="3"/>
        <v>#VALUE!</v>
      </c>
      <c r="BN55" s="217" t="e">
        <f t="shared" si="4"/>
        <v>#VALUE!</v>
      </c>
      <c r="BO55" s="218" t="e">
        <f t="shared" si="4"/>
        <v>#VALUE!</v>
      </c>
      <c r="BP55" s="193" t="e">
        <f t="shared" si="5"/>
        <v>#VALUE!</v>
      </c>
      <c r="BQ55" s="172" t="s">
        <v>844</v>
      </c>
      <c r="BS55" s="198">
        <f t="shared" si="6"/>
        <v>0</v>
      </c>
      <c r="BT55" s="198">
        <f t="shared" si="7"/>
        <v>0</v>
      </c>
      <c r="BU55" s="198">
        <f t="shared" si="8"/>
        <v>0</v>
      </c>
      <c r="BV55" s="199" t="str">
        <f t="shared" si="9"/>
        <v>N/A</v>
      </c>
      <c r="BX55" s="200" t="e">
        <f t="shared" si="10"/>
        <v>#VALUE!</v>
      </c>
      <c r="BY55" s="200" t="e">
        <f t="shared" si="11"/>
        <v>#VALUE!</v>
      </c>
      <c r="BZ55" s="200" t="e">
        <f t="shared" si="12"/>
        <v>#VALUE!</v>
      </c>
    </row>
    <row r="56" spans="2:78">
      <c r="B56" s="64" t="s">
        <v>481</v>
      </c>
      <c r="C56" s="64" t="s">
        <v>481</v>
      </c>
      <c r="D56" s="192" t="s">
        <v>2646</v>
      </c>
      <c r="E56" s="172" t="e">
        <f>_xll.LVCELL($D$1,E$3,$C56,$D$2,$C$4,$C$5,$C$6,$C$7,$C$8,$D$3)/1000</f>
        <v>#VALUE!</v>
      </c>
      <c r="F56" s="172" t="e">
        <f>_xll.LVCELL($D$1,F$3,$C56,$D$2,$C$4,$C$5,$C$6,$C$7,$C$8,$D$3)/1000</f>
        <v>#VALUE!</v>
      </c>
      <c r="G56" s="172" t="e">
        <f>_xll.LVCELL($D$1,G$3,$C56,$D$2,$C$4,$C$5,$C$6,$C$7,$C$8,$D$3)/1000</f>
        <v>#VALUE!</v>
      </c>
      <c r="H56" s="172" t="e">
        <f>_xll.LVCELL($D$1,H$3,$C56,$D$2,$C$4,$C$5,$C$6,$C$7,$C$8,$D$3)/1000</f>
        <v>#VALUE!</v>
      </c>
      <c r="I56" s="172" t="e">
        <f>_xll.LVCELL($D$1,I$3,$C56,$D$2,$C$4,$C$5,$C$6,$C$7,$C$8,$D$3)/1000</f>
        <v>#VALUE!</v>
      </c>
      <c r="J56" s="172" t="e">
        <f>_xll.LVCELL($D$1,J$3,$C56,$D$2,$C$4,$C$5,$C$6,$C$7,$C$8,$D$3)/1000</f>
        <v>#VALUE!</v>
      </c>
      <c r="K56" s="172" t="e">
        <f>_xll.LVCELL($D$1,K$3,$C56,$D$2,$C$4,$C$5,$C$6,$C$7,$C$8,$D$3)/1000</f>
        <v>#VALUE!</v>
      </c>
      <c r="L56" s="172" t="e">
        <f>_xll.LVCELL($D$1,L$3,$C56,$D$2,$C$4,$C$5,$C$6,$C$7,$C$8,$D$3)/1000</f>
        <v>#VALUE!</v>
      </c>
      <c r="M56" s="172" t="e">
        <f>_xll.LVCELL($D$1,M$3,$C56,$D$2,$C$4,$C$5,$C$6,$C$7,$C$8,$D$3)/1000</f>
        <v>#VALUE!</v>
      </c>
      <c r="N56" s="172" t="e">
        <f>_xll.LVCELL($D$1,N$3,$C56,$D$2,$C$4,$C$5,$C$6,$C$7,$C$8,$D$3)/1000</f>
        <v>#VALUE!</v>
      </c>
      <c r="O56" s="172" t="e">
        <f>_xll.LVCELL($D$1,O$3,$C56,$D$2,$C$4,$C$5,$C$6,$C$7,$C$8,$D$3)/1000</f>
        <v>#VALUE!</v>
      </c>
      <c r="P56" s="172" t="e">
        <f>_xll.LVCELL($D$1,P$3,$C56,$D$2,$C$4,$C$5,$C$6,$C$7,$C$8,$D$3)/1000</f>
        <v>#VALUE!</v>
      </c>
      <c r="Q56" s="172" t="e">
        <f>_xll.LVCELL($D$1,Q$2,$C56,$D$2,$C$4,$C$5,$C$6,$C$7,$C$8,$D$3)/1000</f>
        <v>#VALUE!</v>
      </c>
      <c r="R56" s="172" t="e">
        <f>_xll.LVCELL($D$1,R$3,$C56,$D$2,$C$4,$C$5,$C$6,$C$7,$C$8,$D$3)/1000</f>
        <v>#VALUE!</v>
      </c>
      <c r="S56" s="172" t="e">
        <f>_xll.LVCELL($D$1,S$3,$C56,$D$2,$C$4,$C$5,$C$6,$C$7,$C$8,$D$3)/1000</f>
        <v>#VALUE!</v>
      </c>
      <c r="T56" s="172" t="e">
        <f>_xll.LVCELL($D$1,T$3,$C56,$D$2,$C$4,$C$5,$C$6,$C$7,$C$8,$D$3)/1000</f>
        <v>#VALUE!</v>
      </c>
      <c r="U56" s="172" t="e">
        <f>_xll.LVCELL($D$1,U$3,$C56,$D$2,$C$4,$C$5,$C$6,$C$7,$C$8,$D$3)/1000</f>
        <v>#VALUE!</v>
      </c>
      <c r="V56" s="172" t="e">
        <f>_xll.LVCELL($D$1,V$3,$C56,$D$2,$C$4,$C$5,$C$6,$C$7,$C$8,$D$3)/1000</f>
        <v>#VALUE!</v>
      </c>
      <c r="W56" s="172" t="e">
        <f>_xll.LVCELL($D$1,W$3,$C56,$D$2,$C$4,$C$5,$C$6,$C$7,$C$8,$D$3)/1000</f>
        <v>#VALUE!</v>
      </c>
      <c r="X56" s="172" t="e">
        <f>_xll.LVCELL($D$1,X$3,$C56,$D$2,$C$4,$C$5,$C$6,$C$7,$C$8,$D$3)/1000</f>
        <v>#VALUE!</v>
      </c>
      <c r="Y56" s="172" t="e">
        <f>_xll.LVCELL($D$1,Y$3,$C56,$D$2,$C$4,$C$5,$C$6,$C$7,$C$8,$D$3)/1000</f>
        <v>#VALUE!</v>
      </c>
      <c r="Z56" s="172" t="e">
        <f>_xll.LVCELL($D$1,Z$3,$C56,$D$2,$C$4,$C$5,$C$6,$C$7,$C$8,$D$3)/1000</f>
        <v>#VALUE!</v>
      </c>
      <c r="AA56" s="172" t="e">
        <f>_xll.LVCELL($D$1,AA$3,$C56,$D$2,$C$4,$C$5,$C$6,$C$7,$C$8,$D$3)/1000</f>
        <v>#VALUE!</v>
      </c>
      <c r="AB56" s="172" t="e">
        <f>_xll.LVCELL($D$1,AB$3,$C56,$D$2,$C$4,$C$5,$C$6,$C$7,$C$8,$D$3)/1000</f>
        <v>#VALUE!</v>
      </c>
      <c r="AC56" s="172" t="e">
        <f>_xll.LVCELL($D$1,AC$3,$C56,$D$2,$C$4,$C$5,$C$6,$C$7,$C$8,$D$3)/1000</f>
        <v>#VALUE!</v>
      </c>
      <c r="AD56" s="172" t="e">
        <f>_xll.LVCELL($D$1,AD$2,$C56,$D$2,$C$4,$C$5,$C$6,$C$7,$C$8,$D$3)/1000</f>
        <v>#VALUE!</v>
      </c>
      <c r="AE56" s="172" t="e">
        <f t="shared" si="0"/>
        <v>#VALUE!</v>
      </c>
      <c r="AF56" s="193" t="e">
        <f t="shared" si="1"/>
        <v>#VALUE!</v>
      </c>
      <c r="AG56" s="172" t="s">
        <v>2730</v>
      </c>
      <c r="AH56" s="61" t="e">
        <f t="shared" si="2"/>
        <v>#VALUE!</v>
      </c>
      <c r="AI56" s="64" t="s">
        <v>2752</v>
      </c>
      <c r="AJ56" s="64" t="s">
        <v>481</v>
      </c>
      <c r="AK56" s="258" t="s">
        <v>481</v>
      </c>
      <c r="AL56" s="192" t="s">
        <v>2646</v>
      </c>
      <c r="AM56" s="172" t="e">
        <f>_xll.LVCELL($AK$1,AM$3,$AK56,$AL$2,$AK$4,$AK$5,$AK$6,$AK$7,$AK$8,$AL$3)/1000</f>
        <v>#VALUE!</v>
      </c>
      <c r="AN56" s="172" t="e">
        <f>_xll.LVCELL($AK$1,AN$3,$AK56,$AL$2,$AK$4,$AK$5,$AK$6,$AK$7,$AK$8,$AL$3)/1000</f>
        <v>#VALUE!</v>
      </c>
      <c r="AO56" s="172" t="e">
        <f>_xll.LVCELL($AK$1,AO$3,$AK56,$AL$2,$AK$4,$AK$5,$AK$6,$AK$7,$AK$8,$AL$3)/1000</f>
        <v>#VALUE!</v>
      </c>
      <c r="AP56" s="172" t="e">
        <f>_xll.LVCELL($AK$1,AP$3,$AK56,$AL$2,$AK$4,$AK$5,$AK$6,$AK$7,$AK$8,$AL$3)/1000</f>
        <v>#VALUE!</v>
      </c>
      <c r="AQ56" s="172" t="e">
        <f>_xll.LVCELL($AK$1,AQ$3,$AK56,$AL$2,$AK$4,$AK$5,$AK$6,$AK$7,$AK$8,$AL$3)/1000</f>
        <v>#VALUE!</v>
      </c>
      <c r="AR56" s="172" t="e">
        <f>_xll.LVCELL($AK$1,AR$3,$AK56,$AL$2,$AK$4,$AK$5,$AK$6,$AK$7,$AK$8,$AL$3)/1000</f>
        <v>#VALUE!</v>
      </c>
      <c r="AS56" s="172" t="e">
        <f>_xll.LVCELL($AK$1,AS$3,$AK56,$AL$2,$AK$4,$AK$5,$AK$6,$AK$7,$AK$8,$AL$3)/1000</f>
        <v>#VALUE!</v>
      </c>
      <c r="AT56" s="172" t="e">
        <f>_xll.LVCELL($AK$1,AT$3,$AK56,$AL$2,$AK$4,$AK$5,$AK$6,$AK$7,$AK$8,$AL$3)/1000</f>
        <v>#VALUE!</v>
      </c>
      <c r="AU56" s="172" t="e">
        <f>_xll.LVCELL($AK$1,AU$3,$AK56,$AL$2,$AK$4,$AK$5,$AK$6,$AK$7,$AK$8,$AL$3)/1000</f>
        <v>#VALUE!</v>
      </c>
      <c r="AV56" s="172" t="e">
        <f>_xll.LVCELL($AK$1,AV$3,$AK56,$AL$2,$AK$4,$AK$5,$AK$6,$AK$7,$AK$8,$AL$3)/1000</f>
        <v>#VALUE!</v>
      </c>
      <c r="AW56" s="172" t="e">
        <f>_xll.LVCELL($AK$1,AW$3,$AK56,$AL$2,$AK$4,$AK$5,$AK$6,$AK$7,$AK$8,$AL$3)/1000</f>
        <v>#VALUE!</v>
      </c>
      <c r="AX56" s="172" t="e">
        <f>_xll.LVCELL($AK$1,AX$3,$AK56,$AL$2,$AK$4,$AK$5,$AK$6,$AK$7,$AK$8,$AL$3)/1000</f>
        <v>#VALUE!</v>
      </c>
      <c r="AY56" s="172" t="e">
        <f>_xll.LVCELL($AK$1,AY$2,$AK56,$AL$2,$AK$4,$AK$5,$AK$6,$AK$7,$AK$8,$AL$3)/1000</f>
        <v>#VALUE!</v>
      </c>
      <c r="AZ56" s="172" t="e">
        <f>_xll.LVCELL($AK$1,AZ$3,$AK56,$AL$2,$AK$4,$AK$5,$AK$6,$AK$7,$AK$8,$AL$3)/1000</f>
        <v>#VALUE!</v>
      </c>
      <c r="BA56" s="172" t="e">
        <f>_xll.LVCELL($AK$1,BA$3,$AK56,$AL$2,$AK$4,$AK$5,$AK$6,$AK$7,$AK$8,$AL$3)/1000</f>
        <v>#VALUE!</v>
      </c>
      <c r="BB56" s="172" t="e">
        <f>_xll.LVCELL($AK$1,BB$3,$AK56,$AL$2,$AK$4,$AK$5,$AK$6,$AK$7,$AK$8,$AL$3)/1000</f>
        <v>#VALUE!</v>
      </c>
      <c r="BC56" s="172" t="e">
        <f>_xll.LVCELL($AK$1,BC$3,$AK56,$AL$2,$AK$4,$AK$5,$AK$6,$AK$7,$AK$8,$AL$3)/1000</f>
        <v>#VALUE!</v>
      </c>
      <c r="BD56" s="172" t="e">
        <f>_xll.LVCELL($AK$1,BD$3,$AK56,$AL$2,$AK$4,$AK$5,$AK$6,$AK$7,$AK$8,$AL$3)/1000</f>
        <v>#VALUE!</v>
      </c>
      <c r="BE56" s="172" t="e">
        <f>_xll.LVCELL($AK$1,BE$3,$AK56,$AL$2,$AK$4,$AK$5,$AK$6,$AK$7,$AK$8,$AL$3)/1000</f>
        <v>#VALUE!</v>
      </c>
      <c r="BF56" s="172" t="e">
        <f>_xll.LVCELL($AK$1,BF$3,$AK56,$AL$2,$AK$4,$AK$5,$AK$6,$AK$7,$AK$8,$AL$3)/1000</f>
        <v>#VALUE!</v>
      </c>
      <c r="BG56" s="172" t="e">
        <f>_xll.LVCELL($AK$1,BG$3,$AK56,$AL$2,$AK$4,$AK$5,$AK$6,$AK$7,$AK$8,$AL$3)/1000</f>
        <v>#VALUE!</v>
      </c>
      <c r="BH56" s="172" t="e">
        <f>_xll.LVCELL($AK$1,BH$3,$AK56,$AL$2,$AK$4,$AK$5,$AK$6,$AK$7,$AK$8,$AL$3)/1000</f>
        <v>#VALUE!</v>
      </c>
      <c r="BI56" s="172" t="e">
        <f>_xll.LVCELL($AK$1,BI$3,$AK56,$AL$2,$AK$4,$AK$5,$AK$6,$AK$7,$AK$8,$AL$3)/1000</f>
        <v>#VALUE!</v>
      </c>
      <c r="BJ56" s="172" t="e">
        <f>_xll.LVCELL($AK$1,BJ$3,$AK56,$AL$2,$AK$4,$AK$5,$AK$6,$AK$7,$AK$8,$AL$3)/1000</f>
        <v>#VALUE!</v>
      </c>
      <c r="BK56" s="172" t="e">
        <f>_xll.LVCELL($AK$1,BK$3,$AK56,$AL$2,$AK$4,$AK$5,$AK$6,$AK$7,$AK$8,$AL$3)/1000</f>
        <v>#VALUE!</v>
      </c>
      <c r="BL56" s="172" t="e">
        <f>_xll.LVCELL($AK$1,BL$2,$AK56,$AL$2,$AK$4,$AK$5,$AK$6,$AK$7,$AK$8,$AL$3)/1000</f>
        <v>#VALUE!</v>
      </c>
      <c r="BM56" s="262" t="e">
        <f t="shared" si="3"/>
        <v>#VALUE!</v>
      </c>
      <c r="BN56" s="217" t="e">
        <f t="shared" si="4"/>
        <v>#VALUE!</v>
      </c>
      <c r="BO56" s="218" t="e">
        <f t="shared" si="4"/>
        <v>#VALUE!</v>
      </c>
      <c r="BP56" s="193" t="e">
        <f t="shared" si="5"/>
        <v>#VALUE!</v>
      </c>
      <c r="BQ56" s="172" t="s">
        <v>844</v>
      </c>
      <c r="BS56" s="198">
        <f t="shared" si="6"/>
        <v>0</v>
      </c>
      <c r="BT56" s="198">
        <f t="shared" si="7"/>
        <v>0</v>
      </c>
      <c r="BU56" s="198">
        <f t="shared" si="8"/>
        <v>0</v>
      </c>
      <c r="BV56" s="199" t="str">
        <f t="shared" si="9"/>
        <v>N/A</v>
      </c>
      <c r="BX56" s="200" t="e">
        <f t="shared" si="10"/>
        <v>#VALUE!</v>
      </c>
      <c r="BY56" s="200" t="e">
        <f t="shared" si="11"/>
        <v>#VALUE!</v>
      </c>
      <c r="BZ56" s="200" t="e">
        <f t="shared" si="12"/>
        <v>#VALUE!</v>
      </c>
    </row>
    <row r="57" spans="2:78">
      <c r="B57" s="64" t="s">
        <v>375</v>
      </c>
      <c r="C57" s="64" t="s">
        <v>375</v>
      </c>
      <c r="D57" s="192" t="s">
        <v>483</v>
      </c>
      <c r="E57" s="172" t="e">
        <f>_xll.LVCELL($D$1,E$3,$C57,$D$2,$C$4,$C$5,$C$6,$C$7,$C$8,$D$3)/1000</f>
        <v>#VALUE!</v>
      </c>
      <c r="F57" s="172" t="e">
        <f>_xll.LVCELL($D$1,F$3,$C57,$D$2,$C$4,$C$5,$C$6,$C$7,$C$8,$D$3)/1000</f>
        <v>#VALUE!</v>
      </c>
      <c r="G57" s="172" t="e">
        <f>_xll.LVCELL($D$1,G$3,$C57,$D$2,$C$4,$C$5,$C$6,$C$7,$C$8,$D$3)/1000</f>
        <v>#VALUE!</v>
      </c>
      <c r="H57" s="172" t="e">
        <f>_xll.LVCELL($D$1,H$3,$C57,$D$2,$C$4,$C$5,$C$6,$C$7,$C$8,$D$3)/1000</f>
        <v>#VALUE!</v>
      </c>
      <c r="I57" s="172" t="e">
        <f>_xll.LVCELL($D$1,I$3,$C57,$D$2,$C$4,$C$5,$C$6,$C$7,$C$8,$D$3)/1000</f>
        <v>#VALUE!</v>
      </c>
      <c r="J57" s="172" t="e">
        <f>_xll.LVCELL($D$1,J$3,$C57,$D$2,$C$4,$C$5,$C$6,$C$7,$C$8,$D$3)/1000</f>
        <v>#VALUE!</v>
      </c>
      <c r="K57" s="172" t="e">
        <f>_xll.LVCELL($D$1,K$3,$C57,$D$2,$C$4,$C$5,$C$6,$C$7,$C$8,$D$3)/1000</f>
        <v>#VALUE!</v>
      </c>
      <c r="L57" s="172" t="e">
        <f>_xll.LVCELL($D$1,L$3,$C57,$D$2,$C$4,$C$5,$C$6,$C$7,$C$8,$D$3)/1000</f>
        <v>#VALUE!</v>
      </c>
      <c r="M57" s="172" t="e">
        <f>_xll.LVCELL($D$1,M$3,$C57,$D$2,$C$4,$C$5,$C$6,$C$7,$C$8,$D$3)/1000</f>
        <v>#VALUE!</v>
      </c>
      <c r="N57" s="172" t="e">
        <f>_xll.LVCELL($D$1,N$3,$C57,$D$2,$C$4,$C$5,$C$6,$C$7,$C$8,$D$3)/1000</f>
        <v>#VALUE!</v>
      </c>
      <c r="O57" s="172" t="e">
        <f>_xll.LVCELL($D$1,O$3,$C57,$D$2,$C$4,$C$5,$C$6,$C$7,$C$8,$D$3)/1000</f>
        <v>#VALUE!</v>
      </c>
      <c r="P57" s="172" t="e">
        <f>_xll.LVCELL($D$1,P$3,$C57,$D$2,$C$4,$C$5,$C$6,$C$7,$C$8,$D$3)/1000</f>
        <v>#VALUE!</v>
      </c>
      <c r="Q57" s="172" t="e">
        <f>_xll.LVCELL($D$1,Q$2,$C57,$D$2,$C$4,$C$5,$C$6,$C$7,$C$8,$D$3)/1000</f>
        <v>#VALUE!</v>
      </c>
      <c r="R57" s="172" t="e">
        <f>_xll.LVCELL($D$1,R$3,$C57,$D$2,$C$4,$C$5,$C$6,$C$7,$C$8,$D$3)/1000</f>
        <v>#VALUE!</v>
      </c>
      <c r="S57" s="172" t="e">
        <f>_xll.LVCELL($D$1,S$3,$C57,$D$2,$C$4,$C$5,$C$6,$C$7,$C$8,$D$3)/1000</f>
        <v>#VALUE!</v>
      </c>
      <c r="T57" s="172" t="e">
        <f>_xll.LVCELL($D$1,T$3,$C57,$D$2,$C$4,$C$5,$C$6,$C$7,$C$8,$D$3)/1000</f>
        <v>#VALUE!</v>
      </c>
      <c r="U57" s="172" t="e">
        <f>_xll.LVCELL($D$1,U$3,$C57,$D$2,$C$4,$C$5,$C$6,$C$7,$C$8,$D$3)/1000</f>
        <v>#VALUE!</v>
      </c>
      <c r="V57" s="172" t="e">
        <f>_xll.LVCELL($D$1,V$3,$C57,$D$2,$C$4,$C$5,$C$6,$C$7,$C$8,$D$3)/1000</f>
        <v>#VALUE!</v>
      </c>
      <c r="W57" s="172" t="e">
        <f>_xll.LVCELL($D$1,W$3,$C57,$D$2,$C$4,$C$5,$C$6,$C$7,$C$8,$D$3)/1000</f>
        <v>#VALUE!</v>
      </c>
      <c r="X57" s="172" t="e">
        <f>_xll.LVCELL($D$1,X$3,$C57,$D$2,$C$4,$C$5,$C$6,$C$7,$C$8,$D$3)/1000</f>
        <v>#VALUE!</v>
      </c>
      <c r="Y57" s="172" t="e">
        <f>_xll.LVCELL($D$1,Y$3,$C57,$D$2,$C$4,$C$5,$C$6,$C$7,$C$8,$D$3)/1000</f>
        <v>#VALUE!</v>
      </c>
      <c r="Z57" s="172" t="e">
        <f>_xll.LVCELL($D$1,Z$3,$C57,$D$2,$C$4,$C$5,$C$6,$C$7,$C$8,$D$3)/1000</f>
        <v>#VALUE!</v>
      </c>
      <c r="AA57" s="172" t="e">
        <f>_xll.LVCELL($D$1,AA$3,$C57,$D$2,$C$4,$C$5,$C$6,$C$7,$C$8,$D$3)/1000</f>
        <v>#VALUE!</v>
      </c>
      <c r="AB57" s="172" t="e">
        <f>_xll.LVCELL($D$1,AB$3,$C57,$D$2,$C$4,$C$5,$C$6,$C$7,$C$8,$D$3)/1000</f>
        <v>#VALUE!</v>
      </c>
      <c r="AC57" s="172" t="e">
        <f>_xll.LVCELL($D$1,AC$3,$C57,$D$2,$C$4,$C$5,$C$6,$C$7,$C$8,$D$3)/1000</f>
        <v>#VALUE!</v>
      </c>
      <c r="AD57" s="172" t="e">
        <f>_xll.LVCELL($D$1,AD$2,$C57,$D$2,$C$4,$C$5,$C$6,$C$7,$C$8,$D$3)/1000</f>
        <v>#VALUE!</v>
      </c>
      <c r="AE57" s="172" t="e">
        <f t="shared" si="0"/>
        <v>#VALUE!</v>
      </c>
      <c r="AF57" s="193"/>
      <c r="AG57" s="207" t="s">
        <v>2731</v>
      </c>
      <c r="AH57" s="61" t="e">
        <f t="shared" si="2"/>
        <v>#VALUE!</v>
      </c>
      <c r="AI57" s="64" t="s">
        <v>2752</v>
      </c>
      <c r="AJ57" s="64" t="s">
        <v>375</v>
      </c>
      <c r="AK57" s="259" t="s">
        <v>375</v>
      </c>
      <c r="AL57" s="192" t="s">
        <v>483</v>
      </c>
      <c r="AM57" s="172" t="e">
        <f>_xll.LVCELL($AK$1,AM$3,$AK57,$AL$2,$AK$4,$AK$5,$AK$6,$AK$7,$AK$8,$AL$3)/1000</f>
        <v>#VALUE!</v>
      </c>
      <c r="AN57" s="172" t="e">
        <f>_xll.LVCELL($AK$1,AN$3,$AK57,$AL$2,$AK$4,$AK$5,$AK$6,$AK$7,$AK$8,$AL$3)/1000</f>
        <v>#VALUE!</v>
      </c>
      <c r="AO57" s="172" t="e">
        <f>_xll.LVCELL($AK$1,AO$3,$AK57,$AL$2,$AK$4,$AK$5,$AK$6,$AK$7,$AK$8,$AL$3)/1000</f>
        <v>#VALUE!</v>
      </c>
      <c r="AP57" s="172" t="e">
        <f>_xll.LVCELL($AK$1,AP$3,$AK57,$AL$2,$AK$4,$AK$5,$AK$6,$AK$7,$AK$8,$AL$3)/1000</f>
        <v>#VALUE!</v>
      </c>
      <c r="AQ57" s="172" t="e">
        <f>_xll.LVCELL($AK$1,AQ$3,$AK57,$AL$2,$AK$4,$AK$5,$AK$6,$AK$7,$AK$8,$AL$3)/1000</f>
        <v>#VALUE!</v>
      </c>
      <c r="AR57" s="172" t="e">
        <f>_xll.LVCELL($AK$1,AR$3,$AK57,$AL$2,$AK$4,$AK$5,$AK$6,$AK$7,$AK$8,$AL$3)/1000</f>
        <v>#VALUE!</v>
      </c>
      <c r="AS57" s="172" t="e">
        <f>_xll.LVCELL($AK$1,AS$3,$AK57,$AL$2,$AK$4,$AK$5,$AK$6,$AK$7,$AK$8,$AL$3)/1000</f>
        <v>#VALUE!</v>
      </c>
      <c r="AT57" s="172" t="e">
        <f>_xll.LVCELL($AK$1,AT$3,$AK57,$AL$2,$AK$4,$AK$5,$AK$6,$AK$7,$AK$8,$AL$3)/1000</f>
        <v>#VALUE!</v>
      </c>
      <c r="AU57" s="172" t="e">
        <f>_xll.LVCELL($AK$1,AU$3,$AK57,$AL$2,$AK$4,$AK$5,$AK$6,$AK$7,$AK$8,$AL$3)/1000</f>
        <v>#VALUE!</v>
      </c>
      <c r="AV57" s="172" t="e">
        <f>_xll.LVCELL($AK$1,AV$3,$AK57,$AL$2,$AK$4,$AK$5,$AK$6,$AK$7,$AK$8,$AL$3)/1000</f>
        <v>#VALUE!</v>
      </c>
      <c r="AW57" s="172" t="e">
        <f>_xll.LVCELL($AK$1,AW$3,$AK57,$AL$2,$AK$4,$AK$5,$AK$6,$AK$7,$AK$8,$AL$3)/1000</f>
        <v>#VALUE!</v>
      </c>
      <c r="AX57" s="172" t="e">
        <f>_xll.LVCELL($AK$1,AX$3,$AK57,$AL$2,$AK$4,$AK$5,$AK$6,$AK$7,$AK$8,$AL$3)/1000</f>
        <v>#VALUE!</v>
      </c>
      <c r="AY57" s="172" t="e">
        <f>_xll.LVCELL($AK$1,AY$2,$AK57,$AL$2,$AK$4,$AK$5,$AK$6,$AK$7,$AK$8,$AL$3)/1000</f>
        <v>#VALUE!</v>
      </c>
      <c r="AZ57" s="172" t="e">
        <f>_xll.LVCELL($AK$1,AZ$3,$AK57,$AL$2,$AK$4,$AK$5,$AK$6,$AK$7,$AK$8,$AL$3)/1000</f>
        <v>#VALUE!</v>
      </c>
      <c r="BA57" s="172" t="e">
        <f>_xll.LVCELL($AK$1,BA$3,$AK57,$AL$2,$AK$4,$AK$5,$AK$6,$AK$7,$AK$8,$AL$3)/1000</f>
        <v>#VALUE!</v>
      </c>
      <c r="BB57" s="172" t="e">
        <f>_xll.LVCELL($AK$1,BB$3,$AK57,$AL$2,$AK$4,$AK$5,$AK$6,$AK$7,$AK$8,$AL$3)/1000</f>
        <v>#VALUE!</v>
      </c>
      <c r="BC57" s="172" t="e">
        <f>_xll.LVCELL($AK$1,BC$3,$AK57,$AL$2,$AK$4,$AK$5,$AK$6,$AK$7,$AK$8,$AL$3)/1000</f>
        <v>#VALUE!</v>
      </c>
      <c r="BD57" s="172" t="e">
        <f>_xll.LVCELL($AK$1,BD$3,$AK57,$AL$2,$AK$4,$AK$5,$AK$6,$AK$7,$AK$8,$AL$3)/1000</f>
        <v>#VALUE!</v>
      </c>
      <c r="BE57" s="172" t="e">
        <f>_xll.LVCELL($AK$1,BE$3,$AK57,$AL$2,$AK$4,$AK$5,$AK$6,$AK$7,$AK$8,$AL$3)/1000</f>
        <v>#VALUE!</v>
      </c>
      <c r="BF57" s="172" t="e">
        <f>_xll.LVCELL($AK$1,BF$3,$AK57,$AL$2,$AK$4,$AK$5,$AK$6,$AK$7,$AK$8,$AL$3)/1000</f>
        <v>#VALUE!</v>
      </c>
      <c r="BG57" s="172" t="e">
        <f>_xll.LVCELL($AK$1,BG$3,$AK57,$AL$2,$AK$4,$AK$5,$AK$6,$AK$7,$AK$8,$AL$3)/1000</f>
        <v>#VALUE!</v>
      </c>
      <c r="BH57" s="172" t="e">
        <f>_xll.LVCELL($AK$1,BH$3,$AK57,$AL$2,$AK$4,$AK$5,$AK$6,$AK$7,$AK$8,$AL$3)/1000</f>
        <v>#VALUE!</v>
      </c>
      <c r="BI57" s="172" t="e">
        <f>_xll.LVCELL($AK$1,BI$3,$AK57,$AL$2,$AK$4,$AK$5,$AK$6,$AK$7,$AK$8,$AL$3)/1000</f>
        <v>#VALUE!</v>
      </c>
      <c r="BJ57" s="172" t="e">
        <f>_xll.LVCELL($AK$1,BJ$3,$AK57,$AL$2,$AK$4,$AK$5,$AK$6,$AK$7,$AK$8,$AL$3)/1000</f>
        <v>#VALUE!</v>
      </c>
      <c r="BK57" s="172" t="e">
        <f>_xll.LVCELL($AK$1,BK$3,$AK57,$AL$2,$AK$4,$AK$5,$AK$6,$AK$7,$AK$8,$AL$3)/1000</f>
        <v>#VALUE!</v>
      </c>
      <c r="BL57" s="172" t="e">
        <f>_xll.LVCELL($AK$1,BL$2,$AK57,$AL$2,$AK$4,$AK$5,$AK$6,$AK$7,$AK$8,$AL$3)/1000</f>
        <v>#VALUE!</v>
      </c>
      <c r="BM57" s="263" t="e">
        <f t="shared" si="3"/>
        <v>#VALUE!</v>
      </c>
      <c r="BN57" s="217" t="e">
        <f t="shared" si="4"/>
        <v>#VALUE!</v>
      </c>
      <c r="BO57" s="218" t="e">
        <f t="shared" si="4"/>
        <v>#VALUE!</v>
      </c>
      <c r="BP57" s="193" t="e">
        <f t="shared" si="5"/>
        <v>#VALUE!</v>
      </c>
      <c r="BQ57" s="172" t="s">
        <v>844</v>
      </c>
      <c r="BS57" s="198">
        <f t="shared" si="6"/>
        <v>0</v>
      </c>
      <c r="BT57" s="198">
        <f t="shared" si="7"/>
        <v>0</v>
      </c>
      <c r="BU57" s="198">
        <f t="shared" si="8"/>
        <v>0</v>
      </c>
      <c r="BV57" s="199" t="str">
        <f t="shared" si="9"/>
        <v>N/A</v>
      </c>
      <c r="BX57" s="200" t="e">
        <f t="shared" si="10"/>
        <v>#VALUE!</v>
      </c>
      <c r="BY57" s="200" t="e">
        <f t="shared" si="11"/>
        <v>#VALUE!</v>
      </c>
      <c r="BZ57" s="200" t="e">
        <f t="shared" si="12"/>
        <v>#VALUE!</v>
      </c>
    </row>
    <row r="58" spans="2:78">
      <c r="B58" s="64" t="s">
        <v>380</v>
      </c>
      <c r="C58" s="64" t="s">
        <v>380</v>
      </c>
      <c r="D58" s="192" t="s">
        <v>484</v>
      </c>
      <c r="E58" s="172" t="e">
        <f>_xll.LVCELL($D$1,E$3,$C58,$D$2,$C$4,$C$5,$C$6,$C$7,$C$8,$D$3)/1000</f>
        <v>#VALUE!</v>
      </c>
      <c r="F58" s="172" t="e">
        <f>_xll.LVCELL($D$1,F$3,$C58,$D$2,$C$4,$C$5,$C$6,$C$7,$C$8,$D$3)/1000</f>
        <v>#VALUE!</v>
      </c>
      <c r="G58" s="172" t="e">
        <f>_xll.LVCELL($D$1,G$3,$C58,$D$2,$C$4,$C$5,$C$6,$C$7,$C$8,$D$3)/1000</f>
        <v>#VALUE!</v>
      </c>
      <c r="H58" s="172" t="e">
        <f>_xll.LVCELL($D$1,H$3,$C58,$D$2,$C$4,$C$5,$C$6,$C$7,$C$8,$D$3)/1000</f>
        <v>#VALUE!</v>
      </c>
      <c r="I58" s="172" t="e">
        <f>_xll.LVCELL($D$1,I$3,$C58,$D$2,$C$4,$C$5,$C$6,$C$7,$C$8,$D$3)/1000</f>
        <v>#VALUE!</v>
      </c>
      <c r="J58" s="172" t="e">
        <f>_xll.LVCELL($D$1,J$3,$C58,$D$2,$C$4,$C$5,$C$6,$C$7,$C$8,$D$3)/1000</f>
        <v>#VALUE!</v>
      </c>
      <c r="K58" s="172" t="e">
        <f>_xll.LVCELL($D$1,K$3,$C58,$D$2,$C$4,$C$5,$C$6,$C$7,$C$8,$D$3)/1000</f>
        <v>#VALUE!</v>
      </c>
      <c r="L58" s="172" t="e">
        <f>_xll.LVCELL($D$1,L$3,$C58,$D$2,$C$4,$C$5,$C$6,$C$7,$C$8,$D$3)/1000</f>
        <v>#VALUE!</v>
      </c>
      <c r="M58" s="172" t="e">
        <f>_xll.LVCELL($D$1,M$3,$C58,$D$2,$C$4,$C$5,$C$6,$C$7,$C$8,$D$3)/1000</f>
        <v>#VALUE!</v>
      </c>
      <c r="N58" s="172" t="e">
        <f>_xll.LVCELL($D$1,N$3,$C58,$D$2,$C$4,$C$5,$C$6,$C$7,$C$8,$D$3)/1000</f>
        <v>#VALUE!</v>
      </c>
      <c r="O58" s="172" t="e">
        <f>_xll.LVCELL($D$1,O$3,$C58,$D$2,$C$4,$C$5,$C$6,$C$7,$C$8,$D$3)/1000</f>
        <v>#VALUE!</v>
      </c>
      <c r="P58" s="172" t="e">
        <f>_xll.LVCELL($D$1,P$3,$C58,$D$2,$C$4,$C$5,$C$6,$C$7,$C$8,$D$3)/1000</f>
        <v>#VALUE!</v>
      </c>
      <c r="Q58" s="172" t="e">
        <f>_xll.LVCELL($D$1,Q$2,$C58,$D$2,$C$4,$C$5,$C$6,$C$7,$C$8,$D$3)/1000</f>
        <v>#VALUE!</v>
      </c>
      <c r="R58" s="172" t="e">
        <f>_xll.LVCELL($D$1,R$3,$C58,$D$2,$C$4,$C$5,$C$6,$C$7,$C$8,$D$3)/1000</f>
        <v>#VALUE!</v>
      </c>
      <c r="S58" s="172" t="e">
        <f>_xll.LVCELL($D$1,S$3,$C58,$D$2,$C$4,$C$5,$C$6,$C$7,$C$8,$D$3)/1000</f>
        <v>#VALUE!</v>
      </c>
      <c r="T58" s="172" t="e">
        <f>_xll.LVCELL($D$1,T$3,$C58,$D$2,$C$4,$C$5,$C$6,$C$7,$C$8,$D$3)/1000</f>
        <v>#VALUE!</v>
      </c>
      <c r="U58" s="172" t="e">
        <f>_xll.LVCELL($D$1,U$3,$C58,$D$2,$C$4,$C$5,$C$6,$C$7,$C$8,$D$3)/1000</f>
        <v>#VALUE!</v>
      </c>
      <c r="V58" s="172" t="e">
        <f>_xll.LVCELL($D$1,V$3,$C58,$D$2,$C$4,$C$5,$C$6,$C$7,$C$8,$D$3)/1000</f>
        <v>#VALUE!</v>
      </c>
      <c r="W58" s="172" t="e">
        <f>_xll.LVCELL($D$1,W$3,$C58,$D$2,$C$4,$C$5,$C$6,$C$7,$C$8,$D$3)/1000</f>
        <v>#VALUE!</v>
      </c>
      <c r="X58" s="172" t="e">
        <f>_xll.LVCELL($D$1,X$3,$C58,$D$2,$C$4,$C$5,$C$6,$C$7,$C$8,$D$3)/1000</f>
        <v>#VALUE!</v>
      </c>
      <c r="Y58" s="172" t="e">
        <f>_xll.LVCELL($D$1,Y$3,$C58,$D$2,$C$4,$C$5,$C$6,$C$7,$C$8,$D$3)/1000</f>
        <v>#VALUE!</v>
      </c>
      <c r="Z58" s="172" t="e">
        <f>_xll.LVCELL($D$1,Z$3,$C58,$D$2,$C$4,$C$5,$C$6,$C$7,$C$8,$D$3)/1000</f>
        <v>#VALUE!</v>
      </c>
      <c r="AA58" s="172" t="e">
        <f>_xll.LVCELL($D$1,AA$3,$C58,$D$2,$C$4,$C$5,$C$6,$C$7,$C$8,$D$3)/1000</f>
        <v>#VALUE!</v>
      </c>
      <c r="AB58" s="172" t="e">
        <f>_xll.LVCELL($D$1,AB$3,$C58,$D$2,$C$4,$C$5,$C$6,$C$7,$C$8,$D$3)/1000</f>
        <v>#VALUE!</v>
      </c>
      <c r="AC58" s="172" t="e">
        <f>_xll.LVCELL($D$1,AC$3,$C58,$D$2,$C$4,$C$5,$C$6,$C$7,$C$8,$D$3)/1000</f>
        <v>#VALUE!</v>
      </c>
      <c r="AD58" s="172" t="e">
        <f>_xll.LVCELL($D$1,AD$2,$C58,$D$2,$C$4,$C$5,$C$6,$C$7,$C$8,$D$3)/1000</f>
        <v>#VALUE!</v>
      </c>
      <c r="AE58" s="172" t="e">
        <f t="shared" si="0"/>
        <v>#VALUE!</v>
      </c>
      <c r="AF58" s="193"/>
      <c r="AG58" s="207" t="s">
        <v>2731</v>
      </c>
      <c r="AH58" s="61" t="e">
        <f t="shared" si="2"/>
        <v>#VALUE!</v>
      </c>
      <c r="AI58" s="64" t="s">
        <v>2752</v>
      </c>
      <c r="AJ58" s="64" t="s">
        <v>380</v>
      </c>
      <c r="AK58" s="259" t="s">
        <v>380</v>
      </c>
      <c r="AL58" s="192" t="s">
        <v>484</v>
      </c>
      <c r="AM58" s="172" t="e">
        <f>_xll.LVCELL($AK$1,AM$3,$AK58,$AL$2,$AK$4,$AK$5,$AK$6,$AK$7,$AK$8,$AL$3)/1000</f>
        <v>#VALUE!</v>
      </c>
      <c r="AN58" s="172" t="e">
        <f>_xll.LVCELL($AK$1,AN$3,$AK58,$AL$2,$AK$4,$AK$5,$AK$6,$AK$7,$AK$8,$AL$3)/1000</f>
        <v>#VALUE!</v>
      </c>
      <c r="AO58" s="172" t="e">
        <f>_xll.LVCELL($AK$1,AO$3,$AK58,$AL$2,$AK$4,$AK$5,$AK$6,$AK$7,$AK$8,$AL$3)/1000</f>
        <v>#VALUE!</v>
      </c>
      <c r="AP58" s="172" t="e">
        <f>_xll.LVCELL($AK$1,AP$3,$AK58,$AL$2,$AK$4,$AK$5,$AK$6,$AK$7,$AK$8,$AL$3)/1000</f>
        <v>#VALUE!</v>
      </c>
      <c r="AQ58" s="172" t="e">
        <f>_xll.LVCELL($AK$1,AQ$3,$AK58,$AL$2,$AK$4,$AK$5,$AK$6,$AK$7,$AK$8,$AL$3)/1000</f>
        <v>#VALUE!</v>
      </c>
      <c r="AR58" s="172" t="e">
        <f>_xll.LVCELL($AK$1,AR$3,$AK58,$AL$2,$AK$4,$AK$5,$AK$6,$AK$7,$AK$8,$AL$3)/1000</f>
        <v>#VALUE!</v>
      </c>
      <c r="AS58" s="172" t="e">
        <f>_xll.LVCELL($AK$1,AS$3,$AK58,$AL$2,$AK$4,$AK$5,$AK$6,$AK$7,$AK$8,$AL$3)/1000</f>
        <v>#VALUE!</v>
      </c>
      <c r="AT58" s="172" t="e">
        <f>_xll.LVCELL($AK$1,AT$3,$AK58,$AL$2,$AK$4,$AK$5,$AK$6,$AK$7,$AK$8,$AL$3)/1000</f>
        <v>#VALUE!</v>
      </c>
      <c r="AU58" s="172" t="e">
        <f>_xll.LVCELL($AK$1,AU$3,$AK58,$AL$2,$AK$4,$AK$5,$AK$6,$AK$7,$AK$8,$AL$3)/1000</f>
        <v>#VALUE!</v>
      </c>
      <c r="AV58" s="172" t="e">
        <f>_xll.LVCELL($AK$1,AV$3,$AK58,$AL$2,$AK$4,$AK$5,$AK$6,$AK$7,$AK$8,$AL$3)/1000</f>
        <v>#VALUE!</v>
      </c>
      <c r="AW58" s="172" t="e">
        <f>_xll.LVCELL($AK$1,AW$3,$AK58,$AL$2,$AK$4,$AK$5,$AK$6,$AK$7,$AK$8,$AL$3)/1000</f>
        <v>#VALUE!</v>
      </c>
      <c r="AX58" s="172" t="e">
        <f>_xll.LVCELL($AK$1,AX$3,$AK58,$AL$2,$AK$4,$AK$5,$AK$6,$AK$7,$AK$8,$AL$3)/1000</f>
        <v>#VALUE!</v>
      </c>
      <c r="AY58" s="172" t="e">
        <f>_xll.LVCELL($AK$1,AY$2,$AK58,$AL$2,$AK$4,$AK$5,$AK$6,$AK$7,$AK$8,$AL$3)/1000</f>
        <v>#VALUE!</v>
      </c>
      <c r="AZ58" s="172" t="e">
        <f>_xll.LVCELL($AK$1,AZ$3,$AK58,$AL$2,$AK$4,$AK$5,$AK$6,$AK$7,$AK$8,$AL$3)/1000</f>
        <v>#VALUE!</v>
      </c>
      <c r="BA58" s="172" t="e">
        <f>_xll.LVCELL($AK$1,BA$3,$AK58,$AL$2,$AK$4,$AK$5,$AK$6,$AK$7,$AK$8,$AL$3)/1000</f>
        <v>#VALUE!</v>
      </c>
      <c r="BB58" s="172" t="e">
        <f>_xll.LVCELL($AK$1,BB$3,$AK58,$AL$2,$AK$4,$AK$5,$AK$6,$AK$7,$AK$8,$AL$3)/1000</f>
        <v>#VALUE!</v>
      </c>
      <c r="BC58" s="172" t="e">
        <f>_xll.LVCELL($AK$1,BC$3,$AK58,$AL$2,$AK$4,$AK$5,$AK$6,$AK$7,$AK$8,$AL$3)/1000</f>
        <v>#VALUE!</v>
      </c>
      <c r="BD58" s="172" t="e">
        <f>_xll.LVCELL($AK$1,BD$3,$AK58,$AL$2,$AK$4,$AK$5,$AK$6,$AK$7,$AK$8,$AL$3)/1000</f>
        <v>#VALUE!</v>
      </c>
      <c r="BE58" s="172" t="e">
        <f>_xll.LVCELL($AK$1,BE$3,$AK58,$AL$2,$AK$4,$AK$5,$AK$6,$AK$7,$AK$8,$AL$3)/1000</f>
        <v>#VALUE!</v>
      </c>
      <c r="BF58" s="172" t="e">
        <f>_xll.LVCELL($AK$1,BF$3,$AK58,$AL$2,$AK$4,$AK$5,$AK$6,$AK$7,$AK$8,$AL$3)/1000</f>
        <v>#VALUE!</v>
      </c>
      <c r="BG58" s="172" t="e">
        <f>_xll.LVCELL($AK$1,BG$3,$AK58,$AL$2,$AK$4,$AK$5,$AK$6,$AK$7,$AK$8,$AL$3)/1000</f>
        <v>#VALUE!</v>
      </c>
      <c r="BH58" s="172" t="e">
        <f>_xll.LVCELL($AK$1,BH$3,$AK58,$AL$2,$AK$4,$AK$5,$AK$6,$AK$7,$AK$8,$AL$3)/1000</f>
        <v>#VALUE!</v>
      </c>
      <c r="BI58" s="172" t="e">
        <f>_xll.LVCELL($AK$1,BI$3,$AK58,$AL$2,$AK$4,$AK$5,$AK$6,$AK$7,$AK$8,$AL$3)/1000</f>
        <v>#VALUE!</v>
      </c>
      <c r="BJ58" s="172" t="e">
        <f>_xll.LVCELL($AK$1,BJ$3,$AK58,$AL$2,$AK$4,$AK$5,$AK$6,$AK$7,$AK$8,$AL$3)/1000</f>
        <v>#VALUE!</v>
      </c>
      <c r="BK58" s="172" t="e">
        <f>_xll.LVCELL($AK$1,BK$3,$AK58,$AL$2,$AK$4,$AK$5,$AK$6,$AK$7,$AK$8,$AL$3)/1000</f>
        <v>#VALUE!</v>
      </c>
      <c r="BL58" s="172" t="e">
        <f>_xll.LVCELL($AK$1,BL$2,$AK58,$AL$2,$AK$4,$AK$5,$AK$6,$AK$7,$AK$8,$AL$3)/1000</f>
        <v>#VALUE!</v>
      </c>
      <c r="BM58" s="263" t="e">
        <f t="shared" si="3"/>
        <v>#VALUE!</v>
      </c>
      <c r="BN58" s="217" t="e">
        <f t="shared" si="4"/>
        <v>#VALUE!</v>
      </c>
      <c r="BO58" s="218" t="e">
        <f t="shared" si="4"/>
        <v>#VALUE!</v>
      </c>
      <c r="BP58" s="193" t="e">
        <f t="shared" si="5"/>
        <v>#VALUE!</v>
      </c>
      <c r="BQ58" s="172" t="s">
        <v>844</v>
      </c>
      <c r="BS58" s="198">
        <f t="shared" si="6"/>
        <v>0</v>
      </c>
      <c r="BT58" s="198">
        <f t="shared" si="7"/>
        <v>0</v>
      </c>
      <c r="BU58" s="198">
        <f t="shared" si="8"/>
        <v>0</v>
      </c>
      <c r="BV58" s="199" t="str">
        <f t="shared" si="9"/>
        <v>N/A</v>
      </c>
      <c r="BX58" s="200" t="e">
        <f t="shared" si="10"/>
        <v>#VALUE!</v>
      </c>
      <c r="BY58" s="200" t="e">
        <f t="shared" si="11"/>
        <v>#VALUE!</v>
      </c>
      <c r="BZ58" s="200" t="e">
        <f t="shared" si="12"/>
        <v>#VALUE!</v>
      </c>
    </row>
    <row r="59" spans="2:78">
      <c r="B59" s="64" t="s">
        <v>376</v>
      </c>
      <c r="C59" s="64" t="s">
        <v>376</v>
      </c>
      <c r="D59" s="192" t="s">
        <v>485</v>
      </c>
      <c r="E59" s="172" t="e">
        <f>_xll.LVCELL($D$1,E$3,$C59,$D$2,$C$4,$C$5,$C$6,$C$7,$C$8,$D$3)/1000</f>
        <v>#VALUE!</v>
      </c>
      <c r="F59" s="172" t="e">
        <f>_xll.LVCELL($D$1,F$3,$C59,$D$2,$C$4,$C$5,$C$6,$C$7,$C$8,$D$3)/1000</f>
        <v>#VALUE!</v>
      </c>
      <c r="G59" s="172" t="e">
        <f>_xll.LVCELL($D$1,G$3,$C59,$D$2,$C$4,$C$5,$C$6,$C$7,$C$8,$D$3)/1000</f>
        <v>#VALUE!</v>
      </c>
      <c r="H59" s="172" t="e">
        <f>_xll.LVCELL($D$1,H$3,$C59,$D$2,$C$4,$C$5,$C$6,$C$7,$C$8,$D$3)/1000</f>
        <v>#VALUE!</v>
      </c>
      <c r="I59" s="172" t="e">
        <f>_xll.LVCELL($D$1,I$3,$C59,$D$2,$C$4,$C$5,$C$6,$C$7,$C$8,$D$3)/1000</f>
        <v>#VALUE!</v>
      </c>
      <c r="J59" s="172" t="e">
        <f>_xll.LVCELL($D$1,J$3,$C59,$D$2,$C$4,$C$5,$C$6,$C$7,$C$8,$D$3)/1000</f>
        <v>#VALUE!</v>
      </c>
      <c r="K59" s="172" t="e">
        <f>_xll.LVCELL($D$1,K$3,$C59,$D$2,$C$4,$C$5,$C$6,$C$7,$C$8,$D$3)/1000</f>
        <v>#VALUE!</v>
      </c>
      <c r="L59" s="172" t="e">
        <f>_xll.LVCELL($D$1,L$3,$C59,$D$2,$C$4,$C$5,$C$6,$C$7,$C$8,$D$3)/1000</f>
        <v>#VALUE!</v>
      </c>
      <c r="M59" s="172" t="e">
        <f>_xll.LVCELL($D$1,M$3,$C59,$D$2,$C$4,$C$5,$C$6,$C$7,$C$8,$D$3)/1000</f>
        <v>#VALUE!</v>
      </c>
      <c r="N59" s="172" t="e">
        <f>_xll.LVCELL($D$1,N$3,$C59,$D$2,$C$4,$C$5,$C$6,$C$7,$C$8,$D$3)/1000</f>
        <v>#VALUE!</v>
      </c>
      <c r="O59" s="172" t="e">
        <f>_xll.LVCELL($D$1,O$3,$C59,$D$2,$C$4,$C$5,$C$6,$C$7,$C$8,$D$3)/1000</f>
        <v>#VALUE!</v>
      </c>
      <c r="P59" s="172" t="e">
        <f>_xll.LVCELL($D$1,P$3,$C59,$D$2,$C$4,$C$5,$C$6,$C$7,$C$8,$D$3)/1000</f>
        <v>#VALUE!</v>
      </c>
      <c r="Q59" s="172" t="e">
        <f>_xll.LVCELL($D$1,Q$2,$C59,$D$2,$C$4,$C$5,$C$6,$C$7,$C$8,$D$3)/1000</f>
        <v>#VALUE!</v>
      </c>
      <c r="R59" s="172" t="e">
        <f>_xll.LVCELL($D$1,R$3,$C59,$D$2,$C$4,$C$5,$C$6,$C$7,$C$8,$D$3)/1000</f>
        <v>#VALUE!</v>
      </c>
      <c r="S59" s="172" t="e">
        <f>_xll.LVCELL($D$1,S$3,$C59,$D$2,$C$4,$C$5,$C$6,$C$7,$C$8,$D$3)/1000</f>
        <v>#VALUE!</v>
      </c>
      <c r="T59" s="172" t="e">
        <f>_xll.LVCELL($D$1,T$3,$C59,$D$2,$C$4,$C$5,$C$6,$C$7,$C$8,$D$3)/1000</f>
        <v>#VALUE!</v>
      </c>
      <c r="U59" s="172" t="e">
        <f>_xll.LVCELL($D$1,U$3,$C59,$D$2,$C$4,$C$5,$C$6,$C$7,$C$8,$D$3)/1000</f>
        <v>#VALUE!</v>
      </c>
      <c r="V59" s="172" t="e">
        <f>_xll.LVCELL($D$1,V$3,$C59,$D$2,$C$4,$C$5,$C$6,$C$7,$C$8,$D$3)/1000</f>
        <v>#VALUE!</v>
      </c>
      <c r="W59" s="172" t="e">
        <f>_xll.LVCELL($D$1,W$3,$C59,$D$2,$C$4,$C$5,$C$6,$C$7,$C$8,$D$3)/1000</f>
        <v>#VALUE!</v>
      </c>
      <c r="X59" s="172" t="e">
        <f>_xll.LVCELL($D$1,X$3,$C59,$D$2,$C$4,$C$5,$C$6,$C$7,$C$8,$D$3)/1000</f>
        <v>#VALUE!</v>
      </c>
      <c r="Y59" s="172" t="e">
        <f>_xll.LVCELL($D$1,Y$3,$C59,$D$2,$C$4,$C$5,$C$6,$C$7,$C$8,$D$3)/1000</f>
        <v>#VALUE!</v>
      </c>
      <c r="Z59" s="172" t="e">
        <f>_xll.LVCELL($D$1,Z$3,$C59,$D$2,$C$4,$C$5,$C$6,$C$7,$C$8,$D$3)/1000</f>
        <v>#VALUE!</v>
      </c>
      <c r="AA59" s="172" t="e">
        <f>_xll.LVCELL($D$1,AA$3,$C59,$D$2,$C$4,$C$5,$C$6,$C$7,$C$8,$D$3)/1000</f>
        <v>#VALUE!</v>
      </c>
      <c r="AB59" s="172" t="e">
        <f>_xll.LVCELL($D$1,AB$3,$C59,$D$2,$C$4,$C$5,$C$6,$C$7,$C$8,$D$3)/1000</f>
        <v>#VALUE!</v>
      </c>
      <c r="AC59" s="172" t="e">
        <f>_xll.LVCELL($D$1,AC$3,$C59,$D$2,$C$4,$C$5,$C$6,$C$7,$C$8,$D$3)/1000</f>
        <v>#VALUE!</v>
      </c>
      <c r="AD59" s="172" t="e">
        <f>_xll.LVCELL($D$1,AD$2,$C59,$D$2,$C$4,$C$5,$C$6,$C$7,$C$8,$D$3)/1000</f>
        <v>#VALUE!</v>
      </c>
      <c r="AE59" s="172" t="e">
        <f t="shared" si="0"/>
        <v>#VALUE!</v>
      </c>
      <c r="AF59" s="193"/>
      <c r="AG59" s="207" t="s">
        <v>2731</v>
      </c>
      <c r="AH59" s="61" t="e">
        <f t="shared" si="2"/>
        <v>#VALUE!</v>
      </c>
      <c r="AI59" s="64" t="s">
        <v>2752</v>
      </c>
      <c r="AJ59" s="64" t="s">
        <v>376</v>
      </c>
      <c r="AK59" s="259" t="s">
        <v>376</v>
      </c>
      <c r="AL59" s="192" t="s">
        <v>485</v>
      </c>
      <c r="AM59" s="172" t="e">
        <f>_xll.LVCELL($AK$1,AM$3,$AK59,$AL$2,$AK$4,$AK$5,$AK$6,$AK$7,$AK$8,$AL$3)/1000</f>
        <v>#VALUE!</v>
      </c>
      <c r="AN59" s="172" t="e">
        <f>_xll.LVCELL($AK$1,AN$3,$AK59,$AL$2,$AK$4,$AK$5,$AK$6,$AK$7,$AK$8,$AL$3)/1000</f>
        <v>#VALUE!</v>
      </c>
      <c r="AO59" s="172" t="e">
        <f>_xll.LVCELL($AK$1,AO$3,$AK59,$AL$2,$AK$4,$AK$5,$AK$6,$AK$7,$AK$8,$AL$3)/1000</f>
        <v>#VALUE!</v>
      </c>
      <c r="AP59" s="172" t="e">
        <f>_xll.LVCELL($AK$1,AP$3,$AK59,$AL$2,$AK$4,$AK$5,$AK$6,$AK$7,$AK$8,$AL$3)/1000</f>
        <v>#VALUE!</v>
      </c>
      <c r="AQ59" s="172" t="e">
        <f>_xll.LVCELL($AK$1,AQ$3,$AK59,$AL$2,$AK$4,$AK$5,$AK$6,$AK$7,$AK$8,$AL$3)/1000</f>
        <v>#VALUE!</v>
      </c>
      <c r="AR59" s="172" t="e">
        <f>_xll.LVCELL($AK$1,AR$3,$AK59,$AL$2,$AK$4,$AK$5,$AK$6,$AK$7,$AK$8,$AL$3)/1000</f>
        <v>#VALUE!</v>
      </c>
      <c r="AS59" s="172" t="e">
        <f>_xll.LVCELL($AK$1,AS$3,$AK59,$AL$2,$AK$4,$AK$5,$AK$6,$AK$7,$AK$8,$AL$3)/1000</f>
        <v>#VALUE!</v>
      </c>
      <c r="AT59" s="172" t="e">
        <f>_xll.LVCELL($AK$1,AT$3,$AK59,$AL$2,$AK$4,$AK$5,$AK$6,$AK$7,$AK$8,$AL$3)/1000</f>
        <v>#VALUE!</v>
      </c>
      <c r="AU59" s="172" t="e">
        <f>_xll.LVCELL($AK$1,AU$3,$AK59,$AL$2,$AK$4,$AK$5,$AK$6,$AK$7,$AK$8,$AL$3)/1000</f>
        <v>#VALUE!</v>
      </c>
      <c r="AV59" s="172" t="e">
        <f>_xll.LVCELL($AK$1,AV$3,$AK59,$AL$2,$AK$4,$AK$5,$AK$6,$AK$7,$AK$8,$AL$3)/1000</f>
        <v>#VALUE!</v>
      </c>
      <c r="AW59" s="172" t="e">
        <f>_xll.LVCELL($AK$1,AW$3,$AK59,$AL$2,$AK$4,$AK$5,$AK$6,$AK$7,$AK$8,$AL$3)/1000</f>
        <v>#VALUE!</v>
      </c>
      <c r="AX59" s="172" t="e">
        <f>_xll.LVCELL($AK$1,AX$3,$AK59,$AL$2,$AK$4,$AK$5,$AK$6,$AK$7,$AK$8,$AL$3)/1000</f>
        <v>#VALUE!</v>
      </c>
      <c r="AY59" s="172" t="e">
        <f>_xll.LVCELL($AK$1,AY$2,$AK59,$AL$2,$AK$4,$AK$5,$AK$6,$AK$7,$AK$8,$AL$3)/1000</f>
        <v>#VALUE!</v>
      </c>
      <c r="AZ59" s="172" t="e">
        <f>_xll.LVCELL($AK$1,AZ$3,$AK59,$AL$2,$AK$4,$AK$5,$AK$6,$AK$7,$AK$8,$AL$3)/1000</f>
        <v>#VALUE!</v>
      </c>
      <c r="BA59" s="172" t="e">
        <f>_xll.LVCELL($AK$1,BA$3,$AK59,$AL$2,$AK$4,$AK$5,$AK$6,$AK$7,$AK$8,$AL$3)/1000</f>
        <v>#VALUE!</v>
      </c>
      <c r="BB59" s="172" t="e">
        <f>_xll.LVCELL($AK$1,BB$3,$AK59,$AL$2,$AK$4,$AK$5,$AK$6,$AK$7,$AK$8,$AL$3)/1000</f>
        <v>#VALUE!</v>
      </c>
      <c r="BC59" s="172" t="e">
        <f>_xll.LVCELL($AK$1,BC$3,$AK59,$AL$2,$AK$4,$AK$5,$AK$6,$AK$7,$AK$8,$AL$3)/1000</f>
        <v>#VALUE!</v>
      </c>
      <c r="BD59" s="172" t="e">
        <f>_xll.LVCELL($AK$1,BD$3,$AK59,$AL$2,$AK$4,$AK$5,$AK$6,$AK$7,$AK$8,$AL$3)/1000</f>
        <v>#VALUE!</v>
      </c>
      <c r="BE59" s="172" t="e">
        <f>_xll.LVCELL($AK$1,BE$3,$AK59,$AL$2,$AK$4,$AK$5,$AK$6,$AK$7,$AK$8,$AL$3)/1000</f>
        <v>#VALUE!</v>
      </c>
      <c r="BF59" s="172" t="e">
        <f>_xll.LVCELL($AK$1,BF$3,$AK59,$AL$2,$AK$4,$AK$5,$AK$6,$AK$7,$AK$8,$AL$3)/1000</f>
        <v>#VALUE!</v>
      </c>
      <c r="BG59" s="172" t="e">
        <f>_xll.LVCELL($AK$1,BG$3,$AK59,$AL$2,$AK$4,$AK$5,$AK$6,$AK$7,$AK$8,$AL$3)/1000</f>
        <v>#VALUE!</v>
      </c>
      <c r="BH59" s="172" t="e">
        <f>_xll.LVCELL($AK$1,BH$3,$AK59,$AL$2,$AK$4,$AK$5,$AK$6,$AK$7,$AK$8,$AL$3)/1000</f>
        <v>#VALUE!</v>
      </c>
      <c r="BI59" s="172" t="e">
        <f>_xll.LVCELL($AK$1,BI$3,$AK59,$AL$2,$AK$4,$AK$5,$AK$6,$AK$7,$AK$8,$AL$3)/1000</f>
        <v>#VALUE!</v>
      </c>
      <c r="BJ59" s="172" t="e">
        <f>_xll.LVCELL($AK$1,BJ$3,$AK59,$AL$2,$AK$4,$AK$5,$AK$6,$AK$7,$AK$8,$AL$3)/1000</f>
        <v>#VALUE!</v>
      </c>
      <c r="BK59" s="172" t="e">
        <f>_xll.LVCELL($AK$1,BK$3,$AK59,$AL$2,$AK$4,$AK$5,$AK$6,$AK$7,$AK$8,$AL$3)/1000</f>
        <v>#VALUE!</v>
      </c>
      <c r="BL59" s="172" t="e">
        <f>_xll.LVCELL($AK$1,BL$2,$AK59,$AL$2,$AK$4,$AK$5,$AK$6,$AK$7,$AK$8,$AL$3)/1000</f>
        <v>#VALUE!</v>
      </c>
      <c r="BM59" s="263" t="e">
        <f t="shared" si="3"/>
        <v>#VALUE!</v>
      </c>
      <c r="BN59" s="217" t="e">
        <f t="shared" si="4"/>
        <v>#VALUE!</v>
      </c>
      <c r="BO59" s="218" t="e">
        <f t="shared" si="4"/>
        <v>#VALUE!</v>
      </c>
      <c r="BP59" s="193" t="e">
        <f t="shared" si="5"/>
        <v>#VALUE!</v>
      </c>
      <c r="BQ59" s="172" t="s">
        <v>844</v>
      </c>
      <c r="BS59" s="198">
        <f t="shared" si="6"/>
        <v>0</v>
      </c>
      <c r="BT59" s="198">
        <f t="shared" si="7"/>
        <v>0</v>
      </c>
      <c r="BU59" s="198">
        <f t="shared" si="8"/>
        <v>0</v>
      </c>
      <c r="BV59" s="199" t="str">
        <f t="shared" si="9"/>
        <v>N/A</v>
      </c>
      <c r="BX59" s="200" t="e">
        <f t="shared" si="10"/>
        <v>#VALUE!</v>
      </c>
      <c r="BY59" s="200" t="e">
        <f t="shared" si="11"/>
        <v>#VALUE!</v>
      </c>
      <c r="BZ59" s="200" t="e">
        <f t="shared" si="12"/>
        <v>#VALUE!</v>
      </c>
    </row>
    <row r="60" spans="2:78">
      <c r="B60" s="64" t="s">
        <v>387</v>
      </c>
      <c r="C60" s="64" t="s">
        <v>387</v>
      </c>
      <c r="D60" s="192" t="s">
        <v>486</v>
      </c>
      <c r="E60" s="172" t="e">
        <f>_xll.LVCELL($D$1,E$3,$C60,$D$2,$C$4,$C$5,$C$6,$C$7,$C$8,$D$3)/1000</f>
        <v>#VALUE!</v>
      </c>
      <c r="F60" s="172" t="e">
        <f>_xll.LVCELL($D$1,F$3,$C60,$D$2,$C$4,$C$5,$C$6,$C$7,$C$8,$D$3)/1000</f>
        <v>#VALUE!</v>
      </c>
      <c r="G60" s="172" t="e">
        <f>_xll.LVCELL($D$1,G$3,$C60,$D$2,$C$4,$C$5,$C$6,$C$7,$C$8,$D$3)/1000</f>
        <v>#VALUE!</v>
      </c>
      <c r="H60" s="172" t="e">
        <f>_xll.LVCELL($D$1,H$3,$C60,$D$2,$C$4,$C$5,$C$6,$C$7,$C$8,$D$3)/1000</f>
        <v>#VALUE!</v>
      </c>
      <c r="I60" s="172" t="e">
        <f>_xll.LVCELL($D$1,I$3,$C60,$D$2,$C$4,$C$5,$C$6,$C$7,$C$8,$D$3)/1000</f>
        <v>#VALUE!</v>
      </c>
      <c r="J60" s="172" t="e">
        <f>_xll.LVCELL($D$1,J$3,$C60,$D$2,$C$4,$C$5,$C$6,$C$7,$C$8,$D$3)/1000</f>
        <v>#VALUE!</v>
      </c>
      <c r="K60" s="172" t="e">
        <f>_xll.LVCELL($D$1,K$3,$C60,$D$2,$C$4,$C$5,$C$6,$C$7,$C$8,$D$3)/1000</f>
        <v>#VALUE!</v>
      </c>
      <c r="L60" s="172" t="e">
        <f>_xll.LVCELL($D$1,L$3,$C60,$D$2,$C$4,$C$5,$C$6,$C$7,$C$8,$D$3)/1000</f>
        <v>#VALUE!</v>
      </c>
      <c r="M60" s="172" t="e">
        <f>_xll.LVCELL($D$1,M$3,$C60,$D$2,$C$4,$C$5,$C$6,$C$7,$C$8,$D$3)/1000</f>
        <v>#VALUE!</v>
      </c>
      <c r="N60" s="172" t="e">
        <f>_xll.LVCELL($D$1,N$3,$C60,$D$2,$C$4,$C$5,$C$6,$C$7,$C$8,$D$3)/1000</f>
        <v>#VALUE!</v>
      </c>
      <c r="O60" s="172" t="e">
        <f>_xll.LVCELL($D$1,O$3,$C60,$D$2,$C$4,$C$5,$C$6,$C$7,$C$8,$D$3)/1000</f>
        <v>#VALUE!</v>
      </c>
      <c r="P60" s="172" t="e">
        <f>_xll.LVCELL($D$1,P$3,$C60,$D$2,$C$4,$C$5,$C$6,$C$7,$C$8,$D$3)/1000</f>
        <v>#VALUE!</v>
      </c>
      <c r="Q60" s="172" t="e">
        <f>_xll.LVCELL($D$1,Q$2,$C60,$D$2,$C$4,$C$5,$C$6,$C$7,$C$8,$D$3)/1000</f>
        <v>#VALUE!</v>
      </c>
      <c r="R60" s="172" t="e">
        <f>_xll.LVCELL($D$1,R$3,$C60,$D$2,$C$4,$C$5,$C$6,$C$7,$C$8,$D$3)/1000</f>
        <v>#VALUE!</v>
      </c>
      <c r="S60" s="172" t="e">
        <f>_xll.LVCELL($D$1,S$3,$C60,$D$2,$C$4,$C$5,$C$6,$C$7,$C$8,$D$3)/1000</f>
        <v>#VALUE!</v>
      </c>
      <c r="T60" s="172" t="e">
        <f>_xll.LVCELL($D$1,T$3,$C60,$D$2,$C$4,$C$5,$C$6,$C$7,$C$8,$D$3)/1000</f>
        <v>#VALUE!</v>
      </c>
      <c r="U60" s="172" t="e">
        <f>_xll.LVCELL($D$1,U$3,$C60,$D$2,$C$4,$C$5,$C$6,$C$7,$C$8,$D$3)/1000</f>
        <v>#VALUE!</v>
      </c>
      <c r="V60" s="172" t="e">
        <f>_xll.LVCELL($D$1,V$3,$C60,$D$2,$C$4,$C$5,$C$6,$C$7,$C$8,$D$3)/1000</f>
        <v>#VALUE!</v>
      </c>
      <c r="W60" s="172" t="e">
        <f>_xll.LVCELL($D$1,W$3,$C60,$D$2,$C$4,$C$5,$C$6,$C$7,$C$8,$D$3)/1000</f>
        <v>#VALUE!</v>
      </c>
      <c r="X60" s="172" t="e">
        <f>_xll.LVCELL($D$1,X$3,$C60,$D$2,$C$4,$C$5,$C$6,$C$7,$C$8,$D$3)/1000</f>
        <v>#VALUE!</v>
      </c>
      <c r="Y60" s="172" t="e">
        <f>_xll.LVCELL($D$1,Y$3,$C60,$D$2,$C$4,$C$5,$C$6,$C$7,$C$8,$D$3)/1000</f>
        <v>#VALUE!</v>
      </c>
      <c r="Z60" s="172" t="e">
        <f>_xll.LVCELL($D$1,Z$3,$C60,$D$2,$C$4,$C$5,$C$6,$C$7,$C$8,$D$3)/1000</f>
        <v>#VALUE!</v>
      </c>
      <c r="AA60" s="172" t="e">
        <f>_xll.LVCELL($D$1,AA$3,$C60,$D$2,$C$4,$C$5,$C$6,$C$7,$C$8,$D$3)/1000</f>
        <v>#VALUE!</v>
      </c>
      <c r="AB60" s="172" t="e">
        <f>_xll.LVCELL($D$1,AB$3,$C60,$D$2,$C$4,$C$5,$C$6,$C$7,$C$8,$D$3)/1000</f>
        <v>#VALUE!</v>
      </c>
      <c r="AC60" s="172" t="e">
        <f>_xll.LVCELL($D$1,AC$3,$C60,$D$2,$C$4,$C$5,$C$6,$C$7,$C$8,$D$3)/1000</f>
        <v>#VALUE!</v>
      </c>
      <c r="AD60" s="172" t="e">
        <f>_xll.LVCELL($D$1,AD$2,$C60,$D$2,$C$4,$C$5,$C$6,$C$7,$C$8,$D$3)/1000</f>
        <v>#VALUE!</v>
      </c>
      <c r="AE60" s="172" t="e">
        <f t="shared" si="0"/>
        <v>#VALUE!</v>
      </c>
      <c r="AF60" s="193"/>
      <c r="AG60" s="207" t="s">
        <v>2731</v>
      </c>
      <c r="AH60" s="61" t="e">
        <f t="shared" si="2"/>
        <v>#VALUE!</v>
      </c>
      <c r="AI60" s="64" t="s">
        <v>2752</v>
      </c>
      <c r="AJ60" s="64" t="s">
        <v>387</v>
      </c>
      <c r="AK60" s="259" t="s">
        <v>387</v>
      </c>
      <c r="AL60" s="192" t="s">
        <v>486</v>
      </c>
      <c r="AM60" s="172" t="e">
        <f>_xll.LVCELL($AK$1,AM$3,$AK60,$AL$2,$AK$4,$AK$5,$AK$6,$AK$7,$AK$8,$AL$3)/1000</f>
        <v>#VALUE!</v>
      </c>
      <c r="AN60" s="172" t="e">
        <f>_xll.LVCELL($AK$1,AN$3,$AK60,$AL$2,$AK$4,$AK$5,$AK$6,$AK$7,$AK$8,$AL$3)/1000</f>
        <v>#VALUE!</v>
      </c>
      <c r="AO60" s="172" t="e">
        <f>_xll.LVCELL($AK$1,AO$3,$AK60,$AL$2,$AK$4,$AK$5,$AK$6,$AK$7,$AK$8,$AL$3)/1000</f>
        <v>#VALUE!</v>
      </c>
      <c r="AP60" s="172" t="e">
        <f>_xll.LVCELL($AK$1,AP$3,$AK60,$AL$2,$AK$4,$AK$5,$AK$6,$AK$7,$AK$8,$AL$3)/1000</f>
        <v>#VALUE!</v>
      </c>
      <c r="AQ60" s="172" t="e">
        <f>_xll.LVCELL($AK$1,AQ$3,$AK60,$AL$2,$AK$4,$AK$5,$AK$6,$AK$7,$AK$8,$AL$3)/1000</f>
        <v>#VALUE!</v>
      </c>
      <c r="AR60" s="172" t="e">
        <f>_xll.LVCELL($AK$1,AR$3,$AK60,$AL$2,$AK$4,$AK$5,$AK$6,$AK$7,$AK$8,$AL$3)/1000</f>
        <v>#VALUE!</v>
      </c>
      <c r="AS60" s="172" t="e">
        <f>_xll.LVCELL($AK$1,AS$3,$AK60,$AL$2,$AK$4,$AK$5,$AK$6,$AK$7,$AK$8,$AL$3)/1000</f>
        <v>#VALUE!</v>
      </c>
      <c r="AT60" s="172" t="e">
        <f>_xll.LVCELL($AK$1,AT$3,$AK60,$AL$2,$AK$4,$AK$5,$AK$6,$AK$7,$AK$8,$AL$3)/1000</f>
        <v>#VALUE!</v>
      </c>
      <c r="AU60" s="172" t="e">
        <f>_xll.LVCELL($AK$1,AU$3,$AK60,$AL$2,$AK$4,$AK$5,$AK$6,$AK$7,$AK$8,$AL$3)/1000</f>
        <v>#VALUE!</v>
      </c>
      <c r="AV60" s="172" t="e">
        <f>_xll.LVCELL($AK$1,AV$3,$AK60,$AL$2,$AK$4,$AK$5,$AK$6,$AK$7,$AK$8,$AL$3)/1000</f>
        <v>#VALUE!</v>
      </c>
      <c r="AW60" s="172" t="e">
        <f>_xll.LVCELL($AK$1,AW$3,$AK60,$AL$2,$AK$4,$AK$5,$AK$6,$AK$7,$AK$8,$AL$3)/1000</f>
        <v>#VALUE!</v>
      </c>
      <c r="AX60" s="172" t="e">
        <f>_xll.LVCELL($AK$1,AX$3,$AK60,$AL$2,$AK$4,$AK$5,$AK$6,$AK$7,$AK$8,$AL$3)/1000</f>
        <v>#VALUE!</v>
      </c>
      <c r="AY60" s="172" t="e">
        <f>_xll.LVCELL($AK$1,AY$2,$AK60,$AL$2,$AK$4,$AK$5,$AK$6,$AK$7,$AK$8,$AL$3)/1000</f>
        <v>#VALUE!</v>
      </c>
      <c r="AZ60" s="172" t="e">
        <f>_xll.LVCELL($AK$1,AZ$3,$AK60,$AL$2,$AK$4,$AK$5,$AK$6,$AK$7,$AK$8,$AL$3)/1000</f>
        <v>#VALUE!</v>
      </c>
      <c r="BA60" s="172" t="e">
        <f>_xll.LVCELL($AK$1,BA$3,$AK60,$AL$2,$AK$4,$AK$5,$AK$6,$AK$7,$AK$8,$AL$3)/1000</f>
        <v>#VALUE!</v>
      </c>
      <c r="BB60" s="172" t="e">
        <f>_xll.LVCELL($AK$1,BB$3,$AK60,$AL$2,$AK$4,$AK$5,$AK$6,$AK$7,$AK$8,$AL$3)/1000</f>
        <v>#VALUE!</v>
      </c>
      <c r="BC60" s="172" t="e">
        <f>_xll.LVCELL($AK$1,BC$3,$AK60,$AL$2,$AK$4,$AK$5,$AK$6,$AK$7,$AK$8,$AL$3)/1000</f>
        <v>#VALUE!</v>
      </c>
      <c r="BD60" s="172" t="e">
        <f>_xll.LVCELL($AK$1,BD$3,$AK60,$AL$2,$AK$4,$AK$5,$AK$6,$AK$7,$AK$8,$AL$3)/1000</f>
        <v>#VALUE!</v>
      </c>
      <c r="BE60" s="172" t="e">
        <f>_xll.LVCELL($AK$1,BE$3,$AK60,$AL$2,$AK$4,$AK$5,$AK$6,$AK$7,$AK$8,$AL$3)/1000</f>
        <v>#VALUE!</v>
      </c>
      <c r="BF60" s="172" t="e">
        <f>_xll.LVCELL($AK$1,BF$3,$AK60,$AL$2,$AK$4,$AK$5,$AK$6,$AK$7,$AK$8,$AL$3)/1000</f>
        <v>#VALUE!</v>
      </c>
      <c r="BG60" s="172" t="e">
        <f>_xll.LVCELL($AK$1,BG$3,$AK60,$AL$2,$AK$4,$AK$5,$AK$6,$AK$7,$AK$8,$AL$3)/1000</f>
        <v>#VALUE!</v>
      </c>
      <c r="BH60" s="172" t="e">
        <f>_xll.LVCELL($AK$1,BH$3,$AK60,$AL$2,$AK$4,$AK$5,$AK$6,$AK$7,$AK$8,$AL$3)/1000</f>
        <v>#VALUE!</v>
      </c>
      <c r="BI60" s="172" t="e">
        <f>_xll.LVCELL($AK$1,BI$3,$AK60,$AL$2,$AK$4,$AK$5,$AK$6,$AK$7,$AK$8,$AL$3)/1000</f>
        <v>#VALUE!</v>
      </c>
      <c r="BJ60" s="172" t="e">
        <f>_xll.LVCELL($AK$1,BJ$3,$AK60,$AL$2,$AK$4,$AK$5,$AK$6,$AK$7,$AK$8,$AL$3)/1000</f>
        <v>#VALUE!</v>
      </c>
      <c r="BK60" s="172" t="e">
        <f>_xll.LVCELL($AK$1,BK$3,$AK60,$AL$2,$AK$4,$AK$5,$AK$6,$AK$7,$AK$8,$AL$3)/1000</f>
        <v>#VALUE!</v>
      </c>
      <c r="BL60" s="172" t="e">
        <f>_xll.LVCELL($AK$1,BL$2,$AK60,$AL$2,$AK$4,$AK$5,$AK$6,$AK$7,$AK$8,$AL$3)/1000</f>
        <v>#VALUE!</v>
      </c>
      <c r="BM60" s="263" t="e">
        <f t="shared" si="3"/>
        <v>#VALUE!</v>
      </c>
      <c r="BN60" s="217" t="e">
        <f t="shared" si="4"/>
        <v>#VALUE!</v>
      </c>
      <c r="BO60" s="218" t="e">
        <f t="shared" si="4"/>
        <v>#VALUE!</v>
      </c>
      <c r="BP60" s="193" t="e">
        <f t="shared" si="5"/>
        <v>#VALUE!</v>
      </c>
      <c r="BQ60" s="172" t="s">
        <v>844</v>
      </c>
      <c r="BS60" s="198">
        <f t="shared" si="6"/>
        <v>0</v>
      </c>
      <c r="BT60" s="198">
        <f t="shared" si="7"/>
        <v>0</v>
      </c>
      <c r="BU60" s="198">
        <f t="shared" si="8"/>
        <v>0</v>
      </c>
      <c r="BV60" s="199" t="str">
        <f t="shared" si="9"/>
        <v>N/A</v>
      </c>
      <c r="BX60" s="200" t="e">
        <f t="shared" si="10"/>
        <v>#VALUE!</v>
      </c>
      <c r="BY60" s="200" t="e">
        <f t="shared" si="11"/>
        <v>#VALUE!</v>
      </c>
      <c r="BZ60" s="200" t="e">
        <f t="shared" si="12"/>
        <v>#VALUE!</v>
      </c>
    </row>
    <row r="61" spans="2:78">
      <c r="B61" s="64" t="s">
        <v>386</v>
      </c>
      <c r="C61" s="64" t="s">
        <v>386</v>
      </c>
      <c r="D61" s="192" t="s">
        <v>2638</v>
      </c>
      <c r="E61" s="172" t="e">
        <f>_xll.LVCELL($D$1,E$3,$C61,$D$2,$C$4,$C$5,$C$6,$C$7,$C$8,$D$3)/1000</f>
        <v>#VALUE!</v>
      </c>
      <c r="F61" s="172" t="e">
        <f>_xll.LVCELL($D$1,F$3,$C61,$D$2,$C$4,$C$5,$C$6,$C$7,$C$8,$D$3)/1000</f>
        <v>#VALUE!</v>
      </c>
      <c r="G61" s="172" t="e">
        <f>_xll.LVCELL($D$1,G$3,$C61,$D$2,$C$4,$C$5,$C$6,$C$7,$C$8,$D$3)/1000</f>
        <v>#VALUE!</v>
      </c>
      <c r="H61" s="172" t="e">
        <f>_xll.LVCELL($D$1,H$3,$C61,$D$2,$C$4,$C$5,$C$6,$C$7,$C$8,$D$3)/1000</f>
        <v>#VALUE!</v>
      </c>
      <c r="I61" s="172" t="e">
        <f>_xll.LVCELL($D$1,I$3,$C61,$D$2,$C$4,$C$5,$C$6,$C$7,$C$8,$D$3)/1000</f>
        <v>#VALUE!</v>
      </c>
      <c r="J61" s="172" t="e">
        <f>_xll.LVCELL($D$1,J$3,$C61,$D$2,$C$4,$C$5,$C$6,$C$7,$C$8,$D$3)/1000</f>
        <v>#VALUE!</v>
      </c>
      <c r="K61" s="172" t="e">
        <f>_xll.LVCELL($D$1,K$3,$C61,$D$2,$C$4,$C$5,$C$6,$C$7,$C$8,$D$3)/1000</f>
        <v>#VALUE!</v>
      </c>
      <c r="L61" s="172" t="e">
        <f>_xll.LVCELL($D$1,L$3,$C61,$D$2,$C$4,$C$5,$C$6,$C$7,$C$8,$D$3)/1000</f>
        <v>#VALUE!</v>
      </c>
      <c r="M61" s="172" t="e">
        <f>_xll.LVCELL($D$1,M$3,$C61,$D$2,$C$4,$C$5,$C$6,$C$7,$C$8,$D$3)/1000</f>
        <v>#VALUE!</v>
      </c>
      <c r="N61" s="172" t="e">
        <f>_xll.LVCELL($D$1,N$3,$C61,$D$2,$C$4,$C$5,$C$6,$C$7,$C$8,$D$3)/1000</f>
        <v>#VALUE!</v>
      </c>
      <c r="O61" s="172" t="e">
        <f>_xll.LVCELL($D$1,O$3,$C61,$D$2,$C$4,$C$5,$C$6,$C$7,$C$8,$D$3)/1000</f>
        <v>#VALUE!</v>
      </c>
      <c r="P61" s="172" t="e">
        <f>_xll.LVCELL($D$1,P$3,$C61,$D$2,$C$4,$C$5,$C$6,$C$7,$C$8,$D$3)/1000</f>
        <v>#VALUE!</v>
      </c>
      <c r="Q61" s="172" t="e">
        <f>_xll.LVCELL($D$1,Q$2,$C61,$D$2,$C$4,$C$5,$C$6,$C$7,$C$8,$D$3)/1000</f>
        <v>#VALUE!</v>
      </c>
      <c r="R61" s="172" t="e">
        <f>_xll.LVCELL($D$1,R$3,$C61,$D$2,$C$4,$C$5,$C$6,$C$7,$C$8,$D$3)/1000</f>
        <v>#VALUE!</v>
      </c>
      <c r="S61" s="172" t="e">
        <f>_xll.LVCELL($D$1,S$3,$C61,$D$2,$C$4,$C$5,$C$6,$C$7,$C$8,$D$3)/1000</f>
        <v>#VALUE!</v>
      </c>
      <c r="T61" s="172" t="e">
        <f>_xll.LVCELL($D$1,T$3,$C61,$D$2,$C$4,$C$5,$C$6,$C$7,$C$8,$D$3)/1000</f>
        <v>#VALUE!</v>
      </c>
      <c r="U61" s="172" t="e">
        <f>_xll.LVCELL($D$1,U$3,$C61,$D$2,$C$4,$C$5,$C$6,$C$7,$C$8,$D$3)/1000</f>
        <v>#VALUE!</v>
      </c>
      <c r="V61" s="172" t="e">
        <f>_xll.LVCELL($D$1,V$3,$C61,$D$2,$C$4,$C$5,$C$6,$C$7,$C$8,$D$3)/1000</f>
        <v>#VALUE!</v>
      </c>
      <c r="W61" s="172" t="e">
        <f>_xll.LVCELL($D$1,W$3,$C61,$D$2,$C$4,$C$5,$C$6,$C$7,$C$8,$D$3)/1000</f>
        <v>#VALUE!</v>
      </c>
      <c r="X61" s="172" t="e">
        <f>_xll.LVCELL($D$1,X$3,$C61,$D$2,$C$4,$C$5,$C$6,$C$7,$C$8,$D$3)/1000</f>
        <v>#VALUE!</v>
      </c>
      <c r="Y61" s="172" t="e">
        <f>_xll.LVCELL($D$1,Y$3,$C61,$D$2,$C$4,$C$5,$C$6,$C$7,$C$8,$D$3)/1000</f>
        <v>#VALUE!</v>
      </c>
      <c r="Z61" s="172" t="e">
        <f>_xll.LVCELL($D$1,Z$3,$C61,$D$2,$C$4,$C$5,$C$6,$C$7,$C$8,$D$3)/1000</f>
        <v>#VALUE!</v>
      </c>
      <c r="AA61" s="172" t="e">
        <f>_xll.LVCELL($D$1,AA$3,$C61,$D$2,$C$4,$C$5,$C$6,$C$7,$C$8,$D$3)/1000</f>
        <v>#VALUE!</v>
      </c>
      <c r="AB61" s="172" t="e">
        <f>_xll.LVCELL($D$1,AB$3,$C61,$D$2,$C$4,$C$5,$C$6,$C$7,$C$8,$D$3)/1000</f>
        <v>#VALUE!</v>
      </c>
      <c r="AC61" s="172" t="e">
        <f>_xll.LVCELL($D$1,AC$3,$C61,$D$2,$C$4,$C$5,$C$6,$C$7,$C$8,$D$3)/1000</f>
        <v>#VALUE!</v>
      </c>
      <c r="AD61" s="172" t="e">
        <f>_xll.LVCELL($D$1,AD$2,$C61,$D$2,$C$4,$C$5,$C$6,$C$7,$C$8,$D$3)/1000</f>
        <v>#VALUE!</v>
      </c>
      <c r="AE61" s="172" t="e">
        <f t="shared" si="0"/>
        <v>#VALUE!</v>
      </c>
      <c r="AF61" s="193"/>
      <c r="AG61" s="207" t="s">
        <v>2731</v>
      </c>
      <c r="AH61" s="61" t="e">
        <f t="shared" si="2"/>
        <v>#VALUE!</v>
      </c>
      <c r="AI61" s="64" t="s">
        <v>2752</v>
      </c>
      <c r="AJ61" s="64" t="s">
        <v>386</v>
      </c>
      <c r="AK61" s="259" t="s">
        <v>386</v>
      </c>
      <c r="AL61" s="192" t="s">
        <v>2638</v>
      </c>
      <c r="AM61" s="172" t="e">
        <f>_xll.LVCELL($AK$1,AM$3,$AK61,$AL$2,$AK$4,$AK$5,$AK$6,$AK$7,$AK$8,$AL$3)/1000</f>
        <v>#VALUE!</v>
      </c>
      <c r="AN61" s="172" t="e">
        <f>_xll.LVCELL($AK$1,AN$3,$AK61,$AL$2,$AK$4,$AK$5,$AK$6,$AK$7,$AK$8,$AL$3)/1000</f>
        <v>#VALUE!</v>
      </c>
      <c r="AO61" s="172" t="e">
        <f>_xll.LVCELL($AK$1,AO$3,$AK61,$AL$2,$AK$4,$AK$5,$AK$6,$AK$7,$AK$8,$AL$3)/1000</f>
        <v>#VALUE!</v>
      </c>
      <c r="AP61" s="172" t="e">
        <f>_xll.LVCELL($AK$1,AP$3,$AK61,$AL$2,$AK$4,$AK$5,$AK$6,$AK$7,$AK$8,$AL$3)/1000</f>
        <v>#VALUE!</v>
      </c>
      <c r="AQ61" s="172" t="e">
        <f>_xll.LVCELL($AK$1,AQ$3,$AK61,$AL$2,$AK$4,$AK$5,$AK$6,$AK$7,$AK$8,$AL$3)/1000</f>
        <v>#VALUE!</v>
      </c>
      <c r="AR61" s="172" t="e">
        <f>_xll.LVCELL($AK$1,AR$3,$AK61,$AL$2,$AK$4,$AK$5,$AK$6,$AK$7,$AK$8,$AL$3)/1000</f>
        <v>#VALUE!</v>
      </c>
      <c r="AS61" s="172" t="e">
        <f>_xll.LVCELL($AK$1,AS$3,$AK61,$AL$2,$AK$4,$AK$5,$AK$6,$AK$7,$AK$8,$AL$3)/1000</f>
        <v>#VALUE!</v>
      </c>
      <c r="AT61" s="172" t="e">
        <f>_xll.LVCELL($AK$1,AT$3,$AK61,$AL$2,$AK$4,$AK$5,$AK$6,$AK$7,$AK$8,$AL$3)/1000</f>
        <v>#VALUE!</v>
      </c>
      <c r="AU61" s="172" t="e">
        <f>_xll.LVCELL($AK$1,AU$3,$AK61,$AL$2,$AK$4,$AK$5,$AK$6,$AK$7,$AK$8,$AL$3)/1000</f>
        <v>#VALUE!</v>
      </c>
      <c r="AV61" s="172" t="e">
        <f>_xll.LVCELL($AK$1,AV$3,$AK61,$AL$2,$AK$4,$AK$5,$AK$6,$AK$7,$AK$8,$AL$3)/1000</f>
        <v>#VALUE!</v>
      </c>
      <c r="AW61" s="172" t="e">
        <f>_xll.LVCELL($AK$1,AW$3,$AK61,$AL$2,$AK$4,$AK$5,$AK$6,$AK$7,$AK$8,$AL$3)/1000</f>
        <v>#VALUE!</v>
      </c>
      <c r="AX61" s="172" t="e">
        <f>_xll.LVCELL($AK$1,AX$3,$AK61,$AL$2,$AK$4,$AK$5,$AK$6,$AK$7,$AK$8,$AL$3)/1000</f>
        <v>#VALUE!</v>
      </c>
      <c r="AY61" s="172" t="e">
        <f>_xll.LVCELL($AK$1,AY$2,$AK61,$AL$2,$AK$4,$AK$5,$AK$6,$AK$7,$AK$8,$AL$3)/1000</f>
        <v>#VALUE!</v>
      </c>
      <c r="AZ61" s="172" t="e">
        <f>_xll.LVCELL($AK$1,AZ$3,$AK61,$AL$2,$AK$4,$AK$5,$AK$6,$AK$7,$AK$8,$AL$3)/1000</f>
        <v>#VALUE!</v>
      </c>
      <c r="BA61" s="172" t="e">
        <f>_xll.LVCELL($AK$1,BA$3,$AK61,$AL$2,$AK$4,$AK$5,$AK$6,$AK$7,$AK$8,$AL$3)/1000</f>
        <v>#VALUE!</v>
      </c>
      <c r="BB61" s="172" t="e">
        <f>_xll.LVCELL($AK$1,BB$3,$AK61,$AL$2,$AK$4,$AK$5,$AK$6,$AK$7,$AK$8,$AL$3)/1000</f>
        <v>#VALUE!</v>
      </c>
      <c r="BC61" s="172" t="e">
        <f>_xll.LVCELL($AK$1,BC$3,$AK61,$AL$2,$AK$4,$AK$5,$AK$6,$AK$7,$AK$8,$AL$3)/1000</f>
        <v>#VALUE!</v>
      </c>
      <c r="BD61" s="172" t="e">
        <f>_xll.LVCELL($AK$1,BD$3,$AK61,$AL$2,$AK$4,$AK$5,$AK$6,$AK$7,$AK$8,$AL$3)/1000</f>
        <v>#VALUE!</v>
      </c>
      <c r="BE61" s="172" t="e">
        <f>_xll.LVCELL($AK$1,BE$3,$AK61,$AL$2,$AK$4,$AK$5,$AK$6,$AK$7,$AK$8,$AL$3)/1000</f>
        <v>#VALUE!</v>
      </c>
      <c r="BF61" s="172" t="e">
        <f>_xll.LVCELL($AK$1,BF$3,$AK61,$AL$2,$AK$4,$AK$5,$AK$6,$AK$7,$AK$8,$AL$3)/1000</f>
        <v>#VALUE!</v>
      </c>
      <c r="BG61" s="172" t="e">
        <f>_xll.LVCELL($AK$1,BG$3,$AK61,$AL$2,$AK$4,$AK$5,$AK$6,$AK$7,$AK$8,$AL$3)/1000</f>
        <v>#VALUE!</v>
      </c>
      <c r="BH61" s="172" t="e">
        <f>_xll.LVCELL($AK$1,BH$3,$AK61,$AL$2,$AK$4,$AK$5,$AK$6,$AK$7,$AK$8,$AL$3)/1000</f>
        <v>#VALUE!</v>
      </c>
      <c r="BI61" s="172" t="e">
        <f>_xll.LVCELL($AK$1,BI$3,$AK61,$AL$2,$AK$4,$AK$5,$AK$6,$AK$7,$AK$8,$AL$3)/1000</f>
        <v>#VALUE!</v>
      </c>
      <c r="BJ61" s="172" t="e">
        <f>_xll.LVCELL($AK$1,BJ$3,$AK61,$AL$2,$AK$4,$AK$5,$AK$6,$AK$7,$AK$8,$AL$3)/1000</f>
        <v>#VALUE!</v>
      </c>
      <c r="BK61" s="172" t="e">
        <f>_xll.LVCELL($AK$1,BK$3,$AK61,$AL$2,$AK$4,$AK$5,$AK$6,$AK$7,$AK$8,$AL$3)/1000</f>
        <v>#VALUE!</v>
      </c>
      <c r="BL61" s="172" t="e">
        <f>_xll.LVCELL($AK$1,BL$2,$AK61,$AL$2,$AK$4,$AK$5,$AK$6,$AK$7,$AK$8,$AL$3)/1000</f>
        <v>#VALUE!</v>
      </c>
      <c r="BM61" s="263" t="e">
        <f t="shared" si="3"/>
        <v>#VALUE!</v>
      </c>
      <c r="BN61" s="217" t="e">
        <f t="shared" si="4"/>
        <v>#VALUE!</v>
      </c>
      <c r="BO61" s="218" t="e">
        <f t="shared" si="4"/>
        <v>#VALUE!</v>
      </c>
      <c r="BP61" s="193" t="e">
        <f t="shared" si="5"/>
        <v>#VALUE!</v>
      </c>
      <c r="BQ61" s="172" t="s">
        <v>844</v>
      </c>
      <c r="BS61" s="198">
        <f t="shared" si="6"/>
        <v>0</v>
      </c>
      <c r="BT61" s="198">
        <f t="shared" si="7"/>
        <v>0</v>
      </c>
      <c r="BU61" s="198">
        <f t="shared" si="8"/>
        <v>0</v>
      </c>
      <c r="BV61" s="199" t="str">
        <f t="shared" si="9"/>
        <v>N/A</v>
      </c>
      <c r="BX61" s="200" t="e">
        <f t="shared" si="10"/>
        <v>#VALUE!</v>
      </c>
      <c r="BY61" s="200" t="e">
        <f t="shared" si="11"/>
        <v>#VALUE!</v>
      </c>
      <c r="BZ61" s="200" t="e">
        <f t="shared" si="12"/>
        <v>#VALUE!</v>
      </c>
    </row>
    <row r="62" spans="2:78">
      <c r="B62" s="64" t="s">
        <v>382</v>
      </c>
      <c r="C62" s="64" t="s">
        <v>382</v>
      </c>
      <c r="D62" s="192" t="s">
        <v>488</v>
      </c>
      <c r="E62" s="172" t="e">
        <f>_xll.LVCELL($D$1,E$3,$C62,$D$2,$C$4,$C$5,$C$6,$C$7,$C$8,$D$3)/1000</f>
        <v>#VALUE!</v>
      </c>
      <c r="F62" s="172" t="e">
        <f>_xll.LVCELL($D$1,F$3,$C62,$D$2,$C$4,$C$5,$C$6,$C$7,$C$8,$D$3)/1000</f>
        <v>#VALUE!</v>
      </c>
      <c r="G62" s="172" t="e">
        <f>_xll.LVCELL($D$1,G$3,$C62,$D$2,$C$4,$C$5,$C$6,$C$7,$C$8,$D$3)/1000</f>
        <v>#VALUE!</v>
      </c>
      <c r="H62" s="172" t="e">
        <f>_xll.LVCELL($D$1,H$3,$C62,$D$2,$C$4,$C$5,$C$6,$C$7,$C$8,$D$3)/1000</f>
        <v>#VALUE!</v>
      </c>
      <c r="I62" s="172" t="e">
        <f>_xll.LVCELL($D$1,I$3,$C62,$D$2,$C$4,$C$5,$C$6,$C$7,$C$8,$D$3)/1000</f>
        <v>#VALUE!</v>
      </c>
      <c r="J62" s="172" t="e">
        <f>_xll.LVCELL($D$1,J$3,$C62,$D$2,$C$4,$C$5,$C$6,$C$7,$C$8,$D$3)/1000</f>
        <v>#VALUE!</v>
      </c>
      <c r="K62" s="172" t="e">
        <f>_xll.LVCELL($D$1,K$3,$C62,$D$2,$C$4,$C$5,$C$6,$C$7,$C$8,$D$3)/1000</f>
        <v>#VALUE!</v>
      </c>
      <c r="L62" s="172" t="e">
        <f>_xll.LVCELL($D$1,L$3,$C62,$D$2,$C$4,$C$5,$C$6,$C$7,$C$8,$D$3)/1000</f>
        <v>#VALUE!</v>
      </c>
      <c r="M62" s="172" t="e">
        <f>_xll.LVCELL($D$1,M$3,$C62,$D$2,$C$4,$C$5,$C$6,$C$7,$C$8,$D$3)/1000</f>
        <v>#VALUE!</v>
      </c>
      <c r="N62" s="172" t="e">
        <f>_xll.LVCELL($D$1,N$3,$C62,$D$2,$C$4,$C$5,$C$6,$C$7,$C$8,$D$3)/1000</f>
        <v>#VALUE!</v>
      </c>
      <c r="O62" s="172" t="e">
        <f>_xll.LVCELL($D$1,O$3,$C62,$D$2,$C$4,$C$5,$C$6,$C$7,$C$8,$D$3)/1000</f>
        <v>#VALUE!</v>
      </c>
      <c r="P62" s="172" t="e">
        <f>_xll.LVCELL($D$1,P$3,$C62,$D$2,$C$4,$C$5,$C$6,$C$7,$C$8,$D$3)/1000</f>
        <v>#VALUE!</v>
      </c>
      <c r="Q62" s="172" t="e">
        <f>_xll.LVCELL($D$1,Q$2,$C62,$D$2,$C$4,$C$5,$C$6,$C$7,$C$8,$D$3)/1000</f>
        <v>#VALUE!</v>
      </c>
      <c r="R62" s="172" t="e">
        <f>_xll.LVCELL($D$1,R$3,$C62,$D$2,$C$4,$C$5,$C$6,$C$7,$C$8,$D$3)/1000</f>
        <v>#VALUE!</v>
      </c>
      <c r="S62" s="172" t="e">
        <f>_xll.LVCELL($D$1,S$3,$C62,$D$2,$C$4,$C$5,$C$6,$C$7,$C$8,$D$3)/1000</f>
        <v>#VALUE!</v>
      </c>
      <c r="T62" s="172" t="e">
        <f>_xll.LVCELL($D$1,T$3,$C62,$D$2,$C$4,$C$5,$C$6,$C$7,$C$8,$D$3)/1000</f>
        <v>#VALUE!</v>
      </c>
      <c r="U62" s="172" t="e">
        <f>_xll.LVCELL($D$1,U$3,$C62,$D$2,$C$4,$C$5,$C$6,$C$7,$C$8,$D$3)/1000</f>
        <v>#VALUE!</v>
      </c>
      <c r="V62" s="172" t="e">
        <f>_xll.LVCELL($D$1,V$3,$C62,$D$2,$C$4,$C$5,$C$6,$C$7,$C$8,$D$3)/1000</f>
        <v>#VALUE!</v>
      </c>
      <c r="W62" s="172" t="e">
        <f>_xll.LVCELL($D$1,W$3,$C62,$D$2,$C$4,$C$5,$C$6,$C$7,$C$8,$D$3)/1000</f>
        <v>#VALUE!</v>
      </c>
      <c r="X62" s="172" t="e">
        <f>_xll.LVCELL($D$1,X$3,$C62,$D$2,$C$4,$C$5,$C$6,$C$7,$C$8,$D$3)/1000</f>
        <v>#VALUE!</v>
      </c>
      <c r="Y62" s="172" t="e">
        <f>_xll.LVCELL($D$1,Y$3,$C62,$D$2,$C$4,$C$5,$C$6,$C$7,$C$8,$D$3)/1000</f>
        <v>#VALUE!</v>
      </c>
      <c r="Z62" s="172" t="e">
        <f>_xll.LVCELL($D$1,Z$3,$C62,$D$2,$C$4,$C$5,$C$6,$C$7,$C$8,$D$3)/1000</f>
        <v>#VALUE!</v>
      </c>
      <c r="AA62" s="172" t="e">
        <f>_xll.LVCELL($D$1,AA$3,$C62,$D$2,$C$4,$C$5,$C$6,$C$7,$C$8,$D$3)/1000</f>
        <v>#VALUE!</v>
      </c>
      <c r="AB62" s="172" t="e">
        <f>_xll.LVCELL($D$1,AB$3,$C62,$D$2,$C$4,$C$5,$C$6,$C$7,$C$8,$D$3)/1000</f>
        <v>#VALUE!</v>
      </c>
      <c r="AC62" s="172" t="e">
        <f>_xll.LVCELL($D$1,AC$3,$C62,$D$2,$C$4,$C$5,$C$6,$C$7,$C$8,$D$3)/1000</f>
        <v>#VALUE!</v>
      </c>
      <c r="AD62" s="172" t="e">
        <f>_xll.LVCELL($D$1,AD$2,$C62,$D$2,$C$4,$C$5,$C$6,$C$7,$C$8,$D$3)/1000</f>
        <v>#VALUE!</v>
      </c>
      <c r="AE62" s="172" t="e">
        <f t="shared" si="0"/>
        <v>#VALUE!</v>
      </c>
      <c r="AF62" s="193"/>
      <c r="AG62" s="207" t="s">
        <v>2731</v>
      </c>
      <c r="AH62" s="61" t="e">
        <f t="shared" si="2"/>
        <v>#VALUE!</v>
      </c>
      <c r="AI62" s="64" t="s">
        <v>2752</v>
      </c>
      <c r="AJ62" s="64" t="s">
        <v>382</v>
      </c>
      <c r="AK62" s="259" t="s">
        <v>382</v>
      </c>
      <c r="AL62" s="192" t="s">
        <v>488</v>
      </c>
      <c r="AM62" s="172" t="e">
        <f>_xll.LVCELL($AK$1,AM$3,$AK62,$AL$2,$AK$4,$AK$5,$AK$6,$AK$7,$AK$8,$AL$3)/1000</f>
        <v>#VALUE!</v>
      </c>
      <c r="AN62" s="172" t="e">
        <f>_xll.LVCELL($AK$1,AN$3,$AK62,$AL$2,$AK$4,$AK$5,$AK$6,$AK$7,$AK$8,$AL$3)/1000</f>
        <v>#VALUE!</v>
      </c>
      <c r="AO62" s="172" t="e">
        <f>_xll.LVCELL($AK$1,AO$3,$AK62,$AL$2,$AK$4,$AK$5,$AK$6,$AK$7,$AK$8,$AL$3)/1000</f>
        <v>#VALUE!</v>
      </c>
      <c r="AP62" s="172" t="e">
        <f>_xll.LVCELL($AK$1,AP$3,$AK62,$AL$2,$AK$4,$AK$5,$AK$6,$AK$7,$AK$8,$AL$3)/1000</f>
        <v>#VALUE!</v>
      </c>
      <c r="AQ62" s="172" t="e">
        <f>_xll.LVCELL($AK$1,AQ$3,$AK62,$AL$2,$AK$4,$AK$5,$AK$6,$AK$7,$AK$8,$AL$3)/1000</f>
        <v>#VALUE!</v>
      </c>
      <c r="AR62" s="172" t="e">
        <f>_xll.LVCELL($AK$1,AR$3,$AK62,$AL$2,$AK$4,$AK$5,$AK$6,$AK$7,$AK$8,$AL$3)/1000</f>
        <v>#VALUE!</v>
      </c>
      <c r="AS62" s="172" t="e">
        <f>_xll.LVCELL($AK$1,AS$3,$AK62,$AL$2,$AK$4,$AK$5,$AK$6,$AK$7,$AK$8,$AL$3)/1000</f>
        <v>#VALUE!</v>
      </c>
      <c r="AT62" s="172" t="e">
        <f>_xll.LVCELL($AK$1,AT$3,$AK62,$AL$2,$AK$4,$AK$5,$AK$6,$AK$7,$AK$8,$AL$3)/1000</f>
        <v>#VALUE!</v>
      </c>
      <c r="AU62" s="172" t="e">
        <f>_xll.LVCELL($AK$1,AU$3,$AK62,$AL$2,$AK$4,$AK$5,$AK$6,$AK$7,$AK$8,$AL$3)/1000</f>
        <v>#VALUE!</v>
      </c>
      <c r="AV62" s="172" t="e">
        <f>_xll.LVCELL($AK$1,AV$3,$AK62,$AL$2,$AK$4,$AK$5,$AK$6,$AK$7,$AK$8,$AL$3)/1000</f>
        <v>#VALUE!</v>
      </c>
      <c r="AW62" s="172" t="e">
        <f>_xll.LVCELL($AK$1,AW$3,$AK62,$AL$2,$AK$4,$AK$5,$AK$6,$AK$7,$AK$8,$AL$3)/1000</f>
        <v>#VALUE!</v>
      </c>
      <c r="AX62" s="172" t="e">
        <f>_xll.LVCELL($AK$1,AX$3,$AK62,$AL$2,$AK$4,$AK$5,$AK$6,$AK$7,$AK$8,$AL$3)/1000</f>
        <v>#VALUE!</v>
      </c>
      <c r="AY62" s="172" t="e">
        <f>_xll.LVCELL($AK$1,AY$2,$AK62,$AL$2,$AK$4,$AK$5,$AK$6,$AK$7,$AK$8,$AL$3)/1000</f>
        <v>#VALUE!</v>
      </c>
      <c r="AZ62" s="172" t="e">
        <f>_xll.LVCELL($AK$1,AZ$3,$AK62,$AL$2,$AK$4,$AK$5,$AK$6,$AK$7,$AK$8,$AL$3)/1000</f>
        <v>#VALUE!</v>
      </c>
      <c r="BA62" s="172" t="e">
        <f>_xll.LVCELL($AK$1,BA$3,$AK62,$AL$2,$AK$4,$AK$5,$AK$6,$AK$7,$AK$8,$AL$3)/1000</f>
        <v>#VALUE!</v>
      </c>
      <c r="BB62" s="172" t="e">
        <f>_xll.LVCELL($AK$1,BB$3,$AK62,$AL$2,$AK$4,$AK$5,$AK$6,$AK$7,$AK$8,$AL$3)/1000</f>
        <v>#VALUE!</v>
      </c>
      <c r="BC62" s="172" t="e">
        <f>_xll.LVCELL($AK$1,BC$3,$AK62,$AL$2,$AK$4,$AK$5,$AK$6,$AK$7,$AK$8,$AL$3)/1000</f>
        <v>#VALUE!</v>
      </c>
      <c r="BD62" s="172" t="e">
        <f>_xll.LVCELL($AK$1,BD$3,$AK62,$AL$2,$AK$4,$AK$5,$AK$6,$AK$7,$AK$8,$AL$3)/1000</f>
        <v>#VALUE!</v>
      </c>
      <c r="BE62" s="172" t="e">
        <f>_xll.LVCELL($AK$1,BE$3,$AK62,$AL$2,$AK$4,$AK$5,$AK$6,$AK$7,$AK$8,$AL$3)/1000</f>
        <v>#VALUE!</v>
      </c>
      <c r="BF62" s="172" t="e">
        <f>_xll.LVCELL($AK$1,BF$3,$AK62,$AL$2,$AK$4,$AK$5,$AK$6,$AK$7,$AK$8,$AL$3)/1000</f>
        <v>#VALUE!</v>
      </c>
      <c r="BG62" s="172" t="e">
        <f>_xll.LVCELL($AK$1,BG$3,$AK62,$AL$2,$AK$4,$AK$5,$AK$6,$AK$7,$AK$8,$AL$3)/1000</f>
        <v>#VALUE!</v>
      </c>
      <c r="BH62" s="172" t="e">
        <f>_xll.LVCELL($AK$1,BH$3,$AK62,$AL$2,$AK$4,$AK$5,$AK$6,$AK$7,$AK$8,$AL$3)/1000</f>
        <v>#VALUE!</v>
      </c>
      <c r="BI62" s="172" t="e">
        <f>_xll.LVCELL($AK$1,BI$3,$AK62,$AL$2,$AK$4,$AK$5,$AK$6,$AK$7,$AK$8,$AL$3)/1000</f>
        <v>#VALUE!</v>
      </c>
      <c r="BJ62" s="172" t="e">
        <f>_xll.LVCELL($AK$1,BJ$3,$AK62,$AL$2,$AK$4,$AK$5,$AK$6,$AK$7,$AK$8,$AL$3)/1000</f>
        <v>#VALUE!</v>
      </c>
      <c r="BK62" s="172" t="e">
        <f>_xll.LVCELL($AK$1,BK$3,$AK62,$AL$2,$AK$4,$AK$5,$AK$6,$AK$7,$AK$8,$AL$3)/1000</f>
        <v>#VALUE!</v>
      </c>
      <c r="BL62" s="172" t="e">
        <f>_xll.LVCELL($AK$1,BL$2,$AK62,$AL$2,$AK$4,$AK$5,$AK$6,$AK$7,$AK$8,$AL$3)/1000</f>
        <v>#VALUE!</v>
      </c>
      <c r="BM62" s="263" t="e">
        <f t="shared" si="3"/>
        <v>#VALUE!</v>
      </c>
      <c r="BN62" s="217" t="e">
        <f t="shared" si="4"/>
        <v>#VALUE!</v>
      </c>
      <c r="BO62" s="218" t="e">
        <f t="shared" si="4"/>
        <v>#VALUE!</v>
      </c>
      <c r="BP62" s="193" t="e">
        <f t="shared" si="5"/>
        <v>#VALUE!</v>
      </c>
      <c r="BQ62" s="172" t="s">
        <v>844</v>
      </c>
      <c r="BS62" s="198">
        <f t="shared" si="6"/>
        <v>0</v>
      </c>
      <c r="BT62" s="198">
        <f t="shared" si="7"/>
        <v>0</v>
      </c>
      <c r="BU62" s="198">
        <f t="shared" si="8"/>
        <v>0</v>
      </c>
      <c r="BV62" s="199" t="str">
        <f t="shared" si="9"/>
        <v>N/A</v>
      </c>
      <c r="BX62" s="200" t="e">
        <f t="shared" si="10"/>
        <v>#VALUE!</v>
      </c>
      <c r="BY62" s="200" t="e">
        <f t="shared" si="11"/>
        <v>#VALUE!</v>
      </c>
      <c r="BZ62" s="200" t="e">
        <f t="shared" si="12"/>
        <v>#VALUE!</v>
      </c>
    </row>
    <row r="63" spans="2:78">
      <c r="B63" s="64" t="s">
        <v>383</v>
      </c>
      <c r="C63" s="64" t="s">
        <v>383</v>
      </c>
      <c r="D63" s="192" t="s">
        <v>489</v>
      </c>
      <c r="E63" s="172" t="e">
        <f>_xll.LVCELL($D$1,E$3,$C63,$D$2,$C$4,$C$5,$C$6,$C$7,$C$8,$D$3)/1000</f>
        <v>#VALUE!</v>
      </c>
      <c r="F63" s="172" t="e">
        <f>_xll.LVCELL($D$1,F$3,$C63,$D$2,$C$4,$C$5,$C$6,$C$7,$C$8,$D$3)/1000</f>
        <v>#VALUE!</v>
      </c>
      <c r="G63" s="172" t="e">
        <f>_xll.LVCELL($D$1,G$3,$C63,$D$2,$C$4,$C$5,$C$6,$C$7,$C$8,$D$3)/1000</f>
        <v>#VALUE!</v>
      </c>
      <c r="H63" s="172" t="e">
        <f>_xll.LVCELL($D$1,H$3,$C63,$D$2,$C$4,$C$5,$C$6,$C$7,$C$8,$D$3)/1000</f>
        <v>#VALUE!</v>
      </c>
      <c r="I63" s="172" t="e">
        <f>_xll.LVCELL($D$1,I$3,$C63,$D$2,$C$4,$C$5,$C$6,$C$7,$C$8,$D$3)/1000</f>
        <v>#VALUE!</v>
      </c>
      <c r="J63" s="172" t="e">
        <f>_xll.LVCELL($D$1,J$3,$C63,$D$2,$C$4,$C$5,$C$6,$C$7,$C$8,$D$3)/1000</f>
        <v>#VALUE!</v>
      </c>
      <c r="K63" s="172" t="e">
        <f>_xll.LVCELL($D$1,K$3,$C63,$D$2,$C$4,$C$5,$C$6,$C$7,$C$8,$D$3)/1000</f>
        <v>#VALUE!</v>
      </c>
      <c r="L63" s="172" t="e">
        <f>_xll.LVCELL($D$1,L$3,$C63,$D$2,$C$4,$C$5,$C$6,$C$7,$C$8,$D$3)/1000</f>
        <v>#VALUE!</v>
      </c>
      <c r="M63" s="172" t="e">
        <f>_xll.LVCELL($D$1,M$3,$C63,$D$2,$C$4,$C$5,$C$6,$C$7,$C$8,$D$3)/1000</f>
        <v>#VALUE!</v>
      </c>
      <c r="N63" s="172" t="e">
        <f>_xll.LVCELL($D$1,N$3,$C63,$D$2,$C$4,$C$5,$C$6,$C$7,$C$8,$D$3)/1000</f>
        <v>#VALUE!</v>
      </c>
      <c r="O63" s="172" t="e">
        <f>_xll.LVCELL($D$1,O$3,$C63,$D$2,$C$4,$C$5,$C$6,$C$7,$C$8,$D$3)/1000</f>
        <v>#VALUE!</v>
      </c>
      <c r="P63" s="172" t="e">
        <f>_xll.LVCELL($D$1,P$3,$C63,$D$2,$C$4,$C$5,$C$6,$C$7,$C$8,$D$3)/1000</f>
        <v>#VALUE!</v>
      </c>
      <c r="Q63" s="172" t="e">
        <f>_xll.LVCELL($D$1,Q$2,$C63,$D$2,$C$4,$C$5,$C$6,$C$7,$C$8,$D$3)/1000</f>
        <v>#VALUE!</v>
      </c>
      <c r="R63" s="172" t="e">
        <f>_xll.LVCELL($D$1,R$3,$C63,$D$2,$C$4,$C$5,$C$6,$C$7,$C$8,$D$3)/1000</f>
        <v>#VALUE!</v>
      </c>
      <c r="S63" s="172" t="e">
        <f>_xll.LVCELL($D$1,S$3,$C63,$D$2,$C$4,$C$5,$C$6,$C$7,$C$8,$D$3)/1000</f>
        <v>#VALUE!</v>
      </c>
      <c r="T63" s="172" t="e">
        <f>_xll.LVCELL($D$1,T$3,$C63,$D$2,$C$4,$C$5,$C$6,$C$7,$C$8,$D$3)/1000</f>
        <v>#VALUE!</v>
      </c>
      <c r="U63" s="172" t="e">
        <f>_xll.LVCELL($D$1,U$3,$C63,$D$2,$C$4,$C$5,$C$6,$C$7,$C$8,$D$3)/1000</f>
        <v>#VALUE!</v>
      </c>
      <c r="V63" s="172" t="e">
        <f>_xll.LVCELL($D$1,V$3,$C63,$D$2,$C$4,$C$5,$C$6,$C$7,$C$8,$D$3)/1000</f>
        <v>#VALUE!</v>
      </c>
      <c r="W63" s="172" t="e">
        <f>_xll.LVCELL($D$1,W$3,$C63,$D$2,$C$4,$C$5,$C$6,$C$7,$C$8,$D$3)/1000</f>
        <v>#VALUE!</v>
      </c>
      <c r="X63" s="172" t="e">
        <f>_xll.LVCELL($D$1,X$3,$C63,$D$2,$C$4,$C$5,$C$6,$C$7,$C$8,$D$3)/1000</f>
        <v>#VALUE!</v>
      </c>
      <c r="Y63" s="172" t="e">
        <f>_xll.LVCELL($D$1,Y$3,$C63,$D$2,$C$4,$C$5,$C$6,$C$7,$C$8,$D$3)/1000</f>
        <v>#VALUE!</v>
      </c>
      <c r="Z63" s="172" t="e">
        <f>_xll.LVCELL($D$1,Z$3,$C63,$D$2,$C$4,$C$5,$C$6,$C$7,$C$8,$D$3)/1000</f>
        <v>#VALUE!</v>
      </c>
      <c r="AA63" s="172" t="e">
        <f>_xll.LVCELL($D$1,AA$3,$C63,$D$2,$C$4,$C$5,$C$6,$C$7,$C$8,$D$3)/1000</f>
        <v>#VALUE!</v>
      </c>
      <c r="AB63" s="172" t="e">
        <f>_xll.LVCELL($D$1,AB$3,$C63,$D$2,$C$4,$C$5,$C$6,$C$7,$C$8,$D$3)/1000</f>
        <v>#VALUE!</v>
      </c>
      <c r="AC63" s="172" t="e">
        <f>_xll.LVCELL($D$1,AC$3,$C63,$D$2,$C$4,$C$5,$C$6,$C$7,$C$8,$D$3)/1000</f>
        <v>#VALUE!</v>
      </c>
      <c r="AD63" s="172" t="e">
        <f>_xll.LVCELL($D$1,AD$2,$C63,$D$2,$C$4,$C$5,$C$6,$C$7,$C$8,$D$3)/1000</f>
        <v>#VALUE!</v>
      </c>
      <c r="AE63" s="172" t="e">
        <f t="shared" si="0"/>
        <v>#VALUE!</v>
      </c>
      <c r="AF63" s="193"/>
      <c r="AG63" s="207" t="s">
        <v>2731</v>
      </c>
      <c r="AH63" s="61" t="e">
        <f t="shared" si="2"/>
        <v>#VALUE!</v>
      </c>
      <c r="AI63" s="64" t="s">
        <v>2752</v>
      </c>
      <c r="AJ63" s="64" t="s">
        <v>383</v>
      </c>
      <c r="AK63" s="259" t="s">
        <v>383</v>
      </c>
      <c r="AL63" s="192" t="s">
        <v>489</v>
      </c>
      <c r="AM63" s="172" t="e">
        <f>_xll.LVCELL($AK$1,AM$3,$AK63,$AL$2,$AK$4,$AK$5,$AK$6,$AK$7,$AK$8,$AL$3)/1000</f>
        <v>#VALUE!</v>
      </c>
      <c r="AN63" s="172" t="e">
        <f>_xll.LVCELL($AK$1,AN$3,$AK63,$AL$2,$AK$4,$AK$5,$AK$6,$AK$7,$AK$8,$AL$3)/1000</f>
        <v>#VALUE!</v>
      </c>
      <c r="AO63" s="172" t="e">
        <f>_xll.LVCELL($AK$1,AO$3,$AK63,$AL$2,$AK$4,$AK$5,$AK$6,$AK$7,$AK$8,$AL$3)/1000</f>
        <v>#VALUE!</v>
      </c>
      <c r="AP63" s="172" t="e">
        <f>_xll.LVCELL($AK$1,AP$3,$AK63,$AL$2,$AK$4,$AK$5,$AK$6,$AK$7,$AK$8,$AL$3)/1000</f>
        <v>#VALUE!</v>
      </c>
      <c r="AQ63" s="172" t="e">
        <f>_xll.LVCELL($AK$1,AQ$3,$AK63,$AL$2,$AK$4,$AK$5,$AK$6,$AK$7,$AK$8,$AL$3)/1000</f>
        <v>#VALUE!</v>
      </c>
      <c r="AR63" s="172" t="e">
        <f>_xll.LVCELL($AK$1,AR$3,$AK63,$AL$2,$AK$4,$AK$5,$AK$6,$AK$7,$AK$8,$AL$3)/1000</f>
        <v>#VALUE!</v>
      </c>
      <c r="AS63" s="172" t="e">
        <f>_xll.LVCELL($AK$1,AS$3,$AK63,$AL$2,$AK$4,$AK$5,$AK$6,$AK$7,$AK$8,$AL$3)/1000</f>
        <v>#VALUE!</v>
      </c>
      <c r="AT63" s="172" t="e">
        <f>_xll.LVCELL($AK$1,AT$3,$AK63,$AL$2,$AK$4,$AK$5,$AK$6,$AK$7,$AK$8,$AL$3)/1000</f>
        <v>#VALUE!</v>
      </c>
      <c r="AU63" s="172" t="e">
        <f>_xll.LVCELL($AK$1,AU$3,$AK63,$AL$2,$AK$4,$AK$5,$AK$6,$AK$7,$AK$8,$AL$3)/1000</f>
        <v>#VALUE!</v>
      </c>
      <c r="AV63" s="172" t="e">
        <f>_xll.LVCELL($AK$1,AV$3,$AK63,$AL$2,$AK$4,$AK$5,$AK$6,$AK$7,$AK$8,$AL$3)/1000</f>
        <v>#VALUE!</v>
      </c>
      <c r="AW63" s="172" t="e">
        <f>_xll.LVCELL($AK$1,AW$3,$AK63,$AL$2,$AK$4,$AK$5,$AK$6,$AK$7,$AK$8,$AL$3)/1000</f>
        <v>#VALUE!</v>
      </c>
      <c r="AX63" s="172" t="e">
        <f>_xll.LVCELL($AK$1,AX$3,$AK63,$AL$2,$AK$4,$AK$5,$AK$6,$AK$7,$AK$8,$AL$3)/1000</f>
        <v>#VALUE!</v>
      </c>
      <c r="AY63" s="172" t="e">
        <f>_xll.LVCELL($AK$1,AY$2,$AK63,$AL$2,$AK$4,$AK$5,$AK$6,$AK$7,$AK$8,$AL$3)/1000</f>
        <v>#VALUE!</v>
      </c>
      <c r="AZ63" s="172" t="e">
        <f>_xll.LVCELL($AK$1,AZ$3,$AK63,$AL$2,$AK$4,$AK$5,$AK$6,$AK$7,$AK$8,$AL$3)/1000</f>
        <v>#VALUE!</v>
      </c>
      <c r="BA63" s="172" t="e">
        <f>_xll.LVCELL($AK$1,BA$3,$AK63,$AL$2,$AK$4,$AK$5,$AK$6,$AK$7,$AK$8,$AL$3)/1000</f>
        <v>#VALUE!</v>
      </c>
      <c r="BB63" s="172" t="e">
        <f>_xll.LVCELL($AK$1,BB$3,$AK63,$AL$2,$AK$4,$AK$5,$AK$6,$AK$7,$AK$8,$AL$3)/1000</f>
        <v>#VALUE!</v>
      </c>
      <c r="BC63" s="172" t="e">
        <f>_xll.LVCELL($AK$1,BC$3,$AK63,$AL$2,$AK$4,$AK$5,$AK$6,$AK$7,$AK$8,$AL$3)/1000</f>
        <v>#VALUE!</v>
      </c>
      <c r="BD63" s="172" t="e">
        <f>_xll.LVCELL($AK$1,BD$3,$AK63,$AL$2,$AK$4,$AK$5,$AK$6,$AK$7,$AK$8,$AL$3)/1000</f>
        <v>#VALUE!</v>
      </c>
      <c r="BE63" s="172" t="e">
        <f>_xll.LVCELL($AK$1,BE$3,$AK63,$AL$2,$AK$4,$AK$5,$AK$6,$AK$7,$AK$8,$AL$3)/1000</f>
        <v>#VALUE!</v>
      </c>
      <c r="BF63" s="172" t="e">
        <f>_xll.LVCELL($AK$1,BF$3,$AK63,$AL$2,$AK$4,$AK$5,$AK$6,$AK$7,$AK$8,$AL$3)/1000</f>
        <v>#VALUE!</v>
      </c>
      <c r="BG63" s="172" t="e">
        <f>_xll.LVCELL($AK$1,BG$3,$AK63,$AL$2,$AK$4,$AK$5,$AK$6,$AK$7,$AK$8,$AL$3)/1000</f>
        <v>#VALUE!</v>
      </c>
      <c r="BH63" s="172" t="e">
        <f>_xll.LVCELL($AK$1,BH$3,$AK63,$AL$2,$AK$4,$AK$5,$AK$6,$AK$7,$AK$8,$AL$3)/1000</f>
        <v>#VALUE!</v>
      </c>
      <c r="BI63" s="172" t="e">
        <f>_xll.LVCELL($AK$1,BI$3,$AK63,$AL$2,$AK$4,$AK$5,$AK$6,$AK$7,$AK$8,$AL$3)/1000</f>
        <v>#VALUE!</v>
      </c>
      <c r="BJ63" s="172" t="e">
        <f>_xll.LVCELL($AK$1,BJ$3,$AK63,$AL$2,$AK$4,$AK$5,$AK$6,$AK$7,$AK$8,$AL$3)/1000</f>
        <v>#VALUE!</v>
      </c>
      <c r="BK63" s="172" t="e">
        <f>_xll.LVCELL($AK$1,BK$3,$AK63,$AL$2,$AK$4,$AK$5,$AK$6,$AK$7,$AK$8,$AL$3)/1000</f>
        <v>#VALUE!</v>
      </c>
      <c r="BL63" s="172" t="e">
        <f>_xll.LVCELL($AK$1,BL$2,$AK63,$AL$2,$AK$4,$AK$5,$AK$6,$AK$7,$AK$8,$AL$3)/1000</f>
        <v>#VALUE!</v>
      </c>
      <c r="BM63" s="263" t="e">
        <f t="shared" si="3"/>
        <v>#VALUE!</v>
      </c>
      <c r="BN63" s="217" t="e">
        <f t="shared" si="4"/>
        <v>#VALUE!</v>
      </c>
      <c r="BO63" s="218" t="e">
        <f t="shared" si="4"/>
        <v>#VALUE!</v>
      </c>
      <c r="BP63" s="193" t="e">
        <f t="shared" si="5"/>
        <v>#VALUE!</v>
      </c>
      <c r="BQ63" s="172" t="s">
        <v>844</v>
      </c>
      <c r="BS63" s="198">
        <f t="shared" si="6"/>
        <v>0</v>
      </c>
      <c r="BT63" s="198">
        <f t="shared" si="7"/>
        <v>0</v>
      </c>
      <c r="BU63" s="198">
        <f t="shared" si="8"/>
        <v>0</v>
      </c>
      <c r="BV63" s="199" t="str">
        <f t="shared" si="9"/>
        <v>N/A</v>
      </c>
      <c r="BX63" s="200" t="e">
        <f t="shared" si="10"/>
        <v>#VALUE!</v>
      </c>
      <c r="BY63" s="200" t="e">
        <f t="shared" si="11"/>
        <v>#VALUE!</v>
      </c>
      <c r="BZ63" s="200" t="e">
        <f t="shared" si="12"/>
        <v>#VALUE!</v>
      </c>
    </row>
    <row r="64" spans="2:78">
      <c r="B64" s="64" t="s">
        <v>378</v>
      </c>
      <c r="C64" s="64" t="s">
        <v>378</v>
      </c>
      <c r="D64" s="192" t="s">
        <v>490</v>
      </c>
      <c r="E64" s="172" t="e">
        <f>_xll.LVCELL($D$1,E$3,$C64,$D$2,$C$4,$C$5,$C$6,$C$7,$C$8,$D$3)/1000</f>
        <v>#VALUE!</v>
      </c>
      <c r="F64" s="172" t="e">
        <f>_xll.LVCELL($D$1,F$3,$C64,$D$2,$C$4,$C$5,$C$6,$C$7,$C$8,$D$3)/1000</f>
        <v>#VALUE!</v>
      </c>
      <c r="G64" s="172" t="e">
        <f>_xll.LVCELL($D$1,G$3,$C64,$D$2,$C$4,$C$5,$C$6,$C$7,$C$8,$D$3)/1000</f>
        <v>#VALUE!</v>
      </c>
      <c r="H64" s="172" t="e">
        <f>_xll.LVCELL($D$1,H$3,$C64,$D$2,$C$4,$C$5,$C$6,$C$7,$C$8,$D$3)/1000</f>
        <v>#VALUE!</v>
      </c>
      <c r="I64" s="172" t="e">
        <f>_xll.LVCELL($D$1,I$3,$C64,$D$2,$C$4,$C$5,$C$6,$C$7,$C$8,$D$3)/1000</f>
        <v>#VALUE!</v>
      </c>
      <c r="J64" s="172" t="e">
        <f>_xll.LVCELL($D$1,J$3,$C64,$D$2,$C$4,$C$5,$C$6,$C$7,$C$8,$D$3)/1000</f>
        <v>#VALUE!</v>
      </c>
      <c r="K64" s="172" t="e">
        <f>_xll.LVCELL($D$1,K$3,$C64,$D$2,$C$4,$C$5,$C$6,$C$7,$C$8,$D$3)/1000</f>
        <v>#VALUE!</v>
      </c>
      <c r="L64" s="172" t="e">
        <f>_xll.LVCELL($D$1,L$3,$C64,$D$2,$C$4,$C$5,$C$6,$C$7,$C$8,$D$3)/1000</f>
        <v>#VALUE!</v>
      </c>
      <c r="M64" s="172" t="e">
        <f>_xll.LVCELL($D$1,M$3,$C64,$D$2,$C$4,$C$5,$C$6,$C$7,$C$8,$D$3)/1000</f>
        <v>#VALUE!</v>
      </c>
      <c r="N64" s="172" t="e">
        <f>_xll.LVCELL($D$1,N$3,$C64,$D$2,$C$4,$C$5,$C$6,$C$7,$C$8,$D$3)/1000</f>
        <v>#VALUE!</v>
      </c>
      <c r="O64" s="172" t="e">
        <f>_xll.LVCELL($D$1,O$3,$C64,$D$2,$C$4,$C$5,$C$6,$C$7,$C$8,$D$3)/1000</f>
        <v>#VALUE!</v>
      </c>
      <c r="P64" s="172" t="e">
        <f>_xll.LVCELL($D$1,P$3,$C64,$D$2,$C$4,$C$5,$C$6,$C$7,$C$8,$D$3)/1000</f>
        <v>#VALUE!</v>
      </c>
      <c r="Q64" s="172" t="e">
        <f>_xll.LVCELL($D$1,Q$2,$C64,$D$2,$C$4,$C$5,$C$6,$C$7,$C$8,$D$3)/1000</f>
        <v>#VALUE!</v>
      </c>
      <c r="R64" s="172" t="e">
        <f>_xll.LVCELL($D$1,R$3,$C64,$D$2,$C$4,$C$5,$C$6,$C$7,$C$8,$D$3)/1000</f>
        <v>#VALUE!</v>
      </c>
      <c r="S64" s="172" t="e">
        <f>_xll.LVCELL($D$1,S$3,$C64,$D$2,$C$4,$C$5,$C$6,$C$7,$C$8,$D$3)/1000</f>
        <v>#VALUE!</v>
      </c>
      <c r="T64" s="172" t="e">
        <f>_xll.LVCELL($D$1,T$3,$C64,$D$2,$C$4,$C$5,$C$6,$C$7,$C$8,$D$3)/1000</f>
        <v>#VALUE!</v>
      </c>
      <c r="U64" s="172" t="e">
        <f>_xll.LVCELL($D$1,U$3,$C64,$D$2,$C$4,$C$5,$C$6,$C$7,$C$8,$D$3)/1000</f>
        <v>#VALUE!</v>
      </c>
      <c r="V64" s="172" t="e">
        <f>_xll.LVCELL($D$1,V$3,$C64,$D$2,$C$4,$C$5,$C$6,$C$7,$C$8,$D$3)/1000</f>
        <v>#VALUE!</v>
      </c>
      <c r="W64" s="172" t="e">
        <f>_xll.LVCELL($D$1,W$3,$C64,$D$2,$C$4,$C$5,$C$6,$C$7,$C$8,$D$3)/1000</f>
        <v>#VALUE!</v>
      </c>
      <c r="X64" s="172" t="e">
        <f>_xll.LVCELL($D$1,X$3,$C64,$D$2,$C$4,$C$5,$C$6,$C$7,$C$8,$D$3)/1000</f>
        <v>#VALUE!</v>
      </c>
      <c r="Y64" s="172" t="e">
        <f>_xll.LVCELL($D$1,Y$3,$C64,$D$2,$C$4,$C$5,$C$6,$C$7,$C$8,$D$3)/1000</f>
        <v>#VALUE!</v>
      </c>
      <c r="Z64" s="172" t="e">
        <f>_xll.LVCELL($D$1,Z$3,$C64,$D$2,$C$4,$C$5,$C$6,$C$7,$C$8,$D$3)/1000</f>
        <v>#VALUE!</v>
      </c>
      <c r="AA64" s="172" t="e">
        <f>_xll.LVCELL($D$1,AA$3,$C64,$D$2,$C$4,$C$5,$C$6,$C$7,$C$8,$D$3)/1000</f>
        <v>#VALUE!</v>
      </c>
      <c r="AB64" s="172" t="e">
        <f>_xll.LVCELL($D$1,AB$3,$C64,$D$2,$C$4,$C$5,$C$6,$C$7,$C$8,$D$3)/1000</f>
        <v>#VALUE!</v>
      </c>
      <c r="AC64" s="172" t="e">
        <f>_xll.LVCELL($D$1,AC$3,$C64,$D$2,$C$4,$C$5,$C$6,$C$7,$C$8,$D$3)/1000</f>
        <v>#VALUE!</v>
      </c>
      <c r="AD64" s="172" t="e">
        <f>_xll.LVCELL($D$1,AD$2,$C64,$D$2,$C$4,$C$5,$C$6,$C$7,$C$8,$D$3)/1000</f>
        <v>#VALUE!</v>
      </c>
      <c r="AE64" s="172" t="e">
        <f t="shared" si="0"/>
        <v>#VALUE!</v>
      </c>
      <c r="AF64" s="193"/>
      <c r="AG64" s="207" t="s">
        <v>2731</v>
      </c>
      <c r="AH64" s="61" t="e">
        <f t="shared" si="2"/>
        <v>#VALUE!</v>
      </c>
      <c r="AI64" s="64" t="s">
        <v>2752</v>
      </c>
      <c r="AJ64" s="64" t="s">
        <v>378</v>
      </c>
      <c r="AK64" s="259" t="s">
        <v>378</v>
      </c>
      <c r="AL64" s="192" t="s">
        <v>490</v>
      </c>
      <c r="AM64" s="172" t="e">
        <f>_xll.LVCELL($AK$1,AM$3,$AK64,$AL$2,$AK$4,$AK$5,$AK$6,$AK$7,$AK$8,$AL$3)/1000</f>
        <v>#VALUE!</v>
      </c>
      <c r="AN64" s="172" t="e">
        <f>_xll.LVCELL($AK$1,AN$3,$AK64,$AL$2,$AK$4,$AK$5,$AK$6,$AK$7,$AK$8,$AL$3)/1000</f>
        <v>#VALUE!</v>
      </c>
      <c r="AO64" s="172" t="e">
        <f>_xll.LVCELL($AK$1,AO$3,$AK64,$AL$2,$AK$4,$AK$5,$AK$6,$AK$7,$AK$8,$AL$3)/1000</f>
        <v>#VALUE!</v>
      </c>
      <c r="AP64" s="172" t="e">
        <f>_xll.LVCELL($AK$1,AP$3,$AK64,$AL$2,$AK$4,$AK$5,$AK$6,$AK$7,$AK$8,$AL$3)/1000</f>
        <v>#VALUE!</v>
      </c>
      <c r="AQ64" s="172" t="e">
        <f>_xll.LVCELL($AK$1,AQ$3,$AK64,$AL$2,$AK$4,$AK$5,$AK$6,$AK$7,$AK$8,$AL$3)/1000</f>
        <v>#VALUE!</v>
      </c>
      <c r="AR64" s="172" t="e">
        <f>_xll.LVCELL($AK$1,AR$3,$AK64,$AL$2,$AK$4,$AK$5,$AK$6,$AK$7,$AK$8,$AL$3)/1000</f>
        <v>#VALUE!</v>
      </c>
      <c r="AS64" s="172" t="e">
        <f>_xll.LVCELL($AK$1,AS$3,$AK64,$AL$2,$AK$4,$AK$5,$AK$6,$AK$7,$AK$8,$AL$3)/1000</f>
        <v>#VALUE!</v>
      </c>
      <c r="AT64" s="172" t="e">
        <f>_xll.LVCELL($AK$1,AT$3,$AK64,$AL$2,$AK$4,$AK$5,$AK$6,$AK$7,$AK$8,$AL$3)/1000</f>
        <v>#VALUE!</v>
      </c>
      <c r="AU64" s="172" t="e">
        <f>_xll.LVCELL($AK$1,AU$3,$AK64,$AL$2,$AK$4,$AK$5,$AK$6,$AK$7,$AK$8,$AL$3)/1000</f>
        <v>#VALUE!</v>
      </c>
      <c r="AV64" s="172" t="e">
        <f>_xll.LVCELL($AK$1,AV$3,$AK64,$AL$2,$AK$4,$AK$5,$AK$6,$AK$7,$AK$8,$AL$3)/1000</f>
        <v>#VALUE!</v>
      </c>
      <c r="AW64" s="172" t="e">
        <f>_xll.LVCELL($AK$1,AW$3,$AK64,$AL$2,$AK$4,$AK$5,$AK$6,$AK$7,$AK$8,$AL$3)/1000</f>
        <v>#VALUE!</v>
      </c>
      <c r="AX64" s="172" t="e">
        <f>_xll.LVCELL($AK$1,AX$3,$AK64,$AL$2,$AK$4,$AK$5,$AK$6,$AK$7,$AK$8,$AL$3)/1000</f>
        <v>#VALUE!</v>
      </c>
      <c r="AY64" s="172" t="e">
        <f>_xll.LVCELL($AK$1,AY$2,$AK64,$AL$2,$AK$4,$AK$5,$AK$6,$AK$7,$AK$8,$AL$3)/1000</f>
        <v>#VALUE!</v>
      </c>
      <c r="AZ64" s="172" t="e">
        <f>_xll.LVCELL($AK$1,AZ$3,$AK64,$AL$2,$AK$4,$AK$5,$AK$6,$AK$7,$AK$8,$AL$3)/1000</f>
        <v>#VALUE!</v>
      </c>
      <c r="BA64" s="172" t="e">
        <f>_xll.LVCELL($AK$1,BA$3,$AK64,$AL$2,$AK$4,$AK$5,$AK$6,$AK$7,$AK$8,$AL$3)/1000</f>
        <v>#VALUE!</v>
      </c>
      <c r="BB64" s="172" t="e">
        <f>_xll.LVCELL($AK$1,BB$3,$AK64,$AL$2,$AK$4,$AK$5,$AK$6,$AK$7,$AK$8,$AL$3)/1000</f>
        <v>#VALUE!</v>
      </c>
      <c r="BC64" s="172" t="e">
        <f>_xll.LVCELL($AK$1,BC$3,$AK64,$AL$2,$AK$4,$AK$5,$AK$6,$AK$7,$AK$8,$AL$3)/1000</f>
        <v>#VALUE!</v>
      </c>
      <c r="BD64" s="172" t="e">
        <f>_xll.LVCELL($AK$1,BD$3,$AK64,$AL$2,$AK$4,$AK$5,$AK$6,$AK$7,$AK$8,$AL$3)/1000</f>
        <v>#VALUE!</v>
      </c>
      <c r="BE64" s="172" t="e">
        <f>_xll.LVCELL($AK$1,BE$3,$AK64,$AL$2,$AK$4,$AK$5,$AK$6,$AK$7,$AK$8,$AL$3)/1000</f>
        <v>#VALUE!</v>
      </c>
      <c r="BF64" s="172" t="e">
        <f>_xll.LVCELL($AK$1,BF$3,$AK64,$AL$2,$AK$4,$AK$5,$AK$6,$AK$7,$AK$8,$AL$3)/1000</f>
        <v>#VALUE!</v>
      </c>
      <c r="BG64" s="172" t="e">
        <f>_xll.LVCELL($AK$1,BG$3,$AK64,$AL$2,$AK$4,$AK$5,$AK$6,$AK$7,$AK$8,$AL$3)/1000</f>
        <v>#VALUE!</v>
      </c>
      <c r="BH64" s="172" t="e">
        <f>_xll.LVCELL($AK$1,BH$3,$AK64,$AL$2,$AK$4,$AK$5,$AK$6,$AK$7,$AK$8,$AL$3)/1000</f>
        <v>#VALUE!</v>
      </c>
      <c r="BI64" s="172" t="e">
        <f>_xll.LVCELL($AK$1,BI$3,$AK64,$AL$2,$AK$4,$AK$5,$AK$6,$AK$7,$AK$8,$AL$3)/1000</f>
        <v>#VALUE!</v>
      </c>
      <c r="BJ64" s="172" t="e">
        <f>_xll.LVCELL($AK$1,BJ$3,$AK64,$AL$2,$AK$4,$AK$5,$AK$6,$AK$7,$AK$8,$AL$3)/1000</f>
        <v>#VALUE!</v>
      </c>
      <c r="BK64" s="172" t="e">
        <f>_xll.LVCELL($AK$1,BK$3,$AK64,$AL$2,$AK$4,$AK$5,$AK$6,$AK$7,$AK$8,$AL$3)/1000</f>
        <v>#VALUE!</v>
      </c>
      <c r="BL64" s="172" t="e">
        <f>_xll.LVCELL($AK$1,BL$2,$AK64,$AL$2,$AK$4,$AK$5,$AK$6,$AK$7,$AK$8,$AL$3)/1000</f>
        <v>#VALUE!</v>
      </c>
      <c r="BM64" s="263" t="e">
        <f t="shared" si="3"/>
        <v>#VALUE!</v>
      </c>
      <c r="BN64" s="217" t="e">
        <f t="shared" si="4"/>
        <v>#VALUE!</v>
      </c>
      <c r="BO64" s="218" t="e">
        <f t="shared" si="4"/>
        <v>#VALUE!</v>
      </c>
      <c r="BP64" s="193" t="e">
        <f t="shared" si="5"/>
        <v>#VALUE!</v>
      </c>
      <c r="BQ64" s="172" t="s">
        <v>844</v>
      </c>
      <c r="BS64" s="198">
        <f t="shared" si="6"/>
        <v>0</v>
      </c>
      <c r="BT64" s="198">
        <f t="shared" si="7"/>
        <v>0</v>
      </c>
      <c r="BU64" s="198">
        <f t="shared" si="8"/>
        <v>0</v>
      </c>
      <c r="BV64" s="199" t="str">
        <f t="shared" si="9"/>
        <v>N/A</v>
      </c>
      <c r="BX64" s="200" t="e">
        <f t="shared" si="10"/>
        <v>#VALUE!</v>
      </c>
      <c r="BY64" s="200" t="e">
        <f t="shared" si="11"/>
        <v>#VALUE!</v>
      </c>
      <c r="BZ64" s="200" t="e">
        <f t="shared" si="12"/>
        <v>#VALUE!</v>
      </c>
    </row>
    <row r="65" spans="1:78">
      <c r="B65" s="64" t="s">
        <v>373</v>
      </c>
      <c r="C65" s="64" t="s">
        <v>373</v>
      </c>
      <c r="D65" s="192" t="s">
        <v>491</v>
      </c>
      <c r="E65" s="172" t="e">
        <f>_xll.LVCELL($D$1,E$3,$C65,$D$2,$C$4,$C$5,$C$6,$C$7,$C$8,$D$3)/1000</f>
        <v>#VALUE!</v>
      </c>
      <c r="F65" s="172" t="e">
        <f>_xll.LVCELL($D$1,F$3,$C65,$D$2,$C$4,$C$5,$C$6,$C$7,$C$8,$D$3)/1000</f>
        <v>#VALUE!</v>
      </c>
      <c r="G65" s="172" t="e">
        <f>_xll.LVCELL($D$1,G$3,$C65,$D$2,$C$4,$C$5,$C$6,$C$7,$C$8,$D$3)/1000</f>
        <v>#VALUE!</v>
      </c>
      <c r="H65" s="172" t="e">
        <f>_xll.LVCELL($D$1,H$3,$C65,$D$2,$C$4,$C$5,$C$6,$C$7,$C$8,$D$3)/1000</f>
        <v>#VALUE!</v>
      </c>
      <c r="I65" s="172" t="e">
        <f>_xll.LVCELL($D$1,I$3,$C65,$D$2,$C$4,$C$5,$C$6,$C$7,$C$8,$D$3)/1000</f>
        <v>#VALUE!</v>
      </c>
      <c r="J65" s="172" t="e">
        <f>_xll.LVCELL($D$1,J$3,$C65,$D$2,$C$4,$C$5,$C$6,$C$7,$C$8,$D$3)/1000</f>
        <v>#VALUE!</v>
      </c>
      <c r="K65" s="172" t="e">
        <f>_xll.LVCELL($D$1,K$3,$C65,$D$2,$C$4,$C$5,$C$6,$C$7,$C$8,$D$3)/1000</f>
        <v>#VALUE!</v>
      </c>
      <c r="L65" s="172" t="e">
        <f>_xll.LVCELL($D$1,L$3,$C65,$D$2,$C$4,$C$5,$C$6,$C$7,$C$8,$D$3)/1000</f>
        <v>#VALUE!</v>
      </c>
      <c r="M65" s="172" t="e">
        <f>_xll.LVCELL($D$1,M$3,$C65,$D$2,$C$4,$C$5,$C$6,$C$7,$C$8,$D$3)/1000</f>
        <v>#VALUE!</v>
      </c>
      <c r="N65" s="172" t="e">
        <f>_xll.LVCELL($D$1,N$3,$C65,$D$2,$C$4,$C$5,$C$6,$C$7,$C$8,$D$3)/1000</f>
        <v>#VALUE!</v>
      </c>
      <c r="O65" s="172" t="e">
        <f>_xll.LVCELL($D$1,O$3,$C65,$D$2,$C$4,$C$5,$C$6,$C$7,$C$8,$D$3)/1000</f>
        <v>#VALUE!</v>
      </c>
      <c r="P65" s="172" t="e">
        <f>_xll.LVCELL($D$1,P$3,$C65,$D$2,$C$4,$C$5,$C$6,$C$7,$C$8,$D$3)/1000</f>
        <v>#VALUE!</v>
      </c>
      <c r="Q65" s="172" t="e">
        <f>_xll.LVCELL($D$1,Q$2,$C65,$D$2,$C$4,$C$5,$C$6,$C$7,$C$8,$D$3)/1000</f>
        <v>#VALUE!</v>
      </c>
      <c r="R65" s="172" t="e">
        <f>_xll.LVCELL($D$1,R$3,$C65,$D$2,$C$4,$C$5,$C$6,$C$7,$C$8,$D$3)/1000</f>
        <v>#VALUE!</v>
      </c>
      <c r="S65" s="172" t="e">
        <f>_xll.LVCELL($D$1,S$3,$C65,$D$2,$C$4,$C$5,$C$6,$C$7,$C$8,$D$3)/1000</f>
        <v>#VALUE!</v>
      </c>
      <c r="T65" s="172" t="e">
        <f>_xll.LVCELL($D$1,T$3,$C65,$D$2,$C$4,$C$5,$C$6,$C$7,$C$8,$D$3)/1000</f>
        <v>#VALUE!</v>
      </c>
      <c r="U65" s="172" t="e">
        <f>_xll.LVCELL($D$1,U$3,$C65,$D$2,$C$4,$C$5,$C$6,$C$7,$C$8,$D$3)/1000</f>
        <v>#VALUE!</v>
      </c>
      <c r="V65" s="172" t="e">
        <f>_xll.LVCELL($D$1,V$3,$C65,$D$2,$C$4,$C$5,$C$6,$C$7,$C$8,$D$3)/1000</f>
        <v>#VALUE!</v>
      </c>
      <c r="W65" s="172" t="e">
        <f>_xll.LVCELL($D$1,W$3,$C65,$D$2,$C$4,$C$5,$C$6,$C$7,$C$8,$D$3)/1000</f>
        <v>#VALUE!</v>
      </c>
      <c r="X65" s="172" t="e">
        <f>_xll.LVCELL($D$1,X$3,$C65,$D$2,$C$4,$C$5,$C$6,$C$7,$C$8,$D$3)/1000</f>
        <v>#VALUE!</v>
      </c>
      <c r="Y65" s="172" t="e">
        <f>_xll.LVCELL($D$1,Y$3,$C65,$D$2,$C$4,$C$5,$C$6,$C$7,$C$8,$D$3)/1000</f>
        <v>#VALUE!</v>
      </c>
      <c r="Z65" s="172" t="e">
        <f>_xll.LVCELL($D$1,Z$3,$C65,$D$2,$C$4,$C$5,$C$6,$C$7,$C$8,$D$3)/1000</f>
        <v>#VALUE!</v>
      </c>
      <c r="AA65" s="172" t="e">
        <f>_xll.LVCELL($D$1,AA$3,$C65,$D$2,$C$4,$C$5,$C$6,$C$7,$C$8,$D$3)/1000</f>
        <v>#VALUE!</v>
      </c>
      <c r="AB65" s="172" t="e">
        <f>_xll.LVCELL($D$1,AB$3,$C65,$D$2,$C$4,$C$5,$C$6,$C$7,$C$8,$D$3)/1000</f>
        <v>#VALUE!</v>
      </c>
      <c r="AC65" s="172" t="e">
        <f>_xll.LVCELL($D$1,AC$3,$C65,$D$2,$C$4,$C$5,$C$6,$C$7,$C$8,$D$3)/1000</f>
        <v>#VALUE!</v>
      </c>
      <c r="AD65" s="172" t="e">
        <f>_xll.LVCELL($D$1,AD$2,$C65,$D$2,$C$4,$C$5,$C$6,$C$7,$C$8,$D$3)/1000</f>
        <v>#VALUE!</v>
      </c>
      <c r="AE65" s="172" t="e">
        <f t="shared" si="0"/>
        <v>#VALUE!</v>
      </c>
      <c r="AF65" s="193"/>
      <c r="AG65" s="207" t="s">
        <v>2731</v>
      </c>
      <c r="AH65" s="61" t="e">
        <f t="shared" si="2"/>
        <v>#VALUE!</v>
      </c>
      <c r="AI65" s="64" t="s">
        <v>2752</v>
      </c>
      <c r="AJ65" s="64" t="s">
        <v>373</v>
      </c>
      <c r="AK65" s="259" t="s">
        <v>373</v>
      </c>
      <c r="AL65" s="192" t="s">
        <v>491</v>
      </c>
      <c r="AM65" s="172" t="e">
        <f>_xll.LVCELL($AK$1,AM$3,$AK65,$AL$2,$AK$4,$AK$5,$AK$6,$AK$7,$AK$8,$AL$3)/1000</f>
        <v>#VALUE!</v>
      </c>
      <c r="AN65" s="172" t="e">
        <f>_xll.LVCELL($AK$1,AN$3,$AK65,$AL$2,$AK$4,$AK$5,$AK$6,$AK$7,$AK$8,$AL$3)/1000</f>
        <v>#VALUE!</v>
      </c>
      <c r="AO65" s="172" t="e">
        <f>_xll.LVCELL($AK$1,AO$3,$AK65,$AL$2,$AK$4,$AK$5,$AK$6,$AK$7,$AK$8,$AL$3)/1000</f>
        <v>#VALUE!</v>
      </c>
      <c r="AP65" s="172" t="e">
        <f>_xll.LVCELL($AK$1,AP$3,$AK65,$AL$2,$AK$4,$AK$5,$AK$6,$AK$7,$AK$8,$AL$3)/1000</f>
        <v>#VALUE!</v>
      </c>
      <c r="AQ65" s="172" t="e">
        <f>_xll.LVCELL($AK$1,AQ$3,$AK65,$AL$2,$AK$4,$AK$5,$AK$6,$AK$7,$AK$8,$AL$3)/1000</f>
        <v>#VALUE!</v>
      </c>
      <c r="AR65" s="172" t="e">
        <f>_xll.LVCELL($AK$1,AR$3,$AK65,$AL$2,$AK$4,$AK$5,$AK$6,$AK$7,$AK$8,$AL$3)/1000</f>
        <v>#VALUE!</v>
      </c>
      <c r="AS65" s="172" t="e">
        <f>_xll.LVCELL($AK$1,AS$3,$AK65,$AL$2,$AK$4,$AK$5,$AK$6,$AK$7,$AK$8,$AL$3)/1000</f>
        <v>#VALUE!</v>
      </c>
      <c r="AT65" s="172" t="e">
        <f>_xll.LVCELL($AK$1,AT$3,$AK65,$AL$2,$AK$4,$AK$5,$AK$6,$AK$7,$AK$8,$AL$3)/1000</f>
        <v>#VALUE!</v>
      </c>
      <c r="AU65" s="172" t="e">
        <f>_xll.LVCELL($AK$1,AU$3,$AK65,$AL$2,$AK$4,$AK$5,$AK$6,$AK$7,$AK$8,$AL$3)/1000</f>
        <v>#VALUE!</v>
      </c>
      <c r="AV65" s="172" t="e">
        <f>_xll.LVCELL($AK$1,AV$3,$AK65,$AL$2,$AK$4,$AK$5,$AK$6,$AK$7,$AK$8,$AL$3)/1000</f>
        <v>#VALUE!</v>
      </c>
      <c r="AW65" s="172" t="e">
        <f>_xll.LVCELL($AK$1,AW$3,$AK65,$AL$2,$AK$4,$AK$5,$AK$6,$AK$7,$AK$8,$AL$3)/1000</f>
        <v>#VALUE!</v>
      </c>
      <c r="AX65" s="172" t="e">
        <f>_xll.LVCELL($AK$1,AX$3,$AK65,$AL$2,$AK$4,$AK$5,$AK$6,$AK$7,$AK$8,$AL$3)/1000</f>
        <v>#VALUE!</v>
      </c>
      <c r="AY65" s="172" t="e">
        <f>_xll.LVCELL($AK$1,AY$2,$AK65,$AL$2,$AK$4,$AK$5,$AK$6,$AK$7,$AK$8,$AL$3)/1000</f>
        <v>#VALUE!</v>
      </c>
      <c r="AZ65" s="172" t="e">
        <f>_xll.LVCELL($AK$1,AZ$3,$AK65,$AL$2,$AK$4,$AK$5,$AK$6,$AK$7,$AK$8,$AL$3)/1000</f>
        <v>#VALUE!</v>
      </c>
      <c r="BA65" s="172" t="e">
        <f>_xll.LVCELL($AK$1,BA$3,$AK65,$AL$2,$AK$4,$AK$5,$AK$6,$AK$7,$AK$8,$AL$3)/1000</f>
        <v>#VALUE!</v>
      </c>
      <c r="BB65" s="172" t="e">
        <f>_xll.LVCELL($AK$1,BB$3,$AK65,$AL$2,$AK$4,$AK$5,$AK$6,$AK$7,$AK$8,$AL$3)/1000</f>
        <v>#VALUE!</v>
      </c>
      <c r="BC65" s="172" t="e">
        <f>_xll.LVCELL($AK$1,BC$3,$AK65,$AL$2,$AK$4,$AK$5,$AK$6,$AK$7,$AK$8,$AL$3)/1000</f>
        <v>#VALUE!</v>
      </c>
      <c r="BD65" s="172" t="e">
        <f>_xll.LVCELL($AK$1,BD$3,$AK65,$AL$2,$AK$4,$AK$5,$AK$6,$AK$7,$AK$8,$AL$3)/1000</f>
        <v>#VALUE!</v>
      </c>
      <c r="BE65" s="172" t="e">
        <f>_xll.LVCELL($AK$1,BE$3,$AK65,$AL$2,$AK$4,$AK$5,$AK$6,$AK$7,$AK$8,$AL$3)/1000</f>
        <v>#VALUE!</v>
      </c>
      <c r="BF65" s="172" t="e">
        <f>_xll.LVCELL($AK$1,BF$3,$AK65,$AL$2,$AK$4,$AK$5,$AK$6,$AK$7,$AK$8,$AL$3)/1000</f>
        <v>#VALUE!</v>
      </c>
      <c r="BG65" s="172" t="e">
        <f>_xll.LVCELL($AK$1,BG$3,$AK65,$AL$2,$AK$4,$AK$5,$AK$6,$AK$7,$AK$8,$AL$3)/1000</f>
        <v>#VALUE!</v>
      </c>
      <c r="BH65" s="172" t="e">
        <f>_xll.LVCELL($AK$1,BH$3,$AK65,$AL$2,$AK$4,$AK$5,$AK$6,$AK$7,$AK$8,$AL$3)/1000</f>
        <v>#VALUE!</v>
      </c>
      <c r="BI65" s="172" t="e">
        <f>_xll.LVCELL($AK$1,BI$3,$AK65,$AL$2,$AK$4,$AK$5,$AK$6,$AK$7,$AK$8,$AL$3)/1000</f>
        <v>#VALUE!</v>
      </c>
      <c r="BJ65" s="172" t="e">
        <f>_xll.LVCELL($AK$1,BJ$3,$AK65,$AL$2,$AK$4,$AK$5,$AK$6,$AK$7,$AK$8,$AL$3)/1000</f>
        <v>#VALUE!</v>
      </c>
      <c r="BK65" s="172" t="e">
        <f>_xll.LVCELL($AK$1,BK$3,$AK65,$AL$2,$AK$4,$AK$5,$AK$6,$AK$7,$AK$8,$AL$3)/1000</f>
        <v>#VALUE!</v>
      </c>
      <c r="BL65" s="172" t="e">
        <f>_xll.LVCELL($AK$1,BL$2,$AK65,$AL$2,$AK$4,$AK$5,$AK$6,$AK$7,$AK$8,$AL$3)/1000</f>
        <v>#VALUE!</v>
      </c>
      <c r="BM65" s="263" t="e">
        <f t="shared" si="3"/>
        <v>#VALUE!</v>
      </c>
      <c r="BN65" s="217" t="e">
        <f t="shared" si="4"/>
        <v>#VALUE!</v>
      </c>
      <c r="BO65" s="218" t="e">
        <f t="shared" si="4"/>
        <v>#VALUE!</v>
      </c>
      <c r="BP65" s="193" t="e">
        <f t="shared" si="5"/>
        <v>#VALUE!</v>
      </c>
      <c r="BQ65" s="172" t="s">
        <v>844</v>
      </c>
      <c r="BS65" s="198">
        <f t="shared" si="6"/>
        <v>0</v>
      </c>
      <c r="BT65" s="198">
        <f t="shared" si="7"/>
        <v>0</v>
      </c>
      <c r="BU65" s="198">
        <f t="shared" si="8"/>
        <v>0</v>
      </c>
      <c r="BV65" s="199" t="str">
        <f t="shared" si="9"/>
        <v>N/A</v>
      </c>
      <c r="BX65" s="200" t="e">
        <f t="shared" si="10"/>
        <v>#VALUE!</v>
      </c>
      <c r="BY65" s="200" t="e">
        <f t="shared" si="11"/>
        <v>#VALUE!</v>
      </c>
      <c r="BZ65" s="200" t="e">
        <f t="shared" si="12"/>
        <v>#VALUE!</v>
      </c>
    </row>
    <row r="66" spans="1:78">
      <c r="B66" s="64" t="s">
        <v>374</v>
      </c>
      <c r="C66" s="64" t="s">
        <v>374</v>
      </c>
      <c r="D66" s="192" t="s">
        <v>492</v>
      </c>
      <c r="E66" s="172" t="e">
        <f>_xll.LVCELL($D$1,E$3,$C66,$D$2,$C$4,$C$5,$C$6,$C$7,$C$8,$D$3)/1000</f>
        <v>#VALUE!</v>
      </c>
      <c r="F66" s="172" t="e">
        <f>_xll.LVCELL($D$1,F$3,$C66,$D$2,$C$4,$C$5,$C$6,$C$7,$C$8,$D$3)/1000</f>
        <v>#VALUE!</v>
      </c>
      <c r="G66" s="172" t="e">
        <f>_xll.LVCELL($D$1,G$3,$C66,$D$2,$C$4,$C$5,$C$6,$C$7,$C$8,$D$3)/1000</f>
        <v>#VALUE!</v>
      </c>
      <c r="H66" s="172" t="e">
        <f>_xll.LVCELL($D$1,H$3,$C66,$D$2,$C$4,$C$5,$C$6,$C$7,$C$8,$D$3)/1000</f>
        <v>#VALUE!</v>
      </c>
      <c r="I66" s="172" t="e">
        <f>_xll.LVCELL($D$1,I$3,$C66,$D$2,$C$4,$C$5,$C$6,$C$7,$C$8,$D$3)/1000</f>
        <v>#VALUE!</v>
      </c>
      <c r="J66" s="172" t="e">
        <f>_xll.LVCELL($D$1,J$3,$C66,$D$2,$C$4,$C$5,$C$6,$C$7,$C$8,$D$3)/1000</f>
        <v>#VALUE!</v>
      </c>
      <c r="K66" s="172" t="e">
        <f>_xll.LVCELL($D$1,K$3,$C66,$D$2,$C$4,$C$5,$C$6,$C$7,$C$8,$D$3)/1000</f>
        <v>#VALUE!</v>
      </c>
      <c r="L66" s="172" t="e">
        <f>_xll.LVCELL($D$1,L$3,$C66,$D$2,$C$4,$C$5,$C$6,$C$7,$C$8,$D$3)/1000</f>
        <v>#VALUE!</v>
      </c>
      <c r="M66" s="172" t="e">
        <f>_xll.LVCELL($D$1,M$3,$C66,$D$2,$C$4,$C$5,$C$6,$C$7,$C$8,$D$3)/1000</f>
        <v>#VALUE!</v>
      </c>
      <c r="N66" s="172" t="e">
        <f>_xll.LVCELL($D$1,N$3,$C66,$D$2,$C$4,$C$5,$C$6,$C$7,$C$8,$D$3)/1000</f>
        <v>#VALUE!</v>
      </c>
      <c r="O66" s="172" t="e">
        <f>_xll.LVCELL($D$1,O$3,$C66,$D$2,$C$4,$C$5,$C$6,$C$7,$C$8,$D$3)/1000</f>
        <v>#VALUE!</v>
      </c>
      <c r="P66" s="172" t="e">
        <f>_xll.LVCELL($D$1,P$3,$C66,$D$2,$C$4,$C$5,$C$6,$C$7,$C$8,$D$3)/1000</f>
        <v>#VALUE!</v>
      </c>
      <c r="Q66" s="172" t="e">
        <f>_xll.LVCELL($D$1,Q$2,$C66,$D$2,$C$4,$C$5,$C$6,$C$7,$C$8,$D$3)/1000</f>
        <v>#VALUE!</v>
      </c>
      <c r="R66" s="172" t="e">
        <f>_xll.LVCELL($D$1,R$3,$C66,$D$2,$C$4,$C$5,$C$6,$C$7,$C$8,$D$3)/1000</f>
        <v>#VALUE!</v>
      </c>
      <c r="S66" s="172" t="e">
        <f>_xll.LVCELL($D$1,S$3,$C66,$D$2,$C$4,$C$5,$C$6,$C$7,$C$8,$D$3)/1000</f>
        <v>#VALUE!</v>
      </c>
      <c r="T66" s="172" t="e">
        <f>_xll.LVCELL($D$1,T$3,$C66,$D$2,$C$4,$C$5,$C$6,$C$7,$C$8,$D$3)/1000</f>
        <v>#VALUE!</v>
      </c>
      <c r="U66" s="172" t="e">
        <f>_xll.LVCELL($D$1,U$3,$C66,$D$2,$C$4,$C$5,$C$6,$C$7,$C$8,$D$3)/1000</f>
        <v>#VALUE!</v>
      </c>
      <c r="V66" s="172" t="e">
        <f>_xll.LVCELL($D$1,V$3,$C66,$D$2,$C$4,$C$5,$C$6,$C$7,$C$8,$D$3)/1000</f>
        <v>#VALUE!</v>
      </c>
      <c r="W66" s="172" t="e">
        <f>_xll.LVCELL($D$1,W$3,$C66,$D$2,$C$4,$C$5,$C$6,$C$7,$C$8,$D$3)/1000</f>
        <v>#VALUE!</v>
      </c>
      <c r="X66" s="172" t="e">
        <f>_xll.LVCELL($D$1,X$3,$C66,$D$2,$C$4,$C$5,$C$6,$C$7,$C$8,$D$3)/1000</f>
        <v>#VALUE!</v>
      </c>
      <c r="Y66" s="172" t="e">
        <f>_xll.LVCELL($D$1,Y$3,$C66,$D$2,$C$4,$C$5,$C$6,$C$7,$C$8,$D$3)/1000</f>
        <v>#VALUE!</v>
      </c>
      <c r="Z66" s="172" t="e">
        <f>_xll.LVCELL($D$1,Z$3,$C66,$D$2,$C$4,$C$5,$C$6,$C$7,$C$8,$D$3)/1000</f>
        <v>#VALUE!</v>
      </c>
      <c r="AA66" s="172" t="e">
        <f>_xll.LVCELL($D$1,AA$3,$C66,$D$2,$C$4,$C$5,$C$6,$C$7,$C$8,$D$3)/1000</f>
        <v>#VALUE!</v>
      </c>
      <c r="AB66" s="172" t="e">
        <f>_xll.LVCELL($D$1,AB$3,$C66,$D$2,$C$4,$C$5,$C$6,$C$7,$C$8,$D$3)/1000</f>
        <v>#VALUE!</v>
      </c>
      <c r="AC66" s="172" t="e">
        <f>_xll.LVCELL($D$1,AC$3,$C66,$D$2,$C$4,$C$5,$C$6,$C$7,$C$8,$D$3)/1000</f>
        <v>#VALUE!</v>
      </c>
      <c r="AD66" s="172" t="e">
        <f>_xll.LVCELL($D$1,AD$2,$C66,$D$2,$C$4,$C$5,$C$6,$C$7,$C$8,$D$3)/1000</f>
        <v>#VALUE!</v>
      </c>
      <c r="AE66" s="172" t="e">
        <f t="shared" si="0"/>
        <v>#VALUE!</v>
      </c>
      <c r="AF66" s="193"/>
      <c r="AG66" s="207" t="s">
        <v>2731</v>
      </c>
      <c r="AH66" s="61" t="e">
        <f t="shared" si="2"/>
        <v>#VALUE!</v>
      </c>
      <c r="AI66" s="64" t="s">
        <v>2752</v>
      </c>
      <c r="AJ66" s="64" t="s">
        <v>374</v>
      </c>
      <c r="AK66" s="259" t="s">
        <v>374</v>
      </c>
      <c r="AL66" s="192" t="s">
        <v>492</v>
      </c>
      <c r="AM66" s="172" t="e">
        <f>_xll.LVCELL($AK$1,AM$3,$AK66,$AL$2,$AK$4,$AK$5,$AK$6,$AK$7,$AK$8,$AL$3)/1000</f>
        <v>#VALUE!</v>
      </c>
      <c r="AN66" s="172" t="e">
        <f>_xll.LVCELL($AK$1,AN$3,$AK66,$AL$2,$AK$4,$AK$5,$AK$6,$AK$7,$AK$8,$AL$3)/1000</f>
        <v>#VALUE!</v>
      </c>
      <c r="AO66" s="172" t="e">
        <f>_xll.LVCELL($AK$1,AO$3,$AK66,$AL$2,$AK$4,$AK$5,$AK$6,$AK$7,$AK$8,$AL$3)/1000</f>
        <v>#VALUE!</v>
      </c>
      <c r="AP66" s="172" t="e">
        <f>_xll.LVCELL($AK$1,AP$3,$AK66,$AL$2,$AK$4,$AK$5,$AK$6,$AK$7,$AK$8,$AL$3)/1000</f>
        <v>#VALUE!</v>
      </c>
      <c r="AQ66" s="172" t="e">
        <f>_xll.LVCELL($AK$1,AQ$3,$AK66,$AL$2,$AK$4,$AK$5,$AK$6,$AK$7,$AK$8,$AL$3)/1000</f>
        <v>#VALUE!</v>
      </c>
      <c r="AR66" s="172" t="e">
        <f>_xll.LVCELL($AK$1,AR$3,$AK66,$AL$2,$AK$4,$AK$5,$AK$6,$AK$7,$AK$8,$AL$3)/1000</f>
        <v>#VALUE!</v>
      </c>
      <c r="AS66" s="172" t="e">
        <f>_xll.LVCELL($AK$1,AS$3,$AK66,$AL$2,$AK$4,$AK$5,$AK$6,$AK$7,$AK$8,$AL$3)/1000</f>
        <v>#VALUE!</v>
      </c>
      <c r="AT66" s="172" t="e">
        <f>_xll.LVCELL($AK$1,AT$3,$AK66,$AL$2,$AK$4,$AK$5,$AK$6,$AK$7,$AK$8,$AL$3)/1000</f>
        <v>#VALUE!</v>
      </c>
      <c r="AU66" s="172" t="e">
        <f>_xll.LVCELL($AK$1,AU$3,$AK66,$AL$2,$AK$4,$AK$5,$AK$6,$AK$7,$AK$8,$AL$3)/1000</f>
        <v>#VALUE!</v>
      </c>
      <c r="AV66" s="172" t="e">
        <f>_xll.LVCELL($AK$1,AV$3,$AK66,$AL$2,$AK$4,$AK$5,$AK$6,$AK$7,$AK$8,$AL$3)/1000</f>
        <v>#VALUE!</v>
      </c>
      <c r="AW66" s="172" t="e">
        <f>_xll.LVCELL($AK$1,AW$3,$AK66,$AL$2,$AK$4,$AK$5,$AK$6,$AK$7,$AK$8,$AL$3)/1000</f>
        <v>#VALUE!</v>
      </c>
      <c r="AX66" s="172" t="e">
        <f>_xll.LVCELL($AK$1,AX$3,$AK66,$AL$2,$AK$4,$AK$5,$AK$6,$AK$7,$AK$8,$AL$3)/1000</f>
        <v>#VALUE!</v>
      </c>
      <c r="AY66" s="172" t="e">
        <f>_xll.LVCELL($AK$1,AY$2,$AK66,$AL$2,$AK$4,$AK$5,$AK$6,$AK$7,$AK$8,$AL$3)/1000</f>
        <v>#VALUE!</v>
      </c>
      <c r="AZ66" s="172" t="e">
        <f>_xll.LVCELL($AK$1,AZ$3,$AK66,$AL$2,$AK$4,$AK$5,$AK$6,$AK$7,$AK$8,$AL$3)/1000</f>
        <v>#VALUE!</v>
      </c>
      <c r="BA66" s="172" t="e">
        <f>_xll.LVCELL($AK$1,BA$3,$AK66,$AL$2,$AK$4,$AK$5,$AK$6,$AK$7,$AK$8,$AL$3)/1000</f>
        <v>#VALUE!</v>
      </c>
      <c r="BB66" s="172" t="e">
        <f>_xll.LVCELL($AK$1,BB$3,$AK66,$AL$2,$AK$4,$AK$5,$AK$6,$AK$7,$AK$8,$AL$3)/1000</f>
        <v>#VALUE!</v>
      </c>
      <c r="BC66" s="172" t="e">
        <f>_xll.LVCELL($AK$1,BC$3,$AK66,$AL$2,$AK$4,$AK$5,$AK$6,$AK$7,$AK$8,$AL$3)/1000</f>
        <v>#VALUE!</v>
      </c>
      <c r="BD66" s="172" t="e">
        <f>_xll.LVCELL($AK$1,BD$3,$AK66,$AL$2,$AK$4,$AK$5,$AK$6,$AK$7,$AK$8,$AL$3)/1000</f>
        <v>#VALUE!</v>
      </c>
      <c r="BE66" s="172" t="e">
        <f>_xll.LVCELL($AK$1,BE$3,$AK66,$AL$2,$AK$4,$AK$5,$AK$6,$AK$7,$AK$8,$AL$3)/1000</f>
        <v>#VALUE!</v>
      </c>
      <c r="BF66" s="172" t="e">
        <f>_xll.LVCELL($AK$1,BF$3,$AK66,$AL$2,$AK$4,$AK$5,$AK$6,$AK$7,$AK$8,$AL$3)/1000</f>
        <v>#VALUE!</v>
      </c>
      <c r="BG66" s="172" t="e">
        <f>_xll.LVCELL($AK$1,BG$3,$AK66,$AL$2,$AK$4,$AK$5,$AK$6,$AK$7,$AK$8,$AL$3)/1000</f>
        <v>#VALUE!</v>
      </c>
      <c r="BH66" s="172" t="e">
        <f>_xll.LVCELL($AK$1,BH$3,$AK66,$AL$2,$AK$4,$AK$5,$AK$6,$AK$7,$AK$8,$AL$3)/1000</f>
        <v>#VALUE!</v>
      </c>
      <c r="BI66" s="172" t="e">
        <f>_xll.LVCELL($AK$1,BI$3,$AK66,$AL$2,$AK$4,$AK$5,$AK$6,$AK$7,$AK$8,$AL$3)/1000</f>
        <v>#VALUE!</v>
      </c>
      <c r="BJ66" s="172" t="e">
        <f>_xll.LVCELL($AK$1,BJ$3,$AK66,$AL$2,$AK$4,$AK$5,$AK$6,$AK$7,$AK$8,$AL$3)/1000</f>
        <v>#VALUE!</v>
      </c>
      <c r="BK66" s="172" t="e">
        <f>_xll.LVCELL($AK$1,BK$3,$AK66,$AL$2,$AK$4,$AK$5,$AK$6,$AK$7,$AK$8,$AL$3)/1000</f>
        <v>#VALUE!</v>
      </c>
      <c r="BL66" s="172" t="e">
        <f>_xll.LVCELL($AK$1,BL$2,$AK66,$AL$2,$AK$4,$AK$5,$AK$6,$AK$7,$AK$8,$AL$3)/1000</f>
        <v>#VALUE!</v>
      </c>
      <c r="BM66" s="263" t="e">
        <f t="shared" si="3"/>
        <v>#VALUE!</v>
      </c>
      <c r="BN66" s="217" t="e">
        <f t="shared" si="4"/>
        <v>#VALUE!</v>
      </c>
      <c r="BO66" s="218" t="e">
        <f t="shared" si="4"/>
        <v>#VALUE!</v>
      </c>
      <c r="BP66" s="193" t="e">
        <f t="shared" si="5"/>
        <v>#VALUE!</v>
      </c>
      <c r="BQ66" s="172" t="s">
        <v>844</v>
      </c>
      <c r="BS66" s="198">
        <f t="shared" si="6"/>
        <v>0</v>
      </c>
      <c r="BT66" s="198">
        <f t="shared" si="7"/>
        <v>0</v>
      </c>
      <c r="BU66" s="198">
        <f t="shared" si="8"/>
        <v>0</v>
      </c>
      <c r="BV66" s="199" t="str">
        <f t="shared" si="9"/>
        <v>N/A</v>
      </c>
      <c r="BX66" s="200" t="e">
        <f t="shared" si="10"/>
        <v>#VALUE!</v>
      </c>
      <c r="BY66" s="200" t="e">
        <f t="shared" si="11"/>
        <v>#VALUE!</v>
      </c>
      <c r="BZ66" s="200" t="e">
        <f t="shared" si="12"/>
        <v>#VALUE!</v>
      </c>
    </row>
    <row r="67" spans="1:78">
      <c r="B67" s="64" t="s">
        <v>377</v>
      </c>
      <c r="C67" s="64" t="s">
        <v>377</v>
      </c>
      <c r="D67" s="192" t="s">
        <v>493</v>
      </c>
      <c r="E67" s="172" t="e">
        <f>_xll.LVCELL($D$1,E$3,$C67,$D$2,$C$4,$C$5,$C$6,$C$7,$C$8,$D$3)/1000</f>
        <v>#VALUE!</v>
      </c>
      <c r="F67" s="172" t="e">
        <f>_xll.LVCELL($D$1,F$3,$C67,$D$2,$C$4,$C$5,$C$6,$C$7,$C$8,$D$3)/1000</f>
        <v>#VALUE!</v>
      </c>
      <c r="G67" s="172" t="e">
        <f>_xll.LVCELL($D$1,G$3,$C67,$D$2,$C$4,$C$5,$C$6,$C$7,$C$8,$D$3)/1000</f>
        <v>#VALUE!</v>
      </c>
      <c r="H67" s="172" t="e">
        <f>_xll.LVCELL($D$1,H$3,$C67,$D$2,$C$4,$C$5,$C$6,$C$7,$C$8,$D$3)/1000</f>
        <v>#VALUE!</v>
      </c>
      <c r="I67" s="172" t="e">
        <f>_xll.LVCELL($D$1,I$3,$C67,$D$2,$C$4,$C$5,$C$6,$C$7,$C$8,$D$3)/1000</f>
        <v>#VALUE!</v>
      </c>
      <c r="J67" s="172" t="e">
        <f>_xll.LVCELL($D$1,J$3,$C67,$D$2,$C$4,$C$5,$C$6,$C$7,$C$8,$D$3)/1000</f>
        <v>#VALUE!</v>
      </c>
      <c r="K67" s="172" t="e">
        <f>_xll.LVCELL($D$1,K$3,$C67,$D$2,$C$4,$C$5,$C$6,$C$7,$C$8,$D$3)/1000</f>
        <v>#VALUE!</v>
      </c>
      <c r="L67" s="172" t="e">
        <f>_xll.LVCELL($D$1,L$3,$C67,$D$2,$C$4,$C$5,$C$6,$C$7,$C$8,$D$3)/1000</f>
        <v>#VALUE!</v>
      </c>
      <c r="M67" s="172" t="e">
        <f>_xll.LVCELL($D$1,M$3,$C67,$D$2,$C$4,$C$5,$C$6,$C$7,$C$8,$D$3)/1000</f>
        <v>#VALUE!</v>
      </c>
      <c r="N67" s="172" t="e">
        <f>_xll.LVCELL($D$1,N$3,$C67,$D$2,$C$4,$C$5,$C$6,$C$7,$C$8,$D$3)/1000</f>
        <v>#VALUE!</v>
      </c>
      <c r="O67" s="172" t="e">
        <f>_xll.LVCELL($D$1,O$3,$C67,$D$2,$C$4,$C$5,$C$6,$C$7,$C$8,$D$3)/1000</f>
        <v>#VALUE!</v>
      </c>
      <c r="P67" s="172" t="e">
        <f>_xll.LVCELL($D$1,P$3,$C67,$D$2,$C$4,$C$5,$C$6,$C$7,$C$8,$D$3)/1000</f>
        <v>#VALUE!</v>
      </c>
      <c r="Q67" s="172" t="e">
        <f>_xll.LVCELL($D$1,Q$2,$C67,$D$2,$C$4,$C$5,$C$6,$C$7,$C$8,$D$3)/1000</f>
        <v>#VALUE!</v>
      </c>
      <c r="R67" s="172" t="e">
        <f>_xll.LVCELL($D$1,R$3,$C67,$D$2,$C$4,$C$5,$C$6,$C$7,$C$8,$D$3)/1000</f>
        <v>#VALUE!</v>
      </c>
      <c r="S67" s="172" t="e">
        <f>_xll.LVCELL($D$1,S$3,$C67,$D$2,$C$4,$C$5,$C$6,$C$7,$C$8,$D$3)/1000</f>
        <v>#VALUE!</v>
      </c>
      <c r="T67" s="172" t="e">
        <f>_xll.LVCELL($D$1,T$3,$C67,$D$2,$C$4,$C$5,$C$6,$C$7,$C$8,$D$3)/1000</f>
        <v>#VALUE!</v>
      </c>
      <c r="U67" s="172" t="e">
        <f>_xll.LVCELL($D$1,U$3,$C67,$D$2,$C$4,$C$5,$C$6,$C$7,$C$8,$D$3)/1000</f>
        <v>#VALUE!</v>
      </c>
      <c r="V67" s="172" t="e">
        <f>_xll.LVCELL($D$1,V$3,$C67,$D$2,$C$4,$C$5,$C$6,$C$7,$C$8,$D$3)/1000</f>
        <v>#VALUE!</v>
      </c>
      <c r="W67" s="172" t="e">
        <f>_xll.LVCELL($D$1,W$3,$C67,$D$2,$C$4,$C$5,$C$6,$C$7,$C$8,$D$3)/1000</f>
        <v>#VALUE!</v>
      </c>
      <c r="X67" s="172" t="e">
        <f>_xll.LVCELL($D$1,X$3,$C67,$D$2,$C$4,$C$5,$C$6,$C$7,$C$8,$D$3)/1000</f>
        <v>#VALUE!</v>
      </c>
      <c r="Y67" s="172" t="e">
        <f>_xll.LVCELL($D$1,Y$3,$C67,$D$2,$C$4,$C$5,$C$6,$C$7,$C$8,$D$3)/1000</f>
        <v>#VALUE!</v>
      </c>
      <c r="Z67" s="172" t="e">
        <f>_xll.LVCELL($D$1,Z$3,$C67,$D$2,$C$4,$C$5,$C$6,$C$7,$C$8,$D$3)/1000</f>
        <v>#VALUE!</v>
      </c>
      <c r="AA67" s="172" t="e">
        <f>_xll.LVCELL($D$1,AA$3,$C67,$D$2,$C$4,$C$5,$C$6,$C$7,$C$8,$D$3)/1000</f>
        <v>#VALUE!</v>
      </c>
      <c r="AB67" s="172" t="e">
        <f>_xll.LVCELL($D$1,AB$3,$C67,$D$2,$C$4,$C$5,$C$6,$C$7,$C$8,$D$3)/1000</f>
        <v>#VALUE!</v>
      </c>
      <c r="AC67" s="172" t="e">
        <f>_xll.LVCELL($D$1,AC$3,$C67,$D$2,$C$4,$C$5,$C$6,$C$7,$C$8,$D$3)/1000</f>
        <v>#VALUE!</v>
      </c>
      <c r="AD67" s="172" t="e">
        <f>_xll.LVCELL($D$1,AD$2,$C67,$D$2,$C$4,$C$5,$C$6,$C$7,$C$8,$D$3)/1000</f>
        <v>#VALUE!</v>
      </c>
      <c r="AE67" s="172" t="e">
        <f t="shared" si="0"/>
        <v>#VALUE!</v>
      </c>
      <c r="AF67" s="193"/>
      <c r="AG67" s="207" t="s">
        <v>2731</v>
      </c>
      <c r="AH67" s="61" t="e">
        <f t="shared" si="2"/>
        <v>#VALUE!</v>
      </c>
      <c r="AI67" s="64" t="s">
        <v>2752</v>
      </c>
      <c r="AJ67" s="64" t="s">
        <v>377</v>
      </c>
      <c r="AK67" s="259" t="s">
        <v>377</v>
      </c>
      <c r="AL67" s="192" t="s">
        <v>493</v>
      </c>
      <c r="AM67" s="172" t="e">
        <f>_xll.LVCELL($AK$1,AM$3,$AK67,$AL$2,$AK$4,$AK$5,$AK$6,$AK$7,$AK$8,$AL$3)/1000</f>
        <v>#VALUE!</v>
      </c>
      <c r="AN67" s="172" t="e">
        <f>_xll.LVCELL($AK$1,AN$3,$AK67,$AL$2,$AK$4,$AK$5,$AK$6,$AK$7,$AK$8,$AL$3)/1000</f>
        <v>#VALUE!</v>
      </c>
      <c r="AO67" s="172" t="e">
        <f>_xll.LVCELL($AK$1,AO$3,$AK67,$AL$2,$AK$4,$AK$5,$AK$6,$AK$7,$AK$8,$AL$3)/1000</f>
        <v>#VALUE!</v>
      </c>
      <c r="AP67" s="172" t="e">
        <f>_xll.LVCELL($AK$1,AP$3,$AK67,$AL$2,$AK$4,$AK$5,$AK$6,$AK$7,$AK$8,$AL$3)/1000</f>
        <v>#VALUE!</v>
      </c>
      <c r="AQ67" s="172" t="e">
        <f>_xll.LVCELL($AK$1,AQ$3,$AK67,$AL$2,$AK$4,$AK$5,$AK$6,$AK$7,$AK$8,$AL$3)/1000</f>
        <v>#VALUE!</v>
      </c>
      <c r="AR67" s="172" t="e">
        <f>_xll.LVCELL($AK$1,AR$3,$AK67,$AL$2,$AK$4,$AK$5,$AK$6,$AK$7,$AK$8,$AL$3)/1000</f>
        <v>#VALUE!</v>
      </c>
      <c r="AS67" s="172" t="e">
        <f>_xll.LVCELL($AK$1,AS$3,$AK67,$AL$2,$AK$4,$AK$5,$AK$6,$AK$7,$AK$8,$AL$3)/1000</f>
        <v>#VALUE!</v>
      </c>
      <c r="AT67" s="172" t="e">
        <f>_xll.LVCELL($AK$1,AT$3,$AK67,$AL$2,$AK$4,$AK$5,$AK$6,$AK$7,$AK$8,$AL$3)/1000</f>
        <v>#VALUE!</v>
      </c>
      <c r="AU67" s="172" t="e">
        <f>_xll.LVCELL($AK$1,AU$3,$AK67,$AL$2,$AK$4,$AK$5,$AK$6,$AK$7,$AK$8,$AL$3)/1000</f>
        <v>#VALUE!</v>
      </c>
      <c r="AV67" s="172" t="e">
        <f>_xll.LVCELL($AK$1,AV$3,$AK67,$AL$2,$AK$4,$AK$5,$AK$6,$AK$7,$AK$8,$AL$3)/1000</f>
        <v>#VALUE!</v>
      </c>
      <c r="AW67" s="172" t="e">
        <f>_xll.LVCELL($AK$1,AW$3,$AK67,$AL$2,$AK$4,$AK$5,$AK$6,$AK$7,$AK$8,$AL$3)/1000</f>
        <v>#VALUE!</v>
      </c>
      <c r="AX67" s="172" t="e">
        <f>_xll.LVCELL($AK$1,AX$3,$AK67,$AL$2,$AK$4,$AK$5,$AK$6,$AK$7,$AK$8,$AL$3)/1000</f>
        <v>#VALUE!</v>
      </c>
      <c r="AY67" s="172" t="e">
        <f>_xll.LVCELL($AK$1,AY$2,$AK67,$AL$2,$AK$4,$AK$5,$AK$6,$AK$7,$AK$8,$AL$3)/1000</f>
        <v>#VALUE!</v>
      </c>
      <c r="AZ67" s="172" t="e">
        <f>_xll.LVCELL($AK$1,AZ$3,$AK67,$AL$2,$AK$4,$AK$5,$AK$6,$AK$7,$AK$8,$AL$3)/1000</f>
        <v>#VALUE!</v>
      </c>
      <c r="BA67" s="172" t="e">
        <f>_xll.LVCELL($AK$1,BA$3,$AK67,$AL$2,$AK$4,$AK$5,$AK$6,$AK$7,$AK$8,$AL$3)/1000</f>
        <v>#VALUE!</v>
      </c>
      <c r="BB67" s="172" t="e">
        <f>_xll.LVCELL($AK$1,BB$3,$AK67,$AL$2,$AK$4,$AK$5,$AK$6,$AK$7,$AK$8,$AL$3)/1000</f>
        <v>#VALUE!</v>
      </c>
      <c r="BC67" s="172" t="e">
        <f>_xll.LVCELL($AK$1,BC$3,$AK67,$AL$2,$AK$4,$AK$5,$AK$6,$AK$7,$AK$8,$AL$3)/1000</f>
        <v>#VALUE!</v>
      </c>
      <c r="BD67" s="172" t="e">
        <f>_xll.LVCELL($AK$1,BD$3,$AK67,$AL$2,$AK$4,$AK$5,$AK$6,$AK$7,$AK$8,$AL$3)/1000</f>
        <v>#VALUE!</v>
      </c>
      <c r="BE67" s="172" t="e">
        <f>_xll.LVCELL($AK$1,BE$3,$AK67,$AL$2,$AK$4,$AK$5,$AK$6,$AK$7,$AK$8,$AL$3)/1000</f>
        <v>#VALUE!</v>
      </c>
      <c r="BF67" s="172" t="e">
        <f>_xll.LVCELL($AK$1,BF$3,$AK67,$AL$2,$AK$4,$AK$5,$AK$6,$AK$7,$AK$8,$AL$3)/1000</f>
        <v>#VALUE!</v>
      </c>
      <c r="BG67" s="172" t="e">
        <f>_xll.LVCELL($AK$1,BG$3,$AK67,$AL$2,$AK$4,$AK$5,$AK$6,$AK$7,$AK$8,$AL$3)/1000</f>
        <v>#VALUE!</v>
      </c>
      <c r="BH67" s="172" t="e">
        <f>_xll.LVCELL($AK$1,BH$3,$AK67,$AL$2,$AK$4,$AK$5,$AK$6,$AK$7,$AK$8,$AL$3)/1000</f>
        <v>#VALUE!</v>
      </c>
      <c r="BI67" s="172" t="e">
        <f>_xll.LVCELL($AK$1,BI$3,$AK67,$AL$2,$AK$4,$AK$5,$AK$6,$AK$7,$AK$8,$AL$3)/1000</f>
        <v>#VALUE!</v>
      </c>
      <c r="BJ67" s="172" t="e">
        <f>_xll.LVCELL($AK$1,BJ$3,$AK67,$AL$2,$AK$4,$AK$5,$AK$6,$AK$7,$AK$8,$AL$3)/1000</f>
        <v>#VALUE!</v>
      </c>
      <c r="BK67" s="172" t="e">
        <f>_xll.LVCELL($AK$1,BK$3,$AK67,$AL$2,$AK$4,$AK$5,$AK$6,$AK$7,$AK$8,$AL$3)/1000</f>
        <v>#VALUE!</v>
      </c>
      <c r="BL67" s="172" t="e">
        <f>_xll.LVCELL($AK$1,BL$2,$AK67,$AL$2,$AK$4,$AK$5,$AK$6,$AK$7,$AK$8,$AL$3)/1000</f>
        <v>#VALUE!</v>
      </c>
      <c r="BM67" s="263" t="e">
        <f t="shared" si="3"/>
        <v>#VALUE!</v>
      </c>
      <c r="BN67" s="217" t="e">
        <f t="shared" si="4"/>
        <v>#VALUE!</v>
      </c>
      <c r="BO67" s="218" t="e">
        <f t="shared" si="4"/>
        <v>#VALUE!</v>
      </c>
      <c r="BP67" s="193" t="e">
        <f t="shared" si="5"/>
        <v>#VALUE!</v>
      </c>
      <c r="BQ67" s="172" t="s">
        <v>844</v>
      </c>
      <c r="BS67" s="198">
        <f t="shared" si="6"/>
        <v>0</v>
      </c>
      <c r="BT67" s="198">
        <f t="shared" si="7"/>
        <v>0</v>
      </c>
      <c r="BU67" s="198">
        <f t="shared" si="8"/>
        <v>0</v>
      </c>
      <c r="BV67" s="199" t="str">
        <f t="shared" si="9"/>
        <v>N/A</v>
      </c>
      <c r="BX67" s="200" t="e">
        <f t="shared" si="10"/>
        <v>#VALUE!</v>
      </c>
      <c r="BY67" s="200" t="e">
        <f t="shared" si="11"/>
        <v>#VALUE!</v>
      </c>
      <c r="BZ67" s="200" t="e">
        <f t="shared" si="12"/>
        <v>#VALUE!</v>
      </c>
    </row>
    <row r="68" spans="1:78">
      <c r="B68" s="64" t="s">
        <v>379</v>
      </c>
      <c r="C68" s="64" t="s">
        <v>379</v>
      </c>
      <c r="D68" s="192" t="s">
        <v>494</v>
      </c>
      <c r="E68" s="172" t="e">
        <f>_xll.LVCELL($D$1,E$3,$C68,$D$2,$C$4,$C$5,$C$6,$C$7,$C$8,$D$3)/1000</f>
        <v>#VALUE!</v>
      </c>
      <c r="F68" s="172" t="e">
        <f>_xll.LVCELL($D$1,F$3,$C68,$D$2,$C$4,$C$5,$C$6,$C$7,$C$8,$D$3)/1000</f>
        <v>#VALUE!</v>
      </c>
      <c r="G68" s="172" t="e">
        <f>_xll.LVCELL($D$1,G$3,$C68,$D$2,$C$4,$C$5,$C$6,$C$7,$C$8,$D$3)/1000</f>
        <v>#VALUE!</v>
      </c>
      <c r="H68" s="172" t="e">
        <f>_xll.LVCELL($D$1,H$3,$C68,$D$2,$C$4,$C$5,$C$6,$C$7,$C$8,$D$3)/1000</f>
        <v>#VALUE!</v>
      </c>
      <c r="I68" s="172" t="e">
        <f>_xll.LVCELL($D$1,I$3,$C68,$D$2,$C$4,$C$5,$C$6,$C$7,$C$8,$D$3)/1000</f>
        <v>#VALUE!</v>
      </c>
      <c r="J68" s="172" t="e">
        <f>_xll.LVCELL($D$1,J$3,$C68,$D$2,$C$4,$C$5,$C$6,$C$7,$C$8,$D$3)/1000</f>
        <v>#VALUE!</v>
      </c>
      <c r="K68" s="172" t="e">
        <f>_xll.LVCELL($D$1,K$3,$C68,$D$2,$C$4,$C$5,$C$6,$C$7,$C$8,$D$3)/1000</f>
        <v>#VALUE!</v>
      </c>
      <c r="L68" s="172" t="e">
        <f>_xll.LVCELL($D$1,L$3,$C68,$D$2,$C$4,$C$5,$C$6,$C$7,$C$8,$D$3)/1000</f>
        <v>#VALUE!</v>
      </c>
      <c r="M68" s="172" t="e">
        <f>_xll.LVCELL($D$1,M$3,$C68,$D$2,$C$4,$C$5,$C$6,$C$7,$C$8,$D$3)/1000</f>
        <v>#VALUE!</v>
      </c>
      <c r="N68" s="172" t="e">
        <f>_xll.LVCELL($D$1,N$3,$C68,$D$2,$C$4,$C$5,$C$6,$C$7,$C$8,$D$3)/1000</f>
        <v>#VALUE!</v>
      </c>
      <c r="O68" s="172" t="e">
        <f>_xll.LVCELL($D$1,O$3,$C68,$D$2,$C$4,$C$5,$C$6,$C$7,$C$8,$D$3)/1000</f>
        <v>#VALUE!</v>
      </c>
      <c r="P68" s="172" t="e">
        <f>_xll.LVCELL($D$1,P$3,$C68,$D$2,$C$4,$C$5,$C$6,$C$7,$C$8,$D$3)/1000</f>
        <v>#VALUE!</v>
      </c>
      <c r="Q68" s="172" t="e">
        <f>_xll.LVCELL($D$1,Q$2,$C68,$D$2,$C$4,$C$5,$C$6,$C$7,$C$8,$D$3)/1000</f>
        <v>#VALUE!</v>
      </c>
      <c r="R68" s="172" t="e">
        <f>_xll.LVCELL($D$1,R$3,$C68,$D$2,$C$4,$C$5,$C$6,$C$7,$C$8,$D$3)/1000</f>
        <v>#VALUE!</v>
      </c>
      <c r="S68" s="172" t="e">
        <f>_xll.LVCELL($D$1,S$3,$C68,$D$2,$C$4,$C$5,$C$6,$C$7,$C$8,$D$3)/1000</f>
        <v>#VALUE!</v>
      </c>
      <c r="T68" s="172" t="e">
        <f>_xll.LVCELL($D$1,T$3,$C68,$D$2,$C$4,$C$5,$C$6,$C$7,$C$8,$D$3)/1000</f>
        <v>#VALUE!</v>
      </c>
      <c r="U68" s="172" t="e">
        <f>_xll.LVCELL($D$1,U$3,$C68,$D$2,$C$4,$C$5,$C$6,$C$7,$C$8,$D$3)/1000</f>
        <v>#VALUE!</v>
      </c>
      <c r="V68" s="172" t="e">
        <f>_xll.LVCELL($D$1,V$3,$C68,$D$2,$C$4,$C$5,$C$6,$C$7,$C$8,$D$3)/1000</f>
        <v>#VALUE!</v>
      </c>
      <c r="W68" s="172" t="e">
        <f>_xll.LVCELL($D$1,W$3,$C68,$D$2,$C$4,$C$5,$C$6,$C$7,$C$8,$D$3)/1000</f>
        <v>#VALUE!</v>
      </c>
      <c r="X68" s="172" t="e">
        <f>_xll.LVCELL($D$1,X$3,$C68,$D$2,$C$4,$C$5,$C$6,$C$7,$C$8,$D$3)/1000</f>
        <v>#VALUE!</v>
      </c>
      <c r="Y68" s="172" t="e">
        <f>_xll.LVCELL($D$1,Y$3,$C68,$D$2,$C$4,$C$5,$C$6,$C$7,$C$8,$D$3)/1000</f>
        <v>#VALUE!</v>
      </c>
      <c r="Z68" s="172" t="e">
        <f>_xll.LVCELL($D$1,Z$3,$C68,$D$2,$C$4,$C$5,$C$6,$C$7,$C$8,$D$3)/1000</f>
        <v>#VALUE!</v>
      </c>
      <c r="AA68" s="172" t="e">
        <f>_xll.LVCELL($D$1,AA$3,$C68,$D$2,$C$4,$C$5,$C$6,$C$7,$C$8,$D$3)/1000</f>
        <v>#VALUE!</v>
      </c>
      <c r="AB68" s="172" t="e">
        <f>_xll.LVCELL($D$1,AB$3,$C68,$D$2,$C$4,$C$5,$C$6,$C$7,$C$8,$D$3)/1000</f>
        <v>#VALUE!</v>
      </c>
      <c r="AC68" s="172" t="e">
        <f>_xll.LVCELL($D$1,AC$3,$C68,$D$2,$C$4,$C$5,$C$6,$C$7,$C$8,$D$3)/1000</f>
        <v>#VALUE!</v>
      </c>
      <c r="AD68" s="172" t="e">
        <f>_xll.LVCELL($D$1,AD$2,$C68,$D$2,$C$4,$C$5,$C$6,$C$7,$C$8,$D$3)/1000</f>
        <v>#VALUE!</v>
      </c>
      <c r="AE68" s="172" t="e">
        <f t="shared" si="0"/>
        <v>#VALUE!</v>
      </c>
      <c r="AF68" s="193"/>
      <c r="AG68" s="207" t="s">
        <v>2731</v>
      </c>
      <c r="AH68" s="61" t="e">
        <f t="shared" si="2"/>
        <v>#VALUE!</v>
      </c>
      <c r="AI68" s="64" t="s">
        <v>2752</v>
      </c>
      <c r="AJ68" s="64" t="s">
        <v>379</v>
      </c>
      <c r="AK68" s="259" t="s">
        <v>379</v>
      </c>
      <c r="AL68" s="192" t="s">
        <v>494</v>
      </c>
      <c r="AM68" s="172" t="e">
        <f>_xll.LVCELL($AK$1,AM$3,$AK68,$AL$2,$AK$4,$AK$5,$AK$6,$AK$7,$AK$8,$AL$3)/1000</f>
        <v>#VALUE!</v>
      </c>
      <c r="AN68" s="172" t="e">
        <f>_xll.LVCELL($AK$1,AN$3,$AK68,$AL$2,$AK$4,$AK$5,$AK$6,$AK$7,$AK$8,$AL$3)/1000</f>
        <v>#VALUE!</v>
      </c>
      <c r="AO68" s="172" t="e">
        <f>_xll.LVCELL($AK$1,AO$3,$AK68,$AL$2,$AK$4,$AK$5,$AK$6,$AK$7,$AK$8,$AL$3)/1000</f>
        <v>#VALUE!</v>
      </c>
      <c r="AP68" s="172" t="e">
        <f>_xll.LVCELL($AK$1,AP$3,$AK68,$AL$2,$AK$4,$AK$5,$AK$6,$AK$7,$AK$8,$AL$3)/1000</f>
        <v>#VALUE!</v>
      </c>
      <c r="AQ68" s="172" t="e">
        <f>_xll.LVCELL($AK$1,AQ$3,$AK68,$AL$2,$AK$4,$AK$5,$AK$6,$AK$7,$AK$8,$AL$3)/1000</f>
        <v>#VALUE!</v>
      </c>
      <c r="AR68" s="172" t="e">
        <f>_xll.LVCELL($AK$1,AR$3,$AK68,$AL$2,$AK$4,$AK$5,$AK$6,$AK$7,$AK$8,$AL$3)/1000</f>
        <v>#VALUE!</v>
      </c>
      <c r="AS68" s="172" t="e">
        <f>_xll.LVCELL($AK$1,AS$3,$AK68,$AL$2,$AK$4,$AK$5,$AK$6,$AK$7,$AK$8,$AL$3)/1000</f>
        <v>#VALUE!</v>
      </c>
      <c r="AT68" s="172" t="e">
        <f>_xll.LVCELL($AK$1,AT$3,$AK68,$AL$2,$AK$4,$AK$5,$AK$6,$AK$7,$AK$8,$AL$3)/1000</f>
        <v>#VALUE!</v>
      </c>
      <c r="AU68" s="172" t="e">
        <f>_xll.LVCELL($AK$1,AU$3,$AK68,$AL$2,$AK$4,$AK$5,$AK$6,$AK$7,$AK$8,$AL$3)/1000</f>
        <v>#VALUE!</v>
      </c>
      <c r="AV68" s="172" t="e">
        <f>_xll.LVCELL($AK$1,AV$3,$AK68,$AL$2,$AK$4,$AK$5,$AK$6,$AK$7,$AK$8,$AL$3)/1000</f>
        <v>#VALUE!</v>
      </c>
      <c r="AW68" s="172" t="e">
        <f>_xll.LVCELL($AK$1,AW$3,$AK68,$AL$2,$AK$4,$AK$5,$AK$6,$AK$7,$AK$8,$AL$3)/1000</f>
        <v>#VALUE!</v>
      </c>
      <c r="AX68" s="172" t="e">
        <f>_xll.LVCELL($AK$1,AX$3,$AK68,$AL$2,$AK$4,$AK$5,$AK$6,$AK$7,$AK$8,$AL$3)/1000</f>
        <v>#VALUE!</v>
      </c>
      <c r="AY68" s="172" t="e">
        <f>_xll.LVCELL($AK$1,AY$2,$AK68,$AL$2,$AK$4,$AK$5,$AK$6,$AK$7,$AK$8,$AL$3)/1000</f>
        <v>#VALUE!</v>
      </c>
      <c r="AZ68" s="172" t="e">
        <f>_xll.LVCELL($AK$1,AZ$3,$AK68,$AL$2,$AK$4,$AK$5,$AK$6,$AK$7,$AK$8,$AL$3)/1000</f>
        <v>#VALUE!</v>
      </c>
      <c r="BA68" s="172" t="e">
        <f>_xll.LVCELL($AK$1,BA$3,$AK68,$AL$2,$AK$4,$AK$5,$AK$6,$AK$7,$AK$8,$AL$3)/1000</f>
        <v>#VALUE!</v>
      </c>
      <c r="BB68" s="172" t="e">
        <f>_xll.LVCELL($AK$1,BB$3,$AK68,$AL$2,$AK$4,$AK$5,$AK$6,$AK$7,$AK$8,$AL$3)/1000</f>
        <v>#VALUE!</v>
      </c>
      <c r="BC68" s="172" t="e">
        <f>_xll.LVCELL($AK$1,BC$3,$AK68,$AL$2,$AK$4,$AK$5,$AK$6,$AK$7,$AK$8,$AL$3)/1000</f>
        <v>#VALUE!</v>
      </c>
      <c r="BD68" s="172" t="e">
        <f>_xll.LVCELL($AK$1,BD$3,$AK68,$AL$2,$AK$4,$AK$5,$AK$6,$AK$7,$AK$8,$AL$3)/1000</f>
        <v>#VALUE!</v>
      </c>
      <c r="BE68" s="172" t="e">
        <f>_xll.LVCELL($AK$1,BE$3,$AK68,$AL$2,$AK$4,$AK$5,$AK$6,$AK$7,$AK$8,$AL$3)/1000</f>
        <v>#VALUE!</v>
      </c>
      <c r="BF68" s="172" t="e">
        <f>_xll.LVCELL($AK$1,BF$3,$AK68,$AL$2,$AK$4,$AK$5,$AK$6,$AK$7,$AK$8,$AL$3)/1000</f>
        <v>#VALUE!</v>
      </c>
      <c r="BG68" s="172" t="e">
        <f>_xll.LVCELL($AK$1,BG$3,$AK68,$AL$2,$AK$4,$AK$5,$AK$6,$AK$7,$AK$8,$AL$3)/1000</f>
        <v>#VALUE!</v>
      </c>
      <c r="BH68" s="172" t="e">
        <f>_xll.LVCELL($AK$1,BH$3,$AK68,$AL$2,$AK$4,$AK$5,$AK$6,$AK$7,$AK$8,$AL$3)/1000</f>
        <v>#VALUE!</v>
      </c>
      <c r="BI68" s="172" t="e">
        <f>_xll.LVCELL($AK$1,BI$3,$AK68,$AL$2,$AK$4,$AK$5,$AK$6,$AK$7,$AK$8,$AL$3)/1000</f>
        <v>#VALUE!</v>
      </c>
      <c r="BJ68" s="172" t="e">
        <f>_xll.LVCELL($AK$1,BJ$3,$AK68,$AL$2,$AK$4,$AK$5,$AK$6,$AK$7,$AK$8,$AL$3)/1000</f>
        <v>#VALUE!</v>
      </c>
      <c r="BK68" s="172" t="e">
        <f>_xll.LVCELL($AK$1,BK$3,$AK68,$AL$2,$AK$4,$AK$5,$AK$6,$AK$7,$AK$8,$AL$3)/1000</f>
        <v>#VALUE!</v>
      </c>
      <c r="BL68" s="172" t="e">
        <f>_xll.LVCELL($AK$1,BL$2,$AK68,$AL$2,$AK$4,$AK$5,$AK$6,$AK$7,$AK$8,$AL$3)/1000</f>
        <v>#VALUE!</v>
      </c>
      <c r="BM68" s="263" t="e">
        <f t="shared" si="3"/>
        <v>#VALUE!</v>
      </c>
      <c r="BN68" s="217" t="e">
        <f t="shared" si="4"/>
        <v>#VALUE!</v>
      </c>
      <c r="BO68" s="218" t="e">
        <f t="shared" si="4"/>
        <v>#VALUE!</v>
      </c>
      <c r="BP68" s="193" t="e">
        <f t="shared" si="5"/>
        <v>#VALUE!</v>
      </c>
      <c r="BQ68" s="172" t="s">
        <v>844</v>
      </c>
      <c r="BS68" s="198">
        <f t="shared" si="6"/>
        <v>0</v>
      </c>
      <c r="BT68" s="198">
        <f t="shared" si="7"/>
        <v>0</v>
      </c>
      <c r="BU68" s="198">
        <f t="shared" si="8"/>
        <v>0</v>
      </c>
      <c r="BV68" s="199" t="str">
        <f t="shared" si="9"/>
        <v>N/A</v>
      </c>
      <c r="BX68" s="200" t="e">
        <f t="shared" si="10"/>
        <v>#VALUE!</v>
      </c>
      <c r="BY68" s="200" t="e">
        <f t="shared" si="11"/>
        <v>#VALUE!</v>
      </c>
      <c r="BZ68" s="200" t="e">
        <f t="shared" si="12"/>
        <v>#VALUE!</v>
      </c>
    </row>
    <row r="69" spans="1:78">
      <c r="B69" s="64" t="s">
        <v>384</v>
      </c>
      <c r="C69" s="64" t="s">
        <v>384</v>
      </c>
      <c r="D69" s="192" t="s">
        <v>495</v>
      </c>
      <c r="E69" s="172" t="e">
        <f>_xll.LVCELL($D$1,E$3,$C69,$D$2,$C$4,$C$5,$C$6,$C$7,$C$8,$D$3)/1000</f>
        <v>#VALUE!</v>
      </c>
      <c r="F69" s="172" t="e">
        <f>_xll.LVCELL($D$1,F$3,$C69,$D$2,$C$4,$C$5,$C$6,$C$7,$C$8,$D$3)/1000</f>
        <v>#VALUE!</v>
      </c>
      <c r="G69" s="172" t="e">
        <f>_xll.LVCELL($D$1,G$3,$C69,$D$2,$C$4,$C$5,$C$6,$C$7,$C$8,$D$3)/1000</f>
        <v>#VALUE!</v>
      </c>
      <c r="H69" s="172" t="e">
        <f>_xll.LVCELL($D$1,H$3,$C69,$D$2,$C$4,$C$5,$C$6,$C$7,$C$8,$D$3)/1000</f>
        <v>#VALUE!</v>
      </c>
      <c r="I69" s="172" t="e">
        <f>_xll.LVCELL($D$1,I$3,$C69,$D$2,$C$4,$C$5,$C$6,$C$7,$C$8,$D$3)/1000</f>
        <v>#VALUE!</v>
      </c>
      <c r="J69" s="172" t="e">
        <f>_xll.LVCELL($D$1,J$3,$C69,$D$2,$C$4,$C$5,$C$6,$C$7,$C$8,$D$3)/1000</f>
        <v>#VALUE!</v>
      </c>
      <c r="K69" s="172" t="e">
        <f>_xll.LVCELL($D$1,K$3,$C69,$D$2,$C$4,$C$5,$C$6,$C$7,$C$8,$D$3)/1000</f>
        <v>#VALUE!</v>
      </c>
      <c r="L69" s="172" t="e">
        <f>_xll.LVCELL($D$1,L$3,$C69,$D$2,$C$4,$C$5,$C$6,$C$7,$C$8,$D$3)/1000</f>
        <v>#VALUE!</v>
      </c>
      <c r="M69" s="172" t="e">
        <f>_xll.LVCELL($D$1,M$3,$C69,$D$2,$C$4,$C$5,$C$6,$C$7,$C$8,$D$3)/1000</f>
        <v>#VALUE!</v>
      </c>
      <c r="N69" s="172" t="e">
        <f>_xll.LVCELL($D$1,N$3,$C69,$D$2,$C$4,$C$5,$C$6,$C$7,$C$8,$D$3)/1000</f>
        <v>#VALUE!</v>
      </c>
      <c r="O69" s="172" t="e">
        <f>_xll.LVCELL($D$1,O$3,$C69,$D$2,$C$4,$C$5,$C$6,$C$7,$C$8,$D$3)/1000</f>
        <v>#VALUE!</v>
      </c>
      <c r="P69" s="172" t="e">
        <f>_xll.LVCELL($D$1,P$3,$C69,$D$2,$C$4,$C$5,$C$6,$C$7,$C$8,$D$3)/1000</f>
        <v>#VALUE!</v>
      </c>
      <c r="Q69" s="172" t="e">
        <f>_xll.LVCELL($D$1,Q$2,$C69,$D$2,$C$4,$C$5,$C$6,$C$7,$C$8,$D$3)/1000</f>
        <v>#VALUE!</v>
      </c>
      <c r="R69" s="172" t="e">
        <f>_xll.LVCELL($D$1,R$3,$C69,$D$2,$C$4,$C$5,$C$6,$C$7,$C$8,$D$3)/1000</f>
        <v>#VALUE!</v>
      </c>
      <c r="S69" s="172" t="e">
        <f>_xll.LVCELL($D$1,S$3,$C69,$D$2,$C$4,$C$5,$C$6,$C$7,$C$8,$D$3)/1000</f>
        <v>#VALUE!</v>
      </c>
      <c r="T69" s="172" t="e">
        <f>_xll.LVCELL($D$1,T$3,$C69,$D$2,$C$4,$C$5,$C$6,$C$7,$C$8,$D$3)/1000</f>
        <v>#VALUE!</v>
      </c>
      <c r="U69" s="172" t="e">
        <f>_xll.LVCELL($D$1,U$3,$C69,$D$2,$C$4,$C$5,$C$6,$C$7,$C$8,$D$3)/1000</f>
        <v>#VALUE!</v>
      </c>
      <c r="V69" s="172" t="e">
        <f>_xll.LVCELL($D$1,V$3,$C69,$D$2,$C$4,$C$5,$C$6,$C$7,$C$8,$D$3)/1000</f>
        <v>#VALUE!</v>
      </c>
      <c r="W69" s="172" t="e">
        <f>_xll.LVCELL($D$1,W$3,$C69,$D$2,$C$4,$C$5,$C$6,$C$7,$C$8,$D$3)/1000</f>
        <v>#VALUE!</v>
      </c>
      <c r="X69" s="172" t="e">
        <f>_xll.LVCELL($D$1,X$3,$C69,$D$2,$C$4,$C$5,$C$6,$C$7,$C$8,$D$3)/1000</f>
        <v>#VALUE!</v>
      </c>
      <c r="Y69" s="172" t="e">
        <f>_xll.LVCELL($D$1,Y$3,$C69,$D$2,$C$4,$C$5,$C$6,$C$7,$C$8,$D$3)/1000</f>
        <v>#VALUE!</v>
      </c>
      <c r="Z69" s="172" t="e">
        <f>_xll.LVCELL($D$1,Z$3,$C69,$D$2,$C$4,$C$5,$C$6,$C$7,$C$8,$D$3)/1000</f>
        <v>#VALUE!</v>
      </c>
      <c r="AA69" s="172" t="e">
        <f>_xll.LVCELL($D$1,AA$3,$C69,$D$2,$C$4,$C$5,$C$6,$C$7,$C$8,$D$3)/1000</f>
        <v>#VALUE!</v>
      </c>
      <c r="AB69" s="172" t="e">
        <f>_xll.LVCELL($D$1,AB$3,$C69,$D$2,$C$4,$C$5,$C$6,$C$7,$C$8,$D$3)/1000</f>
        <v>#VALUE!</v>
      </c>
      <c r="AC69" s="172" t="e">
        <f>_xll.LVCELL($D$1,AC$3,$C69,$D$2,$C$4,$C$5,$C$6,$C$7,$C$8,$D$3)/1000</f>
        <v>#VALUE!</v>
      </c>
      <c r="AD69" s="172" t="e">
        <f>_xll.LVCELL($D$1,AD$2,$C69,$D$2,$C$4,$C$5,$C$6,$C$7,$C$8,$D$3)/1000</f>
        <v>#VALUE!</v>
      </c>
      <c r="AE69" s="172" t="e">
        <f t="shared" si="0"/>
        <v>#VALUE!</v>
      </c>
      <c r="AF69" s="193"/>
      <c r="AG69" s="207" t="s">
        <v>2731</v>
      </c>
      <c r="AH69" s="61" t="e">
        <f t="shared" si="2"/>
        <v>#VALUE!</v>
      </c>
      <c r="AI69" s="64" t="s">
        <v>2752</v>
      </c>
      <c r="AJ69" s="64" t="s">
        <v>384</v>
      </c>
      <c r="AK69" s="259" t="s">
        <v>384</v>
      </c>
      <c r="AL69" s="192" t="s">
        <v>495</v>
      </c>
      <c r="AM69" s="172" t="e">
        <f>_xll.LVCELL($AK$1,AM$3,$AK69,$AL$2,$AK$4,$AK$5,$AK$6,$AK$7,$AK$8,$AL$3)/1000</f>
        <v>#VALUE!</v>
      </c>
      <c r="AN69" s="172" t="e">
        <f>_xll.LVCELL($AK$1,AN$3,$AK69,$AL$2,$AK$4,$AK$5,$AK$6,$AK$7,$AK$8,$AL$3)/1000</f>
        <v>#VALUE!</v>
      </c>
      <c r="AO69" s="172" t="e">
        <f>_xll.LVCELL($AK$1,AO$3,$AK69,$AL$2,$AK$4,$AK$5,$AK$6,$AK$7,$AK$8,$AL$3)/1000</f>
        <v>#VALUE!</v>
      </c>
      <c r="AP69" s="172" t="e">
        <f>_xll.LVCELL($AK$1,AP$3,$AK69,$AL$2,$AK$4,$AK$5,$AK$6,$AK$7,$AK$8,$AL$3)/1000</f>
        <v>#VALUE!</v>
      </c>
      <c r="AQ69" s="172" t="e">
        <f>_xll.LVCELL($AK$1,AQ$3,$AK69,$AL$2,$AK$4,$AK$5,$AK$6,$AK$7,$AK$8,$AL$3)/1000</f>
        <v>#VALUE!</v>
      </c>
      <c r="AR69" s="172" t="e">
        <f>_xll.LVCELL($AK$1,AR$3,$AK69,$AL$2,$AK$4,$AK$5,$AK$6,$AK$7,$AK$8,$AL$3)/1000</f>
        <v>#VALUE!</v>
      </c>
      <c r="AS69" s="172" t="e">
        <f>_xll.LVCELL($AK$1,AS$3,$AK69,$AL$2,$AK$4,$AK$5,$AK$6,$AK$7,$AK$8,$AL$3)/1000</f>
        <v>#VALUE!</v>
      </c>
      <c r="AT69" s="172" t="e">
        <f>_xll.LVCELL($AK$1,AT$3,$AK69,$AL$2,$AK$4,$AK$5,$AK$6,$AK$7,$AK$8,$AL$3)/1000</f>
        <v>#VALUE!</v>
      </c>
      <c r="AU69" s="172" t="e">
        <f>_xll.LVCELL($AK$1,AU$3,$AK69,$AL$2,$AK$4,$AK$5,$AK$6,$AK$7,$AK$8,$AL$3)/1000</f>
        <v>#VALUE!</v>
      </c>
      <c r="AV69" s="172" t="e">
        <f>_xll.LVCELL($AK$1,AV$3,$AK69,$AL$2,$AK$4,$AK$5,$AK$6,$AK$7,$AK$8,$AL$3)/1000</f>
        <v>#VALUE!</v>
      </c>
      <c r="AW69" s="172" t="e">
        <f>_xll.LVCELL($AK$1,AW$3,$AK69,$AL$2,$AK$4,$AK$5,$AK$6,$AK$7,$AK$8,$AL$3)/1000</f>
        <v>#VALUE!</v>
      </c>
      <c r="AX69" s="172" t="e">
        <f>_xll.LVCELL($AK$1,AX$3,$AK69,$AL$2,$AK$4,$AK$5,$AK$6,$AK$7,$AK$8,$AL$3)/1000</f>
        <v>#VALUE!</v>
      </c>
      <c r="AY69" s="172" t="e">
        <f>_xll.LVCELL($AK$1,AY$2,$AK69,$AL$2,$AK$4,$AK$5,$AK$6,$AK$7,$AK$8,$AL$3)/1000</f>
        <v>#VALUE!</v>
      </c>
      <c r="AZ69" s="172" t="e">
        <f>_xll.LVCELL($AK$1,AZ$3,$AK69,$AL$2,$AK$4,$AK$5,$AK$6,$AK$7,$AK$8,$AL$3)/1000</f>
        <v>#VALUE!</v>
      </c>
      <c r="BA69" s="172" t="e">
        <f>_xll.LVCELL($AK$1,BA$3,$AK69,$AL$2,$AK$4,$AK$5,$AK$6,$AK$7,$AK$8,$AL$3)/1000</f>
        <v>#VALUE!</v>
      </c>
      <c r="BB69" s="172" t="e">
        <f>_xll.LVCELL($AK$1,BB$3,$AK69,$AL$2,$AK$4,$AK$5,$AK$6,$AK$7,$AK$8,$AL$3)/1000</f>
        <v>#VALUE!</v>
      </c>
      <c r="BC69" s="172" t="e">
        <f>_xll.LVCELL($AK$1,BC$3,$AK69,$AL$2,$AK$4,$AK$5,$AK$6,$AK$7,$AK$8,$AL$3)/1000</f>
        <v>#VALUE!</v>
      </c>
      <c r="BD69" s="172" t="e">
        <f>_xll.LVCELL($AK$1,BD$3,$AK69,$AL$2,$AK$4,$AK$5,$AK$6,$AK$7,$AK$8,$AL$3)/1000</f>
        <v>#VALUE!</v>
      </c>
      <c r="BE69" s="172" t="e">
        <f>_xll.LVCELL($AK$1,BE$3,$AK69,$AL$2,$AK$4,$AK$5,$AK$6,$AK$7,$AK$8,$AL$3)/1000</f>
        <v>#VALUE!</v>
      </c>
      <c r="BF69" s="172" t="e">
        <f>_xll.LVCELL($AK$1,BF$3,$AK69,$AL$2,$AK$4,$AK$5,$AK$6,$AK$7,$AK$8,$AL$3)/1000</f>
        <v>#VALUE!</v>
      </c>
      <c r="BG69" s="172" t="e">
        <f>_xll.LVCELL($AK$1,BG$3,$AK69,$AL$2,$AK$4,$AK$5,$AK$6,$AK$7,$AK$8,$AL$3)/1000</f>
        <v>#VALUE!</v>
      </c>
      <c r="BH69" s="172" t="e">
        <f>_xll.LVCELL($AK$1,BH$3,$AK69,$AL$2,$AK$4,$AK$5,$AK$6,$AK$7,$AK$8,$AL$3)/1000</f>
        <v>#VALUE!</v>
      </c>
      <c r="BI69" s="172" t="e">
        <f>_xll.LVCELL($AK$1,BI$3,$AK69,$AL$2,$AK$4,$AK$5,$AK$6,$AK$7,$AK$8,$AL$3)/1000</f>
        <v>#VALUE!</v>
      </c>
      <c r="BJ69" s="172" t="e">
        <f>_xll.LVCELL($AK$1,BJ$3,$AK69,$AL$2,$AK$4,$AK$5,$AK$6,$AK$7,$AK$8,$AL$3)/1000</f>
        <v>#VALUE!</v>
      </c>
      <c r="BK69" s="172" t="e">
        <f>_xll.LVCELL($AK$1,BK$3,$AK69,$AL$2,$AK$4,$AK$5,$AK$6,$AK$7,$AK$8,$AL$3)/1000</f>
        <v>#VALUE!</v>
      </c>
      <c r="BL69" s="172" t="e">
        <f>_xll.LVCELL($AK$1,BL$2,$AK69,$AL$2,$AK$4,$AK$5,$AK$6,$AK$7,$AK$8,$AL$3)/1000</f>
        <v>#VALUE!</v>
      </c>
      <c r="BM69" s="263" t="e">
        <f t="shared" si="3"/>
        <v>#VALUE!</v>
      </c>
      <c r="BN69" s="217" t="e">
        <f t="shared" si="4"/>
        <v>#VALUE!</v>
      </c>
      <c r="BO69" s="218" t="e">
        <f t="shared" si="4"/>
        <v>#VALUE!</v>
      </c>
      <c r="BP69" s="193" t="e">
        <f t="shared" si="5"/>
        <v>#VALUE!</v>
      </c>
      <c r="BQ69" s="172" t="s">
        <v>844</v>
      </c>
      <c r="BS69" s="198">
        <f t="shared" si="6"/>
        <v>0</v>
      </c>
      <c r="BT69" s="198">
        <f t="shared" si="7"/>
        <v>0</v>
      </c>
      <c r="BU69" s="198">
        <f t="shared" si="8"/>
        <v>0</v>
      </c>
      <c r="BV69" s="199" t="str">
        <f t="shared" si="9"/>
        <v>N/A</v>
      </c>
      <c r="BX69" s="200" t="e">
        <f t="shared" si="10"/>
        <v>#VALUE!</v>
      </c>
      <c r="BY69" s="200" t="e">
        <f t="shared" si="11"/>
        <v>#VALUE!</v>
      </c>
      <c r="BZ69" s="200" t="e">
        <f t="shared" si="12"/>
        <v>#VALUE!</v>
      </c>
    </row>
    <row r="70" spans="1:78">
      <c r="B70" s="64" t="s">
        <v>381</v>
      </c>
      <c r="C70" s="64" t="s">
        <v>381</v>
      </c>
      <c r="D70" s="192" t="s">
        <v>496</v>
      </c>
      <c r="E70" s="172" t="e">
        <f>_xll.LVCELL($D$1,E$3,$C70,$D$2,$C$4,$C$5,$C$6,$C$7,$C$8,$D$3)/1000</f>
        <v>#VALUE!</v>
      </c>
      <c r="F70" s="172" t="e">
        <f>_xll.LVCELL($D$1,F$3,$C70,$D$2,$C$4,$C$5,$C$6,$C$7,$C$8,$D$3)/1000</f>
        <v>#VALUE!</v>
      </c>
      <c r="G70" s="172" t="e">
        <f>_xll.LVCELL($D$1,G$3,$C70,$D$2,$C$4,$C$5,$C$6,$C$7,$C$8,$D$3)/1000</f>
        <v>#VALUE!</v>
      </c>
      <c r="H70" s="172" t="e">
        <f>_xll.LVCELL($D$1,H$3,$C70,$D$2,$C$4,$C$5,$C$6,$C$7,$C$8,$D$3)/1000</f>
        <v>#VALUE!</v>
      </c>
      <c r="I70" s="172" t="e">
        <f>_xll.LVCELL($D$1,I$3,$C70,$D$2,$C$4,$C$5,$C$6,$C$7,$C$8,$D$3)/1000</f>
        <v>#VALUE!</v>
      </c>
      <c r="J70" s="172" t="e">
        <f>_xll.LVCELL($D$1,J$3,$C70,$D$2,$C$4,$C$5,$C$6,$C$7,$C$8,$D$3)/1000</f>
        <v>#VALUE!</v>
      </c>
      <c r="K70" s="172" t="e">
        <f>_xll.LVCELL($D$1,K$3,$C70,$D$2,$C$4,$C$5,$C$6,$C$7,$C$8,$D$3)/1000</f>
        <v>#VALUE!</v>
      </c>
      <c r="L70" s="172" t="e">
        <f>_xll.LVCELL($D$1,L$3,$C70,$D$2,$C$4,$C$5,$C$6,$C$7,$C$8,$D$3)/1000</f>
        <v>#VALUE!</v>
      </c>
      <c r="M70" s="172" t="e">
        <f>_xll.LVCELL($D$1,M$3,$C70,$D$2,$C$4,$C$5,$C$6,$C$7,$C$8,$D$3)/1000</f>
        <v>#VALUE!</v>
      </c>
      <c r="N70" s="172" t="e">
        <f>_xll.LVCELL($D$1,N$3,$C70,$D$2,$C$4,$C$5,$C$6,$C$7,$C$8,$D$3)/1000</f>
        <v>#VALUE!</v>
      </c>
      <c r="O70" s="172" t="e">
        <f>_xll.LVCELL($D$1,O$3,$C70,$D$2,$C$4,$C$5,$C$6,$C$7,$C$8,$D$3)/1000</f>
        <v>#VALUE!</v>
      </c>
      <c r="P70" s="172" t="e">
        <f>_xll.LVCELL($D$1,P$3,$C70,$D$2,$C$4,$C$5,$C$6,$C$7,$C$8,$D$3)/1000</f>
        <v>#VALUE!</v>
      </c>
      <c r="Q70" s="172" t="e">
        <f>_xll.LVCELL($D$1,Q$2,$C70,$D$2,$C$4,$C$5,$C$6,$C$7,$C$8,$D$3)/1000</f>
        <v>#VALUE!</v>
      </c>
      <c r="R70" s="172" t="e">
        <f>_xll.LVCELL($D$1,R$3,$C70,$D$2,$C$4,$C$5,$C$6,$C$7,$C$8,$D$3)/1000</f>
        <v>#VALUE!</v>
      </c>
      <c r="S70" s="172" t="e">
        <f>_xll.LVCELL($D$1,S$3,$C70,$D$2,$C$4,$C$5,$C$6,$C$7,$C$8,$D$3)/1000</f>
        <v>#VALUE!</v>
      </c>
      <c r="T70" s="172" t="e">
        <f>_xll.LVCELL($D$1,T$3,$C70,$D$2,$C$4,$C$5,$C$6,$C$7,$C$8,$D$3)/1000</f>
        <v>#VALUE!</v>
      </c>
      <c r="U70" s="172" t="e">
        <f>_xll.LVCELL($D$1,U$3,$C70,$D$2,$C$4,$C$5,$C$6,$C$7,$C$8,$D$3)/1000</f>
        <v>#VALUE!</v>
      </c>
      <c r="V70" s="172" t="e">
        <f>_xll.LVCELL($D$1,V$3,$C70,$D$2,$C$4,$C$5,$C$6,$C$7,$C$8,$D$3)/1000</f>
        <v>#VALUE!</v>
      </c>
      <c r="W70" s="172" t="e">
        <f>_xll.LVCELL($D$1,W$3,$C70,$D$2,$C$4,$C$5,$C$6,$C$7,$C$8,$D$3)/1000</f>
        <v>#VALUE!</v>
      </c>
      <c r="X70" s="172" t="e">
        <f>_xll.LVCELL($D$1,X$3,$C70,$D$2,$C$4,$C$5,$C$6,$C$7,$C$8,$D$3)/1000</f>
        <v>#VALUE!</v>
      </c>
      <c r="Y70" s="172" t="e">
        <f>_xll.LVCELL($D$1,Y$3,$C70,$D$2,$C$4,$C$5,$C$6,$C$7,$C$8,$D$3)/1000</f>
        <v>#VALUE!</v>
      </c>
      <c r="Z70" s="172" t="e">
        <f>_xll.LVCELL($D$1,Z$3,$C70,$D$2,$C$4,$C$5,$C$6,$C$7,$C$8,$D$3)/1000</f>
        <v>#VALUE!</v>
      </c>
      <c r="AA70" s="172" t="e">
        <f>_xll.LVCELL($D$1,AA$3,$C70,$D$2,$C$4,$C$5,$C$6,$C$7,$C$8,$D$3)/1000</f>
        <v>#VALUE!</v>
      </c>
      <c r="AB70" s="172" t="e">
        <f>_xll.LVCELL($D$1,AB$3,$C70,$D$2,$C$4,$C$5,$C$6,$C$7,$C$8,$D$3)/1000</f>
        <v>#VALUE!</v>
      </c>
      <c r="AC70" s="172" t="e">
        <f>_xll.LVCELL($D$1,AC$3,$C70,$D$2,$C$4,$C$5,$C$6,$C$7,$C$8,$D$3)/1000</f>
        <v>#VALUE!</v>
      </c>
      <c r="AD70" s="172" t="e">
        <f>_xll.LVCELL($D$1,AD$2,$C70,$D$2,$C$4,$C$5,$C$6,$C$7,$C$8,$D$3)/1000</f>
        <v>#VALUE!</v>
      </c>
      <c r="AE70" s="172" t="e">
        <f t="shared" si="0"/>
        <v>#VALUE!</v>
      </c>
      <c r="AF70" s="193"/>
      <c r="AG70" s="207" t="s">
        <v>2731</v>
      </c>
      <c r="AH70" s="61" t="e">
        <f t="shared" si="2"/>
        <v>#VALUE!</v>
      </c>
      <c r="AI70" s="64" t="s">
        <v>2752</v>
      </c>
      <c r="AJ70" s="64" t="s">
        <v>381</v>
      </c>
      <c r="AK70" s="259" t="s">
        <v>381</v>
      </c>
      <c r="AL70" s="192" t="s">
        <v>496</v>
      </c>
      <c r="AM70" s="172" t="e">
        <f>_xll.LVCELL($AK$1,AM$3,$AK70,$AL$2,$AK$4,$AK$5,$AK$6,$AK$7,$AK$8,$AL$3)/1000</f>
        <v>#VALUE!</v>
      </c>
      <c r="AN70" s="172" t="e">
        <f>_xll.LVCELL($AK$1,AN$3,$AK70,$AL$2,$AK$4,$AK$5,$AK$6,$AK$7,$AK$8,$AL$3)/1000</f>
        <v>#VALUE!</v>
      </c>
      <c r="AO70" s="172" t="e">
        <f>_xll.LVCELL($AK$1,AO$3,$AK70,$AL$2,$AK$4,$AK$5,$AK$6,$AK$7,$AK$8,$AL$3)/1000</f>
        <v>#VALUE!</v>
      </c>
      <c r="AP70" s="172" t="e">
        <f>_xll.LVCELL($AK$1,AP$3,$AK70,$AL$2,$AK$4,$AK$5,$AK$6,$AK$7,$AK$8,$AL$3)/1000</f>
        <v>#VALUE!</v>
      </c>
      <c r="AQ70" s="172" t="e">
        <f>_xll.LVCELL($AK$1,AQ$3,$AK70,$AL$2,$AK$4,$AK$5,$AK$6,$AK$7,$AK$8,$AL$3)/1000</f>
        <v>#VALUE!</v>
      </c>
      <c r="AR70" s="172" t="e">
        <f>_xll.LVCELL($AK$1,AR$3,$AK70,$AL$2,$AK$4,$AK$5,$AK$6,$AK$7,$AK$8,$AL$3)/1000</f>
        <v>#VALUE!</v>
      </c>
      <c r="AS70" s="172" t="e">
        <f>_xll.LVCELL($AK$1,AS$3,$AK70,$AL$2,$AK$4,$AK$5,$AK$6,$AK$7,$AK$8,$AL$3)/1000</f>
        <v>#VALUE!</v>
      </c>
      <c r="AT70" s="172" t="e">
        <f>_xll.LVCELL($AK$1,AT$3,$AK70,$AL$2,$AK$4,$AK$5,$AK$6,$AK$7,$AK$8,$AL$3)/1000</f>
        <v>#VALUE!</v>
      </c>
      <c r="AU70" s="172" t="e">
        <f>_xll.LVCELL($AK$1,AU$3,$AK70,$AL$2,$AK$4,$AK$5,$AK$6,$AK$7,$AK$8,$AL$3)/1000</f>
        <v>#VALUE!</v>
      </c>
      <c r="AV70" s="172" t="e">
        <f>_xll.LVCELL($AK$1,AV$3,$AK70,$AL$2,$AK$4,$AK$5,$AK$6,$AK$7,$AK$8,$AL$3)/1000</f>
        <v>#VALUE!</v>
      </c>
      <c r="AW70" s="172" t="e">
        <f>_xll.LVCELL($AK$1,AW$3,$AK70,$AL$2,$AK$4,$AK$5,$AK$6,$AK$7,$AK$8,$AL$3)/1000</f>
        <v>#VALUE!</v>
      </c>
      <c r="AX70" s="172" t="e">
        <f>_xll.LVCELL($AK$1,AX$3,$AK70,$AL$2,$AK$4,$AK$5,$AK$6,$AK$7,$AK$8,$AL$3)/1000</f>
        <v>#VALUE!</v>
      </c>
      <c r="AY70" s="172" t="e">
        <f>_xll.LVCELL($AK$1,AY$2,$AK70,$AL$2,$AK$4,$AK$5,$AK$6,$AK$7,$AK$8,$AL$3)/1000</f>
        <v>#VALUE!</v>
      </c>
      <c r="AZ70" s="172" t="e">
        <f>_xll.LVCELL($AK$1,AZ$3,$AK70,$AL$2,$AK$4,$AK$5,$AK$6,$AK$7,$AK$8,$AL$3)/1000</f>
        <v>#VALUE!</v>
      </c>
      <c r="BA70" s="172" t="e">
        <f>_xll.LVCELL($AK$1,BA$3,$AK70,$AL$2,$AK$4,$AK$5,$AK$6,$AK$7,$AK$8,$AL$3)/1000</f>
        <v>#VALUE!</v>
      </c>
      <c r="BB70" s="172" t="e">
        <f>_xll.LVCELL($AK$1,BB$3,$AK70,$AL$2,$AK$4,$AK$5,$AK$6,$AK$7,$AK$8,$AL$3)/1000</f>
        <v>#VALUE!</v>
      </c>
      <c r="BC70" s="172" t="e">
        <f>_xll.LVCELL($AK$1,BC$3,$AK70,$AL$2,$AK$4,$AK$5,$AK$6,$AK$7,$AK$8,$AL$3)/1000</f>
        <v>#VALUE!</v>
      </c>
      <c r="BD70" s="172" t="e">
        <f>_xll.LVCELL($AK$1,BD$3,$AK70,$AL$2,$AK$4,$AK$5,$AK$6,$AK$7,$AK$8,$AL$3)/1000</f>
        <v>#VALUE!</v>
      </c>
      <c r="BE70" s="172" t="e">
        <f>_xll.LVCELL($AK$1,BE$3,$AK70,$AL$2,$AK$4,$AK$5,$AK$6,$AK$7,$AK$8,$AL$3)/1000</f>
        <v>#VALUE!</v>
      </c>
      <c r="BF70" s="172" t="e">
        <f>_xll.LVCELL($AK$1,BF$3,$AK70,$AL$2,$AK$4,$AK$5,$AK$6,$AK$7,$AK$8,$AL$3)/1000</f>
        <v>#VALUE!</v>
      </c>
      <c r="BG70" s="172" t="e">
        <f>_xll.LVCELL($AK$1,BG$3,$AK70,$AL$2,$AK$4,$AK$5,$AK$6,$AK$7,$AK$8,$AL$3)/1000</f>
        <v>#VALUE!</v>
      </c>
      <c r="BH70" s="172" t="e">
        <f>_xll.LVCELL($AK$1,BH$3,$AK70,$AL$2,$AK$4,$AK$5,$AK$6,$AK$7,$AK$8,$AL$3)/1000</f>
        <v>#VALUE!</v>
      </c>
      <c r="BI70" s="172" t="e">
        <f>_xll.LVCELL($AK$1,BI$3,$AK70,$AL$2,$AK$4,$AK$5,$AK$6,$AK$7,$AK$8,$AL$3)/1000</f>
        <v>#VALUE!</v>
      </c>
      <c r="BJ70" s="172" t="e">
        <f>_xll.LVCELL($AK$1,BJ$3,$AK70,$AL$2,$AK$4,$AK$5,$AK$6,$AK$7,$AK$8,$AL$3)/1000</f>
        <v>#VALUE!</v>
      </c>
      <c r="BK70" s="172" t="e">
        <f>_xll.LVCELL($AK$1,BK$3,$AK70,$AL$2,$AK$4,$AK$5,$AK$6,$AK$7,$AK$8,$AL$3)/1000</f>
        <v>#VALUE!</v>
      </c>
      <c r="BL70" s="172" t="e">
        <f>_xll.LVCELL($AK$1,BL$2,$AK70,$AL$2,$AK$4,$AK$5,$AK$6,$AK$7,$AK$8,$AL$3)/1000</f>
        <v>#VALUE!</v>
      </c>
      <c r="BM70" s="263" t="e">
        <f t="shared" si="3"/>
        <v>#VALUE!</v>
      </c>
      <c r="BN70" s="217" t="e">
        <f t="shared" si="4"/>
        <v>#VALUE!</v>
      </c>
      <c r="BO70" s="218" t="e">
        <f t="shared" si="4"/>
        <v>#VALUE!</v>
      </c>
      <c r="BP70" s="193" t="e">
        <f t="shared" si="5"/>
        <v>#VALUE!</v>
      </c>
      <c r="BQ70" s="172" t="s">
        <v>844</v>
      </c>
      <c r="BS70" s="198">
        <f t="shared" si="6"/>
        <v>0</v>
      </c>
      <c r="BT70" s="198">
        <f t="shared" si="7"/>
        <v>0</v>
      </c>
      <c r="BU70" s="198">
        <f t="shared" si="8"/>
        <v>0</v>
      </c>
      <c r="BV70" s="199" t="str">
        <f t="shared" si="9"/>
        <v>N/A</v>
      </c>
      <c r="BX70" s="200" t="e">
        <f t="shared" si="10"/>
        <v>#VALUE!</v>
      </c>
      <c r="BY70" s="200" t="e">
        <f t="shared" si="11"/>
        <v>#VALUE!</v>
      </c>
      <c r="BZ70" s="200" t="e">
        <f t="shared" si="12"/>
        <v>#VALUE!</v>
      </c>
    </row>
    <row r="71" spans="1:78">
      <c r="B71" s="64" t="s">
        <v>385</v>
      </c>
      <c r="C71" s="64" t="s">
        <v>385</v>
      </c>
      <c r="D71" s="192" t="s">
        <v>497</v>
      </c>
      <c r="E71" s="172" t="e">
        <f>_xll.LVCELL($D$1,E$3,$C71,$D$2,$C$4,$C$5,$C$6,$C$7,$C$8,$D$3)/1000</f>
        <v>#VALUE!</v>
      </c>
      <c r="F71" s="172" t="e">
        <f>_xll.LVCELL($D$1,F$3,$C71,$D$2,$C$4,$C$5,$C$6,$C$7,$C$8,$D$3)/1000</f>
        <v>#VALUE!</v>
      </c>
      <c r="G71" s="172" t="e">
        <f>_xll.LVCELL($D$1,G$3,$C71,$D$2,$C$4,$C$5,$C$6,$C$7,$C$8,$D$3)/1000</f>
        <v>#VALUE!</v>
      </c>
      <c r="H71" s="172" t="e">
        <f>_xll.LVCELL($D$1,H$3,$C71,$D$2,$C$4,$C$5,$C$6,$C$7,$C$8,$D$3)/1000</f>
        <v>#VALUE!</v>
      </c>
      <c r="I71" s="172" t="e">
        <f>_xll.LVCELL($D$1,I$3,$C71,$D$2,$C$4,$C$5,$C$6,$C$7,$C$8,$D$3)/1000</f>
        <v>#VALUE!</v>
      </c>
      <c r="J71" s="172" t="e">
        <f>_xll.LVCELL($D$1,J$3,$C71,$D$2,$C$4,$C$5,$C$6,$C$7,$C$8,$D$3)/1000</f>
        <v>#VALUE!</v>
      </c>
      <c r="K71" s="172" t="e">
        <f>_xll.LVCELL($D$1,K$3,$C71,$D$2,$C$4,$C$5,$C$6,$C$7,$C$8,$D$3)/1000</f>
        <v>#VALUE!</v>
      </c>
      <c r="L71" s="172" t="e">
        <f>_xll.LVCELL($D$1,L$3,$C71,$D$2,$C$4,$C$5,$C$6,$C$7,$C$8,$D$3)/1000</f>
        <v>#VALUE!</v>
      </c>
      <c r="M71" s="172" t="e">
        <f>_xll.LVCELL($D$1,M$3,$C71,$D$2,$C$4,$C$5,$C$6,$C$7,$C$8,$D$3)/1000</f>
        <v>#VALUE!</v>
      </c>
      <c r="N71" s="172" t="e">
        <f>_xll.LVCELL($D$1,N$3,$C71,$D$2,$C$4,$C$5,$C$6,$C$7,$C$8,$D$3)/1000</f>
        <v>#VALUE!</v>
      </c>
      <c r="O71" s="172" t="e">
        <f>_xll.LVCELL($D$1,O$3,$C71,$D$2,$C$4,$C$5,$C$6,$C$7,$C$8,$D$3)/1000</f>
        <v>#VALUE!</v>
      </c>
      <c r="P71" s="172" t="e">
        <f>_xll.LVCELL($D$1,P$3,$C71,$D$2,$C$4,$C$5,$C$6,$C$7,$C$8,$D$3)/1000</f>
        <v>#VALUE!</v>
      </c>
      <c r="Q71" s="172" t="e">
        <f>_xll.LVCELL($D$1,Q$2,$C71,$D$2,$C$4,$C$5,$C$6,$C$7,$C$8,$D$3)/1000</f>
        <v>#VALUE!</v>
      </c>
      <c r="R71" s="172" t="e">
        <f>_xll.LVCELL($D$1,R$3,$C71,$D$2,$C$4,$C$5,$C$6,$C$7,$C$8,$D$3)/1000</f>
        <v>#VALUE!</v>
      </c>
      <c r="S71" s="172" t="e">
        <f>_xll.LVCELL($D$1,S$3,$C71,$D$2,$C$4,$C$5,$C$6,$C$7,$C$8,$D$3)/1000</f>
        <v>#VALUE!</v>
      </c>
      <c r="T71" s="172" t="e">
        <f>_xll.LVCELL($D$1,T$3,$C71,$D$2,$C$4,$C$5,$C$6,$C$7,$C$8,$D$3)/1000</f>
        <v>#VALUE!</v>
      </c>
      <c r="U71" s="172" t="e">
        <f>_xll.LVCELL($D$1,U$3,$C71,$D$2,$C$4,$C$5,$C$6,$C$7,$C$8,$D$3)/1000</f>
        <v>#VALUE!</v>
      </c>
      <c r="V71" s="172" t="e">
        <f>_xll.LVCELL($D$1,V$3,$C71,$D$2,$C$4,$C$5,$C$6,$C$7,$C$8,$D$3)/1000</f>
        <v>#VALUE!</v>
      </c>
      <c r="W71" s="172" t="e">
        <f>_xll.LVCELL($D$1,W$3,$C71,$D$2,$C$4,$C$5,$C$6,$C$7,$C$8,$D$3)/1000</f>
        <v>#VALUE!</v>
      </c>
      <c r="X71" s="172" t="e">
        <f>_xll.LVCELL($D$1,X$3,$C71,$D$2,$C$4,$C$5,$C$6,$C$7,$C$8,$D$3)/1000</f>
        <v>#VALUE!</v>
      </c>
      <c r="Y71" s="172" t="e">
        <f>_xll.LVCELL($D$1,Y$3,$C71,$D$2,$C$4,$C$5,$C$6,$C$7,$C$8,$D$3)/1000</f>
        <v>#VALUE!</v>
      </c>
      <c r="Z71" s="172" t="e">
        <f>_xll.LVCELL($D$1,Z$3,$C71,$D$2,$C$4,$C$5,$C$6,$C$7,$C$8,$D$3)/1000</f>
        <v>#VALUE!</v>
      </c>
      <c r="AA71" s="172" t="e">
        <f>_xll.LVCELL($D$1,AA$3,$C71,$D$2,$C$4,$C$5,$C$6,$C$7,$C$8,$D$3)/1000</f>
        <v>#VALUE!</v>
      </c>
      <c r="AB71" s="172" t="e">
        <f>_xll.LVCELL($D$1,AB$3,$C71,$D$2,$C$4,$C$5,$C$6,$C$7,$C$8,$D$3)/1000</f>
        <v>#VALUE!</v>
      </c>
      <c r="AC71" s="172" t="e">
        <f>_xll.LVCELL($D$1,AC$3,$C71,$D$2,$C$4,$C$5,$C$6,$C$7,$C$8,$D$3)/1000</f>
        <v>#VALUE!</v>
      </c>
      <c r="AD71" s="172" t="e">
        <f>_xll.LVCELL($D$1,AD$2,$C71,$D$2,$C$4,$C$5,$C$6,$C$7,$C$8,$D$3)/1000</f>
        <v>#VALUE!</v>
      </c>
      <c r="AE71" s="172" t="e">
        <f t="shared" si="0"/>
        <v>#VALUE!</v>
      </c>
      <c r="AF71" s="193"/>
      <c r="AG71" s="207" t="s">
        <v>2731</v>
      </c>
      <c r="AH71" s="61" t="e">
        <f t="shared" si="2"/>
        <v>#VALUE!</v>
      </c>
      <c r="AI71" s="64" t="s">
        <v>2752</v>
      </c>
      <c r="AJ71" s="64" t="s">
        <v>385</v>
      </c>
      <c r="AK71" s="259" t="s">
        <v>385</v>
      </c>
      <c r="AL71" s="192" t="s">
        <v>497</v>
      </c>
      <c r="AM71" s="172" t="e">
        <f>_xll.LVCELL($AK$1,AM$3,$AK71,$AL$2,$AK$4,$AK$5,$AK$6,$AK$7,$AK$8,$AL$3)/1000</f>
        <v>#VALUE!</v>
      </c>
      <c r="AN71" s="172" t="e">
        <f>_xll.LVCELL($AK$1,AN$3,$AK71,$AL$2,$AK$4,$AK$5,$AK$6,$AK$7,$AK$8,$AL$3)/1000</f>
        <v>#VALUE!</v>
      </c>
      <c r="AO71" s="172" t="e">
        <f>_xll.LVCELL($AK$1,AO$3,$AK71,$AL$2,$AK$4,$AK$5,$AK$6,$AK$7,$AK$8,$AL$3)/1000</f>
        <v>#VALUE!</v>
      </c>
      <c r="AP71" s="172" t="e">
        <f>_xll.LVCELL($AK$1,AP$3,$AK71,$AL$2,$AK$4,$AK$5,$AK$6,$AK$7,$AK$8,$AL$3)/1000</f>
        <v>#VALUE!</v>
      </c>
      <c r="AQ71" s="172" t="e">
        <f>_xll.LVCELL($AK$1,AQ$3,$AK71,$AL$2,$AK$4,$AK$5,$AK$6,$AK$7,$AK$8,$AL$3)/1000</f>
        <v>#VALUE!</v>
      </c>
      <c r="AR71" s="172" t="e">
        <f>_xll.LVCELL($AK$1,AR$3,$AK71,$AL$2,$AK$4,$AK$5,$AK$6,$AK$7,$AK$8,$AL$3)/1000</f>
        <v>#VALUE!</v>
      </c>
      <c r="AS71" s="172" t="e">
        <f>_xll.LVCELL($AK$1,AS$3,$AK71,$AL$2,$AK$4,$AK$5,$AK$6,$AK$7,$AK$8,$AL$3)/1000</f>
        <v>#VALUE!</v>
      </c>
      <c r="AT71" s="172" t="e">
        <f>_xll.LVCELL($AK$1,AT$3,$AK71,$AL$2,$AK$4,$AK$5,$AK$6,$AK$7,$AK$8,$AL$3)/1000</f>
        <v>#VALUE!</v>
      </c>
      <c r="AU71" s="172" t="e">
        <f>_xll.LVCELL($AK$1,AU$3,$AK71,$AL$2,$AK$4,$AK$5,$AK$6,$AK$7,$AK$8,$AL$3)/1000</f>
        <v>#VALUE!</v>
      </c>
      <c r="AV71" s="172" t="e">
        <f>_xll.LVCELL($AK$1,AV$3,$AK71,$AL$2,$AK$4,$AK$5,$AK$6,$AK$7,$AK$8,$AL$3)/1000</f>
        <v>#VALUE!</v>
      </c>
      <c r="AW71" s="172" t="e">
        <f>_xll.LVCELL($AK$1,AW$3,$AK71,$AL$2,$AK$4,$AK$5,$AK$6,$AK$7,$AK$8,$AL$3)/1000</f>
        <v>#VALUE!</v>
      </c>
      <c r="AX71" s="172" t="e">
        <f>_xll.LVCELL($AK$1,AX$3,$AK71,$AL$2,$AK$4,$AK$5,$AK$6,$AK$7,$AK$8,$AL$3)/1000</f>
        <v>#VALUE!</v>
      </c>
      <c r="AY71" s="172" t="e">
        <f>_xll.LVCELL($AK$1,AY$2,$AK71,$AL$2,$AK$4,$AK$5,$AK$6,$AK$7,$AK$8,$AL$3)/1000</f>
        <v>#VALUE!</v>
      </c>
      <c r="AZ71" s="172" t="e">
        <f>_xll.LVCELL($AK$1,AZ$3,$AK71,$AL$2,$AK$4,$AK$5,$AK$6,$AK$7,$AK$8,$AL$3)/1000</f>
        <v>#VALUE!</v>
      </c>
      <c r="BA71" s="172" t="e">
        <f>_xll.LVCELL($AK$1,BA$3,$AK71,$AL$2,$AK$4,$AK$5,$AK$6,$AK$7,$AK$8,$AL$3)/1000</f>
        <v>#VALUE!</v>
      </c>
      <c r="BB71" s="172" t="e">
        <f>_xll.LVCELL($AK$1,BB$3,$AK71,$AL$2,$AK$4,$AK$5,$AK$6,$AK$7,$AK$8,$AL$3)/1000</f>
        <v>#VALUE!</v>
      </c>
      <c r="BC71" s="172" t="e">
        <f>_xll.LVCELL($AK$1,BC$3,$AK71,$AL$2,$AK$4,$AK$5,$AK$6,$AK$7,$AK$8,$AL$3)/1000</f>
        <v>#VALUE!</v>
      </c>
      <c r="BD71" s="172" t="e">
        <f>_xll.LVCELL($AK$1,BD$3,$AK71,$AL$2,$AK$4,$AK$5,$AK$6,$AK$7,$AK$8,$AL$3)/1000</f>
        <v>#VALUE!</v>
      </c>
      <c r="BE71" s="172" t="e">
        <f>_xll.LVCELL($AK$1,BE$3,$AK71,$AL$2,$AK$4,$AK$5,$AK$6,$AK$7,$AK$8,$AL$3)/1000</f>
        <v>#VALUE!</v>
      </c>
      <c r="BF71" s="172" t="e">
        <f>_xll.LVCELL($AK$1,BF$3,$AK71,$AL$2,$AK$4,$AK$5,$AK$6,$AK$7,$AK$8,$AL$3)/1000</f>
        <v>#VALUE!</v>
      </c>
      <c r="BG71" s="172" t="e">
        <f>_xll.LVCELL($AK$1,BG$3,$AK71,$AL$2,$AK$4,$AK$5,$AK$6,$AK$7,$AK$8,$AL$3)/1000</f>
        <v>#VALUE!</v>
      </c>
      <c r="BH71" s="172" t="e">
        <f>_xll.LVCELL($AK$1,BH$3,$AK71,$AL$2,$AK$4,$AK$5,$AK$6,$AK$7,$AK$8,$AL$3)/1000</f>
        <v>#VALUE!</v>
      </c>
      <c r="BI71" s="172" t="e">
        <f>_xll.LVCELL($AK$1,BI$3,$AK71,$AL$2,$AK$4,$AK$5,$AK$6,$AK$7,$AK$8,$AL$3)/1000</f>
        <v>#VALUE!</v>
      </c>
      <c r="BJ71" s="172" t="e">
        <f>_xll.LVCELL($AK$1,BJ$3,$AK71,$AL$2,$AK$4,$AK$5,$AK$6,$AK$7,$AK$8,$AL$3)/1000</f>
        <v>#VALUE!</v>
      </c>
      <c r="BK71" s="172" t="e">
        <f>_xll.LVCELL($AK$1,BK$3,$AK71,$AL$2,$AK$4,$AK$5,$AK$6,$AK$7,$AK$8,$AL$3)/1000</f>
        <v>#VALUE!</v>
      </c>
      <c r="BL71" s="172" t="e">
        <f>_xll.LVCELL($AK$1,BL$2,$AK71,$AL$2,$AK$4,$AK$5,$AK$6,$AK$7,$AK$8,$AL$3)/1000</f>
        <v>#VALUE!</v>
      </c>
      <c r="BM71" s="263" t="e">
        <f t="shared" si="3"/>
        <v>#VALUE!</v>
      </c>
      <c r="BN71" s="217" t="e">
        <f t="shared" si="4"/>
        <v>#VALUE!</v>
      </c>
      <c r="BO71" s="218" t="e">
        <f t="shared" si="4"/>
        <v>#VALUE!</v>
      </c>
      <c r="BP71" s="193" t="e">
        <f t="shared" si="5"/>
        <v>#VALUE!</v>
      </c>
      <c r="BQ71" s="172" t="s">
        <v>844</v>
      </c>
      <c r="BS71" s="198">
        <f t="shared" si="6"/>
        <v>0</v>
      </c>
      <c r="BT71" s="198">
        <f t="shared" si="7"/>
        <v>0</v>
      </c>
      <c r="BU71" s="198">
        <f t="shared" si="8"/>
        <v>0</v>
      </c>
      <c r="BV71" s="199" t="str">
        <f t="shared" si="9"/>
        <v>N/A</v>
      </c>
      <c r="BX71" s="200" t="e">
        <f t="shared" si="10"/>
        <v>#VALUE!</v>
      </c>
      <c r="BY71" s="200" t="e">
        <f t="shared" si="11"/>
        <v>#VALUE!</v>
      </c>
      <c r="BZ71" s="200" t="e">
        <f t="shared" si="12"/>
        <v>#VALUE!</v>
      </c>
    </row>
    <row r="72" spans="1:78">
      <c r="B72" s="64" t="s">
        <v>816</v>
      </c>
      <c r="C72" s="64" t="s">
        <v>816</v>
      </c>
      <c r="D72" s="192" t="s">
        <v>815</v>
      </c>
      <c r="E72" s="172" t="e">
        <f>_xll.LVCELL($D$1,E$3,$C72,$D$2,$C$4,$C$5,$C$6,$C$7,$C$8,$D$3)/1000</f>
        <v>#VALUE!</v>
      </c>
      <c r="F72" s="172" t="e">
        <f>_xll.LVCELL($D$1,F$3,$C72,$D$2,$C$4,$C$5,$C$6,$C$7,$C$8,$D$3)/1000</f>
        <v>#VALUE!</v>
      </c>
      <c r="G72" s="172" t="e">
        <f>_xll.LVCELL($D$1,G$3,$C72,$D$2,$C$4,$C$5,$C$6,$C$7,$C$8,$D$3)/1000</f>
        <v>#VALUE!</v>
      </c>
      <c r="H72" s="172" t="e">
        <f>_xll.LVCELL($D$1,H$3,$C72,$D$2,$C$4,$C$5,$C$6,$C$7,$C$8,$D$3)/1000</f>
        <v>#VALUE!</v>
      </c>
      <c r="I72" s="172" t="e">
        <f>_xll.LVCELL($D$1,I$3,$C72,$D$2,$C$4,$C$5,$C$6,$C$7,$C$8,$D$3)/1000</f>
        <v>#VALUE!</v>
      </c>
      <c r="J72" s="172" t="e">
        <f>_xll.LVCELL($D$1,J$3,$C72,$D$2,$C$4,$C$5,$C$6,$C$7,$C$8,$D$3)/1000</f>
        <v>#VALUE!</v>
      </c>
      <c r="K72" s="172" t="e">
        <f>_xll.LVCELL($D$1,K$3,$C72,$D$2,$C$4,$C$5,$C$6,$C$7,$C$8,$D$3)/1000</f>
        <v>#VALUE!</v>
      </c>
      <c r="L72" s="172" t="e">
        <f>_xll.LVCELL($D$1,L$3,$C72,$D$2,$C$4,$C$5,$C$6,$C$7,$C$8,$D$3)/1000</f>
        <v>#VALUE!</v>
      </c>
      <c r="M72" s="172" t="e">
        <f>_xll.LVCELL($D$1,M$3,$C72,$D$2,$C$4,$C$5,$C$6,$C$7,$C$8,$D$3)/1000</f>
        <v>#VALUE!</v>
      </c>
      <c r="N72" s="172" t="e">
        <f>_xll.LVCELL($D$1,N$3,$C72,$D$2,$C$4,$C$5,$C$6,$C$7,$C$8,$D$3)/1000</f>
        <v>#VALUE!</v>
      </c>
      <c r="O72" s="172" t="e">
        <f>_xll.LVCELL($D$1,O$3,$C72,$D$2,$C$4,$C$5,$C$6,$C$7,$C$8,$D$3)/1000</f>
        <v>#VALUE!</v>
      </c>
      <c r="P72" s="172" t="e">
        <f>_xll.LVCELL($D$1,P$3,$C72,$D$2,$C$4,$C$5,$C$6,$C$7,$C$8,$D$3)/1000</f>
        <v>#VALUE!</v>
      </c>
      <c r="Q72" s="172" t="e">
        <f>_xll.LVCELL($D$1,Q$2,$C72,$D$2,$C$4,$C$5,$C$6,$C$7,$C$8,$D$3)/1000</f>
        <v>#VALUE!</v>
      </c>
      <c r="R72" s="172" t="e">
        <f>_xll.LVCELL($D$1,R$3,$C72,$D$2,$C$4,$C$5,$C$6,$C$7,$C$8,$D$3)/1000</f>
        <v>#VALUE!</v>
      </c>
      <c r="S72" s="172" t="e">
        <f>_xll.LVCELL($D$1,S$3,$C72,$D$2,$C$4,$C$5,$C$6,$C$7,$C$8,$D$3)/1000</f>
        <v>#VALUE!</v>
      </c>
      <c r="T72" s="172" t="e">
        <f>_xll.LVCELL($D$1,T$3,$C72,$D$2,$C$4,$C$5,$C$6,$C$7,$C$8,$D$3)/1000</f>
        <v>#VALUE!</v>
      </c>
      <c r="U72" s="172" t="e">
        <f>_xll.LVCELL($D$1,U$3,$C72,$D$2,$C$4,$C$5,$C$6,$C$7,$C$8,$D$3)/1000</f>
        <v>#VALUE!</v>
      </c>
      <c r="V72" s="172" t="e">
        <f>_xll.LVCELL($D$1,V$3,$C72,$D$2,$C$4,$C$5,$C$6,$C$7,$C$8,$D$3)/1000</f>
        <v>#VALUE!</v>
      </c>
      <c r="W72" s="172" t="e">
        <f>_xll.LVCELL($D$1,W$3,$C72,$D$2,$C$4,$C$5,$C$6,$C$7,$C$8,$D$3)/1000</f>
        <v>#VALUE!</v>
      </c>
      <c r="X72" s="172" t="e">
        <f>_xll.LVCELL($D$1,X$3,$C72,$D$2,$C$4,$C$5,$C$6,$C$7,$C$8,$D$3)/1000</f>
        <v>#VALUE!</v>
      </c>
      <c r="Y72" s="172" t="e">
        <f>_xll.LVCELL($D$1,Y$3,$C72,$D$2,$C$4,$C$5,$C$6,$C$7,$C$8,$D$3)/1000</f>
        <v>#VALUE!</v>
      </c>
      <c r="Z72" s="172" t="e">
        <f>_xll.LVCELL($D$1,Z$3,$C72,$D$2,$C$4,$C$5,$C$6,$C$7,$C$8,$D$3)/1000</f>
        <v>#VALUE!</v>
      </c>
      <c r="AA72" s="172" t="e">
        <f>_xll.LVCELL($D$1,AA$3,$C72,$D$2,$C$4,$C$5,$C$6,$C$7,$C$8,$D$3)/1000</f>
        <v>#VALUE!</v>
      </c>
      <c r="AB72" s="172" t="e">
        <f>_xll.LVCELL($D$1,AB$3,$C72,$D$2,$C$4,$C$5,$C$6,$C$7,$C$8,$D$3)/1000</f>
        <v>#VALUE!</v>
      </c>
      <c r="AC72" s="172" t="e">
        <f>_xll.LVCELL($D$1,AC$3,$C72,$D$2,$C$4,$C$5,$C$6,$C$7,$C$8,$D$3)/1000</f>
        <v>#VALUE!</v>
      </c>
      <c r="AD72" s="172" t="e">
        <f>_xll.LVCELL($D$1,AD$2,$C72,$D$2,$C$4,$C$5,$C$6,$C$7,$C$8,$D$3)/1000</f>
        <v>#VALUE!</v>
      </c>
      <c r="AE72" s="172" t="e">
        <f t="shared" si="0"/>
        <v>#VALUE!</v>
      </c>
      <c r="AF72" s="193"/>
      <c r="AG72" s="207" t="s">
        <v>2731</v>
      </c>
      <c r="AH72" s="61" t="e">
        <f t="shared" si="2"/>
        <v>#VALUE!</v>
      </c>
      <c r="AI72" s="64" t="s">
        <v>2752</v>
      </c>
      <c r="AJ72" s="64" t="s">
        <v>816</v>
      </c>
      <c r="AK72" s="258" t="s">
        <v>816</v>
      </c>
      <c r="AL72" s="192" t="s">
        <v>815</v>
      </c>
      <c r="AM72" s="172" t="e">
        <f>_xll.LVCELL($AK$1,AM$3,$AK72,$AL$2,$AK$4,$AK$5,$AK$6,$AK$7,$AK$8,$AL$3)/1000</f>
        <v>#VALUE!</v>
      </c>
      <c r="AN72" s="172" t="e">
        <f>_xll.LVCELL($AK$1,AN$3,$AK72,$AL$2,$AK$4,$AK$5,$AK$6,$AK$7,$AK$8,$AL$3)/1000</f>
        <v>#VALUE!</v>
      </c>
      <c r="AO72" s="172" t="e">
        <f>_xll.LVCELL($AK$1,AO$3,$AK72,$AL$2,$AK$4,$AK$5,$AK$6,$AK$7,$AK$8,$AL$3)/1000</f>
        <v>#VALUE!</v>
      </c>
      <c r="AP72" s="172" t="e">
        <f>_xll.LVCELL($AK$1,AP$3,$AK72,$AL$2,$AK$4,$AK$5,$AK$6,$AK$7,$AK$8,$AL$3)/1000</f>
        <v>#VALUE!</v>
      </c>
      <c r="AQ72" s="172" t="e">
        <f>_xll.LVCELL($AK$1,AQ$3,$AK72,$AL$2,$AK$4,$AK$5,$AK$6,$AK$7,$AK$8,$AL$3)/1000</f>
        <v>#VALUE!</v>
      </c>
      <c r="AR72" s="172" t="e">
        <f>_xll.LVCELL($AK$1,AR$3,$AK72,$AL$2,$AK$4,$AK$5,$AK$6,$AK$7,$AK$8,$AL$3)/1000</f>
        <v>#VALUE!</v>
      </c>
      <c r="AS72" s="172" t="e">
        <f>_xll.LVCELL($AK$1,AS$3,$AK72,$AL$2,$AK$4,$AK$5,$AK$6,$AK$7,$AK$8,$AL$3)/1000</f>
        <v>#VALUE!</v>
      </c>
      <c r="AT72" s="172" t="e">
        <f>_xll.LVCELL($AK$1,AT$3,$AK72,$AL$2,$AK$4,$AK$5,$AK$6,$AK$7,$AK$8,$AL$3)/1000</f>
        <v>#VALUE!</v>
      </c>
      <c r="AU72" s="172" t="e">
        <f>_xll.LVCELL($AK$1,AU$3,$AK72,$AL$2,$AK$4,$AK$5,$AK$6,$AK$7,$AK$8,$AL$3)/1000</f>
        <v>#VALUE!</v>
      </c>
      <c r="AV72" s="172" t="e">
        <f>_xll.LVCELL($AK$1,AV$3,$AK72,$AL$2,$AK$4,$AK$5,$AK$6,$AK$7,$AK$8,$AL$3)/1000</f>
        <v>#VALUE!</v>
      </c>
      <c r="AW72" s="172" t="e">
        <f>_xll.LVCELL($AK$1,AW$3,$AK72,$AL$2,$AK$4,$AK$5,$AK$6,$AK$7,$AK$8,$AL$3)/1000</f>
        <v>#VALUE!</v>
      </c>
      <c r="AX72" s="172" t="e">
        <f>_xll.LVCELL($AK$1,AX$3,$AK72,$AL$2,$AK$4,$AK$5,$AK$6,$AK$7,$AK$8,$AL$3)/1000</f>
        <v>#VALUE!</v>
      </c>
      <c r="AY72" s="172" t="e">
        <f>_xll.LVCELL($AK$1,AY$2,$AK72,$AL$2,$AK$4,$AK$5,$AK$6,$AK$7,$AK$8,$AL$3)/1000</f>
        <v>#VALUE!</v>
      </c>
      <c r="AZ72" s="172" t="e">
        <f>_xll.LVCELL($AK$1,AZ$3,$AK72,$AL$2,$AK$4,$AK$5,$AK$6,$AK$7,$AK$8,$AL$3)/1000</f>
        <v>#VALUE!</v>
      </c>
      <c r="BA72" s="172" t="e">
        <f>_xll.LVCELL($AK$1,BA$3,$AK72,$AL$2,$AK$4,$AK$5,$AK$6,$AK$7,$AK$8,$AL$3)/1000</f>
        <v>#VALUE!</v>
      </c>
      <c r="BB72" s="172" t="e">
        <f>_xll.LVCELL($AK$1,BB$3,$AK72,$AL$2,$AK$4,$AK$5,$AK$6,$AK$7,$AK$8,$AL$3)/1000</f>
        <v>#VALUE!</v>
      </c>
      <c r="BC72" s="172" t="e">
        <f>_xll.LVCELL($AK$1,BC$3,$AK72,$AL$2,$AK$4,$AK$5,$AK$6,$AK$7,$AK$8,$AL$3)/1000</f>
        <v>#VALUE!</v>
      </c>
      <c r="BD72" s="172" t="e">
        <f>_xll.LVCELL($AK$1,BD$3,$AK72,$AL$2,$AK$4,$AK$5,$AK$6,$AK$7,$AK$8,$AL$3)/1000</f>
        <v>#VALUE!</v>
      </c>
      <c r="BE72" s="172" t="e">
        <f>_xll.LVCELL($AK$1,BE$3,$AK72,$AL$2,$AK$4,$AK$5,$AK$6,$AK$7,$AK$8,$AL$3)/1000</f>
        <v>#VALUE!</v>
      </c>
      <c r="BF72" s="172" t="e">
        <f>_xll.LVCELL($AK$1,BF$3,$AK72,$AL$2,$AK$4,$AK$5,$AK$6,$AK$7,$AK$8,$AL$3)/1000</f>
        <v>#VALUE!</v>
      </c>
      <c r="BG72" s="172" t="e">
        <f>_xll.LVCELL($AK$1,BG$3,$AK72,$AL$2,$AK$4,$AK$5,$AK$6,$AK$7,$AK$8,$AL$3)/1000</f>
        <v>#VALUE!</v>
      </c>
      <c r="BH72" s="172" t="e">
        <f>_xll.LVCELL($AK$1,BH$3,$AK72,$AL$2,$AK$4,$AK$5,$AK$6,$AK$7,$AK$8,$AL$3)/1000</f>
        <v>#VALUE!</v>
      </c>
      <c r="BI72" s="172" t="e">
        <f>_xll.LVCELL($AK$1,BI$3,$AK72,$AL$2,$AK$4,$AK$5,$AK$6,$AK$7,$AK$8,$AL$3)/1000</f>
        <v>#VALUE!</v>
      </c>
      <c r="BJ72" s="172" t="e">
        <f>_xll.LVCELL($AK$1,BJ$3,$AK72,$AL$2,$AK$4,$AK$5,$AK$6,$AK$7,$AK$8,$AL$3)/1000</f>
        <v>#VALUE!</v>
      </c>
      <c r="BK72" s="172" t="e">
        <f>_xll.LVCELL($AK$1,BK$3,$AK72,$AL$2,$AK$4,$AK$5,$AK$6,$AK$7,$AK$8,$AL$3)/1000</f>
        <v>#VALUE!</v>
      </c>
      <c r="BL72" s="172" t="e">
        <f>_xll.LVCELL($AK$1,BL$2,$AK72,$AL$2,$AK$4,$AK$5,$AK$6,$AK$7,$AK$8,$AL$3)/1000</f>
        <v>#VALUE!</v>
      </c>
      <c r="BM72" s="263" t="e">
        <f t="shared" si="3"/>
        <v>#VALUE!</v>
      </c>
      <c r="BN72" s="217" t="e">
        <f t="shared" si="4"/>
        <v>#VALUE!</v>
      </c>
      <c r="BO72" s="218" t="e">
        <f t="shared" si="4"/>
        <v>#VALUE!</v>
      </c>
      <c r="BP72" s="193" t="e">
        <f t="shared" si="5"/>
        <v>#VALUE!</v>
      </c>
      <c r="BQ72" s="172" t="s">
        <v>844</v>
      </c>
      <c r="BS72" s="198">
        <f t="shared" si="6"/>
        <v>0</v>
      </c>
      <c r="BT72" s="198">
        <f t="shared" si="7"/>
        <v>0</v>
      </c>
      <c r="BU72" s="198">
        <f t="shared" si="8"/>
        <v>0</v>
      </c>
      <c r="BV72" s="199" t="str">
        <f t="shared" si="9"/>
        <v>N/A</v>
      </c>
      <c r="BX72" s="200" t="e">
        <f t="shared" si="10"/>
        <v>#VALUE!</v>
      </c>
      <c r="BY72" s="200" t="e">
        <f t="shared" si="11"/>
        <v>#VALUE!</v>
      </c>
      <c r="BZ72" s="200" t="e">
        <f t="shared" si="12"/>
        <v>#VALUE!</v>
      </c>
    </row>
    <row r="73" spans="1:78" s="4" customFormat="1">
      <c r="A73" s="63"/>
      <c r="B73" s="63" t="s">
        <v>817</v>
      </c>
      <c r="C73" s="63" t="s">
        <v>817</v>
      </c>
      <c r="D73" s="192" t="s">
        <v>818</v>
      </c>
      <c r="E73" s="172" t="e">
        <f>_xll.LVCELL($D$1,E$3,$C73,$D$2,$C$4,$C$5,$C$6,$C$7,$C$8,$D$3)/1000</f>
        <v>#VALUE!</v>
      </c>
      <c r="F73" s="172" t="e">
        <f>_xll.LVCELL($D$1,F$3,$C73,$D$2,$C$4,$C$5,$C$6,$C$7,$C$8,$D$3)/1000</f>
        <v>#VALUE!</v>
      </c>
      <c r="G73" s="172" t="e">
        <f>_xll.LVCELL($D$1,G$3,$C73,$D$2,$C$4,$C$5,$C$6,$C$7,$C$8,$D$3)/1000</f>
        <v>#VALUE!</v>
      </c>
      <c r="H73" s="172" t="e">
        <f>_xll.LVCELL($D$1,H$3,$C73,$D$2,$C$4,$C$5,$C$6,$C$7,$C$8,$D$3)/1000</f>
        <v>#VALUE!</v>
      </c>
      <c r="I73" s="172" t="e">
        <f>_xll.LVCELL($D$1,I$3,$C73,$D$2,$C$4,$C$5,$C$6,$C$7,$C$8,$D$3)/1000</f>
        <v>#VALUE!</v>
      </c>
      <c r="J73" s="172" t="e">
        <f>_xll.LVCELL($D$1,J$3,$C73,$D$2,$C$4,$C$5,$C$6,$C$7,$C$8,$D$3)/1000</f>
        <v>#VALUE!</v>
      </c>
      <c r="K73" s="172" t="e">
        <f>_xll.LVCELL($D$1,K$3,$C73,$D$2,$C$4,$C$5,$C$6,$C$7,$C$8,$D$3)/1000</f>
        <v>#VALUE!</v>
      </c>
      <c r="L73" s="172" t="e">
        <f>_xll.LVCELL($D$1,L$3,$C73,$D$2,$C$4,$C$5,$C$6,$C$7,$C$8,$D$3)/1000</f>
        <v>#VALUE!</v>
      </c>
      <c r="M73" s="172" t="e">
        <f>_xll.LVCELL($D$1,M$3,$C73,$D$2,$C$4,$C$5,$C$6,$C$7,$C$8,$D$3)/1000</f>
        <v>#VALUE!</v>
      </c>
      <c r="N73" s="172" t="e">
        <f>_xll.LVCELL($D$1,N$3,$C73,$D$2,$C$4,$C$5,$C$6,$C$7,$C$8,$D$3)/1000</f>
        <v>#VALUE!</v>
      </c>
      <c r="O73" s="172" t="e">
        <f>_xll.LVCELL($D$1,O$3,$C73,$D$2,$C$4,$C$5,$C$6,$C$7,$C$8,$D$3)/1000</f>
        <v>#VALUE!</v>
      </c>
      <c r="P73" s="172" t="e">
        <f>_xll.LVCELL($D$1,P$3,$C73,$D$2,$C$4,$C$5,$C$6,$C$7,$C$8,$D$3)/1000</f>
        <v>#VALUE!</v>
      </c>
      <c r="Q73" s="172" t="e">
        <f>_xll.LVCELL($D$1,Q$2,$C73,$D$2,$C$4,$C$5,$C$6,$C$7,$C$8,$D$3)/1000</f>
        <v>#VALUE!</v>
      </c>
      <c r="R73" s="172" t="e">
        <f>_xll.LVCELL($D$1,R$3,$C73,$D$2,$C$4,$C$5,$C$6,$C$7,$C$8,$D$3)/1000</f>
        <v>#VALUE!</v>
      </c>
      <c r="S73" s="172" t="e">
        <f>_xll.LVCELL($D$1,S$3,$C73,$D$2,$C$4,$C$5,$C$6,$C$7,$C$8,$D$3)/1000</f>
        <v>#VALUE!</v>
      </c>
      <c r="T73" s="172" t="e">
        <f>_xll.LVCELL($D$1,T$3,$C73,$D$2,$C$4,$C$5,$C$6,$C$7,$C$8,$D$3)/1000</f>
        <v>#VALUE!</v>
      </c>
      <c r="U73" s="172" t="e">
        <f>_xll.LVCELL($D$1,U$3,$C73,$D$2,$C$4,$C$5,$C$6,$C$7,$C$8,$D$3)/1000</f>
        <v>#VALUE!</v>
      </c>
      <c r="V73" s="172" t="e">
        <f>_xll.LVCELL($D$1,V$3,$C73,$D$2,$C$4,$C$5,$C$6,$C$7,$C$8,$D$3)/1000</f>
        <v>#VALUE!</v>
      </c>
      <c r="W73" s="172" t="e">
        <f>_xll.LVCELL($D$1,W$3,$C73,$D$2,$C$4,$C$5,$C$6,$C$7,$C$8,$D$3)/1000</f>
        <v>#VALUE!</v>
      </c>
      <c r="X73" s="172" t="e">
        <f>_xll.LVCELL($D$1,X$3,$C73,$D$2,$C$4,$C$5,$C$6,$C$7,$C$8,$D$3)/1000</f>
        <v>#VALUE!</v>
      </c>
      <c r="Y73" s="172" t="e">
        <f>_xll.LVCELL($D$1,Y$3,$C73,$D$2,$C$4,$C$5,$C$6,$C$7,$C$8,$D$3)/1000</f>
        <v>#VALUE!</v>
      </c>
      <c r="Z73" s="172" t="e">
        <f>_xll.LVCELL($D$1,Z$3,$C73,$D$2,$C$4,$C$5,$C$6,$C$7,$C$8,$D$3)/1000</f>
        <v>#VALUE!</v>
      </c>
      <c r="AA73" s="172" t="e">
        <f>_xll.LVCELL($D$1,AA$3,$C73,$D$2,$C$4,$C$5,$C$6,$C$7,$C$8,$D$3)/1000</f>
        <v>#VALUE!</v>
      </c>
      <c r="AB73" s="172" t="e">
        <f>_xll.LVCELL($D$1,AB$3,$C73,$D$2,$C$4,$C$5,$C$6,$C$7,$C$8,$D$3)/1000</f>
        <v>#VALUE!</v>
      </c>
      <c r="AC73" s="172" t="e">
        <f>_xll.LVCELL($D$1,AC$3,$C73,$D$2,$C$4,$C$5,$C$6,$C$7,$C$8,$D$3)/1000</f>
        <v>#VALUE!</v>
      </c>
      <c r="AD73" s="172" t="e">
        <f>_xll.LVCELL($D$1,AD$2,$C73,$D$2,$C$4,$C$5,$C$6,$C$7,$C$8,$D$3)/1000</f>
        <v>#VALUE!</v>
      </c>
      <c r="AE73" s="172" t="e">
        <f>AD73-Q73</f>
        <v>#VALUE!</v>
      </c>
      <c r="AF73" s="193"/>
      <c r="AG73" s="172" t="s">
        <v>2627</v>
      </c>
      <c r="AH73" s="61" t="e">
        <f t="shared" si="2"/>
        <v>#VALUE!</v>
      </c>
      <c r="AI73" s="63"/>
      <c r="AJ73" s="63" t="s">
        <v>817</v>
      </c>
      <c r="AK73" s="63" t="s">
        <v>817</v>
      </c>
      <c r="AL73" s="192" t="s">
        <v>818</v>
      </c>
      <c r="AM73" s="172" t="e">
        <f>_xll.LVCELL($AK$1,AM$3,$AK73,$AL$2,$AK$4,$AK$5,$AK$6,$AK$7,$AK$8,$AL$3)/1000</f>
        <v>#VALUE!</v>
      </c>
      <c r="AN73" s="172" t="e">
        <f>_xll.LVCELL($AK$1,AN$3,$AK73,$AL$2,$AK$4,$AK$5,$AK$6,$AK$7,$AK$8,$AL$3)/1000</f>
        <v>#VALUE!</v>
      </c>
      <c r="AO73" s="172" t="e">
        <f>_xll.LVCELL($AK$1,AO$3,$AK73,$AL$2,$AK$4,$AK$5,$AK$6,$AK$7,$AK$8,$AL$3)/1000</f>
        <v>#VALUE!</v>
      </c>
      <c r="AP73" s="172" t="e">
        <f>_xll.LVCELL($AK$1,AP$3,$AK73,$AL$2,$AK$4,$AK$5,$AK$6,$AK$7,$AK$8,$AL$3)/1000</f>
        <v>#VALUE!</v>
      </c>
      <c r="AQ73" s="172" t="e">
        <f>_xll.LVCELL($AK$1,AQ$3,$AK73,$AL$2,$AK$4,$AK$5,$AK$6,$AK$7,$AK$8,$AL$3)/1000</f>
        <v>#VALUE!</v>
      </c>
      <c r="AR73" s="172" t="e">
        <f>_xll.LVCELL($AK$1,AR$3,$AK73,$AL$2,$AK$4,$AK$5,$AK$6,$AK$7,$AK$8,$AL$3)/1000</f>
        <v>#VALUE!</v>
      </c>
      <c r="AS73" s="172" t="e">
        <f>_xll.LVCELL($AK$1,AS$3,$AK73,$AL$2,$AK$4,$AK$5,$AK$6,$AK$7,$AK$8,$AL$3)/1000</f>
        <v>#VALUE!</v>
      </c>
      <c r="AT73" s="172" t="e">
        <f>_xll.LVCELL($AK$1,AT$3,$AK73,$AL$2,$AK$4,$AK$5,$AK$6,$AK$7,$AK$8,$AL$3)/1000</f>
        <v>#VALUE!</v>
      </c>
      <c r="AU73" s="172" t="e">
        <f>_xll.LVCELL($AK$1,AU$3,$AK73,$AL$2,$AK$4,$AK$5,$AK$6,$AK$7,$AK$8,$AL$3)/1000</f>
        <v>#VALUE!</v>
      </c>
      <c r="AV73" s="172" t="e">
        <f>_xll.LVCELL($AK$1,AV$3,$AK73,$AL$2,$AK$4,$AK$5,$AK$6,$AK$7,$AK$8,$AL$3)/1000</f>
        <v>#VALUE!</v>
      </c>
      <c r="AW73" s="172" t="e">
        <f>_xll.LVCELL($AK$1,AW$3,$AK73,$AL$2,$AK$4,$AK$5,$AK$6,$AK$7,$AK$8,$AL$3)/1000</f>
        <v>#VALUE!</v>
      </c>
      <c r="AX73" s="172" t="e">
        <f>_xll.LVCELL($AK$1,AX$3,$AK73,$AL$2,$AK$4,$AK$5,$AK$6,$AK$7,$AK$8,$AL$3)/1000</f>
        <v>#VALUE!</v>
      </c>
      <c r="AY73" s="172" t="e">
        <f>_xll.LVCELL($AK$1,AY$2,$AK73,$AL$2,$AK$4,$AK$5,$AK$6,$AK$7,$AK$8,$AL$3)/1000</f>
        <v>#VALUE!</v>
      </c>
      <c r="AZ73" s="172" t="e">
        <f>_xll.LVCELL($AK$1,AZ$3,$AK73,$AL$2,$AK$4,$AK$5,$AK$6,$AK$7,$AK$8,$AL$3)/1000</f>
        <v>#VALUE!</v>
      </c>
      <c r="BA73" s="172" t="e">
        <f>_xll.LVCELL($AK$1,BA$3,$AK73,$AL$2,$AK$4,$AK$5,$AK$6,$AK$7,$AK$8,$AL$3)/1000</f>
        <v>#VALUE!</v>
      </c>
      <c r="BB73" s="172" t="e">
        <f>_xll.LVCELL($AK$1,BB$3,$AK73,$AL$2,$AK$4,$AK$5,$AK$6,$AK$7,$AK$8,$AL$3)/1000</f>
        <v>#VALUE!</v>
      </c>
      <c r="BC73" s="172" t="e">
        <f>_xll.LVCELL($AK$1,BC$3,$AK73,$AL$2,$AK$4,$AK$5,$AK$6,$AK$7,$AK$8,$AL$3)/1000</f>
        <v>#VALUE!</v>
      </c>
      <c r="BD73" s="172" t="e">
        <f>_xll.LVCELL($AK$1,BD$3,$AK73,$AL$2,$AK$4,$AK$5,$AK$6,$AK$7,$AK$8,$AL$3)/1000</f>
        <v>#VALUE!</v>
      </c>
      <c r="BE73" s="172" t="e">
        <f>_xll.LVCELL($AK$1,BE$3,$AK73,$AL$2,$AK$4,$AK$5,$AK$6,$AK$7,$AK$8,$AL$3)/1000</f>
        <v>#VALUE!</v>
      </c>
      <c r="BF73" s="172" t="e">
        <f>_xll.LVCELL($AK$1,BF$3,$AK73,$AL$2,$AK$4,$AK$5,$AK$6,$AK$7,$AK$8,$AL$3)/1000</f>
        <v>#VALUE!</v>
      </c>
      <c r="BG73" s="172" t="e">
        <f>_xll.LVCELL($AK$1,BG$3,$AK73,$AL$2,$AK$4,$AK$5,$AK$6,$AK$7,$AK$8,$AL$3)/1000</f>
        <v>#VALUE!</v>
      </c>
      <c r="BH73" s="172" t="e">
        <f>_xll.LVCELL($AK$1,BH$3,$AK73,$AL$2,$AK$4,$AK$5,$AK$6,$AK$7,$AK$8,$AL$3)/1000</f>
        <v>#VALUE!</v>
      </c>
      <c r="BI73" s="172" t="e">
        <f>_xll.LVCELL($AK$1,BI$3,$AK73,$AL$2,$AK$4,$AK$5,$AK$6,$AK$7,$AK$8,$AL$3)/1000</f>
        <v>#VALUE!</v>
      </c>
      <c r="BJ73" s="172" t="e">
        <f>_xll.LVCELL($AK$1,BJ$3,$AK73,$AL$2,$AK$4,$AK$5,$AK$6,$AK$7,$AK$8,$AL$3)/1000</f>
        <v>#VALUE!</v>
      </c>
      <c r="BK73" s="172" t="e">
        <f>_xll.LVCELL($AK$1,BK$3,$AK73,$AL$2,$AK$4,$AK$5,$AK$6,$AK$7,$AK$8,$AL$3)/1000</f>
        <v>#VALUE!</v>
      </c>
      <c r="BL73" s="172" t="e">
        <f>_xll.LVCELL($AK$1,BL$2,$AK73,$AL$2,$AK$4,$AK$5,$AK$6,$AK$7,$AK$8,$AL$3)/1000</f>
        <v>#VALUE!</v>
      </c>
      <c r="BM73" s="214" t="e">
        <f>BL73-AY73</f>
        <v>#VALUE!</v>
      </c>
      <c r="BN73" s="217" t="e">
        <f t="shared" si="4"/>
        <v>#VALUE!</v>
      </c>
      <c r="BO73" s="218" t="e">
        <f t="shared" si="4"/>
        <v>#VALUE!</v>
      </c>
      <c r="BP73" s="193" t="e">
        <f t="shared" si="5"/>
        <v>#VALUE!</v>
      </c>
      <c r="BQ73" s="172"/>
      <c r="BS73" s="198">
        <f t="shared" si="6"/>
        <v>0</v>
      </c>
      <c r="BT73" s="198">
        <f t="shared" si="7"/>
        <v>0</v>
      </c>
      <c r="BU73" s="198">
        <f t="shared" si="8"/>
        <v>0</v>
      </c>
      <c r="BV73" s="199" t="str">
        <f t="shared" si="9"/>
        <v>N/A</v>
      </c>
      <c r="BX73" s="200" t="e">
        <f t="shared" si="10"/>
        <v>#VALUE!</v>
      </c>
      <c r="BY73" s="200" t="e">
        <f t="shared" si="11"/>
        <v>#VALUE!</v>
      </c>
      <c r="BZ73" s="200" t="e">
        <f t="shared" si="12"/>
        <v>#VALUE!</v>
      </c>
    </row>
    <row r="74" spans="1:78">
      <c r="B74" s="64" t="s">
        <v>820</v>
      </c>
      <c r="C74" s="107" t="s">
        <v>820</v>
      </c>
      <c r="D74" s="192" t="s">
        <v>819</v>
      </c>
      <c r="E74" s="183" t="e">
        <f>_xll.LVCELL($D$1,E$3,$C74,$D$2,$C$4,$C$5,$C$6,$C$7,$C$8,$D$3)/1000</f>
        <v>#VALUE!</v>
      </c>
      <c r="F74" s="183" t="e">
        <f>_xll.LVCELL($D$1,F$3,$C74,$D$2,$C$4,$C$5,$C$6,$C$7,$C$8,$D$3)/1000</f>
        <v>#VALUE!</v>
      </c>
      <c r="G74" s="183" t="e">
        <f>_xll.LVCELL($D$1,G$3,$C74,$D$2,$C$4,$C$5,$C$6,$C$7,$C$8,$D$3)/1000</f>
        <v>#VALUE!</v>
      </c>
      <c r="H74" s="183" t="e">
        <f>_xll.LVCELL($D$1,H$3,$C74,$D$2,$C$4,$C$5,$C$6,$C$7,$C$8,$D$3)/1000</f>
        <v>#VALUE!</v>
      </c>
      <c r="I74" s="183" t="e">
        <f>_xll.LVCELL($D$1,I$3,$C74,$D$2,$C$4,$C$5,$C$6,$C$7,$C$8,$D$3)/1000</f>
        <v>#VALUE!</v>
      </c>
      <c r="J74" s="183" t="e">
        <f>_xll.LVCELL($D$1,J$3,$C74,$D$2,$C$4,$C$5,$C$6,$C$7,$C$8,$D$3)/1000</f>
        <v>#VALUE!</v>
      </c>
      <c r="K74" s="172" t="e">
        <f>_xll.LVCELL($D$1,K$3,$C74,$D$2,$C$4,$C$5,$C$6,$C$7,$C$8,$D$3)/1000</f>
        <v>#VALUE!</v>
      </c>
      <c r="L74" s="172" t="e">
        <f>_xll.LVCELL($D$1,L$3,$C74,$D$2,$C$4,$C$5,$C$6,$C$7,$C$8,$D$3)/1000</f>
        <v>#VALUE!</v>
      </c>
      <c r="M74" s="172" t="e">
        <f>_xll.LVCELL($D$1,M$3,$C74,$D$2,$C$4,$C$5,$C$6,$C$7,$C$8,$D$3)/1000</f>
        <v>#VALUE!</v>
      </c>
      <c r="N74" s="172" t="e">
        <f>_xll.LVCELL($D$1,N$3,$C74,$D$2,$C$4,$C$5,$C$6,$C$7,$C$8,$D$3)/1000</f>
        <v>#VALUE!</v>
      </c>
      <c r="O74" s="172" t="e">
        <f>_xll.LVCELL($D$1,O$3,$C74,$D$2,$C$4,$C$5,$C$6,$C$7,$C$8,$D$3)/1000</f>
        <v>#VALUE!</v>
      </c>
      <c r="P74" s="172" t="e">
        <f>_xll.LVCELL($D$1,P$3,$C74,$D$2,$C$4,$C$5,$C$6,$C$7,$C$8,$D$3)/1000</f>
        <v>#VALUE!</v>
      </c>
      <c r="Q74" s="172" t="e">
        <f>_xll.LVCELL($D$1,Q$2,$C74,$D$2,$C$4,$C$5,$C$6,$C$7,$C$8,$D$3)/1000</f>
        <v>#VALUE!</v>
      </c>
      <c r="R74" s="183" t="e">
        <f>_xll.LVCELL($D$1,R$3,$C74,$D$2,$C$4,$C$5,$C$6,$C$7,$C$8,$D$3)/1000</f>
        <v>#VALUE!</v>
      </c>
      <c r="S74" s="183" t="e">
        <f>_xll.LVCELL($D$1,S$3,$C74,$D$2,$C$4,$C$5,$C$6,$C$7,$C$8,$D$3)/1000</f>
        <v>#VALUE!</v>
      </c>
      <c r="T74" s="183" t="e">
        <f>_xll.LVCELL($D$1,T$3,$C74,$D$2,$C$4,$C$5,$C$6,$C$7,$C$8,$D$3)/1000</f>
        <v>#VALUE!</v>
      </c>
      <c r="U74" s="183" t="e">
        <f>_xll.LVCELL($D$1,U$3,$C74,$D$2,$C$4,$C$5,$C$6,$C$7,$C$8,$D$3)/1000</f>
        <v>#VALUE!</v>
      </c>
      <c r="V74" s="183" t="e">
        <f>_xll.LVCELL($D$1,V$3,$C74,$D$2,$C$4,$C$5,$C$6,$C$7,$C$8,$D$3)/1000</f>
        <v>#VALUE!</v>
      </c>
      <c r="W74" s="183" t="e">
        <f>_xll.LVCELL($D$1,W$3,$C74,$D$2,$C$4,$C$5,$C$6,$C$7,$C$8,$D$3)/1000</f>
        <v>#VALUE!</v>
      </c>
      <c r="X74" s="172" t="e">
        <f>_xll.LVCELL($D$1,X$3,$C74,$D$2,$C$4,$C$5,$C$6,$C$7,$C$8,$D$3)/1000</f>
        <v>#VALUE!</v>
      </c>
      <c r="Y74" s="172" t="e">
        <f>_xll.LVCELL($D$1,Y$3,$C74,$D$2,$C$4,$C$5,$C$6,$C$7,$C$8,$D$3)/1000</f>
        <v>#VALUE!</v>
      </c>
      <c r="Z74" s="172" t="e">
        <f>_xll.LVCELL($D$1,Z$3,$C74,$D$2,$C$4,$C$5,$C$6,$C$7,$C$8,$D$3)/1000</f>
        <v>#VALUE!</v>
      </c>
      <c r="AA74" s="172" t="e">
        <f>_xll.LVCELL($D$1,AA$3,$C74,$D$2,$C$4,$C$5,$C$6,$C$7,$C$8,$D$3)/1000</f>
        <v>#VALUE!</v>
      </c>
      <c r="AB74" s="172" t="e">
        <f>_xll.LVCELL($D$1,AB$3,$C74,$D$2,$C$4,$C$5,$C$6,$C$7,$C$8,$D$3)/1000</f>
        <v>#VALUE!</v>
      </c>
      <c r="AC74" s="172" t="e">
        <f>_xll.LVCELL($D$1,AC$3,$C74,$D$2,$C$4,$C$5,$C$6,$C$7,$C$8,$D$3)/1000</f>
        <v>#VALUE!</v>
      </c>
      <c r="AD74" s="172" t="e">
        <f>_xll.LVCELL($D$1,AD$2,$C74,$D$2,$C$4,$C$5,$C$6,$C$7,$C$8,$D$3)/1000</f>
        <v>#VALUE!</v>
      </c>
      <c r="AE74" s="172" t="e">
        <f t="shared" si="0"/>
        <v>#VALUE!</v>
      </c>
      <c r="AF74" s="193"/>
      <c r="AG74" s="172" t="s">
        <v>2730</v>
      </c>
      <c r="AH74" s="61" t="e">
        <f t="shared" si="2"/>
        <v>#VALUE!</v>
      </c>
      <c r="AI74" s="64" t="s">
        <v>2751</v>
      </c>
      <c r="AJ74" s="64" t="s">
        <v>820</v>
      </c>
      <c r="AK74" s="107" t="s">
        <v>820</v>
      </c>
      <c r="AL74" s="192" t="s">
        <v>819</v>
      </c>
      <c r="AM74" s="183" t="e">
        <f>_xll.LVCELL($AK$1,AM$3,$AK74,$AL$2,$AK$4,$AK$5,$AK$6,$AK$7,$AK$8,$AL$3)/1000</f>
        <v>#VALUE!</v>
      </c>
      <c r="AN74" s="183" t="e">
        <f>_xll.LVCELL($AK$1,AN$3,$AK74,$AL$2,$AK$4,$AK$5,$AK$6,$AK$7,$AK$8,$AL$3)/1000</f>
        <v>#VALUE!</v>
      </c>
      <c r="AO74" s="183" t="e">
        <f>_xll.LVCELL($AK$1,AO$3,$AK74,$AL$2,$AK$4,$AK$5,$AK$6,$AK$7,$AK$8,$AL$3)/1000</f>
        <v>#VALUE!</v>
      </c>
      <c r="AP74" s="183" t="e">
        <f>_xll.LVCELL($AK$1,AP$3,$AK74,$AL$2,$AK$4,$AK$5,$AK$6,$AK$7,$AK$8,$AL$3)/1000</f>
        <v>#VALUE!</v>
      </c>
      <c r="AQ74" s="183" t="e">
        <f>_xll.LVCELL($AK$1,AQ$3,$AK74,$AL$2,$AK$4,$AK$5,$AK$6,$AK$7,$AK$8,$AL$3)/1000</f>
        <v>#VALUE!</v>
      </c>
      <c r="AR74" s="183" t="e">
        <f>_xll.LVCELL($AK$1,AR$3,$AK74,$AL$2,$AK$4,$AK$5,$AK$6,$AK$7,$AK$8,$AL$3)/1000</f>
        <v>#VALUE!</v>
      </c>
      <c r="AS74" s="172" t="e">
        <f>_xll.LVCELL($AK$1,AS$3,$AK74,$AL$2,$AK$4,$AK$5,$AK$6,$AK$7,$AK$8,$AL$3)/1000</f>
        <v>#VALUE!</v>
      </c>
      <c r="AT74" s="172" t="e">
        <f>_xll.LVCELL($AK$1,AT$3,$AK74,$AL$2,$AK$4,$AK$5,$AK$6,$AK$7,$AK$8,$AL$3)/1000</f>
        <v>#VALUE!</v>
      </c>
      <c r="AU74" s="172" t="e">
        <f>_xll.LVCELL($AK$1,AU$3,$AK74,$AL$2,$AK$4,$AK$5,$AK$6,$AK$7,$AK$8,$AL$3)/1000</f>
        <v>#VALUE!</v>
      </c>
      <c r="AV74" s="172" t="e">
        <f>_xll.LVCELL($AK$1,AV$3,$AK74,$AL$2,$AK$4,$AK$5,$AK$6,$AK$7,$AK$8,$AL$3)/1000</f>
        <v>#VALUE!</v>
      </c>
      <c r="AW74" s="172" t="e">
        <f>_xll.LVCELL($AK$1,AW$3,$AK74,$AL$2,$AK$4,$AK$5,$AK$6,$AK$7,$AK$8,$AL$3)/1000</f>
        <v>#VALUE!</v>
      </c>
      <c r="AX74" s="172" t="e">
        <f>_xll.LVCELL($AK$1,AX$3,$AK74,$AL$2,$AK$4,$AK$5,$AK$6,$AK$7,$AK$8,$AL$3)/1000</f>
        <v>#VALUE!</v>
      </c>
      <c r="AY74" s="172" t="e">
        <f>_xll.LVCELL($AK$1,AY$2,$AK74,$AL$2,$AK$4,$AK$5,$AK$6,$AK$7,$AK$8,$AL$3)/1000</f>
        <v>#VALUE!</v>
      </c>
      <c r="AZ74" s="183" t="e">
        <f>_xll.LVCELL($AK$1,AZ$3,$AK74,$AL$2,$AK$4,$AK$5,$AK$6,$AK$7,$AK$8,$AL$3)/1000</f>
        <v>#VALUE!</v>
      </c>
      <c r="BA74" s="183" t="e">
        <f>_xll.LVCELL($AK$1,BA$3,$AK74,$AL$2,$AK$4,$AK$5,$AK$6,$AK$7,$AK$8,$AL$3)/1000</f>
        <v>#VALUE!</v>
      </c>
      <c r="BB74" s="183" t="e">
        <f>_xll.LVCELL($AK$1,BB$3,$AK74,$AL$2,$AK$4,$AK$5,$AK$6,$AK$7,$AK$8,$AL$3)/1000</f>
        <v>#VALUE!</v>
      </c>
      <c r="BC74" s="183" t="e">
        <f>_xll.LVCELL($AK$1,BC$3,$AK74,$AL$2,$AK$4,$AK$5,$AK$6,$AK$7,$AK$8,$AL$3)/1000</f>
        <v>#VALUE!</v>
      </c>
      <c r="BD74" s="183" t="e">
        <f>_xll.LVCELL($AK$1,BD$3,$AK74,$AL$2,$AK$4,$AK$5,$AK$6,$AK$7,$AK$8,$AL$3)/1000</f>
        <v>#VALUE!</v>
      </c>
      <c r="BE74" s="183" t="e">
        <f>_xll.LVCELL($AK$1,BE$3,$AK74,$AL$2,$AK$4,$AK$5,$AK$6,$AK$7,$AK$8,$AL$3)/1000</f>
        <v>#VALUE!</v>
      </c>
      <c r="BF74" s="172" t="e">
        <f>_xll.LVCELL($AK$1,BF$3,$AK74,$AL$2,$AK$4,$AK$5,$AK$6,$AK$7,$AK$8,$AL$3)/1000</f>
        <v>#VALUE!</v>
      </c>
      <c r="BG74" s="172" t="e">
        <f>_xll.LVCELL($AK$1,BG$3,$AK74,$AL$2,$AK$4,$AK$5,$AK$6,$AK$7,$AK$8,$AL$3)/1000</f>
        <v>#VALUE!</v>
      </c>
      <c r="BH74" s="172" t="e">
        <f>_xll.LVCELL($AK$1,BH$3,$AK74,$AL$2,$AK$4,$AK$5,$AK$6,$AK$7,$AK$8,$AL$3)/1000</f>
        <v>#VALUE!</v>
      </c>
      <c r="BI74" s="172" t="e">
        <f>_xll.LVCELL($AK$1,BI$3,$AK74,$AL$2,$AK$4,$AK$5,$AK$6,$AK$7,$AK$8,$AL$3)/1000</f>
        <v>#VALUE!</v>
      </c>
      <c r="BJ74" s="172" t="e">
        <f>_xll.LVCELL($AK$1,BJ$3,$AK74,$AL$2,$AK$4,$AK$5,$AK$6,$AK$7,$AK$8,$AL$3)/1000</f>
        <v>#VALUE!</v>
      </c>
      <c r="BK74" s="172" t="e">
        <f>_xll.LVCELL($AK$1,BK$3,$AK74,$AL$2,$AK$4,$AK$5,$AK$6,$AK$7,$AK$8,$AL$3)/1000</f>
        <v>#VALUE!</v>
      </c>
      <c r="BL74" s="172" t="e">
        <f>_xll.LVCELL($AK$1,BL$2,$AK74,$AL$2,$AK$4,$AK$5,$AK$6,$AK$7,$AK$8,$AL$3)/1000</f>
        <v>#VALUE!</v>
      </c>
      <c r="BM74" s="264" t="e">
        <f t="shared" ref="BM74:BM87" si="13">BL74-AY74</f>
        <v>#VALUE!</v>
      </c>
      <c r="BN74" s="217" t="e">
        <f t="shared" si="4"/>
        <v>#VALUE!</v>
      </c>
      <c r="BO74" s="218" t="e">
        <f t="shared" si="4"/>
        <v>#VALUE!</v>
      </c>
      <c r="BP74" s="193" t="e">
        <f t="shared" si="5"/>
        <v>#VALUE!</v>
      </c>
      <c r="BQ74" s="172"/>
      <c r="BS74" s="198">
        <f t="shared" si="6"/>
        <v>0</v>
      </c>
      <c r="BT74" s="198">
        <f t="shared" si="7"/>
        <v>0</v>
      </c>
      <c r="BU74" s="198">
        <f t="shared" si="8"/>
        <v>0</v>
      </c>
      <c r="BV74" s="199" t="str">
        <f t="shared" si="9"/>
        <v>N/A</v>
      </c>
      <c r="BX74" s="200" t="e">
        <f t="shared" si="10"/>
        <v>#VALUE!</v>
      </c>
      <c r="BY74" s="200" t="e">
        <f t="shared" si="11"/>
        <v>#VALUE!</v>
      </c>
      <c r="BZ74" s="200" t="e">
        <f t="shared" si="12"/>
        <v>#VALUE!</v>
      </c>
    </row>
    <row r="75" spans="1:78">
      <c r="B75" s="64" t="s">
        <v>822</v>
      </c>
      <c r="C75" s="107" t="s">
        <v>822</v>
      </c>
      <c r="D75" s="192" t="s">
        <v>821</v>
      </c>
      <c r="E75" s="183" t="e">
        <f>_xll.LVCELL($D$1,E$3,$C75,$D$2,$C$4,$C$5,$C$6,$C$7,$C$8,$D$3)/1000</f>
        <v>#VALUE!</v>
      </c>
      <c r="F75" s="183" t="e">
        <f>_xll.LVCELL($D$1,F$3,$C75,$D$2,$C$4,$C$5,$C$6,$C$7,$C$8,$D$3)/1000</f>
        <v>#VALUE!</v>
      </c>
      <c r="G75" s="183" t="e">
        <f>_xll.LVCELL($D$1,G$3,$C75,$D$2,$C$4,$C$5,$C$6,$C$7,$C$8,$D$3)/1000</f>
        <v>#VALUE!</v>
      </c>
      <c r="H75" s="183" t="e">
        <f>_xll.LVCELL($D$1,H$3,$C75,$D$2,$C$4,$C$5,$C$6,$C$7,$C$8,$D$3)/1000</f>
        <v>#VALUE!</v>
      </c>
      <c r="I75" s="183" t="e">
        <f>_xll.LVCELL($D$1,I$3,$C75,$D$2,$C$4,$C$5,$C$6,$C$7,$C$8,$D$3)/1000</f>
        <v>#VALUE!</v>
      </c>
      <c r="J75" s="183" t="e">
        <f>_xll.LVCELL($D$1,J$3,$C75,$D$2,$C$4,$C$5,$C$6,$C$7,$C$8,$D$3)/1000</f>
        <v>#VALUE!</v>
      </c>
      <c r="K75" s="183" t="e">
        <f>_xll.LVCELL($D$1,K$3,$C75,$D$2,$C$4,$C$5,$C$6,$C$7,$C$8,$D$3)/1000</f>
        <v>#VALUE!</v>
      </c>
      <c r="L75" s="183" t="e">
        <f>_xll.LVCELL($D$1,L$3,$C75,$D$2,$C$4,$C$5,$C$6,$C$7,$C$8,$D$3)/1000</f>
        <v>#VALUE!</v>
      </c>
      <c r="M75" s="172" t="e">
        <f>_xll.LVCELL($D$1,M$3,$C75,$D$2,$C$4,$C$5,$C$6,$C$7,$C$8,$D$3)/1000</f>
        <v>#VALUE!</v>
      </c>
      <c r="N75" s="172" t="e">
        <f>_xll.LVCELL($D$1,N$3,$C75,$D$2,$C$4,$C$5,$C$6,$C$7,$C$8,$D$3)/1000</f>
        <v>#VALUE!</v>
      </c>
      <c r="O75" s="172" t="e">
        <f>_xll.LVCELL($D$1,O$3,$C75,$D$2,$C$4,$C$5,$C$6,$C$7,$C$8,$D$3)/1000</f>
        <v>#VALUE!</v>
      </c>
      <c r="P75" s="172" t="e">
        <f>_xll.LVCELL($D$1,P$3,$C75,$D$2,$C$4,$C$5,$C$6,$C$7,$C$8,$D$3)/1000</f>
        <v>#VALUE!</v>
      </c>
      <c r="Q75" s="172" t="e">
        <f>_xll.LVCELL($D$1,Q$2,$C75,$D$2,$C$4,$C$5,$C$6,$C$7,$C$8,$D$3)/1000</f>
        <v>#VALUE!</v>
      </c>
      <c r="R75" s="183" t="e">
        <f>_xll.LVCELL($D$1,R$3,$C75,$D$2,$C$4,$C$5,$C$6,$C$7,$C$8,$D$3)/1000</f>
        <v>#VALUE!</v>
      </c>
      <c r="S75" s="183" t="e">
        <f>_xll.LVCELL($D$1,S$3,$C75,$D$2,$C$4,$C$5,$C$6,$C$7,$C$8,$D$3)/1000</f>
        <v>#VALUE!</v>
      </c>
      <c r="T75" s="183" t="e">
        <f>_xll.LVCELL($D$1,T$3,$C75,$D$2,$C$4,$C$5,$C$6,$C$7,$C$8,$D$3)/1000</f>
        <v>#VALUE!</v>
      </c>
      <c r="U75" s="183" t="e">
        <f>_xll.LVCELL($D$1,U$3,$C75,$D$2,$C$4,$C$5,$C$6,$C$7,$C$8,$D$3)/1000</f>
        <v>#VALUE!</v>
      </c>
      <c r="V75" s="183" t="e">
        <f>_xll.LVCELL($D$1,V$3,$C75,$D$2,$C$4,$C$5,$C$6,$C$7,$C$8,$D$3)/1000</f>
        <v>#VALUE!</v>
      </c>
      <c r="W75" s="183" t="e">
        <f>_xll.LVCELL($D$1,W$3,$C75,$D$2,$C$4,$C$5,$C$6,$C$7,$C$8,$D$3)/1000</f>
        <v>#VALUE!</v>
      </c>
      <c r="X75" s="183" t="e">
        <f>_xll.LVCELL($D$1,X$3,$C75,$D$2,$C$4,$C$5,$C$6,$C$7,$C$8,$D$3)/1000</f>
        <v>#VALUE!</v>
      </c>
      <c r="Y75" s="183" t="e">
        <f>_xll.LVCELL($D$1,Y$3,$C75,$D$2,$C$4,$C$5,$C$6,$C$7,$C$8,$D$3)/1000</f>
        <v>#VALUE!</v>
      </c>
      <c r="Z75" s="172" t="e">
        <f>_xll.LVCELL($D$1,Z$3,$C75,$D$2,$C$4,$C$5,$C$6,$C$7,$C$8,$D$3)/1000</f>
        <v>#VALUE!</v>
      </c>
      <c r="AA75" s="172" t="e">
        <f>_xll.LVCELL($D$1,AA$3,$C75,$D$2,$C$4,$C$5,$C$6,$C$7,$C$8,$D$3)/1000</f>
        <v>#VALUE!</v>
      </c>
      <c r="AB75" s="172" t="e">
        <f>_xll.LVCELL($D$1,AB$3,$C75,$D$2,$C$4,$C$5,$C$6,$C$7,$C$8,$D$3)/1000</f>
        <v>#VALUE!</v>
      </c>
      <c r="AC75" s="172" t="e">
        <f>_xll.LVCELL($D$1,AC$3,$C75,$D$2,$C$4,$C$5,$C$6,$C$7,$C$8,$D$3)/1000</f>
        <v>#VALUE!</v>
      </c>
      <c r="AD75" s="172" t="e">
        <f>_xll.LVCELL($D$1,AD$2,$C75,$D$2,$C$4,$C$5,$C$6,$C$7,$C$8,$D$3)/1000</f>
        <v>#VALUE!</v>
      </c>
      <c r="AE75" s="172" t="e">
        <f t="shared" si="0"/>
        <v>#VALUE!</v>
      </c>
      <c r="AF75" s="193"/>
      <c r="AG75" s="172" t="s">
        <v>2730</v>
      </c>
      <c r="AH75" s="61" t="e">
        <f t="shared" si="2"/>
        <v>#VALUE!</v>
      </c>
      <c r="AI75" s="64" t="s">
        <v>2751</v>
      </c>
      <c r="AJ75" s="64" t="s">
        <v>822</v>
      </c>
      <c r="AK75" s="107" t="s">
        <v>822</v>
      </c>
      <c r="AL75" s="192" t="s">
        <v>821</v>
      </c>
      <c r="AM75" s="183" t="e">
        <f>_xll.LVCELL($AK$1,AM$3,$AK75,$AL$2,$AK$4,$AK$5,$AK$6,$AK$7,$AK$8,$AL$3)/1000</f>
        <v>#VALUE!</v>
      </c>
      <c r="AN75" s="183" t="e">
        <f>_xll.LVCELL($AK$1,AN$3,$AK75,$AL$2,$AK$4,$AK$5,$AK$6,$AK$7,$AK$8,$AL$3)/1000</f>
        <v>#VALUE!</v>
      </c>
      <c r="AO75" s="183" t="e">
        <f>_xll.LVCELL($AK$1,AO$3,$AK75,$AL$2,$AK$4,$AK$5,$AK$6,$AK$7,$AK$8,$AL$3)/1000</f>
        <v>#VALUE!</v>
      </c>
      <c r="AP75" s="183" t="e">
        <f>_xll.LVCELL($AK$1,AP$3,$AK75,$AL$2,$AK$4,$AK$5,$AK$6,$AK$7,$AK$8,$AL$3)/1000</f>
        <v>#VALUE!</v>
      </c>
      <c r="AQ75" s="183" t="e">
        <f>_xll.LVCELL($AK$1,AQ$3,$AK75,$AL$2,$AK$4,$AK$5,$AK$6,$AK$7,$AK$8,$AL$3)/1000</f>
        <v>#VALUE!</v>
      </c>
      <c r="AR75" s="183" t="e">
        <f>_xll.LVCELL($AK$1,AR$3,$AK75,$AL$2,$AK$4,$AK$5,$AK$6,$AK$7,$AK$8,$AL$3)/1000</f>
        <v>#VALUE!</v>
      </c>
      <c r="AS75" s="183" t="e">
        <f>_xll.LVCELL($AK$1,AS$3,$AK75,$AL$2,$AK$4,$AK$5,$AK$6,$AK$7,$AK$8,$AL$3)/1000</f>
        <v>#VALUE!</v>
      </c>
      <c r="AT75" s="183" t="e">
        <f>_xll.LVCELL($AK$1,AT$3,$AK75,$AL$2,$AK$4,$AK$5,$AK$6,$AK$7,$AK$8,$AL$3)/1000</f>
        <v>#VALUE!</v>
      </c>
      <c r="AU75" s="172" t="e">
        <f>_xll.LVCELL($AK$1,AU$3,$AK75,$AL$2,$AK$4,$AK$5,$AK$6,$AK$7,$AK$8,$AL$3)/1000</f>
        <v>#VALUE!</v>
      </c>
      <c r="AV75" s="172" t="e">
        <f>_xll.LVCELL($AK$1,AV$3,$AK75,$AL$2,$AK$4,$AK$5,$AK$6,$AK$7,$AK$8,$AL$3)/1000</f>
        <v>#VALUE!</v>
      </c>
      <c r="AW75" s="172" t="e">
        <f>_xll.LVCELL($AK$1,AW$3,$AK75,$AL$2,$AK$4,$AK$5,$AK$6,$AK$7,$AK$8,$AL$3)/1000</f>
        <v>#VALUE!</v>
      </c>
      <c r="AX75" s="172" t="e">
        <f>_xll.LVCELL($AK$1,AX$3,$AK75,$AL$2,$AK$4,$AK$5,$AK$6,$AK$7,$AK$8,$AL$3)/1000</f>
        <v>#VALUE!</v>
      </c>
      <c r="AY75" s="172" t="e">
        <f>_xll.LVCELL($AK$1,AY$2,$AK75,$AL$2,$AK$4,$AK$5,$AK$6,$AK$7,$AK$8,$AL$3)/1000</f>
        <v>#VALUE!</v>
      </c>
      <c r="AZ75" s="183" t="e">
        <f>_xll.LVCELL($AK$1,AZ$3,$AK75,$AL$2,$AK$4,$AK$5,$AK$6,$AK$7,$AK$8,$AL$3)/1000</f>
        <v>#VALUE!</v>
      </c>
      <c r="BA75" s="183" t="e">
        <f>_xll.LVCELL($AK$1,BA$3,$AK75,$AL$2,$AK$4,$AK$5,$AK$6,$AK$7,$AK$8,$AL$3)/1000</f>
        <v>#VALUE!</v>
      </c>
      <c r="BB75" s="183" t="e">
        <f>_xll.LVCELL($AK$1,BB$3,$AK75,$AL$2,$AK$4,$AK$5,$AK$6,$AK$7,$AK$8,$AL$3)/1000</f>
        <v>#VALUE!</v>
      </c>
      <c r="BC75" s="183" t="e">
        <f>_xll.LVCELL($AK$1,BC$3,$AK75,$AL$2,$AK$4,$AK$5,$AK$6,$AK$7,$AK$8,$AL$3)/1000</f>
        <v>#VALUE!</v>
      </c>
      <c r="BD75" s="183" t="e">
        <f>_xll.LVCELL($AK$1,BD$3,$AK75,$AL$2,$AK$4,$AK$5,$AK$6,$AK$7,$AK$8,$AL$3)/1000</f>
        <v>#VALUE!</v>
      </c>
      <c r="BE75" s="183" t="e">
        <f>_xll.LVCELL($AK$1,BE$3,$AK75,$AL$2,$AK$4,$AK$5,$AK$6,$AK$7,$AK$8,$AL$3)/1000</f>
        <v>#VALUE!</v>
      </c>
      <c r="BF75" s="183" t="e">
        <f>_xll.LVCELL($AK$1,BF$3,$AK75,$AL$2,$AK$4,$AK$5,$AK$6,$AK$7,$AK$8,$AL$3)/1000</f>
        <v>#VALUE!</v>
      </c>
      <c r="BG75" s="183" t="e">
        <f>_xll.LVCELL($AK$1,BG$3,$AK75,$AL$2,$AK$4,$AK$5,$AK$6,$AK$7,$AK$8,$AL$3)/1000</f>
        <v>#VALUE!</v>
      </c>
      <c r="BH75" s="172" t="e">
        <f>_xll.LVCELL($AK$1,BH$3,$AK75,$AL$2,$AK$4,$AK$5,$AK$6,$AK$7,$AK$8,$AL$3)/1000</f>
        <v>#VALUE!</v>
      </c>
      <c r="BI75" s="172" t="e">
        <f>_xll.LVCELL($AK$1,BI$3,$AK75,$AL$2,$AK$4,$AK$5,$AK$6,$AK$7,$AK$8,$AL$3)/1000</f>
        <v>#VALUE!</v>
      </c>
      <c r="BJ75" s="172" t="e">
        <f>_xll.LVCELL($AK$1,BJ$3,$AK75,$AL$2,$AK$4,$AK$5,$AK$6,$AK$7,$AK$8,$AL$3)/1000</f>
        <v>#VALUE!</v>
      </c>
      <c r="BK75" s="172" t="e">
        <f>_xll.LVCELL($AK$1,BK$3,$AK75,$AL$2,$AK$4,$AK$5,$AK$6,$AK$7,$AK$8,$AL$3)/1000</f>
        <v>#VALUE!</v>
      </c>
      <c r="BL75" s="172" t="e">
        <f>_xll.LVCELL($AK$1,BL$2,$AK75,$AL$2,$AK$4,$AK$5,$AK$6,$AK$7,$AK$8,$AL$3)/1000</f>
        <v>#VALUE!</v>
      </c>
      <c r="BM75" s="264" t="e">
        <f t="shared" si="13"/>
        <v>#VALUE!</v>
      </c>
      <c r="BN75" s="217" t="e">
        <f t="shared" si="4"/>
        <v>#VALUE!</v>
      </c>
      <c r="BO75" s="218" t="e">
        <f t="shared" si="4"/>
        <v>#VALUE!</v>
      </c>
      <c r="BP75" s="193" t="e">
        <f t="shared" si="5"/>
        <v>#VALUE!</v>
      </c>
      <c r="BQ75" s="172"/>
      <c r="BS75" s="198">
        <f t="shared" si="6"/>
        <v>0</v>
      </c>
      <c r="BT75" s="198">
        <f t="shared" si="7"/>
        <v>0</v>
      </c>
      <c r="BU75" s="198">
        <f t="shared" si="8"/>
        <v>0</v>
      </c>
      <c r="BV75" s="199" t="str">
        <f t="shared" si="9"/>
        <v>N/A</v>
      </c>
      <c r="BX75" s="200" t="e">
        <f t="shared" si="10"/>
        <v>#VALUE!</v>
      </c>
      <c r="BY75" s="200" t="e">
        <f t="shared" si="11"/>
        <v>#VALUE!</v>
      </c>
      <c r="BZ75" s="200" t="e">
        <f t="shared" si="12"/>
        <v>#VALUE!</v>
      </c>
    </row>
    <row r="76" spans="1:78">
      <c r="B76" s="64" t="s">
        <v>824</v>
      </c>
      <c r="C76" s="107" t="s">
        <v>824</v>
      </c>
      <c r="D76" s="192" t="s">
        <v>2639</v>
      </c>
      <c r="E76" s="183" t="e">
        <f>_xll.LVCELL($D$1,E$3,$C76,$D$2,$C$4,$C$5,$C$6,$C$7,$C$8,$D$3)/1000</f>
        <v>#VALUE!</v>
      </c>
      <c r="F76" s="183" t="e">
        <f>_xll.LVCELL($D$1,F$3,$C76,$D$2,$C$4,$C$5,$C$6,$C$7,$C$8,$D$3)/1000</f>
        <v>#VALUE!</v>
      </c>
      <c r="G76" s="183" t="e">
        <f>_xll.LVCELL($D$1,G$3,$C76,$D$2,$C$4,$C$5,$C$6,$C$7,$C$8,$D$3)/1000</f>
        <v>#VALUE!</v>
      </c>
      <c r="H76" s="183" t="e">
        <f>_xll.LVCELL($D$1,H$3,$C76,$D$2,$C$4,$C$5,$C$6,$C$7,$C$8,$D$3)/1000</f>
        <v>#VALUE!</v>
      </c>
      <c r="I76" s="183" t="e">
        <f>_xll.LVCELL($D$1,I$3,$C76,$D$2,$C$4,$C$5,$C$6,$C$7,$C$8,$D$3)/1000</f>
        <v>#VALUE!</v>
      </c>
      <c r="J76" s="183" t="e">
        <f>_xll.LVCELL($D$1,J$3,$C76,$D$2,$C$4,$C$5,$C$6,$C$7,$C$8,$D$3)/1000</f>
        <v>#VALUE!</v>
      </c>
      <c r="K76" s="172" t="e">
        <f>_xll.LVCELL($D$1,K$3,$C76,$D$2,$C$4,$C$5,$C$6,$C$7,$C$8,$D$3)/1000</f>
        <v>#VALUE!</v>
      </c>
      <c r="L76" s="172" t="e">
        <f>_xll.LVCELL($D$1,L$3,$C76,$D$2,$C$4,$C$5,$C$6,$C$7,$C$8,$D$3)/1000</f>
        <v>#VALUE!</v>
      </c>
      <c r="M76" s="172" t="e">
        <f>_xll.LVCELL($D$1,M$3,$C76,$D$2,$C$4,$C$5,$C$6,$C$7,$C$8,$D$3)/1000</f>
        <v>#VALUE!</v>
      </c>
      <c r="N76" s="172" t="e">
        <f>_xll.LVCELL($D$1,N$3,$C76,$D$2,$C$4,$C$5,$C$6,$C$7,$C$8,$D$3)/1000</f>
        <v>#VALUE!</v>
      </c>
      <c r="O76" s="172" t="e">
        <f>_xll.LVCELL($D$1,O$3,$C76,$D$2,$C$4,$C$5,$C$6,$C$7,$C$8,$D$3)/1000</f>
        <v>#VALUE!</v>
      </c>
      <c r="P76" s="172" t="e">
        <f>_xll.LVCELL($D$1,P$3,$C76,$D$2,$C$4,$C$5,$C$6,$C$7,$C$8,$D$3)/1000</f>
        <v>#VALUE!</v>
      </c>
      <c r="Q76" s="172" t="e">
        <f>_xll.LVCELL($D$1,Q$2,$C76,$D$2,$C$4,$C$5,$C$6,$C$7,$C$8,$D$3)/1000</f>
        <v>#VALUE!</v>
      </c>
      <c r="R76" s="183" t="e">
        <f>_xll.LVCELL($D$1,R$3,$C76,$D$2,$C$4,$C$5,$C$6,$C$7,$C$8,$D$3)/1000</f>
        <v>#VALUE!</v>
      </c>
      <c r="S76" s="183" t="e">
        <f>_xll.LVCELL($D$1,S$3,$C76,$D$2,$C$4,$C$5,$C$6,$C$7,$C$8,$D$3)/1000</f>
        <v>#VALUE!</v>
      </c>
      <c r="T76" s="183" t="e">
        <f>_xll.LVCELL($D$1,T$3,$C76,$D$2,$C$4,$C$5,$C$6,$C$7,$C$8,$D$3)/1000</f>
        <v>#VALUE!</v>
      </c>
      <c r="U76" s="183" t="e">
        <f>_xll.LVCELL($D$1,U$3,$C76,$D$2,$C$4,$C$5,$C$6,$C$7,$C$8,$D$3)/1000</f>
        <v>#VALUE!</v>
      </c>
      <c r="V76" s="183" t="e">
        <f>_xll.LVCELL($D$1,V$3,$C76,$D$2,$C$4,$C$5,$C$6,$C$7,$C$8,$D$3)/1000</f>
        <v>#VALUE!</v>
      </c>
      <c r="W76" s="183" t="e">
        <f>_xll.LVCELL($D$1,W$3,$C76,$D$2,$C$4,$C$5,$C$6,$C$7,$C$8,$D$3)/1000</f>
        <v>#VALUE!</v>
      </c>
      <c r="X76" s="172" t="e">
        <f>_xll.LVCELL($D$1,X$3,$C76,$D$2,$C$4,$C$5,$C$6,$C$7,$C$8,$D$3)/1000</f>
        <v>#VALUE!</v>
      </c>
      <c r="Y76" s="172" t="e">
        <f>_xll.LVCELL($D$1,Y$3,$C76,$D$2,$C$4,$C$5,$C$6,$C$7,$C$8,$D$3)/1000</f>
        <v>#VALUE!</v>
      </c>
      <c r="Z76" s="172" t="e">
        <f>_xll.LVCELL($D$1,Z$3,$C76,$D$2,$C$4,$C$5,$C$6,$C$7,$C$8,$D$3)/1000</f>
        <v>#VALUE!</v>
      </c>
      <c r="AA76" s="172" t="e">
        <f>_xll.LVCELL($D$1,AA$3,$C76,$D$2,$C$4,$C$5,$C$6,$C$7,$C$8,$D$3)/1000</f>
        <v>#VALUE!</v>
      </c>
      <c r="AB76" s="172" t="e">
        <f>_xll.LVCELL($D$1,AB$3,$C76,$D$2,$C$4,$C$5,$C$6,$C$7,$C$8,$D$3)/1000</f>
        <v>#VALUE!</v>
      </c>
      <c r="AC76" s="172" t="e">
        <f>_xll.LVCELL($D$1,AC$3,$C76,$D$2,$C$4,$C$5,$C$6,$C$7,$C$8,$D$3)/1000</f>
        <v>#VALUE!</v>
      </c>
      <c r="AD76" s="172" t="e">
        <f>_xll.LVCELL($D$1,AD$2,$C76,$D$2,$C$4,$C$5,$C$6,$C$7,$C$8,$D$3)/1000</f>
        <v>#VALUE!</v>
      </c>
      <c r="AE76" s="172" t="e">
        <f t="shared" si="0"/>
        <v>#VALUE!</v>
      </c>
      <c r="AF76" s="193"/>
      <c r="AG76" s="172" t="s">
        <v>2730</v>
      </c>
      <c r="AH76" s="61" t="e">
        <f t="shared" si="2"/>
        <v>#VALUE!</v>
      </c>
      <c r="AI76" s="64" t="s">
        <v>2751</v>
      </c>
      <c r="AJ76" s="64" t="s">
        <v>824</v>
      </c>
      <c r="AK76" s="107" t="s">
        <v>824</v>
      </c>
      <c r="AL76" s="192" t="s">
        <v>2639</v>
      </c>
      <c r="AM76" s="183" t="e">
        <f>_xll.LVCELL($AK$1,AM$3,$AK76,$AL$2,$AK$4,$AK$5,$AK$6,$AK$7,$AK$8,$AL$3)/1000</f>
        <v>#VALUE!</v>
      </c>
      <c r="AN76" s="183" t="e">
        <f>_xll.LVCELL($AK$1,AN$3,$AK76,$AL$2,$AK$4,$AK$5,$AK$6,$AK$7,$AK$8,$AL$3)/1000</f>
        <v>#VALUE!</v>
      </c>
      <c r="AO76" s="183" t="e">
        <f>_xll.LVCELL($AK$1,AO$3,$AK76,$AL$2,$AK$4,$AK$5,$AK$6,$AK$7,$AK$8,$AL$3)/1000</f>
        <v>#VALUE!</v>
      </c>
      <c r="AP76" s="183" t="e">
        <f>_xll.LVCELL($AK$1,AP$3,$AK76,$AL$2,$AK$4,$AK$5,$AK$6,$AK$7,$AK$8,$AL$3)/1000</f>
        <v>#VALUE!</v>
      </c>
      <c r="AQ76" s="183" t="e">
        <f>_xll.LVCELL($AK$1,AQ$3,$AK76,$AL$2,$AK$4,$AK$5,$AK$6,$AK$7,$AK$8,$AL$3)/1000</f>
        <v>#VALUE!</v>
      </c>
      <c r="AR76" s="183" t="e">
        <f>_xll.LVCELL($AK$1,AR$3,$AK76,$AL$2,$AK$4,$AK$5,$AK$6,$AK$7,$AK$8,$AL$3)/1000</f>
        <v>#VALUE!</v>
      </c>
      <c r="AS76" s="172" t="e">
        <f>_xll.LVCELL($AK$1,AS$3,$AK76,$AL$2,$AK$4,$AK$5,$AK$6,$AK$7,$AK$8,$AL$3)/1000</f>
        <v>#VALUE!</v>
      </c>
      <c r="AT76" s="172" t="e">
        <f>_xll.LVCELL($AK$1,AT$3,$AK76,$AL$2,$AK$4,$AK$5,$AK$6,$AK$7,$AK$8,$AL$3)/1000</f>
        <v>#VALUE!</v>
      </c>
      <c r="AU76" s="172" t="e">
        <f>_xll.LVCELL($AK$1,AU$3,$AK76,$AL$2,$AK$4,$AK$5,$AK$6,$AK$7,$AK$8,$AL$3)/1000</f>
        <v>#VALUE!</v>
      </c>
      <c r="AV76" s="172" t="e">
        <f>_xll.LVCELL($AK$1,AV$3,$AK76,$AL$2,$AK$4,$AK$5,$AK$6,$AK$7,$AK$8,$AL$3)/1000</f>
        <v>#VALUE!</v>
      </c>
      <c r="AW76" s="172" t="e">
        <f>_xll.LVCELL($AK$1,AW$3,$AK76,$AL$2,$AK$4,$AK$5,$AK$6,$AK$7,$AK$8,$AL$3)/1000</f>
        <v>#VALUE!</v>
      </c>
      <c r="AX76" s="172" t="e">
        <f>_xll.LVCELL($AK$1,AX$3,$AK76,$AL$2,$AK$4,$AK$5,$AK$6,$AK$7,$AK$8,$AL$3)/1000</f>
        <v>#VALUE!</v>
      </c>
      <c r="AY76" s="172" t="e">
        <f>_xll.LVCELL($AK$1,AY$2,$AK76,$AL$2,$AK$4,$AK$5,$AK$6,$AK$7,$AK$8,$AL$3)/1000</f>
        <v>#VALUE!</v>
      </c>
      <c r="AZ76" s="183" t="e">
        <f>_xll.LVCELL($AK$1,AZ$3,$AK76,$AL$2,$AK$4,$AK$5,$AK$6,$AK$7,$AK$8,$AL$3)/1000</f>
        <v>#VALUE!</v>
      </c>
      <c r="BA76" s="183" t="e">
        <f>_xll.LVCELL($AK$1,BA$3,$AK76,$AL$2,$AK$4,$AK$5,$AK$6,$AK$7,$AK$8,$AL$3)/1000</f>
        <v>#VALUE!</v>
      </c>
      <c r="BB76" s="183" t="e">
        <f>_xll.LVCELL($AK$1,BB$3,$AK76,$AL$2,$AK$4,$AK$5,$AK$6,$AK$7,$AK$8,$AL$3)/1000</f>
        <v>#VALUE!</v>
      </c>
      <c r="BC76" s="183" t="e">
        <f>_xll.LVCELL($AK$1,BC$3,$AK76,$AL$2,$AK$4,$AK$5,$AK$6,$AK$7,$AK$8,$AL$3)/1000</f>
        <v>#VALUE!</v>
      </c>
      <c r="BD76" s="183" t="e">
        <f>_xll.LVCELL($AK$1,BD$3,$AK76,$AL$2,$AK$4,$AK$5,$AK$6,$AK$7,$AK$8,$AL$3)/1000</f>
        <v>#VALUE!</v>
      </c>
      <c r="BE76" s="183" t="e">
        <f>_xll.LVCELL($AK$1,BE$3,$AK76,$AL$2,$AK$4,$AK$5,$AK$6,$AK$7,$AK$8,$AL$3)/1000</f>
        <v>#VALUE!</v>
      </c>
      <c r="BF76" s="172" t="e">
        <f>_xll.LVCELL($AK$1,BF$3,$AK76,$AL$2,$AK$4,$AK$5,$AK$6,$AK$7,$AK$8,$AL$3)/1000</f>
        <v>#VALUE!</v>
      </c>
      <c r="BG76" s="172" t="e">
        <f>_xll.LVCELL($AK$1,BG$3,$AK76,$AL$2,$AK$4,$AK$5,$AK$6,$AK$7,$AK$8,$AL$3)/1000</f>
        <v>#VALUE!</v>
      </c>
      <c r="BH76" s="172" t="e">
        <f>_xll.LVCELL($AK$1,BH$3,$AK76,$AL$2,$AK$4,$AK$5,$AK$6,$AK$7,$AK$8,$AL$3)/1000</f>
        <v>#VALUE!</v>
      </c>
      <c r="BI76" s="172" t="e">
        <f>_xll.LVCELL($AK$1,BI$3,$AK76,$AL$2,$AK$4,$AK$5,$AK$6,$AK$7,$AK$8,$AL$3)/1000</f>
        <v>#VALUE!</v>
      </c>
      <c r="BJ76" s="172" t="e">
        <f>_xll.LVCELL($AK$1,BJ$3,$AK76,$AL$2,$AK$4,$AK$5,$AK$6,$AK$7,$AK$8,$AL$3)/1000</f>
        <v>#VALUE!</v>
      </c>
      <c r="BK76" s="172" t="e">
        <f>_xll.LVCELL($AK$1,BK$3,$AK76,$AL$2,$AK$4,$AK$5,$AK$6,$AK$7,$AK$8,$AL$3)/1000</f>
        <v>#VALUE!</v>
      </c>
      <c r="BL76" s="172" t="e">
        <f>_xll.LVCELL($AK$1,BL$2,$AK76,$AL$2,$AK$4,$AK$5,$AK$6,$AK$7,$AK$8,$AL$3)/1000</f>
        <v>#VALUE!</v>
      </c>
      <c r="BM76" s="264" t="e">
        <f t="shared" si="13"/>
        <v>#VALUE!</v>
      </c>
      <c r="BN76" s="217" t="e">
        <f t="shared" si="4"/>
        <v>#VALUE!</v>
      </c>
      <c r="BO76" s="218" t="e">
        <f t="shared" si="4"/>
        <v>#VALUE!</v>
      </c>
      <c r="BP76" s="193" t="e">
        <f t="shared" si="5"/>
        <v>#VALUE!</v>
      </c>
      <c r="BQ76" s="172"/>
      <c r="BS76" s="198">
        <f t="shared" si="6"/>
        <v>0</v>
      </c>
      <c r="BT76" s="198">
        <f t="shared" si="7"/>
        <v>0</v>
      </c>
      <c r="BU76" s="198">
        <f t="shared" si="8"/>
        <v>0</v>
      </c>
      <c r="BV76" s="199" t="str">
        <f t="shared" si="9"/>
        <v>N/A</v>
      </c>
      <c r="BX76" s="200" t="e">
        <f t="shared" si="10"/>
        <v>#VALUE!</v>
      </c>
      <c r="BY76" s="200" t="e">
        <f t="shared" si="11"/>
        <v>#VALUE!</v>
      </c>
      <c r="BZ76" s="200" t="e">
        <f t="shared" si="12"/>
        <v>#VALUE!</v>
      </c>
    </row>
    <row r="77" spans="1:78">
      <c r="B77" s="64" t="s">
        <v>826</v>
      </c>
      <c r="C77" s="107" t="s">
        <v>826</v>
      </c>
      <c r="D77" s="192" t="s">
        <v>2640</v>
      </c>
      <c r="E77" s="183" t="e">
        <f>_xll.LVCELL($D$1,E$3,$C77,$D$2,$C$4,$C$5,$C$6,$C$7,$C$8,$D$3)/1000</f>
        <v>#VALUE!</v>
      </c>
      <c r="F77" s="172" t="e">
        <f>_xll.LVCELL($D$1,F$3,$C77,$D$2,$C$4,$C$5,$C$6,$C$7,$C$8,$D$3)/1000</f>
        <v>#VALUE!</v>
      </c>
      <c r="G77" s="172" t="e">
        <f>_xll.LVCELL($D$1,G$3,$C77,$D$2,$C$4,$C$5,$C$6,$C$7,$C$8,$D$3)/1000</f>
        <v>#VALUE!</v>
      </c>
      <c r="H77" s="172" t="e">
        <f>_xll.LVCELL($D$1,H$3,$C77,$D$2,$C$4,$C$5,$C$6,$C$7,$C$8,$D$3)/1000</f>
        <v>#VALUE!</v>
      </c>
      <c r="I77" s="172" t="e">
        <f>_xll.LVCELL($D$1,I$3,$C77,$D$2,$C$4,$C$5,$C$6,$C$7,$C$8,$D$3)/1000</f>
        <v>#VALUE!</v>
      </c>
      <c r="J77" s="172" t="e">
        <f>_xll.LVCELL($D$1,J$3,$C77,$D$2,$C$4,$C$5,$C$6,$C$7,$C$8,$D$3)/1000</f>
        <v>#VALUE!</v>
      </c>
      <c r="K77" s="172" t="e">
        <f>_xll.LVCELL($D$1,K$3,$C77,$D$2,$C$4,$C$5,$C$6,$C$7,$C$8,$D$3)/1000</f>
        <v>#VALUE!</v>
      </c>
      <c r="L77" s="172" t="e">
        <f>_xll.LVCELL($D$1,L$3,$C77,$D$2,$C$4,$C$5,$C$6,$C$7,$C$8,$D$3)/1000</f>
        <v>#VALUE!</v>
      </c>
      <c r="M77" s="172" t="e">
        <f>_xll.LVCELL($D$1,M$3,$C77,$D$2,$C$4,$C$5,$C$6,$C$7,$C$8,$D$3)/1000</f>
        <v>#VALUE!</v>
      </c>
      <c r="N77" s="172" t="e">
        <f>_xll.LVCELL($D$1,N$3,$C77,$D$2,$C$4,$C$5,$C$6,$C$7,$C$8,$D$3)/1000</f>
        <v>#VALUE!</v>
      </c>
      <c r="O77" s="172" t="e">
        <f>_xll.LVCELL($D$1,O$3,$C77,$D$2,$C$4,$C$5,$C$6,$C$7,$C$8,$D$3)/1000</f>
        <v>#VALUE!</v>
      </c>
      <c r="P77" s="172" t="e">
        <f>_xll.LVCELL($D$1,P$3,$C77,$D$2,$C$4,$C$5,$C$6,$C$7,$C$8,$D$3)/1000</f>
        <v>#VALUE!</v>
      </c>
      <c r="Q77" s="172" t="e">
        <f>_xll.LVCELL($D$1,Q$2,$C77,$D$2,$C$4,$C$5,$C$6,$C$7,$C$8,$D$3)/1000</f>
        <v>#VALUE!</v>
      </c>
      <c r="R77" s="183" t="e">
        <f>_xll.LVCELL($D$1,R$3,$C77,$D$2,$C$4,$C$5,$C$6,$C$7,$C$8,$D$3)/1000</f>
        <v>#VALUE!</v>
      </c>
      <c r="S77" s="172" t="e">
        <f>_xll.LVCELL($D$1,S$3,$C77,$D$2,$C$4,$C$5,$C$6,$C$7,$C$8,$D$3)/1000</f>
        <v>#VALUE!</v>
      </c>
      <c r="T77" s="172" t="e">
        <f>_xll.LVCELL($D$1,T$3,$C77,$D$2,$C$4,$C$5,$C$6,$C$7,$C$8,$D$3)/1000</f>
        <v>#VALUE!</v>
      </c>
      <c r="U77" s="172" t="e">
        <f>_xll.LVCELL($D$1,U$3,$C77,$D$2,$C$4,$C$5,$C$6,$C$7,$C$8,$D$3)/1000</f>
        <v>#VALUE!</v>
      </c>
      <c r="V77" s="172" t="e">
        <f>_xll.LVCELL($D$1,V$3,$C77,$D$2,$C$4,$C$5,$C$6,$C$7,$C$8,$D$3)/1000</f>
        <v>#VALUE!</v>
      </c>
      <c r="W77" s="172" t="e">
        <f>_xll.LVCELL($D$1,W$3,$C77,$D$2,$C$4,$C$5,$C$6,$C$7,$C$8,$D$3)/1000</f>
        <v>#VALUE!</v>
      </c>
      <c r="X77" s="172" t="e">
        <f>_xll.LVCELL($D$1,X$3,$C77,$D$2,$C$4,$C$5,$C$6,$C$7,$C$8,$D$3)/1000</f>
        <v>#VALUE!</v>
      </c>
      <c r="Y77" s="172" t="e">
        <f>_xll.LVCELL($D$1,Y$3,$C77,$D$2,$C$4,$C$5,$C$6,$C$7,$C$8,$D$3)/1000</f>
        <v>#VALUE!</v>
      </c>
      <c r="Z77" s="172" t="e">
        <f>_xll.LVCELL($D$1,Z$3,$C77,$D$2,$C$4,$C$5,$C$6,$C$7,$C$8,$D$3)/1000</f>
        <v>#VALUE!</v>
      </c>
      <c r="AA77" s="172" t="e">
        <f>_xll.LVCELL($D$1,AA$3,$C77,$D$2,$C$4,$C$5,$C$6,$C$7,$C$8,$D$3)/1000</f>
        <v>#VALUE!</v>
      </c>
      <c r="AB77" s="172" t="e">
        <f>_xll.LVCELL($D$1,AB$3,$C77,$D$2,$C$4,$C$5,$C$6,$C$7,$C$8,$D$3)/1000</f>
        <v>#VALUE!</v>
      </c>
      <c r="AC77" s="172" t="e">
        <f>_xll.LVCELL($D$1,AC$3,$C77,$D$2,$C$4,$C$5,$C$6,$C$7,$C$8,$D$3)/1000</f>
        <v>#VALUE!</v>
      </c>
      <c r="AD77" s="172" t="e">
        <f>_xll.LVCELL($D$1,AD$2,$C77,$D$2,$C$4,$C$5,$C$6,$C$7,$C$8,$D$3)/1000</f>
        <v>#VALUE!</v>
      </c>
      <c r="AE77" s="172" t="e">
        <f t="shared" ref="AE77:AE87" si="14">AD77-Q77</f>
        <v>#VALUE!</v>
      </c>
      <c r="AF77" s="193"/>
      <c r="AG77" s="172" t="s">
        <v>2730</v>
      </c>
      <c r="AH77" s="61" t="e">
        <f>BN77+BO77-BM77</f>
        <v>#VALUE!</v>
      </c>
      <c r="AI77" s="64" t="s">
        <v>2751</v>
      </c>
      <c r="AJ77" s="64" t="s">
        <v>826</v>
      </c>
      <c r="AK77" s="107" t="s">
        <v>826</v>
      </c>
      <c r="AL77" s="192" t="s">
        <v>2640</v>
      </c>
      <c r="AM77" s="183" t="e">
        <f>_xll.LVCELL($AK$1,AM$3,$AK77,$AL$2,$AK$4,$AK$5,$AK$6,$AK$7,$AK$8,$AL$3)/1000</f>
        <v>#VALUE!</v>
      </c>
      <c r="AN77" s="172" t="e">
        <f>_xll.LVCELL($AK$1,AN$3,$AK77,$AL$2,$AK$4,$AK$5,$AK$6,$AK$7,$AK$8,$AL$3)/1000</f>
        <v>#VALUE!</v>
      </c>
      <c r="AO77" s="172" t="e">
        <f>_xll.LVCELL($AK$1,AO$3,$AK77,$AL$2,$AK$4,$AK$5,$AK$6,$AK$7,$AK$8,$AL$3)/1000</f>
        <v>#VALUE!</v>
      </c>
      <c r="AP77" s="172" t="e">
        <f>_xll.LVCELL($AK$1,AP$3,$AK77,$AL$2,$AK$4,$AK$5,$AK$6,$AK$7,$AK$8,$AL$3)/1000</f>
        <v>#VALUE!</v>
      </c>
      <c r="AQ77" s="172" t="e">
        <f>_xll.LVCELL($AK$1,AQ$3,$AK77,$AL$2,$AK$4,$AK$5,$AK$6,$AK$7,$AK$8,$AL$3)/1000</f>
        <v>#VALUE!</v>
      </c>
      <c r="AR77" s="172" t="e">
        <f>_xll.LVCELL($AK$1,AR$3,$AK77,$AL$2,$AK$4,$AK$5,$AK$6,$AK$7,$AK$8,$AL$3)/1000</f>
        <v>#VALUE!</v>
      </c>
      <c r="AS77" s="172" t="e">
        <f>_xll.LVCELL($AK$1,AS$3,$AK77,$AL$2,$AK$4,$AK$5,$AK$6,$AK$7,$AK$8,$AL$3)/1000</f>
        <v>#VALUE!</v>
      </c>
      <c r="AT77" s="172" t="e">
        <f>_xll.LVCELL($AK$1,AT$3,$AK77,$AL$2,$AK$4,$AK$5,$AK$6,$AK$7,$AK$8,$AL$3)/1000</f>
        <v>#VALUE!</v>
      </c>
      <c r="AU77" s="172" t="e">
        <f>_xll.LVCELL($AK$1,AU$3,$AK77,$AL$2,$AK$4,$AK$5,$AK$6,$AK$7,$AK$8,$AL$3)/1000</f>
        <v>#VALUE!</v>
      </c>
      <c r="AV77" s="172" t="e">
        <f>_xll.LVCELL($AK$1,AV$3,$AK77,$AL$2,$AK$4,$AK$5,$AK$6,$AK$7,$AK$8,$AL$3)/1000</f>
        <v>#VALUE!</v>
      </c>
      <c r="AW77" s="172" t="e">
        <f>_xll.LVCELL($AK$1,AW$3,$AK77,$AL$2,$AK$4,$AK$5,$AK$6,$AK$7,$AK$8,$AL$3)/1000</f>
        <v>#VALUE!</v>
      </c>
      <c r="AX77" s="172" t="e">
        <f>_xll.LVCELL($AK$1,AX$3,$AK77,$AL$2,$AK$4,$AK$5,$AK$6,$AK$7,$AK$8,$AL$3)/1000</f>
        <v>#VALUE!</v>
      </c>
      <c r="AY77" s="172" t="e">
        <f>_xll.LVCELL($AK$1,AY$2,$AK77,$AL$2,$AK$4,$AK$5,$AK$6,$AK$7,$AK$8,$AL$3)/1000</f>
        <v>#VALUE!</v>
      </c>
      <c r="AZ77" s="183" t="e">
        <f>_xll.LVCELL($AK$1,AZ$3,$AK77,$AL$2,$AK$4,$AK$5,$AK$6,$AK$7,$AK$8,$AL$3)/1000</f>
        <v>#VALUE!</v>
      </c>
      <c r="BA77" s="172" t="e">
        <f>_xll.LVCELL($AK$1,BA$3,$AK77,$AL$2,$AK$4,$AK$5,$AK$6,$AK$7,$AK$8,$AL$3)/1000</f>
        <v>#VALUE!</v>
      </c>
      <c r="BB77" s="172" t="e">
        <f>_xll.LVCELL($AK$1,BB$3,$AK77,$AL$2,$AK$4,$AK$5,$AK$6,$AK$7,$AK$8,$AL$3)/1000</f>
        <v>#VALUE!</v>
      </c>
      <c r="BC77" s="172" t="e">
        <f>_xll.LVCELL($AK$1,BC$3,$AK77,$AL$2,$AK$4,$AK$5,$AK$6,$AK$7,$AK$8,$AL$3)/1000</f>
        <v>#VALUE!</v>
      </c>
      <c r="BD77" s="172" t="e">
        <f>_xll.LVCELL($AK$1,BD$3,$AK77,$AL$2,$AK$4,$AK$5,$AK$6,$AK$7,$AK$8,$AL$3)/1000</f>
        <v>#VALUE!</v>
      </c>
      <c r="BE77" s="172" t="e">
        <f>_xll.LVCELL($AK$1,BE$3,$AK77,$AL$2,$AK$4,$AK$5,$AK$6,$AK$7,$AK$8,$AL$3)/1000</f>
        <v>#VALUE!</v>
      </c>
      <c r="BF77" s="172" t="e">
        <f>_xll.LVCELL($AK$1,BF$3,$AK77,$AL$2,$AK$4,$AK$5,$AK$6,$AK$7,$AK$8,$AL$3)/1000</f>
        <v>#VALUE!</v>
      </c>
      <c r="BG77" s="172" t="e">
        <f>_xll.LVCELL($AK$1,BG$3,$AK77,$AL$2,$AK$4,$AK$5,$AK$6,$AK$7,$AK$8,$AL$3)/1000</f>
        <v>#VALUE!</v>
      </c>
      <c r="BH77" s="172" t="e">
        <f>_xll.LVCELL($AK$1,BH$3,$AK77,$AL$2,$AK$4,$AK$5,$AK$6,$AK$7,$AK$8,$AL$3)/1000</f>
        <v>#VALUE!</v>
      </c>
      <c r="BI77" s="172" t="e">
        <f>_xll.LVCELL($AK$1,BI$3,$AK77,$AL$2,$AK$4,$AK$5,$AK$6,$AK$7,$AK$8,$AL$3)/1000</f>
        <v>#VALUE!</v>
      </c>
      <c r="BJ77" s="172" t="e">
        <f>_xll.LVCELL($AK$1,BJ$3,$AK77,$AL$2,$AK$4,$AK$5,$AK$6,$AK$7,$AK$8,$AL$3)/1000</f>
        <v>#VALUE!</v>
      </c>
      <c r="BK77" s="172" t="e">
        <f>_xll.LVCELL($AK$1,BK$3,$AK77,$AL$2,$AK$4,$AK$5,$AK$6,$AK$7,$AK$8,$AL$3)/1000</f>
        <v>#VALUE!</v>
      </c>
      <c r="BL77" s="172" t="e">
        <f>_xll.LVCELL($AK$1,BL$2,$AK77,$AL$2,$AK$4,$AK$5,$AK$6,$AK$7,$AK$8,$AL$3)/1000</f>
        <v>#VALUE!</v>
      </c>
      <c r="BM77" s="264" t="e">
        <f t="shared" si="13"/>
        <v>#VALUE!</v>
      </c>
      <c r="BN77" s="217" t="e">
        <f t="shared" ref="BN77:BO80" si="15">BX77</f>
        <v>#VALUE!</v>
      </c>
      <c r="BO77" s="218" t="e">
        <f t="shared" si="15"/>
        <v>#VALUE!</v>
      </c>
      <c r="BP77" s="193" t="e">
        <f t="shared" si="5"/>
        <v>#VALUE!</v>
      </c>
      <c r="BQ77" s="172"/>
      <c r="BS77" s="198">
        <f>+IFERROR(AY77/Q77*1000,0)</f>
        <v>0</v>
      </c>
      <c r="BT77" s="198">
        <f>+IFERROR(BL77/AD77*1000,0)</f>
        <v>0</v>
      </c>
      <c r="BU77" s="198">
        <f>+BT77-BS77</f>
        <v>0</v>
      </c>
      <c r="BV77" s="199" t="str">
        <f>+IFERROR(BU77/BS77,"N/A")</f>
        <v>N/A</v>
      </c>
      <c r="BX77" s="200" t="e">
        <f>+AE77*BT77/1000</f>
        <v>#VALUE!</v>
      </c>
      <c r="BY77" s="200" t="e">
        <f>+BU77*Q77/1000</f>
        <v>#VALUE!</v>
      </c>
      <c r="BZ77" s="200" t="e">
        <f>+SUM(BX77:BY77)</f>
        <v>#VALUE!</v>
      </c>
    </row>
    <row r="78" spans="1:78">
      <c r="B78" s="64" t="s">
        <v>499</v>
      </c>
      <c r="C78" s="64" t="s">
        <v>499</v>
      </c>
      <c r="D78" s="192" t="s">
        <v>842</v>
      </c>
      <c r="E78" s="172" t="e">
        <f>_xll.LVCELL($D$1,E$3,$C78,$D$2,$C$4,$C$5,$C$6,$C$7,$C$8,$D$3)/1000</f>
        <v>#VALUE!</v>
      </c>
      <c r="F78" s="172" t="e">
        <f>_xll.LVCELL($D$1,F$3,$C78,$D$2,$C$4,$C$5,$C$6,$C$7,$C$8,$D$3)/1000</f>
        <v>#VALUE!</v>
      </c>
      <c r="G78" s="172" t="e">
        <f>_xll.LVCELL($D$1,G$3,$C78,$D$2,$C$4,$C$5,$C$6,$C$7,$C$8,$D$3)/1000</f>
        <v>#VALUE!</v>
      </c>
      <c r="H78" s="172" t="e">
        <f>_xll.LVCELL($D$1,H$3,$C78,$D$2,$C$4,$C$5,$C$6,$C$7,$C$8,$D$3)/1000</f>
        <v>#VALUE!</v>
      </c>
      <c r="I78" s="172" t="e">
        <f>_xll.LVCELL($D$1,I$3,$C78,$D$2,$C$4,$C$5,$C$6,$C$7,$C$8,$D$3)/1000</f>
        <v>#VALUE!</v>
      </c>
      <c r="J78" s="172" t="e">
        <f>_xll.LVCELL($D$1,J$3,$C78,$D$2,$C$4,$C$5,$C$6,$C$7,$C$8,$D$3)/1000</f>
        <v>#VALUE!</v>
      </c>
      <c r="K78" s="172" t="e">
        <f>_xll.LVCELL($D$1,K$3,$C78,$D$2,$C$4,$C$5,$C$6,$C$7,$C$8,$D$3)/1000</f>
        <v>#VALUE!</v>
      </c>
      <c r="L78" s="172" t="e">
        <f>_xll.LVCELL($D$1,L$3,$C78,$D$2,$C$4,$C$5,$C$6,$C$7,$C$8,$D$3)/1000</f>
        <v>#VALUE!</v>
      </c>
      <c r="M78" s="172" t="e">
        <f>_xll.LVCELL($D$1,M$3,$C78,$D$2,$C$4,$C$5,$C$6,$C$7,$C$8,$D$3)/1000</f>
        <v>#VALUE!</v>
      </c>
      <c r="N78" s="172" t="e">
        <f>_xll.LVCELL($D$1,N$3,$C78,$D$2,$C$4,$C$5,$C$6,$C$7,$C$8,$D$3)/1000</f>
        <v>#VALUE!</v>
      </c>
      <c r="O78" s="172" t="e">
        <f>_xll.LVCELL($D$1,O$3,$C78,$D$2,$C$4,$C$5,$C$6,$C$7,$C$8,$D$3)/1000</f>
        <v>#VALUE!</v>
      </c>
      <c r="P78" s="172" t="e">
        <f>_xll.LVCELL($D$1,P$3,$C78,$D$2,$C$4,$C$5,$C$6,$C$7,$C$8,$D$3)/1000</f>
        <v>#VALUE!</v>
      </c>
      <c r="Q78" s="172" t="e">
        <f>_xll.LVCELL($D$1,Q$2,$C78,$D$2,$C$4,$C$5,$C$6,$C$7,$C$8,$D$3)/1000</f>
        <v>#VALUE!</v>
      </c>
      <c r="R78" s="172" t="e">
        <f>_xll.LVCELL($D$1,R$3,$C78,$D$2,$C$4,$C$5,$C$6,$C$7,$C$8,$D$3)/1000</f>
        <v>#VALUE!</v>
      </c>
      <c r="S78" s="172" t="e">
        <f>_xll.LVCELL($D$1,S$3,$C78,$D$2,$C$4,$C$5,$C$6,$C$7,$C$8,$D$3)/1000</f>
        <v>#VALUE!</v>
      </c>
      <c r="T78" s="172" t="e">
        <f>_xll.LVCELL($D$1,T$3,$C78,$D$2,$C$4,$C$5,$C$6,$C$7,$C$8,$D$3)/1000</f>
        <v>#VALUE!</v>
      </c>
      <c r="U78" s="172" t="e">
        <f>_xll.LVCELL($D$1,U$3,$C78,$D$2,$C$4,$C$5,$C$6,$C$7,$C$8,$D$3)/1000</f>
        <v>#VALUE!</v>
      </c>
      <c r="V78" s="172" t="e">
        <f>_xll.LVCELL($D$1,V$3,$C78,$D$2,$C$4,$C$5,$C$6,$C$7,$C$8,$D$3)/1000</f>
        <v>#VALUE!</v>
      </c>
      <c r="W78" s="172" t="e">
        <f>_xll.LVCELL($D$1,W$3,$C78,$D$2,$C$4,$C$5,$C$6,$C$7,$C$8,$D$3)/1000</f>
        <v>#VALUE!</v>
      </c>
      <c r="X78" s="172" t="e">
        <f>_xll.LVCELL($D$1,X$3,$C78,$D$2,$C$4,$C$5,$C$6,$C$7,$C$8,$D$3)/1000</f>
        <v>#VALUE!</v>
      </c>
      <c r="Y78" s="172" t="e">
        <f>_xll.LVCELL($D$1,Y$3,$C78,$D$2,$C$4,$C$5,$C$6,$C$7,$C$8,$D$3)/1000</f>
        <v>#VALUE!</v>
      </c>
      <c r="Z78" s="172" t="e">
        <f>_xll.LVCELL($D$1,Z$3,$C78,$D$2,$C$4,$C$5,$C$6,$C$7,$C$8,$D$3)/1000</f>
        <v>#VALUE!</v>
      </c>
      <c r="AA78" s="172" t="e">
        <f>_xll.LVCELL($D$1,AA$3,$C78,$D$2,$C$4,$C$5,$C$6,$C$7,$C$8,$D$3)/1000</f>
        <v>#VALUE!</v>
      </c>
      <c r="AB78" s="172" t="e">
        <f>_xll.LVCELL($D$1,AB$3,$C78,$D$2,$C$4,$C$5,$C$6,$C$7,$C$8,$D$3)/1000</f>
        <v>#VALUE!</v>
      </c>
      <c r="AC78" s="172" t="e">
        <f>_xll.LVCELL($D$1,AC$3,$C78,$D$2,$C$4,$C$5,$C$6,$C$7,$C$8,$D$3)/1000</f>
        <v>#VALUE!</v>
      </c>
      <c r="AD78" s="172" t="e">
        <f>_xll.LVCELL($D$1,AD$2,$C78,$D$2,$C$4,$C$5,$C$6,$C$7,$C$8,$D$3)/1000</f>
        <v>#VALUE!</v>
      </c>
      <c r="AE78" s="172" t="e">
        <f t="shared" si="14"/>
        <v>#VALUE!</v>
      </c>
      <c r="AF78" s="193" t="e">
        <f t="shared" ref="AF78:AF83" si="16">AD78/Q78-1</f>
        <v>#VALUE!</v>
      </c>
      <c r="AG78" s="172" t="s">
        <v>2732</v>
      </c>
      <c r="AH78" s="61" t="e">
        <f>BN78+BO78-BM78</f>
        <v>#VALUE!</v>
      </c>
      <c r="AI78" s="64" t="s">
        <v>2766</v>
      </c>
      <c r="AJ78" s="64" t="s">
        <v>499</v>
      </c>
      <c r="AK78" s="64" t="s">
        <v>499</v>
      </c>
      <c r="AL78" s="192" t="s">
        <v>842</v>
      </c>
      <c r="AM78" s="172" t="e">
        <f>_xll.LVCELL($AK$1,AM$3,$AK78,$AL$2,$AK$4,$AK$5,$AK$6,$AK$7,$AK$8,$AL$3)/1000</f>
        <v>#VALUE!</v>
      </c>
      <c r="AN78" s="172" t="e">
        <f>_xll.LVCELL($AK$1,AN$3,$AK78,$AL$2,$AK$4,$AK$5,$AK$6,$AK$7,$AK$8,$AL$3)/1000</f>
        <v>#VALUE!</v>
      </c>
      <c r="AO78" s="172" t="e">
        <f>_xll.LVCELL($AK$1,AO$3,$AK78,$AL$2,$AK$4,$AK$5,$AK$6,$AK$7,$AK$8,$AL$3)/1000</f>
        <v>#VALUE!</v>
      </c>
      <c r="AP78" s="172" t="e">
        <f>_xll.LVCELL($AK$1,AP$3,$AK78,$AL$2,$AK$4,$AK$5,$AK$6,$AK$7,$AK$8,$AL$3)/1000</f>
        <v>#VALUE!</v>
      </c>
      <c r="AQ78" s="172" t="e">
        <f>_xll.LVCELL($AK$1,AQ$3,$AK78,$AL$2,$AK$4,$AK$5,$AK$6,$AK$7,$AK$8,$AL$3)/1000</f>
        <v>#VALUE!</v>
      </c>
      <c r="AR78" s="172" t="e">
        <f>_xll.LVCELL($AK$1,AR$3,$AK78,$AL$2,$AK$4,$AK$5,$AK$6,$AK$7,$AK$8,$AL$3)/1000</f>
        <v>#VALUE!</v>
      </c>
      <c r="AS78" s="172" t="e">
        <f>_xll.LVCELL($AK$1,AS$3,$AK78,$AL$2,$AK$4,$AK$5,$AK$6,$AK$7,$AK$8,$AL$3)/1000</f>
        <v>#VALUE!</v>
      </c>
      <c r="AT78" s="172" t="e">
        <f>_xll.LVCELL($AK$1,AT$3,$AK78,$AL$2,$AK$4,$AK$5,$AK$6,$AK$7,$AK$8,$AL$3)/1000</f>
        <v>#VALUE!</v>
      </c>
      <c r="AU78" s="172" t="e">
        <f>_xll.LVCELL($AK$1,AU$3,$AK78,$AL$2,$AK$4,$AK$5,$AK$6,$AK$7,$AK$8,$AL$3)/1000</f>
        <v>#VALUE!</v>
      </c>
      <c r="AV78" s="172" t="e">
        <f>_xll.LVCELL($AK$1,AV$3,$AK78,$AL$2,$AK$4,$AK$5,$AK$6,$AK$7,$AK$8,$AL$3)/1000</f>
        <v>#VALUE!</v>
      </c>
      <c r="AW78" s="172" t="e">
        <f>_xll.LVCELL($AK$1,AW$3,$AK78,$AL$2,$AK$4,$AK$5,$AK$6,$AK$7,$AK$8,$AL$3)/1000</f>
        <v>#VALUE!</v>
      </c>
      <c r="AX78" s="172" t="e">
        <f>_xll.LVCELL($AK$1,AX$3,$AK78,$AL$2,$AK$4,$AK$5,$AK$6,$AK$7,$AK$8,$AL$3)/1000</f>
        <v>#VALUE!</v>
      </c>
      <c r="AY78" s="172" t="e">
        <f>_xll.LVCELL($AK$1,AY$2,$AK78,$AL$2,$AK$4,$AK$5,$AK$6,$AK$7,$AK$8,$AL$3)/1000</f>
        <v>#VALUE!</v>
      </c>
      <c r="AZ78" s="172" t="e">
        <f>_xll.LVCELL($AK$1,AZ$3,$AK78,$AL$2,$AK$4,$AK$5,$AK$6,$AK$7,$AK$8,$AL$3)/1000</f>
        <v>#VALUE!</v>
      </c>
      <c r="BA78" s="172" t="e">
        <f>_xll.LVCELL($AK$1,BA$3,$AK78,$AL$2,$AK$4,$AK$5,$AK$6,$AK$7,$AK$8,$AL$3)/1000</f>
        <v>#VALUE!</v>
      </c>
      <c r="BB78" s="172" t="e">
        <f>_xll.LVCELL($AK$1,BB$3,$AK78,$AL$2,$AK$4,$AK$5,$AK$6,$AK$7,$AK$8,$AL$3)/1000</f>
        <v>#VALUE!</v>
      </c>
      <c r="BC78" s="172" t="e">
        <f>_xll.LVCELL($AK$1,BC$3,$AK78,$AL$2,$AK$4,$AK$5,$AK$6,$AK$7,$AK$8,$AL$3)/1000</f>
        <v>#VALUE!</v>
      </c>
      <c r="BD78" s="172" t="e">
        <f>_xll.LVCELL($AK$1,BD$3,$AK78,$AL$2,$AK$4,$AK$5,$AK$6,$AK$7,$AK$8,$AL$3)/1000</f>
        <v>#VALUE!</v>
      </c>
      <c r="BE78" s="172" t="e">
        <f>_xll.LVCELL($AK$1,BE$3,$AK78,$AL$2,$AK$4,$AK$5,$AK$6,$AK$7,$AK$8,$AL$3)/1000</f>
        <v>#VALUE!</v>
      </c>
      <c r="BF78" s="172" t="e">
        <f>_xll.LVCELL($AK$1,BF$3,$AK78,$AL$2,$AK$4,$AK$5,$AK$6,$AK$7,$AK$8,$AL$3)/1000</f>
        <v>#VALUE!</v>
      </c>
      <c r="BG78" s="172" t="e">
        <f>_xll.LVCELL($AK$1,BG$3,$AK78,$AL$2,$AK$4,$AK$5,$AK$6,$AK$7,$AK$8,$AL$3)/1000</f>
        <v>#VALUE!</v>
      </c>
      <c r="BH78" s="172" t="e">
        <f>_xll.LVCELL($AK$1,BH$3,$AK78,$AL$2,$AK$4,$AK$5,$AK$6,$AK$7,$AK$8,$AL$3)/1000</f>
        <v>#VALUE!</v>
      </c>
      <c r="BI78" s="172" t="e">
        <f>_xll.LVCELL($AK$1,BI$3,$AK78,$AL$2,$AK$4,$AK$5,$AK$6,$AK$7,$AK$8,$AL$3)/1000</f>
        <v>#VALUE!</v>
      </c>
      <c r="BJ78" s="172" t="e">
        <f>_xll.LVCELL($AK$1,BJ$3,$AK78,$AL$2,$AK$4,$AK$5,$AK$6,$AK$7,$AK$8,$AL$3)/1000</f>
        <v>#VALUE!</v>
      </c>
      <c r="BK78" s="172" t="e">
        <f>_xll.LVCELL($AK$1,BK$3,$AK78,$AL$2,$AK$4,$AK$5,$AK$6,$AK$7,$AK$8,$AL$3)/1000</f>
        <v>#VALUE!</v>
      </c>
      <c r="BL78" s="172" t="e">
        <f>_xll.LVCELL($AK$1,BL$2,$AK78,$AL$2,$AK$4,$AK$5,$AK$6,$AK$7,$AK$8,$AL$3)/1000</f>
        <v>#VALUE!</v>
      </c>
      <c r="BM78" s="214" t="e">
        <f t="shared" si="13"/>
        <v>#VALUE!</v>
      </c>
      <c r="BN78" s="217" t="e">
        <f t="shared" si="15"/>
        <v>#VALUE!</v>
      </c>
      <c r="BO78" s="218" t="e">
        <f t="shared" si="15"/>
        <v>#VALUE!</v>
      </c>
      <c r="BP78" s="193" t="e">
        <f t="shared" ref="BP78:BP83" si="17">BL78/AY78-1</f>
        <v>#VALUE!</v>
      </c>
      <c r="BQ78" s="172"/>
      <c r="BS78" s="198">
        <f>+IFERROR(AY78/Q78*1000,0)</f>
        <v>0</v>
      </c>
      <c r="BT78" s="198">
        <f>+IFERROR(BL78/AD78*1000,0)</f>
        <v>0</v>
      </c>
      <c r="BU78" s="198">
        <f>+BT78-BS78</f>
        <v>0</v>
      </c>
      <c r="BV78" s="199" t="str">
        <f>+IFERROR(BU78/BS78,"N/A")</f>
        <v>N/A</v>
      </c>
      <c r="BX78" s="200" t="e">
        <f>+AE78*BT78/1000</f>
        <v>#VALUE!</v>
      </c>
      <c r="BY78" s="200" t="e">
        <f>+BU78*Q78/1000</f>
        <v>#VALUE!</v>
      </c>
      <c r="BZ78" s="200" t="e">
        <f>+SUM(BX78:BY78)</f>
        <v>#VALUE!</v>
      </c>
    </row>
    <row r="79" spans="1:78">
      <c r="B79" s="64" t="s">
        <v>501</v>
      </c>
      <c r="C79" s="64" t="s">
        <v>501</v>
      </c>
      <c r="D79" s="192" t="s">
        <v>834</v>
      </c>
      <c r="E79" s="172" t="e">
        <f>_xll.LVCELL($D$1,E$3,$C79,$D$2,$C$4,$C$5,$C$6,$C$7,$C$8,$D$3)/1000</f>
        <v>#VALUE!</v>
      </c>
      <c r="F79" s="172" t="e">
        <f>_xll.LVCELL($D$1,F$3,$C79,$D$2,$C$4,$C$5,$C$6,$C$7,$C$8,$D$3)/1000</f>
        <v>#VALUE!</v>
      </c>
      <c r="G79" s="172" t="e">
        <f>_xll.LVCELL($D$1,G$3,$C79,$D$2,$C$4,$C$5,$C$6,$C$7,$C$8,$D$3)/1000</f>
        <v>#VALUE!</v>
      </c>
      <c r="H79" s="172" t="e">
        <f>_xll.LVCELL($D$1,H$3,$C79,$D$2,$C$4,$C$5,$C$6,$C$7,$C$8,$D$3)/1000</f>
        <v>#VALUE!</v>
      </c>
      <c r="I79" s="172" t="e">
        <f>_xll.LVCELL($D$1,I$3,$C79,$D$2,$C$4,$C$5,$C$6,$C$7,$C$8,$D$3)/1000</f>
        <v>#VALUE!</v>
      </c>
      <c r="J79" s="172" t="e">
        <f>_xll.LVCELL($D$1,J$3,$C79,$D$2,$C$4,$C$5,$C$6,$C$7,$C$8,$D$3)/1000</f>
        <v>#VALUE!</v>
      </c>
      <c r="K79" s="172" t="e">
        <f>_xll.LVCELL($D$1,K$3,$C79,$D$2,$C$4,$C$5,$C$6,$C$7,$C$8,$D$3)/1000</f>
        <v>#VALUE!</v>
      </c>
      <c r="L79" s="172" t="e">
        <f>_xll.LVCELL($D$1,L$3,$C79,$D$2,$C$4,$C$5,$C$6,$C$7,$C$8,$D$3)/1000</f>
        <v>#VALUE!</v>
      </c>
      <c r="M79" s="172" t="e">
        <f>_xll.LVCELL($D$1,M$3,$C79,$D$2,$C$4,$C$5,$C$6,$C$7,$C$8,$D$3)/1000</f>
        <v>#VALUE!</v>
      </c>
      <c r="N79" s="172" t="e">
        <f>_xll.LVCELL($D$1,N$3,$C79,$D$2,$C$4,$C$5,$C$6,$C$7,$C$8,$D$3)/1000</f>
        <v>#VALUE!</v>
      </c>
      <c r="O79" s="172" t="e">
        <f>_xll.LVCELL($D$1,O$3,$C79,$D$2,$C$4,$C$5,$C$6,$C$7,$C$8,$D$3)/1000</f>
        <v>#VALUE!</v>
      </c>
      <c r="P79" s="172" t="e">
        <f>_xll.LVCELL($D$1,P$3,$C79,$D$2,$C$4,$C$5,$C$6,$C$7,$C$8,$D$3)/1000</f>
        <v>#VALUE!</v>
      </c>
      <c r="Q79" s="172" t="e">
        <f>_xll.LVCELL($D$1,Q$2,$C79,$D$2,$C$4,$C$5,$C$6,$C$7,$C$8,$D$3)/1000</f>
        <v>#VALUE!</v>
      </c>
      <c r="R79" s="172" t="e">
        <f>_xll.LVCELL($D$1,R$3,$C79,$D$2,$C$4,$C$5,$C$6,$C$7,$C$8,$D$3)/1000</f>
        <v>#VALUE!</v>
      </c>
      <c r="S79" s="172" t="e">
        <f>_xll.LVCELL($D$1,S$3,$C79,$D$2,$C$4,$C$5,$C$6,$C$7,$C$8,$D$3)/1000</f>
        <v>#VALUE!</v>
      </c>
      <c r="T79" s="172" t="e">
        <f>_xll.LVCELL($D$1,T$3,$C79,$D$2,$C$4,$C$5,$C$6,$C$7,$C$8,$D$3)/1000</f>
        <v>#VALUE!</v>
      </c>
      <c r="U79" s="172" t="e">
        <f>_xll.LVCELL($D$1,U$3,$C79,$D$2,$C$4,$C$5,$C$6,$C$7,$C$8,$D$3)/1000</f>
        <v>#VALUE!</v>
      </c>
      <c r="V79" s="172" t="e">
        <f>_xll.LVCELL($D$1,V$3,$C79,$D$2,$C$4,$C$5,$C$6,$C$7,$C$8,$D$3)/1000</f>
        <v>#VALUE!</v>
      </c>
      <c r="W79" s="172" t="e">
        <f>_xll.LVCELL($D$1,W$3,$C79,$D$2,$C$4,$C$5,$C$6,$C$7,$C$8,$D$3)/1000</f>
        <v>#VALUE!</v>
      </c>
      <c r="X79" s="172" t="e">
        <f>_xll.LVCELL($D$1,X$3,$C79,$D$2,$C$4,$C$5,$C$6,$C$7,$C$8,$D$3)/1000</f>
        <v>#VALUE!</v>
      </c>
      <c r="Y79" s="172" t="e">
        <f>_xll.LVCELL($D$1,Y$3,$C79,$D$2,$C$4,$C$5,$C$6,$C$7,$C$8,$D$3)/1000</f>
        <v>#VALUE!</v>
      </c>
      <c r="Z79" s="172" t="e">
        <f>_xll.LVCELL($D$1,Z$3,$C79,$D$2,$C$4,$C$5,$C$6,$C$7,$C$8,$D$3)/1000</f>
        <v>#VALUE!</v>
      </c>
      <c r="AA79" s="172" t="e">
        <f>_xll.LVCELL($D$1,AA$3,$C79,$D$2,$C$4,$C$5,$C$6,$C$7,$C$8,$D$3)/1000</f>
        <v>#VALUE!</v>
      </c>
      <c r="AB79" s="172" t="e">
        <f>_xll.LVCELL($D$1,AB$3,$C79,$D$2,$C$4,$C$5,$C$6,$C$7,$C$8,$D$3)/1000</f>
        <v>#VALUE!</v>
      </c>
      <c r="AC79" s="172" t="e">
        <f>_xll.LVCELL($D$1,AC$3,$C79,$D$2,$C$4,$C$5,$C$6,$C$7,$C$8,$D$3)/1000</f>
        <v>#VALUE!</v>
      </c>
      <c r="AD79" s="172" t="e">
        <f>_xll.LVCELL($D$1,AD$2,$C79,$D$2,$C$4,$C$5,$C$6,$C$7,$C$8,$D$3)/1000</f>
        <v>#VALUE!</v>
      </c>
      <c r="AE79" s="172" t="e">
        <f t="shared" si="14"/>
        <v>#VALUE!</v>
      </c>
      <c r="AF79" s="193" t="e">
        <f t="shared" si="16"/>
        <v>#VALUE!</v>
      </c>
      <c r="AG79" s="172" t="s">
        <v>2733</v>
      </c>
      <c r="AH79" s="61" t="e">
        <f>BN79+BO79-BM79</f>
        <v>#VALUE!</v>
      </c>
      <c r="AI79" s="64" t="s">
        <v>2766</v>
      </c>
      <c r="AJ79" s="64" t="s">
        <v>501</v>
      </c>
      <c r="AK79" s="64" t="s">
        <v>501</v>
      </c>
      <c r="AL79" s="192" t="s">
        <v>834</v>
      </c>
      <c r="AM79" s="172" t="e">
        <f>_xll.LVCELL($AK$1,AM$3,$AK79,$AL$2,$AK$4,$AK$5,$AK$6,$AK$7,$AK$8,$AL$3)/1000</f>
        <v>#VALUE!</v>
      </c>
      <c r="AN79" s="172" t="e">
        <f>_xll.LVCELL($AK$1,AN$3,$AK79,$AL$2,$AK$4,$AK$5,$AK$6,$AK$7,$AK$8,$AL$3)/1000</f>
        <v>#VALUE!</v>
      </c>
      <c r="AO79" s="172" t="e">
        <f>_xll.LVCELL($AK$1,AO$3,$AK79,$AL$2,$AK$4,$AK$5,$AK$6,$AK$7,$AK$8,$AL$3)/1000</f>
        <v>#VALUE!</v>
      </c>
      <c r="AP79" s="172" t="e">
        <f>_xll.LVCELL($AK$1,AP$3,$AK79,$AL$2,$AK$4,$AK$5,$AK$6,$AK$7,$AK$8,$AL$3)/1000</f>
        <v>#VALUE!</v>
      </c>
      <c r="AQ79" s="172" t="e">
        <f>_xll.LVCELL($AK$1,AQ$3,$AK79,$AL$2,$AK$4,$AK$5,$AK$6,$AK$7,$AK$8,$AL$3)/1000</f>
        <v>#VALUE!</v>
      </c>
      <c r="AR79" s="172" t="e">
        <f>_xll.LVCELL($AK$1,AR$3,$AK79,$AL$2,$AK$4,$AK$5,$AK$6,$AK$7,$AK$8,$AL$3)/1000</f>
        <v>#VALUE!</v>
      </c>
      <c r="AS79" s="172" t="e">
        <f>_xll.LVCELL($AK$1,AS$3,$AK79,$AL$2,$AK$4,$AK$5,$AK$6,$AK$7,$AK$8,$AL$3)/1000</f>
        <v>#VALUE!</v>
      </c>
      <c r="AT79" s="172" t="e">
        <f>_xll.LVCELL($AK$1,AT$3,$AK79,$AL$2,$AK$4,$AK$5,$AK$6,$AK$7,$AK$8,$AL$3)/1000</f>
        <v>#VALUE!</v>
      </c>
      <c r="AU79" s="172" t="e">
        <f>_xll.LVCELL($AK$1,AU$3,$AK79,$AL$2,$AK$4,$AK$5,$AK$6,$AK$7,$AK$8,$AL$3)/1000</f>
        <v>#VALUE!</v>
      </c>
      <c r="AV79" s="172" t="e">
        <f>_xll.LVCELL($AK$1,AV$3,$AK79,$AL$2,$AK$4,$AK$5,$AK$6,$AK$7,$AK$8,$AL$3)/1000</f>
        <v>#VALUE!</v>
      </c>
      <c r="AW79" s="172" t="e">
        <f>_xll.LVCELL($AK$1,AW$3,$AK79,$AL$2,$AK$4,$AK$5,$AK$6,$AK$7,$AK$8,$AL$3)/1000</f>
        <v>#VALUE!</v>
      </c>
      <c r="AX79" s="172" t="e">
        <f>_xll.LVCELL($AK$1,AX$3,$AK79,$AL$2,$AK$4,$AK$5,$AK$6,$AK$7,$AK$8,$AL$3)/1000</f>
        <v>#VALUE!</v>
      </c>
      <c r="AY79" s="172" t="e">
        <f>_xll.LVCELL($AK$1,AY$2,$AK79,$AL$2,$AK$4,$AK$5,$AK$6,$AK$7,$AK$8,$AL$3)/1000</f>
        <v>#VALUE!</v>
      </c>
      <c r="AZ79" s="172" t="e">
        <f>_xll.LVCELL($AK$1,AZ$3,$AK79,$AL$2,$AK$4,$AK$5,$AK$6,$AK$7,$AK$8,$AL$3)/1000</f>
        <v>#VALUE!</v>
      </c>
      <c r="BA79" s="172" t="e">
        <f>_xll.LVCELL($AK$1,BA$3,$AK79,$AL$2,$AK$4,$AK$5,$AK$6,$AK$7,$AK$8,$AL$3)/1000</f>
        <v>#VALUE!</v>
      </c>
      <c r="BB79" s="172" t="e">
        <f>_xll.LVCELL($AK$1,BB$3,$AK79,$AL$2,$AK$4,$AK$5,$AK$6,$AK$7,$AK$8,$AL$3)/1000</f>
        <v>#VALUE!</v>
      </c>
      <c r="BC79" s="172" t="e">
        <f>_xll.LVCELL($AK$1,BC$3,$AK79,$AL$2,$AK$4,$AK$5,$AK$6,$AK$7,$AK$8,$AL$3)/1000</f>
        <v>#VALUE!</v>
      </c>
      <c r="BD79" s="172" t="e">
        <f>_xll.LVCELL($AK$1,BD$3,$AK79,$AL$2,$AK$4,$AK$5,$AK$6,$AK$7,$AK$8,$AL$3)/1000</f>
        <v>#VALUE!</v>
      </c>
      <c r="BE79" s="172" t="e">
        <f>_xll.LVCELL($AK$1,BE$3,$AK79,$AL$2,$AK$4,$AK$5,$AK$6,$AK$7,$AK$8,$AL$3)/1000</f>
        <v>#VALUE!</v>
      </c>
      <c r="BF79" s="172" t="e">
        <f>_xll.LVCELL($AK$1,BF$3,$AK79,$AL$2,$AK$4,$AK$5,$AK$6,$AK$7,$AK$8,$AL$3)/1000</f>
        <v>#VALUE!</v>
      </c>
      <c r="BG79" s="172" t="e">
        <f>_xll.LVCELL($AK$1,BG$3,$AK79,$AL$2,$AK$4,$AK$5,$AK$6,$AK$7,$AK$8,$AL$3)/1000</f>
        <v>#VALUE!</v>
      </c>
      <c r="BH79" s="172" t="e">
        <f>_xll.LVCELL($AK$1,BH$3,$AK79,$AL$2,$AK$4,$AK$5,$AK$6,$AK$7,$AK$8,$AL$3)/1000</f>
        <v>#VALUE!</v>
      </c>
      <c r="BI79" s="172" t="e">
        <f>_xll.LVCELL($AK$1,BI$3,$AK79,$AL$2,$AK$4,$AK$5,$AK$6,$AK$7,$AK$8,$AL$3)/1000</f>
        <v>#VALUE!</v>
      </c>
      <c r="BJ79" s="172" t="e">
        <f>_xll.LVCELL($AK$1,BJ$3,$AK79,$AL$2,$AK$4,$AK$5,$AK$6,$AK$7,$AK$8,$AL$3)/1000</f>
        <v>#VALUE!</v>
      </c>
      <c r="BK79" s="172" t="e">
        <f>_xll.LVCELL($AK$1,BK$3,$AK79,$AL$2,$AK$4,$AK$5,$AK$6,$AK$7,$AK$8,$AL$3)/1000</f>
        <v>#VALUE!</v>
      </c>
      <c r="BL79" s="172" t="e">
        <f>_xll.LVCELL($AK$1,BL$2,$AK79,$AL$2,$AK$4,$AK$5,$AK$6,$AK$7,$AK$8,$AL$3)/1000</f>
        <v>#VALUE!</v>
      </c>
      <c r="BM79" s="214" t="e">
        <f t="shared" si="13"/>
        <v>#VALUE!</v>
      </c>
      <c r="BN79" s="217" t="e">
        <f t="shared" si="15"/>
        <v>#VALUE!</v>
      </c>
      <c r="BO79" s="218" t="e">
        <f t="shared" si="15"/>
        <v>#VALUE!</v>
      </c>
      <c r="BP79" s="193" t="e">
        <f t="shared" si="17"/>
        <v>#VALUE!</v>
      </c>
      <c r="BQ79" s="172"/>
      <c r="BS79" s="198">
        <f>+IFERROR(AY79/Q79*1000,0)</f>
        <v>0</v>
      </c>
      <c r="BT79" s="198">
        <f>+IFERROR(BL79/AD79*1000,0)</f>
        <v>0</v>
      </c>
      <c r="BU79" s="198">
        <f>+BT79-BS79</f>
        <v>0</v>
      </c>
      <c r="BV79" s="199" t="str">
        <f>+IFERROR(BU79/BS79,"N/A")</f>
        <v>N/A</v>
      </c>
      <c r="BX79" s="200" t="e">
        <f>+AE79*BT79/1000</f>
        <v>#VALUE!</v>
      </c>
      <c r="BY79" s="200" t="e">
        <f>+BU79*Q79/1000</f>
        <v>#VALUE!</v>
      </c>
      <c r="BZ79" s="200" t="e">
        <f>+SUM(BX79:BY79)</f>
        <v>#VALUE!</v>
      </c>
    </row>
    <row r="80" spans="1:78">
      <c r="B80" s="64" t="s">
        <v>830</v>
      </c>
      <c r="C80" s="64" t="s">
        <v>830</v>
      </c>
      <c r="D80" s="192" t="s">
        <v>831</v>
      </c>
      <c r="E80" s="172" t="e">
        <f>_xll.LVCELL($D$1,E$3,$C80,$D$2,$C$4,$C$5,$C$6,$C$7,$C$8,$D$3)/1000</f>
        <v>#VALUE!</v>
      </c>
      <c r="F80" s="172" t="e">
        <f>_xll.LVCELL($D$1,F$3,$C80,$D$2,$C$4,$C$5,$C$6,$C$7,$C$8,$D$3)/1000</f>
        <v>#VALUE!</v>
      </c>
      <c r="G80" s="172" t="e">
        <f>_xll.LVCELL($D$1,G$3,$C80,$D$2,$C$4,$C$5,$C$6,$C$7,$C$8,$D$3)/1000</f>
        <v>#VALUE!</v>
      </c>
      <c r="H80" s="172" t="e">
        <f>_xll.LVCELL($D$1,H$3,$C80,$D$2,$C$4,$C$5,$C$6,$C$7,$C$8,$D$3)/1000</f>
        <v>#VALUE!</v>
      </c>
      <c r="I80" s="172" t="e">
        <f>_xll.LVCELL($D$1,I$3,$C80,$D$2,$C$4,$C$5,$C$6,$C$7,$C$8,$D$3)/1000</f>
        <v>#VALUE!</v>
      </c>
      <c r="J80" s="172" t="e">
        <f>_xll.LVCELL($D$1,J$3,$C80,$D$2,$C$4,$C$5,$C$6,$C$7,$C$8,$D$3)/1000</f>
        <v>#VALUE!</v>
      </c>
      <c r="K80" s="172" t="e">
        <f>_xll.LVCELL($D$1,K$3,$C80,$D$2,$C$4,$C$5,$C$6,$C$7,$C$8,$D$3)/1000</f>
        <v>#VALUE!</v>
      </c>
      <c r="L80" s="172" t="e">
        <f>_xll.LVCELL($D$1,L$3,$C80,$D$2,$C$4,$C$5,$C$6,$C$7,$C$8,$D$3)/1000</f>
        <v>#VALUE!</v>
      </c>
      <c r="M80" s="172" t="e">
        <f>_xll.LVCELL($D$1,M$3,$C80,$D$2,$C$4,$C$5,$C$6,$C$7,$C$8,$D$3)/1000</f>
        <v>#VALUE!</v>
      </c>
      <c r="N80" s="172" t="e">
        <f>_xll.LVCELL($D$1,N$3,$C80,$D$2,$C$4,$C$5,$C$6,$C$7,$C$8,$D$3)/1000</f>
        <v>#VALUE!</v>
      </c>
      <c r="O80" s="172" t="e">
        <f>_xll.LVCELL($D$1,O$3,$C80,$D$2,$C$4,$C$5,$C$6,$C$7,$C$8,$D$3)/1000</f>
        <v>#VALUE!</v>
      </c>
      <c r="P80" s="172" t="e">
        <f>_xll.LVCELL($D$1,P$3,$C80,$D$2,$C$4,$C$5,$C$6,$C$7,$C$8,$D$3)/1000</f>
        <v>#VALUE!</v>
      </c>
      <c r="Q80" s="172" t="e">
        <f>_xll.LVCELL($D$1,Q$2,$C80,$D$2,$C$4,$C$5,$C$6,$C$7,$C$8,$D$3)/1000</f>
        <v>#VALUE!</v>
      </c>
      <c r="R80" s="172" t="e">
        <f>_xll.LVCELL($D$1,R$3,$C80,$D$2,$C$4,$C$5,$C$6,$C$7,$C$8,$D$3)/1000</f>
        <v>#VALUE!</v>
      </c>
      <c r="S80" s="172" t="e">
        <f>_xll.LVCELL($D$1,S$3,$C80,$D$2,$C$4,$C$5,$C$6,$C$7,$C$8,$D$3)/1000</f>
        <v>#VALUE!</v>
      </c>
      <c r="T80" s="172" t="e">
        <f>_xll.LVCELL($D$1,T$3,$C80,$D$2,$C$4,$C$5,$C$6,$C$7,$C$8,$D$3)/1000</f>
        <v>#VALUE!</v>
      </c>
      <c r="U80" s="172" t="e">
        <f>_xll.LVCELL($D$1,U$3,$C80,$D$2,$C$4,$C$5,$C$6,$C$7,$C$8,$D$3)/1000</f>
        <v>#VALUE!</v>
      </c>
      <c r="V80" s="172" t="e">
        <f>_xll.LVCELL($D$1,V$3,$C80,$D$2,$C$4,$C$5,$C$6,$C$7,$C$8,$D$3)/1000</f>
        <v>#VALUE!</v>
      </c>
      <c r="W80" s="172" t="e">
        <f>_xll.LVCELL($D$1,W$3,$C80,$D$2,$C$4,$C$5,$C$6,$C$7,$C$8,$D$3)/1000</f>
        <v>#VALUE!</v>
      </c>
      <c r="X80" s="172" t="e">
        <f>_xll.LVCELL($D$1,X$3,$C80,$D$2,$C$4,$C$5,$C$6,$C$7,$C$8,$D$3)/1000</f>
        <v>#VALUE!</v>
      </c>
      <c r="Y80" s="172" t="e">
        <f>_xll.LVCELL($D$1,Y$3,$C80,$D$2,$C$4,$C$5,$C$6,$C$7,$C$8,$D$3)/1000</f>
        <v>#VALUE!</v>
      </c>
      <c r="Z80" s="172" t="e">
        <f>_xll.LVCELL($D$1,Z$3,$C80,$D$2,$C$4,$C$5,$C$6,$C$7,$C$8,$D$3)/1000</f>
        <v>#VALUE!</v>
      </c>
      <c r="AA80" s="172" t="e">
        <f>_xll.LVCELL($D$1,AA$3,$C80,$D$2,$C$4,$C$5,$C$6,$C$7,$C$8,$D$3)/1000</f>
        <v>#VALUE!</v>
      </c>
      <c r="AB80" s="172" t="e">
        <f>_xll.LVCELL($D$1,AB$3,$C80,$D$2,$C$4,$C$5,$C$6,$C$7,$C$8,$D$3)/1000</f>
        <v>#VALUE!</v>
      </c>
      <c r="AC80" s="172" t="e">
        <f>_xll.LVCELL($D$1,AC$3,$C80,$D$2,$C$4,$C$5,$C$6,$C$7,$C$8,$D$3)/1000</f>
        <v>#VALUE!</v>
      </c>
      <c r="AD80" s="172" t="e">
        <f>_xll.LVCELL($D$1,AD$2,$C80,$D$2,$C$4,$C$5,$C$6,$C$7,$C$8,$D$3)/1000</f>
        <v>#VALUE!</v>
      </c>
      <c r="AE80" s="172" t="e">
        <f t="shared" si="14"/>
        <v>#VALUE!</v>
      </c>
      <c r="AF80" s="193" t="e">
        <f t="shared" si="16"/>
        <v>#VALUE!</v>
      </c>
      <c r="AG80" s="172" t="s">
        <v>2734</v>
      </c>
      <c r="AH80" s="61" t="e">
        <f>BN80+BO80-BM80</f>
        <v>#VALUE!</v>
      </c>
      <c r="AI80" s="64" t="s">
        <v>2767</v>
      </c>
      <c r="AJ80" s="64" t="s">
        <v>830</v>
      </c>
      <c r="AK80" s="64" t="s">
        <v>830</v>
      </c>
      <c r="AL80" s="192" t="s">
        <v>831</v>
      </c>
      <c r="AM80" s="172" t="e">
        <f>_xll.LVCELL($AK$1,AM$3,$AK80,$AL$2,$AK$4,$AK$5,$AK$6,$AK$7,$AK$8,$AL$3)/1000</f>
        <v>#VALUE!</v>
      </c>
      <c r="AN80" s="172" t="e">
        <f>_xll.LVCELL($AK$1,AN$3,$AK80,$AL$2,$AK$4,$AK$5,$AK$6,$AK$7,$AK$8,$AL$3)/1000</f>
        <v>#VALUE!</v>
      </c>
      <c r="AO80" s="172" t="e">
        <f>_xll.LVCELL($AK$1,AO$3,$AK80,$AL$2,$AK$4,$AK$5,$AK$6,$AK$7,$AK$8,$AL$3)/1000</f>
        <v>#VALUE!</v>
      </c>
      <c r="AP80" s="172" t="e">
        <f>_xll.LVCELL($AK$1,AP$3,$AK80,$AL$2,$AK$4,$AK$5,$AK$6,$AK$7,$AK$8,$AL$3)/1000</f>
        <v>#VALUE!</v>
      </c>
      <c r="AQ80" s="172" t="e">
        <f>_xll.LVCELL($AK$1,AQ$3,$AK80,$AL$2,$AK$4,$AK$5,$AK$6,$AK$7,$AK$8,$AL$3)/1000</f>
        <v>#VALUE!</v>
      </c>
      <c r="AR80" s="172" t="e">
        <f>_xll.LVCELL($AK$1,AR$3,$AK80,$AL$2,$AK$4,$AK$5,$AK$6,$AK$7,$AK$8,$AL$3)/1000</f>
        <v>#VALUE!</v>
      </c>
      <c r="AS80" s="172" t="e">
        <f>_xll.LVCELL($AK$1,AS$3,$AK80,$AL$2,$AK$4,$AK$5,$AK$6,$AK$7,$AK$8,$AL$3)/1000</f>
        <v>#VALUE!</v>
      </c>
      <c r="AT80" s="172" t="e">
        <f>_xll.LVCELL($AK$1,AT$3,$AK80,$AL$2,$AK$4,$AK$5,$AK$6,$AK$7,$AK$8,$AL$3)/1000</f>
        <v>#VALUE!</v>
      </c>
      <c r="AU80" s="172" t="e">
        <f>_xll.LVCELL($AK$1,AU$3,$AK80,$AL$2,$AK$4,$AK$5,$AK$6,$AK$7,$AK$8,$AL$3)/1000</f>
        <v>#VALUE!</v>
      </c>
      <c r="AV80" s="172" t="e">
        <f>_xll.LVCELL($AK$1,AV$3,$AK80,$AL$2,$AK$4,$AK$5,$AK$6,$AK$7,$AK$8,$AL$3)/1000</f>
        <v>#VALUE!</v>
      </c>
      <c r="AW80" s="172" t="e">
        <f>_xll.LVCELL($AK$1,AW$3,$AK80,$AL$2,$AK$4,$AK$5,$AK$6,$AK$7,$AK$8,$AL$3)/1000</f>
        <v>#VALUE!</v>
      </c>
      <c r="AX80" s="172" t="e">
        <f>_xll.LVCELL($AK$1,AX$3,$AK80,$AL$2,$AK$4,$AK$5,$AK$6,$AK$7,$AK$8,$AL$3)/1000</f>
        <v>#VALUE!</v>
      </c>
      <c r="AY80" s="172" t="e">
        <f>_xll.LVCELL($AK$1,AY$2,$AK80,$AL$2,$AK$4,$AK$5,$AK$6,$AK$7,$AK$8,$AL$3)/1000</f>
        <v>#VALUE!</v>
      </c>
      <c r="AZ80" s="172" t="e">
        <f>_xll.LVCELL($AK$1,AZ$3,$AK80,$AL$2,$AK$4,$AK$5,$AK$6,$AK$7,$AK$8,$AL$3)/1000</f>
        <v>#VALUE!</v>
      </c>
      <c r="BA80" s="172" t="e">
        <f>_xll.LVCELL($AK$1,BA$3,$AK80,$AL$2,$AK$4,$AK$5,$AK$6,$AK$7,$AK$8,$AL$3)/1000</f>
        <v>#VALUE!</v>
      </c>
      <c r="BB80" s="172" t="e">
        <f>_xll.LVCELL($AK$1,BB$3,$AK80,$AL$2,$AK$4,$AK$5,$AK$6,$AK$7,$AK$8,$AL$3)/1000</f>
        <v>#VALUE!</v>
      </c>
      <c r="BC80" s="172" t="e">
        <f>_xll.LVCELL($AK$1,BC$3,$AK80,$AL$2,$AK$4,$AK$5,$AK$6,$AK$7,$AK$8,$AL$3)/1000</f>
        <v>#VALUE!</v>
      </c>
      <c r="BD80" s="172" t="e">
        <f>_xll.LVCELL($AK$1,BD$3,$AK80,$AL$2,$AK$4,$AK$5,$AK$6,$AK$7,$AK$8,$AL$3)/1000</f>
        <v>#VALUE!</v>
      </c>
      <c r="BE80" s="172" t="e">
        <f>_xll.LVCELL($AK$1,BE$3,$AK80,$AL$2,$AK$4,$AK$5,$AK$6,$AK$7,$AK$8,$AL$3)/1000</f>
        <v>#VALUE!</v>
      </c>
      <c r="BF80" s="172" t="e">
        <f>_xll.LVCELL($AK$1,BF$3,$AK80,$AL$2,$AK$4,$AK$5,$AK$6,$AK$7,$AK$8,$AL$3)/1000</f>
        <v>#VALUE!</v>
      </c>
      <c r="BG80" s="172" t="e">
        <f>_xll.LVCELL($AK$1,BG$3,$AK80,$AL$2,$AK$4,$AK$5,$AK$6,$AK$7,$AK$8,$AL$3)/1000</f>
        <v>#VALUE!</v>
      </c>
      <c r="BH80" s="172" t="e">
        <f>_xll.LVCELL($AK$1,BH$3,$AK80,$AL$2,$AK$4,$AK$5,$AK$6,$AK$7,$AK$8,$AL$3)/1000</f>
        <v>#VALUE!</v>
      </c>
      <c r="BI80" s="172" t="e">
        <f>_xll.LVCELL($AK$1,BI$3,$AK80,$AL$2,$AK$4,$AK$5,$AK$6,$AK$7,$AK$8,$AL$3)/1000</f>
        <v>#VALUE!</v>
      </c>
      <c r="BJ80" s="172" t="e">
        <f>_xll.LVCELL($AK$1,BJ$3,$AK80,$AL$2,$AK$4,$AK$5,$AK$6,$AK$7,$AK$8,$AL$3)/1000</f>
        <v>#VALUE!</v>
      </c>
      <c r="BK80" s="172" t="e">
        <f>_xll.LVCELL($AK$1,BK$3,$AK80,$AL$2,$AK$4,$AK$5,$AK$6,$AK$7,$AK$8,$AL$3)/1000</f>
        <v>#VALUE!</v>
      </c>
      <c r="BL80" s="172" t="e">
        <f>_xll.LVCELL($AK$1,BL$2,$AK80,$AL$2,$AK$4,$AK$5,$AK$6,$AK$7,$AK$8,$AL$3)/1000</f>
        <v>#VALUE!</v>
      </c>
      <c r="BM80" s="214" t="e">
        <f t="shared" si="13"/>
        <v>#VALUE!</v>
      </c>
      <c r="BN80" s="217" t="e">
        <f t="shared" si="15"/>
        <v>#VALUE!</v>
      </c>
      <c r="BO80" s="218" t="e">
        <f t="shared" si="15"/>
        <v>#VALUE!</v>
      </c>
      <c r="BP80" s="193" t="e">
        <f t="shared" si="17"/>
        <v>#VALUE!</v>
      </c>
      <c r="BQ80" s="172" t="s">
        <v>2705</v>
      </c>
      <c r="BS80" s="198">
        <f>+IFERROR(AY80/Q80*1000,0)</f>
        <v>0</v>
      </c>
      <c r="BT80" s="198">
        <f>+IFERROR(BL80/AD80*1000,0)</f>
        <v>0</v>
      </c>
      <c r="BU80" s="198">
        <f>+BT80-BS80</f>
        <v>0</v>
      </c>
      <c r="BV80" s="199" t="str">
        <f>+IFERROR(BU80/BS80,"N/A")</f>
        <v>N/A</v>
      </c>
      <c r="BX80" s="200" t="e">
        <f>+AE80*BT80/1000</f>
        <v>#VALUE!</v>
      </c>
      <c r="BY80" s="201" t="e">
        <f>+BU80*Q80/1000</f>
        <v>#VALUE!</v>
      </c>
      <c r="BZ80" s="200" t="e">
        <f>+SUM(BX80:BY80)</f>
        <v>#VALUE!</v>
      </c>
    </row>
    <row r="81" spans="1:78">
      <c r="D81" s="253"/>
      <c r="E81" s="254"/>
      <c r="F81" s="254"/>
      <c r="G81" s="254"/>
      <c r="H81" s="254"/>
      <c r="I81" s="254"/>
      <c r="J81" s="254"/>
      <c r="K81" s="254"/>
      <c r="L81" s="254"/>
      <c r="M81" s="254"/>
      <c r="N81" s="254"/>
      <c r="O81" s="254"/>
      <c r="P81" s="255"/>
      <c r="Q81" s="255"/>
      <c r="R81" s="254"/>
      <c r="S81" s="254"/>
      <c r="T81" s="254"/>
      <c r="U81" s="254"/>
      <c r="V81" s="254"/>
      <c r="W81" s="254"/>
      <c r="X81" s="254"/>
      <c r="Y81" s="254"/>
      <c r="Z81" s="254"/>
      <c r="AA81" s="254"/>
      <c r="AB81" s="254"/>
      <c r="AC81" s="255"/>
      <c r="AD81" s="255"/>
      <c r="AE81" s="255"/>
      <c r="AF81" s="256"/>
      <c r="AG81" s="255"/>
      <c r="AH81" s="61" t="e">
        <f>BN81+BO81-BM81</f>
        <v>#VALUE!</v>
      </c>
      <c r="AI81" s="64" t="s">
        <v>2769</v>
      </c>
      <c r="AK81" s="64" t="s">
        <v>847</v>
      </c>
      <c r="AL81" s="253" t="s">
        <v>2744</v>
      </c>
      <c r="AM81" s="254"/>
      <c r="AN81" s="254"/>
      <c r="AO81" s="254"/>
      <c r="AP81" s="254"/>
      <c r="AQ81" s="254"/>
      <c r="AR81" s="254"/>
      <c r="AS81" s="254"/>
      <c r="AT81" s="254"/>
      <c r="AU81" s="254"/>
      <c r="AV81" s="254"/>
      <c r="AW81" s="254"/>
      <c r="AX81" s="255"/>
      <c r="AY81" s="255" t="e">
        <f>_xll.LVCELL($AK$1,AY$2,$AK81,$AL$2,$AK$4,$AK$5,$AK$6,$AK$7,$AK$8,$AL$3)/1000</f>
        <v>#VALUE!</v>
      </c>
      <c r="AZ81" s="254"/>
      <c r="BA81" s="254"/>
      <c r="BB81" s="254"/>
      <c r="BC81" s="254"/>
      <c r="BD81" s="254"/>
      <c r="BE81" s="254"/>
      <c r="BF81" s="254"/>
      <c r="BG81" s="254"/>
      <c r="BH81" s="254"/>
      <c r="BI81" s="254"/>
      <c r="BJ81" s="254"/>
      <c r="BK81" s="255"/>
      <c r="BL81" s="255" t="e">
        <f>_xll.LVCELL($AK$1,BL$2,$AK81,$AL$2,$AK$4,$AK$5,$AK$6,$AK$7,$AK$8,$AL$3)/1000</f>
        <v>#VALUE!</v>
      </c>
      <c r="BM81" s="254" t="e">
        <f t="shared" si="13"/>
        <v>#VALUE!</v>
      </c>
      <c r="BN81" s="261">
        <v>183</v>
      </c>
      <c r="BO81" s="257"/>
      <c r="BP81" s="256"/>
      <c r="BQ81" s="255"/>
      <c r="BS81" s="198"/>
      <c r="BT81" s="198"/>
      <c r="BU81" s="198"/>
      <c r="BV81" s="199"/>
      <c r="BX81" s="200"/>
      <c r="BY81" s="201"/>
      <c r="BZ81" s="200"/>
    </row>
    <row r="82" spans="1:78" ht="15.75" thickBot="1">
      <c r="D82" s="253"/>
      <c r="E82" s="254"/>
      <c r="F82" s="254"/>
      <c r="G82" s="254"/>
      <c r="H82" s="254"/>
      <c r="I82" s="254"/>
      <c r="J82" s="254"/>
      <c r="K82" s="254"/>
      <c r="L82" s="254"/>
      <c r="M82" s="254"/>
      <c r="N82" s="254"/>
      <c r="O82" s="254"/>
      <c r="P82" s="255"/>
      <c r="Q82" s="255"/>
      <c r="R82" s="254"/>
      <c r="S82" s="254"/>
      <c r="T82" s="254"/>
      <c r="U82" s="254"/>
      <c r="V82" s="254"/>
      <c r="W82" s="254"/>
      <c r="X82" s="254"/>
      <c r="Y82" s="254"/>
      <c r="Z82" s="254"/>
      <c r="AA82" s="254"/>
      <c r="AB82" s="254"/>
      <c r="AC82" s="255"/>
      <c r="AD82" s="255"/>
      <c r="AE82" s="255"/>
      <c r="AF82" s="256"/>
      <c r="AG82" s="255"/>
      <c r="AH82" s="61"/>
      <c r="AL82" s="253" t="s">
        <v>2770</v>
      </c>
      <c r="AM82" s="254"/>
      <c r="AN82" s="254"/>
      <c r="AO82" s="254"/>
      <c r="AP82" s="254"/>
      <c r="AQ82" s="254"/>
      <c r="AR82" s="254"/>
      <c r="AS82" s="254"/>
      <c r="AT82" s="254"/>
      <c r="AU82" s="254"/>
      <c r="AV82" s="254"/>
      <c r="AW82" s="254"/>
      <c r="AX82" s="255"/>
      <c r="AY82" s="255">
        <v>722</v>
      </c>
      <c r="AZ82" s="254"/>
      <c r="BA82" s="254"/>
      <c r="BB82" s="254"/>
      <c r="BC82" s="254"/>
      <c r="BD82" s="254"/>
      <c r="BE82" s="254"/>
      <c r="BF82" s="254"/>
      <c r="BG82" s="254"/>
      <c r="BH82" s="254"/>
      <c r="BI82" s="254"/>
      <c r="BJ82" s="254"/>
      <c r="BK82" s="255"/>
      <c r="BL82" s="255">
        <v>0</v>
      </c>
      <c r="BM82" s="254">
        <f t="shared" si="13"/>
        <v>-722</v>
      </c>
      <c r="BN82" s="261"/>
      <c r="BO82" s="257"/>
      <c r="BP82" s="256"/>
      <c r="BQ82" s="255"/>
      <c r="BS82" s="198"/>
      <c r="BT82" s="198"/>
      <c r="BU82" s="198"/>
      <c r="BV82" s="199"/>
      <c r="BX82" s="200"/>
      <c r="BY82" s="201"/>
      <c r="BZ82" s="200"/>
    </row>
    <row r="83" spans="1:78" s="52" customFormat="1" ht="15.75" thickBot="1">
      <c r="A83" s="113"/>
      <c r="B83" s="113"/>
      <c r="C83" s="113"/>
      <c r="D83" s="90" t="s">
        <v>2739</v>
      </c>
      <c r="E83" s="227" t="e">
        <f t="shared" ref="E83:AD83" si="18">SUM(E12:E80)</f>
        <v>#VALUE!</v>
      </c>
      <c r="F83" s="227" t="e">
        <f t="shared" si="18"/>
        <v>#VALUE!</v>
      </c>
      <c r="G83" s="227" t="e">
        <f t="shared" si="18"/>
        <v>#VALUE!</v>
      </c>
      <c r="H83" s="227" t="e">
        <f t="shared" si="18"/>
        <v>#VALUE!</v>
      </c>
      <c r="I83" s="227" t="e">
        <f t="shared" si="18"/>
        <v>#VALUE!</v>
      </c>
      <c r="J83" s="227" t="e">
        <f t="shared" si="18"/>
        <v>#VALUE!</v>
      </c>
      <c r="K83" s="227" t="e">
        <f t="shared" si="18"/>
        <v>#VALUE!</v>
      </c>
      <c r="L83" s="227" t="e">
        <f t="shared" si="18"/>
        <v>#VALUE!</v>
      </c>
      <c r="M83" s="227" t="e">
        <f t="shared" si="18"/>
        <v>#VALUE!</v>
      </c>
      <c r="N83" s="227" t="e">
        <f t="shared" si="18"/>
        <v>#VALUE!</v>
      </c>
      <c r="O83" s="227" t="e">
        <f t="shared" si="18"/>
        <v>#VALUE!</v>
      </c>
      <c r="P83" s="228" t="e">
        <f t="shared" si="18"/>
        <v>#VALUE!</v>
      </c>
      <c r="Q83" s="228" t="e">
        <f t="shared" si="18"/>
        <v>#VALUE!</v>
      </c>
      <c r="R83" s="227" t="e">
        <f t="shared" si="18"/>
        <v>#VALUE!</v>
      </c>
      <c r="S83" s="227" t="e">
        <f t="shared" si="18"/>
        <v>#VALUE!</v>
      </c>
      <c r="T83" s="227" t="e">
        <f t="shared" si="18"/>
        <v>#VALUE!</v>
      </c>
      <c r="U83" s="227" t="e">
        <f t="shared" si="18"/>
        <v>#VALUE!</v>
      </c>
      <c r="V83" s="227" t="e">
        <f t="shared" si="18"/>
        <v>#VALUE!</v>
      </c>
      <c r="W83" s="227" t="e">
        <f t="shared" si="18"/>
        <v>#VALUE!</v>
      </c>
      <c r="X83" s="227" t="e">
        <f t="shared" si="18"/>
        <v>#VALUE!</v>
      </c>
      <c r="Y83" s="227" t="e">
        <f t="shared" si="18"/>
        <v>#VALUE!</v>
      </c>
      <c r="Z83" s="227" t="e">
        <f t="shared" si="18"/>
        <v>#VALUE!</v>
      </c>
      <c r="AA83" s="227" t="e">
        <f t="shared" si="18"/>
        <v>#VALUE!</v>
      </c>
      <c r="AB83" s="227" t="e">
        <f t="shared" si="18"/>
        <v>#VALUE!</v>
      </c>
      <c r="AC83" s="228" t="e">
        <f t="shared" si="18"/>
        <v>#VALUE!</v>
      </c>
      <c r="AD83" s="228" t="e">
        <f t="shared" si="18"/>
        <v>#VALUE!</v>
      </c>
      <c r="AE83" s="228" t="e">
        <f t="shared" si="14"/>
        <v>#VALUE!</v>
      </c>
      <c r="AF83" s="229" t="e">
        <f t="shared" si="16"/>
        <v>#VALUE!</v>
      </c>
      <c r="AG83" s="228"/>
      <c r="AI83" s="113"/>
      <c r="AJ83" s="113"/>
      <c r="AK83" s="113"/>
      <c r="AL83" s="90" t="s">
        <v>2739</v>
      </c>
      <c r="AM83" s="227" t="e">
        <f t="shared" ref="AM83:BK83" si="19">SUM(AM12:AM80)</f>
        <v>#VALUE!</v>
      </c>
      <c r="AN83" s="227" t="e">
        <f t="shared" si="19"/>
        <v>#VALUE!</v>
      </c>
      <c r="AO83" s="227" t="e">
        <f t="shared" si="19"/>
        <v>#VALUE!</v>
      </c>
      <c r="AP83" s="227" t="e">
        <f t="shared" si="19"/>
        <v>#VALUE!</v>
      </c>
      <c r="AQ83" s="227" t="e">
        <f t="shared" si="19"/>
        <v>#VALUE!</v>
      </c>
      <c r="AR83" s="227" t="e">
        <f t="shared" si="19"/>
        <v>#VALUE!</v>
      </c>
      <c r="AS83" s="227" t="e">
        <f t="shared" si="19"/>
        <v>#VALUE!</v>
      </c>
      <c r="AT83" s="227" t="e">
        <f t="shared" si="19"/>
        <v>#VALUE!</v>
      </c>
      <c r="AU83" s="227" t="e">
        <f t="shared" si="19"/>
        <v>#VALUE!</v>
      </c>
      <c r="AV83" s="227" t="e">
        <f t="shared" si="19"/>
        <v>#VALUE!</v>
      </c>
      <c r="AW83" s="227" t="e">
        <f t="shared" si="19"/>
        <v>#VALUE!</v>
      </c>
      <c r="AX83" s="228" t="e">
        <f t="shared" si="19"/>
        <v>#VALUE!</v>
      </c>
      <c r="AY83" s="228" t="e">
        <f>SUM(AY12:AY82)</f>
        <v>#VALUE!</v>
      </c>
      <c r="AZ83" s="227" t="e">
        <f t="shared" si="19"/>
        <v>#VALUE!</v>
      </c>
      <c r="BA83" s="227" t="e">
        <f t="shared" si="19"/>
        <v>#VALUE!</v>
      </c>
      <c r="BB83" s="227" t="e">
        <f t="shared" si="19"/>
        <v>#VALUE!</v>
      </c>
      <c r="BC83" s="227" t="e">
        <f t="shared" si="19"/>
        <v>#VALUE!</v>
      </c>
      <c r="BD83" s="227" t="e">
        <f t="shared" si="19"/>
        <v>#VALUE!</v>
      </c>
      <c r="BE83" s="227" t="e">
        <f t="shared" si="19"/>
        <v>#VALUE!</v>
      </c>
      <c r="BF83" s="227" t="e">
        <f t="shared" si="19"/>
        <v>#VALUE!</v>
      </c>
      <c r="BG83" s="227" t="e">
        <f t="shared" si="19"/>
        <v>#VALUE!</v>
      </c>
      <c r="BH83" s="227" t="e">
        <f t="shared" si="19"/>
        <v>#VALUE!</v>
      </c>
      <c r="BI83" s="227" t="e">
        <f t="shared" si="19"/>
        <v>#VALUE!</v>
      </c>
      <c r="BJ83" s="227" t="e">
        <f t="shared" si="19"/>
        <v>#VALUE!</v>
      </c>
      <c r="BK83" s="228" t="e">
        <f t="shared" si="19"/>
        <v>#VALUE!</v>
      </c>
      <c r="BL83" s="228" t="e">
        <f>SUM(BL12:BL82)</f>
        <v>#VALUE!</v>
      </c>
      <c r="BM83" s="230" t="e">
        <f>BL83-AY83</f>
        <v>#VALUE!</v>
      </c>
      <c r="BN83" s="231" t="e">
        <f>SUM(BN12:BN81)</f>
        <v>#VALUE!</v>
      </c>
      <c r="BO83" s="232" t="e">
        <f>SUM(BO12:BO80)</f>
        <v>#VALUE!</v>
      </c>
      <c r="BP83" s="229" t="e">
        <f t="shared" si="17"/>
        <v>#VALUE!</v>
      </c>
      <c r="BQ83" s="228"/>
      <c r="BX83" s="233" t="e">
        <f>+SUM(BX12:BX80)</f>
        <v>#VALUE!</v>
      </c>
      <c r="BY83" s="233" t="e">
        <f>+SUM(BY12:BY80)</f>
        <v>#VALUE!</v>
      </c>
      <c r="BZ83" s="233" t="e">
        <f>+SUM(BZ12:BZ80)</f>
        <v>#VALUE!</v>
      </c>
    </row>
    <row r="84" spans="1:78" ht="15.75" thickBot="1">
      <c r="C84" s="113"/>
      <c r="D84" s="237"/>
      <c r="E84" s="194"/>
      <c r="AG84" s="64"/>
      <c r="AY84" s="241"/>
      <c r="AZ84" s="241"/>
      <c r="BA84" s="241"/>
      <c r="BB84" s="241"/>
      <c r="BC84" s="241"/>
      <c r="BD84" s="241"/>
      <c r="BE84" s="241"/>
      <c r="BF84" s="241"/>
      <c r="BG84" s="241"/>
      <c r="BH84" s="241"/>
      <c r="BI84" s="241"/>
      <c r="BJ84" s="241"/>
      <c r="BK84" s="241"/>
      <c r="BL84" s="241"/>
      <c r="BM84" s="241"/>
      <c r="BN84" s="241"/>
      <c r="BO84" s="241"/>
      <c r="BP84" s="241"/>
      <c r="BQ84" s="64"/>
    </row>
    <row r="85" spans="1:78" hidden="1" outlineLevel="1">
      <c r="D85" s="95" t="s">
        <v>2675</v>
      </c>
      <c r="E85" s="96" t="e">
        <f>_xll.LVCELL($D$1,E$3,$C2,$D$2,$C$4,$C$5,$C$6,$C$7,$C$8,$D$3)/1000-E83</f>
        <v>#VALUE!</v>
      </c>
      <c r="F85" s="96" t="e">
        <f>_xll.LVCELL($D$1,F$3,$C2,$D$2,$C$4,$C$5,$C$6,$C$7,$C$8,$D$3)/1000-F83</f>
        <v>#VALUE!</v>
      </c>
      <c r="G85" s="96" t="e">
        <f>_xll.LVCELL($D$1,G$3,$C2,$D$2,$C$4,$C$5,$C$6,$C$7,$C$8,$D$3)/1000-G83</f>
        <v>#VALUE!</v>
      </c>
      <c r="H85" s="96" t="e">
        <f>_xll.LVCELL($D$1,H$3,$C2,$D$2,$C$4,$C$5,$C$6,$C$7,$C$8,$D$3)/1000-H83</f>
        <v>#VALUE!</v>
      </c>
      <c r="I85" s="96" t="e">
        <f>_xll.LVCELL($D$1,I$3,$C2,$D$2,$C$4,$C$5,$C$6,$C$7,$C$8,$D$3)/1000-I83</f>
        <v>#VALUE!</v>
      </c>
      <c r="J85" s="96" t="e">
        <f>_xll.LVCELL($D$1,J$3,$C2,$D$2,$C$4,$C$5,$C$6,$C$7,$C$8,$D$3)/1000-J83</f>
        <v>#VALUE!</v>
      </c>
      <c r="K85" s="96" t="e">
        <f>_xll.LVCELL($D$1,K$3,$C2,$D$2,$C$4,$C$5,$C$6,$C$7,$C$8,$D$3)/1000-K83</f>
        <v>#VALUE!</v>
      </c>
      <c r="L85" s="96" t="e">
        <f>_xll.LVCELL($D$1,L$3,$C2,$D$2,$C$4,$C$5,$C$6,$C$7,$C$8,$D$3)/1000-L83</f>
        <v>#VALUE!</v>
      </c>
      <c r="M85" s="96" t="e">
        <f>_xll.LVCELL($D$1,M$3,$C2,$D$2,$C$4,$C$5,$C$6,$C$7,$C$8,$D$3)/1000-M83</f>
        <v>#VALUE!</v>
      </c>
      <c r="N85" s="96" t="e">
        <f>_xll.LVCELL($D$1,N$3,$C2,$D$2,$C$4,$C$5,$C$6,$C$7,$C$8,$D$3)/1000-N83</f>
        <v>#VALUE!</v>
      </c>
      <c r="O85" s="96" t="e">
        <f>_xll.LVCELL($D$1,O$3,$C2,$D$2,$C$4,$C$5,$C$6,$C$7,$C$8,$D$3)/1000-O83</f>
        <v>#VALUE!</v>
      </c>
      <c r="P85" s="96" t="e">
        <f>_xll.LVCELL($D$1,P$3,$C2,$D$2,$C$4,$C$5,$C$6,$C$7,$C$8,$D$3)/1000-P83</f>
        <v>#VALUE!</v>
      </c>
      <c r="Q85" s="96" t="e">
        <f>_xll.LVCELL($D$1,Q$2,$C2,$D$2,$C$4,$C$5,$C$6,$C$7,$C$8,$D$3)/1000-Q83</f>
        <v>#VALUE!</v>
      </c>
      <c r="R85" s="96" t="e">
        <f>_xll.LVCELL($D$1,R$3,$C2,$D$2,$C$4,$C$5,$C$6,$C$7,$C$8,$D$3)/1000-R83</f>
        <v>#VALUE!</v>
      </c>
      <c r="S85" s="96" t="e">
        <f>_xll.LVCELL($D$1,S$3,$C2,$D$2,$C$4,$C$5,$C$6,$C$7,$C$8,$D$3)/1000-S83</f>
        <v>#VALUE!</v>
      </c>
      <c r="T85" s="96" t="e">
        <f>_xll.LVCELL($D$1,T$3,$C2,$D$2,$C$4,$C$5,$C$6,$C$7,$C$8,$D$3)/1000-T83</f>
        <v>#VALUE!</v>
      </c>
      <c r="U85" s="96" t="e">
        <f>_xll.LVCELL($D$1,U$3,$C2,$D$2,$C$4,$C$5,$C$6,$C$7,$C$8,$D$3)/1000-U83</f>
        <v>#VALUE!</v>
      </c>
      <c r="V85" s="96" t="e">
        <f>_xll.LVCELL($D$1,V$3,$C2,$D$2,$C$4,$C$5,$C$6,$C$7,$C$8,$D$3)/1000-V83</f>
        <v>#VALUE!</v>
      </c>
      <c r="W85" s="96" t="e">
        <f>_xll.LVCELL($D$1,W$3,$C2,$D$2,$C$4,$C$5,$C$6,$C$7,$C$8,$D$3)/1000-W83</f>
        <v>#VALUE!</v>
      </c>
      <c r="X85" s="96" t="e">
        <f>_xll.LVCELL($D$1,X$3,$C2,$D$2,$C$4,$C$5,$C$6,$C$7,$C$8,$D$3)/1000-X83</f>
        <v>#VALUE!</v>
      </c>
      <c r="Y85" s="96" t="e">
        <f>_xll.LVCELL($D$1,Y$3,$C2,$D$2,$C$4,$C$5,$C$6,$C$7,$C$8,$D$3)/1000-Y83</f>
        <v>#VALUE!</v>
      </c>
      <c r="Z85" s="96" t="e">
        <f>_xll.LVCELL($D$1,Z$3,$C2,$D$2,$C$4,$C$5,$C$6,$C$7,$C$8,$D$3)/1000-Z83</f>
        <v>#VALUE!</v>
      </c>
      <c r="AA85" s="96" t="e">
        <f>_xll.LVCELL($D$1,AA$3,$C2,$D$2,$C$4,$C$5,$C$6,$C$7,$C$8,$D$3)/1000-AA83</f>
        <v>#VALUE!</v>
      </c>
      <c r="AB85" s="96" t="e">
        <f>_xll.LVCELL($D$1,AB$3,$C2,$D$2,$C$4,$C$5,$C$6,$C$7,$C$8,$D$3)/1000-AB83</f>
        <v>#VALUE!</v>
      </c>
      <c r="AC85" s="96" t="e">
        <f>_xll.LVCELL($D$1,AC$3,$C2,$D$2,$C$4,$C$5,$C$6,$C$7,$C$8,$D$3)/1000-AC83</f>
        <v>#VALUE!</v>
      </c>
      <c r="AD85" s="96" t="e">
        <f>_xll.LVCELL($D$1,AD$2,$C2,$D$2,$C$4,$C$5,$C$6,$C$7,$C$8,$D$3)/1000-AD83</f>
        <v>#VALUE!</v>
      </c>
      <c r="AE85" s="96" t="e">
        <f t="shared" si="14"/>
        <v>#VALUE!</v>
      </c>
      <c r="AF85" s="96"/>
      <c r="AG85" s="96"/>
      <c r="AL85" s="95" t="s">
        <v>2692</v>
      </c>
      <c r="AM85" s="96" t="e">
        <f>_xll.LVCELL($AK$1,AM$3,$AK2,$AL$2,$AK4,$AK$5,$AK$6,$AK$7,$AK$8,$AL$3)/1000</f>
        <v>#VALUE!</v>
      </c>
      <c r="AN85" s="96" t="e">
        <f>_xll.LVCELL($AK$1,AN$3,$AK2,$AL$2,$AK4,$AK$5,$AK$6,$AK$7,$AK$8,$AL$3)/1000</f>
        <v>#VALUE!</v>
      </c>
      <c r="AO85" s="96" t="e">
        <f>_xll.LVCELL($AK$1,AO$3,$AK2,$AL$2,$AK4,$AK$5,$AK$6,$AK$7,$AK$8,$AL$3)/1000</f>
        <v>#VALUE!</v>
      </c>
      <c r="AP85" s="96" t="e">
        <f>_xll.LVCELL($AK$1,AP$3,$AK2,$AL$2,$AK4,$AK$5,$AK$6,$AK$7,$AK$8,$AL$3)/1000</f>
        <v>#VALUE!</v>
      </c>
      <c r="AQ85" s="96" t="e">
        <f>_xll.LVCELL($AK$1,AQ$3,$AK2,$AL$2,$AK4,$AK$5,$AK$6,$AK$7,$AK$8,$AL$3)/1000</f>
        <v>#VALUE!</v>
      </c>
      <c r="AR85" s="96" t="e">
        <f>_xll.LVCELL($AK$1,AR$3,$AK2,$AL$2,$AK4,$AK$5,$AK$6,$AK$7,$AK$8,$AL$3)/1000</f>
        <v>#VALUE!</v>
      </c>
      <c r="AS85" s="96" t="e">
        <f>_xll.LVCELL($AK$1,AS$3,$AK2,$AL$2,$AK4,$AK$5,$AK$6,$AK$7,$AK$8,$AL$3)/1000</f>
        <v>#VALUE!</v>
      </c>
      <c r="AT85" s="96" t="e">
        <f>_xll.LVCELL($AK$1,AT$3,$AK2,$AL$2,$AK4,$AK$5,$AK$6,$AK$7,$AK$8,$AL$3)/1000</f>
        <v>#VALUE!</v>
      </c>
      <c r="AU85" s="96" t="e">
        <f>_xll.LVCELL($AK$1,AU$3,$AK2,$AL$2,$AK4,$AK$5,$AK$6,$AK$7,$AK$8,$AL$3)/1000</f>
        <v>#VALUE!</v>
      </c>
      <c r="AV85" s="96" t="e">
        <f>_xll.LVCELL($AK$1,AV$3,$AK2,$AL$2,$AK4,$AK$5,$AK$6,$AK$7,$AK$8,$AL$3)/1000</f>
        <v>#VALUE!</v>
      </c>
      <c r="AW85" s="96" t="e">
        <f>_xll.LVCELL($AK$1,AW$3,$AK2,$AL$2,$AK4,$AK$5,$AK$6,$AK$7,$AK$8,$AL$3)/1000</f>
        <v>#VALUE!</v>
      </c>
      <c r="AX85" s="96" t="e">
        <f>_xll.LVCELL($AK$1,AX$3,$AK2,$AL$2,$AK4,$AK$5,$AK$6,$AK$7,$AK$8,$AL$3)/1000</f>
        <v>#VALUE!</v>
      </c>
      <c r="AY85" s="96" t="e">
        <f>_xll.LVCELL($AK$1,AY$2,$AK2,$AL$2,$AK4,$AK$5,$AK$6,$AK$7,$AK$8,$AL$3)/1000</f>
        <v>#VALUE!</v>
      </c>
      <c r="AZ85" s="96" t="e">
        <f>_xll.LVCELL($AK$1,AZ$3,$AK2,$AL$2,$AK4,$AK$5,$AK$6,$AK$7,$AK$8,$AL$3)/1000</f>
        <v>#VALUE!</v>
      </c>
      <c r="BA85" s="96" t="e">
        <f>_xll.LVCELL($AK$1,BA$3,$AK2,$AL$2,$AK4,$AK$5,$AK$6,$AK$7,$AK$8,$AL$3)/1000</f>
        <v>#VALUE!</v>
      </c>
      <c r="BB85" s="96" t="e">
        <f>_xll.LVCELL($AK$1,BB$3,$AK2,$AL$2,$AK4,$AK$5,$AK$6,$AK$7,$AK$8,$AL$3)/1000</f>
        <v>#VALUE!</v>
      </c>
      <c r="BC85" s="96" t="e">
        <f>_xll.LVCELL($AK$1,BC$3,$AK2,$AL$2,$AK4,$AK$5,$AK$6,$AK$7,$AK$8,$AL$3)/1000</f>
        <v>#VALUE!</v>
      </c>
      <c r="BD85" s="96" t="e">
        <f>_xll.LVCELL($AK$1,BD$3,$AK2,$AL$2,$AK4,$AK$5,$AK$6,$AK$7,$AK$8,$AL$3)/1000</f>
        <v>#VALUE!</v>
      </c>
      <c r="BE85" s="96" t="e">
        <f>_xll.LVCELL($AK$1,BE$3,$AK2,$AL$2,$AK4,$AK$5,$AK$6,$AK$7,$AK$8,$AL$3)/1000</f>
        <v>#VALUE!</v>
      </c>
      <c r="BF85" s="96" t="e">
        <f>_xll.LVCELL($AK$1,BF$3,$AK2,$AL$2,$AK4,$AK$5,$AK$6,$AK$7,$AK$8,$AL$3)/1000</f>
        <v>#VALUE!</v>
      </c>
      <c r="BG85" s="96" t="e">
        <f>_xll.LVCELL($AK$1,BG$3,$AK2,$AL$2,$AK4,$AK$5,$AK$6,$AK$7,$AK$8,$AL$3)/1000</f>
        <v>#VALUE!</v>
      </c>
      <c r="BH85" s="96" t="e">
        <f>_xll.LVCELL($AK$1,BH$3,$AK2,$AL$2,$AK4,$AK$5,$AK$6,$AK$7,$AK$8,$AL$3)/1000</f>
        <v>#VALUE!</v>
      </c>
      <c r="BI85" s="96" t="e">
        <f>_xll.LVCELL($AK$1,BI$3,$AK2,$AL$2,$AK4,$AK$5,$AK$6,$AK$7,$AK$8,$AL$3)/1000</f>
        <v>#VALUE!</v>
      </c>
      <c r="BJ85" s="96" t="e">
        <f>_xll.LVCELL($AK$1,BJ$3,$AK2,$AL$2,$AK4,$AK$5,$AK$6,$AK$7,$AK$8,$AL$3)/1000</f>
        <v>#VALUE!</v>
      </c>
      <c r="BK85" s="96" t="e">
        <f>_xll.LVCELL($AK$1,BK$3,$AK2,$AL$2,$AK4,$AK$5,$AK$6,$AK$7,$AK$8,$AL$3)/1000</f>
        <v>#VALUE!</v>
      </c>
      <c r="BL85" s="96" t="e">
        <f>_xll.LVCELL($AK$1,BL$2,$AK2,$AL$2,$AK4,$AK$5,$AK$6,$AK$7,$AK$8,$AL$3)/1000</f>
        <v>#VALUE!</v>
      </c>
      <c r="BM85" s="96" t="e">
        <f t="shared" si="13"/>
        <v>#VALUE!</v>
      </c>
      <c r="BN85" s="96"/>
      <c r="BO85" s="96"/>
      <c r="BP85" s="96"/>
      <c r="BQ85" s="96"/>
    </row>
    <row r="86" spans="1:78" hidden="1" outlineLevel="1">
      <c r="C86" s="64" t="s">
        <v>2201</v>
      </c>
      <c r="D86" s="187" t="s">
        <v>2676</v>
      </c>
      <c r="E86" s="189" t="e">
        <f t="shared" ref="E86:AD86" si="20">E78+E79</f>
        <v>#VALUE!</v>
      </c>
      <c r="F86" s="189" t="e">
        <f t="shared" si="20"/>
        <v>#VALUE!</v>
      </c>
      <c r="G86" s="189" t="e">
        <f t="shared" si="20"/>
        <v>#VALUE!</v>
      </c>
      <c r="H86" s="189" t="e">
        <f t="shared" si="20"/>
        <v>#VALUE!</v>
      </c>
      <c r="I86" s="189" t="e">
        <f t="shared" si="20"/>
        <v>#VALUE!</v>
      </c>
      <c r="J86" s="189" t="e">
        <f t="shared" si="20"/>
        <v>#VALUE!</v>
      </c>
      <c r="K86" s="189" t="e">
        <f t="shared" si="20"/>
        <v>#VALUE!</v>
      </c>
      <c r="L86" s="189" t="e">
        <f t="shared" si="20"/>
        <v>#VALUE!</v>
      </c>
      <c r="M86" s="189" t="e">
        <f t="shared" si="20"/>
        <v>#VALUE!</v>
      </c>
      <c r="N86" s="189" t="e">
        <f t="shared" si="20"/>
        <v>#VALUE!</v>
      </c>
      <c r="O86" s="189" t="e">
        <f t="shared" si="20"/>
        <v>#VALUE!</v>
      </c>
      <c r="P86" s="189" t="e">
        <f t="shared" si="20"/>
        <v>#VALUE!</v>
      </c>
      <c r="Q86" s="80" t="e">
        <f t="shared" si="20"/>
        <v>#VALUE!</v>
      </c>
      <c r="R86" s="80" t="e">
        <f t="shared" si="20"/>
        <v>#VALUE!</v>
      </c>
      <c r="S86" s="80" t="e">
        <f t="shared" si="20"/>
        <v>#VALUE!</v>
      </c>
      <c r="T86" s="80" t="e">
        <f t="shared" si="20"/>
        <v>#VALUE!</v>
      </c>
      <c r="U86" s="80" t="e">
        <f t="shared" si="20"/>
        <v>#VALUE!</v>
      </c>
      <c r="V86" s="80" t="e">
        <f t="shared" si="20"/>
        <v>#VALUE!</v>
      </c>
      <c r="W86" s="80" t="e">
        <f t="shared" si="20"/>
        <v>#VALUE!</v>
      </c>
      <c r="X86" s="80" t="e">
        <f t="shared" si="20"/>
        <v>#VALUE!</v>
      </c>
      <c r="Y86" s="80" t="e">
        <f t="shared" si="20"/>
        <v>#VALUE!</v>
      </c>
      <c r="Z86" s="80" t="e">
        <f t="shared" si="20"/>
        <v>#VALUE!</v>
      </c>
      <c r="AA86" s="80" t="e">
        <f t="shared" si="20"/>
        <v>#VALUE!</v>
      </c>
      <c r="AB86" s="80" t="e">
        <f t="shared" si="20"/>
        <v>#VALUE!</v>
      </c>
      <c r="AC86" s="80" t="e">
        <f t="shared" si="20"/>
        <v>#VALUE!</v>
      </c>
      <c r="AD86" s="80" t="e">
        <f t="shared" si="20"/>
        <v>#VALUE!</v>
      </c>
      <c r="AE86" s="189" t="e">
        <f t="shared" si="14"/>
        <v>#VALUE!</v>
      </c>
      <c r="AF86" s="189"/>
      <c r="AG86" s="189"/>
      <c r="AK86" s="64" t="s">
        <v>2201</v>
      </c>
      <c r="AL86" s="187" t="s">
        <v>2648</v>
      </c>
      <c r="AM86" s="80" t="e">
        <f t="shared" ref="AM86:BL86" si="21">AM78+AM79</f>
        <v>#VALUE!</v>
      </c>
      <c r="AN86" s="80" t="e">
        <f t="shared" si="21"/>
        <v>#VALUE!</v>
      </c>
      <c r="AO86" s="80" t="e">
        <f t="shared" si="21"/>
        <v>#VALUE!</v>
      </c>
      <c r="AP86" s="80" t="e">
        <f t="shared" si="21"/>
        <v>#VALUE!</v>
      </c>
      <c r="AQ86" s="80" t="e">
        <f t="shared" si="21"/>
        <v>#VALUE!</v>
      </c>
      <c r="AR86" s="80" t="e">
        <f t="shared" si="21"/>
        <v>#VALUE!</v>
      </c>
      <c r="AS86" s="80" t="e">
        <f t="shared" si="21"/>
        <v>#VALUE!</v>
      </c>
      <c r="AT86" s="80" t="e">
        <f t="shared" si="21"/>
        <v>#VALUE!</v>
      </c>
      <c r="AU86" s="80" t="e">
        <f t="shared" si="21"/>
        <v>#VALUE!</v>
      </c>
      <c r="AV86" s="80" t="e">
        <f t="shared" si="21"/>
        <v>#VALUE!</v>
      </c>
      <c r="AW86" s="80" t="e">
        <f t="shared" si="21"/>
        <v>#VALUE!</v>
      </c>
      <c r="AX86" s="80" t="e">
        <f t="shared" si="21"/>
        <v>#VALUE!</v>
      </c>
      <c r="AY86" s="80" t="e">
        <f t="shared" si="21"/>
        <v>#VALUE!</v>
      </c>
      <c r="AZ86" s="80" t="e">
        <f t="shared" si="21"/>
        <v>#VALUE!</v>
      </c>
      <c r="BA86" s="80" t="e">
        <f t="shared" si="21"/>
        <v>#VALUE!</v>
      </c>
      <c r="BB86" s="80" t="e">
        <f t="shared" si="21"/>
        <v>#VALUE!</v>
      </c>
      <c r="BC86" s="80" t="e">
        <f t="shared" si="21"/>
        <v>#VALUE!</v>
      </c>
      <c r="BD86" s="80" t="e">
        <f t="shared" si="21"/>
        <v>#VALUE!</v>
      </c>
      <c r="BE86" s="80" t="e">
        <f t="shared" si="21"/>
        <v>#VALUE!</v>
      </c>
      <c r="BF86" s="80" t="e">
        <f t="shared" si="21"/>
        <v>#VALUE!</v>
      </c>
      <c r="BG86" s="80" t="e">
        <f t="shared" si="21"/>
        <v>#VALUE!</v>
      </c>
      <c r="BH86" s="80" t="e">
        <f t="shared" si="21"/>
        <v>#VALUE!</v>
      </c>
      <c r="BI86" s="80" t="e">
        <f t="shared" si="21"/>
        <v>#VALUE!</v>
      </c>
      <c r="BJ86" s="80" t="e">
        <f t="shared" si="21"/>
        <v>#VALUE!</v>
      </c>
      <c r="BK86" s="80" t="e">
        <f t="shared" si="21"/>
        <v>#VALUE!</v>
      </c>
      <c r="BL86" s="80" t="e">
        <f t="shared" si="21"/>
        <v>#VALUE!</v>
      </c>
      <c r="BM86" s="80" t="e">
        <f t="shared" si="13"/>
        <v>#VALUE!</v>
      </c>
      <c r="BN86" s="80"/>
      <c r="BO86" s="80"/>
      <c r="BP86" s="80"/>
      <c r="BQ86" s="189"/>
    </row>
    <row r="87" spans="1:78" hidden="1" outlineLevel="1">
      <c r="D87" s="187" t="s">
        <v>2677</v>
      </c>
      <c r="E87" s="189" t="e">
        <f t="shared" ref="E87:AD87" si="22">E80</f>
        <v>#VALUE!</v>
      </c>
      <c r="F87" s="189" t="e">
        <f t="shared" si="22"/>
        <v>#VALUE!</v>
      </c>
      <c r="G87" s="189" t="e">
        <f t="shared" si="22"/>
        <v>#VALUE!</v>
      </c>
      <c r="H87" s="189" t="e">
        <f t="shared" si="22"/>
        <v>#VALUE!</v>
      </c>
      <c r="I87" s="189" t="e">
        <f t="shared" si="22"/>
        <v>#VALUE!</v>
      </c>
      <c r="J87" s="189" t="e">
        <f t="shared" si="22"/>
        <v>#VALUE!</v>
      </c>
      <c r="K87" s="189" t="e">
        <f t="shared" si="22"/>
        <v>#VALUE!</v>
      </c>
      <c r="L87" s="189" t="e">
        <f t="shared" si="22"/>
        <v>#VALUE!</v>
      </c>
      <c r="M87" s="189" t="e">
        <f t="shared" si="22"/>
        <v>#VALUE!</v>
      </c>
      <c r="N87" s="189" t="e">
        <f t="shared" si="22"/>
        <v>#VALUE!</v>
      </c>
      <c r="O87" s="189" t="e">
        <f t="shared" si="22"/>
        <v>#VALUE!</v>
      </c>
      <c r="P87" s="189" t="e">
        <f t="shared" si="22"/>
        <v>#VALUE!</v>
      </c>
      <c r="Q87" s="80" t="e">
        <f t="shared" si="22"/>
        <v>#VALUE!</v>
      </c>
      <c r="R87" s="80" t="e">
        <f t="shared" si="22"/>
        <v>#VALUE!</v>
      </c>
      <c r="S87" s="80" t="e">
        <f t="shared" si="22"/>
        <v>#VALUE!</v>
      </c>
      <c r="T87" s="80" t="e">
        <f t="shared" si="22"/>
        <v>#VALUE!</v>
      </c>
      <c r="U87" s="80" t="e">
        <f t="shared" si="22"/>
        <v>#VALUE!</v>
      </c>
      <c r="V87" s="80" t="e">
        <f t="shared" si="22"/>
        <v>#VALUE!</v>
      </c>
      <c r="W87" s="80" t="e">
        <f t="shared" si="22"/>
        <v>#VALUE!</v>
      </c>
      <c r="X87" s="80" t="e">
        <f t="shared" si="22"/>
        <v>#VALUE!</v>
      </c>
      <c r="Y87" s="80" t="e">
        <f t="shared" si="22"/>
        <v>#VALUE!</v>
      </c>
      <c r="Z87" s="80" t="e">
        <f t="shared" si="22"/>
        <v>#VALUE!</v>
      </c>
      <c r="AA87" s="80" t="e">
        <f t="shared" si="22"/>
        <v>#VALUE!</v>
      </c>
      <c r="AB87" s="80" t="e">
        <f t="shared" si="22"/>
        <v>#VALUE!</v>
      </c>
      <c r="AC87" s="80" t="e">
        <f t="shared" si="22"/>
        <v>#VALUE!</v>
      </c>
      <c r="AD87" s="80" t="e">
        <f t="shared" si="22"/>
        <v>#VALUE!</v>
      </c>
      <c r="AE87" s="189" t="e">
        <f t="shared" si="14"/>
        <v>#VALUE!</v>
      </c>
      <c r="AF87" s="189"/>
      <c r="AG87" s="189"/>
      <c r="AL87" s="187" t="s">
        <v>2668</v>
      </c>
      <c r="AM87" s="80" t="e">
        <f t="shared" ref="AM87:BL87" si="23">AM80</f>
        <v>#VALUE!</v>
      </c>
      <c r="AN87" s="80" t="e">
        <f t="shared" si="23"/>
        <v>#VALUE!</v>
      </c>
      <c r="AO87" s="80" t="e">
        <f t="shared" si="23"/>
        <v>#VALUE!</v>
      </c>
      <c r="AP87" s="80" t="e">
        <f t="shared" si="23"/>
        <v>#VALUE!</v>
      </c>
      <c r="AQ87" s="80" t="e">
        <f t="shared" si="23"/>
        <v>#VALUE!</v>
      </c>
      <c r="AR87" s="80" t="e">
        <f t="shared" si="23"/>
        <v>#VALUE!</v>
      </c>
      <c r="AS87" s="80" t="e">
        <f t="shared" si="23"/>
        <v>#VALUE!</v>
      </c>
      <c r="AT87" s="80" t="e">
        <f t="shared" si="23"/>
        <v>#VALUE!</v>
      </c>
      <c r="AU87" s="80" t="e">
        <f t="shared" si="23"/>
        <v>#VALUE!</v>
      </c>
      <c r="AV87" s="80" t="e">
        <f t="shared" si="23"/>
        <v>#VALUE!</v>
      </c>
      <c r="AW87" s="80" t="e">
        <f t="shared" si="23"/>
        <v>#VALUE!</v>
      </c>
      <c r="AX87" s="80" t="e">
        <f t="shared" si="23"/>
        <v>#VALUE!</v>
      </c>
      <c r="AY87" s="80" t="e">
        <f t="shared" si="23"/>
        <v>#VALUE!</v>
      </c>
      <c r="AZ87" s="80" t="e">
        <f t="shared" si="23"/>
        <v>#VALUE!</v>
      </c>
      <c r="BA87" s="80" t="e">
        <f t="shared" si="23"/>
        <v>#VALUE!</v>
      </c>
      <c r="BB87" s="80" t="e">
        <f t="shared" si="23"/>
        <v>#VALUE!</v>
      </c>
      <c r="BC87" s="80" t="e">
        <f t="shared" si="23"/>
        <v>#VALUE!</v>
      </c>
      <c r="BD87" s="80" t="e">
        <f t="shared" si="23"/>
        <v>#VALUE!</v>
      </c>
      <c r="BE87" s="80" t="e">
        <f t="shared" si="23"/>
        <v>#VALUE!</v>
      </c>
      <c r="BF87" s="80" t="e">
        <f t="shared" si="23"/>
        <v>#VALUE!</v>
      </c>
      <c r="BG87" s="80" t="e">
        <f t="shared" si="23"/>
        <v>#VALUE!</v>
      </c>
      <c r="BH87" s="80" t="e">
        <f t="shared" si="23"/>
        <v>#VALUE!</v>
      </c>
      <c r="BI87" s="80" t="e">
        <f t="shared" si="23"/>
        <v>#VALUE!</v>
      </c>
      <c r="BJ87" s="80" t="e">
        <f t="shared" si="23"/>
        <v>#VALUE!</v>
      </c>
      <c r="BK87" s="80" t="e">
        <f t="shared" si="23"/>
        <v>#VALUE!</v>
      </c>
      <c r="BL87" s="80" t="e">
        <f t="shared" si="23"/>
        <v>#VALUE!</v>
      </c>
      <c r="BM87" s="80" t="e">
        <f t="shared" si="13"/>
        <v>#VALUE!</v>
      </c>
      <c r="BN87" s="80"/>
      <c r="BO87" s="80"/>
      <c r="BP87" s="80"/>
      <c r="BQ87" s="189"/>
    </row>
    <row r="88" spans="1:78" hidden="1" outlineLevel="1">
      <c r="AG88" s="64"/>
      <c r="BQ88" s="64"/>
    </row>
    <row r="89" spans="1:78" hidden="1" outlineLevel="1">
      <c r="AG89" s="64"/>
      <c r="BQ89" s="64"/>
    </row>
    <row r="90" spans="1:78" ht="15.75" hidden="1" outlineLevel="1" collapsed="1" thickBot="1">
      <c r="AG90" s="64"/>
      <c r="BQ90" s="64"/>
    </row>
    <row r="91" spans="1:78" s="52" customFormat="1" collapsed="1">
      <c r="A91" s="113"/>
      <c r="B91" s="113"/>
      <c r="C91" s="113"/>
      <c r="D91" s="204" t="s">
        <v>2694</v>
      </c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7" t="e">
        <f>Q83-SUM(Q92:Q94)</f>
        <v>#VALUE!</v>
      </c>
      <c r="R91" s="196"/>
      <c r="S91" s="196"/>
      <c r="T91" s="196"/>
      <c r="U91" s="196"/>
      <c r="V91" s="196"/>
      <c r="W91" s="196"/>
      <c r="X91" s="196"/>
      <c r="Y91" s="196"/>
      <c r="Z91" s="196"/>
      <c r="AA91" s="196"/>
      <c r="AB91" s="196"/>
      <c r="AC91" s="196"/>
      <c r="AD91" s="197" t="e">
        <f>AD83-SUM(AD92:AD94)</f>
        <v>#VALUE!</v>
      </c>
      <c r="AE91" s="238" t="e">
        <f>AE83-SUM(AE92:AE94)</f>
        <v>#VALUE!</v>
      </c>
      <c r="AF91" s="209" t="e">
        <f>AE91/Q91</f>
        <v>#VALUE!</v>
      </c>
      <c r="AG91" s="113"/>
      <c r="AI91" s="113"/>
      <c r="AJ91" s="113"/>
      <c r="AK91" s="113"/>
      <c r="AL91" s="204" t="s">
        <v>2694</v>
      </c>
      <c r="AM91" s="196"/>
      <c r="AN91" s="196"/>
      <c r="AO91" s="196"/>
      <c r="AP91" s="196"/>
      <c r="AQ91" s="196"/>
      <c r="AR91" s="196"/>
      <c r="AS91" s="196"/>
      <c r="AT91" s="196"/>
      <c r="AU91" s="196"/>
      <c r="AV91" s="196"/>
      <c r="AW91" s="196"/>
      <c r="AX91" s="196"/>
      <c r="AY91" s="197" t="e">
        <f>AY83-SUM(AY92:AY96)</f>
        <v>#VALUE!</v>
      </c>
      <c r="AZ91" s="196"/>
      <c r="BA91" s="196"/>
      <c r="BB91" s="196"/>
      <c r="BC91" s="196"/>
      <c r="BD91" s="196"/>
      <c r="BE91" s="196"/>
      <c r="BF91" s="196"/>
      <c r="BG91" s="196"/>
      <c r="BH91" s="196"/>
      <c r="BI91" s="196"/>
      <c r="BJ91" s="196"/>
      <c r="BK91" s="196"/>
      <c r="BL91" s="197" t="e">
        <f>BL83-SUM(BL92:BL96)</f>
        <v>#VALUE!</v>
      </c>
      <c r="BM91" s="274" t="e">
        <f t="shared" ref="BM91:BM96" si="24">BL91-AY91</f>
        <v>#VALUE!</v>
      </c>
      <c r="BN91" s="221" t="e">
        <f>BX91</f>
        <v>#VALUE!</v>
      </c>
      <c r="BO91" s="224" t="e">
        <f>BY91</f>
        <v>#VALUE!</v>
      </c>
      <c r="BP91" s="209" t="e">
        <f>BM91/AY91</f>
        <v>#VALUE!</v>
      </c>
      <c r="BQ91" s="113"/>
      <c r="BW91" s="204" t="s">
        <v>2694</v>
      </c>
      <c r="BX91" s="202" t="e">
        <f>BX83-SUM(BX92:BX94)</f>
        <v>#VALUE!</v>
      </c>
      <c r="BY91" s="202" t="e">
        <f>BY83-SUM(BY92:BY94)</f>
        <v>#VALUE!</v>
      </c>
      <c r="BZ91" s="197" t="e">
        <f>BZ83-SUM(BZ92:BZ94)</f>
        <v>#VALUE!</v>
      </c>
    </row>
    <row r="92" spans="1:78" s="52" customFormat="1">
      <c r="A92" s="113"/>
      <c r="B92" s="113"/>
      <c r="C92" s="113"/>
      <c r="D92" s="205" t="s">
        <v>2671</v>
      </c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91" t="e">
        <f>SUM(Q53:Q56)</f>
        <v>#VALUE!</v>
      </c>
      <c r="R92" s="191" t="e">
        <f t="shared" ref="R92:AD92" si="25">SUM(R53:R56)</f>
        <v>#VALUE!</v>
      </c>
      <c r="S92" s="191" t="e">
        <f t="shared" si="25"/>
        <v>#VALUE!</v>
      </c>
      <c r="T92" s="191" t="e">
        <f t="shared" si="25"/>
        <v>#VALUE!</v>
      </c>
      <c r="U92" s="191" t="e">
        <f t="shared" si="25"/>
        <v>#VALUE!</v>
      </c>
      <c r="V92" s="191" t="e">
        <f t="shared" si="25"/>
        <v>#VALUE!</v>
      </c>
      <c r="W92" s="191" t="e">
        <f t="shared" si="25"/>
        <v>#VALUE!</v>
      </c>
      <c r="X92" s="191" t="e">
        <f t="shared" si="25"/>
        <v>#VALUE!</v>
      </c>
      <c r="Y92" s="191" t="e">
        <f t="shared" si="25"/>
        <v>#VALUE!</v>
      </c>
      <c r="Z92" s="191" t="e">
        <f t="shared" si="25"/>
        <v>#VALUE!</v>
      </c>
      <c r="AA92" s="191" t="e">
        <f t="shared" si="25"/>
        <v>#VALUE!</v>
      </c>
      <c r="AB92" s="191" t="e">
        <f t="shared" si="25"/>
        <v>#VALUE!</v>
      </c>
      <c r="AC92" s="191" t="e">
        <f t="shared" si="25"/>
        <v>#VALUE!</v>
      </c>
      <c r="AD92" s="191" t="e">
        <f t="shared" si="25"/>
        <v>#VALUE!</v>
      </c>
      <c r="AE92" s="239" t="e">
        <f>AD92-Q92</f>
        <v>#VALUE!</v>
      </c>
      <c r="AF92" s="211" t="e">
        <f>AE92/$Q$83</f>
        <v>#VALUE!</v>
      </c>
      <c r="AI92" s="113"/>
      <c r="AJ92" s="113"/>
      <c r="AK92" s="113"/>
      <c r="AL92" s="205" t="s">
        <v>2671</v>
      </c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91" t="e">
        <f>SUM(AY53:AY56)</f>
        <v>#VALUE!</v>
      </c>
      <c r="AZ92" s="191" t="e">
        <f t="shared" ref="AZ92:BL92" si="26">SUM(AZ53:AZ56)</f>
        <v>#VALUE!</v>
      </c>
      <c r="BA92" s="191" t="e">
        <f t="shared" si="26"/>
        <v>#VALUE!</v>
      </c>
      <c r="BB92" s="191" t="e">
        <f t="shared" si="26"/>
        <v>#VALUE!</v>
      </c>
      <c r="BC92" s="191" t="e">
        <f t="shared" si="26"/>
        <v>#VALUE!</v>
      </c>
      <c r="BD92" s="191" t="e">
        <f t="shared" si="26"/>
        <v>#VALUE!</v>
      </c>
      <c r="BE92" s="191" t="e">
        <f t="shared" si="26"/>
        <v>#VALUE!</v>
      </c>
      <c r="BF92" s="191" t="e">
        <f t="shared" si="26"/>
        <v>#VALUE!</v>
      </c>
      <c r="BG92" s="191" t="e">
        <f t="shared" si="26"/>
        <v>#VALUE!</v>
      </c>
      <c r="BH92" s="191" t="e">
        <f t="shared" si="26"/>
        <v>#VALUE!</v>
      </c>
      <c r="BI92" s="191" t="e">
        <f t="shared" si="26"/>
        <v>#VALUE!</v>
      </c>
      <c r="BJ92" s="191" t="e">
        <f t="shared" si="26"/>
        <v>#VALUE!</v>
      </c>
      <c r="BK92" s="191" t="e">
        <f t="shared" si="26"/>
        <v>#VALUE!</v>
      </c>
      <c r="BL92" s="191" t="e">
        <f t="shared" si="26"/>
        <v>#VALUE!</v>
      </c>
      <c r="BM92" s="272" t="e">
        <f t="shared" si="24"/>
        <v>#VALUE!</v>
      </c>
      <c r="BN92" s="222" t="e">
        <f t="shared" ref="BN92:BO94" si="27">BX92</f>
        <v>#VALUE!</v>
      </c>
      <c r="BO92" s="225" t="e">
        <f t="shared" si="27"/>
        <v>#VALUE!</v>
      </c>
      <c r="BP92" s="211" t="e">
        <f>BM92/$AY$83</f>
        <v>#VALUE!</v>
      </c>
      <c r="BW92" s="205" t="s">
        <v>2671</v>
      </c>
      <c r="BX92" s="191" t="e">
        <f>SUM(BX53:BX56)</f>
        <v>#VALUE!</v>
      </c>
      <c r="BY92" s="191" t="e">
        <f>SUM(BY53:BY56)</f>
        <v>#VALUE!</v>
      </c>
      <c r="BZ92" s="191" t="e">
        <f>SUM(BZ53:BZ56)</f>
        <v>#VALUE!</v>
      </c>
    </row>
    <row r="93" spans="1:78" s="52" customFormat="1">
      <c r="A93" s="113"/>
      <c r="B93" s="113"/>
      <c r="C93" s="113"/>
      <c r="D93" s="205" t="s">
        <v>2673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91" t="e">
        <f>SUM(Q57:Q72)</f>
        <v>#VALUE!</v>
      </c>
      <c r="R93" s="191" t="e">
        <f t="shared" ref="R93:AD93" si="28">SUM(R57:R72)</f>
        <v>#VALUE!</v>
      </c>
      <c r="S93" s="191" t="e">
        <f t="shared" si="28"/>
        <v>#VALUE!</v>
      </c>
      <c r="T93" s="191" t="e">
        <f t="shared" si="28"/>
        <v>#VALUE!</v>
      </c>
      <c r="U93" s="191" t="e">
        <f t="shared" si="28"/>
        <v>#VALUE!</v>
      </c>
      <c r="V93" s="191" t="e">
        <f t="shared" si="28"/>
        <v>#VALUE!</v>
      </c>
      <c r="W93" s="191" t="e">
        <f t="shared" si="28"/>
        <v>#VALUE!</v>
      </c>
      <c r="X93" s="191" t="e">
        <f t="shared" si="28"/>
        <v>#VALUE!</v>
      </c>
      <c r="Y93" s="191" t="e">
        <f t="shared" si="28"/>
        <v>#VALUE!</v>
      </c>
      <c r="Z93" s="191" t="e">
        <f t="shared" si="28"/>
        <v>#VALUE!</v>
      </c>
      <c r="AA93" s="191" t="e">
        <f t="shared" si="28"/>
        <v>#VALUE!</v>
      </c>
      <c r="AB93" s="191" t="e">
        <f t="shared" si="28"/>
        <v>#VALUE!</v>
      </c>
      <c r="AC93" s="191" t="e">
        <f t="shared" si="28"/>
        <v>#VALUE!</v>
      </c>
      <c r="AD93" s="191" t="e">
        <f t="shared" si="28"/>
        <v>#VALUE!</v>
      </c>
      <c r="AE93" s="239" t="e">
        <f>AD93-Q93</f>
        <v>#VALUE!</v>
      </c>
      <c r="AF93" s="211" t="e">
        <f>AE93/$Q$83</f>
        <v>#VALUE!</v>
      </c>
      <c r="AI93" s="113"/>
      <c r="AJ93" s="113"/>
      <c r="AK93" s="113"/>
      <c r="AL93" s="205" t="s">
        <v>2673</v>
      </c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91" t="e">
        <f>SUM(AY57:AY72)</f>
        <v>#VALUE!</v>
      </c>
      <c r="AZ93" s="191" t="e">
        <f t="shared" ref="AZ93:BL93" si="29">SUM(AZ57:AZ72)</f>
        <v>#VALUE!</v>
      </c>
      <c r="BA93" s="191" t="e">
        <f t="shared" si="29"/>
        <v>#VALUE!</v>
      </c>
      <c r="BB93" s="191" t="e">
        <f t="shared" si="29"/>
        <v>#VALUE!</v>
      </c>
      <c r="BC93" s="191" t="e">
        <f t="shared" si="29"/>
        <v>#VALUE!</v>
      </c>
      <c r="BD93" s="191" t="e">
        <f t="shared" si="29"/>
        <v>#VALUE!</v>
      </c>
      <c r="BE93" s="191" t="e">
        <f t="shared" si="29"/>
        <v>#VALUE!</v>
      </c>
      <c r="BF93" s="191" t="e">
        <f t="shared" si="29"/>
        <v>#VALUE!</v>
      </c>
      <c r="BG93" s="191" t="e">
        <f t="shared" si="29"/>
        <v>#VALUE!</v>
      </c>
      <c r="BH93" s="191" t="e">
        <f t="shared" si="29"/>
        <v>#VALUE!</v>
      </c>
      <c r="BI93" s="191" t="e">
        <f t="shared" si="29"/>
        <v>#VALUE!</v>
      </c>
      <c r="BJ93" s="191" t="e">
        <f t="shared" si="29"/>
        <v>#VALUE!</v>
      </c>
      <c r="BK93" s="191" t="e">
        <f t="shared" si="29"/>
        <v>#VALUE!</v>
      </c>
      <c r="BL93" s="191" t="e">
        <f t="shared" si="29"/>
        <v>#VALUE!</v>
      </c>
      <c r="BM93" s="272" t="e">
        <f t="shared" si="24"/>
        <v>#VALUE!</v>
      </c>
      <c r="BN93" s="222" t="e">
        <f t="shared" si="27"/>
        <v>#VALUE!</v>
      </c>
      <c r="BO93" s="225" t="e">
        <f t="shared" si="27"/>
        <v>#VALUE!</v>
      </c>
      <c r="BP93" s="211" t="e">
        <f>BM93/$AY$83</f>
        <v>#VALUE!</v>
      </c>
      <c r="BW93" s="205" t="s">
        <v>2673</v>
      </c>
      <c r="BX93" s="191" t="e">
        <f>SUM(BX57:BX72)</f>
        <v>#VALUE!</v>
      </c>
      <c r="BY93" s="191" t="e">
        <f>SUM(BY57:BY72)</f>
        <v>#VALUE!</v>
      </c>
      <c r="BZ93" s="191" t="e">
        <f>SUM(BZ57:BZ72)</f>
        <v>#VALUE!</v>
      </c>
    </row>
    <row r="94" spans="1:78" s="52" customFormat="1" ht="15.75" thickBot="1">
      <c r="A94" s="113"/>
      <c r="B94" s="113"/>
      <c r="C94" s="113"/>
      <c r="D94" s="205" t="s">
        <v>2672</v>
      </c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91" t="e">
        <f>SUM(AD73:AD77)</f>
        <v>#VALUE!</v>
      </c>
      <c r="AE94" s="240" t="e">
        <f>AD94-Q94</f>
        <v>#VALUE!</v>
      </c>
      <c r="AF94" s="213" t="e">
        <f>AE94/$Q$83</f>
        <v>#VALUE!</v>
      </c>
      <c r="AI94" s="113"/>
      <c r="AJ94" s="113"/>
      <c r="AK94" s="113"/>
      <c r="AL94" s="205" t="s">
        <v>2672</v>
      </c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91" t="e">
        <f>SUM(AY73:AY77)</f>
        <v>#VALUE!</v>
      </c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91" t="e">
        <f>SUM(BL73:BL77)</f>
        <v>#VALUE!</v>
      </c>
      <c r="BM94" s="273" t="e">
        <f t="shared" si="24"/>
        <v>#VALUE!</v>
      </c>
      <c r="BN94" s="223" t="e">
        <f t="shared" si="27"/>
        <v>#VALUE!</v>
      </c>
      <c r="BO94" s="226" t="e">
        <f t="shared" si="27"/>
        <v>#VALUE!</v>
      </c>
      <c r="BP94" s="213" t="e">
        <f>BM94/$AY$83</f>
        <v>#VALUE!</v>
      </c>
      <c r="BW94" s="205" t="s">
        <v>2672</v>
      </c>
      <c r="BX94" s="191" t="e">
        <f>SUM(BX73:BX77)</f>
        <v>#VALUE!</v>
      </c>
      <c r="BY94" s="191" t="e">
        <f>SUM(BY73:BY77)</f>
        <v>#VALUE!</v>
      </c>
      <c r="BZ94" s="191" t="e">
        <f>SUM(BZ73:BZ77)</f>
        <v>#VALUE!</v>
      </c>
    </row>
    <row r="95" spans="1:78" s="52" customFormat="1">
      <c r="A95" s="113"/>
      <c r="B95" s="113"/>
      <c r="C95" s="113"/>
      <c r="D95" s="205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91"/>
      <c r="AE95" s="265"/>
      <c r="AF95" s="266"/>
      <c r="AI95" s="113"/>
      <c r="AJ95" s="113"/>
      <c r="AK95" s="113"/>
      <c r="AL95" s="205" t="s">
        <v>2744</v>
      </c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>
        <v>0</v>
      </c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91" t="e">
        <f>BL81</f>
        <v>#VALUE!</v>
      </c>
      <c r="BM95" s="267" t="e">
        <f t="shared" si="24"/>
        <v>#VALUE!</v>
      </c>
      <c r="BN95" s="268">
        <v>183</v>
      </c>
      <c r="BO95" s="268"/>
      <c r="BP95" s="266"/>
      <c r="BW95" s="205"/>
      <c r="BX95" s="191"/>
      <c r="BY95" s="191"/>
      <c r="BZ95" s="191"/>
    </row>
    <row r="96" spans="1:78" s="52" customFormat="1">
      <c r="A96" s="113"/>
      <c r="B96" s="113"/>
      <c r="C96" s="113"/>
      <c r="D96" s="205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91"/>
      <c r="AE96" s="265"/>
      <c r="AF96" s="266"/>
      <c r="AI96" s="113"/>
      <c r="AJ96" s="113"/>
      <c r="AK96" s="113"/>
      <c r="AL96" s="205" t="s">
        <v>2770</v>
      </c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>
        <v>722</v>
      </c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91">
        <v>0</v>
      </c>
      <c r="BM96" s="269">
        <f t="shared" si="24"/>
        <v>-722</v>
      </c>
      <c r="BN96" s="270">
        <v>-722</v>
      </c>
      <c r="BO96" s="270"/>
      <c r="BP96" s="271"/>
      <c r="BW96" s="205"/>
      <c r="BX96" s="191"/>
      <c r="BY96" s="191"/>
      <c r="BZ96" s="191"/>
    </row>
    <row r="97" spans="1:78" s="52" customFormat="1" ht="15.75" thickBot="1">
      <c r="A97" s="113"/>
      <c r="B97" s="113"/>
      <c r="C97" s="113"/>
      <c r="D97" s="205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91"/>
      <c r="AE97" s="265"/>
      <c r="AF97" s="266"/>
      <c r="AI97" s="113"/>
      <c r="AJ97" s="113"/>
      <c r="AK97" s="113"/>
      <c r="AL97" s="205" t="s">
        <v>2739</v>
      </c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91" t="e">
        <f>SUM(AY91:AY96)</f>
        <v>#VALUE!</v>
      </c>
      <c r="AZ97" s="191" t="e">
        <f t="shared" ref="AZ97:BM97" si="30">SUM(AZ91:AZ96)</f>
        <v>#VALUE!</v>
      </c>
      <c r="BA97" s="191" t="e">
        <f t="shared" si="30"/>
        <v>#VALUE!</v>
      </c>
      <c r="BB97" s="191" t="e">
        <f t="shared" si="30"/>
        <v>#VALUE!</v>
      </c>
      <c r="BC97" s="191" t="e">
        <f t="shared" si="30"/>
        <v>#VALUE!</v>
      </c>
      <c r="BD97" s="191" t="e">
        <f t="shared" si="30"/>
        <v>#VALUE!</v>
      </c>
      <c r="BE97" s="191" t="e">
        <f t="shared" si="30"/>
        <v>#VALUE!</v>
      </c>
      <c r="BF97" s="191" t="e">
        <f t="shared" si="30"/>
        <v>#VALUE!</v>
      </c>
      <c r="BG97" s="191" t="e">
        <f t="shared" si="30"/>
        <v>#VALUE!</v>
      </c>
      <c r="BH97" s="191" t="e">
        <f t="shared" si="30"/>
        <v>#VALUE!</v>
      </c>
      <c r="BI97" s="191" t="e">
        <f t="shared" si="30"/>
        <v>#VALUE!</v>
      </c>
      <c r="BJ97" s="191" t="e">
        <f t="shared" si="30"/>
        <v>#VALUE!</v>
      </c>
      <c r="BK97" s="191" t="e">
        <f t="shared" si="30"/>
        <v>#VALUE!</v>
      </c>
      <c r="BL97" s="191" t="e">
        <f t="shared" si="30"/>
        <v>#VALUE!</v>
      </c>
      <c r="BM97" s="191" t="e">
        <f t="shared" si="30"/>
        <v>#VALUE!</v>
      </c>
      <c r="BN97" s="191" t="e">
        <f>SUM(BN91:BN96)</f>
        <v>#VALUE!</v>
      </c>
      <c r="BO97" s="191" t="e">
        <f>SUM(BO91:BO96)</f>
        <v>#VALUE!</v>
      </c>
      <c r="BP97" s="213" t="e">
        <f>BM97/$AY$83</f>
        <v>#VALUE!</v>
      </c>
      <c r="BW97" s="205"/>
      <c r="BX97" s="191"/>
      <c r="BY97" s="191"/>
      <c r="BZ97" s="191"/>
    </row>
    <row r="99" spans="1:78">
      <c r="BL99" s="81"/>
      <c r="BM99" s="81"/>
      <c r="BU99" s="203"/>
    </row>
    <row r="100" spans="1:78">
      <c r="A100" s="113" t="s">
        <v>832</v>
      </c>
      <c r="C100" s="64" t="s">
        <v>830</v>
      </c>
      <c r="D100" s="113" t="s">
        <v>2740</v>
      </c>
      <c r="E100" s="189" t="e">
        <f>_xll.LVCELL($A$100,E$3,$C100,$D$2,$C$4,$C$5,$C$6,$C$7,$C$8,$D$3)/1000</f>
        <v>#VALUE!</v>
      </c>
      <c r="F100" s="189" t="e">
        <f>_xll.LVCELL($A$100,F$3,$C100,$D$2,$C$4,$C$5,$C$6,$C$7,$C$8,$D$3)/1000</f>
        <v>#VALUE!</v>
      </c>
      <c r="G100" s="189" t="e">
        <f>_xll.LVCELL($A$100,G$3,$C100,$D$2,$C$4,$C$5,$C$6,$C$7,$C$8,$D$3)/1000</f>
        <v>#VALUE!</v>
      </c>
      <c r="H100" s="189" t="e">
        <f>_xll.LVCELL($A$100,H$3,$C100,$D$2,$C$4,$C$5,$C$6,$C$7,$C$8,$D$3)/1000</f>
        <v>#VALUE!</v>
      </c>
      <c r="I100" s="189" t="e">
        <f>_xll.LVCELL($A$100,I$3,$C100,$D$2,$C$4,$C$5,$C$6,$C$7,$C$8,$D$3)/1000</f>
        <v>#VALUE!</v>
      </c>
      <c r="J100" s="189" t="e">
        <f>_xll.LVCELL($A$100,J$3,$C100,$D$2,$C$4,$C$5,$C$6,$C$7,$C$8,$D$3)/1000</f>
        <v>#VALUE!</v>
      </c>
      <c r="K100" s="189" t="e">
        <f>_xll.LVCELL($A$100,K$3,$C100,$D$2,$C$4,$C$5,$C$6,$C$7,$C$8,$D$3)/1000</f>
        <v>#VALUE!</v>
      </c>
      <c r="L100" s="189" t="e">
        <f>_xll.LVCELL($A$100,L$3,$C100,$D$2,$C$4,$C$5,$C$6,$C$7,$C$8,$D$3)/1000</f>
        <v>#VALUE!</v>
      </c>
      <c r="M100" s="189" t="e">
        <f>_xll.LVCELL($A$100,M$3,$C100,$D$2,$C$4,$C$5,$C$6,$C$7,$C$8,$D$3)/1000</f>
        <v>#VALUE!</v>
      </c>
      <c r="N100" s="189" t="e">
        <f>_xll.LVCELL($A$100,N$3,$C100,$D$2,$C$4,$C$5,$C$6,$C$7,$C$8,$D$3)/1000</f>
        <v>#VALUE!</v>
      </c>
      <c r="O100" s="189" t="e">
        <f>_xll.LVCELL($A$100,O$3,$C100,$D$2,$C$4,$C$5,$C$6,$C$7,$C$8,$D$3)/1000</f>
        <v>#VALUE!</v>
      </c>
      <c r="P100" s="189" t="e">
        <f>_xll.LVCELL($A$100,P$3,$C100,$D$2,$C$4,$C$5,$C$6,$C$7,$C$8,$D$3)/1000</f>
        <v>#VALUE!</v>
      </c>
      <c r="Q100" s="189" t="e">
        <f>_xll.LVCELL($A$100,Q$2,$C100,$D$2,$C$4,$C$5,$C$6,$C$7,$C$8,$D$3)/1000</f>
        <v>#VALUE!</v>
      </c>
      <c r="R100" s="189" t="e">
        <f>_xll.LVCELL($A$100,R$3,$C100,$D$2,$C$4,$C$5,$C$6,$C$7,$C$8,$D$3)/1000</f>
        <v>#VALUE!</v>
      </c>
      <c r="S100" s="189" t="e">
        <f>_xll.LVCELL($A$100,S$3,$C100,$D$2,$C$4,$C$5,$C$6,$C$7,$C$8,$D$3)/1000</f>
        <v>#VALUE!</v>
      </c>
      <c r="T100" s="189" t="e">
        <f>_xll.LVCELL($A$100,T$3,$C100,$D$2,$C$4,$C$5,$C$6,$C$7,$C$8,$D$3)/1000</f>
        <v>#VALUE!</v>
      </c>
      <c r="U100" s="189" t="e">
        <f>_xll.LVCELL($A$100,U$3,$C100,$D$2,$C$4,$C$5,$C$6,$C$7,$C$8,$D$3)/1000</f>
        <v>#VALUE!</v>
      </c>
      <c r="V100" s="189" t="e">
        <f>_xll.LVCELL($A$100,V$3,$C100,$D$2,$C$4,$C$5,$C$6,$C$7,$C$8,$D$3)/1000</f>
        <v>#VALUE!</v>
      </c>
      <c r="W100" s="189" t="e">
        <f>_xll.LVCELL($A$100,W$3,$C100,$D$2,$C$4,$C$5,$C$6,$C$7,$C$8,$D$3)/1000</f>
        <v>#VALUE!</v>
      </c>
      <c r="X100" s="189" t="e">
        <f>_xll.LVCELL($A$100,X$3,$C100,$D$2,$C$4,$C$5,$C$6,$C$7,$C$8,$D$3)/1000</f>
        <v>#VALUE!</v>
      </c>
      <c r="Y100" s="189" t="e">
        <f>_xll.LVCELL($A$100,Y$3,$C100,$D$2,$C$4,$C$5,$C$6,$C$7,$C$8,$D$3)/1000</f>
        <v>#VALUE!</v>
      </c>
      <c r="Z100" s="189" t="e">
        <f>_xll.LVCELL($A$100,Z$3,$C100,$D$2,$C$4,$C$5,$C$6,$C$7,$C$8,$D$3)/1000</f>
        <v>#VALUE!</v>
      </c>
      <c r="AA100" s="189" t="e">
        <f>_xll.LVCELL($A$100,AA$3,$C100,$D$2,$C$4,$C$5,$C$6,$C$7,$C$8,$D$3)/1000</f>
        <v>#VALUE!</v>
      </c>
      <c r="AB100" s="189" t="e">
        <f>_xll.LVCELL($A$100,AB$3,$C100,$D$2,$C$4,$C$5,$C$6,$C$7,$C$8,$D$3)/1000</f>
        <v>#VALUE!</v>
      </c>
      <c r="AC100" s="189" t="e">
        <f>_xll.LVCELL($A$100,AC$3,$C100,$D$2,$C$4,$C$5,$C$6,$C$7,$C$8,$D$3)/1000</f>
        <v>#VALUE!</v>
      </c>
      <c r="AD100" s="189" t="e">
        <f>_xll.LVCELL($A$100,AD$2,$C100,$D$2,$C$4,$C$5,$C$6,$C$7,$C$8,$D$3)/1000</f>
        <v>#VALUE!</v>
      </c>
      <c r="AJ100" s="64" t="s">
        <v>2696</v>
      </c>
      <c r="AK100" s="64" t="s">
        <v>830</v>
      </c>
      <c r="AL100" s="187" t="s">
        <v>2703</v>
      </c>
      <c r="AM100" s="172" t="e">
        <f>_xll.LVCELL($AJ$100,AM$3,$AK100,$AL$2,$AK$4,$AK$5,$AK$6,$AK$7,$AK$8,$AL$3)/1000</f>
        <v>#VALUE!</v>
      </c>
      <c r="AN100" s="172" t="e">
        <f>_xll.LVCELL($AJ$100,AN$3,$AK100,$AL$2,$AK$4,$AK$5,$AK$6,$AK$7,$AK$8,$AL$3)/1000</f>
        <v>#VALUE!</v>
      </c>
      <c r="AO100" s="172" t="e">
        <f>_xll.LVCELL($AJ$100,AO$3,$AK100,$AL$2,$AK$4,$AK$5,$AK$6,$AK$7,$AK$8,$AL$3)/1000</f>
        <v>#VALUE!</v>
      </c>
      <c r="AP100" s="172" t="e">
        <f>_xll.LVCELL($AJ$100,AP$3,$AK100,$AL$2,$AK$4,$AK$5,$AK$6,$AK$7,$AK$8,$AL$3)/1000</f>
        <v>#VALUE!</v>
      </c>
      <c r="AQ100" s="172" t="e">
        <f>_xll.LVCELL($AJ$100,AQ$3,$AK100,$AL$2,$AK$4,$AK$5,$AK$6,$AK$7,$AK$8,$AL$3)/1000</f>
        <v>#VALUE!</v>
      </c>
      <c r="AR100" s="172" t="e">
        <f>_xll.LVCELL($AJ$100,AR$3,$AK100,$AL$2,$AK$4,$AK$5,$AK$6,$AK$7,$AK$8,$AL$3)/1000</f>
        <v>#VALUE!</v>
      </c>
      <c r="AS100" s="172" t="e">
        <f>_xll.LVCELL($AJ$100,AS$3,$AK100,$AL$2,$AK$4,$AK$5,$AK$6,$AK$7,$AK$8,$AL$3)/1000</f>
        <v>#VALUE!</v>
      </c>
      <c r="AT100" s="172" t="e">
        <f>_xll.LVCELL($AJ$100,AT$3,$AK100,$AL$2,$AK$4,$AK$5,$AK$6,$AK$7,$AK$8,$AL$3)/1000</f>
        <v>#VALUE!</v>
      </c>
      <c r="AU100" s="172" t="e">
        <f>_xll.LVCELL($AJ$100,AU$3,$AK100,$AL$2,$AK$4,$AK$5,$AK$6,$AK$7,$AK$8,$AL$3)/1000</f>
        <v>#VALUE!</v>
      </c>
      <c r="AV100" s="172" t="e">
        <f>_xll.LVCELL($AJ$100,AV$3,$AK100,$AL$2,$AK$4,$AK$5,$AK$6,$AK$7,$AK$8,$AL$3)/1000</f>
        <v>#VALUE!</v>
      </c>
      <c r="AW100" s="172" t="e">
        <f>_xll.LVCELL($AJ$100,AW$3,$AK100,$AL$2,$AK$4,$AK$5,$AK$6,$AK$7,$AK$8,$AL$3)/1000</f>
        <v>#VALUE!</v>
      </c>
      <c r="AX100" s="172" t="e">
        <f>_xll.LVCELL($AJ$100,AX$3,$AK100,$AL$2,$AK$4,$AK$5,$AK$6,$AK$7,$AK$8,$AL$3)/1000</f>
        <v>#VALUE!</v>
      </c>
      <c r="AY100" s="172" t="e">
        <f>_xll.LVCELL($AJ$100,AY$2,$AK100,$AL$2,$AK$4,$AK$5,$AK$6,$AK$7,$AK$8,$AL$3)/1000</f>
        <v>#VALUE!</v>
      </c>
      <c r="AZ100" s="172" t="e">
        <f>_xll.LVCELL($AJ$100,AZ$3,$AK100,$AL$2,$AK$4,$AK$5,$AK$6,$AK$7,$AK$8,$AL$3)/1000</f>
        <v>#VALUE!</v>
      </c>
      <c r="BA100" s="172" t="e">
        <f>_xll.LVCELL($AJ$100,BA$3,$AK100,$AL$2,$AK$4,$AK$5,$AK$6,$AK$7,$AK$8,$AL$3)/1000</f>
        <v>#VALUE!</v>
      </c>
      <c r="BB100" s="172" t="e">
        <f>_xll.LVCELL($AJ$100,BB$3,$AK100,$AL$2,$AK$4,$AK$5,$AK$6,$AK$7,$AK$8,$AL$3)/1000</f>
        <v>#VALUE!</v>
      </c>
      <c r="BC100" s="172" t="e">
        <f>_xll.LVCELL($AJ$100,BC$3,$AK100,$AL$2,$AK$4,$AK$5,$AK$6,$AK$7,$AK$8,$AL$3)/1000</f>
        <v>#VALUE!</v>
      </c>
      <c r="BD100" s="172" t="e">
        <f>_xll.LVCELL($AJ$100,BD$3,$AK100,$AL$2,$AK$4,$AK$5,$AK$6,$AK$7,$AK$8,$AL$3)/1000</f>
        <v>#VALUE!</v>
      </c>
      <c r="BE100" s="172" t="e">
        <f>_xll.LVCELL($AJ$100,BE$3,$AK100,$AL$2,$AK$4,$AK$5,$AK$6,$AK$7,$AK$8,$AL$3)/1000</f>
        <v>#VALUE!</v>
      </c>
      <c r="BF100" s="172" t="e">
        <f>_xll.LVCELL($AJ$100,BF$3,$AK100,$AL$2,$AK$4,$AK$5,$AK$6,$AK$7,$AK$8,$AL$3)/1000</f>
        <v>#VALUE!</v>
      </c>
      <c r="BG100" s="172" t="e">
        <f>_xll.LVCELL($AJ$100,BG$3,$AK100,$AL$2,$AK$4,$AK$5,$AK$6,$AK$7,$AK$8,$AL$3)/1000</f>
        <v>#VALUE!</v>
      </c>
      <c r="BH100" s="172" t="e">
        <f>_xll.LVCELL($AJ$100,BH$3,$AK100,$AL$2,$AK$4,$AK$5,$AK$6,$AK$7,$AK$8,$AL$3)/1000</f>
        <v>#VALUE!</v>
      </c>
      <c r="BI100" s="172" t="e">
        <f>_xll.LVCELL($AJ$100,BI$3,$AK100,$AL$2,$AK$4,$AK$5,$AK$6,$AK$7,$AK$8,$AL$3)/1000</f>
        <v>#VALUE!</v>
      </c>
      <c r="BJ100" s="172" t="e">
        <f>_xll.LVCELL($AJ$100,BJ$3,$AK100,$AL$2,$AK$4,$AK$5,$AK$6,$AK$7,$AK$8,$AL$3)/1000</f>
        <v>#VALUE!</v>
      </c>
      <c r="BK100" s="172" t="e">
        <f>_xll.LVCELL($AJ$100,BK$3,$AK100,$AL$2,$AK$4,$AK$5,$AK$6,$AK$7,$AK$8,$AL$3)/1000</f>
        <v>#VALUE!</v>
      </c>
      <c r="BL100" s="172" t="e">
        <f>_xll.LVCELL($AJ$100,BL$2,$AK100,$AL$2,$AK$4,$AK$5,$AK$6,$AK$7,$AK$8,$AL$3)/1000</f>
        <v>#VALUE!</v>
      </c>
      <c r="BM100" s="172" t="e">
        <f>BL100-AY100</f>
        <v>#VALUE!</v>
      </c>
      <c r="BN100" s="172">
        <f>BX100</f>
        <v>0</v>
      </c>
      <c r="BO100" s="172">
        <f>BY100</f>
        <v>0</v>
      </c>
      <c r="BP100" s="193" t="e">
        <f>BL100/AY100-1</f>
        <v>#VALUE!</v>
      </c>
      <c r="BS100" s="198"/>
      <c r="BT100" s="198"/>
      <c r="BU100" s="198"/>
      <c r="BV100" s="199"/>
      <c r="BX100" s="200"/>
      <c r="BY100" s="200"/>
      <c r="BZ100" s="200"/>
    </row>
    <row r="101" spans="1:78">
      <c r="A101" s="113" t="s">
        <v>833</v>
      </c>
      <c r="C101" s="64" t="s">
        <v>830</v>
      </c>
      <c r="D101" s="113" t="s">
        <v>2695</v>
      </c>
      <c r="E101" s="189" t="e">
        <f>_xll.LVCELL($A$101,E$3,$C101,$D$2,$C$4,$C$5,$C$6,$C$7,$C$8,$D$3)/1000</f>
        <v>#VALUE!</v>
      </c>
      <c r="F101" s="189" t="e">
        <f>_xll.LVCELL($A$101,F$3,$C101,$D$2,$C$4,$C$5,$C$6,$C$7,$C$8,$D$3)/1000</f>
        <v>#VALUE!</v>
      </c>
      <c r="G101" s="189" t="e">
        <f>_xll.LVCELL($A$101,G$3,$C101,$D$2,$C$4,$C$5,$C$6,$C$7,$C$8,$D$3)/1000</f>
        <v>#VALUE!</v>
      </c>
      <c r="H101" s="189" t="e">
        <f>_xll.LVCELL($A$101,H$3,$C101,$D$2,$C$4,$C$5,$C$6,$C$7,$C$8,$D$3)/1000</f>
        <v>#VALUE!</v>
      </c>
      <c r="I101" s="189" t="e">
        <f>_xll.LVCELL($A$101,I$3,$C101,$D$2,$C$4,$C$5,$C$6,$C$7,$C$8,$D$3)/1000</f>
        <v>#VALUE!</v>
      </c>
      <c r="J101" s="189" t="e">
        <f>_xll.LVCELL($A$101,J$3,$C101,$D$2,$C$4,$C$5,$C$6,$C$7,$C$8,$D$3)/1000</f>
        <v>#VALUE!</v>
      </c>
      <c r="K101" s="189" t="e">
        <f>_xll.LVCELL($A$101,K$3,$C101,$D$2,$C$4,$C$5,$C$6,$C$7,$C$8,$D$3)/1000</f>
        <v>#VALUE!</v>
      </c>
      <c r="L101" s="189" t="e">
        <f>_xll.LVCELL($A$101,L$3,$C101,$D$2,$C$4,$C$5,$C$6,$C$7,$C$8,$D$3)/1000</f>
        <v>#VALUE!</v>
      </c>
      <c r="M101" s="189" t="e">
        <f>_xll.LVCELL($A$101,M$3,$C101,$D$2,$C$4,$C$5,$C$6,$C$7,$C$8,$D$3)/1000</f>
        <v>#VALUE!</v>
      </c>
      <c r="N101" s="189" t="e">
        <f>_xll.LVCELL($A$101,N$3,$C101,$D$2,$C$4,$C$5,$C$6,$C$7,$C$8,$D$3)/1000</f>
        <v>#VALUE!</v>
      </c>
      <c r="O101" s="189" t="e">
        <f>_xll.LVCELL($A$101,O$3,$C101,$D$2,$C$4,$C$5,$C$6,$C$7,$C$8,$D$3)/1000</f>
        <v>#VALUE!</v>
      </c>
      <c r="P101" s="189" t="e">
        <f>_xll.LVCELL($A$101,P$3,$C101,$D$2,$C$4,$C$5,$C$6,$C$7,$C$8,$D$3)/1000</f>
        <v>#VALUE!</v>
      </c>
      <c r="Q101" s="189" t="e">
        <f>_xll.LVCELL($A$101,Q$2,$C101,$D$2,$C$4,$C$5,$C$6,$C$7,$C$8,$D$3)/1000</f>
        <v>#VALUE!</v>
      </c>
      <c r="R101" s="189" t="e">
        <f>_xll.LVCELL($A$101,R$3,$C101,$D$2,$C$4,$C$5,$C$6,$C$7,$C$8,$D$3)/1000</f>
        <v>#VALUE!</v>
      </c>
      <c r="S101" s="189" t="e">
        <f>_xll.LVCELL($A$101,S$3,$C101,$D$2,$C$4,$C$5,$C$6,$C$7,$C$8,$D$3)/1000</f>
        <v>#VALUE!</v>
      </c>
      <c r="T101" s="189" t="e">
        <f>_xll.LVCELL($A$101,T$3,$C101,$D$2,$C$4,$C$5,$C$6,$C$7,$C$8,$D$3)/1000</f>
        <v>#VALUE!</v>
      </c>
      <c r="U101" s="189" t="e">
        <f>_xll.LVCELL($A$101,U$3,$C101,$D$2,$C$4,$C$5,$C$6,$C$7,$C$8,$D$3)/1000</f>
        <v>#VALUE!</v>
      </c>
      <c r="V101" s="189" t="e">
        <f>_xll.LVCELL($A$101,V$3,$C101,$D$2,$C$4,$C$5,$C$6,$C$7,$C$8,$D$3)/1000</f>
        <v>#VALUE!</v>
      </c>
      <c r="W101" s="189" t="e">
        <f>_xll.LVCELL($A$101,W$3,$C101,$D$2,$C$4,$C$5,$C$6,$C$7,$C$8,$D$3)/1000</f>
        <v>#VALUE!</v>
      </c>
      <c r="X101" s="189" t="e">
        <f>_xll.LVCELL($A$101,X$3,$C101,$D$2,$C$4,$C$5,$C$6,$C$7,$C$8,$D$3)/1000</f>
        <v>#VALUE!</v>
      </c>
      <c r="Y101" s="189" t="e">
        <f>_xll.LVCELL($A$101,Y$3,$C101,$D$2,$C$4,$C$5,$C$6,$C$7,$C$8,$D$3)/1000</f>
        <v>#VALUE!</v>
      </c>
      <c r="Z101" s="189" t="e">
        <f>_xll.LVCELL($A$101,Z$3,$C101,$D$2,$C$4,$C$5,$C$6,$C$7,$C$8,$D$3)/1000</f>
        <v>#VALUE!</v>
      </c>
      <c r="AA101" s="189" t="e">
        <f>_xll.LVCELL($A$101,AA$3,$C101,$D$2,$C$4,$C$5,$C$6,$C$7,$C$8,$D$3)/1000</f>
        <v>#VALUE!</v>
      </c>
      <c r="AB101" s="189" t="e">
        <f>_xll.LVCELL($A$101,AB$3,$C101,$D$2,$C$4,$C$5,$C$6,$C$7,$C$8,$D$3)/1000</f>
        <v>#VALUE!</v>
      </c>
      <c r="AC101" s="189" t="e">
        <f>_xll.LVCELL($A$101,AC$3,$C101,$D$2,$C$4,$C$5,$C$6,$C$7,$C$8,$D$3)/1000</f>
        <v>#VALUE!</v>
      </c>
      <c r="AD101" s="189" t="e">
        <f>_xll.LVCELL($A$101,AD$2,$C101,$D$2,$C$4,$C$5,$C$6,$C$7,$C$8,$D$3)/1000</f>
        <v>#VALUE!</v>
      </c>
      <c r="AJ101" s="64" t="s">
        <v>2697</v>
      </c>
      <c r="AK101" s="64" t="s">
        <v>830</v>
      </c>
      <c r="AL101" s="64" t="s">
        <v>2699</v>
      </c>
      <c r="AM101" s="172" t="e">
        <f>_xll.LVCELL($AJ$101,AM$3,$AK101,$AL$2,$AK$4,$AK$5,$AK$6,$AK$7,$AK$8,$AL$3)/1000</f>
        <v>#VALUE!</v>
      </c>
      <c r="AN101" s="172" t="e">
        <f>_xll.LVCELL($AJ$101,AN$3,$AK101,$AL$2,$AK$4,$AK$5,$AK$6,$AK$7,$AK$8,$AL$3)/1000</f>
        <v>#VALUE!</v>
      </c>
      <c r="AO101" s="172" t="e">
        <f>_xll.LVCELL($AJ$101,AO$3,$AK101,$AL$2,$AK$4,$AK$5,$AK$6,$AK$7,$AK$8,$AL$3)/1000</f>
        <v>#VALUE!</v>
      </c>
      <c r="AP101" s="172" t="e">
        <f>_xll.LVCELL($AJ$101,AP$3,$AK101,$AL$2,$AK$4,$AK$5,$AK$6,$AK$7,$AK$8,$AL$3)/1000</f>
        <v>#VALUE!</v>
      </c>
      <c r="AQ101" s="172" t="e">
        <f>_xll.LVCELL($AJ$101,AQ$3,$AK101,$AL$2,$AK$4,$AK$5,$AK$6,$AK$7,$AK$8,$AL$3)/1000</f>
        <v>#VALUE!</v>
      </c>
      <c r="AR101" s="172" t="e">
        <f>_xll.LVCELL($AJ$101,AR$3,$AK101,$AL$2,$AK$4,$AK$5,$AK$6,$AK$7,$AK$8,$AL$3)/1000</f>
        <v>#VALUE!</v>
      </c>
      <c r="AS101" s="172" t="e">
        <f>_xll.LVCELL($AJ$101,AS$3,$AK101,$AL$2,$AK$4,$AK$5,$AK$6,$AK$7,$AK$8,$AL$3)/1000</f>
        <v>#VALUE!</v>
      </c>
      <c r="AT101" s="172" t="e">
        <f>_xll.LVCELL($AJ$101,AT$3,$AK101,$AL$2,$AK$4,$AK$5,$AK$6,$AK$7,$AK$8,$AL$3)/1000</f>
        <v>#VALUE!</v>
      </c>
      <c r="AU101" s="172" t="e">
        <f>_xll.LVCELL($AJ$101,AU$3,$AK101,$AL$2,$AK$4,$AK$5,$AK$6,$AK$7,$AK$8,$AL$3)/1000</f>
        <v>#VALUE!</v>
      </c>
      <c r="AV101" s="172" t="e">
        <f>_xll.LVCELL($AJ$101,AV$3,$AK101,$AL$2,$AK$4,$AK$5,$AK$6,$AK$7,$AK$8,$AL$3)/1000</f>
        <v>#VALUE!</v>
      </c>
      <c r="AW101" s="172" t="e">
        <f>_xll.LVCELL($AJ$101,AW$3,$AK101,$AL$2,$AK$4,$AK$5,$AK$6,$AK$7,$AK$8,$AL$3)/1000</f>
        <v>#VALUE!</v>
      </c>
      <c r="AX101" s="172" t="e">
        <f>_xll.LVCELL($AJ$101,AX$3,$AK101,$AL$2,$AK$4,$AK$5,$AK$6,$AK$7,$AK$8,$AL$3)/1000</f>
        <v>#VALUE!</v>
      </c>
      <c r="AY101" s="172" t="e">
        <f>_xll.LVCELL($AJ$101,AY$2,$AK101,$AL$2,$AK$4,$AK$5,$AK$6,$AK$7,$AK$8,$AL$3)/1000</f>
        <v>#VALUE!</v>
      </c>
      <c r="AZ101" s="172" t="e">
        <f>_xll.LVCELL($AJ$101,AZ$3,$AK101,$AL$2,$AK$4,$AK$5,$AK$6,$AK$7,$AK$8,$AL$3)/1000</f>
        <v>#VALUE!</v>
      </c>
      <c r="BA101" s="172" t="e">
        <f>_xll.LVCELL($AJ$101,BA$3,$AK101,$AL$2,$AK$4,$AK$5,$AK$6,$AK$7,$AK$8,$AL$3)/1000</f>
        <v>#VALUE!</v>
      </c>
      <c r="BB101" s="172" t="e">
        <f>_xll.LVCELL($AJ$101,BB$3,$AK101,$AL$2,$AK$4,$AK$5,$AK$6,$AK$7,$AK$8,$AL$3)/1000</f>
        <v>#VALUE!</v>
      </c>
      <c r="BC101" s="172" t="e">
        <f>_xll.LVCELL($AJ$101,BC$3,$AK101,$AL$2,$AK$4,$AK$5,$AK$6,$AK$7,$AK$8,$AL$3)/1000</f>
        <v>#VALUE!</v>
      </c>
      <c r="BD101" s="172" t="e">
        <f>_xll.LVCELL($AJ$101,BD$3,$AK101,$AL$2,$AK$4,$AK$5,$AK$6,$AK$7,$AK$8,$AL$3)/1000</f>
        <v>#VALUE!</v>
      </c>
      <c r="BE101" s="172" t="e">
        <f>_xll.LVCELL($AJ$101,BE$3,$AK101,$AL$2,$AK$4,$AK$5,$AK$6,$AK$7,$AK$8,$AL$3)/1000</f>
        <v>#VALUE!</v>
      </c>
      <c r="BF101" s="172" t="e">
        <f>_xll.LVCELL($AJ$101,BF$3,$AK101,$AL$2,$AK$4,$AK$5,$AK$6,$AK$7,$AK$8,$AL$3)/1000</f>
        <v>#VALUE!</v>
      </c>
      <c r="BG101" s="172" t="e">
        <f>_xll.LVCELL($AJ$101,BG$3,$AK101,$AL$2,$AK$4,$AK$5,$AK$6,$AK$7,$AK$8,$AL$3)/1000</f>
        <v>#VALUE!</v>
      </c>
      <c r="BH101" s="172" t="e">
        <f>_xll.LVCELL($AJ$101,BH$3,$AK101,$AL$2,$AK$4,$AK$5,$AK$6,$AK$7,$AK$8,$AL$3)/1000</f>
        <v>#VALUE!</v>
      </c>
      <c r="BI101" s="172" t="e">
        <f>_xll.LVCELL($AJ$101,BI$3,$AK101,$AL$2,$AK$4,$AK$5,$AK$6,$AK$7,$AK$8,$AL$3)/1000</f>
        <v>#VALUE!</v>
      </c>
      <c r="BJ101" s="172" t="e">
        <f>_xll.LVCELL($AJ$101,BJ$3,$AK101,$AL$2,$AK$4,$AK$5,$AK$6,$AK$7,$AK$8,$AL$3)/1000</f>
        <v>#VALUE!</v>
      </c>
      <c r="BK101" s="172" t="e">
        <f>_xll.LVCELL($AJ$101,BK$3,$AK101,$AL$2,$AK$4,$AK$5,$AK$6,$AK$7,$AK$8,$AL$3)/1000</f>
        <v>#VALUE!</v>
      </c>
      <c r="BL101" s="172" t="e">
        <f>_xll.LVCELL($AJ$101,BL$2,$AK101,$AL$2,$AK$4,$AK$5,$AK$6,$AK$7,$AK$8,$AL$3)/1000</f>
        <v>#VALUE!</v>
      </c>
      <c r="BM101" s="172" t="e">
        <f>BL101-AY101</f>
        <v>#VALUE!</v>
      </c>
      <c r="BN101" s="172"/>
      <c r="BO101" s="172"/>
      <c r="BP101" s="193" t="e">
        <f>BL101/AY101-1</f>
        <v>#VALUE!</v>
      </c>
    </row>
    <row r="102" spans="1:78">
      <c r="AJ102" s="64" t="s">
        <v>2698</v>
      </c>
      <c r="AK102" s="64" t="s">
        <v>830</v>
      </c>
      <c r="AL102" s="64" t="s">
        <v>2700</v>
      </c>
      <c r="AM102" s="172" t="e">
        <f>_xll.LVCELL($AJ$102,AM$3,$AK102,$AL$2,$AK$4,$AK$5,$AK$6,$AK$7,$AK$8,$AL$3)/1000</f>
        <v>#VALUE!</v>
      </c>
      <c r="AN102" s="172" t="e">
        <f>_xll.LVCELL($AJ$102,AN$3,$AK102,$AL$2,$AK$4,$AK$5,$AK$6,$AK$7,$AK$8,$AL$3)/1000</f>
        <v>#VALUE!</v>
      </c>
      <c r="AO102" s="172" t="e">
        <f>_xll.LVCELL($AJ$102,AO$3,$AK102,$AL$2,$AK$4,$AK$5,$AK$6,$AK$7,$AK$8,$AL$3)/1000</f>
        <v>#VALUE!</v>
      </c>
      <c r="AP102" s="172" t="e">
        <f>_xll.LVCELL($AJ$102,AP$3,$AK102,$AL$2,$AK$4,$AK$5,$AK$6,$AK$7,$AK$8,$AL$3)/1000</f>
        <v>#VALUE!</v>
      </c>
      <c r="AQ102" s="172" t="e">
        <f>_xll.LVCELL($AJ$102,AQ$3,$AK102,$AL$2,$AK$4,$AK$5,$AK$6,$AK$7,$AK$8,$AL$3)/1000</f>
        <v>#VALUE!</v>
      </c>
      <c r="AR102" s="172" t="e">
        <f>_xll.LVCELL($AJ$102,AR$3,$AK102,$AL$2,$AK$4,$AK$5,$AK$6,$AK$7,$AK$8,$AL$3)/1000</f>
        <v>#VALUE!</v>
      </c>
      <c r="AS102" s="172" t="e">
        <f>_xll.LVCELL($AJ$102,AS$3,$AK102,$AL$2,$AK$4,$AK$5,$AK$6,$AK$7,$AK$8,$AL$3)/1000</f>
        <v>#VALUE!</v>
      </c>
      <c r="AT102" s="172" t="e">
        <f>_xll.LVCELL($AJ$102,AT$3,$AK102,$AL$2,$AK$4,$AK$5,$AK$6,$AK$7,$AK$8,$AL$3)/1000</f>
        <v>#VALUE!</v>
      </c>
      <c r="AU102" s="172" t="e">
        <f>_xll.LVCELL($AJ$102,AU$3,$AK102,$AL$2,$AK$4,$AK$5,$AK$6,$AK$7,$AK$8,$AL$3)/1000</f>
        <v>#VALUE!</v>
      </c>
      <c r="AV102" s="172" t="e">
        <f>_xll.LVCELL($AJ$102,AV$3,$AK102,$AL$2,$AK$4,$AK$5,$AK$6,$AK$7,$AK$8,$AL$3)/1000</f>
        <v>#VALUE!</v>
      </c>
      <c r="AW102" s="172" t="e">
        <f>_xll.LVCELL($AJ$102,AW$3,$AK102,$AL$2,$AK$4,$AK$5,$AK$6,$AK$7,$AK$8,$AL$3)/1000</f>
        <v>#VALUE!</v>
      </c>
      <c r="AX102" s="172" t="e">
        <f>_xll.LVCELL($AJ$102,AX$3,$AK102,$AL$2,$AK$4,$AK$5,$AK$6,$AK$7,$AK$8,$AL$3)/1000</f>
        <v>#VALUE!</v>
      </c>
      <c r="AY102" s="172" t="e">
        <f>_xll.LVCELL($AJ$102,AY$2,$AK102,$AL$2,$AK$4,$AK$5,$AK$6,$AK$7,$AK$8,$AL$3)/1000</f>
        <v>#VALUE!</v>
      </c>
      <c r="AZ102" s="172" t="e">
        <f>_xll.LVCELL($AJ$102,AZ$3,$AK102,$AL$2,$AK$4,$AK$5,$AK$6,$AK$7,$AK$8,$AL$3)/1000</f>
        <v>#VALUE!</v>
      </c>
      <c r="BA102" s="172" t="e">
        <f>_xll.LVCELL($AJ$102,BA$3,$AK102,$AL$2,$AK$4,$AK$5,$AK$6,$AK$7,$AK$8,$AL$3)/1000</f>
        <v>#VALUE!</v>
      </c>
      <c r="BB102" s="172" t="e">
        <f>_xll.LVCELL($AJ$102,BB$3,$AK102,$AL$2,$AK$4,$AK$5,$AK$6,$AK$7,$AK$8,$AL$3)/1000</f>
        <v>#VALUE!</v>
      </c>
      <c r="BC102" s="172" t="e">
        <f>_xll.LVCELL($AJ$102,BC$3,$AK102,$AL$2,$AK$4,$AK$5,$AK$6,$AK$7,$AK$8,$AL$3)/1000</f>
        <v>#VALUE!</v>
      </c>
      <c r="BD102" s="172" t="e">
        <f>_xll.LVCELL($AJ$102,BD$3,$AK102,$AL$2,$AK$4,$AK$5,$AK$6,$AK$7,$AK$8,$AL$3)/1000</f>
        <v>#VALUE!</v>
      </c>
      <c r="BE102" s="172" t="e">
        <f>_xll.LVCELL($AJ$102,BE$3,$AK102,$AL$2,$AK$4,$AK$5,$AK$6,$AK$7,$AK$8,$AL$3)/1000</f>
        <v>#VALUE!</v>
      </c>
      <c r="BF102" s="172" t="e">
        <f>_xll.LVCELL($AJ$102,BF$3,$AK102,$AL$2,$AK$4,$AK$5,$AK$6,$AK$7,$AK$8,$AL$3)/1000</f>
        <v>#VALUE!</v>
      </c>
      <c r="BG102" s="172" t="e">
        <f>_xll.LVCELL($AJ$102,BG$3,$AK102,$AL$2,$AK$4,$AK$5,$AK$6,$AK$7,$AK$8,$AL$3)/1000</f>
        <v>#VALUE!</v>
      </c>
      <c r="BH102" s="172" t="e">
        <f>_xll.LVCELL($AJ$102,BH$3,$AK102,$AL$2,$AK$4,$AK$5,$AK$6,$AK$7,$AK$8,$AL$3)/1000</f>
        <v>#VALUE!</v>
      </c>
      <c r="BI102" s="172" t="e">
        <f>_xll.LVCELL($AJ$102,BI$3,$AK102,$AL$2,$AK$4,$AK$5,$AK$6,$AK$7,$AK$8,$AL$3)/1000</f>
        <v>#VALUE!</v>
      </c>
      <c r="BJ102" s="172" t="e">
        <f>_xll.LVCELL($AJ$102,BJ$3,$AK102,$AL$2,$AK$4,$AK$5,$AK$6,$AK$7,$AK$8,$AL$3)/1000</f>
        <v>#VALUE!</v>
      </c>
      <c r="BK102" s="172" t="e">
        <f>_xll.LVCELL($AJ$102,BK$3,$AK102,$AL$2,$AK$4,$AK$5,$AK$6,$AK$7,$AK$8,$AL$3)/1000</f>
        <v>#VALUE!</v>
      </c>
      <c r="BL102" s="172" t="e">
        <f>_xll.LVCELL($AJ$102,BL$2,$AK102,$AL$2,$AK$4,$AK$5,$AK$6,$AK$7,$AK$8,$AL$3)/1000</f>
        <v>#VALUE!</v>
      </c>
      <c r="BM102" s="172" t="e">
        <f>BL102-AY102</f>
        <v>#VALUE!</v>
      </c>
      <c r="BN102" s="172"/>
      <c r="BO102" s="172"/>
      <c r="BP102" s="193" t="e">
        <f>BL102/AY102-1</f>
        <v>#VALUE!</v>
      </c>
    </row>
    <row r="103" spans="1:78">
      <c r="AK103" s="64" t="s">
        <v>847</v>
      </c>
      <c r="AL103" s="64" t="s">
        <v>2744</v>
      </c>
      <c r="AY103" s="64">
        <v>0</v>
      </c>
    </row>
    <row r="104" spans="1:78" s="52" customFormat="1">
      <c r="A104" s="113"/>
      <c r="B104" s="113"/>
      <c r="C104" s="113"/>
      <c r="D104" s="113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I104" s="113"/>
      <c r="AJ104" s="113" t="s">
        <v>2701</v>
      </c>
      <c r="AK104" s="113"/>
      <c r="AL104" s="113" t="s">
        <v>2702</v>
      </c>
      <c r="AM104" s="194" t="e">
        <f>_xll.LVCELL($AJ$104,AM$3,$AK2,$AL$2,$AK$4,$AK$5,$AK$6,$AK$7,$AK$8,$AL$3)/1000</f>
        <v>#VALUE!</v>
      </c>
      <c r="AN104" s="194" t="e">
        <f>_xll.LVCELL($AJ$104,AN$3,$AK2,$AL$2,$AK$4,$AK$5,$AK$6,$AK$7,$AK$8,$AL$3)/1000</f>
        <v>#VALUE!</v>
      </c>
      <c r="AO104" s="194" t="e">
        <f>_xll.LVCELL($AJ$104,AO$3,$AK2,$AL$2,$AK$4,$AK$5,$AK$6,$AK$7,$AK$8,$AL$3)/1000</f>
        <v>#VALUE!</v>
      </c>
      <c r="AP104" s="194" t="e">
        <f>_xll.LVCELL($AJ$104,AP$3,$AK2,$AL$2,$AK$4,$AK$5,$AK$6,$AK$7,$AK$8,$AL$3)/1000</f>
        <v>#VALUE!</v>
      </c>
      <c r="AQ104" s="194" t="e">
        <f>_xll.LVCELL($AJ$104,AQ$3,$AK2,$AL$2,$AK$4,$AK$5,$AK$6,$AK$7,$AK$8,$AL$3)/1000</f>
        <v>#VALUE!</v>
      </c>
      <c r="AR104" s="194" t="e">
        <f>_xll.LVCELL($AJ$104,AR$3,$AK2,$AL$2,$AK$4,$AK$5,$AK$6,$AK$7,$AK$8,$AL$3)/1000</f>
        <v>#VALUE!</v>
      </c>
      <c r="AS104" s="194" t="e">
        <f>_xll.LVCELL($AJ$104,AS$3,$AK2,$AL$2,$AK$4,$AK$5,$AK$6,$AK$7,$AK$8,$AL$3)/1000</f>
        <v>#VALUE!</v>
      </c>
      <c r="AT104" s="194" t="e">
        <f>_xll.LVCELL($AJ$104,AT$3,$AK2,$AL$2,$AK$4,$AK$5,$AK$6,$AK$7,$AK$8,$AL$3)/1000</f>
        <v>#VALUE!</v>
      </c>
      <c r="AU104" s="194" t="e">
        <f>_xll.LVCELL($AJ$104,AU$3,$AK2,$AL$2,$AK$4,$AK$5,$AK$6,$AK$7,$AK$8,$AL$3)/1000</f>
        <v>#VALUE!</v>
      </c>
      <c r="AV104" s="194" t="e">
        <f>_xll.LVCELL($AJ$104,AV$3,$AK2,$AL$2,$AK$4,$AK$5,$AK$6,$AK$7,$AK$8,$AL$3)/1000</f>
        <v>#VALUE!</v>
      </c>
      <c r="AW104" s="194" t="e">
        <f>_xll.LVCELL($AJ$104,AW$3,$AK2,$AL$2,$AK$4,$AK$5,$AK$6,$AK$7,$AK$8,$AL$3)/1000</f>
        <v>#VALUE!</v>
      </c>
      <c r="AX104" s="194" t="e">
        <f>_xll.LVCELL($AJ$104,AX$3,$AK2,$AL$2,$AK$4,$AK$5,$AK$6,$AK$7,$AK$8,$AL$3)/1000</f>
        <v>#VALUE!</v>
      </c>
      <c r="AY104" s="194" t="e">
        <f>_xll.LVCELL($AJ$104,AY$2,$AK2,$AL$2,$AK$4,$AK$5,$AK$6,$AK$7,$AK$8,$AL$3)/1000</f>
        <v>#VALUE!</v>
      </c>
      <c r="AZ104" s="194" t="e">
        <f>_xll.LVCELL($AJ$104,AZ$3,$AK2,$AL$2,$AK$4,$AK$5,$AK$6,$AK$7,$AK$8,$AL$3)/1000</f>
        <v>#VALUE!</v>
      </c>
      <c r="BA104" s="194" t="e">
        <f>_xll.LVCELL($AJ$104,BA$3,$AK2,$AL$2,$AK$4,$AK$5,$AK$6,$AK$7,$AK$8,$AL$3)/1000</f>
        <v>#VALUE!</v>
      </c>
      <c r="BB104" s="194" t="e">
        <f>_xll.LVCELL($AJ$104,BB$3,$AK2,$AL$2,$AK$4,$AK$5,$AK$6,$AK$7,$AK$8,$AL$3)/1000</f>
        <v>#VALUE!</v>
      </c>
      <c r="BC104" s="194" t="e">
        <f>_xll.LVCELL($AJ$104,BC$3,$AK2,$AL$2,$AK$4,$AK$5,$AK$6,$AK$7,$AK$8,$AL$3)/1000</f>
        <v>#VALUE!</v>
      </c>
      <c r="BD104" s="194" t="e">
        <f>_xll.LVCELL($AJ$104,BD$3,$AK2,$AL$2,$AK$4,$AK$5,$AK$6,$AK$7,$AK$8,$AL$3)/1000</f>
        <v>#VALUE!</v>
      </c>
      <c r="BE104" s="194" t="e">
        <f>_xll.LVCELL($AJ$104,BE$3,$AK2,$AL$2,$AK$4,$AK$5,$AK$6,$AK$7,$AK$8,$AL$3)/1000</f>
        <v>#VALUE!</v>
      </c>
      <c r="BF104" s="194" t="e">
        <f>_xll.LVCELL($AJ$104,BF$3,$AK2,$AL$2,$AK$4,$AK$5,$AK$6,$AK$7,$AK$8,$AL$3)/1000</f>
        <v>#VALUE!</v>
      </c>
      <c r="BG104" s="194" t="e">
        <f>_xll.LVCELL($AJ$104,BG$3,$AK2,$AL$2,$AK$4,$AK$5,$AK$6,$AK$7,$AK$8,$AL$3)/1000</f>
        <v>#VALUE!</v>
      </c>
      <c r="BH104" s="194" t="e">
        <f>_xll.LVCELL($AJ$104,BH$3,$AK2,$AL$2,$AK$4,$AK$5,$AK$6,$AK$7,$AK$8,$AL$3)/1000</f>
        <v>#VALUE!</v>
      </c>
      <c r="BI104" s="194" t="e">
        <f>_xll.LVCELL($AJ$104,BI$3,$AK2,$AL$2,$AK$4,$AK$5,$AK$6,$AK$7,$AK$8,$AL$3)/1000</f>
        <v>#VALUE!</v>
      </c>
      <c r="BJ104" s="194" t="e">
        <f>_xll.LVCELL($AJ$104,BJ$3,$AK2,$AL$2,$AK$4,$AK$5,$AK$6,$AK$7,$AK$8,$AL$3)/1000</f>
        <v>#VALUE!</v>
      </c>
      <c r="BK104" s="194" t="e">
        <f>_xll.LVCELL($AJ$104,BK$3,$AK2,$AL$2,$AK$4,$AK$5,$AK$6,$AK$7,$AK$8,$AL$3)/1000</f>
        <v>#VALUE!</v>
      </c>
      <c r="BL104" s="194" t="e">
        <f>_xll.LVCELL($AJ$104,BL$2,$AK2,$AL$2,$AK$4,$AK$5,$AK$6,$AK$7,$AK$8,$AL$3)/1000</f>
        <v>#VALUE!</v>
      </c>
      <c r="BM104" s="194" t="e">
        <f>BL104-AY104</f>
        <v>#VALUE!</v>
      </c>
      <c r="BN104" s="194"/>
      <c r="BO104" s="194"/>
      <c r="BP104" s="195" t="e">
        <f>BL104/AY104-1</f>
        <v>#VALUE!</v>
      </c>
    </row>
    <row r="105" spans="1:78">
      <c r="AL105" s="234" t="s">
        <v>2628</v>
      </c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5" t="e">
        <f>AY104-AY83-AY100-AY101-AY102</f>
        <v>#VALUE!</v>
      </c>
      <c r="AZ105" s="234"/>
      <c r="BA105" s="234"/>
      <c r="BB105" s="234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5" t="e">
        <f>BL104-BL83-BL100-BL101-BL102</f>
        <v>#VALUE!</v>
      </c>
      <c r="BM105" s="236"/>
    </row>
    <row r="109" spans="1:78">
      <c r="BL109" s="81"/>
    </row>
    <row r="112" spans="1:78" ht="45">
      <c r="AH112" s="249" t="s">
        <v>2742</v>
      </c>
      <c r="AI112" s="242"/>
      <c r="AJ112" s="242"/>
      <c r="AK112" s="242"/>
      <c r="AL112" s="242" t="s">
        <v>2741</v>
      </c>
      <c r="AM112" s="242"/>
      <c r="AN112" s="242"/>
      <c r="AO112" s="242"/>
      <c r="AP112" s="242"/>
      <c r="AQ112" s="242"/>
      <c r="AR112" s="242"/>
      <c r="AS112" s="242"/>
      <c r="AT112" s="242"/>
      <c r="AU112" s="242"/>
      <c r="AV112" s="242"/>
      <c r="AW112" s="242"/>
      <c r="AX112" s="242"/>
      <c r="AY112" s="250">
        <v>2373.6285000000007</v>
      </c>
      <c r="AZ112" s="250">
        <v>709.99802190000003</v>
      </c>
      <c r="BA112" s="250">
        <v>666.23102055000004</v>
      </c>
      <c r="BB112" s="250">
        <v>700.27202160000002</v>
      </c>
      <c r="BC112" s="250">
        <v>0</v>
      </c>
      <c r="BD112" s="250">
        <v>0</v>
      </c>
      <c r="BE112" s="250">
        <v>0</v>
      </c>
      <c r="BF112" s="250">
        <v>0</v>
      </c>
      <c r="BG112" s="250">
        <v>0</v>
      </c>
      <c r="BH112" s="250">
        <v>0</v>
      </c>
      <c r="BI112" s="250">
        <v>0</v>
      </c>
      <c r="BJ112" s="250">
        <v>643.51002099999994</v>
      </c>
      <c r="BK112" s="250">
        <v>689.47502249999991</v>
      </c>
      <c r="BL112" s="250">
        <v>3409.4861075499998</v>
      </c>
      <c r="BM112" s="250">
        <v>1035.8576075499991</v>
      </c>
      <c r="BN112" s="244"/>
    </row>
    <row r="113" spans="34:66">
      <c r="AH113" s="245"/>
      <c r="AI113" s="246"/>
      <c r="AJ113" s="246"/>
      <c r="AK113" s="246"/>
      <c r="AL113" s="246" t="s">
        <v>2695</v>
      </c>
      <c r="AM113" s="246"/>
      <c r="AN113" s="246"/>
      <c r="AO113" s="246"/>
      <c r="AP113" s="246"/>
      <c r="AQ113" s="246"/>
      <c r="AR113" s="246"/>
      <c r="AS113" s="246"/>
      <c r="AT113" s="246"/>
      <c r="AU113" s="246"/>
      <c r="AV113" s="246"/>
      <c r="AW113" s="246"/>
      <c r="AX113" s="246"/>
      <c r="AY113" s="251">
        <v>5931.2145993649992</v>
      </c>
      <c r="AZ113" s="251">
        <v>798.37770894331493</v>
      </c>
      <c r="BA113" s="251">
        <v>744.09315321772192</v>
      </c>
      <c r="BB113" s="251">
        <v>773.58627029709908</v>
      </c>
      <c r="BC113" s="251">
        <v>648.45951916518402</v>
      </c>
      <c r="BD113" s="251">
        <v>659.42143418160003</v>
      </c>
      <c r="BE113" s="251">
        <v>634.07502043200009</v>
      </c>
      <c r="BF113" s="251">
        <v>634.38440114743992</v>
      </c>
      <c r="BG113" s="251">
        <v>634.38440114743992</v>
      </c>
      <c r="BH113" s="251">
        <v>624.08279031912002</v>
      </c>
      <c r="BI113" s="251">
        <v>584.60075673320705</v>
      </c>
      <c r="BJ113" s="251">
        <v>674.63149971913504</v>
      </c>
      <c r="BK113" s="251">
        <v>705.78629898478198</v>
      </c>
      <c r="BL113" s="251">
        <v>8115.8832542880455</v>
      </c>
      <c r="BM113" s="251">
        <v>2184.6686549230462</v>
      </c>
      <c r="BN113" s="248"/>
    </row>
    <row r="116" spans="34:66" ht="45">
      <c r="AH116" s="249" t="s">
        <v>2743</v>
      </c>
      <c r="AI116" s="242"/>
      <c r="AJ116" s="242"/>
      <c r="AK116" s="242"/>
      <c r="AL116" s="242" t="s">
        <v>2741</v>
      </c>
      <c r="AM116" s="242"/>
      <c r="AN116" s="242"/>
      <c r="AO116" s="242"/>
      <c r="AP116" s="242"/>
      <c r="AQ116" s="242"/>
      <c r="AR116" s="242"/>
      <c r="AS116" s="242"/>
      <c r="AT116" s="242"/>
      <c r="AU116" s="242"/>
      <c r="AV116" s="242"/>
      <c r="AW116" s="242"/>
      <c r="AX116" s="242"/>
      <c r="AY116" s="243" t="e">
        <f>AY80-AY112</f>
        <v>#VALUE!</v>
      </c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3" t="e">
        <f>BL80-BL112</f>
        <v>#VALUE!</v>
      </c>
      <c r="BM116" s="243" t="e">
        <f>BM80-BM112</f>
        <v>#VALUE!</v>
      </c>
      <c r="BN116" s="244"/>
    </row>
    <row r="117" spans="34:66">
      <c r="AH117" s="245"/>
      <c r="AI117" s="246"/>
      <c r="AJ117" s="246"/>
      <c r="AK117" s="246"/>
      <c r="AL117" s="246" t="s">
        <v>2695</v>
      </c>
      <c r="AM117" s="246"/>
      <c r="AN117" s="246"/>
      <c r="AO117" s="246"/>
      <c r="AP117" s="246"/>
      <c r="AQ117" s="246"/>
      <c r="AR117" s="246"/>
      <c r="AS117" s="246"/>
      <c r="AT117" s="246"/>
      <c r="AU117" s="246"/>
      <c r="AV117" s="246"/>
      <c r="AW117" s="246"/>
      <c r="AX117" s="246"/>
      <c r="AY117" s="247" t="e">
        <f>AY100-AY113</f>
        <v>#VALUE!</v>
      </c>
      <c r="AZ117" s="246"/>
      <c r="BA117" s="246"/>
      <c r="BB117" s="246"/>
      <c r="BC117" s="246"/>
      <c r="BD117" s="246"/>
      <c r="BE117" s="246"/>
      <c r="BF117" s="246"/>
      <c r="BG117" s="246"/>
      <c r="BH117" s="246"/>
      <c r="BI117" s="246"/>
      <c r="BJ117" s="246"/>
      <c r="BK117" s="246"/>
      <c r="BL117" s="247" t="e">
        <f>BL100-BL113</f>
        <v>#VALUE!</v>
      </c>
      <c r="BM117" s="247" t="e">
        <f>BM100-BM113</f>
        <v>#VALUE!</v>
      </c>
      <c r="BN117" s="248"/>
    </row>
  </sheetData>
  <autoFilter ref="A10:BZ83" xr:uid="{8E903B23-DCA8-4741-9A7E-6AC480B6F692}"/>
  <mergeCells count="6">
    <mergeCell ref="BQ10:BQ11"/>
    <mergeCell ref="AE10:AE11"/>
    <mergeCell ref="AF10:AF11"/>
    <mergeCell ref="AG10:AG11"/>
    <mergeCell ref="BM10:BM11"/>
    <mergeCell ref="BP10:BP11"/>
  </mergeCells>
  <conditionalFormatting sqref="C12:C82">
    <cfRule type="duplicateValues" dxfId="1" priority="2"/>
  </conditionalFormatting>
  <conditionalFormatting sqref="AK12:AK82">
    <cfRule type="duplicateValues" dxfId="0" priority="1"/>
  </conditionalFormatting>
  <pageMargins left="0.7" right="0.7" top="0.75" bottom="0.75" header="0.3" footer="0.3"/>
  <customProperties>
    <customPr name="Longview.RefreshTimestamp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86972ECB5F894380F3FC32D5ADAF3E" ma:contentTypeVersion="11" ma:contentTypeDescription="Crée un document." ma:contentTypeScope="" ma:versionID="87f3f9d5faa2738273690b113041fe42">
  <xsd:schema xmlns:xsd="http://www.w3.org/2001/XMLSchema" xmlns:xs="http://www.w3.org/2001/XMLSchema" xmlns:p="http://schemas.microsoft.com/office/2006/metadata/properties" xmlns:ns2="22543d3a-0b72-41c5-8503-c549f45285a6" xmlns:ns3="a513f063-4835-489a-9894-94176be57242" targetNamespace="http://schemas.microsoft.com/office/2006/metadata/properties" ma:root="true" ma:fieldsID="4294d5ec3a8ba1a2fab564d95dd8e0c3" ns2:_="" ns3:_="">
    <xsd:import namespace="22543d3a-0b72-41c5-8503-c549f45285a6"/>
    <xsd:import namespace="a513f063-4835-489a-9894-94176be572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543d3a-0b72-41c5-8503-c549f4528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13f063-4835-489a-9894-94176be5724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8FC1F8BC-7038-440A-9FA9-C054477A33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32124F4-FD31-49ED-AD33-28EF731819D2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a746f8af-f175-464d-bfd2-965a98101ee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6FA9B9C-2114-4BC2-A83F-1C7BD02E6D21}"/>
</file>

<file path=customXml/itemProps4.xml><?xml version="1.0" encoding="utf-8"?>
<ds:datastoreItem xmlns:ds="http://schemas.openxmlformats.org/officeDocument/2006/customXml" ds:itemID="{01165974-8EFA-4963-BECB-5CC01900C8EE}">
  <ds:schemaRefs>
    <ds:schemaRef ds:uri="http://schemas.datacontract.org/2004/07/Longview.Office.Excel.Model"/>
    <ds:schemaRef ds:uri="http://schemas.microsoft.com/2003/10/Serialization/Arrays"/>
    <ds:schemaRef ds:uri="http://schemas.datacontract.org/2004/07/Longview.Office.AddIn.Query"/>
    <ds:schemaRef ds:uri="http://schemas.datacontract.org/2004/07/Longview.Office.AddIn.Mode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20</vt:i4>
      </vt:variant>
      <vt:variant>
        <vt:lpstr>Plages nommées</vt:lpstr>
      </vt:variant>
      <vt:variant>
        <vt:i4>2</vt:i4>
      </vt:variant>
    </vt:vector>
  </HeadingPairs>
  <TitlesOfParts>
    <vt:vector size="22" baseType="lpstr">
      <vt:lpstr>TCD Moyenn histo</vt:lpstr>
      <vt:lpstr>Tarif PRICE_FEEDIN_REV</vt:lpstr>
      <vt:lpstr>Tarif PRICE_ELECT_SOLD</vt:lpstr>
      <vt:lpstr>NB tarifs futurs</vt:lpstr>
      <vt:lpstr>Nb Machine</vt:lpstr>
      <vt:lpstr>Capacité</vt:lpstr>
      <vt:lpstr>Dispo</vt:lpstr>
      <vt:lpstr>3-Saisie LV7 PROD elec gaz vape</vt:lpstr>
      <vt:lpstr>2-Préparation saisie LV PROD</vt:lpstr>
      <vt:lpstr>1-EO_Calcul Reporting</vt:lpstr>
      <vt:lpstr>CA explain</vt:lpstr>
      <vt:lpstr>Prod B22</vt:lpstr>
      <vt:lpstr>distribution mensuelle Prod B22</vt:lpstr>
      <vt:lpstr>TOTEURECOC</vt:lpstr>
      <vt:lpstr>Synthèse B22 vs B21</vt:lpstr>
      <vt:lpstr>check modifs</vt:lpstr>
      <vt:lpstr>PROD parcs global</vt:lpstr>
      <vt:lpstr>TCD Moyenn histo Eliott</vt:lpstr>
      <vt:lpstr>Synth B19 vs B18 valeur Elliot</vt:lpstr>
      <vt:lpstr>Synthèse F18 vs B19</vt:lpstr>
      <vt:lpstr>'Tarif PRICE_ELECT_SOLD'!Zone_d_impression</vt:lpstr>
      <vt:lpstr>'Tarif PRICE_FEEDIN_REV'!Zone_d_impression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charline_rabier</dc:creator>
  <cp:lastModifiedBy>Hermann Ngayap</cp:lastModifiedBy>
  <cp:lastPrinted>2019-08-20T08:53:55Z</cp:lastPrinted>
  <dcterms:created xsi:type="dcterms:W3CDTF">2017-07-19T12:20:49Z</dcterms:created>
  <dcterms:modified xsi:type="dcterms:W3CDTF">2022-05-16T12:00:38Z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4XL KID">
    <vt:lpwstr/>
  </property>
  <property fmtid="{D5CDD505-2E9C-101B-9397-08002B2CF9AE}" pid="3" name="K4XL DBKID">
    <vt:lpwstr/>
  </property>
  <property fmtid="{D5CDD505-2E9C-101B-9397-08002B2CF9AE}" pid="4" name="K4XLRetrievePerWS">
    <vt:lpwstr>Y</vt:lpwstr>
  </property>
  <property fmtid="{D5CDD505-2E9C-101B-9397-08002B2CF9AE}" pid="5" name="K4XLScatterRefresh">
    <vt:lpwstr>N</vt:lpwstr>
  </property>
  <property fmtid="{D5CDD505-2E9C-101B-9397-08002B2CF9AE}" pid="6" name="K4XLVersion">
    <vt:lpwstr>3.5.7.2796.8</vt:lpwstr>
  </property>
  <property fmtid="{D5CDD505-2E9C-101B-9397-08002B2CF9AE}" pid="7" name="ContentTypeId">
    <vt:lpwstr>0x0101000F86972ECB5F894380F3FC32D5ADAF3E</vt:lpwstr>
  </property>
  <property fmtid="{D5CDD505-2E9C-101B-9397-08002B2CF9AE}" pid="8" name="Order">
    <vt:r8>25900</vt:r8>
  </property>
  <property fmtid="{D5CDD505-2E9C-101B-9397-08002B2CF9AE}" pid="9" name="Longview.Workbook">
    <vt:lpwstr>{01165974-8EFA-4963-BECB-5CC01900C8EE}</vt:lpwstr>
  </property>
</Properties>
</file>